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E2AA0DB0-F3C5-4EAB-966C-519403EA53CD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</calcChain>
</file>

<file path=xl/sharedStrings.xml><?xml version="1.0" encoding="utf-8"?>
<sst xmlns="http://schemas.openxmlformats.org/spreadsheetml/2006/main" count="13639" uniqueCount="102">
  <si>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</si>
  <si>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</si>
  <si>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</si>
  <si>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</si>
  <si>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</si>
  <si>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</si>
  <si>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</si>
  <si>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</si>
  <si>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</si>
  <si>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</si>
  <si>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</si>
  <si>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</si>
  <si>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</si>
  <si>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</si>
  <si>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</si>
  <si>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</si>
  <si>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</si>
  <si>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</si>
  <si>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</si>
  <si>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</si>
  <si>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</si>
  <si>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</si>
  <si>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</si>
  <si>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</si>
  <si>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</si>
  <si>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</si>
  <si>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</si>
  <si>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</si>
  <si>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</si>
  <si>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</si>
  <si>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</si>
  <si>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</si>
  <si>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</si>
  <si>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</si>
  <si>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</si>
  <si>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</si>
  <si>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</si>
  <si>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Testhuanghun_on</t>
  </si>
  <si>
    <t>mcp_road_part_02</t>
  </si>
  <si>
    <t>Plane_01</t>
  </si>
  <si>
    <t>Building 03</t>
  </si>
  <si>
    <t>mcp_roads_turn_01 (1)</t>
  </si>
  <si>
    <t>Kooper</t>
  </si>
  <si>
    <t>FAR</t>
  </si>
  <si>
    <t>Floor 01</t>
  </si>
  <si>
    <t>Tree 04 (23)</t>
  </si>
  <si>
    <t>Wall Small 03 (24)</t>
  </si>
  <si>
    <t>Tree 04 (22)</t>
  </si>
  <si>
    <t>mcp_bus_stop_night_LOD_0</t>
  </si>
  <si>
    <t>Building 07 (17)</t>
  </si>
  <si>
    <t>Tree 04 (24)</t>
  </si>
  <si>
    <t>Building 18 (9)</t>
  </si>
  <si>
    <t>Pilar Small (28)</t>
  </si>
  <si>
    <t>Building 07 (16)</t>
  </si>
  <si>
    <t>mcp_roads_T_cross_01</t>
  </si>
  <si>
    <t>Building 15 (35)</t>
  </si>
  <si>
    <t>Tree 05 (15)</t>
  </si>
  <si>
    <t>mcp_road_part_01</t>
  </si>
  <si>
    <t>Building 18 (4)</t>
  </si>
  <si>
    <t>Building 15 (33)</t>
  </si>
  <si>
    <t>mcp_roads_cross_01</t>
  </si>
  <si>
    <t>Building 02 (8)</t>
  </si>
  <si>
    <t>Building 15 (31)</t>
  </si>
  <si>
    <t>Box001</t>
  </si>
  <si>
    <t>mcp_roads_turn_01</t>
  </si>
  <si>
    <t>Plane_01 (1)</t>
  </si>
  <si>
    <t>Building 07 (15)</t>
  </si>
  <si>
    <t>Building 24</t>
  </si>
  <si>
    <t>Building 24 (1)</t>
  </si>
  <si>
    <t>Stand 03 (2)</t>
  </si>
  <si>
    <t>Building 15 (34)</t>
  </si>
  <si>
    <t>Building 29 (5)</t>
  </si>
  <si>
    <t>Building 01</t>
  </si>
  <si>
    <t>Building 07 (4)</t>
  </si>
  <si>
    <t>Building 07 (18)</t>
  </si>
  <si>
    <t>Bannar 01F</t>
  </si>
  <si>
    <t>Building 11 (3)</t>
  </si>
  <si>
    <t>mcp_roads_cross_02</t>
  </si>
  <si>
    <t>Canopi 01 (4)</t>
  </si>
  <si>
    <t>Building 15 (32)</t>
  </si>
  <si>
    <t>Building 02 (11)</t>
  </si>
  <si>
    <t>Building 15 (7)</t>
  </si>
  <si>
    <t>Building 09 (4)</t>
  </si>
  <si>
    <t>Building 13 (1)</t>
  </si>
  <si>
    <t>Building 15 (30)</t>
  </si>
  <si>
    <t>mcp_road_part_02 (1)</t>
  </si>
  <si>
    <t>mcp_road_part_02 (2)</t>
  </si>
  <si>
    <t>mcp_road_part_02 (3)</t>
  </si>
  <si>
    <t>Shurbs (1)</t>
  </si>
  <si>
    <t>Building 04 (3)</t>
  </si>
  <si>
    <t>Building 23 (4)</t>
  </si>
  <si>
    <t>Tree 04 (4)</t>
  </si>
  <si>
    <t>Building 30 (4)</t>
  </si>
  <si>
    <t>mcp_road_part_02 (9)</t>
  </si>
  <si>
    <t>mcp_road_part_02 (6)</t>
  </si>
  <si>
    <t>mcp_road_part_02 (8)</t>
  </si>
  <si>
    <t>Building 18 (2)</t>
  </si>
  <si>
    <t>mcp_road_part_02 (10)</t>
  </si>
  <si>
    <t>mcp_road_part_02 (12)</t>
  </si>
  <si>
    <t>mcp_road_part_02 (11)</t>
  </si>
  <si>
    <t>Building 18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</si>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</sst>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802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"20200111160053707"</f>
        <v>20200111160053707</v>
      </c>
      <c r="B2" t="str">
        <f>"1578729653698623"</f>
        <v>1578729653698623</v>
      </c>
      <c r="C2" t="s">
        <v>37</v>
      </c>
      <c r="D2">
        <v>4.3865569999999998</v>
      </c>
      <c r="E2">
        <v>0.53161349999999996</v>
      </c>
      <c r="F2" t="s">
        <v>38</v>
      </c>
      <c r="G2">
        <v>-452.5138</v>
      </c>
      <c r="H2" s="1">
        <v>-3.677709E-6</v>
      </c>
      <c r="I2">
        <v>366.8886</v>
      </c>
      <c r="J2">
        <v>-477.096</v>
      </c>
      <c r="K2">
        <v>1.103645</v>
      </c>
      <c r="L2">
        <v>367.52319999999997</v>
      </c>
      <c r="M2">
        <v>0.99996739999999995</v>
      </c>
      <c r="N2">
        <v>0</v>
      </c>
      <c r="O2" s="1">
        <v>-9.1632019999999994E-5</v>
      </c>
      <c r="P2">
        <v>0.99841229999999903</v>
      </c>
      <c r="Q2">
        <v>2.0840399999999999E-2</v>
      </c>
      <c r="R2">
        <v>5.2330920000000003E-2</v>
      </c>
      <c r="S2">
        <v>3.0117189999999998</v>
      </c>
      <c r="T2">
        <v>-0.13518229999999901</v>
      </c>
      <c r="U2">
        <v>-7.7697749999999996E-2</v>
      </c>
      <c r="V2">
        <v>-5.2419760000000003E-2</v>
      </c>
      <c r="W2">
        <v>2.8904530000000001E-2</v>
      </c>
      <c r="X2">
        <v>0.998206699999999</v>
      </c>
      <c r="Y2">
        <v>2.5672549999999999E-2</v>
      </c>
      <c r="Z2">
        <v>-5.7166599999999997E-4</v>
      </c>
      <c r="AA2">
        <v>0.99967030000000001</v>
      </c>
      <c r="AB2">
        <v>1</v>
      </c>
      <c r="AC2">
        <v>24.5822</v>
      </c>
      <c r="AD2">
        <v>-1.103648677709</v>
      </c>
      <c r="AE2">
        <v>-0.63459999999997696</v>
      </c>
      <c r="AF2">
        <v>0.63107621080771703</v>
      </c>
      <c r="AG2">
        <v>-1.103648677709</v>
      </c>
      <c r="AH2">
        <v>24.532840783312899</v>
      </c>
      <c r="AI2">
        <v>92.574953995962304</v>
      </c>
      <c r="AJ2">
        <v>88.526463708813694</v>
      </c>
      <c r="AK2">
        <v>24.5657602057627</v>
      </c>
    </row>
    <row r="3" spans="1:37" x14ac:dyDescent="0.2">
      <c r="A3" t="str">
        <f>"20200111160053728"</f>
        <v>20200111160053728</v>
      </c>
      <c r="B3" t="str">
        <f>"1578729653719119"</f>
        <v>1578729653719119</v>
      </c>
      <c r="C3" t="s">
        <v>37</v>
      </c>
      <c r="D3">
        <v>4.4126500000000002</v>
      </c>
      <c r="E3">
        <v>0.53168419999999905</v>
      </c>
      <c r="F3" t="s">
        <v>38</v>
      </c>
      <c r="G3">
        <v>-452.16660000000002</v>
      </c>
      <c r="H3" s="1">
        <v>-3.8321710000000002E-6</v>
      </c>
      <c r="I3">
        <v>366.85750000000002</v>
      </c>
      <c r="J3">
        <v>-477.0838</v>
      </c>
      <c r="K3">
        <v>1.1034930000000001</v>
      </c>
      <c r="L3">
        <v>367.5231</v>
      </c>
      <c r="M3">
        <v>0.99997559999999996</v>
      </c>
      <c r="N3">
        <v>0</v>
      </c>
      <c r="O3">
        <v>-1.37682E-4</v>
      </c>
      <c r="P3">
        <v>0.99843249999999995</v>
      </c>
      <c r="Q3">
        <v>2.183976E-2</v>
      </c>
      <c r="R3">
        <v>5.1537319999999998E-2</v>
      </c>
      <c r="S3">
        <v>3.011749</v>
      </c>
      <c r="T3">
        <v>-0.1333328</v>
      </c>
      <c r="U3">
        <v>-8.0413819999999997E-2</v>
      </c>
      <c r="V3">
        <v>-5.1672540000000003E-2</v>
      </c>
      <c r="W3">
        <v>2.8847810000000002E-2</v>
      </c>
      <c r="X3">
        <v>0.99824729999999995</v>
      </c>
      <c r="Y3">
        <v>2.6527060000000002E-2</v>
      </c>
      <c r="Z3">
        <v>-5.8070490000000001E-4</v>
      </c>
      <c r="AA3">
        <v>0.99964789999999903</v>
      </c>
      <c r="AB3">
        <v>1</v>
      </c>
      <c r="AC3">
        <v>24.917199999999902</v>
      </c>
      <c r="AD3">
        <v>-1.1034968321709999</v>
      </c>
      <c r="AE3">
        <v>-0.66559999999998298</v>
      </c>
      <c r="AF3">
        <v>0.66087401307694904</v>
      </c>
      <c r="AG3">
        <v>-1.1034968321709999</v>
      </c>
      <c r="AH3">
        <v>24.868551531990502</v>
      </c>
      <c r="AI3">
        <v>92.539834037396503</v>
      </c>
      <c r="AJ3">
        <v>88.477740780429698</v>
      </c>
      <c r="AK3">
        <v>24.901793409693202</v>
      </c>
    </row>
    <row r="4" spans="1:37" x14ac:dyDescent="0.2">
      <c r="A4" t="str">
        <f>"20200111160053750"</f>
        <v>20200111160053750</v>
      </c>
      <c r="B4" t="str">
        <f>"1578729653738638"</f>
        <v>1578729653738638</v>
      </c>
      <c r="C4" t="s">
        <v>37</v>
      </c>
      <c r="D4">
        <v>4.4276540000000004</v>
      </c>
      <c r="E4">
        <v>0.53174880000000002</v>
      </c>
      <c r="F4" t="s">
        <v>38</v>
      </c>
      <c r="G4">
        <v>-451.57350000000002</v>
      </c>
      <c r="H4" s="1">
        <v>-4.0935309999999997E-6</v>
      </c>
      <c r="I4">
        <v>366.8184</v>
      </c>
      <c r="J4">
        <v>-477.06869999999998</v>
      </c>
      <c r="K4">
        <v>1.1033580000000001</v>
      </c>
      <c r="L4">
        <v>367.52300000000002</v>
      </c>
      <c r="M4">
        <v>0.99998240000000005</v>
      </c>
      <c r="N4">
        <v>0</v>
      </c>
      <c r="O4">
        <v>-1.930783E-4</v>
      </c>
      <c r="P4">
        <v>0.99845269999999997</v>
      </c>
      <c r="Q4">
        <v>2.3365259999999999E-2</v>
      </c>
      <c r="R4">
        <v>5.0461039999999999E-2</v>
      </c>
      <c r="S4">
        <v>3.011841</v>
      </c>
      <c r="T4">
        <v>-0.1302828</v>
      </c>
      <c r="U4">
        <v>-8.3190920000000002E-2</v>
      </c>
      <c r="V4">
        <v>-5.0650819999999999E-2</v>
      </c>
      <c r="W4">
        <v>2.9307759999999999E-2</v>
      </c>
      <c r="X4">
        <v>0.99828629999999996</v>
      </c>
      <c r="Y4">
        <v>2.7392329999999999E-2</v>
      </c>
      <c r="Z4">
        <v>-5.8371710000000002E-4</v>
      </c>
      <c r="AA4">
        <v>0.99962459999999898</v>
      </c>
      <c r="AB4">
        <v>1</v>
      </c>
      <c r="AC4">
        <v>25.495199999999901</v>
      </c>
      <c r="AD4">
        <v>-1.103362093531</v>
      </c>
      <c r="AE4">
        <v>-0.70460000000002698</v>
      </c>
      <c r="AF4">
        <v>0.69837033679314298</v>
      </c>
      <c r="AG4">
        <v>-1.103362093531</v>
      </c>
      <c r="AH4">
        <v>25.447710414512699</v>
      </c>
      <c r="AI4">
        <v>92.481742841364493</v>
      </c>
      <c r="AJ4">
        <v>88.428006627794701</v>
      </c>
      <c r="AK4">
        <v>25.481190992134799</v>
      </c>
    </row>
    <row r="5" spans="1:37" x14ac:dyDescent="0.2">
      <c r="A5" t="str">
        <f>"20200111160053772"</f>
        <v>20200111160053772</v>
      </c>
      <c r="B5" t="str">
        <f>"1578729653768894"</f>
        <v>1578729653768894</v>
      </c>
      <c r="C5" t="s">
        <v>37</v>
      </c>
      <c r="D5">
        <v>4.5878909999999999</v>
      </c>
      <c r="E5">
        <v>0.5319064</v>
      </c>
      <c r="F5" t="s">
        <v>38</v>
      </c>
      <c r="G5">
        <v>-450.64179999999999</v>
      </c>
      <c r="H5" s="1">
        <v>-4.5035140000000001E-6</v>
      </c>
      <c r="I5">
        <v>366.76069999999999</v>
      </c>
      <c r="J5">
        <v>-477.04989999999998</v>
      </c>
      <c r="K5">
        <v>1.103248</v>
      </c>
      <c r="L5">
        <v>367.52289999999999</v>
      </c>
      <c r="M5">
        <v>0.99998809999999905</v>
      </c>
      <c r="N5">
        <v>0</v>
      </c>
      <c r="O5">
        <v>-2.598454E-4</v>
      </c>
      <c r="P5">
        <v>0.99845830000000002</v>
      </c>
      <c r="Q5">
        <v>2.5464609999999999E-2</v>
      </c>
      <c r="R5">
        <v>4.9321509999999999E-2</v>
      </c>
      <c r="S5">
        <v>3.0119630000000002</v>
      </c>
      <c r="T5">
        <v>-0.12575319999999901</v>
      </c>
      <c r="U5">
        <v>-8.6883539999999995E-2</v>
      </c>
      <c r="V5">
        <v>-4.9577759999999998E-2</v>
      </c>
      <c r="W5">
        <v>3.032584E-2</v>
      </c>
      <c r="X5">
        <v>0.99830980000000002</v>
      </c>
      <c r="Y5">
        <v>2.8549789999999999E-2</v>
      </c>
      <c r="Z5">
        <v>-5.8476950000000002E-4</v>
      </c>
      <c r="AA5">
        <v>0.99959219999999904</v>
      </c>
      <c r="AB5">
        <v>2</v>
      </c>
      <c r="AC5">
        <v>26.408099999999902</v>
      </c>
      <c r="AD5">
        <v>-1.1032525035139999</v>
      </c>
      <c r="AE5">
        <v>-0.76220000000000698</v>
      </c>
      <c r="AF5">
        <v>0.75402295215428605</v>
      </c>
      <c r="AG5">
        <v>-1.1032525035139999</v>
      </c>
      <c r="AH5">
        <v>26.362324719683699</v>
      </c>
      <c r="AI5">
        <v>92.395428073233603</v>
      </c>
      <c r="AJ5">
        <v>88.361655965332702</v>
      </c>
      <c r="AK5">
        <v>26.3961717172193</v>
      </c>
    </row>
    <row r="6" spans="1:37" x14ac:dyDescent="0.2">
      <c r="A6" t="str">
        <f>"20200111160053794"</f>
        <v>20200111160053794</v>
      </c>
      <c r="B6" t="str">
        <f>"1578729653789390"</f>
        <v>1578729653789390</v>
      </c>
      <c r="C6" t="s">
        <v>37</v>
      </c>
      <c r="D6">
        <v>4.418749</v>
      </c>
      <c r="E6">
        <v>0.5319834</v>
      </c>
      <c r="F6" t="s">
        <v>38</v>
      </c>
      <c r="G6">
        <v>-449.12380000000002</v>
      </c>
      <c r="H6" s="1">
        <v>-1.1035219999999899E-6</v>
      </c>
      <c r="I6">
        <v>366.67410000000001</v>
      </c>
      <c r="J6">
        <v>-477.029</v>
      </c>
      <c r="K6">
        <v>1.1031569999999999</v>
      </c>
      <c r="L6">
        <v>367.52289999999999</v>
      </c>
      <c r="M6">
        <v>0.9999924</v>
      </c>
      <c r="N6">
        <v>0</v>
      </c>
      <c r="O6">
        <v>-3.324383E-4</v>
      </c>
      <c r="P6">
        <v>0.99850699999999903</v>
      </c>
      <c r="Q6">
        <v>2.6417719999999999E-2</v>
      </c>
      <c r="R6">
        <v>4.7812609999999998E-2</v>
      </c>
      <c r="S6">
        <v>3.012146</v>
      </c>
      <c r="T6">
        <v>-0.1189982</v>
      </c>
      <c r="U6">
        <v>-9.1552729999999999E-2</v>
      </c>
      <c r="V6">
        <v>-4.8141059999999999E-2</v>
      </c>
      <c r="W6">
        <v>3.0317730000000001E-2</v>
      </c>
      <c r="X6">
        <v>0.9983803</v>
      </c>
      <c r="Y6">
        <v>3.0025059999999999E-2</v>
      </c>
      <c r="Z6">
        <v>-5.7959359999999998E-4</v>
      </c>
      <c r="AA6">
        <v>0.99954900000000002</v>
      </c>
      <c r="AB6">
        <v>2</v>
      </c>
      <c r="AC6">
        <v>27.905199999999901</v>
      </c>
      <c r="AD6">
        <v>-1.1031581035219999</v>
      </c>
      <c r="AE6">
        <v>-0.84879999999998201</v>
      </c>
      <c r="AF6">
        <v>0.83821436977113695</v>
      </c>
      <c r="AG6">
        <v>-1.1031581035219999</v>
      </c>
      <c r="AH6">
        <v>27.861977999394298</v>
      </c>
      <c r="AI6">
        <v>92.266341845457504</v>
      </c>
      <c r="AJ6">
        <v>88.276803447579994</v>
      </c>
      <c r="AK6">
        <v>27.896404412930799</v>
      </c>
    </row>
    <row r="7" spans="1:37" x14ac:dyDescent="0.2">
      <c r="A7" t="str">
        <f>"20200111160053817"</f>
        <v>20200111160053817</v>
      </c>
      <c r="B7" t="str">
        <f>"1578729653808910"</f>
        <v>1578729653808910</v>
      </c>
      <c r="C7" t="s">
        <v>37</v>
      </c>
      <c r="D7">
        <v>4.4401510000000002</v>
      </c>
      <c r="E7">
        <v>0.53208679999999997</v>
      </c>
      <c r="F7" t="s">
        <v>38</v>
      </c>
      <c r="G7">
        <v>-448.53870000000001</v>
      </c>
      <c r="H7" s="1">
        <v>-1.345244E-6</v>
      </c>
      <c r="I7">
        <v>366.61009999999999</v>
      </c>
      <c r="J7">
        <v>-477.00400000000002</v>
      </c>
      <c r="K7">
        <v>1.103091</v>
      </c>
      <c r="L7">
        <v>367.52280000000002</v>
      </c>
      <c r="M7">
        <v>0.99999539999999998</v>
      </c>
      <c r="N7">
        <v>0</v>
      </c>
      <c r="O7">
        <v>-4.1596500000000002E-4</v>
      </c>
      <c r="P7">
        <v>0.99855819999999995</v>
      </c>
      <c r="Q7">
        <v>2.640267E-2</v>
      </c>
      <c r="R7">
        <v>4.6738759999999997E-2</v>
      </c>
      <c r="S7">
        <v>3.012146</v>
      </c>
      <c r="T7">
        <v>-0.1166319</v>
      </c>
      <c r="U7">
        <v>-9.6496579999999998E-2</v>
      </c>
      <c r="V7">
        <v>-4.715068E-2</v>
      </c>
      <c r="W7">
        <v>2.9408810000000001E-2</v>
      </c>
      <c r="X7">
        <v>0.99845469999999903</v>
      </c>
      <c r="Y7">
        <v>3.158031E-2</v>
      </c>
      <c r="Z7">
        <v>-5.9492119999999995E-4</v>
      </c>
      <c r="AA7">
        <v>0.99950099999999997</v>
      </c>
      <c r="AB7">
        <v>2</v>
      </c>
      <c r="AC7">
        <v>28.465299999999999</v>
      </c>
      <c r="AD7">
        <v>-1.103092345244</v>
      </c>
      <c r="AE7">
        <v>-0.91270000000002904</v>
      </c>
      <c r="AF7">
        <v>0.89950986434974001</v>
      </c>
      <c r="AG7">
        <v>-1.103092345244</v>
      </c>
      <c r="AH7">
        <v>28.4230372647433</v>
      </c>
      <c r="AI7">
        <v>92.221411214061405</v>
      </c>
      <c r="AJ7">
        <v>88.187353350806106</v>
      </c>
      <c r="AK7">
        <v>28.4586538344874</v>
      </c>
    </row>
    <row r="8" spans="1:37" x14ac:dyDescent="0.2">
      <c r="A8" t="str">
        <f>"20200111160053860"</f>
        <v>20200111160053860</v>
      </c>
      <c r="B8" t="str">
        <f>"1578729653848926"</f>
        <v>1578729653848926</v>
      </c>
      <c r="C8" t="s">
        <v>37</v>
      </c>
      <c r="D8">
        <v>4.4998860000000001</v>
      </c>
      <c r="E8">
        <v>0.53224799999999906</v>
      </c>
      <c r="F8" t="s">
        <v>38</v>
      </c>
      <c r="G8">
        <v>-448.58069999999998</v>
      </c>
      <c r="H8" s="1">
        <v>-1.3374479999999999E-6</v>
      </c>
      <c r="I8">
        <v>366.5788</v>
      </c>
      <c r="J8">
        <v>-476.94940000000003</v>
      </c>
      <c r="K8">
        <v>1.1030070000000001</v>
      </c>
      <c r="L8">
        <v>367.52249999999998</v>
      </c>
      <c r="M8">
        <v>0.99999850000000001</v>
      </c>
      <c r="N8">
        <v>0</v>
      </c>
      <c r="O8">
        <v>-5.916691E-4</v>
      </c>
      <c r="P8">
        <v>0.9985948</v>
      </c>
      <c r="Q8">
        <v>2.6198320000000001E-2</v>
      </c>
      <c r="R8">
        <v>4.606727E-2</v>
      </c>
      <c r="S8">
        <v>3.0121150000000001</v>
      </c>
      <c r="T8">
        <v>-0.1168988</v>
      </c>
      <c r="U8">
        <v>-0.1000366</v>
      </c>
      <c r="V8">
        <v>-4.6655269999999999E-2</v>
      </c>
      <c r="W8">
        <v>2.781635E-2</v>
      </c>
      <c r="X8">
        <v>0.99852369999999901</v>
      </c>
      <c r="Y8">
        <v>3.2577710000000003E-2</v>
      </c>
      <c r="Z8">
        <v>-6.0880389999999997E-4</v>
      </c>
      <c r="AA8">
        <v>0.99946900000000005</v>
      </c>
      <c r="AB8">
        <v>2</v>
      </c>
      <c r="AC8">
        <v>28.3687</v>
      </c>
      <c r="AD8">
        <v>-1.103008337448</v>
      </c>
      <c r="AE8">
        <v>-0.943699999999978</v>
      </c>
      <c r="AF8">
        <v>0.925517329184399</v>
      </c>
      <c r="AG8">
        <v>-1.103008337448</v>
      </c>
      <c r="AH8">
        <v>28.326478298341598</v>
      </c>
      <c r="AI8">
        <v>92.228732937452506</v>
      </c>
      <c r="AJ8">
        <v>88.128627977130407</v>
      </c>
      <c r="AK8">
        <v>28.363049598121801</v>
      </c>
    </row>
    <row r="9" spans="1:37" x14ac:dyDescent="0.2">
      <c r="A9" t="str">
        <f>"20200111160053884"</f>
        <v>20200111160053884</v>
      </c>
      <c r="B9" t="str">
        <f>"1578729653879182"</f>
        <v>1578729653879182</v>
      </c>
      <c r="C9" t="s">
        <v>37</v>
      </c>
      <c r="D9">
        <v>4.4247489999999896</v>
      </c>
      <c r="E9">
        <v>0.53227990000000003</v>
      </c>
      <c r="F9" t="s">
        <v>38</v>
      </c>
      <c r="G9">
        <v>-448.59100000000001</v>
      </c>
      <c r="H9" s="1">
        <v>-1.3416359999999999E-6</v>
      </c>
      <c r="I9">
        <v>366.54820000000001</v>
      </c>
      <c r="J9">
        <v>-476.91460000000001</v>
      </c>
      <c r="K9">
        <v>1.1029819999999999</v>
      </c>
      <c r="L9">
        <v>367.5224</v>
      </c>
      <c r="M9">
        <v>0.99999930000000004</v>
      </c>
      <c r="N9">
        <v>0</v>
      </c>
      <c r="O9">
        <v>-6.9968720000000001E-4</v>
      </c>
      <c r="P9">
        <v>0.9985889</v>
      </c>
      <c r="Q9">
        <v>2.594277E-2</v>
      </c>
      <c r="R9">
        <v>4.633868E-2</v>
      </c>
      <c r="S9">
        <v>3.0120239999999998</v>
      </c>
      <c r="T9">
        <v>-0.1171536</v>
      </c>
      <c r="U9">
        <v>-0.1034851</v>
      </c>
      <c r="V9">
        <v>-4.70345E-2</v>
      </c>
      <c r="W9">
        <v>2.6900690000000001E-2</v>
      </c>
      <c r="X9">
        <v>0.99853099999999995</v>
      </c>
      <c r="Y9">
        <v>3.3612929999999999E-2</v>
      </c>
      <c r="Z9">
        <v>-6.2605720000000003E-4</v>
      </c>
      <c r="AA9">
        <v>0.99943470000000001</v>
      </c>
      <c r="AB9">
        <v>3</v>
      </c>
      <c r="AC9">
        <v>28.323599999999999</v>
      </c>
      <c r="AD9">
        <v>-1.102983341636</v>
      </c>
      <c r="AE9">
        <v>-0.97419999999999596</v>
      </c>
      <c r="AF9">
        <v>0.95293867296073997</v>
      </c>
      <c r="AG9">
        <v>-1.102983341636</v>
      </c>
      <c r="AH9">
        <v>28.281436722261802</v>
      </c>
      <c r="AI9">
        <v>92.232152822927105</v>
      </c>
      <c r="AJ9">
        <v>88.070157619661003</v>
      </c>
      <c r="AK9">
        <v>28.3189746890958</v>
      </c>
    </row>
    <row r="10" spans="1:37" x14ac:dyDescent="0.2">
      <c r="A10" t="str">
        <f>"20200111160053905"</f>
        <v>20200111160053905</v>
      </c>
      <c r="B10" t="str">
        <f>"1578729653898703"</f>
        <v>1578729653898703</v>
      </c>
      <c r="C10" t="s">
        <v>37</v>
      </c>
      <c r="D10">
        <v>4.4132319999999998</v>
      </c>
      <c r="E10">
        <v>0.53230149999999998</v>
      </c>
      <c r="F10" t="s">
        <v>38</v>
      </c>
      <c r="G10">
        <v>-448.68950000000001</v>
      </c>
      <c r="H10" s="1">
        <v>-1.301402E-6</v>
      </c>
      <c r="I10">
        <v>366.55720000000002</v>
      </c>
      <c r="J10">
        <v>-476.8809</v>
      </c>
      <c r="K10">
        <v>1.102954</v>
      </c>
      <c r="L10">
        <v>367.5222</v>
      </c>
      <c r="M10">
        <v>0.99999959999999899</v>
      </c>
      <c r="N10">
        <v>0</v>
      </c>
      <c r="O10">
        <v>-8.0127690000000005E-4</v>
      </c>
      <c r="P10">
        <v>0.99854169999999998</v>
      </c>
      <c r="Q10">
        <v>2.6371780000000001E-2</v>
      </c>
      <c r="R10">
        <v>4.7108629999999999E-2</v>
      </c>
      <c r="S10">
        <v>3.0120849999999999</v>
      </c>
      <c r="T10">
        <v>-0.117706899999999</v>
      </c>
      <c r="U10">
        <v>-0.1029968</v>
      </c>
      <c r="V10">
        <v>-4.7905469999999999E-2</v>
      </c>
      <c r="W10">
        <v>2.6794869999999998E-2</v>
      </c>
      <c r="X10">
        <v>0.99849239999999995</v>
      </c>
      <c r="Y10">
        <v>3.3348919999999997E-2</v>
      </c>
      <c r="Z10">
        <v>-6.1987819999999999E-4</v>
      </c>
      <c r="AA10">
        <v>0.99944359999999999</v>
      </c>
      <c r="AB10">
        <v>3</v>
      </c>
      <c r="AC10">
        <v>28.191399999999899</v>
      </c>
      <c r="AD10">
        <v>-1.1029553014019999</v>
      </c>
      <c r="AE10">
        <v>-0.96499999999997499</v>
      </c>
      <c r="AF10">
        <v>0.940971935777973</v>
      </c>
      <c r="AG10">
        <v>-1.1029553014019999</v>
      </c>
      <c r="AH10">
        <v>28.1491274879392</v>
      </c>
      <c r="AI10">
        <v>92.242596993375997</v>
      </c>
      <c r="AJ10">
        <v>88.085423703143803</v>
      </c>
      <c r="AK10">
        <v>28.186438528360799</v>
      </c>
    </row>
    <row r="11" spans="1:37" x14ac:dyDescent="0.2">
      <c r="A11" t="str">
        <f>"20200111160053929"</f>
        <v>20200111160053929</v>
      </c>
      <c r="B11" t="str">
        <f>"1578729653918815"</f>
        <v>1578729653918815</v>
      </c>
      <c r="C11" t="s">
        <v>37</v>
      </c>
      <c r="D11">
        <v>4.4298029999999997</v>
      </c>
      <c r="E11">
        <v>0.53231619999999902</v>
      </c>
      <c r="F11" t="s">
        <v>38</v>
      </c>
      <c r="G11">
        <v>-448.29079999999999</v>
      </c>
      <c r="H11" s="1">
        <v>-1.452084E-6</v>
      </c>
      <c r="I11">
        <v>366.56639999999999</v>
      </c>
      <c r="J11">
        <v>-476.84010000000001</v>
      </c>
      <c r="K11">
        <v>1.1029229999999901</v>
      </c>
      <c r="L11">
        <v>367.52210000000002</v>
      </c>
      <c r="M11">
        <v>0.99999959999999899</v>
      </c>
      <c r="N11">
        <v>0</v>
      </c>
      <c r="O11">
        <v>-9.2017659999999997E-4</v>
      </c>
      <c r="P11">
        <v>0.99850830000000002</v>
      </c>
      <c r="Q11">
        <v>2.677328E-2</v>
      </c>
      <c r="R11">
        <v>4.7590460000000001E-2</v>
      </c>
      <c r="S11">
        <v>3.0122070000000001</v>
      </c>
      <c r="T11">
        <v>-0.1162055</v>
      </c>
      <c r="U11">
        <v>-0.10070800000000001</v>
      </c>
      <c r="V11">
        <v>-4.850604E-2</v>
      </c>
      <c r="W11">
        <v>2.6643770000000001E-2</v>
      </c>
      <c r="X11">
        <v>0.9984674</v>
      </c>
      <c r="Y11">
        <v>3.24715E-2</v>
      </c>
      <c r="Z11">
        <v>-5.9046299999999995E-4</v>
      </c>
      <c r="AA11">
        <v>0.99947249999999999</v>
      </c>
      <c r="AB11">
        <v>3</v>
      </c>
      <c r="AC11">
        <v>28.549299999999999</v>
      </c>
      <c r="AD11">
        <v>-1.10292445208399</v>
      </c>
      <c r="AE11">
        <v>-0.95570000000003497</v>
      </c>
      <c r="AF11">
        <v>0.92804568420149702</v>
      </c>
      <c r="AG11">
        <v>-1.10292445208399</v>
      </c>
      <c r="AH11">
        <v>28.5076686007842</v>
      </c>
      <c r="AI11">
        <v>92.214421927554497</v>
      </c>
      <c r="AJ11">
        <v>88.1354375319968</v>
      </c>
      <c r="AK11">
        <v>28.544086606355201</v>
      </c>
    </row>
    <row r="12" spans="1:37" x14ac:dyDescent="0.2">
      <c r="A12" t="str">
        <f>"20200111160053951"</f>
        <v>20200111160053951</v>
      </c>
      <c r="B12" t="str">
        <f>"1578729653949070"</f>
        <v>1578729653949070</v>
      </c>
      <c r="C12" t="s">
        <v>37</v>
      </c>
      <c r="D12">
        <v>4.3728699999999998</v>
      </c>
      <c r="E12">
        <v>0.53235379999999999</v>
      </c>
      <c r="F12" t="s">
        <v>38</v>
      </c>
      <c r="G12">
        <v>-447.9135</v>
      </c>
      <c r="H12" s="1">
        <v>-1.5962000000000001E-6</v>
      </c>
      <c r="I12">
        <v>366.5693</v>
      </c>
      <c r="J12">
        <v>-476.79969999999997</v>
      </c>
      <c r="K12">
        <v>1.1029009999999999</v>
      </c>
      <c r="L12">
        <v>367.52190000000002</v>
      </c>
      <c r="M12">
        <v>0.99999930000000004</v>
      </c>
      <c r="N12">
        <v>0</v>
      </c>
      <c r="O12">
        <v>-1.0313289999999899E-3</v>
      </c>
      <c r="P12">
        <v>0.99849209999999999</v>
      </c>
      <c r="Q12">
        <v>2.7332970000000002E-2</v>
      </c>
      <c r="R12">
        <v>4.7604349999999997E-2</v>
      </c>
      <c r="S12">
        <v>3.0122680000000002</v>
      </c>
      <c r="T12">
        <v>-0.1148527</v>
      </c>
      <c r="U12">
        <v>-9.9212649999999999E-2</v>
      </c>
      <c r="V12">
        <v>-4.863108E-2</v>
      </c>
      <c r="W12">
        <v>2.678057E-2</v>
      </c>
      <c r="X12">
        <v>0.998457699999999</v>
      </c>
      <c r="Y12">
        <v>3.186518E-2</v>
      </c>
      <c r="Z12">
        <v>-5.6779979999999996E-4</v>
      </c>
      <c r="AA12">
        <v>0.99949200000000005</v>
      </c>
      <c r="AB12">
        <v>4</v>
      </c>
      <c r="AC12">
        <v>28.886199999999899</v>
      </c>
      <c r="AD12">
        <v>-1.1029025962000001</v>
      </c>
      <c r="AE12">
        <v>-0.95260000000001699</v>
      </c>
      <c r="AF12">
        <v>0.92146647186572195</v>
      </c>
      <c r="AG12">
        <v>-1.1029025962000001</v>
      </c>
      <c r="AH12">
        <v>28.845162716016599</v>
      </c>
      <c r="AI12">
        <v>92.188537663700501</v>
      </c>
      <c r="AJ12">
        <v>88.170293167741505</v>
      </c>
      <c r="AK12">
        <v>28.880943660291901</v>
      </c>
    </row>
    <row r="13" spans="1:37" x14ac:dyDescent="0.2">
      <c r="A13" t="str">
        <f>"20200111160053972"</f>
        <v>20200111160053972</v>
      </c>
      <c r="B13" t="str">
        <f>"1578729653969567"</f>
        <v>1578729653969567</v>
      </c>
      <c r="C13" t="s">
        <v>37</v>
      </c>
      <c r="D13">
        <v>4.4084640000000004</v>
      </c>
      <c r="E13">
        <v>0.53235219999999905</v>
      </c>
      <c r="F13" t="s">
        <v>38</v>
      </c>
      <c r="G13">
        <v>-447.3211</v>
      </c>
      <c r="H13" s="1">
        <v>-1.830053E-6</v>
      </c>
      <c r="I13">
        <v>366.5453</v>
      </c>
      <c r="J13">
        <v>-476.75779999999997</v>
      </c>
      <c r="K13">
        <v>1.102997</v>
      </c>
      <c r="L13">
        <v>367.52170000000001</v>
      </c>
      <c r="M13">
        <v>0.99999930000000004</v>
      </c>
      <c r="N13">
        <v>0</v>
      </c>
      <c r="O13">
        <v>-1.105595E-3</v>
      </c>
      <c r="P13">
        <v>0.99855680000000002</v>
      </c>
      <c r="Q13">
        <v>2.6573699999999999E-2</v>
      </c>
      <c r="R13">
        <v>4.6672720000000001E-2</v>
      </c>
      <c r="S13">
        <v>3.0123599999999899</v>
      </c>
      <c r="T13">
        <v>-0.1127039</v>
      </c>
      <c r="U13">
        <v>-9.9792480000000003E-2</v>
      </c>
      <c r="V13">
        <v>-4.7774520000000001E-2</v>
      </c>
      <c r="W13">
        <v>2.605126E-2</v>
      </c>
      <c r="X13">
        <v>0.99851829999999997</v>
      </c>
      <c r="Y13">
        <v>3.1982919999999998E-2</v>
      </c>
      <c r="Z13">
        <v>-5.5659000000000004E-4</v>
      </c>
      <c r="AA13">
        <v>0.99948819999999905</v>
      </c>
      <c r="AB13">
        <v>4</v>
      </c>
      <c r="AC13">
        <v>29.436699999999899</v>
      </c>
      <c r="AD13">
        <v>-1.102998830053</v>
      </c>
      <c r="AE13">
        <v>-0.97640000000001204</v>
      </c>
      <c r="AF13">
        <v>0.94253245632363003</v>
      </c>
      <c r="AG13">
        <v>-1.102998830053</v>
      </c>
      <c r="AH13">
        <v>29.396533686745801</v>
      </c>
      <c r="AI13">
        <v>92.147706689764505</v>
      </c>
      <c r="AJ13">
        <v>88.163571310827507</v>
      </c>
      <c r="AK13">
        <v>29.432315006575699</v>
      </c>
    </row>
    <row r="14" spans="1:37" x14ac:dyDescent="0.2">
      <c r="A14" t="str">
        <f>"20200111160053993"</f>
        <v>20200111160053993</v>
      </c>
      <c r="B14" t="str">
        <f>"1578729653989087"</f>
        <v>1578729653989087</v>
      </c>
      <c r="C14" t="s">
        <v>37</v>
      </c>
      <c r="D14">
        <v>4.4174189999999998</v>
      </c>
      <c r="E14">
        <v>0.53237380000000001</v>
      </c>
      <c r="F14" t="s">
        <v>38</v>
      </c>
      <c r="G14">
        <v>-447.80709999999999</v>
      </c>
      <c r="H14" s="1">
        <v>-1.6456219999999999E-6</v>
      </c>
      <c r="I14">
        <v>366.53710000000001</v>
      </c>
      <c r="J14">
        <v>-476.72039999999998</v>
      </c>
      <c r="K14">
        <v>1.103513</v>
      </c>
      <c r="L14">
        <v>367.52159999999998</v>
      </c>
      <c r="M14">
        <v>0.99999879999999997</v>
      </c>
      <c r="N14">
        <v>0</v>
      </c>
      <c r="O14">
        <v>-1.1561919999999999E-3</v>
      </c>
      <c r="P14">
        <v>0.99864750000000002</v>
      </c>
      <c r="Q14">
        <v>2.4761160000000001E-2</v>
      </c>
      <c r="R14">
        <v>4.5719820000000001E-2</v>
      </c>
      <c r="S14">
        <v>3.0122070000000001</v>
      </c>
      <c r="T14">
        <v>-0.114762899999999</v>
      </c>
      <c r="U14">
        <v>-0.1024475</v>
      </c>
      <c r="V14">
        <v>-4.6873400000000003E-2</v>
      </c>
      <c r="W14">
        <v>2.5882519999999999E-2</v>
      </c>
      <c r="X14">
        <v>0.99856540000000005</v>
      </c>
      <c r="Y14">
        <v>3.2812639999999997E-2</v>
      </c>
      <c r="Z14">
        <v>-5.8064070000000002E-4</v>
      </c>
      <c r="AA14">
        <v>0.99946139999999895</v>
      </c>
      <c r="AB14">
        <v>4</v>
      </c>
      <c r="AC14">
        <v>28.9132999999999</v>
      </c>
      <c r="AD14">
        <v>-1.103514645622</v>
      </c>
      <c r="AE14">
        <v>-0.98449999999996796</v>
      </c>
      <c r="AF14">
        <v>0.94968821870144904</v>
      </c>
      <c r="AG14">
        <v>-1.103514645622</v>
      </c>
      <c r="AH14">
        <v>28.872410106841599</v>
      </c>
      <c r="AI14">
        <v>92.187619451921194</v>
      </c>
      <c r="AJ14">
        <v>88.1160728971754</v>
      </c>
      <c r="AK14">
        <v>28.909094030486202</v>
      </c>
    </row>
    <row r="15" spans="1:37" x14ac:dyDescent="0.2">
      <c r="A15" t="str">
        <f>"20200111160054016"</f>
        <v>20200111160054016</v>
      </c>
      <c r="B15" t="str">
        <f>"1578729654009170"</f>
        <v>1578729654009170</v>
      </c>
      <c r="C15" t="s">
        <v>37</v>
      </c>
      <c r="D15">
        <v>4.3856650000000004</v>
      </c>
      <c r="E15">
        <v>0.53238189999999996</v>
      </c>
      <c r="F15" t="s">
        <v>38</v>
      </c>
      <c r="G15">
        <v>-449.03309999999999</v>
      </c>
      <c r="H15" s="1">
        <v>-1.169944E-6</v>
      </c>
      <c r="I15">
        <v>366.55549999999999</v>
      </c>
      <c r="J15">
        <v>-476.68169999999998</v>
      </c>
      <c r="K15">
        <v>1.1039760000000001</v>
      </c>
      <c r="L15">
        <v>367.5215</v>
      </c>
      <c r="M15">
        <v>0.99999509999999903</v>
      </c>
      <c r="N15">
        <v>0</v>
      </c>
      <c r="O15">
        <v>-1.196314E-3</v>
      </c>
      <c r="P15">
        <v>0.99873539999999905</v>
      </c>
      <c r="Q15">
        <v>2.2966049999999998E-2</v>
      </c>
      <c r="R15">
        <v>4.4730970000000002E-2</v>
      </c>
      <c r="S15">
        <v>3.011841</v>
      </c>
      <c r="T15">
        <v>-0.12004099999999999</v>
      </c>
      <c r="U15">
        <v>-0.1051025</v>
      </c>
      <c r="V15">
        <v>-4.5926259999999997E-2</v>
      </c>
      <c r="W15">
        <v>2.592351E-2</v>
      </c>
      <c r="X15">
        <v>0.99860839999999995</v>
      </c>
      <c r="Y15">
        <v>3.3653860000000001E-2</v>
      </c>
      <c r="Z15">
        <v>-6.2254269999999895E-4</v>
      </c>
      <c r="AA15">
        <v>0.99943329999999997</v>
      </c>
      <c r="AB15">
        <v>4</v>
      </c>
      <c r="AC15">
        <v>27.648599999999899</v>
      </c>
      <c r="AD15">
        <v>-1.103977169944</v>
      </c>
      <c r="AE15">
        <v>-0.96600000000000796</v>
      </c>
      <c r="AF15">
        <v>0.93143956635105796</v>
      </c>
      <c r="AG15">
        <v>-1.103977169944</v>
      </c>
      <c r="AH15">
        <v>27.605777238692902</v>
      </c>
      <c r="AI15">
        <v>92.288782812455395</v>
      </c>
      <c r="AJ15">
        <v>88.067530665824506</v>
      </c>
      <c r="AK15">
        <v>27.643539610727402</v>
      </c>
    </row>
    <row r="16" spans="1:37" x14ac:dyDescent="0.2">
      <c r="A16" t="str">
        <f>"20200111160054038"</f>
        <v>20200111160054038</v>
      </c>
      <c r="B16" t="str">
        <f>"1578729654028679"</f>
        <v>1578729654028679</v>
      </c>
      <c r="C16" t="s">
        <v>37</v>
      </c>
      <c r="D16">
        <v>4.3454179999999996</v>
      </c>
      <c r="E16">
        <v>0.53238289999999999</v>
      </c>
      <c r="F16" t="s">
        <v>38</v>
      </c>
      <c r="G16">
        <v>-450.16820000000001</v>
      </c>
      <c r="H16" s="1">
        <v>-4.7409519999999902E-6</v>
      </c>
      <c r="I16">
        <v>366.56729999999999</v>
      </c>
      <c r="J16">
        <v>-476.64069999999998</v>
      </c>
      <c r="K16">
        <v>1.1038779999999999</v>
      </c>
      <c r="L16">
        <v>367.52140000000003</v>
      </c>
      <c r="M16">
        <v>0.99999459999999996</v>
      </c>
      <c r="N16">
        <v>0</v>
      </c>
      <c r="O16">
        <v>-1.2302750000000001E-3</v>
      </c>
      <c r="P16">
        <v>0.99874769999999902</v>
      </c>
      <c r="Q16">
        <v>2.3601509999999999E-2</v>
      </c>
      <c r="R16">
        <v>4.4111310000000001E-2</v>
      </c>
      <c r="S16">
        <v>3.0115050000000001</v>
      </c>
      <c r="T16">
        <v>-0.12539400000000001</v>
      </c>
      <c r="U16">
        <v>-0.108367899999999</v>
      </c>
      <c r="V16">
        <v>-4.5340169999999999E-2</v>
      </c>
      <c r="W16">
        <v>2.664091E-2</v>
      </c>
      <c r="X16">
        <v>0.99861630000000001</v>
      </c>
      <c r="Y16">
        <v>3.470289E-2</v>
      </c>
      <c r="Z16">
        <v>-6.7075100000000003E-4</v>
      </c>
      <c r="AA16">
        <v>0.99939750000000005</v>
      </c>
      <c r="AB16">
        <v>4</v>
      </c>
      <c r="AC16">
        <v>26.472499999999901</v>
      </c>
      <c r="AD16">
        <v>-1.103882740952</v>
      </c>
      <c r="AE16">
        <v>-0.95410000000003903</v>
      </c>
      <c r="AF16">
        <v>0.91993314381020796</v>
      </c>
      <c r="AG16">
        <v>-1.103882740952</v>
      </c>
      <c r="AH16">
        <v>26.427760130589199</v>
      </c>
      <c r="AI16">
        <v>92.390397827993496</v>
      </c>
      <c r="AJ16">
        <v>88.0063761339499</v>
      </c>
      <c r="AK16">
        <v>26.466796927751101</v>
      </c>
    </row>
    <row r="17" spans="1:37" x14ac:dyDescent="0.2">
      <c r="A17" t="str">
        <f>"20200111160054061"</f>
        <v>20200111160054061</v>
      </c>
      <c r="B17" t="str">
        <f>"1578729654058933"</f>
        <v>1578729654058933</v>
      </c>
      <c r="C17" t="s">
        <v>37</v>
      </c>
      <c r="D17">
        <v>4.3278160000000003</v>
      </c>
      <c r="E17">
        <v>0.53236049999999902</v>
      </c>
      <c r="F17" t="s">
        <v>38</v>
      </c>
      <c r="G17">
        <v>-449.62509999999997</v>
      </c>
      <c r="H17" s="1">
        <v>-9.4899869999999903E-7</v>
      </c>
      <c r="I17">
        <v>366.53140000000002</v>
      </c>
      <c r="J17">
        <v>-476.59589999999997</v>
      </c>
      <c r="K17">
        <v>1.1038709999999901</v>
      </c>
      <c r="L17">
        <v>367.52120000000002</v>
      </c>
      <c r="M17">
        <v>0.99999340000000003</v>
      </c>
      <c r="N17">
        <v>0</v>
      </c>
      <c r="O17">
        <v>-1.2715109999999999E-3</v>
      </c>
      <c r="P17">
        <v>0.99875689999999995</v>
      </c>
      <c r="Q17">
        <v>2.374712E-2</v>
      </c>
      <c r="R17">
        <v>4.3827989999999997E-2</v>
      </c>
      <c r="S17">
        <v>3.011536</v>
      </c>
      <c r="T17">
        <v>-0.1230536</v>
      </c>
      <c r="U17">
        <v>-0.11035159999999999</v>
      </c>
      <c r="V17">
        <v>-4.5098599999999898E-2</v>
      </c>
      <c r="W17">
        <v>2.7156659999999999E-2</v>
      </c>
      <c r="X17">
        <v>0.99861339999999998</v>
      </c>
      <c r="Y17">
        <v>3.531931E-2</v>
      </c>
      <c r="Z17">
        <v>-6.6912829999999995E-4</v>
      </c>
      <c r="AA17">
        <v>0.99937589999999998</v>
      </c>
      <c r="AB17">
        <v>4</v>
      </c>
      <c r="AC17">
        <v>26.970800000000001</v>
      </c>
      <c r="AD17">
        <v>-1.1038719489986999</v>
      </c>
      <c r="AE17">
        <v>-0.98980000000000201</v>
      </c>
      <c r="AF17">
        <v>0.95390955457815196</v>
      </c>
      <c r="AG17">
        <v>-1.1038719489986999</v>
      </c>
      <c r="AH17">
        <v>26.926991076911101</v>
      </c>
      <c r="AI17">
        <v>92.346055861445805</v>
      </c>
      <c r="AJ17">
        <v>87.971101010999703</v>
      </c>
      <c r="AK17">
        <v>26.9664852209952</v>
      </c>
    </row>
    <row r="18" spans="1:37" x14ac:dyDescent="0.2">
      <c r="A18" t="str">
        <f>"20200111160054084"</f>
        <v>20200111160054084</v>
      </c>
      <c r="B18" t="str">
        <f>"1578729654079429"</f>
        <v>1578729654079429</v>
      </c>
      <c r="C18" t="s">
        <v>37</v>
      </c>
      <c r="D18">
        <v>4.3154320000000004</v>
      </c>
      <c r="E18">
        <v>0.53236759999999905</v>
      </c>
      <c r="F18" t="s">
        <v>38</v>
      </c>
      <c r="G18">
        <v>-449.36869999999999</v>
      </c>
      <c r="H18" s="1">
        <v>-1.051163E-6</v>
      </c>
      <c r="I18">
        <v>366.51749999999998</v>
      </c>
      <c r="J18">
        <v>-476.5573</v>
      </c>
      <c r="K18">
        <v>1.1042989999999999</v>
      </c>
      <c r="L18">
        <v>367.52120000000002</v>
      </c>
      <c r="M18">
        <v>0.99998469999999995</v>
      </c>
      <c r="N18">
        <v>0</v>
      </c>
      <c r="O18">
        <v>-1.3025210000000001E-3</v>
      </c>
      <c r="P18">
        <v>0.99876339999999997</v>
      </c>
      <c r="Q18">
        <v>2.2169899999999999E-2</v>
      </c>
      <c r="R18">
        <v>4.4502E-2</v>
      </c>
      <c r="S18">
        <v>3.011536</v>
      </c>
      <c r="T18">
        <v>-0.1220966</v>
      </c>
      <c r="U18">
        <v>-0.11102289999999999</v>
      </c>
      <c r="V18">
        <v>-4.5803780000000002E-2</v>
      </c>
      <c r="W18">
        <v>2.7556099999999899E-2</v>
      </c>
      <c r="X18">
        <v>0.99857030000000002</v>
      </c>
      <c r="Y18">
        <v>3.551112E-2</v>
      </c>
      <c r="Z18">
        <v>-6.6655479999999895E-4</v>
      </c>
      <c r="AA18">
        <v>0.99936909999999901</v>
      </c>
      <c r="AB18">
        <v>5</v>
      </c>
      <c r="AC18">
        <v>27.188600000000001</v>
      </c>
      <c r="AD18">
        <v>-1.1043000511629999</v>
      </c>
      <c r="AE18">
        <v>-1.00370000000003</v>
      </c>
      <c r="AF18">
        <v>0.96669234874299403</v>
      </c>
      <c r="AG18">
        <v>-1.1043000511629999</v>
      </c>
      <c r="AH18">
        <v>27.145164324070201</v>
      </c>
      <c r="AI18">
        <v>92.328106960535095</v>
      </c>
      <c r="AJ18">
        <v>87.960447227172693</v>
      </c>
      <c r="AK18">
        <v>27.184810444086001</v>
      </c>
    </row>
    <row r="19" spans="1:37" x14ac:dyDescent="0.2">
      <c r="A19" t="str">
        <f>"20200111160054106"</f>
        <v>20200111160054106</v>
      </c>
      <c r="B19" t="str">
        <f>"1578729654098949"</f>
        <v>1578729654098949</v>
      </c>
      <c r="C19" t="s">
        <v>37</v>
      </c>
      <c r="D19">
        <v>4.3579689999999998</v>
      </c>
      <c r="E19">
        <v>0.53233299999999995</v>
      </c>
      <c r="F19" t="s">
        <v>38</v>
      </c>
      <c r="G19">
        <v>-450.29590000000002</v>
      </c>
      <c r="H19" s="1">
        <v>-4.685987E-6</v>
      </c>
      <c r="I19">
        <v>366.5684</v>
      </c>
      <c r="J19">
        <v>-476.52510000000001</v>
      </c>
      <c r="K19">
        <v>1.1048249999999999</v>
      </c>
      <c r="L19">
        <v>367.52109999999999</v>
      </c>
      <c r="M19">
        <v>0.99996739999999995</v>
      </c>
      <c r="N19">
        <v>0</v>
      </c>
      <c r="O19">
        <v>-1.320341E-3</v>
      </c>
      <c r="P19">
        <v>0.998807</v>
      </c>
      <c r="Q19">
        <v>1.882257E-2</v>
      </c>
      <c r="R19">
        <v>4.5061089999999998E-2</v>
      </c>
      <c r="S19">
        <v>3.0114139999999998</v>
      </c>
      <c r="T19">
        <v>-0.12663089999999999</v>
      </c>
      <c r="U19">
        <v>-0.1092529</v>
      </c>
      <c r="V19">
        <v>-4.6380900000000003E-2</v>
      </c>
      <c r="W19">
        <v>2.6779609999999999E-2</v>
      </c>
      <c r="X19">
        <v>0.99856480000000003</v>
      </c>
      <c r="Y19">
        <v>3.490658E-2</v>
      </c>
      <c r="Z19">
        <v>-6.7787209999999997E-4</v>
      </c>
      <c r="AA19">
        <v>0.99939040000000001</v>
      </c>
      <c r="AB19">
        <v>4</v>
      </c>
      <c r="AC19">
        <v>26.229199999999899</v>
      </c>
      <c r="AD19">
        <v>-1.1048296859869999</v>
      </c>
      <c r="AE19">
        <v>-0.952699999999992</v>
      </c>
      <c r="AF19">
        <v>0.91644270485063895</v>
      </c>
      <c r="AG19">
        <v>-1.1048296859869999</v>
      </c>
      <c r="AH19">
        <v>26.184038627866499</v>
      </c>
      <c r="AI19">
        <v>92.414672662257203</v>
      </c>
      <c r="AJ19">
        <v>87.995463011161206</v>
      </c>
      <c r="AK19">
        <v>26.223355901408102</v>
      </c>
    </row>
    <row r="20" spans="1:37" x14ac:dyDescent="0.2">
      <c r="A20" t="str">
        <f>"20200111160054129"</f>
        <v>20200111160054129</v>
      </c>
      <c r="B20" t="str">
        <f>"1578729654119176"</f>
        <v>1578729654119176</v>
      </c>
      <c r="C20" t="s">
        <v>37</v>
      </c>
      <c r="D20">
        <v>4.3426770000000001</v>
      </c>
      <c r="E20">
        <v>0.53235200000000005</v>
      </c>
      <c r="F20" t="s">
        <v>38</v>
      </c>
      <c r="G20">
        <v>-452.21789999999999</v>
      </c>
      <c r="H20" s="1">
        <v>-3.8459410000000004E-6</v>
      </c>
      <c r="I20">
        <v>366.6558</v>
      </c>
      <c r="J20">
        <v>-476.48599999999999</v>
      </c>
      <c r="K20">
        <v>1.1047359999999999</v>
      </c>
      <c r="L20">
        <v>367.52099999999899</v>
      </c>
      <c r="M20">
        <v>0.99996090000000004</v>
      </c>
      <c r="N20">
        <v>0</v>
      </c>
      <c r="O20">
        <v>-1.347261E-3</v>
      </c>
      <c r="P20">
        <v>0.99878210000000001</v>
      </c>
      <c r="Q20">
        <v>1.752277E-2</v>
      </c>
      <c r="R20">
        <v>4.6120679999999997E-2</v>
      </c>
      <c r="S20">
        <v>3.0110169999999998</v>
      </c>
      <c r="T20">
        <v>-0.13685890000000001</v>
      </c>
      <c r="U20">
        <v>-0.1071777</v>
      </c>
      <c r="V20">
        <v>-4.7466689999999999E-2</v>
      </c>
      <c r="W20">
        <v>2.6247650000000001E-2</v>
      </c>
      <c r="X20">
        <v>0.99852790000000002</v>
      </c>
      <c r="Y20">
        <v>3.4192309999999997E-2</v>
      </c>
      <c r="Z20">
        <v>-7.1523249999999995E-4</v>
      </c>
      <c r="AA20">
        <v>0.99941499999999905</v>
      </c>
      <c r="AB20">
        <v>4</v>
      </c>
      <c r="AC20">
        <v>24.2681</v>
      </c>
      <c r="AD20">
        <v>-1.1047398459410001</v>
      </c>
      <c r="AE20">
        <v>-0.865199999999958</v>
      </c>
      <c r="AF20">
        <v>0.83078307141674101</v>
      </c>
      <c r="AG20">
        <v>-1.1047398459410001</v>
      </c>
      <c r="AH20">
        <v>24.219118578909001</v>
      </c>
      <c r="AI20">
        <v>92.610167460523101</v>
      </c>
      <c r="AJ20">
        <v>88.035365880221306</v>
      </c>
      <c r="AK20">
        <v>24.258531599794299</v>
      </c>
    </row>
    <row r="21" spans="1:37" x14ac:dyDescent="0.2">
      <c r="A21" t="str">
        <f>"20200111160054150"</f>
        <v>20200111160054150</v>
      </c>
      <c r="B21" t="str">
        <f>"1578729654138696"</f>
        <v>1578729654138696</v>
      </c>
      <c r="C21" t="s">
        <v>37</v>
      </c>
      <c r="D21">
        <v>4.2825329999999999</v>
      </c>
      <c r="E21">
        <v>0.53234729999999997</v>
      </c>
      <c r="F21" t="s">
        <v>38</v>
      </c>
      <c r="G21">
        <v>-452.77289999999999</v>
      </c>
      <c r="H21" s="1">
        <v>-3.5998970000000002E-6</v>
      </c>
      <c r="I21">
        <v>366.70069999999998</v>
      </c>
      <c r="J21">
        <v>-476.4468</v>
      </c>
      <c r="K21">
        <v>1.1042479999999999</v>
      </c>
      <c r="L21">
        <v>367.52099999999899</v>
      </c>
      <c r="M21">
        <v>0.99996879999999999</v>
      </c>
      <c r="N21">
        <v>0</v>
      </c>
      <c r="O21">
        <v>-1.3879560000000001E-3</v>
      </c>
      <c r="P21">
        <v>0.99872669999999997</v>
      </c>
      <c r="Q21">
        <v>1.8383989999999999E-2</v>
      </c>
      <c r="R21">
        <v>4.6980460000000002E-2</v>
      </c>
      <c r="S21">
        <v>3.0109560000000002</v>
      </c>
      <c r="T21">
        <v>-0.14027319999999999</v>
      </c>
      <c r="U21">
        <v>-0.1041565</v>
      </c>
      <c r="V21">
        <v>-4.8365730000000003E-2</v>
      </c>
      <c r="W21">
        <v>2.61628E-2</v>
      </c>
      <c r="X21">
        <v>0.99848700000000001</v>
      </c>
      <c r="Y21">
        <v>3.3150209999999999E-2</v>
      </c>
      <c r="Z21">
        <v>-7.0693669999999896E-4</v>
      </c>
      <c r="AA21">
        <v>0.99945010000000001</v>
      </c>
      <c r="AB21">
        <v>4</v>
      </c>
      <c r="AC21">
        <v>23.6739</v>
      </c>
      <c r="AD21">
        <v>-1.1042515998969999</v>
      </c>
      <c r="AE21">
        <v>-0.82029999999997405</v>
      </c>
      <c r="AF21">
        <v>0.78573242674766497</v>
      </c>
      <c r="AG21">
        <v>-1.1042515998969999</v>
      </c>
      <c r="AH21">
        <v>23.623679668094699</v>
      </c>
      <c r="AI21">
        <v>92.674775779962303</v>
      </c>
      <c r="AJ21">
        <v>88.095023185552293</v>
      </c>
      <c r="AK21">
        <v>23.6625228600643</v>
      </c>
    </row>
    <row r="22" spans="1:37" x14ac:dyDescent="0.2">
      <c r="A22" t="str">
        <f>"20200111160054173"</f>
        <v>20200111160054173</v>
      </c>
      <c r="B22" t="str">
        <f>"1578729654168952"</f>
        <v>1578729654168952</v>
      </c>
      <c r="C22" t="s">
        <v>37</v>
      </c>
      <c r="D22">
        <v>4.331054</v>
      </c>
      <c r="E22">
        <v>0.53234309999999996</v>
      </c>
      <c r="F22" t="s">
        <v>38</v>
      </c>
      <c r="G22">
        <v>-452.21519999999998</v>
      </c>
      <c r="H22" s="1">
        <v>-3.8387430000000003E-6</v>
      </c>
      <c r="I22">
        <v>366.7029</v>
      </c>
      <c r="J22">
        <v>-476.40140000000002</v>
      </c>
      <c r="K22">
        <v>1.103877</v>
      </c>
      <c r="L22">
        <v>367.52089999999998</v>
      </c>
      <c r="M22">
        <v>0.99997499999999995</v>
      </c>
      <c r="N22">
        <v>0</v>
      </c>
      <c r="O22">
        <v>-1.4446539999999901E-3</v>
      </c>
      <c r="P22">
        <v>0.99867919999999999</v>
      </c>
      <c r="Q22">
        <v>1.8998299999999999E-2</v>
      </c>
      <c r="R22">
        <v>4.7739730000000001E-2</v>
      </c>
      <c r="S22">
        <v>3.01116899999999</v>
      </c>
      <c r="T22">
        <v>-0.13722110000000001</v>
      </c>
      <c r="U22">
        <v>-0.1016541</v>
      </c>
      <c r="V22">
        <v>-4.9181120000000002E-2</v>
      </c>
      <c r="W22">
        <v>2.5929230000000001E-2</v>
      </c>
      <c r="X22">
        <v>0.99845329999999999</v>
      </c>
      <c r="Y22">
        <v>3.2263930000000003E-2</v>
      </c>
      <c r="Z22">
        <v>-6.6877240000000001E-4</v>
      </c>
      <c r="AA22">
        <v>0.99947919999999901</v>
      </c>
      <c r="AB22">
        <v>4</v>
      </c>
      <c r="AC22">
        <v>24.186199999999999</v>
      </c>
      <c r="AD22">
        <v>-1.1038808387429999</v>
      </c>
      <c r="AE22">
        <v>-0.81799999999998296</v>
      </c>
      <c r="AF22">
        <v>0.78143168199673896</v>
      </c>
      <c r="AG22">
        <v>-1.1038808387429999</v>
      </c>
      <c r="AH22">
        <v>24.137134015680498</v>
      </c>
      <c r="AI22">
        <v>92.617155051780102</v>
      </c>
      <c r="AJ22">
        <v>88.145715859633995</v>
      </c>
      <c r="AK22">
        <v>24.1749959021856</v>
      </c>
    </row>
    <row r="23" spans="1:37" x14ac:dyDescent="0.2">
      <c r="A23" t="str">
        <f>"20200111160054195"</f>
        <v>20200111160054195</v>
      </c>
      <c r="B23" t="str">
        <f>"1578729654189448"</f>
        <v>1578729654189448</v>
      </c>
      <c r="C23" t="s">
        <v>37</v>
      </c>
      <c r="D23">
        <v>4.371003</v>
      </c>
      <c r="E23">
        <v>0.53231390000000001</v>
      </c>
      <c r="F23" t="s">
        <v>38</v>
      </c>
      <c r="G23">
        <v>-451.8193</v>
      </c>
      <c r="H23" s="1">
        <v>-4.0073209999999997E-6</v>
      </c>
      <c r="I23">
        <v>366.71010000000001</v>
      </c>
      <c r="J23">
        <v>-476.36410000000001</v>
      </c>
      <c r="K23">
        <v>1.104085</v>
      </c>
      <c r="L23">
        <v>367.52080000000001</v>
      </c>
      <c r="M23">
        <v>0.99996759999999996</v>
      </c>
      <c r="N23">
        <v>0</v>
      </c>
      <c r="O23">
        <v>-1.4844960000000001E-3</v>
      </c>
      <c r="P23">
        <v>0.99865539999999997</v>
      </c>
      <c r="Q23">
        <v>1.7696179999999999E-2</v>
      </c>
      <c r="R23">
        <v>4.8729870000000002E-2</v>
      </c>
      <c r="S23">
        <v>3.0112919999999899</v>
      </c>
      <c r="T23">
        <v>-0.13522390000000001</v>
      </c>
      <c r="U23">
        <v>-9.9304199999999995E-2</v>
      </c>
      <c r="V23">
        <v>-5.0210829999999998E-2</v>
      </c>
      <c r="W23">
        <v>2.5614149999999999E-2</v>
      </c>
      <c r="X23">
        <v>0.99841009999999997</v>
      </c>
      <c r="Y23">
        <v>3.1445439999999998E-2</v>
      </c>
      <c r="Z23">
        <v>-6.3887920000000003E-4</v>
      </c>
      <c r="AA23">
        <v>0.99950530000000004</v>
      </c>
      <c r="AB23">
        <v>5</v>
      </c>
      <c r="AC23">
        <v>24.544799999999999</v>
      </c>
      <c r="AD23">
        <v>-1.1040890073209999</v>
      </c>
      <c r="AE23">
        <v>-0.81069999999999698</v>
      </c>
      <c r="AF23">
        <v>0.77269950571145996</v>
      </c>
      <c r="AG23">
        <v>-1.1040890073209999</v>
      </c>
      <c r="AH23">
        <v>24.496463495248101</v>
      </c>
      <c r="AI23">
        <v>92.5793712147766</v>
      </c>
      <c r="AJ23">
        <v>88.193300601056606</v>
      </c>
      <c r="AK23">
        <v>24.533503639640202</v>
      </c>
    </row>
    <row r="24" spans="1:37" x14ac:dyDescent="0.2">
      <c r="A24" t="str">
        <f>"20200111160054217"</f>
        <v>20200111160054217</v>
      </c>
      <c r="B24" t="str">
        <f>"1578729654208967"</f>
        <v>1578729654208967</v>
      </c>
      <c r="C24" t="s">
        <v>37</v>
      </c>
      <c r="D24">
        <v>4.2890610000000002</v>
      </c>
      <c r="E24">
        <v>0.53229769999999998</v>
      </c>
      <c r="F24" t="s">
        <v>38</v>
      </c>
      <c r="G24">
        <v>-452.41070000000002</v>
      </c>
      <c r="H24" s="1">
        <v>-3.7458889999999999E-6</v>
      </c>
      <c r="I24">
        <v>366.75360000000001</v>
      </c>
      <c r="J24">
        <v>-476.3288</v>
      </c>
      <c r="K24">
        <v>1.104579</v>
      </c>
      <c r="L24">
        <v>367.52069999999998</v>
      </c>
      <c r="M24">
        <v>0.99994830000000001</v>
      </c>
      <c r="N24">
        <v>0</v>
      </c>
      <c r="O24">
        <v>-1.517128E-3</v>
      </c>
      <c r="P24">
        <v>0.99864949999999997</v>
      </c>
      <c r="Q24">
        <v>1.5130009999999999E-2</v>
      </c>
      <c r="R24">
        <v>4.9705760000000002E-2</v>
      </c>
      <c r="S24">
        <v>3.0112299999999999</v>
      </c>
      <c r="T24">
        <v>-0.138797</v>
      </c>
      <c r="U24">
        <v>-9.6435549999999995E-2</v>
      </c>
      <c r="V24">
        <v>-5.12197E-2</v>
      </c>
      <c r="W24">
        <v>2.5187040000000001E-2</v>
      </c>
      <c r="X24">
        <v>0.99836979999999997</v>
      </c>
      <c r="Y24">
        <v>3.0461720000000001E-2</v>
      </c>
      <c r="Z24">
        <v>-6.3160879999999895E-4</v>
      </c>
      <c r="AA24">
        <v>0.99953570000000003</v>
      </c>
      <c r="AB24">
        <v>4</v>
      </c>
      <c r="AC24">
        <v>23.9180999999999</v>
      </c>
      <c r="AD24">
        <v>-1.1045827458890001</v>
      </c>
      <c r="AE24">
        <v>-0.76709999999997003</v>
      </c>
      <c r="AF24">
        <v>0.72925672794964502</v>
      </c>
      <c r="AG24">
        <v>-1.1045827458890001</v>
      </c>
      <c r="AH24">
        <v>23.868382957898501</v>
      </c>
      <c r="AI24">
        <v>92.648413643042801</v>
      </c>
      <c r="AJ24">
        <v>88.249972004949697</v>
      </c>
      <c r="AK24">
        <v>23.905054349293501</v>
      </c>
    </row>
    <row r="25" spans="1:37" x14ac:dyDescent="0.2">
      <c r="A25" t="str">
        <f>"20200111160054240"</f>
        <v>20200111160054240</v>
      </c>
      <c r="B25" t="str">
        <f>"1578729654229464"</f>
        <v>1578729654229464</v>
      </c>
      <c r="C25" t="s">
        <v>37</v>
      </c>
      <c r="D25">
        <v>4.2923159999999996</v>
      </c>
      <c r="E25">
        <v>0.53232409999999997</v>
      </c>
      <c r="F25" t="s">
        <v>38</v>
      </c>
      <c r="G25">
        <v>-453.61279999999999</v>
      </c>
      <c r="H25" s="1">
        <v>-3.21888399999999E-6</v>
      </c>
      <c r="I25">
        <v>366.81740000000002</v>
      </c>
      <c r="J25">
        <v>-476.29719999999998</v>
      </c>
      <c r="K25">
        <v>1.105056</v>
      </c>
      <c r="L25">
        <v>367.5206</v>
      </c>
      <c r="M25">
        <v>0.99992159999999997</v>
      </c>
      <c r="N25">
        <v>0</v>
      </c>
      <c r="O25">
        <v>-1.5450679999999999E-3</v>
      </c>
      <c r="P25">
        <v>0.99863449999999998</v>
      </c>
      <c r="Q25">
        <v>1.2747700000000001E-2</v>
      </c>
      <c r="R25">
        <v>5.0661650000000003E-2</v>
      </c>
      <c r="S25">
        <v>3.0108950000000001</v>
      </c>
      <c r="T25">
        <v>-0.14640619999999999</v>
      </c>
      <c r="U25">
        <v>-9.3200679999999994E-2</v>
      </c>
      <c r="V25">
        <v>-5.2204199999999902E-2</v>
      </c>
      <c r="W25">
        <v>2.515558E-2</v>
      </c>
      <c r="X25">
        <v>0.99831959999999997</v>
      </c>
      <c r="Y25">
        <v>2.9362340000000001E-2</v>
      </c>
      <c r="Z25">
        <v>-6.3821400000000001E-4</v>
      </c>
      <c r="AA25">
        <v>0.99956859999999903</v>
      </c>
      <c r="AB25">
        <v>4</v>
      </c>
      <c r="AC25">
        <v>22.684399999999901</v>
      </c>
      <c r="AD25">
        <v>-1.105059218884</v>
      </c>
      <c r="AE25">
        <v>-0.70319999999998095</v>
      </c>
      <c r="AF25">
        <v>0.66656720004300196</v>
      </c>
      <c r="AG25">
        <v>-1.105059218884</v>
      </c>
      <c r="AH25">
        <v>22.6318034649716</v>
      </c>
      <c r="AI25">
        <v>92.794192036535705</v>
      </c>
      <c r="AJ25">
        <v>88.312973602422005</v>
      </c>
      <c r="AK25">
        <v>22.668568454724099</v>
      </c>
    </row>
    <row r="26" spans="1:37" x14ac:dyDescent="0.2">
      <c r="A26" t="str">
        <f>"20200111160054261"</f>
        <v>20200111160054261</v>
      </c>
      <c r="B26" t="str">
        <f>"1578729654258743"</f>
        <v>1578729654258743</v>
      </c>
      <c r="C26" t="s">
        <v>37</v>
      </c>
      <c r="D26">
        <v>4.2706249999999999</v>
      </c>
      <c r="E26">
        <v>0.53238339999999995</v>
      </c>
      <c r="F26" t="s">
        <v>38</v>
      </c>
      <c r="G26">
        <v>-454.5496</v>
      </c>
      <c r="H26" s="1">
        <v>-2.8088269999999998E-6</v>
      </c>
      <c r="I26">
        <v>366.86360000000002</v>
      </c>
      <c r="J26">
        <v>-476.26549999999997</v>
      </c>
      <c r="K26">
        <v>1.1050229999999901</v>
      </c>
      <c r="L26">
        <v>367.52050000000003</v>
      </c>
      <c r="M26">
        <v>0.99991249999999998</v>
      </c>
      <c r="N26">
        <v>0</v>
      </c>
      <c r="O26">
        <v>-1.5793319999999999E-3</v>
      </c>
      <c r="P26">
        <v>0.99864900000000001</v>
      </c>
      <c r="Q26">
        <v>1.174035E-2</v>
      </c>
      <c r="R26">
        <v>5.0622970000000003E-2</v>
      </c>
      <c r="S26">
        <v>3.0106809999999999</v>
      </c>
      <c r="T26">
        <v>-0.15298059999999999</v>
      </c>
      <c r="U26">
        <v>-9.0942380000000003E-2</v>
      </c>
      <c r="V26">
        <v>-5.2199830000000003E-2</v>
      </c>
      <c r="W26">
        <v>2.4862889999999999E-2</v>
      </c>
      <c r="X26">
        <v>0.99832710000000002</v>
      </c>
      <c r="Y26">
        <v>2.8579219999999999E-2</v>
      </c>
      <c r="Z26">
        <v>-6.4527309999999995E-4</v>
      </c>
      <c r="AA26">
        <v>0.99959140000000002</v>
      </c>
      <c r="AB26">
        <v>3</v>
      </c>
      <c r="AC26">
        <v>21.715899999999898</v>
      </c>
      <c r="AD26">
        <v>-1.105025808827</v>
      </c>
      <c r="AE26">
        <v>-0.65690000000000703</v>
      </c>
      <c r="AF26">
        <v>0.62099311374588095</v>
      </c>
      <c r="AG26">
        <v>-1.105025808827</v>
      </c>
      <c r="AH26">
        <v>21.6608743598646</v>
      </c>
      <c r="AI26">
        <v>92.919205375372599</v>
      </c>
      <c r="AJ26">
        <v>88.357843692417106</v>
      </c>
      <c r="AK26">
        <v>21.697930604537699</v>
      </c>
    </row>
    <row r="27" spans="1:37" x14ac:dyDescent="0.2">
      <c r="A27" t="str">
        <f>"20200111160054285"</f>
        <v>20200111160054285</v>
      </c>
      <c r="B27" t="str">
        <f>"1578729654279240"</f>
        <v>1578729654279240</v>
      </c>
      <c r="C27" t="s">
        <v>37</v>
      </c>
      <c r="D27">
        <v>4.2860529999999999</v>
      </c>
      <c r="E27">
        <v>0.53235940000000004</v>
      </c>
      <c r="F27" t="s">
        <v>38</v>
      </c>
      <c r="G27">
        <v>-454.85660000000001</v>
      </c>
      <c r="H27" s="1">
        <v>-2.6759909999999998E-6</v>
      </c>
      <c r="I27">
        <v>366.8698</v>
      </c>
      <c r="J27">
        <v>-476.22629999999998</v>
      </c>
      <c r="K27">
        <v>1.1044620000000001</v>
      </c>
      <c r="L27">
        <v>367.5204</v>
      </c>
      <c r="M27">
        <v>0.9999287</v>
      </c>
      <c r="N27">
        <v>0</v>
      </c>
      <c r="O27">
        <v>-1.634169E-3</v>
      </c>
      <c r="P27">
        <v>0.9986216</v>
      </c>
      <c r="Q27">
        <v>1.247638E-2</v>
      </c>
      <c r="R27">
        <v>5.0988770000000003E-2</v>
      </c>
      <c r="S27">
        <v>3.0105590000000002</v>
      </c>
      <c r="T27">
        <v>-0.15539049999999999</v>
      </c>
      <c r="U27">
        <v>-9.1491699999999995E-2</v>
      </c>
      <c r="V27">
        <v>-5.261946E-2</v>
      </c>
      <c r="W27">
        <v>2.4303729999999999E-2</v>
      </c>
      <c r="X27">
        <v>0.99831890000000001</v>
      </c>
      <c r="Y27">
        <v>2.870667E-2</v>
      </c>
      <c r="Z27">
        <v>-6.5590869999999999E-4</v>
      </c>
      <c r="AA27">
        <v>0.99958769999999997</v>
      </c>
      <c r="AB27">
        <v>3</v>
      </c>
      <c r="AC27">
        <v>21.369699999999899</v>
      </c>
      <c r="AD27">
        <v>-1.104464675991</v>
      </c>
      <c r="AE27">
        <v>-0.65059999999999696</v>
      </c>
      <c r="AF27">
        <v>0.61403629006426896</v>
      </c>
      <c r="AG27">
        <v>-1.104464675991</v>
      </c>
      <c r="AH27">
        <v>21.3138538301259</v>
      </c>
      <c r="AI27">
        <v>92.965134350341799</v>
      </c>
      <c r="AJ27">
        <v>88.349807607481907</v>
      </c>
      <c r="AK27">
        <v>21.3512821132128</v>
      </c>
    </row>
    <row r="28" spans="1:37" x14ac:dyDescent="0.2">
      <c r="A28" t="str">
        <f>"20200111160054306"</f>
        <v>20200111160054306</v>
      </c>
      <c r="B28" t="str">
        <f>"1578729654298759"</f>
        <v>1578729654298759</v>
      </c>
      <c r="C28" t="s">
        <v>37</v>
      </c>
      <c r="D28">
        <v>4.1645469999999998</v>
      </c>
      <c r="E28">
        <v>0.53234320000000002</v>
      </c>
      <c r="F28" t="s">
        <v>38</v>
      </c>
      <c r="G28">
        <v>-454.5</v>
      </c>
      <c r="H28" s="1">
        <v>-2.8290150000000001E-6</v>
      </c>
      <c r="I28">
        <v>366.86959999999999</v>
      </c>
      <c r="J28">
        <v>-476.18630000000002</v>
      </c>
      <c r="K28">
        <v>1.1039570000000001</v>
      </c>
      <c r="L28">
        <v>367.52030000000002</v>
      </c>
      <c r="M28">
        <v>0.99994570000000005</v>
      </c>
      <c r="N28">
        <v>0</v>
      </c>
      <c r="O28">
        <v>-1.700058E-3</v>
      </c>
      <c r="P28">
        <v>0.99862099999999898</v>
      </c>
      <c r="Q28">
        <v>1.308729E-2</v>
      </c>
      <c r="R28">
        <v>5.0842999999999999E-2</v>
      </c>
      <c r="S28">
        <v>3.01065099999999</v>
      </c>
      <c r="T28">
        <v>-0.15304690000000001</v>
      </c>
      <c r="U28">
        <v>-9.017944E-2</v>
      </c>
      <c r="V28">
        <v>-5.2538750000000002E-2</v>
      </c>
      <c r="W28">
        <v>2.3367010000000001E-2</v>
      </c>
      <c r="X28">
        <v>0.99834539999999905</v>
      </c>
      <c r="Y28">
        <v>2.8206419999999999E-2</v>
      </c>
      <c r="Z28">
        <v>-6.2996440000000003E-4</v>
      </c>
      <c r="AA28">
        <v>0.99960190000000004</v>
      </c>
      <c r="AB28">
        <v>4</v>
      </c>
      <c r="AC28">
        <v>21.686299999999999</v>
      </c>
      <c r="AD28">
        <v>-1.1039598290149999</v>
      </c>
      <c r="AE28">
        <v>-0.65070000000002803</v>
      </c>
      <c r="AF28">
        <v>0.61224399678893004</v>
      </c>
      <c r="AG28">
        <v>-1.1039598290149999</v>
      </c>
      <c r="AH28">
        <v>21.631369684335599</v>
      </c>
      <c r="AI28">
        <v>92.9203955123226</v>
      </c>
      <c r="AJ28">
        <v>88.3787603410603</v>
      </c>
      <c r="AK28">
        <v>21.668173075644201</v>
      </c>
    </row>
    <row r="29" spans="1:37" x14ac:dyDescent="0.2">
      <c r="A29" t="str">
        <f>"20200111160054329"</f>
        <v>20200111160054329</v>
      </c>
      <c r="B29" t="str">
        <f>"1578729654319256"</f>
        <v>1578729654319256</v>
      </c>
      <c r="C29" t="s">
        <v>37</v>
      </c>
      <c r="D29">
        <v>4.2471180000000004</v>
      </c>
      <c r="E29">
        <v>0.5323831</v>
      </c>
      <c r="F29" t="s">
        <v>38</v>
      </c>
      <c r="G29">
        <v>-454.15010000000001</v>
      </c>
      <c r="H29" s="1">
        <v>-2.9814559999999998E-6</v>
      </c>
      <c r="I29">
        <v>366.85640000000001</v>
      </c>
      <c r="J29">
        <v>-476.14620000000002</v>
      </c>
      <c r="K29">
        <v>1.103958</v>
      </c>
      <c r="L29">
        <v>367.52010000000001</v>
      </c>
      <c r="M29">
        <v>0.99994620000000001</v>
      </c>
      <c r="N29">
        <v>0</v>
      </c>
      <c r="O29">
        <v>-1.7609800000000001E-3</v>
      </c>
      <c r="P29">
        <v>0.99864759999999997</v>
      </c>
      <c r="Q29">
        <v>1.293922E-2</v>
      </c>
      <c r="R29">
        <v>5.0355539999999997E-2</v>
      </c>
      <c r="S29">
        <v>3.0107729999999999</v>
      </c>
      <c r="T29">
        <v>-0.15083170000000001</v>
      </c>
      <c r="U29">
        <v>-9.0698239999999999E-2</v>
      </c>
      <c r="V29">
        <v>-5.2112480000000003E-2</v>
      </c>
      <c r="W29">
        <v>2.3143919999999998E-2</v>
      </c>
      <c r="X29">
        <v>0.99837299999999995</v>
      </c>
      <c r="Y29">
        <v>2.831732E-2</v>
      </c>
      <c r="Z29">
        <v>-6.2055699999999999E-4</v>
      </c>
      <c r="AA29">
        <v>0.99959880000000001</v>
      </c>
      <c r="AB29">
        <v>4</v>
      </c>
      <c r="AC29">
        <v>21.996099999999998</v>
      </c>
      <c r="AD29">
        <v>-1.1039609814560001</v>
      </c>
      <c r="AE29">
        <v>-0.66370000000000495</v>
      </c>
      <c r="AF29">
        <v>0.623393398757499</v>
      </c>
      <c r="AG29">
        <v>-1.1039609814560001</v>
      </c>
      <c r="AH29">
        <v>21.9420145930751</v>
      </c>
      <c r="AI29">
        <v>92.879114216893797</v>
      </c>
      <c r="AJ29">
        <v>88.372610456123894</v>
      </c>
      <c r="AK29">
        <v>21.9786112750763</v>
      </c>
    </row>
    <row r="30" spans="1:37" x14ac:dyDescent="0.2">
      <c r="A30" t="str">
        <f>"20200111160054351"</f>
        <v>20200111160054351</v>
      </c>
      <c r="B30" t="str">
        <f>"1578729654338775"</f>
        <v>1578729654338775</v>
      </c>
      <c r="C30" t="s">
        <v>37</v>
      </c>
      <c r="D30">
        <v>4.2083159999999999</v>
      </c>
      <c r="E30">
        <v>0.53241930000000004</v>
      </c>
      <c r="F30" t="s">
        <v>38</v>
      </c>
      <c r="G30">
        <v>-454.08479999999997</v>
      </c>
      <c r="H30" s="1">
        <v>-3.0119400000000002E-6</v>
      </c>
      <c r="I30">
        <v>366.84249999999997</v>
      </c>
      <c r="J30">
        <v>-476.11380000000003</v>
      </c>
      <c r="K30">
        <v>1.1043969999999901</v>
      </c>
      <c r="L30">
        <v>367.52</v>
      </c>
      <c r="M30">
        <v>0.99992939999999997</v>
      </c>
      <c r="N30">
        <v>0</v>
      </c>
      <c r="O30">
        <v>-1.8014420000000001E-3</v>
      </c>
      <c r="P30">
        <v>0.99867950000000005</v>
      </c>
      <c r="Q30">
        <v>1.064258E-2</v>
      </c>
      <c r="R30">
        <v>5.0260190000000003E-2</v>
      </c>
      <c r="S30">
        <v>3.0107119999999998</v>
      </c>
      <c r="T30">
        <v>-0.1506566</v>
      </c>
      <c r="U30">
        <v>-9.2468259999999997E-2</v>
      </c>
      <c r="V30">
        <v>-5.2058159999999999E-2</v>
      </c>
      <c r="W30">
        <v>2.2379739999999999E-2</v>
      </c>
      <c r="X30">
        <v>0.99839319999999898</v>
      </c>
      <c r="Y30">
        <v>2.8864020000000001E-2</v>
      </c>
      <c r="Z30">
        <v>-6.3148670000000003E-4</v>
      </c>
      <c r="AA30">
        <v>0.99958309999999995</v>
      </c>
      <c r="AB30">
        <v>4</v>
      </c>
      <c r="AC30">
        <v>22.029</v>
      </c>
      <c r="AD30">
        <v>-1.1044000119399999</v>
      </c>
      <c r="AE30">
        <v>-0.67750000000000898</v>
      </c>
      <c r="AF30">
        <v>0.63621464043740095</v>
      </c>
      <c r="AG30">
        <v>-1.1044000119399999</v>
      </c>
      <c r="AH30">
        <v>21.975004820560301</v>
      </c>
      <c r="AI30">
        <v>92.875896023874304</v>
      </c>
      <c r="AJ30">
        <v>88.341650692054699</v>
      </c>
      <c r="AK30">
        <v>22.011935519593202</v>
      </c>
    </row>
    <row r="31" spans="1:37" x14ac:dyDescent="0.2">
      <c r="A31" t="str">
        <f>"20200111160054373"</f>
        <v>20200111160054373</v>
      </c>
      <c r="B31" t="str">
        <f>"1578729654369031"</f>
        <v>1578729654369031</v>
      </c>
      <c r="C31" t="s">
        <v>37</v>
      </c>
      <c r="D31">
        <v>4.2063860000000002</v>
      </c>
      <c r="E31">
        <v>0.53245529999999996</v>
      </c>
      <c r="F31" t="s">
        <v>38</v>
      </c>
      <c r="G31">
        <v>-454.92489999999998</v>
      </c>
      <c r="H31" s="1">
        <v>-2.6474299999999998E-6</v>
      </c>
      <c r="I31">
        <v>366.86559999999997</v>
      </c>
      <c r="J31">
        <v>-476.08409999999998</v>
      </c>
      <c r="K31">
        <v>1.1048929999999999</v>
      </c>
      <c r="L31">
        <v>367.51990000000001</v>
      </c>
      <c r="M31">
        <v>0.99990369999999995</v>
      </c>
      <c r="N31">
        <v>0</v>
      </c>
      <c r="O31">
        <v>-1.83318E-3</v>
      </c>
      <c r="P31">
        <v>0.99866529999999998</v>
      </c>
      <c r="Q31">
        <v>8.3037609999999998E-3</v>
      </c>
      <c r="R31">
        <v>5.097807E-2</v>
      </c>
      <c r="S31">
        <v>3.010284</v>
      </c>
      <c r="T31">
        <v>-0.1569005</v>
      </c>
      <c r="U31">
        <v>-9.2956540000000004E-2</v>
      </c>
      <c r="V31">
        <v>-5.2807890000000003E-2</v>
      </c>
      <c r="W31">
        <v>2.2043170000000001E-2</v>
      </c>
      <c r="X31">
        <v>0.99836130000000001</v>
      </c>
      <c r="Y31">
        <v>2.899558E-2</v>
      </c>
      <c r="Z31">
        <v>-6.5948560000000001E-4</v>
      </c>
      <c r="AA31">
        <v>0.99957929999999995</v>
      </c>
      <c r="AB31">
        <v>3</v>
      </c>
      <c r="AC31">
        <v>21.159199999999998</v>
      </c>
      <c r="AD31">
        <v>-1.10489564742999</v>
      </c>
      <c r="AE31">
        <v>-0.65430000000003397</v>
      </c>
      <c r="AF31">
        <v>0.61383443846571795</v>
      </c>
      <c r="AG31">
        <v>-1.10489564742999</v>
      </c>
      <c r="AH31">
        <v>21.102876873731098</v>
      </c>
      <c r="AI31">
        <v>92.995867072534907</v>
      </c>
      <c r="AJ31">
        <v>88.333866571963796</v>
      </c>
      <c r="AK31">
        <v>21.1406953399696</v>
      </c>
    </row>
    <row r="32" spans="1:37" x14ac:dyDescent="0.2">
      <c r="A32" t="str">
        <f>"20200111160054395"</f>
        <v>20200111160054395</v>
      </c>
      <c r="B32" t="str">
        <f>"1578729654389529"</f>
        <v>1578729654389529</v>
      </c>
      <c r="C32" t="s">
        <v>37</v>
      </c>
      <c r="D32">
        <v>4.1581999999999999</v>
      </c>
      <c r="E32">
        <v>0.53249780000000002</v>
      </c>
      <c r="F32" t="s">
        <v>38</v>
      </c>
      <c r="G32">
        <v>-455.68900000000002</v>
      </c>
      <c r="H32" s="1">
        <v>-2.313585E-6</v>
      </c>
      <c r="I32">
        <v>366.8997</v>
      </c>
      <c r="J32">
        <v>-476.05489999999998</v>
      </c>
      <c r="K32">
        <v>1.1050869999999999</v>
      </c>
      <c r="L32">
        <v>367.51979999999998</v>
      </c>
      <c r="M32">
        <v>0.99988650000000001</v>
      </c>
      <c r="N32">
        <v>0</v>
      </c>
      <c r="O32">
        <v>-1.863022E-3</v>
      </c>
      <c r="P32">
        <v>0.99865930000000003</v>
      </c>
      <c r="Q32">
        <v>8.0187539999999995E-3</v>
      </c>
      <c r="R32">
        <v>5.1140440000000002E-2</v>
      </c>
      <c r="S32">
        <v>3.0100709999999999</v>
      </c>
      <c r="T32">
        <v>-0.16306860000000001</v>
      </c>
      <c r="U32">
        <v>-9.1522220000000001E-2</v>
      </c>
      <c r="V32">
        <v>-5.3000539999999999E-2</v>
      </c>
      <c r="W32">
        <v>2.2955610000000001E-2</v>
      </c>
      <c r="X32">
        <v>0.99833059999999996</v>
      </c>
      <c r="Y32">
        <v>2.8489859999999999E-2</v>
      </c>
      <c r="Z32">
        <v>-6.7012530000000003E-4</v>
      </c>
      <c r="AA32">
        <v>0.99959390000000004</v>
      </c>
      <c r="AB32">
        <v>3</v>
      </c>
      <c r="AC32">
        <v>20.3658999999999</v>
      </c>
      <c r="AD32">
        <v>-1.105089313585</v>
      </c>
      <c r="AE32">
        <v>-0.620099999999979</v>
      </c>
      <c r="AF32">
        <v>0.58044511960076495</v>
      </c>
      <c r="AG32">
        <v>-1.105089313585</v>
      </c>
      <c r="AH32">
        <v>20.307283926390301</v>
      </c>
      <c r="AI32">
        <v>93.113601535549506</v>
      </c>
      <c r="AJ32">
        <v>88.362754801872597</v>
      </c>
      <c r="AK32">
        <v>20.345611797016499</v>
      </c>
    </row>
    <row r="33" spans="1:37" x14ac:dyDescent="0.2">
      <c r="A33" t="str">
        <f>"20200111160054417"</f>
        <v>20200111160054417</v>
      </c>
      <c r="B33" t="str">
        <f>"1578729654409047"</f>
        <v>1578729654409047</v>
      </c>
      <c r="C33" t="s">
        <v>37</v>
      </c>
      <c r="D33">
        <v>4.1855079999999996</v>
      </c>
      <c r="E33">
        <v>0.53254199999999996</v>
      </c>
      <c r="F33" t="s">
        <v>38</v>
      </c>
      <c r="G33">
        <v>-455.63659999999999</v>
      </c>
      <c r="H33" s="1">
        <v>-2.3361899999999999E-6</v>
      </c>
      <c r="I33">
        <v>366.89909999999998</v>
      </c>
      <c r="J33">
        <v>-476.0204</v>
      </c>
      <c r="K33">
        <v>1.104643</v>
      </c>
      <c r="L33">
        <v>367.5197</v>
      </c>
      <c r="M33">
        <v>0.99990270000000003</v>
      </c>
      <c r="N33">
        <v>0</v>
      </c>
      <c r="O33">
        <v>-1.907934E-3</v>
      </c>
      <c r="P33">
        <v>0.99865590000000004</v>
      </c>
      <c r="Q33">
        <v>8.5771230000000007E-3</v>
      </c>
      <c r="R33">
        <v>5.1114649999999998E-2</v>
      </c>
      <c r="S33">
        <v>3.009979</v>
      </c>
      <c r="T33">
        <v>-0.16290660000000001</v>
      </c>
      <c r="U33">
        <v>-9.1491699999999995E-2</v>
      </c>
      <c r="V33">
        <v>-5.3019339999999998E-2</v>
      </c>
      <c r="W33">
        <v>2.2374499999999999E-2</v>
      </c>
      <c r="X33">
        <v>0.99834279999999997</v>
      </c>
      <c r="Y33">
        <v>2.8436010000000001E-2</v>
      </c>
      <c r="Z33">
        <v>-6.6559839999999904E-4</v>
      </c>
      <c r="AA33">
        <v>0.99959540000000002</v>
      </c>
      <c r="AB33">
        <v>3</v>
      </c>
      <c r="AC33">
        <v>20.383800000000001</v>
      </c>
      <c r="AD33">
        <v>-1.1046453361899999</v>
      </c>
      <c r="AE33">
        <v>-0.62060000000002402</v>
      </c>
      <c r="AF33">
        <v>0.58000243366762005</v>
      </c>
      <c r="AG33">
        <v>-1.1046453361899999</v>
      </c>
      <c r="AH33">
        <v>20.325310830524899</v>
      </c>
      <c r="AI33">
        <v>93.109602272792202</v>
      </c>
      <c r="AJ33">
        <v>88.365453004261994</v>
      </c>
      <c r="AK33">
        <v>20.363568068962699</v>
      </c>
    </row>
    <row r="34" spans="1:37" x14ac:dyDescent="0.2">
      <c r="A34" t="str">
        <f>"20200111160054440"</f>
        <v>20200111160054440</v>
      </c>
      <c r="B34" t="str">
        <f>"1578729654429544"</f>
        <v>1578729654429544</v>
      </c>
      <c r="C34" t="s">
        <v>37</v>
      </c>
      <c r="D34">
        <v>4.1735410000000002</v>
      </c>
      <c r="E34">
        <v>0.53265319999999905</v>
      </c>
      <c r="F34" t="s">
        <v>38</v>
      </c>
      <c r="G34">
        <v>-455.31459999999998</v>
      </c>
      <c r="H34" s="1">
        <v>-2.4762699999999999E-6</v>
      </c>
      <c r="I34">
        <v>366.88799999999998</v>
      </c>
      <c r="J34">
        <v>-475.98079999999999</v>
      </c>
      <c r="K34">
        <v>1.10409</v>
      </c>
      <c r="L34">
        <v>367.51960000000003</v>
      </c>
      <c r="M34">
        <v>0.99992689999999995</v>
      </c>
      <c r="N34">
        <v>0</v>
      </c>
      <c r="O34">
        <v>-1.9710689999999898E-3</v>
      </c>
      <c r="P34">
        <v>0.99863310000000005</v>
      </c>
      <c r="Q34">
        <v>1.026205E-2</v>
      </c>
      <c r="R34">
        <v>5.1255469999999997E-2</v>
      </c>
      <c r="S34">
        <v>3.010132</v>
      </c>
      <c r="T34">
        <v>-0.16058919999999999</v>
      </c>
      <c r="U34">
        <v>-9.1827389999999995E-2</v>
      </c>
      <c r="V34">
        <v>-5.3222819999999997E-2</v>
      </c>
      <c r="W34">
        <v>2.219049E-2</v>
      </c>
      <c r="X34">
        <v>0.99833609999999995</v>
      </c>
      <c r="Y34">
        <v>2.8483899999999999E-2</v>
      </c>
      <c r="Z34">
        <v>-6.5402250000000004E-4</v>
      </c>
      <c r="AA34">
        <v>0.99959399999999998</v>
      </c>
      <c r="AB34">
        <v>3</v>
      </c>
      <c r="AC34">
        <v>20.6662</v>
      </c>
      <c r="AD34">
        <v>-1.10409247627</v>
      </c>
      <c r="AE34">
        <v>-0.63159999999999095</v>
      </c>
      <c r="AF34">
        <v>0.58918127573919199</v>
      </c>
      <c r="AG34">
        <v>-1.10409247627</v>
      </c>
      <c r="AH34">
        <v>20.608637870832201</v>
      </c>
      <c r="AI34">
        <v>93.065397054876698</v>
      </c>
      <c r="AJ34">
        <v>88.362414434442201</v>
      </c>
      <c r="AK34">
        <v>20.646600438399901</v>
      </c>
    </row>
    <row r="35" spans="1:37" x14ac:dyDescent="0.2">
      <c r="A35" t="str">
        <f>"20200111160054462"</f>
        <v>20200111160054462</v>
      </c>
      <c r="B35" t="str">
        <f>"1578729654458824"</f>
        <v>1578729654458824</v>
      </c>
      <c r="C35" t="s">
        <v>37</v>
      </c>
      <c r="D35">
        <v>4.1485430000000001</v>
      </c>
      <c r="E35">
        <v>0.53267279999999995</v>
      </c>
      <c r="F35" t="s">
        <v>38</v>
      </c>
      <c r="G35">
        <v>-454.42500000000001</v>
      </c>
      <c r="H35" s="1">
        <v>-2.8635059999999999E-6</v>
      </c>
      <c r="I35">
        <v>366.85660000000001</v>
      </c>
      <c r="J35">
        <v>-475.94130000000001</v>
      </c>
      <c r="K35">
        <v>1.1038509999999999</v>
      </c>
      <c r="L35">
        <v>367.51949999999999</v>
      </c>
      <c r="M35">
        <v>0.99993920000000003</v>
      </c>
      <c r="N35">
        <v>0</v>
      </c>
      <c r="O35">
        <v>-2.037096E-3</v>
      </c>
      <c r="P35">
        <v>0.99859830000000005</v>
      </c>
      <c r="Q35">
        <v>1.1325170000000001E-2</v>
      </c>
      <c r="R35">
        <v>5.170495E-2</v>
      </c>
      <c r="S35">
        <v>3.010437</v>
      </c>
      <c r="T35">
        <v>-0.15419469999999999</v>
      </c>
      <c r="U35">
        <v>-9.2590329999999998E-2</v>
      </c>
      <c r="V35">
        <v>-5.3737460000000001E-2</v>
      </c>
      <c r="W35">
        <v>2.215425E-2</v>
      </c>
      <c r="X35">
        <v>0.99830929999999996</v>
      </c>
      <c r="Y35">
        <v>2.867072E-2</v>
      </c>
      <c r="Z35">
        <v>-6.2935119999999996E-4</v>
      </c>
      <c r="AA35">
        <v>0.999588699999999</v>
      </c>
      <c r="AB35">
        <v>4</v>
      </c>
      <c r="AC35">
        <v>21.516300000000001</v>
      </c>
      <c r="AD35">
        <v>-1.103853863506</v>
      </c>
      <c r="AE35">
        <v>-0.66289999999997895</v>
      </c>
      <c r="AF35">
        <v>0.61744170830457601</v>
      </c>
      <c r="AG35">
        <v>-1.103853863506</v>
      </c>
      <c r="AH35">
        <v>21.4611733064379</v>
      </c>
      <c r="AI35">
        <v>92.943193806445905</v>
      </c>
      <c r="AJ35">
        <v>88.352044988879399</v>
      </c>
      <c r="AK35">
        <v>21.498411273954499</v>
      </c>
    </row>
    <row r="36" spans="1:37" x14ac:dyDescent="0.2">
      <c r="A36" t="str">
        <f>"20200111160054485"</f>
        <v>20200111160054485</v>
      </c>
      <c r="B36" t="str">
        <f>"1578729654479320"</f>
        <v>1578729654479320</v>
      </c>
      <c r="C36" t="s">
        <v>37</v>
      </c>
      <c r="D36">
        <v>4.2537070000000003</v>
      </c>
      <c r="E36">
        <v>0.53274069999999996</v>
      </c>
      <c r="F36" t="s">
        <v>38</v>
      </c>
      <c r="G36">
        <v>-453.7595</v>
      </c>
      <c r="H36" s="1">
        <v>-3.1511100000000001E-6</v>
      </c>
      <c r="I36">
        <v>366.84460000000001</v>
      </c>
      <c r="J36">
        <v>-475.90539999999999</v>
      </c>
      <c r="K36">
        <v>1.104112</v>
      </c>
      <c r="L36">
        <v>367.51929999999999</v>
      </c>
      <c r="M36">
        <v>0.99993310000000002</v>
      </c>
      <c r="N36">
        <v>0</v>
      </c>
      <c r="O36">
        <v>-2.090172E-3</v>
      </c>
      <c r="P36">
        <v>0.99858659999999999</v>
      </c>
      <c r="Q36">
        <v>1.0404780000000001E-2</v>
      </c>
      <c r="R36">
        <v>5.2121580000000001E-2</v>
      </c>
      <c r="S36">
        <v>3.01065099999999</v>
      </c>
      <c r="T36">
        <v>-0.1498215</v>
      </c>
      <c r="U36">
        <v>-9.1583250000000005E-2</v>
      </c>
      <c r="V36">
        <v>-5.4207749999999999E-2</v>
      </c>
      <c r="W36">
        <v>2.1776210000000001E-2</v>
      </c>
      <c r="X36">
        <v>0.99829219999999896</v>
      </c>
      <c r="Y36">
        <v>2.8283900000000001E-2</v>
      </c>
      <c r="Z36">
        <v>-5.9922730000000002E-4</v>
      </c>
      <c r="AA36">
        <v>0.99959979999999904</v>
      </c>
      <c r="AB36">
        <v>4</v>
      </c>
      <c r="AC36">
        <v>22.145899999999902</v>
      </c>
      <c r="AD36">
        <v>-1.10411515111</v>
      </c>
      <c r="AE36">
        <v>-0.67469999999997299</v>
      </c>
      <c r="AF36">
        <v>0.62685009754462595</v>
      </c>
      <c r="AG36">
        <v>-1.10411515111</v>
      </c>
      <c r="AH36">
        <v>22.0923986362289</v>
      </c>
      <c r="AI36">
        <v>92.859950252505001</v>
      </c>
      <c r="AJ36">
        <v>88.374724638030102</v>
      </c>
      <c r="AK36">
        <v>22.128851954264402</v>
      </c>
    </row>
    <row r="37" spans="1:37" x14ac:dyDescent="0.2">
      <c r="A37" t="str">
        <f>"20200111160054507"</f>
        <v>20200111160054507</v>
      </c>
      <c r="B37" t="str">
        <f>"1578729654498840"</f>
        <v>1578729654498840</v>
      </c>
      <c r="C37" t="s">
        <v>37</v>
      </c>
      <c r="D37">
        <v>4.1944080000000001</v>
      </c>
      <c r="E37">
        <v>0.53275340000000004</v>
      </c>
      <c r="F37" t="s">
        <v>38</v>
      </c>
      <c r="G37">
        <v>-453.97129999999999</v>
      </c>
      <c r="H37" s="1">
        <v>-3.0582330000000001E-6</v>
      </c>
      <c r="I37">
        <v>366.85599999999999</v>
      </c>
      <c r="J37">
        <v>-475.86790000000002</v>
      </c>
      <c r="K37">
        <v>1.1041239999999899</v>
      </c>
      <c r="L37">
        <v>367.51920000000001</v>
      </c>
      <c r="M37">
        <v>0.99993509999999997</v>
      </c>
      <c r="N37">
        <v>0</v>
      </c>
      <c r="O37">
        <v>-2.1454930000000001E-3</v>
      </c>
      <c r="P37">
        <v>0.99856990000000001</v>
      </c>
      <c r="Q37">
        <v>9.7331999999999991E-3</v>
      </c>
      <c r="R37">
        <v>5.2569169999999998E-2</v>
      </c>
      <c r="S37">
        <v>3.0105900000000001</v>
      </c>
      <c r="T37">
        <v>-0.15154619999999999</v>
      </c>
      <c r="U37">
        <v>-9.1033939999999994E-2</v>
      </c>
      <c r="V37">
        <v>-5.4710000000000002E-2</v>
      </c>
      <c r="W37">
        <v>2.091428E-2</v>
      </c>
      <c r="X37">
        <v>0.99828320000000004</v>
      </c>
      <c r="Y37">
        <v>2.804661E-2</v>
      </c>
      <c r="Z37">
        <v>-5.9738140000000005E-4</v>
      </c>
      <c r="AA37">
        <v>0.99960640000000001</v>
      </c>
      <c r="AB37">
        <v>4</v>
      </c>
      <c r="AC37">
        <v>21.896599999999999</v>
      </c>
      <c r="AD37">
        <v>-1.1041270582329901</v>
      </c>
      <c r="AE37">
        <v>-0.663200000000017</v>
      </c>
      <c r="AF37">
        <v>0.61465511657126704</v>
      </c>
      <c r="AG37">
        <v>-1.1041270582329901</v>
      </c>
      <c r="AH37">
        <v>21.842485917197902</v>
      </c>
      <c r="AI37">
        <v>92.892667558224204</v>
      </c>
      <c r="AJ37">
        <v>88.388102312312398</v>
      </c>
      <c r="AK37">
        <v>21.8790102270655</v>
      </c>
    </row>
    <row r="38" spans="1:37" x14ac:dyDescent="0.2">
      <c r="A38" t="str">
        <f>"20200111160054531"</f>
        <v>20200111160054531</v>
      </c>
      <c r="B38" t="str">
        <f>"1578729654519336"</f>
        <v>1578729654519336</v>
      </c>
      <c r="C38" t="s">
        <v>37</v>
      </c>
      <c r="D38">
        <v>4.2430199999999996</v>
      </c>
      <c r="E38">
        <v>0.53278459999999905</v>
      </c>
      <c r="F38" t="s">
        <v>38</v>
      </c>
      <c r="G38">
        <v>-454.1336</v>
      </c>
      <c r="H38" s="1">
        <v>-2.9861040000000002E-6</v>
      </c>
      <c r="I38">
        <v>366.87009999999998</v>
      </c>
      <c r="J38">
        <v>-475.82350000000002</v>
      </c>
      <c r="K38">
        <v>1.103783</v>
      </c>
      <c r="L38">
        <v>367.51900000000001</v>
      </c>
      <c r="M38">
        <v>0.99995049999999996</v>
      </c>
      <c r="N38">
        <v>0</v>
      </c>
      <c r="O38">
        <v>-2.2190629999999999E-3</v>
      </c>
      <c r="P38">
        <v>0.99853709999999996</v>
      </c>
      <c r="Q38">
        <v>1.0757579999999999E-2</v>
      </c>
      <c r="R38">
        <v>5.2993770000000003E-2</v>
      </c>
      <c r="S38">
        <v>3.0105590000000002</v>
      </c>
      <c r="T38">
        <v>-0.1529394</v>
      </c>
      <c r="U38">
        <v>-8.9904789999999998E-2</v>
      </c>
      <c r="V38">
        <v>-5.5208430000000003E-2</v>
      </c>
      <c r="W38">
        <v>2.0460909999999999E-2</v>
      </c>
      <c r="X38">
        <v>0.99826519999999996</v>
      </c>
      <c r="Y38">
        <v>2.7598890000000001E-2</v>
      </c>
      <c r="Z38">
        <v>-5.87781E-4</v>
      </c>
      <c r="AA38">
        <v>0.99961889999999998</v>
      </c>
      <c r="AB38">
        <v>3</v>
      </c>
      <c r="AC38">
        <v>21.689900000000002</v>
      </c>
      <c r="AD38">
        <v>-1.103785986104</v>
      </c>
      <c r="AE38">
        <v>-0.64890000000002601</v>
      </c>
      <c r="AF38">
        <v>0.59921446693048996</v>
      </c>
      <c r="AG38">
        <v>-1.103785986104</v>
      </c>
      <c r="AH38">
        <v>21.635307088114899</v>
      </c>
      <c r="AI38">
        <v>92.919455473361893</v>
      </c>
      <c r="AJ38">
        <v>88.413533704880606</v>
      </c>
      <c r="AK38">
        <v>21.6717307633131</v>
      </c>
    </row>
    <row r="39" spans="1:37" x14ac:dyDescent="0.2">
      <c r="A39" t="str">
        <f>"20200111160054596"</f>
        <v>20200111160054596</v>
      </c>
      <c r="B39" t="str">
        <f>"1578729654589608"</f>
        <v>1578729654589608</v>
      </c>
      <c r="C39" t="s">
        <v>37</v>
      </c>
      <c r="D39">
        <v>6.4398439999999999</v>
      </c>
      <c r="E39">
        <v>0.58714449999999996</v>
      </c>
      <c r="F39" t="s">
        <v>38</v>
      </c>
      <c r="G39">
        <v>-453.6123</v>
      </c>
      <c r="H39" s="1">
        <v>-3.2109710000000001E-6</v>
      </c>
      <c r="I39">
        <v>366.86309999999997</v>
      </c>
      <c r="J39">
        <v>-475.7004</v>
      </c>
      <c r="K39">
        <v>1.1043069999999999</v>
      </c>
      <c r="L39">
        <v>367.51859999999999</v>
      </c>
      <c r="M39">
        <v>0.99994430000000001</v>
      </c>
      <c r="N39">
        <v>0</v>
      </c>
      <c r="O39">
        <v>-2.4015500000000001E-3</v>
      </c>
      <c r="P39">
        <v>0.99840689999999999</v>
      </c>
      <c r="Q39">
        <v>1.0158189999999999E-2</v>
      </c>
      <c r="R39">
        <v>5.5506689999999997E-2</v>
      </c>
      <c r="S39">
        <v>3.0107119999999998</v>
      </c>
      <c r="T39">
        <v>-0.1496171</v>
      </c>
      <c r="U39">
        <v>-8.8897710000000005E-2</v>
      </c>
      <c r="V39">
        <v>-5.7903900000000001E-2</v>
      </c>
      <c r="W39">
        <v>2.0430400000000001E-2</v>
      </c>
      <c r="X39">
        <v>0.99811309999999998</v>
      </c>
      <c r="Y39">
        <v>2.708313E-2</v>
      </c>
      <c r="Z39">
        <v>-5.5313529999999995E-4</v>
      </c>
      <c r="AA39">
        <v>0.99963299999999999</v>
      </c>
      <c r="AB39">
        <v>4</v>
      </c>
      <c r="AC39">
        <v>22.088100000000001</v>
      </c>
      <c r="AD39">
        <v>-1.1043102109709999</v>
      </c>
      <c r="AE39">
        <v>-0.65550000000001696</v>
      </c>
      <c r="AF39">
        <v>0.60094883868225102</v>
      </c>
      <c r="AG39">
        <v>-1.1043102109709999</v>
      </c>
      <c r="AH39">
        <v>22.034582060516399</v>
      </c>
      <c r="AI39">
        <v>92.8680353525953</v>
      </c>
      <c r="AJ39">
        <v>88.437760294541405</v>
      </c>
      <c r="AK39">
        <v>22.070420184726899</v>
      </c>
    </row>
    <row r="40" spans="1:37" x14ac:dyDescent="0.2">
      <c r="A40" t="str">
        <f>"20200111160054642"</f>
        <v>20200111160054642</v>
      </c>
      <c r="B40" t="str">
        <f>"1578729654639384"</f>
        <v>1578729654639384</v>
      </c>
      <c r="C40" t="s">
        <v>37</v>
      </c>
      <c r="D40">
        <v>4.102379</v>
      </c>
      <c r="E40">
        <v>0.59603589999999995</v>
      </c>
      <c r="F40" t="s">
        <v>39</v>
      </c>
      <c r="G40">
        <v>-432.33539999999999</v>
      </c>
      <c r="H40">
        <v>-0.05</v>
      </c>
      <c r="I40">
        <v>360.07380000000001</v>
      </c>
      <c r="J40">
        <v>-475.61770000000001</v>
      </c>
      <c r="K40">
        <v>1.1042719999999999</v>
      </c>
      <c r="L40">
        <v>367.51819999999998</v>
      </c>
      <c r="M40">
        <v>0.99994340000000004</v>
      </c>
      <c r="N40">
        <v>0</v>
      </c>
      <c r="O40">
        <v>-2.502626E-3</v>
      </c>
      <c r="P40">
        <v>0.9983554</v>
      </c>
      <c r="Q40">
        <v>1.107902E-2</v>
      </c>
      <c r="R40">
        <v>5.6246079999999997E-2</v>
      </c>
      <c r="S40">
        <v>3.0345759999999999</v>
      </c>
      <c r="T40">
        <v>-8.0775620000000006E-2</v>
      </c>
      <c r="U40">
        <v>-0.52096560000000003</v>
      </c>
      <c r="V40">
        <v>-5.8743660000000003E-2</v>
      </c>
      <c r="W40">
        <v>2.140007E-2</v>
      </c>
      <c r="X40">
        <v>0.99804369999999998</v>
      </c>
      <c r="Y40">
        <v>0.16667760000000001</v>
      </c>
      <c r="Z40">
        <v>-2.1357350000000002E-3</v>
      </c>
      <c r="AA40">
        <v>0.98600909999999997</v>
      </c>
      <c r="AB40">
        <v>3</v>
      </c>
      <c r="AC40">
        <v>43.282299999999999</v>
      </c>
      <c r="AD40">
        <v>-1.154272</v>
      </c>
      <c r="AE40">
        <v>-7.4443999999999697</v>
      </c>
      <c r="AF40">
        <v>7.3309874465168399</v>
      </c>
      <c r="AG40">
        <v>-1.154272</v>
      </c>
      <c r="AH40">
        <v>43.270905681573502</v>
      </c>
      <c r="AI40">
        <v>91.506571049589496</v>
      </c>
      <c r="AJ40">
        <v>80.384216516800095</v>
      </c>
      <c r="AK40">
        <v>43.902699225612601</v>
      </c>
    </row>
    <row r="41" spans="1:37" x14ac:dyDescent="0.2">
      <c r="A41" t="str">
        <f>"20200111160054844"</f>
        <v>20200111160054844</v>
      </c>
      <c r="B41" t="str">
        <f>"1578729654839463"</f>
        <v>1578729654839463</v>
      </c>
      <c r="C41" t="s">
        <v>37</v>
      </c>
      <c r="D41">
        <v>4.4070479999999996</v>
      </c>
      <c r="E41">
        <v>0.59576700000000005</v>
      </c>
      <c r="F41" t="s">
        <v>39</v>
      </c>
      <c r="G41">
        <v>-425.46390000000002</v>
      </c>
      <c r="H41">
        <v>-0.05</v>
      </c>
      <c r="I41">
        <v>357.78019999999998</v>
      </c>
      <c r="J41">
        <v>-475.17129999999997</v>
      </c>
      <c r="K41">
        <v>1.104141</v>
      </c>
      <c r="L41">
        <v>367.51620000000003</v>
      </c>
      <c r="M41">
        <v>0.99996350000000001</v>
      </c>
      <c r="N41">
        <v>0</v>
      </c>
      <c r="O41">
        <v>-3.160085E-3</v>
      </c>
      <c r="P41">
        <v>0.99858349999999996</v>
      </c>
      <c r="Q41">
        <v>1.51985E-2</v>
      </c>
      <c r="R41">
        <v>5.0993400000000001E-2</v>
      </c>
      <c r="S41">
        <v>3.0389710000000001</v>
      </c>
      <c r="T41">
        <v>-6.9940920000000004E-2</v>
      </c>
      <c r="U41">
        <v>-0.59005739999999995</v>
      </c>
      <c r="V41">
        <v>-5.4147529999999999E-2</v>
      </c>
      <c r="W41">
        <v>2.314534E-2</v>
      </c>
      <c r="X41">
        <v>0.99826469999999901</v>
      </c>
      <c r="Y41">
        <v>0.1874537</v>
      </c>
      <c r="Z41">
        <v>-2.0648189999999999E-3</v>
      </c>
      <c r="AA41">
        <v>0.98227129999999996</v>
      </c>
      <c r="AB41">
        <v>6</v>
      </c>
      <c r="AC41">
        <v>49.7073999999999</v>
      </c>
      <c r="AD41">
        <v>-1.1541410000000001</v>
      </c>
      <c r="AE41">
        <v>-9.7360000000000397</v>
      </c>
      <c r="AF41">
        <v>9.57389615616251</v>
      </c>
      <c r="AG41">
        <v>-1.1541410000000001</v>
      </c>
      <c r="AH41">
        <v>49.712109325265601</v>
      </c>
      <c r="AI41">
        <v>91.305978218156199</v>
      </c>
      <c r="AJ41">
        <v>79.099052257147704</v>
      </c>
      <c r="AK41">
        <v>50.6387731153118</v>
      </c>
    </row>
    <row r="42" spans="1:37" x14ac:dyDescent="0.2">
      <c r="A42" t="str">
        <f>"20200111160054868"</f>
        <v>20200111160054868</v>
      </c>
      <c r="B42" t="str">
        <f>"1578729654858984"</f>
        <v>1578729654858984</v>
      </c>
      <c r="C42" t="s">
        <v>37</v>
      </c>
      <c r="D42">
        <v>4.3433979999999996</v>
      </c>
      <c r="E42">
        <v>0.54719459999999998</v>
      </c>
      <c r="F42" t="s">
        <v>39</v>
      </c>
      <c r="G42">
        <v>-406.52800000000002</v>
      </c>
      <c r="H42">
        <v>-0.05</v>
      </c>
      <c r="I42">
        <v>353.84280000000001</v>
      </c>
      <c r="J42">
        <v>-475.12259999999998</v>
      </c>
      <c r="K42">
        <v>1.1047559999999901</v>
      </c>
      <c r="L42">
        <v>367.51589999999999</v>
      </c>
      <c r="M42">
        <v>0.99994159999999899</v>
      </c>
      <c r="N42">
        <v>0</v>
      </c>
      <c r="O42">
        <v>-3.214508E-3</v>
      </c>
      <c r="P42">
        <v>0.99860720000000003</v>
      </c>
      <c r="Q42">
        <v>1.198576E-2</v>
      </c>
      <c r="R42">
        <v>5.1381349999999999E-2</v>
      </c>
      <c r="S42">
        <v>3.0359189999999998</v>
      </c>
      <c r="T42">
        <v>-5.1044699999999901E-2</v>
      </c>
      <c r="U42">
        <v>-0.6047363</v>
      </c>
      <c r="V42">
        <v>-5.4590329999999999E-2</v>
      </c>
      <c r="W42">
        <v>2.2285349999999999E-2</v>
      </c>
      <c r="X42">
        <v>0.99826009999999998</v>
      </c>
      <c r="Y42">
        <v>0.1921764</v>
      </c>
      <c r="Z42">
        <v>-1.546246E-3</v>
      </c>
      <c r="AA42">
        <v>0.98135919999999899</v>
      </c>
      <c r="AB42">
        <v>5</v>
      </c>
      <c r="AC42">
        <v>68.5945999999999</v>
      </c>
      <c r="AD42">
        <v>-1.1547559999999999</v>
      </c>
      <c r="AE42">
        <v>-13.6730999999999</v>
      </c>
      <c r="AF42">
        <v>13.448853961635701</v>
      </c>
      <c r="AG42">
        <v>-1.1547559999999999</v>
      </c>
      <c r="AH42">
        <v>68.619496551924897</v>
      </c>
      <c r="AI42">
        <v>90.946108292911106</v>
      </c>
      <c r="AJ42">
        <v>78.911060674511901</v>
      </c>
      <c r="AK42">
        <v>69.934543977497796</v>
      </c>
    </row>
    <row r="43" spans="1:37" x14ac:dyDescent="0.2">
      <c r="A43" t="str">
        <f>"20200111160054889"</f>
        <v>20200111160054889</v>
      </c>
      <c r="B43" t="str">
        <f>"1578729654879480"</f>
        <v>1578729654879480</v>
      </c>
      <c r="C43" t="s">
        <v>37</v>
      </c>
      <c r="D43">
        <v>4.3460269999999896</v>
      </c>
      <c r="E43">
        <v>0.54510719999999901</v>
      </c>
      <c r="F43" t="s">
        <v>39</v>
      </c>
      <c r="G43">
        <v>-421.83890000000002</v>
      </c>
      <c r="H43">
        <v>-0.05</v>
      </c>
      <c r="I43">
        <v>363.71710000000002</v>
      </c>
      <c r="J43">
        <v>-475.07709999999997</v>
      </c>
      <c r="K43">
        <v>1.1047129999999901</v>
      </c>
      <c r="L43">
        <v>367.51569999999998</v>
      </c>
      <c r="M43">
        <v>0.99993829999999995</v>
      </c>
      <c r="N43">
        <v>0</v>
      </c>
      <c r="O43">
        <v>-3.265043E-3</v>
      </c>
      <c r="P43">
        <v>0.99861449999999996</v>
      </c>
      <c r="Q43">
        <v>1.1134089999999999E-2</v>
      </c>
      <c r="R43">
        <v>5.1432949999999998E-2</v>
      </c>
      <c r="S43">
        <v>3.016022</v>
      </c>
      <c r="T43">
        <v>-6.5362809999999993E-2</v>
      </c>
      <c r="U43">
        <v>-0.21502689999999899</v>
      </c>
      <c r="V43">
        <v>-5.4692360000000002E-2</v>
      </c>
      <c r="W43">
        <v>2.174999E-2</v>
      </c>
      <c r="X43">
        <v>0.99826630000000005</v>
      </c>
      <c r="Y43">
        <v>6.784192E-2</v>
      </c>
      <c r="Z43">
        <v>-6.6344919999999897E-4</v>
      </c>
      <c r="AA43">
        <v>0.99769589999999997</v>
      </c>
      <c r="AB43">
        <v>5</v>
      </c>
      <c r="AC43">
        <v>53.2381999999999</v>
      </c>
      <c r="AD43">
        <v>-1.1547129999999901</v>
      </c>
      <c r="AE43">
        <v>-3.79859999999996</v>
      </c>
      <c r="AF43">
        <v>3.6230491560994</v>
      </c>
      <c r="AG43">
        <v>-1.1547129999999901</v>
      </c>
      <c r="AH43">
        <v>53.225407117998003</v>
      </c>
      <c r="AI43">
        <v>91.2399553799129</v>
      </c>
      <c r="AJ43">
        <v>86.105887984804795</v>
      </c>
      <c r="AK43">
        <v>53.361070174580597</v>
      </c>
    </row>
    <row r="44" spans="1:37" x14ac:dyDescent="0.2">
      <c r="A44" t="str">
        <f>"20200111160054910"</f>
        <v>20200111160054910</v>
      </c>
      <c r="B44" t="str">
        <f>"1578729654899000"</f>
        <v>1578729654899000</v>
      </c>
      <c r="C44" t="s">
        <v>37</v>
      </c>
      <c r="D44">
        <v>4.2773539999999999</v>
      </c>
      <c r="E44">
        <v>0.54396919999999904</v>
      </c>
      <c r="F44" t="s">
        <v>39</v>
      </c>
      <c r="G44">
        <v>-422.5376</v>
      </c>
      <c r="H44">
        <v>-0.05</v>
      </c>
      <c r="I44">
        <v>364.0634</v>
      </c>
      <c r="J44">
        <v>-475.02690000000001</v>
      </c>
      <c r="K44">
        <v>1.104258</v>
      </c>
      <c r="L44">
        <v>367.51549999999997</v>
      </c>
      <c r="M44">
        <v>0.99995020000000001</v>
      </c>
      <c r="N44">
        <v>0</v>
      </c>
      <c r="O44">
        <v>-3.3315900000000002E-3</v>
      </c>
      <c r="P44">
        <v>0.99861259999999996</v>
      </c>
      <c r="Q44">
        <v>1.131945E-2</v>
      </c>
      <c r="R44">
        <v>5.1429540000000003E-2</v>
      </c>
      <c r="S44">
        <v>3.0151059999999998</v>
      </c>
      <c r="T44">
        <v>-6.6266060000000002E-2</v>
      </c>
      <c r="U44">
        <v>-0.19812009999999999</v>
      </c>
      <c r="V44">
        <v>-5.4755449999999997E-2</v>
      </c>
      <c r="W44">
        <v>2.071835E-2</v>
      </c>
      <c r="X44">
        <v>0.99828479999999997</v>
      </c>
      <c r="Y44">
        <v>6.2228680000000001E-2</v>
      </c>
      <c r="Z44">
        <v>-6.0987750000000005E-4</v>
      </c>
      <c r="AA44">
        <v>0.99806170000000005</v>
      </c>
      <c r="AB44">
        <v>4</v>
      </c>
      <c r="AC44">
        <v>52.4893</v>
      </c>
      <c r="AD44">
        <v>-1.154258</v>
      </c>
      <c r="AE44">
        <v>-3.45209999999997</v>
      </c>
      <c r="AF44">
        <v>3.2756230856436499</v>
      </c>
      <c r="AG44">
        <v>-1.154258</v>
      </c>
      <c r="AH44">
        <v>52.475243710725799</v>
      </c>
      <c r="AI44">
        <v>91.257641405759003</v>
      </c>
      <c r="AJ44">
        <v>86.428102729131794</v>
      </c>
      <c r="AK44">
        <v>52.590048684421603</v>
      </c>
    </row>
    <row r="45" spans="1:37" x14ac:dyDescent="0.2">
      <c r="A45" t="str">
        <f>"20200111160054933"</f>
        <v>20200111160054933</v>
      </c>
      <c r="B45" t="str">
        <f>"1578729654929256"</f>
        <v>1578729654929256</v>
      </c>
      <c r="C45" t="s">
        <v>37</v>
      </c>
      <c r="D45">
        <v>4.3989929999999999</v>
      </c>
      <c r="E45">
        <v>0.54396979999999995</v>
      </c>
      <c r="F45" t="s">
        <v>39</v>
      </c>
      <c r="G45">
        <v>-421.39269999999999</v>
      </c>
      <c r="H45">
        <v>-0.05</v>
      </c>
      <c r="I45">
        <v>364.14819999999997</v>
      </c>
      <c r="J45">
        <v>-474.96910000000003</v>
      </c>
      <c r="K45">
        <v>1.1038239999999999</v>
      </c>
      <c r="L45">
        <v>367.51519999999999</v>
      </c>
      <c r="M45">
        <v>0.99996260000000003</v>
      </c>
      <c r="N45">
        <v>0</v>
      </c>
      <c r="O45">
        <v>-3.4194550000000001E-3</v>
      </c>
      <c r="P45">
        <v>0.99861109999999897</v>
      </c>
      <c r="Q45">
        <v>1.240024E-2</v>
      </c>
      <c r="R45">
        <v>5.1209499999999998E-2</v>
      </c>
      <c r="S45">
        <v>3.01464799999999</v>
      </c>
      <c r="T45">
        <v>-6.4877989999999996E-2</v>
      </c>
      <c r="U45">
        <v>-0.18926999999999999</v>
      </c>
      <c r="V45">
        <v>-5.4622589999999999E-2</v>
      </c>
      <c r="W45">
        <v>2.0336E-2</v>
      </c>
      <c r="X45">
        <v>0.99829999999999997</v>
      </c>
      <c r="Y45">
        <v>5.923399E-2</v>
      </c>
      <c r="Z45">
        <v>-5.6317529999999995E-4</v>
      </c>
      <c r="AA45">
        <v>0.99824400000000002</v>
      </c>
      <c r="AB45">
        <v>5</v>
      </c>
      <c r="AC45">
        <v>53.5764</v>
      </c>
      <c r="AD45">
        <v>-1.153824</v>
      </c>
      <c r="AE45">
        <v>-3.3670000000000102</v>
      </c>
      <c r="AF45">
        <v>3.1823022943571799</v>
      </c>
      <c r="AG45">
        <v>-1.153824</v>
      </c>
      <c r="AH45">
        <v>53.562855622049398</v>
      </c>
      <c r="AI45">
        <v>91.231874330038906</v>
      </c>
      <c r="AJ45">
        <v>86.599912258733198</v>
      </c>
      <c r="AK45">
        <v>53.669710825605797</v>
      </c>
    </row>
    <row r="46" spans="1:37" x14ac:dyDescent="0.2">
      <c r="A46" t="str">
        <f>"20200111160054955"</f>
        <v>20200111160054955</v>
      </c>
      <c r="B46" t="str">
        <f>"1578729654948775"</f>
        <v>1578729654948775</v>
      </c>
      <c r="C46" t="s">
        <v>37</v>
      </c>
      <c r="D46">
        <v>4.1760440000000001</v>
      </c>
      <c r="E46">
        <v>0.54321909999999995</v>
      </c>
      <c r="F46" t="s">
        <v>39</v>
      </c>
      <c r="G46">
        <v>-414.1825</v>
      </c>
      <c r="H46">
        <v>-0.05</v>
      </c>
      <c r="I46">
        <v>363.6773</v>
      </c>
      <c r="J46">
        <v>-474.91140000000001</v>
      </c>
      <c r="K46">
        <v>1.1035740000000001</v>
      </c>
      <c r="L46">
        <v>367.51499999999999</v>
      </c>
      <c r="M46">
        <v>0.99997009999999897</v>
      </c>
      <c r="N46">
        <v>0</v>
      </c>
      <c r="O46">
        <v>-3.5146879999999902E-3</v>
      </c>
      <c r="P46">
        <v>0.99862260000000003</v>
      </c>
      <c r="Q46">
        <v>1.316953E-2</v>
      </c>
      <c r="R46">
        <v>5.0786480000000002E-2</v>
      </c>
      <c r="S46">
        <v>3.01464799999999</v>
      </c>
      <c r="T46">
        <v>-5.7222599999999998E-2</v>
      </c>
      <c r="U46">
        <v>-0.19033810000000001</v>
      </c>
      <c r="V46">
        <v>-5.4293979999999999E-2</v>
      </c>
      <c r="W46">
        <v>2.0033749999999999E-2</v>
      </c>
      <c r="X46">
        <v>0.99832399999999999</v>
      </c>
      <c r="Y46">
        <v>5.9494070000000003E-2</v>
      </c>
      <c r="Z46">
        <v>-4.973903E-4</v>
      </c>
      <c r="AA46">
        <v>0.99822849999999996</v>
      </c>
      <c r="AB46">
        <v>6</v>
      </c>
      <c r="AC46">
        <v>60.728900000000003</v>
      </c>
      <c r="AD46">
        <v>-1.1535740000000001</v>
      </c>
      <c r="AE46">
        <v>-3.8376999999999799</v>
      </c>
      <c r="AF46">
        <v>3.6229260423938601</v>
      </c>
      <c r="AG46">
        <v>-1.1535740000000001</v>
      </c>
      <c r="AH46">
        <v>60.7201911354381</v>
      </c>
      <c r="AI46">
        <v>91.086453713415693</v>
      </c>
      <c r="AJ46">
        <v>86.585442752872893</v>
      </c>
      <c r="AK46">
        <v>60.839115194143602</v>
      </c>
    </row>
    <row r="47" spans="1:37" x14ac:dyDescent="0.2">
      <c r="A47" t="str">
        <f>"20200111160054977"</f>
        <v>20200111160054977</v>
      </c>
      <c r="B47" t="str">
        <f>"1578729654969271"</f>
        <v>1578729654969271</v>
      </c>
      <c r="C47" t="s">
        <v>37</v>
      </c>
      <c r="D47">
        <v>4.3759699999999997</v>
      </c>
      <c r="E47">
        <v>0.54386089999999998</v>
      </c>
      <c r="F47" t="s">
        <v>39</v>
      </c>
      <c r="G47">
        <v>-413.97190000000001</v>
      </c>
      <c r="H47">
        <v>-0.05</v>
      </c>
      <c r="I47">
        <v>363.76940000000002</v>
      </c>
      <c r="J47">
        <v>-474.85340000000002</v>
      </c>
      <c r="K47">
        <v>1.103599</v>
      </c>
      <c r="L47">
        <v>367.51459999999997</v>
      </c>
      <c r="M47">
        <v>0.99997150000000001</v>
      </c>
      <c r="N47">
        <v>0</v>
      </c>
      <c r="O47">
        <v>-3.6096679999999999E-3</v>
      </c>
      <c r="P47">
        <v>0.99865839999999995</v>
      </c>
      <c r="Q47">
        <v>1.36305E-2</v>
      </c>
      <c r="R47">
        <v>4.9959660000000003E-2</v>
      </c>
      <c r="S47">
        <v>3.0143430000000002</v>
      </c>
      <c r="T47">
        <v>-5.7060960000000001E-2</v>
      </c>
      <c r="U47">
        <v>-0.1852722</v>
      </c>
      <c r="V47">
        <v>-5.3562039999999998E-2</v>
      </c>
      <c r="W47">
        <v>2.0270699999999999E-2</v>
      </c>
      <c r="X47">
        <v>0.99835879999999999</v>
      </c>
      <c r="Y47">
        <v>5.7734769999999998E-2</v>
      </c>
      <c r="Z47">
        <v>-4.7763100000000001E-4</v>
      </c>
      <c r="AA47">
        <v>0.99833179999999999</v>
      </c>
      <c r="AB47">
        <v>6</v>
      </c>
      <c r="AC47">
        <v>60.881500000000003</v>
      </c>
      <c r="AD47">
        <v>-1.153599</v>
      </c>
      <c r="AE47">
        <v>-3.7451999999999499</v>
      </c>
      <c r="AF47">
        <v>3.52414823649951</v>
      </c>
      <c r="AG47">
        <v>-1.153599</v>
      </c>
      <c r="AH47">
        <v>60.872849370763497</v>
      </c>
      <c r="AI47">
        <v>91.083865704867307</v>
      </c>
      <c r="AJ47">
        <v>86.686639665056305</v>
      </c>
      <c r="AK47">
        <v>60.985688501166301</v>
      </c>
    </row>
    <row r="48" spans="1:37" x14ac:dyDescent="0.2">
      <c r="A48" t="str">
        <f>"20200111160054999"</f>
        <v>20200111160054999</v>
      </c>
      <c r="B48" t="str">
        <f>"1578729654988792"</f>
        <v>1578729654988792</v>
      </c>
      <c r="C48" t="s">
        <v>37</v>
      </c>
      <c r="D48">
        <v>4.2868370000000002</v>
      </c>
      <c r="E48">
        <v>0.5434831</v>
      </c>
      <c r="F48" t="s">
        <v>39</v>
      </c>
      <c r="G48">
        <v>-405.59930000000003</v>
      </c>
      <c r="H48">
        <v>-0.05</v>
      </c>
      <c r="I48">
        <v>363.07159999999999</v>
      </c>
      <c r="J48">
        <v>-474.79689999999999</v>
      </c>
      <c r="K48">
        <v>1.1040829999999999</v>
      </c>
      <c r="L48">
        <v>367.51440000000002</v>
      </c>
      <c r="M48">
        <v>0.99996039999999997</v>
      </c>
      <c r="N48">
        <v>0</v>
      </c>
      <c r="O48">
        <v>-3.6865420000000001E-3</v>
      </c>
      <c r="P48">
        <v>0.9987144</v>
      </c>
      <c r="Q48">
        <v>1.138108E-2</v>
      </c>
      <c r="R48">
        <v>4.9402870000000002E-2</v>
      </c>
      <c r="S48">
        <v>3.0143740000000001</v>
      </c>
      <c r="T48">
        <v>-5.0211909999999998E-2</v>
      </c>
      <c r="U48">
        <v>-0.193389899999999</v>
      </c>
      <c r="V48">
        <v>-5.3082980000000002E-2</v>
      </c>
      <c r="W48">
        <v>1.9502660000000002E-2</v>
      </c>
      <c r="X48">
        <v>0.99839959999999905</v>
      </c>
      <c r="Y48">
        <v>6.0336929999999997E-2</v>
      </c>
      <c r="Z48">
        <v>-4.4063879999999998E-4</v>
      </c>
      <c r="AA48">
        <v>0.99817789999999995</v>
      </c>
      <c r="AB48">
        <v>6</v>
      </c>
      <c r="AC48">
        <v>69.197599999999895</v>
      </c>
      <c r="AD48">
        <v>-1.154083</v>
      </c>
      <c r="AE48">
        <v>-4.4428000000000303</v>
      </c>
      <c r="AF48">
        <v>4.1865018508147598</v>
      </c>
      <c r="AG48">
        <v>-1.154083</v>
      </c>
      <c r="AH48">
        <v>69.194340889868101</v>
      </c>
      <c r="AI48">
        <v>90.953796062480393</v>
      </c>
      <c r="AJ48">
        <v>86.5376238733744</v>
      </c>
      <c r="AK48">
        <v>69.3304804288925</v>
      </c>
    </row>
    <row r="49" spans="1:37" x14ac:dyDescent="0.2">
      <c r="A49" t="str">
        <f>"20200111160055021"</f>
        <v>20200111160055021</v>
      </c>
      <c r="B49" t="str">
        <f>"1578729655019048"</f>
        <v>1578729655019048</v>
      </c>
      <c r="C49" t="s">
        <v>37</v>
      </c>
      <c r="D49">
        <v>4.3527149999999999</v>
      </c>
      <c r="E49">
        <v>0.54249859999999905</v>
      </c>
      <c r="F49" t="s">
        <v>39</v>
      </c>
      <c r="G49">
        <v>-415.14370000000002</v>
      </c>
      <c r="H49">
        <v>-0.05</v>
      </c>
      <c r="I49">
        <v>363.70920000000001</v>
      </c>
      <c r="J49">
        <v>-474.74650000000003</v>
      </c>
      <c r="K49">
        <v>1.1044039999999999</v>
      </c>
      <c r="L49">
        <v>367.51409999999998</v>
      </c>
      <c r="M49">
        <v>0.99994950000000005</v>
      </c>
      <c r="N49">
        <v>0</v>
      </c>
      <c r="O49">
        <v>-3.7438829999999999E-3</v>
      </c>
      <c r="P49">
        <v>0.9987975</v>
      </c>
      <c r="Q49">
        <v>9.3124699999999998E-3</v>
      </c>
      <c r="R49">
        <v>4.8135129999999998E-2</v>
      </c>
      <c r="S49">
        <v>3.0140380000000002</v>
      </c>
      <c r="T49">
        <v>-5.8311219999999997E-2</v>
      </c>
      <c r="U49">
        <v>-0.19226070000000001</v>
      </c>
      <c r="V49">
        <v>-5.1873139999999998E-2</v>
      </c>
      <c r="W49">
        <v>1.864356E-2</v>
      </c>
      <c r="X49">
        <v>0.99847969999999897</v>
      </c>
      <c r="Y49">
        <v>5.9911680000000002E-2</v>
      </c>
      <c r="Z49">
        <v>-5.06548E-4</v>
      </c>
      <c r="AA49">
        <v>0.99820359999999997</v>
      </c>
      <c r="AB49">
        <v>6</v>
      </c>
      <c r="AC49">
        <v>59.602800000000002</v>
      </c>
      <c r="AD49">
        <v>-1.154404</v>
      </c>
      <c r="AE49">
        <v>-3.8048999999999702</v>
      </c>
      <c r="AF49">
        <v>3.5803800582693799</v>
      </c>
      <c r="AG49">
        <v>-1.154404</v>
      </c>
      <c r="AH49">
        <v>59.594363040629702</v>
      </c>
      <c r="AI49">
        <v>91.107742383816003</v>
      </c>
      <c r="AJ49">
        <v>86.561849641375701</v>
      </c>
      <c r="AK49">
        <v>59.712979126612296</v>
      </c>
    </row>
    <row r="50" spans="1:37" x14ac:dyDescent="0.2">
      <c r="A50" t="str">
        <f>"20200111160055043"</f>
        <v>20200111160055043</v>
      </c>
      <c r="B50" t="str">
        <f>"1578729655039544"</f>
        <v>1578729655039544</v>
      </c>
      <c r="C50" t="s">
        <v>37</v>
      </c>
      <c r="D50">
        <v>4.2981559999999996</v>
      </c>
      <c r="E50">
        <v>0.54268590000000005</v>
      </c>
      <c r="F50" t="s">
        <v>39</v>
      </c>
      <c r="G50">
        <v>-425.0598</v>
      </c>
      <c r="H50">
        <v>-0.05</v>
      </c>
      <c r="I50">
        <v>364.4169</v>
      </c>
      <c r="J50">
        <v>-474.69099999999997</v>
      </c>
      <c r="K50">
        <v>1.10426</v>
      </c>
      <c r="L50">
        <v>367.5138</v>
      </c>
      <c r="M50">
        <v>0.9999517</v>
      </c>
      <c r="N50">
        <v>0</v>
      </c>
      <c r="O50">
        <v>-3.8075650000000002E-3</v>
      </c>
      <c r="P50">
        <v>0.99887729999999997</v>
      </c>
      <c r="Q50">
        <v>8.4734890000000007E-3</v>
      </c>
      <c r="R50">
        <v>4.6607639999999999E-2</v>
      </c>
      <c r="S50">
        <v>3.013306</v>
      </c>
      <c r="T50">
        <v>-7.001019E-2</v>
      </c>
      <c r="U50">
        <v>-0.18783569999999999</v>
      </c>
      <c r="V50">
        <v>-5.0409580000000002E-2</v>
      </c>
      <c r="W50">
        <v>1.7528410000000001E-2</v>
      </c>
      <c r="X50">
        <v>0.99857479999999998</v>
      </c>
      <c r="Y50">
        <v>5.839921E-2</v>
      </c>
      <c r="Z50">
        <v>-5.8929849999999999E-4</v>
      </c>
      <c r="AA50">
        <v>0.99829319999999899</v>
      </c>
      <c r="AB50">
        <v>5</v>
      </c>
      <c r="AC50">
        <v>49.6311999999999</v>
      </c>
      <c r="AD50">
        <v>-1.1542600000000001</v>
      </c>
      <c r="AE50">
        <v>-3.0969000000000002</v>
      </c>
      <c r="AF50">
        <v>2.90632990401485</v>
      </c>
      <c r="AG50">
        <v>-1.1542600000000001</v>
      </c>
      <c r="AH50">
        <v>49.6159003663834</v>
      </c>
      <c r="AI50">
        <v>91.330403980718202</v>
      </c>
      <c r="AJ50">
        <v>86.647639740159804</v>
      </c>
      <c r="AK50">
        <v>49.714350431494601</v>
      </c>
    </row>
    <row r="51" spans="1:37" x14ac:dyDescent="0.2">
      <c r="A51" t="str">
        <f>"20200111160055064"</f>
        <v>20200111160055064</v>
      </c>
      <c r="B51" t="str">
        <f>"1578729655059065"</f>
        <v>1578729655059065</v>
      </c>
      <c r="C51" t="s">
        <v>37</v>
      </c>
      <c r="D51">
        <v>4.3502609999999997</v>
      </c>
      <c r="E51">
        <v>0.54291049999999996</v>
      </c>
      <c r="F51" t="s">
        <v>39</v>
      </c>
      <c r="G51">
        <v>-425.58960000000002</v>
      </c>
      <c r="H51">
        <v>-0.05</v>
      </c>
      <c r="I51">
        <v>364.35329999999999</v>
      </c>
      <c r="J51">
        <v>-474.63069999999999</v>
      </c>
      <c r="K51">
        <v>1.1038699999999999</v>
      </c>
      <c r="L51">
        <v>367.51350000000002</v>
      </c>
      <c r="M51">
        <v>0.99996240000000003</v>
      </c>
      <c r="N51">
        <v>0</v>
      </c>
      <c r="O51">
        <v>-3.8903290000000001E-3</v>
      </c>
      <c r="P51">
        <v>0.998942</v>
      </c>
      <c r="Q51">
        <v>8.5032919999999904E-3</v>
      </c>
      <c r="R51">
        <v>4.5197750000000002E-2</v>
      </c>
      <c r="S51">
        <v>3.0130619999999899</v>
      </c>
      <c r="T51">
        <v>-7.0830110000000002E-2</v>
      </c>
      <c r="U51">
        <v>-0.19393920000000001</v>
      </c>
      <c r="V51">
        <v>-4.9082580000000001E-2</v>
      </c>
      <c r="W51">
        <v>1.6263070000000001E-2</v>
      </c>
      <c r="X51">
        <v>0.9986623</v>
      </c>
      <c r="Y51">
        <v>6.0334819999999997E-2</v>
      </c>
      <c r="Z51">
        <v>-6.1699019999999995E-4</v>
      </c>
      <c r="AA51">
        <v>0.99817800000000001</v>
      </c>
      <c r="AB51">
        <v>5</v>
      </c>
      <c r="AC51">
        <v>49.041099999999901</v>
      </c>
      <c r="AD51">
        <v>-1.15387</v>
      </c>
      <c r="AE51">
        <v>-3.1602000000000299</v>
      </c>
      <c r="AF51">
        <v>2.9677481996983701</v>
      </c>
      <c r="AG51">
        <v>-1.15387</v>
      </c>
      <c r="AH51">
        <v>49.0259950675106</v>
      </c>
      <c r="AI51">
        <v>91.345795157963295</v>
      </c>
      <c r="AJ51">
        <v>86.535874387117701</v>
      </c>
      <c r="AK51">
        <v>49.129290018412597</v>
      </c>
    </row>
    <row r="52" spans="1:37" x14ac:dyDescent="0.2">
      <c r="A52" t="str">
        <f>"20200111160055089"</f>
        <v>20200111160055089</v>
      </c>
      <c r="B52" t="str">
        <f>"1578729655078584"</f>
        <v>1578729655078584</v>
      </c>
      <c r="C52" t="s">
        <v>37</v>
      </c>
      <c r="D52">
        <v>4.2257530000000001</v>
      </c>
      <c r="E52">
        <v>0.54291049999999996</v>
      </c>
      <c r="F52" t="s">
        <v>39</v>
      </c>
      <c r="G52">
        <v>-424.89370000000002</v>
      </c>
      <c r="H52">
        <v>-0.05</v>
      </c>
      <c r="I52">
        <v>364.20949999999999</v>
      </c>
      <c r="J52">
        <v>-474.56189999999998</v>
      </c>
      <c r="K52">
        <v>1.1035349999999999</v>
      </c>
      <c r="L52">
        <v>367.51319999999998</v>
      </c>
      <c r="M52">
        <v>0.99997139999999995</v>
      </c>
      <c r="N52">
        <v>0</v>
      </c>
      <c r="O52">
        <v>-3.9968970000000001E-3</v>
      </c>
      <c r="P52">
        <v>0.99893050000000005</v>
      </c>
      <c r="Q52">
        <v>1.0231850000000001E-2</v>
      </c>
      <c r="R52">
        <v>4.5089549999999999E-2</v>
      </c>
      <c r="S52">
        <v>3.012756</v>
      </c>
      <c r="T52">
        <v>-6.9894189999999995E-2</v>
      </c>
      <c r="U52">
        <v>-0.20013429999999999</v>
      </c>
      <c r="V52">
        <v>-4.9080840000000001E-2</v>
      </c>
      <c r="W52">
        <v>1.6645440000000001E-2</v>
      </c>
      <c r="X52">
        <v>0.99865609999999905</v>
      </c>
      <c r="Y52">
        <v>6.2278550000000002E-2</v>
      </c>
      <c r="Z52">
        <v>-6.289113E-4</v>
      </c>
      <c r="AA52">
        <v>0.99805859999999902</v>
      </c>
      <c r="AB52">
        <v>6</v>
      </c>
      <c r="AC52">
        <v>49.668199999999899</v>
      </c>
      <c r="AD52">
        <v>-1.153535</v>
      </c>
      <c r="AE52">
        <v>-3.3036999999999899</v>
      </c>
      <c r="AF52">
        <v>3.1034842168943899</v>
      </c>
      <c r="AG52">
        <v>-1.153535</v>
      </c>
      <c r="AH52">
        <v>49.654342880056298</v>
      </c>
      <c r="AI52">
        <v>91.328225263489401</v>
      </c>
      <c r="AJ52">
        <v>86.423564722519103</v>
      </c>
      <c r="AK52">
        <v>49.764606138609501</v>
      </c>
    </row>
    <row r="53" spans="1:37" x14ac:dyDescent="0.2">
      <c r="A53" t="str">
        <f>"20200111160055111"</f>
        <v>20200111160055111</v>
      </c>
      <c r="B53" t="str">
        <f>"1578729655099080"</f>
        <v>1578729655099080</v>
      </c>
      <c r="C53" t="s">
        <v>37</v>
      </c>
      <c r="D53">
        <v>4.3279620000000003</v>
      </c>
      <c r="E53">
        <v>0.62796929999999995</v>
      </c>
      <c r="F53" t="s">
        <v>39</v>
      </c>
      <c r="G53">
        <v>-420.29329999999999</v>
      </c>
      <c r="H53">
        <v>-0.05</v>
      </c>
      <c r="I53">
        <v>363.90010000000001</v>
      </c>
      <c r="J53">
        <v>-474.4973</v>
      </c>
      <c r="K53">
        <v>1.1033790000000001</v>
      </c>
      <c r="L53">
        <v>367.51280000000003</v>
      </c>
      <c r="M53">
        <v>0.99997630000000004</v>
      </c>
      <c r="N53">
        <v>0</v>
      </c>
      <c r="O53">
        <v>-4.1025089999999998E-3</v>
      </c>
      <c r="P53">
        <v>0.99891730000000001</v>
      </c>
      <c r="Q53">
        <v>1.156751E-2</v>
      </c>
      <c r="R53">
        <v>4.5061619999999997E-2</v>
      </c>
      <c r="S53">
        <v>3.0129090000000001</v>
      </c>
      <c r="T53">
        <v>-6.4042569999999993E-2</v>
      </c>
      <c r="U53">
        <v>-0.20059199999999999</v>
      </c>
      <c r="V53">
        <v>-4.9158090000000002E-2</v>
      </c>
      <c r="W53">
        <v>1.7099799999999998E-2</v>
      </c>
      <c r="X53">
        <v>0.99864459999999999</v>
      </c>
      <c r="Y53">
        <v>6.2323299999999998E-2</v>
      </c>
      <c r="Z53">
        <v>-5.7447189999999999E-4</v>
      </c>
      <c r="AA53">
        <v>0.9980559</v>
      </c>
      <c r="AB53">
        <v>6</v>
      </c>
      <c r="AC53">
        <v>54.204000000000001</v>
      </c>
      <c r="AD53">
        <v>-1.1533789999999999</v>
      </c>
      <c r="AE53">
        <v>-3.61270000000001</v>
      </c>
      <c r="AF53">
        <v>3.3887662410603299</v>
      </c>
      <c r="AG53">
        <v>-1.1533789999999999</v>
      </c>
      <c r="AH53">
        <v>54.193936121107299</v>
      </c>
      <c r="AI53">
        <v>91.216833829499393</v>
      </c>
      <c r="AJ53">
        <v>86.421932996318503</v>
      </c>
      <c r="AK53">
        <v>54.312031190638201</v>
      </c>
    </row>
    <row r="54" spans="1:37" x14ac:dyDescent="0.2">
      <c r="A54" t="str">
        <f>"20200111160055134"</f>
        <v>20200111160055134</v>
      </c>
      <c r="B54" t="str">
        <f>"1578729655129335"</f>
        <v>1578729655129335</v>
      </c>
      <c r="C54" t="s">
        <v>37</v>
      </c>
      <c r="D54">
        <v>4.3902900000000002</v>
      </c>
      <c r="E54">
        <v>0.54187269999999998</v>
      </c>
      <c r="F54" t="s">
        <v>40</v>
      </c>
      <c r="G54">
        <v>-359.4796</v>
      </c>
      <c r="H54">
        <v>24.354039999999902</v>
      </c>
      <c r="I54">
        <v>332.37779999999998</v>
      </c>
      <c r="J54">
        <v>-474.42489999999998</v>
      </c>
      <c r="K54">
        <v>1.103253</v>
      </c>
      <c r="L54">
        <v>367.51240000000001</v>
      </c>
      <c r="M54">
        <v>0.99998029999999904</v>
      </c>
      <c r="N54">
        <v>0</v>
      </c>
      <c r="O54">
        <v>-4.2231020000000003E-3</v>
      </c>
      <c r="P54">
        <v>0.99886699999999995</v>
      </c>
      <c r="Q54">
        <v>1.244048E-2</v>
      </c>
      <c r="R54">
        <v>4.5938720000000002E-2</v>
      </c>
      <c r="S54">
        <v>3.0380250000000002</v>
      </c>
      <c r="T54">
        <v>0.61413219999999902</v>
      </c>
      <c r="U54">
        <v>-0.92803959999999996</v>
      </c>
      <c r="V54">
        <v>-5.015472E-2</v>
      </c>
      <c r="W54">
        <v>1.7116969999999999E-2</v>
      </c>
      <c r="X54">
        <v>0.9985948</v>
      </c>
      <c r="Y54">
        <v>0.2829469</v>
      </c>
      <c r="Z54">
        <v>2.6872030000000002E-2</v>
      </c>
      <c r="AA54">
        <v>0.95875909999999998</v>
      </c>
      <c r="AB54">
        <v>7</v>
      </c>
      <c r="AC54">
        <v>114.94529999999899</v>
      </c>
      <c r="AD54">
        <v>23.250786999999999</v>
      </c>
      <c r="AE54">
        <v>-35.134599999999999</v>
      </c>
      <c r="AF54">
        <v>33.399068331439999</v>
      </c>
      <c r="AG54">
        <v>23.250786999999999</v>
      </c>
      <c r="AH54">
        <v>110.941251033269</v>
      </c>
      <c r="AI54">
        <v>78.652575553294994</v>
      </c>
      <c r="AJ54">
        <v>73.245481610472197</v>
      </c>
      <c r="AK54">
        <v>118.1696155632</v>
      </c>
    </row>
    <row r="55" spans="1:37" x14ac:dyDescent="0.2">
      <c r="A55" t="str">
        <f>"20200111160055154"</f>
        <v>20200111160055154</v>
      </c>
      <c r="B55" t="str">
        <f>"1578729655148856"</f>
        <v>1578729655148856</v>
      </c>
      <c r="C55" t="s">
        <v>37</v>
      </c>
      <c r="D55">
        <v>4.3818609999999998</v>
      </c>
      <c r="E55">
        <v>0.54160929999999996</v>
      </c>
      <c r="F55" t="s">
        <v>39</v>
      </c>
      <c r="G55">
        <v>-420.1112</v>
      </c>
      <c r="H55">
        <v>-0.05</v>
      </c>
      <c r="I55">
        <v>364.09660000000002</v>
      </c>
      <c r="J55">
        <v>-474.36020000000002</v>
      </c>
      <c r="K55">
        <v>1.1031329999999999</v>
      </c>
      <c r="L55">
        <v>367.51209999999998</v>
      </c>
      <c r="M55">
        <v>0.99998310000000001</v>
      </c>
      <c r="N55">
        <v>0</v>
      </c>
      <c r="O55">
        <v>-4.3305549999999998E-3</v>
      </c>
      <c r="P55">
        <v>0.99882039999999905</v>
      </c>
      <c r="Q55">
        <v>1.306712E-2</v>
      </c>
      <c r="R55">
        <v>4.6766460000000003E-2</v>
      </c>
      <c r="S55">
        <v>3.0129389999999998</v>
      </c>
      <c r="T55">
        <v>-6.3974260000000005E-2</v>
      </c>
      <c r="U55">
        <v>-0.1894836</v>
      </c>
      <c r="V55">
        <v>-5.1089080000000002E-2</v>
      </c>
      <c r="W55">
        <v>1.693913E-2</v>
      </c>
      <c r="X55">
        <v>0.99855039999999995</v>
      </c>
      <c r="Y55">
        <v>5.8431169999999998E-2</v>
      </c>
      <c r="Z55">
        <v>-5.2780999999999998E-4</v>
      </c>
      <c r="AA55">
        <v>0.99829129999999999</v>
      </c>
      <c r="AB55">
        <v>7</v>
      </c>
      <c r="AC55">
        <v>54.249000000000002</v>
      </c>
      <c r="AD55">
        <v>-1.153133</v>
      </c>
      <c r="AE55">
        <v>-3.41549999999995</v>
      </c>
      <c r="AF55">
        <v>3.1791071816355698</v>
      </c>
      <c r="AG55">
        <v>-1.153133</v>
      </c>
      <c r="AH55">
        <v>54.238872421637097</v>
      </c>
      <c r="AI55">
        <v>91.215854075380406</v>
      </c>
      <c r="AJ55">
        <v>86.645555965465903</v>
      </c>
      <c r="AK55">
        <v>54.344196744074203</v>
      </c>
    </row>
    <row r="56" spans="1:37" x14ac:dyDescent="0.2">
      <c r="A56" t="str">
        <f>"20200111160055178"</f>
        <v>20200111160055178</v>
      </c>
      <c r="B56" t="str">
        <f>"1578729655169352"</f>
        <v>1578729655169352</v>
      </c>
      <c r="C56" t="s">
        <v>37</v>
      </c>
      <c r="D56">
        <v>4.3205599999999897</v>
      </c>
      <c r="E56">
        <v>0.54160030000000003</v>
      </c>
      <c r="F56" t="s">
        <v>39</v>
      </c>
      <c r="G56">
        <v>-422.11950000000002</v>
      </c>
      <c r="H56">
        <v>-0.05</v>
      </c>
      <c r="I56">
        <v>364.30880000000002</v>
      </c>
      <c r="J56">
        <v>-474.27850000000001</v>
      </c>
      <c r="K56">
        <v>1.1029910000000001</v>
      </c>
      <c r="L56">
        <v>367.51159999999999</v>
      </c>
      <c r="M56">
        <v>0.99998600000000004</v>
      </c>
      <c r="N56">
        <v>0</v>
      </c>
      <c r="O56">
        <v>-4.4613669999999999E-3</v>
      </c>
      <c r="P56">
        <v>0.99877800000000005</v>
      </c>
      <c r="Q56">
        <v>1.3331640000000001E-2</v>
      </c>
      <c r="R56">
        <v>4.7589899999999997E-2</v>
      </c>
      <c r="S56">
        <v>3.0130919999999999</v>
      </c>
      <c r="T56">
        <v>-6.6509369999999998E-2</v>
      </c>
      <c r="U56">
        <v>-0.18475339999999901</v>
      </c>
      <c r="V56">
        <v>-5.2043430000000002E-2</v>
      </c>
      <c r="W56">
        <v>1.619203E-2</v>
      </c>
      <c r="X56">
        <v>0.99851350000000005</v>
      </c>
      <c r="Y56">
        <v>5.673562E-2</v>
      </c>
      <c r="Z56">
        <v>-5.2714210000000001E-4</v>
      </c>
      <c r="AA56">
        <v>0.99838909999999903</v>
      </c>
      <c r="AB56">
        <v>7</v>
      </c>
      <c r="AC56">
        <v>52.158999999999899</v>
      </c>
      <c r="AD56">
        <v>-1.1529910000000001</v>
      </c>
      <c r="AE56">
        <v>-3.2027999999999599</v>
      </c>
      <c r="AF56">
        <v>2.96862158965236</v>
      </c>
      <c r="AG56">
        <v>-1.1529910000000001</v>
      </c>
      <c r="AH56">
        <v>52.1473840036262</v>
      </c>
      <c r="AI56">
        <v>91.264570119693204</v>
      </c>
      <c r="AJ56">
        <v>86.741809604424404</v>
      </c>
      <c r="AK56">
        <v>52.244538095482099</v>
      </c>
    </row>
    <row r="57" spans="1:37" x14ac:dyDescent="0.2">
      <c r="A57" t="str">
        <f>"20200111160055199"</f>
        <v>20200111160055199</v>
      </c>
      <c r="B57" t="str">
        <f>"1578729655188872"</f>
        <v>1578729655188872</v>
      </c>
      <c r="C57" t="s">
        <v>37</v>
      </c>
      <c r="D57">
        <v>4.3863399999999997</v>
      </c>
      <c r="E57">
        <v>0.54235279999999997</v>
      </c>
      <c r="F57" t="s">
        <v>39</v>
      </c>
      <c r="G57">
        <v>-419.26710000000003</v>
      </c>
      <c r="H57">
        <v>-0.05</v>
      </c>
      <c r="I57">
        <v>364.18430000000001</v>
      </c>
      <c r="J57">
        <v>-474.20330000000001</v>
      </c>
      <c r="K57">
        <v>1.1029199999999999</v>
      </c>
      <c r="L57">
        <v>367.51119999999997</v>
      </c>
      <c r="M57">
        <v>0.99998750000000003</v>
      </c>
      <c r="N57">
        <v>0</v>
      </c>
      <c r="O57">
        <v>-4.5741100000000002E-3</v>
      </c>
      <c r="P57">
        <v>0.99875159999999996</v>
      </c>
      <c r="Q57">
        <v>1.3637969999999999E-2</v>
      </c>
      <c r="R57">
        <v>4.8059419999999999E-2</v>
      </c>
      <c r="S57">
        <v>3.0131839999999999</v>
      </c>
      <c r="T57">
        <v>-6.315374E-2</v>
      </c>
      <c r="U57">
        <v>-0.182251</v>
      </c>
      <c r="V57">
        <v>-5.2625150000000002E-2</v>
      </c>
      <c r="W57">
        <v>1.5741959999999999E-2</v>
      </c>
      <c r="X57">
        <v>0.99849030000000005</v>
      </c>
      <c r="Y57">
        <v>5.579659E-2</v>
      </c>
      <c r="Z57">
        <v>-4.883585E-4</v>
      </c>
      <c r="AA57">
        <v>0.9984421</v>
      </c>
      <c r="AB57">
        <v>7</v>
      </c>
      <c r="AC57">
        <v>54.9361999999999</v>
      </c>
      <c r="AD57">
        <v>-1.1529199999999999</v>
      </c>
      <c r="AE57">
        <v>-3.3268999999999598</v>
      </c>
      <c r="AF57">
        <v>3.0742314127466202</v>
      </c>
      <c r="AG57">
        <v>-1.1529199999999999</v>
      </c>
      <c r="AH57">
        <v>54.926739709228301</v>
      </c>
      <c r="AI57">
        <v>91.200591435674397</v>
      </c>
      <c r="AJ57">
        <v>86.796516506529798</v>
      </c>
      <c r="AK57">
        <v>55.024784037657398</v>
      </c>
    </row>
    <row r="58" spans="1:37" x14ac:dyDescent="0.2">
      <c r="A58" t="str">
        <f>"20200111160055223"</f>
        <v>20200111160055223</v>
      </c>
      <c r="B58" t="str">
        <f>"1578729655219127"</f>
        <v>1578729655219127</v>
      </c>
      <c r="C58" t="s">
        <v>37</v>
      </c>
      <c r="D58">
        <v>4.3332879999999996</v>
      </c>
      <c r="E58">
        <v>0.54301279999999996</v>
      </c>
      <c r="F58" t="s">
        <v>39</v>
      </c>
      <c r="G58">
        <v>-411.92320000000001</v>
      </c>
      <c r="H58">
        <v>-0.05</v>
      </c>
      <c r="I58">
        <v>363.62979999999999</v>
      </c>
      <c r="J58">
        <v>-474.12270000000001</v>
      </c>
      <c r="K58">
        <v>1.102916</v>
      </c>
      <c r="L58">
        <v>367.51069999999999</v>
      </c>
      <c r="M58">
        <v>0.99998790000000004</v>
      </c>
      <c r="N58">
        <v>0</v>
      </c>
      <c r="O58">
        <v>-4.6839789999999996E-3</v>
      </c>
      <c r="P58">
        <v>0.99871139999999903</v>
      </c>
      <c r="Q58">
        <v>1.4328850000000001E-2</v>
      </c>
      <c r="R58">
        <v>4.8687040000000001E-2</v>
      </c>
      <c r="S58">
        <v>3.0135190000000001</v>
      </c>
      <c r="T58">
        <v>-5.578578E-2</v>
      </c>
      <c r="U58">
        <v>-0.18780520000000001</v>
      </c>
      <c r="V58">
        <v>-5.3362020000000003E-2</v>
      </c>
      <c r="W58">
        <v>1.5907399999999999E-2</v>
      </c>
      <c r="X58">
        <v>0.99844859999999902</v>
      </c>
      <c r="Y58">
        <v>5.7515610000000002E-2</v>
      </c>
      <c r="Z58">
        <v>-4.4518409999999998E-4</v>
      </c>
      <c r="AA58">
        <v>0.99834449999999997</v>
      </c>
      <c r="AB58">
        <v>8</v>
      </c>
      <c r="AC58">
        <v>62.1995</v>
      </c>
      <c r="AD58">
        <v>-1.1529160000000001</v>
      </c>
      <c r="AE58">
        <v>-3.8808999999999898</v>
      </c>
      <c r="AF58">
        <v>3.5882878807535898</v>
      </c>
      <c r="AG58">
        <v>-1.1529160000000001</v>
      </c>
      <c r="AH58">
        <v>62.1957097287153</v>
      </c>
      <c r="AI58">
        <v>91.060202237730195</v>
      </c>
      <c r="AJ58">
        <v>86.698066512046694</v>
      </c>
      <c r="AK58">
        <v>62.309801266549002</v>
      </c>
    </row>
    <row r="59" spans="1:37" x14ac:dyDescent="0.2">
      <c r="A59" t="str">
        <f>"20200111160055244"</f>
        <v>20200111160055244</v>
      </c>
      <c r="B59" t="str">
        <f>"1578729655238648"</f>
        <v>1578729655238648</v>
      </c>
      <c r="C59" t="s">
        <v>37</v>
      </c>
      <c r="D59">
        <v>4.3285910000000003</v>
      </c>
      <c r="E59">
        <v>0.54408500000000004</v>
      </c>
      <c r="F59" t="s">
        <v>39</v>
      </c>
      <c r="G59">
        <v>-404.30930000000001</v>
      </c>
      <c r="H59">
        <v>-0.05</v>
      </c>
      <c r="I59">
        <v>363.08269999999999</v>
      </c>
      <c r="J59">
        <v>-474.0437</v>
      </c>
      <c r="K59">
        <v>1.10297</v>
      </c>
      <c r="L59">
        <v>367.5102</v>
      </c>
      <c r="M59">
        <v>0.99998779999999998</v>
      </c>
      <c r="N59">
        <v>0</v>
      </c>
      <c r="O59">
        <v>-4.7818729999999999E-3</v>
      </c>
      <c r="P59">
        <v>0.99870769999999998</v>
      </c>
      <c r="Q59">
        <v>1.325668E-2</v>
      </c>
      <c r="R59">
        <v>4.9065869999999998E-2</v>
      </c>
      <c r="S59">
        <v>3.0139469999999999</v>
      </c>
      <c r="T59">
        <v>-4.9773100000000001E-2</v>
      </c>
      <c r="U59">
        <v>-0.1911621</v>
      </c>
      <c r="V59">
        <v>-5.3839230000000002E-2</v>
      </c>
      <c r="W59">
        <v>1.456526E-2</v>
      </c>
      <c r="X59">
        <v>0.99844339999999998</v>
      </c>
      <c r="Y59">
        <v>5.8518349999999997E-2</v>
      </c>
      <c r="Z59">
        <v>-4.037946E-4</v>
      </c>
      <c r="AA59">
        <v>0.99828619999999901</v>
      </c>
      <c r="AB59">
        <v>8</v>
      </c>
      <c r="AC59">
        <v>69.734399999999994</v>
      </c>
      <c r="AD59">
        <v>-1.1529700000000001</v>
      </c>
      <c r="AE59">
        <v>-4.4275000000000002</v>
      </c>
      <c r="AF59">
        <v>4.0928737254190599</v>
      </c>
      <c r="AG59">
        <v>-1.1529700000000001</v>
      </c>
      <c r="AH59">
        <v>69.735787728018707</v>
      </c>
      <c r="AI59">
        <v>90.945581106249193</v>
      </c>
      <c r="AJ59">
        <v>86.641097901575804</v>
      </c>
      <c r="AK59">
        <v>69.865306448912193</v>
      </c>
    </row>
    <row r="60" spans="1:37" x14ac:dyDescent="0.2">
      <c r="A60" t="str">
        <f>"20200111160055265"</f>
        <v>20200111160055265</v>
      </c>
      <c r="B60" t="str">
        <f>"1578729655259144"</f>
        <v>1578729655259144</v>
      </c>
      <c r="C60" t="s">
        <v>37</v>
      </c>
      <c r="D60">
        <v>4.2620050000000003</v>
      </c>
      <c r="E60">
        <v>0.54452319999999999</v>
      </c>
      <c r="F60" t="s">
        <v>39</v>
      </c>
      <c r="G60">
        <v>-399.67790000000002</v>
      </c>
      <c r="H60">
        <v>-0.05</v>
      </c>
      <c r="I60">
        <v>362.59679999999997</v>
      </c>
      <c r="J60">
        <v>-473.96170000000001</v>
      </c>
      <c r="K60">
        <v>1.10303</v>
      </c>
      <c r="L60">
        <v>367.50970000000001</v>
      </c>
      <c r="M60">
        <v>0.99998750000000003</v>
      </c>
      <c r="N60">
        <v>0</v>
      </c>
      <c r="O60">
        <v>-4.8813040000000004E-3</v>
      </c>
      <c r="P60">
        <v>0.99873940000000005</v>
      </c>
      <c r="Q60">
        <v>1.312108E-2</v>
      </c>
      <c r="R60">
        <v>4.8450409999999999E-2</v>
      </c>
      <c r="S60">
        <v>3.0142820000000001</v>
      </c>
      <c r="T60">
        <v>-4.6733499999999997E-2</v>
      </c>
      <c r="U60">
        <v>-0.19915769999999999</v>
      </c>
      <c r="V60">
        <v>-5.3322870000000001E-2</v>
      </c>
      <c r="W60">
        <v>1.427585E-2</v>
      </c>
      <c r="X60">
        <v>0.99847529999999995</v>
      </c>
      <c r="Y60">
        <v>6.104942E-2</v>
      </c>
      <c r="Z60">
        <v>-3.9712249999999998E-4</v>
      </c>
      <c r="AA60">
        <v>0.99813469999999904</v>
      </c>
      <c r="AB60">
        <v>8</v>
      </c>
      <c r="AC60">
        <v>74.2837999999999</v>
      </c>
      <c r="AD60">
        <v>-1.15303</v>
      </c>
      <c r="AE60">
        <v>-4.9129000000000298</v>
      </c>
      <c r="AF60">
        <v>4.5491481884071296</v>
      </c>
      <c r="AG60">
        <v>-1.15303</v>
      </c>
      <c r="AH60">
        <v>74.289075776290701</v>
      </c>
      <c r="AI60">
        <v>90.887545864447304</v>
      </c>
      <c r="AJ60">
        <v>86.495824898638702</v>
      </c>
      <c r="AK60">
        <v>74.437161466007296</v>
      </c>
    </row>
    <row r="61" spans="1:37" x14ac:dyDescent="0.2">
      <c r="A61" t="str">
        <f>"20200111160055289"</f>
        <v>20200111160055289</v>
      </c>
      <c r="B61" t="str">
        <f>"1578729655278663"</f>
        <v>1578729655278663</v>
      </c>
      <c r="C61" t="s">
        <v>37</v>
      </c>
      <c r="D61">
        <v>4.3003939999999998</v>
      </c>
      <c r="E61">
        <v>0.54548430000000003</v>
      </c>
      <c r="F61" t="s">
        <v>39</v>
      </c>
      <c r="G61">
        <v>-399.57069999999999</v>
      </c>
      <c r="H61">
        <v>-0.05</v>
      </c>
      <c r="I61">
        <v>362.45460000000003</v>
      </c>
      <c r="J61">
        <v>-473.87299999999999</v>
      </c>
      <c r="K61">
        <v>1.10307</v>
      </c>
      <c r="L61">
        <v>367.50920000000002</v>
      </c>
      <c r="M61">
        <v>0.99998719999999996</v>
      </c>
      <c r="N61">
        <v>0</v>
      </c>
      <c r="O61">
        <v>-4.9916090000000002E-3</v>
      </c>
      <c r="P61">
        <v>0.99879409999999902</v>
      </c>
      <c r="Q61">
        <v>1.1881249999999999E-2</v>
      </c>
      <c r="R61">
        <v>4.763862E-2</v>
      </c>
      <c r="S61">
        <v>3.0143430000000002</v>
      </c>
      <c r="T61">
        <v>-4.6721100000000002E-2</v>
      </c>
      <c r="U61">
        <v>-0.20483399999999999</v>
      </c>
      <c r="V61">
        <v>-5.2622049999999997E-2</v>
      </c>
      <c r="W61">
        <v>1.290268E-2</v>
      </c>
      <c r="X61">
        <v>0.99853119999999995</v>
      </c>
      <c r="Y61">
        <v>6.2808879999999997E-2</v>
      </c>
      <c r="Z61">
        <v>-4.0889570000000002E-4</v>
      </c>
      <c r="AA61">
        <v>0.99802549999999901</v>
      </c>
      <c r="AB61">
        <v>8</v>
      </c>
      <c r="AC61">
        <v>74.302300000000002</v>
      </c>
      <c r="AD61">
        <v>-1.15307</v>
      </c>
      <c r="AE61">
        <v>-5.05459999999999</v>
      </c>
      <c r="AF61">
        <v>4.6825263842740199</v>
      </c>
      <c r="AG61">
        <v>-1.15307</v>
      </c>
      <c r="AH61">
        <v>74.308791728323698</v>
      </c>
      <c r="AI61">
        <v>90.887243538034696</v>
      </c>
      <c r="AJ61">
        <v>86.394306411140803</v>
      </c>
      <c r="AK61">
        <v>74.465106942028299</v>
      </c>
    </row>
    <row r="62" spans="1:37" x14ac:dyDescent="0.2">
      <c r="A62" t="str">
        <f>"20200111160055312"</f>
        <v>20200111160055312</v>
      </c>
      <c r="B62" t="str">
        <f>"1578729655308919"</f>
        <v>1578729655308919</v>
      </c>
      <c r="C62" t="s">
        <v>37</v>
      </c>
      <c r="D62">
        <v>4.3776960000000003</v>
      </c>
      <c r="E62">
        <v>0.54588099999999995</v>
      </c>
      <c r="F62" t="s">
        <v>38</v>
      </c>
      <c r="G62">
        <v>-397.76580000000001</v>
      </c>
      <c r="H62" s="1">
        <v>-2.7523459999999999E-6</v>
      </c>
      <c r="I62">
        <v>362.077</v>
      </c>
      <c r="J62">
        <v>-473.77980000000002</v>
      </c>
      <c r="K62">
        <v>1.1030789999999999</v>
      </c>
      <c r="L62">
        <v>367.5086</v>
      </c>
      <c r="M62">
        <v>0.99998659999999995</v>
      </c>
      <c r="N62">
        <v>0</v>
      </c>
      <c r="O62">
        <v>-5.1136020000000001E-3</v>
      </c>
      <c r="P62">
        <v>0.99884209999999995</v>
      </c>
      <c r="Q62">
        <v>9.3860809999999992E-3</v>
      </c>
      <c r="R62">
        <v>4.7186390000000002E-2</v>
      </c>
      <c r="S62">
        <v>3.0144039999999999</v>
      </c>
      <c r="T62">
        <v>-4.3689730000000003E-2</v>
      </c>
      <c r="U62">
        <v>-0.2151489</v>
      </c>
      <c r="V62">
        <v>-5.229226E-2</v>
      </c>
      <c r="W62">
        <v>1.026261E-2</v>
      </c>
      <c r="X62">
        <v>0.99857909999999905</v>
      </c>
      <c r="Y62">
        <v>6.6084589999999999E-2</v>
      </c>
      <c r="Z62">
        <v>-4.0425699999999999E-4</v>
      </c>
      <c r="AA62">
        <v>0.99781390000000003</v>
      </c>
      <c r="AB62">
        <v>8</v>
      </c>
      <c r="AC62">
        <v>76.013999999999996</v>
      </c>
      <c r="AD62">
        <v>-1.1030817523459999</v>
      </c>
      <c r="AE62">
        <v>-5.4316000000000004</v>
      </c>
      <c r="AF62">
        <v>5.0417671862829101</v>
      </c>
      <c r="AG62">
        <v>-1.1030817523459999</v>
      </c>
      <c r="AH62">
        <v>76.024852805448901</v>
      </c>
      <c r="AI62">
        <v>90.829452435206093</v>
      </c>
      <c r="AJ62">
        <v>86.205851127735599</v>
      </c>
      <c r="AK62">
        <v>76.199832347605593</v>
      </c>
    </row>
    <row r="63" spans="1:37" x14ac:dyDescent="0.2">
      <c r="A63" t="str">
        <f>"20200111160055335"</f>
        <v>20200111160055335</v>
      </c>
      <c r="B63" t="str">
        <f>"1578729655329417"</f>
        <v>1578729655329417</v>
      </c>
      <c r="C63" t="s">
        <v>37</v>
      </c>
      <c r="D63">
        <v>4.2518409999999998</v>
      </c>
      <c r="E63">
        <v>0.54636819999999997</v>
      </c>
      <c r="F63" t="s">
        <v>39</v>
      </c>
      <c r="G63">
        <v>-399.6721</v>
      </c>
      <c r="H63">
        <v>-0.05</v>
      </c>
      <c r="I63">
        <v>362.10059999999999</v>
      </c>
      <c r="J63">
        <v>-473.69049999999999</v>
      </c>
      <c r="K63">
        <v>1.1030739999999899</v>
      </c>
      <c r="L63">
        <v>367.50799999999998</v>
      </c>
      <c r="M63">
        <v>0.99998609999999899</v>
      </c>
      <c r="N63">
        <v>0</v>
      </c>
      <c r="O63">
        <v>-5.2350139999999996E-3</v>
      </c>
      <c r="P63">
        <v>0.99885579999999996</v>
      </c>
      <c r="Q63">
        <v>8.0120319999999901E-3</v>
      </c>
      <c r="R63">
        <v>4.715192E-2</v>
      </c>
      <c r="S63">
        <v>3.0143430000000002</v>
      </c>
      <c r="T63">
        <v>-4.6901699999999998E-2</v>
      </c>
      <c r="U63">
        <v>-0.21997069999999999</v>
      </c>
      <c r="V63">
        <v>-5.2379670000000003E-2</v>
      </c>
      <c r="W63">
        <v>8.7511059999999998E-3</v>
      </c>
      <c r="X63">
        <v>0.9985889</v>
      </c>
      <c r="Y63">
        <v>6.7551520000000004E-2</v>
      </c>
      <c r="Z63">
        <v>-4.4346769999999998E-4</v>
      </c>
      <c r="AA63">
        <v>0.99771569999999898</v>
      </c>
      <c r="AB63">
        <v>9</v>
      </c>
      <c r="AC63">
        <v>74.0183999999999</v>
      </c>
      <c r="AD63">
        <v>-1.1530739999999999</v>
      </c>
      <c r="AE63">
        <v>-5.4074000000000497</v>
      </c>
      <c r="AF63">
        <v>5.0186270092683403</v>
      </c>
      <c r="AG63">
        <v>-1.1530739999999999</v>
      </c>
      <c r="AH63">
        <v>74.027823819856394</v>
      </c>
      <c r="AI63">
        <v>90.890336440645797</v>
      </c>
      <c r="AJ63">
        <v>86.121636135931098</v>
      </c>
      <c r="AK63">
        <v>74.206703849526505</v>
      </c>
    </row>
    <row r="64" spans="1:37" x14ac:dyDescent="0.2">
      <c r="A64" t="str">
        <f>"20200111160055355"</f>
        <v>20200111160055355</v>
      </c>
      <c r="B64" t="str">
        <f>"1578729655348935"</f>
        <v>1578729655348935</v>
      </c>
      <c r="C64" t="s">
        <v>37</v>
      </c>
      <c r="D64">
        <v>4.2298549999999997</v>
      </c>
      <c r="E64">
        <v>0.54648109999999905</v>
      </c>
      <c r="F64" t="s">
        <v>39</v>
      </c>
      <c r="G64">
        <v>-400.72550000000001</v>
      </c>
      <c r="H64">
        <v>-0.05</v>
      </c>
      <c r="I64">
        <v>362.08229999999998</v>
      </c>
      <c r="J64">
        <v>-473.60210000000001</v>
      </c>
      <c r="K64">
        <v>1.103059</v>
      </c>
      <c r="L64">
        <v>367.50740000000002</v>
      </c>
      <c r="M64">
        <v>0.99998560000000003</v>
      </c>
      <c r="N64">
        <v>0</v>
      </c>
      <c r="O64">
        <v>-5.3585839999999996E-3</v>
      </c>
      <c r="P64">
        <v>0.99886629999999998</v>
      </c>
      <c r="Q64">
        <v>5.0008869999999999E-3</v>
      </c>
      <c r="R64">
        <v>4.7342919999999997E-2</v>
      </c>
      <c r="S64">
        <v>3.01443499999999</v>
      </c>
      <c r="T64">
        <v>-4.763746E-2</v>
      </c>
      <c r="U64">
        <v>-0.22415160000000001</v>
      </c>
      <c r="V64">
        <v>-5.269418E-2</v>
      </c>
      <c r="W64">
        <v>5.6021559999999996E-3</v>
      </c>
      <c r="X64">
        <v>0.99859500000000001</v>
      </c>
      <c r="Y64">
        <v>6.8801909999999994E-2</v>
      </c>
      <c r="Z64">
        <v>-4.5830319999999998E-4</v>
      </c>
      <c r="AA64">
        <v>0.99763020000000002</v>
      </c>
      <c r="AB64">
        <v>9</v>
      </c>
      <c r="AC64">
        <v>72.876599999999996</v>
      </c>
      <c r="AD64">
        <v>-1.1530590000000001</v>
      </c>
      <c r="AE64">
        <v>-5.4251000000000396</v>
      </c>
      <c r="AF64">
        <v>5.0332536399363201</v>
      </c>
      <c r="AG64">
        <v>-1.1530590000000001</v>
      </c>
      <c r="AH64">
        <v>72.886478841591895</v>
      </c>
      <c r="AI64">
        <v>90.904186628842297</v>
      </c>
      <c r="AJ64">
        <v>86.049650185580404</v>
      </c>
      <c r="AK64">
        <v>73.0691589193911</v>
      </c>
    </row>
    <row r="65" spans="1:37" x14ac:dyDescent="0.2">
      <c r="A65" t="str">
        <f>"20200111160055378"</f>
        <v>20200111160055378</v>
      </c>
      <c r="B65" t="str">
        <f>"1578729655369431"</f>
        <v>1578729655369431</v>
      </c>
      <c r="C65" t="s">
        <v>37</v>
      </c>
      <c r="D65">
        <v>4.2581899999999999</v>
      </c>
      <c r="E65">
        <v>0.54647000000000001</v>
      </c>
      <c r="F65" t="s">
        <v>39</v>
      </c>
      <c r="G65">
        <v>-412.82319999999999</v>
      </c>
      <c r="H65">
        <v>-0.05</v>
      </c>
      <c r="I65">
        <v>362.97859999999997</v>
      </c>
      <c r="J65">
        <v>-473.50349999999997</v>
      </c>
      <c r="K65">
        <v>1.103027</v>
      </c>
      <c r="L65">
        <v>367.5068</v>
      </c>
      <c r="M65">
        <v>0.99998489999999995</v>
      </c>
      <c r="N65">
        <v>0</v>
      </c>
      <c r="O65">
        <v>-5.4989629999999999E-3</v>
      </c>
      <c r="P65">
        <v>0.9988766</v>
      </c>
      <c r="Q65">
        <v>2.0904470000000001E-3</v>
      </c>
      <c r="R65">
        <v>4.7349219999999997E-2</v>
      </c>
      <c r="S65">
        <v>3.0143430000000002</v>
      </c>
      <c r="T65">
        <v>-5.7186250000000001E-2</v>
      </c>
      <c r="U65">
        <v>-0.22460939999999999</v>
      </c>
      <c r="V65">
        <v>-5.2841020000000002E-2</v>
      </c>
      <c r="W65">
        <v>2.529444E-3</v>
      </c>
      <c r="X65">
        <v>0.99859969999999998</v>
      </c>
      <c r="Y65">
        <v>6.8811330000000004E-2</v>
      </c>
      <c r="Z65">
        <v>-5.4759749999999999E-4</v>
      </c>
      <c r="AA65">
        <v>0.99762949999999995</v>
      </c>
      <c r="AB65">
        <v>9</v>
      </c>
      <c r="AC65">
        <v>60.680299999999903</v>
      </c>
      <c r="AD65">
        <v>-1.153027</v>
      </c>
      <c r="AE65">
        <v>-4.5282000000000204</v>
      </c>
      <c r="AF65">
        <v>4.1929472821783103</v>
      </c>
      <c r="AG65">
        <v>-1.153027</v>
      </c>
      <c r="AH65">
        <v>60.682494059683798</v>
      </c>
      <c r="AI65">
        <v>91.085956462071294</v>
      </c>
      <c r="AJ65">
        <v>86.047345232687306</v>
      </c>
      <c r="AK65">
        <v>60.838107822954299</v>
      </c>
    </row>
    <row r="66" spans="1:37" x14ac:dyDescent="0.2">
      <c r="A66" t="str">
        <f>"20200111160055400"</f>
        <v>20200111160055400</v>
      </c>
      <c r="B66" t="str">
        <f>"1578729655388951"</f>
        <v>1578729655388951</v>
      </c>
      <c r="C66" t="s">
        <v>37</v>
      </c>
      <c r="D66">
        <v>4.2656089999999898</v>
      </c>
      <c r="E66">
        <v>0.54685410000000001</v>
      </c>
      <c r="F66" t="s">
        <v>39</v>
      </c>
      <c r="G66">
        <v>-419.56670000000003</v>
      </c>
      <c r="H66">
        <v>-0.05</v>
      </c>
      <c r="I66">
        <v>363.49079999999998</v>
      </c>
      <c r="J66">
        <v>-473.40820000000002</v>
      </c>
      <c r="K66">
        <v>1.102981</v>
      </c>
      <c r="L66">
        <v>367.5061</v>
      </c>
      <c r="M66">
        <v>0.99998419999999899</v>
      </c>
      <c r="N66">
        <v>0</v>
      </c>
      <c r="O66">
        <v>-5.635658E-3</v>
      </c>
      <c r="P66">
        <v>0.99887870000000001</v>
      </c>
      <c r="Q66">
        <v>-1.0647460000000001E-3</v>
      </c>
      <c r="R66">
        <v>4.7331560000000002E-2</v>
      </c>
      <c r="S66">
        <v>3.01412999999999</v>
      </c>
      <c r="T66">
        <v>-6.4434169999999999E-2</v>
      </c>
      <c r="U66">
        <v>-0.2244263</v>
      </c>
      <c r="V66">
        <v>-5.2960220000000002E-2</v>
      </c>
      <c r="W66">
        <v>-7.9536220000000005E-4</v>
      </c>
      <c r="X66">
        <v>0.99859629999999999</v>
      </c>
      <c r="Y66">
        <v>6.8616949999999996E-2</v>
      </c>
      <c r="Z66">
        <v>-6.1203949999999896E-4</v>
      </c>
      <c r="AA66">
        <v>0.9976429</v>
      </c>
      <c r="AB66">
        <v>9</v>
      </c>
      <c r="AC66">
        <v>53.841500000000003</v>
      </c>
      <c r="AD66">
        <v>-1.152981</v>
      </c>
      <c r="AE66">
        <v>-4.0153000000000203</v>
      </c>
      <c r="AF66">
        <v>3.7101120263101599</v>
      </c>
      <c r="AG66">
        <v>-1.152981</v>
      </c>
      <c r="AH66">
        <v>53.838721310396402</v>
      </c>
      <c r="AI66">
        <v>91.223926198650304</v>
      </c>
      <c r="AJ66">
        <v>86.057888814020004</v>
      </c>
      <c r="AK66">
        <v>53.978719962339497</v>
      </c>
    </row>
    <row r="67" spans="1:37" x14ac:dyDescent="0.2">
      <c r="A67" t="str">
        <f>"20200111160055424"</f>
        <v>20200111160055424</v>
      </c>
      <c r="B67" t="str">
        <f>"1578729655419207"</f>
        <v>1578729655419207</v>
      </c>
      <c r="C67" t="s">
        <v>37</v>
      </c>
      <c r="D67">
        <v>4.269164</v>
      </c>
      <c r="E67">
        <v>0.54699209999999998</v>
      </c>
      <c r="F67" t="s">
        <v>39</v>
      </c>
      <c r="G67">
        <v>-422.23910000000001</v>
      </c>
      <c r="H67">
        <v>-0.05</v>
      </c>
      <c r="I67">
        <v>363.63440000000003</v>
      </c>
      <c r="J67">
        <v>-473.30520000000001</v>
      </c>
      <c r="K67">
        <v>1.1029229999999901</v>
      </c>
      <c r="L67">
        <v>367.50540000000001</v>
      </c>
      <c r="M67">
        <v>0.99998330000000002</v>
      </c>
      <c r="N67">
        <v>0</v>
      </c>
      <c r="O67">
        <v>-5.7833310000000001E-3</v>
      </c>
      <c r="P67">
        <v>0.99889409999999901</v>
      </c>
      <c r="Q67">
        <v>-3.6032629999999898E-3</v>
      </c>
      <c r="R67">
        <v>4.6880400000000003E-2</v>
      </c>
      <c r="S67">
        <v>3.0140689999999899</v>
      </c>
      <c r="T67">
        <v>-6.7915320000000001E-2</v>
      </c>
      <c r="U67">
        <v>-0.22805789999999901</v>
      </c>
      <c r="V67">
        <v>-5.2657059999999999E-2</v>
      </c>
      <c r="W67">
        <v>-3.5270359999999999E-3</v>
      </c>
      <c r="X67">
        <v>0.99860640000000001</v>
      </c>
      <c r="Y67">
        <v>6.9664550000000006E-2</v>
      </c>
      <c r="Z67">
        <v>-6.5354409999999997E-4</v>
      </c>
      <c r="AA67">
        <v>0.99757030000000002</v>
      </c>
      <c r="AB67">
        <v>10</v>
      </c>
      <c r="AC67">
        <v>51.066099999999999</v>
      </c>
      <c r="AD67">
        <v>-1.1529229999999999</v>
      </c>
      <c r="AE67">
        <v>-3.87099999999998</v>
      </c>
      <c r="AF67">
        <v>3.57379187041869</v>
      </c>
      <c r="AG67">
        <v>-1.1529229999999999</v>
      </c>
      <c r="AH67">
        <v>51.0617545589188</v>
      </c>
      <c r="AI67">
        <v>91.290305850506599</v>
      </c>
      <c r="AJ67">
        <v>85.996419925820902</v>
      </c>
      <c r="AK67">
        <v>51.199648420787597</v>
      </c>
    </row>
    <row r="68" spans="1:37" x14ac:dyDescent="0.2">
      <c r="A68" t="str">
        <f>"20200111160055446"</f>
        <v>20200111160055446</v>
      </c>
      <c r="B68" t="str">
        <f>"1578729655438728"</f>
        <v>1578729655438728</v>
      </c>
      <c r="C68" t="s">
        <v>37</v>
      </c>
      <c r="D68">
        <v>4.2546809999999997</v>
      </c>
      <c r="E68">
        <v>0.54717539999999998</v>
      </c>
      <c r="F68" t="s">
        <v>39</v>
      </c>
      <c r="G68">
        <v>-423.99259999999998</v>
      </c>
      <c r="H68">
        <v>-0.05</v>
      </c>
      <c r="I68">
        <v>363.72750000000002</v>
      </c>
      <c r="J68">
        <v>-473.20139999999998</v>
      </c>
      <c r="K68">
        <v>1.102865</v>
      </c>
      <c r="L68">
        <v>367.50470000000001</v>
      </c>
      <c r="M68">
        <v>0.99998240000000005</v>
      </c>
      <c r="N68">
        <v>0</v>
      </c>
      <c r="O68">
        <v>-5.9257750000000003E-3</v>
      </c>
      <c r="P68">
        <v>0.99892340000000002</v>
      </c>
      <c r="Q68">
        <v>-5.8649699999999997E-3</v>
      </c>
      <c r="R68">
        <v>4.601881E-2</v>
      </c>
      <c r="S68">
        <v>3.013916</v>
      </c>
      <c r="T68">
        <v>-7.0465089999999994E-2</v>
      </c>
      <c r="U68">
        <v>-0.23089599999999999</v>
      </c>
      <c r="V68">
        <v>-5.1938369999999998E-2</v>
      </c>
      <c r="W68">
        <v>-5.9842480000000002E-3</v>
      </c>
      <c r="X68">
        <v>0.99863239999999998</v>
      </c>
      <c r="Y68">
        <v>7.0458789999999993E-2</v>
      </c>
      <c r="Z68">
        <v>-6.8402899999999995E-4</v>
      </c>
      <c r="AA68">
        <v>0.99751449999999997</v>
      </c>
      <c r="AB68">
        <v>10</v>
      </c>
      <c r="AC68">
        <v>49.208799999999997</v>
      </c>
      <c r="AD68">
        <v>-1.152865</v>
      </c>
      <c r="AE68">
        <v>-3.7771999999999899</v>
      </c>
      <c r="AF68">
        <v>3.4836325224990801</v>
      </c>
      <c r="AG68">
        <v>-1.152865</v>
      </c>
      <c r="AH68">
        <v>49.203470613625697</v>
      </c>
      <c r="AI68">
        <v>91.3388764776588</v>
      </c>
      <c r="AJ68">
        <v>85.950185435757305</v>
      </c>
      <c r="AK68">
        <v>49.340108569864</v>
      </c>
    </row>
    <row r="69" spans="1:37" x14ac:dyDescent="0.2">
      <c r="A69" t="str">
        <f>"20200111160055468"</f>
        <v>20200111160055468</v>
      </c>
      <c r="B69" t="str">
        <f>"1578729655459224"</f>
        <v>1578729655459224</v>
      </c>
      <c r="C69" t="s">
        <v>37</v>
      </c>
      <c r="D69">
        <v>4.2776139999999998</v>
      </c>
      <c r="E69">
        <v>0.54748669999999899</v>
      </c>
      <c r="F69" t="s">
        <v>39</v>
      </c>
      <c r="G69">
        <v>-426.51909999999998</v>
      </c>
      <c r="H69">
        <v>-0.05</v>
      </c>
      <c r="I69">
        <v>363.86270000000002</v>
      </c>
      <c r="J69">
        <v>-473.09530000000001</v>
      </c>
      <c r="K69">
        <v>1.1028209999999901</v>
      </c>
      <c r="L69">
        <v>367.50389999999999</v>
      </c>
      <c r="M69">
        <v>0.99998169999999897</v>
      </c>
      <c r="N69">
        <v>0</v>
      </c>
      <c r="O69">
        <v>-6.0550059999999999E-3</v>
      </c>
      <c r="P69">
        <v>0.99900519999999904</v>
      </c>
      <c r="Q69">
        <v>-7.0449040000000003E-3</v>
      </c>
      <c r="R69">
        <v>4.4036039999999999E-2</v>
      </c>
      <c r="S69">
        <v>3.0135800000000001</v>
      </c>
      <c r="T69">
        <v>-7.4423310000000006E-2</v>
      </c>
      <c r="U69">
        <v>-0.23510739999999999</v>
      </c>
      <c r="V69">
        <v>-5.0084980000000001E-2</v>
      </c>
      <c r="W69">
        <v>-7.3586399999999996E-3</v>
      </c>
      <c r="X69">
        <v>0.99871779999999999</v>
      </c>
      <c r="Y69">
        <v>7.1721660000000007E-2</v>
      </c>
      <c r="Z69">
        <v>-7.3486519999999998E-4</v>
      </c>
      <c r="AA69">
        <v>0.99742439999999999</v>
      </c>
      <c r="AB69">
        <v>10</v>
      </c>
      <c r="AC69">
        <v>46.5762</v>
      </c>
      <c r="AD69">
        <v>-1.1528209999999901</v>
      </c>
      <c r="AE69">
        <v>-3.6411999999999698</v>
      </c>
      <c r="AF69">
        <v>3.35706995274592</v>
      </c>
      <c r="AG69">
        <v>-1.1528209999999901</v>
      </c>
      <c r="AH69">
        <v>46.569037550970997</v>
      </c>
      <c r="AI69">
        <v>91.414404057409101</v>
      </c>
      <c r="AJ69">
        <v>85.876792865447698</v>
      </c>
      <c r="AK69">
        <v>46.704113023902103</v>
      </c>
    </row>
    <row r="70" spans="1:37" x14ac:dyDescent="0.2">
      <c r="A70" t="str">
        <f>"20200111160055490"</f>
        <v>20200111160055490</v>
      </c>
      <c r="B70" t="str">
        <f>"1578729655479720"</f>
        <v>1578729655479720</v>
      </c>
      <c r="C70" t="s">
        <v>37</v>
      </c>
      <c r="D70">
        <v>4.267531</v>
      </c>
      <c r="E70">
        <v>0.54774330000000004</v>
      </c>
      <c r="F70" t="s">
        <v>39</v>
      </c>
      <c r="G70">
        <v>-426.8809</v>
      </c>
      <c r="H70">
        <v>-0.05</v>
      </c>
      <c r="I70">
        <v>363.76420000000002</v>
      </c>
      <c r="J70">
        <v>-472.99110000000002</v>
      </c>
      <c r="K70">
        <v>1.102795</v>
      </c>
      <c r="L70">
        <v>367.50310000000002</v>
      </c>
      <c r="M70">
        <v>0.99998109999999996</v>
      </c>
      <c r="N70">
        <v>0</v>
      </c>
      <c r="O70">
        <v>-6.1520730000000001E-3</v>
      </c>
      <c r="P70">
        <v>0.99909300000000001</v>
      </c>
      <c r="Q70">
        <v>-6.9801990000000003E-3</v>
      </c>
      <c r="R70">
        <v>4.200976E-2</v>
      </c>
      <c r="S70">
        <v>3.0132750000000001</v>
      </c>
      <c r="T70">
        <v>-7.5166339999999998E-2</v>
      </c>
      <c r="U70">
        <v>-0.24383539999999901</v>
      </c>
      <c r="V70">
        <v>-4.8156129999999998E-2</v>
      </c>
      <c r="W70">
        <v>-7.4770269999999998E-3</v>
      </c>
      <c r="X70">
        <v>0.99881180000000003</v>
      </c>
      <c r="Y70">
        <v>7.4502100000000002E-2</v>
      </c>
      <c r="Z70">
        <v>-7.7439079999999997E-4</v>
      </c>
      <c r="AA70">
        <v>0.99722060000000001</v>
      </c>
      <c r="AB70">
        <v>10</v>
      </c>
      <c r="AC70">
        <v>46.110199999999999</v>
      </c>
      <c r="AD70">
        <v>-1.152795</v>
      </c>
      <c r="AE70">
        <v>-3.7389000000000001</v>
      </c>
      <c r="AF70">
        <v>3.4530117506256399</v>
      </c>
      <c r="AG70">
        <v>-1.152795</v>
      </c>
      <c r="AH70">
        <v>46.103700806757899</v>
      </c>
      <c r="AI70">
        <v>91.428348762528202</v>
      </c>
      <c r="AJ70">
        <v>85.716736339567206</v>
      </c>
      <c r="AK70">
        <v>46.247199423760101</v>
      </c>
    </row>
    <row r="71" spans="1:37" x14ac:dyDescent="0.2">
      <c r="A71" t="str">
        <f>"20200111160055515"</f>
        <v>20200111160055515</v>
      </c>
      <c r="B71" t="str">
        <f>"1578729655509000"</f>
        <v>1578729655509000</v>
      </c>
      <c r="C71" t="s">
        <v>37</v>
      </c>
      <c r="D71">
        <v>4.3208500000000001</v>
      </c>
      <c r="E71">
        <v>0.5484869</v>
      </c>
      <c r="F71" t="s">
        <v>39</v>
      </c>
      <c r="G71">
        <v>-423.21429999999998</v>
      </c>
      <c r="H71">
        <v>-0.05</v>
      </c>
      <c r="I71">
        <v>363.3329</v>
      </c>
      <c r="J71">
        <v>-472.86630000000002</v>
      </c>
      <c r="K71">
        <v>1.1027709999999999</v>
      </c>
      <c r="L71">
        <v>367.50220000000002</v>
      </c>
      <c r="M71">
        <v>0.99998039999999999</v>
      </c>
      <c r="N71">
        <v>0</v>
      </c>
      <c r="O71">
        <v>-6.2247400000000003E-3</v>
      </c>
      <c r="P71">
        <v>0.99916669999999996</v>
      </c>
      <c r="Q71">
        <v>-7.5606349999999996E-3</v>
      </c>
      <c r="R71">
        <v>4.011348E-2</v>
      </c>
      <c r="S71">
        <v>3.01287799999999</v>
      </c>
      <c r="T71">
        <v>-6.9776060000000001E-2</v>
      </c>
      <c r="U71">
        <v>-0.25241089999999999</v>
      </c>
      <c r="V71">
        <v>-4.6332610000000003E-2</v>
      </c>
      <c r="W71">
        <v>-8.2653650000000002E-3</v>
      </c>
      <c r="X71">
        <v>0.99889189999999894</v>
      </c>
      <c r="Y71">
        <v>7.7261339999999998E-2</v>
      </c>
      <c r="Z71">
        <v>-7.4909550000000003E-4</v>
      </c>
      <c r="AA71">
        <v>0.99701059999999997</v>
      </c>
      <c r="AB71">
        <v>11</v>
      </c>
      <c r="AC71">
        <v>49.652000000000001</v>
      </c>
      <c r="AD71">
        <v>-1.152771</v>
      </c>
      <c r="AE71">
        <v>-4.1693000000000202</v>
      </c>
      <c r="AF71">
        <v>3.8580833038921201</v>
      </c>
      <c r="AG71">
        <v>-1.152771</v>
      </c>
      <c r="AH71">
        <v>49.650415205755401</v>
      </c>
      <c r="AI71">
        <v>91.326044301465899</v>
      </c>
      <c r="AJ71">
        <v>85.556762493955006</v>
      </c>
      <c r="AK71">
        <v>49.813426080346197</v>
      </c>
    </row>
    <row r="72" spans="1:37" x14ac:dyDescent="0.2">
      <c r="A72" t="str">
        <f>"20200111160055535"</f>
        <v>20200111160055535</v>
      </c>
      <c r="B72" t="str">
        <f>"1578729655529495"</f>
        <v>1578729655529495</v>
      </c>
      <c r="C72" t="s">
        <v>37</v>
      </c>
      <c r="D72">
        <v>4.2594909999999997</v>
      </c>
      <c r="E72">
        <v>0.54857749999999905</v>
      </c>
      <c r="F72" t="s">
        <v>39</v>
      </c>
      <c r="G72">
        <v>-416.96390000000002</v>
      </c>
      <c r="H72">
        <v>-0.05</v>
      </c>
      <c r="I72">
        <v>362.59809999999999</v>
      </c>
      <c r="J72">
        <v>-472.76650000000001</v>
      </c>
      <c r="K72">
        <v>1.1027559999999901</v>
      </c>
      <c r="L72">
        <v>367.50150000000002</v>
      </c>
      <c r="M72">
        <v>0.99998009999999904</v>
      </c>
      <c r="N72">
        <v>0</v>
      </c>
      <c r="O72">
        <v>-6.253308E-3</v>
      </c>
      <c r="P72">
        <v>0.99920520000000002</v>
      </c>
      <c r="Q72">
        <v>-8.7266280000000002E-3</v>
      </c>
      <c r="R72">
        <v>3.8894390000000001E-2</v>
      </c>
      <c r="S72">
        <v>3.0126040000000001</v>
      </c>
      <c r="T72">
        <v>-6.2123299999999999E-2</v>
      </c>
      <c r="U72">
        <v>-0.26428220000000002</v>
      </c>
      <c r="V72">
        <v>-4.5141750000000001E-2</v>
      </c>
      <c r="W72">
        <v>-9.5908039999999996E-3</v>
      </c>
      <c r="X72">
        <v>0.99893460000000001</v>
      </c>
      <c r="Y72">
        <v>8.1142999999999896E-2</v>
      </c>
      <c r="Z72">
        <v>-7.0625820000000004E-4</v>
      </c>
      <c r="AA72">
        <v>0.99670219999999898</v>
      </c>
      <c r="AB72">
        <v>11</v>
      </c>
      <c r="AC72">
        <v>55.802599999999899</v>
      </c>
      <c r="AD72">
        <v>-1.1527559999999999</v>
      </c>
      <c r="AE72">
        <v>-4.9034000000000297</v>
      </c>
      <c r="AF72">
        <v>4.5524253334073501</v>
      </c>
      <c r="AG72">
        <v>-1.1527559999999999</v>
      </c>
      <c r="AH72">
        <v>55.8085380237724</v>
      </c>
      <c r="AI72">
        <v>91.179391290732696</v>
      </c>
      <c r="AJ72">
        <v>85.336582311566104</v>
      </c>
      <c r="AK72">
        <v>56.005770588061999</v>
      </c>
    </row>
    <row r="73" spans="1:37" x14ac:dyDescent="0.2">
      <c r="A73" t="str">
        <f>"20200111160055558"</f>
        <v>20200111160055558</v>
      </c>
      <c r="B73" t="str">
        <f>"1578729655549015"</f>
        <v>1578729655549015</v>
      </c>
      <c r="C73" t="s">
        <v>37</v>
      </c>
      <c r="D73">
        <v>4.2742820000000004</v>
      </c>
      <c r="E73">
        <v>0.54857440000000002</v>
      </c>
      <c r="F73" t="s">
        <v>39</v>
      </c>
      <c r="G73">
        <v>-416.1703</v>
      </c>
      <c r="H73">
        <v>-0.05</v>
      </c>
      <c r="I73">
        <v>362.44659999999999</v>
      </c>
      <c r="J73">
        <v>-472.6454</v>
      </c>
      <c r="K73">
        <v>1.1027439999999999</v>
      </c>
      <c r="L73">
        <v>367.50069999999999</v>
      </c>
      <c r="M73">
        <v>0.99997999999999998</v>
      </c>
      <c r="N73">
        <v>0</v>
      </c>
      <c r="O73">
        <v>-6.24246099999999E-3</v>
      </c>
      <c r="P73">
        <v>0.99922009999999895</v>
      </c>
      <c r="Q73">
        <v>-9.6024679999999994E-3</v>
      </c>
      <c r="R73">
        <v>3.829871E-2</v>
      </c>
      <c r="S73">
        <v>3.0122680000000002</v>
      </c>
      <c r="T73">
        <v>-6.1354159999999998E-2</v>
      </c>
      <c r="U73">
        <v>-0.26904299999999998</v>
      </c>
      <c r="V73">
        <v>-4.4534890000000001E-2</v>
      </c>
      <c r="W73">
        <v>-1.065144E-2</v>
      </c>
      <c r="X73">
        <v>0.99895100000000003</v>
      </c>
      <c r="Y73">
        <v>8.2726419999999995E-2</v>
      </c>
      <c r="Z73">
        <v>-7.1385749999999999E-4</v>
      </c>
      <c r="AA73">
        <v>0.99657199999999901</v>
      </c>
      <c r="AB73">
        <v>11</v>
      </c>
      <c r="AC73">
        <v>56.475099999999998</v>
      </c>
      <c r="AD73">
        <v>-1.152744</v>
      </c>
      <c r="AE73">
        <v>-5.0541</v>
      </c>
      <c r="AF73">
        <v>4.6995153252064803</v>
      </c>
      <c r="AG73">
        <v>-1.152744</v>
      </c>
      <c r="AH73">
        <v>56.482204381974299</v>
      </c>
      <c r="AI73">
        <v>91.165160895541604</v>
      </c>
      <c r="AJ73">
        <v>85.243747768097904</v>
      </c>
      <c r="AK73">
        <v>56.689096613621402</v>
      </c>
    </row>
    <row r="74" spans="1:37" x14ac:dyDescent="0.2">
      <c r="A74" t="str">
        <f>"20200111160055580"</f>
        <v>20200111160055580</v>
      </c>
      <c r="B74" t="str">
        <f>"1578729655569512"</f>
        <v>1578729655569512</v>
      </c>
      <c r="C74" t="s">
        <v>37</v>
      </c>
      <c r="D74">
        <v>4.2948190000000004</v>
      </c>
      <c r="E74">
        <v>0.54862180000000005</v>
      </c>
      <c r="F74" t="s">
        <v>39</v>
      </c>
      <c r="G74">
        <v>-417.41320000000002</v>
      </c>
      <c r="H74">
        <v>-0.05</v>
      </c>
      <c r="I74">
        <v>362.53320000000002</v>
      </c>
      <c r="J74">
        <v>-472.53149999999999</v>
      </c>
      <c r="K74">
        <v>1.1027420000000001</v>
      </c>
      <c r="L74">
        <v>367.5</v>
      </c>
      <c r="M74">
        <v>0.99998019999999999</v>
      </c>
      <c r="N74">
        <v>0</v>
      </c>
      <c r="O74">
        <v>-6.1773969999999899E-3</v>
      </c>
      <c r="P74">
        <v>0.99920620000000004</v>
      </c>
      <c r="Q74">
        <v>-9.5741530000000002E-3</v>
      </c>
      <c r="R74">
        <v>3.866882E-2</v>
      </c>
      <c r="S74">
        <v>3.0121150000000001</v>
      </c>
      <c r="T74">
        <v>-6.2865379999999998E-2</v>
      </c>
      <c r="U74">
        <v>-0.27090449999999999</v>
      </c>
      <c r="V74">
        <v>-4.4839200000000003E-2</v>
      </c>
      <c r="W74">
        <v>-1.078924E-2</v>
      </c>
      <c r="X74">
        <v>0.99893589999999999</v>
      </c>
      <c r="Y74">
        <v>8.3405789999999994E-2</v>
      </c>
      <c r="Z74">
        <v>-7.3988289999999996E-4</v>
      </c>
      <c r="AA74">
        <v>0.99651540000000005</v>
      </c>
      <c r="AB74">
        <v>12</v>
      </c>
      <c r="AC74">
        <v>55.118299999999898</v>
      </c>
      <c r="AD74">
        <v>-1.1527419999999999</v>
      </c>
      <c r="AE74">
        <v>-4.9667999999999699</v>
      </c>
      <c r="AF74">
        <v>4.62421105600865</v>
      </c>
      <c r="AG74">
        <v>-1.1527419999999999</v>
      </c>
      <c r="AH74">
        <v>55.124013547662599</v>
      </c>
      <c r="AI74">
        <v>91.193791085849497</v>
      </c>
      <c r="AJ74">
        <v>85.204832101904898</v>
      </c>
      <c r="AK74">
        <v>55.3296395398702</v>
      </c>
    </row>
    <row r="75" spans="1:37" x14ac:dyDescent="0.2">
      <c r="A75" t="str">
        <f>"20200111160055602"</f>
        <v>20200111160055602</v>
      </c>
      <c r="B75" t="str">
        <f>"1578729655598792"</f>
        <v>1578729655598792</v>
      </c>
      <c r="C75" t="s">
        <v>37</v>
      </c>
      <c r="D75">
        <v>4.2956190000000003</v>
      </c>
      <c r="E75">
        <v>0.5485913</v>
      </c>
      <c r="F75" t="s">
        <v>39</v>
      </c>
      <c r="G75">
        <v>-414.09230000000002</v>
      </c>
      <c r="H75">
        <v>-0.05</v>
      </c>
      <c r="I75">
        <v>362.25439999999998</v>
      </c>
      <c r="J75">
        <v>-472.4085</v>
      </c>
      <c r="K75">
        <v>1.1027530000000001</v>
      </c>
      <c r="L75">
        <v>367.49939999999998</v>
      </c>
      <c r="M75">
        <v>0.99998089999999995</v>
      </c>
      <c r="N75">
        <v>0</v>
      </c>
      <c r="O75">
        <v>-6.0390660000000001E-3</v>
      </c>
      <c r="P75">
        <v>0.99917129999999998</v>
      </c>
      <c r="Q75">
        <v>-8.9851510000000002E-3</v>
      </c>
      <c r="R75">
        <v>3.9699360000000003E-2</v>
      </c>
      <c r="S75">
        <v>3.012238</v>
      </c>
      <c r="T75">
        <v>-5.9417959999999999E-2</v>
      </c>
      <c r="U75">
        <v>-0.27038570000000001</v>
      </c>
      <c r="V75">
        <v>-4.5730599999999899E-2</v>
      </c>
      <c r="W75">
        <v>-1.037127E-2</v>
      </c>
      <c r="X75">
        <v>0.99890000000000001</v>
      </c>
      <c r="Y75">
        <v>8.3371529999999999E-2</v>
      </c>
      <c r="Z75">
        <v>-7.016797E-4</v>
      </c>
      <c r="AA75">
        <v>0.99651829999999997</v>
      </c>
      <c r="AB75">
        <v>12</v>
      </c>
      <c r="AC75">
        <v>58.316199999999903</v>
      </c>
      <c r="AD75">
        <v>-1.1527529999999999</v>
      </c>
      <c r="AE75">
        <v>-5.2450000000000001</v>
      </c>
      <c r="AF75">
        <v>4.89083293419153</v>
      </c>
      <c r="AG75">
        <v>-1.1527529999999999</v>
      </c>
      <c r="AH75">
        <v>58.3242044618558</v>
      </c>
      <c r="AI75">
        <v>91.128320102457295</v>
      </c>
      <c r="AJ75">
        <v>85.206621049515405</v>
      </c>
      <c r="AK75">
        <v>58.540258902549603</v>
      </c>
    </row>
    <row r="76" spans="1:37" x14ac:dyDescent="0.2">
      <c r="A76" t="str">
        <f>"20200111160055624"</f>
        <v>20200111160055624</v>
      </c>
      <c r="B76" t="str">
        <f>"1578729655619288"</f>
        <v>1578729655619288</v>
      </c>
      <c r="C76" t="s">
        <v>37</v>
      </c>
      <c r="D76">
        <v>4.3648660000000001</v>
      </c>
      <c r="E76">
        <v>0.54872779999999999</v>
      </c>
      <c r="F76" t="s">
        <v>39</v>
      </c>
      <c r="G76">
        <v>-407.24770000000001</v>
      </c>
      <c r="H76">
        <v>-0.05</v>
      </c>
      <c r="I76">
        <v>361.71589999999998</v>
      </c>
      <c r="J76">
        <v>-472.2885</v>
      </c>
      <c r="K76">
        <v>1.1027659999999999</v>
      </c>
      <c r="L76">
        <v>367.49880000000002</v>
      </c>
      <c r="M76">
        <v>0.99998189999999998</v>
      </c>
      <c r="N76">
        <v>0</v>
      </c>
      <c r="O76">
        <v>-5.8320990000000003E-3</v>
      </c>
      <c r="P76">
        <v>0.99911130000000004</v>
      </c>
      <c r="Q76">
        <v>-8.9054979999999995E-3</v>
      </c>
      <c r="R76">
        <v>4.1200359999999998E-2</v>
      </c>
      <c r="S76">
        <v>3.0126650000000001</v>
      </c>
      <c r="T76">
        <v>-5.3296799999999998E-2</v>
      </c>
      <c r="U76">
        <v>-0.26739499999999999</v>
      </c>
      <c r="V76">
        <v>-4.7023229999999999E-2</v>
      </c>
      <c r="W76">
        <v>-1.045067E-2</v>
      </c>
      <c r="X76">
        <v>0.99883909999999998</v>
      </c>
      <c r="Y76">
        <v>8.258675E-2</v>
      </c>
      <c r="Z76">
        <v>-6.2607009999999998E-4</v>
      </c>
      <c r="AA76">
        <v>0.99658369999999996</v>
      </c>
      <c r="AB76">
        <v>12</v>
      </c>
      <c r="AC76">
        <v>65.040799999999905</v>
      </c>
      <c r="AD76">
        <v>-1.152766</v>
      </c>
      <c r="AE76">
        <v>-5.7829000000000397</v>
      </c>
      <c r="AF76">
        <v>5.4017932909219999</v>
      </c>
      <c r="AG76">
        <v>-1.152766</v>
      </c>
      <c r="AH76">
        <v>65.053145422560405</v>
      </c>
      <c r="AI76">
        <v>91.011715121303197</v>
      </c>
      <c r="AJ76">
        <v>85.253241922971</v>
      </c>
      <c r="AK76">
        <v>65.287211378472904</v>
      </c>
    </row>
    <row r="77" spans="1:37" x14ac:dyDescent="0.2">
      <c r="A77" t="str">
        <f>"20200111160055646"</f>
        <v>20200111160055646</v>
      </c>
      <c r="B77" t="str">
        <f>"1578729655638807"</f>
        <v>1578729655638807</v>
      </c>
      <c r="C77" t="s">
        <v>37</v>
      </c>
      <c r="D77">
        <v>4.2945989999999998</v>
      </c>
      <c r="E77">
        <v>0.54874829999999997</v>
      </c>
      <c r="F77" t="s">
        <v>39</v>
      </c>
      <c r="G77">
        <v>-402.74259999999998</v>
      </c>
      <c r="H77">
        <v>-0.05</v>
      </c>
      <c r="I77">
        <v>361.40530000000001</v>
      </c>
      <c r="J77">
        <v>-472.16140000000001</v>
      </c>
      <c r="K77">
        <v>1.1027769999999999</v>
      </c>
      <c r="L77">
        <v>367.49829999999997</v>
      </c>
      <c r="M77">
        <v>0.99998330000000002</v>
      </c>
      <c r="N77">
        <v>0</v>
      </c>
      <c r="O77">
        <v>-5.5388649999999996E-3</v>
      </c>
      <c r="P77">
        <v>0.99903439999999999</v>
      </c>
      <c r="Q77">
        <v>-1.0717600000000001E-2</v>
      </c>
      <c r="R77">
        <v>4.261202E-2</v>
      </c>
      <c r="S77">
        <v>3.01312299999999</v>
      </c>
      <c r="T77">
        <v>-4.99444E-2</v>
      </c>
      <c r="U77">
        <v>-0.26400759999999901</v>
      </c>
      <c r="V77">
        <v>-4.8139960000000002E-2</v>
      </c>
      <c r="W77">
        <v>-1.2422849999999999E-2</v>
      </c>
      <c r="X77">
        <v>0.99876330000000002</v>
      </c>
      <c r="Y77">
        <v>8.1755380000000002E-2</v>
      </c>
      <c r="Z77">
        <v>-5.8460900000000004E-4</v>
      </c>
      <c r="AA77">
        <v>0.99665219999999899</v>
      </c>
      <c r="AB77">
        <v>12</v>
      </c>
      <c r="AC77">
        <v>69.418800000000005</v>
      </c>
      <c r="AD77">
        <v>-1.1527769999999999</v>
      </c>
      <c r="AE77">
        <v>-6.09299999999996</v>
      </c>
      <c r="AF77">
        <v>5.7068429442157296</v>
      </c>
      <c r="AG77">
        <v>-1.1527769999999999</v>
      </c>
      <c r="AH77">
        <v>69.432482938499504</v>
      </c>
      <c r="AI77">
        <v>90.947989596169606</v>
      </c>
      <c r="AJ77">
        <v>85.301267413857701</v>
      </c>
      <c r="AK77">
        <v>69.676155449383799</v>
      </c>
    </row>
    <row r="78" spans="1:37" x14ac:dyDescent="0.2">
      <c r="A78" t="str">
        <f>"20200111160055669"</f>
        <v>20200111160055669</v>
      </c>
      <c r="B78" t="str">
        <f>"1578729655659303"</f>
        <v>1578729655659303</v>
      </c>
      <c r="C78" t="s">
        <v>37</v>
      </c>
      <c r="D78">
        <v>4.3576699999999997</v>
      </c>
      <c r="E78">
        <v>0.54866569999999903</v>
      </c>
      <c r="F78" t="s">
        <v>39</v>
      </c>
      <c r="G78">
        <v>-405.84640000000002</v>
      </c>
      <c r="H78">
        <v>-0.05</v>
      </c>
      <c r="I78">
        <v>361.779</v>
      </c>
      <c r="J78">
        <v>-472.03250000000003</v>
      </c>
      <c r="K78">
        <v>1.1027799999999901</v>
      </c>
      <c r="L78">
        <v>367.49799999999999</v>
      </c>
      <c r="M78">
        <v>0.99998489999999995</v>
      </c>
      <c r="N78">
        <v>0</v>
      </c>
      <c r="O78">
        <v>-5.1725729999999998E-3</v>
      </c>
      <c r="P78">
        <v>0.99896759999999996</v>
      </c>
      <c r="Q78">
        <v>-1.3389160000000001E-2</v>
      </c>
      <c r="R78">
        <v>4.340724E-2</v>
      </c>
      <c r="S78">
        <v>3.0133969999999999</v>
      </c>
      <c r="T78">
        <v>-5.2382949999999998E-2</v>
      </c>
      <c r="U78">
        <v>-0.2598877</v>
      </c>
      <c r="V78">
        <v>-4.8565730000000001E-2</v>
      </c>
      <c r="W78">
        <v>-1.5247119999999999E-2</v>
      </c>
      <c r="X78">
        <v>0.99870360000000002</v>
      </c>
      <c r="Y78">
        <v>8.0759189999999995E-2</v>
      </c>
      <c r="Z78">
        <v>-6.1084170000000001E-4</v>
      </c>
      <c r="AA78">
        <v>0.99673339999999999</v>
      </c>
      <c r="AB78">
        <v>12</v>
      </c>
      <c r="AC78">
        <v>66.186099999999996</v>
      </c>
      <c r="AD78">
        <v>-1.1527799999999999</v>
      </c>
      <c r="AE78">
        <v>-5.71900000000005</v>
      </c>
      <c r="AF78">
        <v>5.3749520033308302</v>
      </c>
      <c r="AG78">
        <v>-1.1527799999999999</v>
      </c>
      <c r="AH78">
        <v>66.1948644660594</v>
      </c>
      <c r="AI78">
        <v>90.994429838007406</v>
      </c>
      <c r="AJ78">
        <v>85.357828631428902</v>
      </c>
      <c r="AK78">
        <v>66.422730239327606</v>
      </c>
    </row>
    <row r="79" spans="1:37" x14ac:dyDescent="0.2">
      <c r="A79" t="str">
        <f>"20200111160055693"</f>
        <v>20200111160055693</v>
      </c>
      <c r="B79" t="str">
        <f>"1578729655688584"</f>
        <v>1578729655688584</v>
      </c>
      <c r="C79" t="s">
        <v>37</v>
      </c>
      <c r="D79">
        <v>4.4628439999999996</v>
      </c>
      <c r="E79">
        <v>0.54900569999999904</v>
      </c>
      <c r="F79" t="s">
        <v>39</v>
      </c>
      <c r="G79">
        <v>-413.64789999999999</v>
      </c>
      <c r="H79">
        <v>-0.05</v>
      </c>
      <c r="I79">
        <v>362.51249999999999</v>
      </c>
      <c r="J79">
        <v>-471.89359999999999</v>
      </c>
      <c r="K79">
        <v>1.1027830000000001</v>
      </c>
      <c r="L79">
        <v>367.49770000000001</v>
      </c>
      <c r="M79">
        <v>0.99998699999999996</v>
      </c>
      <c r="N79">
        <v>0</v>
      </c>
      <c r="O79">
        <v>-4.7111619999999996E-3</v>
      </c>
      <c r="P79">
        <v>0.99891090000000005</v>
      </c>
      <c r="Q79">
        <v>-1.444636E-2</v>
      </c>
      <c r="R79">
        <v>4.4370550000000002E-2</v>
      </c>
      <c r="S79">
        <v>3.0134889999999999</v>
      </c>
      <c r="T79">
        <v>-5.95001E-2</v>
      </c>
      <c r="U79">
        <v>-0.2573242</v>
      </c>
      <c r="V79">
        <v>-4.9066230000000002E-2</v>
      </c>
      <c r="W79">
        <v>-1.6457800000000002E-2</v>
      </c>
      <c r="X79">
        <v>0.99865990000000004</v>
      </c>
      <c r="Y79">
        <v>8.0371509999999993E-2</v>
      </c>
      <c r="Z79">
        <v>-6.9909599999999996E-4</v>
      </c>
      <c r="AA79">
        <v>0.99676469999999995</v>
      </c>
      <c r="AB79">
        <v>13</v>
      </c>
      <c r="AC79">
        <v>58.245699999999999</v>
      </c>
      <c r="AD79">
        <v>-1.1527829999999999</v>
      </c>
      <c r="AE79">
        <v>-4.9852000000000096</v>
      </c>
      <c r="AF79">
        <v>4.7089081014946901</v>
      </c>
      <c r="AG79">
        <v>-1.1527829999999999</v>
      </c>
      <c r="AH79">
        <v>58.245890019997397</v>
      </c>
      <c r="AI79">
        <v>91.130144387586697</v>
      </c>
      <c r="AJ79">
        <v>85.377956245215898</v>
      </c>
      <c r="AK79">
        <v>58.447296159660297</v>
      </c>
    </row>
    <row r="80" spans="1:37" x14ac:dyDescent="0.2">
      <c r="A80" t="str">
        <f>"20200111160055716"</f>
        <v>20200111160055716</v>
      </c>
      <c r="B80" t="str">
        <f>"1578729655709080"</f>
        <v>1578729655709080</v>
      </c>
      <c r="C80" t="s">
        <v>37</v>
      </c>
      <c r="D80">
        <v>4.3784999999999998</v>
      </c>
      <c r="E80">
        <v>0.54912289999999997</v>
      </c>
      <c r="F80" t="s">
        <v>39</v>
      </c>
      <c r="G80">
        <v>-411.81169999999997</v>
      </c>
      <c r="H80">
        <v>-0.05</v>
      </c>
      <c r="I80">
        <v>362.37699999999899</v>
      </c>
      <c r="J80">
        <v>-471.75049999999999</v>
      </c>
      <c r="K80">
        <v>1.102776</v>
      </c>
      <c r="L80">
        <v>367.49759999999998</v>
      </c>
      <c r="M80">
        <v>0.99998899999999902</v>
      </c>
      <c r="N80">
        <v>0</v>
      </c>
      <c r="O80">
        <v>-4.19203299999999E-3</v>
      </c>
      <c r="P80">
        <v>0.99884280000000003</v>
      </c>
      <c r="Q80">
        <v>-1.421905E-2</v>
      </c>
      <c r="R80">
        <v>4.5946920000000002E-2</v>
      </c>
      <c r="S80">
        <v>3.013855</v>
      </c>
      <c r="T80">
        <v>-5.78264E-2</v>
      </c>
      <c r="U80">
        <v>-0.2568665</v>
      </c>
      <c r="V80">
        <v>-5.0122960000000001E-2</v>
      </c>
      <c r="W80">
        <v>-1.6376999999999999E-2</v>
      </c>
      <c r="X80">
        <v>0.99860879999999996</v>
      </c>
      <c r="Y80">
        <v>8.0729040000000002E-2</v>
      </c>
      <c r="Z80">
        <v>-6.9272059999999996E-4</v>
      </c>
      <c r="AA80">
        <v>0.99673590000000001</v>
      </c>
      <c r="AB80">
        <v>13</v>
      </c>
      <c r="AC80">
        <v>59.938800000000001</v>
      </c>
      <c r="AD80">
        <v>-1.152776</v>
      </c>
      <c r="AE80">
        <v>-5.12060000000002</v>
      </c>
      <c r="AF80">
        <v>4.8675016234206598</v>
      </c>
      <c r="AG80">
        <v>-1.152776</v>
      </c>
      <c r="AH80">
        <v>59.937729319426801</v>
      </c>
      <c r="AI80">
        <v>91.098213324429395</v>
      </c>
      <c r="AJ80">
        <v>85.357237673956803</v>
      </c>
      <c r="AK80">
        <v>60.146095970803103</v>
      </c>
    </row>
    <row r="81" spans="1:37" x14ac:dyDescent="0.2">
      <c r="A81" t="str">
        <f>"20200111160055740"</f>
        <v>20200111160055740</v>
      </c>
      <c r="B81" t="str">
        <f>"1578729655729576"</f>
        <v>1578729655729576</v>
      </c>
      <c r="C81" t="s">
        <v>37</v>
      </c>
      <c r="D81">
        <v>4.5025839999999997</v>
      </c>
      <c r="E81">
        <v>0.54942409999999997</v>
      </c>
      <c r="F81" t="s">
        <v>39</v>
      </c>
      <c r="G81">
        <v>-407.7894</v>
      </c>
      <c r="H81">
        <v>-0.05</v>
      </c>
      <c r="I81">
        <v>362.1216</v>
      </c>
      <c r="J81">
        <v>-471.6046</v>
      </c>
      <c r="K81">
        <v>1.102759</v>
      </c>
      <c r="L81">
        <v>367.49759999999998</v>
      </c>
      <c r="M81">
        <v>0.99999079999999996</v>
      </c>
      <c r="N81">
        <v>0</v>
      </c>
      <c r="O81">
        <v>-3.6379419999999999E-3</v>
      </c>
      <c r="P81">
        <v>0.99873769999999995</v>
      </c>
      <c r="Q81">
        <v>-1.330216E-2</v>
      </c>
      <c r="R81">
        <v>4.8436720000000003E-2</v>
      </c>
      <c r="S81">
        <v>3.0143430000000002</v>
      </c>
      <c r="T81">
        <v>-5.4327729999999998E-2</v>
      </c>
      <c r="U81">
        <v>-0.2533569</v>
      </c>
      <c r="V81">
        <v>-5.205916E-2</v>
      </c>
      <c r="W81">
        <v>-1.5599160000000001E-2</v>
      </c>
      <c r="X81">
        <v>0.99852220000000003</v>
      </c>
      <c r="Y81">
        <v>8.0117079999999993E-2</v>
      </c>
      <c r="Z81">
        <v>-6.5520519999999905E-4</v>
      </c>
      <c r="AA81">
        <v>0.99678519999999904</v>
      </c>
      <c r="AB81">
        <v>13</v>
      </c>
      <c r="AC81">
        <v>63.815199999999997</v>
      </c>
      <c r="AD81">
        <v>-1.1527590000000001</v>
      </c>
      <c r="AE81">
        <v>-5.3759999999999701</v>
      </c>
      <c r="AF81">
        <v>5.1421417272888101</v>
      </c>
      <c r="AG81">
        <v>-1.1527590000000001</v>
      </c>
      <c r="AH81">
        <v>63.8136591177554</v>
      </c>
      <c r="AI81">
        <v>91.031561554506695</v>
      </c>
      <c r="AJ81">
        <v>85.393026969434104</v>
      </c>
      <c r="AK81">
        <v>64.030879775719896</v>
      </c>
    </row>
    <row r="82" spans="1:37" x14ac:dyDescent="0.2">
      <c r="A82" t="str">
        <f>"20200111160055759"</f>
        <v>20200111160055759</v>
      </c>
      <c r="B82" t="str">
        <f>"1578729655749096"</f>
        <v>1578729655749096</v>
      </c>
      <c r="C82" t="s">
        <v>37</v>
      </c>
      <c r="D82">
        <v>4.4659690000000003</v>
      </c>
      <c r="E82">
        <v>0.54931459999999999</v>
      </c>
      <c r="F82" t="s">
        <v>39</v>
      </c>
      <c r="G82">
        <v>-399.03089999999997</v>
      </c>
      <c r="H82">
        <v>-0.05</v>
      </c>
      <c r="I82">
        <v>361.51710000000003</v>
      </c>
      <c r="J82">
        <v>-471.47680000000003</v>
      </c>
      <c r="K82">
        <v>1.1027370000000001</v>
      </c>
      <c r="L82">
        <v>367.49770000000001</v>
      </c>
      <c r="M82">
        <v>0.999992199999999</v>
      </c>
      <c r="N82">
        <v>0</v>
      </c>
      <c r="O82">
        <v>-3.1458979999999998E-3</v>
      </c>
      <c r="P82">
        <v>0.99861509999999998</v>
      </c>
      <c r="Q82">
        <v>-1.2648370000000001E-2</v>
      </c>
      <c r="R82">
        <v>5.1065149999999997E-2</v>
      </c>
      <c r="S82">
        <v>3.0152589999999999</v>
      </c>
      <c r="T82">
        <v>-4.7894359999999997E-2</v>
      </c>
      <c r="U82">
        <v>-0.2484741</v>
      </c>
      <c r="V82">
        <v>-5.4196370000000001E-2</v>
      </c>
      <c r="W82">
        <v>-1.50584E-2</v>
      </c>
      <c r="X82">
        <v>0.99841669999999905</v>
      </c>
      <c r="Y82">
        <v>7.8981999999999997E-2</v>
      </c>
      <c r="Z82">
        <v>-5.7629410000000002E-4</v>
      </c>
      <c r="AA82">
        <v>0.99687590000000004</v>
      </c>
      <c r="AB82">
        <v>14</v>
      </c>
      <c r="AC82">
        <v>72.445899999999995</v>
      </c>
      <c r="AD82">
        <v>-1.1527369999999999</v>
      </c>
      <c r="AE82">
        <v>-5.9805999999999804</v>
      </c>
      <c r="AF82">
        <v>5.7512160955492497</v>
      </c>
      <c r="AG82">
        <v>-1.1527369999999999</v>
      </c>
      <c r="AH82">
        <v>72.446138016660399</v>
      </c>
      <c r="AI82">
        <v>90.908734482154898</v>
      </c>
      <c r="AJ82">
        <v>85.461030844822901</v>
      </c>
      <c r="AK82">
        <v>72.683204405817804</v>
      </c>
    </row>
    <row r="83" spans="1:37" x14ac:dyDescent="0.2">
      <c r="A83" t="str">
        <f>"20200111160055782"</f>
        <v>20200111160055782</v>
      </c>
      <c r="B83" t="str">
        <f>"1578729655779351"</f>
        <v>1578729655779351</v>
      </c>
      <c r="C83" t="s">
        <v>37</v>
      </c>
      <c r="D83">
        <v>4.4327969999999999</v>
      </c>
      <c r="E83">
        <v>0.54769440000000003</v>
      </c>
      <c r="F83" t="s">
        <v>38</v>
      </c>
      <c r="G83">
        <v>-397.10759999999999</v>
      </c>
      <c r="H83" s="1">
        <v>-3.1067339999999999E-6</v>
      </c>
      <c r="I83">
        <v>361.58699999999999</v>
      </c>
      <c r="J83">
        <v>-471.33629999999999</v>
      </c>
      <c r="K83">
        <v>1.1027020000000001</v>
      </c>
      <c r="L83">
        <v>367.49779999999998</v>
      </c>
      <c r="M83">
        <v>0.99999349999999998</v>
      </c>
      <c r="N83">
        <v>0</v>
      </c>
      <c r="O83">
        <v>-2.6499379999999901E-3</v>
      </c>
      <c r="P83">
        <v>0.99852479999999999</v>
      </c>
      <c r="Q83">
        <v>-1.322424E-2</v>
      </c>
      <c r="R83">
        <v>5.2664950000000002E-2</v>
      </c>
      <c r="S83">
        <v>3.0158390000000002</v>
      </c>
      <c r="T83">
        <v>-4.4718500000000001E-2</v>
      </c>
      <c r="U83">
        <v>-0.23968510000000001</v>
      </c>
      <c r="V83">
        <v>-5.5300240000000001E-2</v>
      </c>
      <c r="W83">
        <v>-1.5765049999999999E-2</v>
      </c>
      <c r="X83">
        <v>0.99834529999999999</v>
      </c>
      <c r="Y83">
        <v>7.657564E-2</v>
      </c>
      <c r="Z83">
        <v>-5.2757469999999997E-4</v>
      </c>
      <c r="AA83">
        <v>0.99706360000000005</v>
      </c>
      <c r="AB83">
        <v>14</v>
      </c>
      <c r="AC83">
        <v>74.228700000000003</v>
      </c>
      <c r="AD83">
        <v>-1.1027051067339999</v>
      </c>
      <c r="AE83">
        <v>-5.9107999999999903</v>
      </c>
      <c r="AF83">
        <v>5.7128244084174096</v>
      </c>
      <c r="AG83">
        <v>-1.1027051067339999</v>
      </c>
      <c r="AH83">
        <v>74.227824838351907</v>
      </c>
      <c r="AI83">
        <v>90.848596193875196</v>
      </c>
      <c r="AJ83">
        <v>85.598998948210493</v>
      </c>
      <c r="AK83">
        <v>74.455505515085207</v>
      </c>
    </row>
    <row r="84" spans="1:37" x14ac:dyDescent="0.2">
      <c r="A84" t="str">
        <f>"20200111160055805"</f>
        <v>20200111160055805</v>
      </c>
      <c r="B84" t="str">
        <f>"1578729655798872"</f>
        <v>1578729655798872</v>
      </c>
      <c r="C84" t="s">
        <v>37</v>
      </c>
      <c r="D84">
        <v>4.4544980000000001</v>
      </c>
      <c r="E84">
        <v>0.54661419999999905</v>
      </c>
      <c r="F84" t="s">
        <v>39</v>
      </c>
      <c r="G84">
        <v>-399.79129999999998</v>
      </c>
      <c r="H84">
        <v>-0.05</v>
      </c>
      <c r="I84">
        <v>362.2303</v>
      </c>
      <c r="J84">
        <v>-471.18270000000001</v>
      </c>
      <c r="K84">
        <v>1.102582</v>
      </c>
      <c r="L84">
        <v>367.49810000000002</v>
      </c>
      <c r="M84">
        <v>0.99999459999999996</v>
      </c>
      <c r="N84">
        <v>0</v>
      </c>
      <c r="O84">
        <v>-2.1033720000000001E-3</v>
      </c>
      <c r="P84">
        <v>0.998449699999999</v>
      </c>
      <c r="Q84">
        <v>-1.57716E-2</v>
      </c>
      <c r="R84">
        <v>5.338416E-2</v>
      </c>
      <c r="S84">
        <v>3.0155029999999998</v>
      </c>
      <c r="T84">
        <v>-4.8584460000000003E-2</v>
      </c>
      <c r="U84">
        <v>-0.2220154</v>
      </c>
      <c r="V84">
        <v>-5.5474849999999999E-2</v>
      </c>
      <c r="W84">
        <v>-1.8382829999999999E-2</v>
      </c>
      <c r="X84">
        <v>0.99829080000000003</v>
      </c>
      <c r="Y84">
        <v>7.1319129999999994E-2</v>
      </c>
      <c r="Z84">
        <v>-5.3987769999999896E-4</v>
      </c>
      <c r="AA84">
        <v>0.99745339999999905</v>
      </c>
      <c r="AB84">
        <v>14</v>
      </c>
      <c r="AC84">
        <v>71.391400000000004</v>
      </c>
      <c r="AD84">
        <v>-1.152582</v>
      </c>
      <c r="AE84">
        <v>-5.2678000000000198</v>
      </c>
      <c r="AF84">
        <v>5.1162988725868299</v>
      </c>
      <c r="AG84">
        <v>-1.152582</v>
      </c>
      <c r="AH84">
        <v>71.383817065877395</v>
      </c>
      <c r="AI84">
        <v>90.922666001440504</v>
      </c>
      <c r="AJ84">
        <v>85.900444594708205</v>
      </c>
      <c r="AK84">
        <v>71.576213215809403</v>
      </c>
    </row>
    <row r="85" spans="1:37" x14ac:dyDescent="0.2">
      <c r="A85" t="str">
        <f>"20200111160055828"</f>
        <v>20200111160055828</v>
      </c>
      <c r="B85" t="str">
        <f>"1578729655819368"</f>
        <v>1578729655819368</v>
      </c>
      <c r="C85" t="s">
        <v>37</v>
      </c>
      <c r="D85">
        <v>4.4654930000000004</v>
      </c>
      <c r="E85">
        <v>0.54563669999999997</v>
      </c>
      <c r="F85" t="s">
        <v>39</v>
      </c>
      <c r="G85">
        <v>-412.37270000000001</v>
      </c>
      <c r="H85">
        <v>-0.05</v>
      </c>
      <c r="I85">
        <v>363.38420000000002</v>
      </c>
      <c r="J85">
        <v>-471.03460000000001</v>
      </c>
      <c r="K85">
        <v>1.1023750000000001</v>
      </c>
      <c r="L85">
        <v>367.49849999999998</v>
      </c>
      <c r="M85">
        <v>0.99999539999999998</v>
      </c>
      <c r="N85">
        <v>0</v>
      </c>
      <c r="O85">
        <v>-1.494858E-3</v>
      </c>
      <c r="P85">
        <v>0.998424599999999</v>
      </c>
      <c r="Q85">
        <v>-1.805178E-2</v>
      </c>
      <c r="R85">
        <v>5.3126130000000001E-2</v>
      </c>
      <c r="S85">
        <v>3.015015</v>
      </c>
      <c r="T85">
        <v>-5.9089419999999997E-2</v>
      </c>
      <c r="U85">
        <v>-0.21090700000000001</v>
      </c>
      <c r="V85">
        <v>-5.4614120000000002E-2</v>
      </c>
      <c r="W85">
        <v>-2.0675349999999999E-2</v>
      </c>
      <c r="X85">
        <v>0.99829349999999994</v>
      </c>
      <c r="Y85">
        <v>6.8277640000000001E-2</v>
      </c>
      <c r="Z85">
        <v>-6.3892739999999999E-4</v>
      </c>
      <c r="AA85">
        <v>0.99766619999999995</v>
      </c>
      <c r="AB85">
        <v>14</v>
      </c>
      <c r="AC85">
        <v>58.661900000000003</v>
      </c>
      <c r="AD85">
        <v>-1.1523749999999999</v>
      </c>
      <c r="AE85">
        <v>-4.1142999999999503</v>
      </c>
      <c r="AF85">
        <v>4.025058218131</v>
      </c>
      <c r="AG85">
        <v>-1.1523749999999999</v>
      </c>
      <c r="AH85">
        <v>58.6454642341753</v>
      </c>
      <c r="AI85">
        <v>91.123067647903</v>
      </c>
      <c r="AJ85">
        <v>86.073732996197506</v>
      </c>
      <c r="AK85">
        <v>58.794723717710497</v>
      </c>
    </row>
    <row r="86" spans="1:37" x14ac:dyDescent="0.2">
      <c r="A86" t="str">
        <f>"20200111160055851"</f>
        <v>20200111160055851</v>
      </c>
      <c r="B86" t="str">
        <f>"1578729655838888"</f>
        <v>1578729655838888</v>
      </c>
      <c r="C86" t="s">
        <v>37</v>
      </c>
      <c r="D86">
        <v>4.4180609999999998</v>
      </c>
      <c r="E86">
        <v>0.54479350000000004</v>
      </c>
      <c r="F86" t="s">
        <v>39</v>
      </c>
      <c r="G86">
        <v>-419.44229999999999</v>
      </c>
      <c r="H86">
        <v>-0.05</v>
      </c>
      <c r="I86">
        <v>364.00940000000003</v>
      </c>
      <c r="J86">
        <v>-470.8827</v>
      </c>
      <c r="K86">
        <v>1.1022049999999901</v>
      </c>
      <c r="L86">
        <v>367.49889999999999</v>
      </c>
      <c r="M86">
        <v>0.99999609999999906</v>
      </c>
      <c r="N86">
        <v>0</v>
      </c>
      <c r="O86">
        <v>-8.8625599999999998E-4</v>
      </c>
      <c r="P86">
        <v>0.99842710000000001</v>
      </c>
      <c r="Q86">
        <v>-1.8655740000000001E-2</v>
      </c>
      <c r="R86">
        <v>5.2869760000000002E-2</v>
      </c>
      <c r="S86">
        <v>3.0143740000000001</v>
      </c>
      <c r="T86">
        <v>-6.7329529999999999E-2</v>
      </c>
      <c r="U86">
        <v>-0.20385739999999999</v>
      </c>
      <c r="V86">
        <v>-5.3755579999999997E-2</v>
      </c>
      <c r="W86">
        <v>-2.1307179999999998E-2</v>
      </c>
      <c r="X86">
        <v>0.99832679999999996</v>
      </c>
      <c r="Y86">
        <v>6.6573759999999996E-2</v>
      </c>
      <c r="Z86">
        <v>-7.2278999999999996E-4</v>
      </c>
      <c r="AA86">
        <v>0.99778120000000003</v>
      </c>
      <c r="AB86">
        <v>15</v>
      </c>
      <c r="AC86">
        <v>51.440399999999997</v>
      </c>
      <c r="AD86">
        <v>-1.1522049999999999</v>
      </c>
      <c r="AE86">
        <v>-3.4894999999999601</v>
      </c>
      <c r="AF86">
        <v>3.4421900436104198</v>
      </c>
      <c r="AG86">
        <v>-1.1522049999999999</v>
      </c>
      <c r="AH86">
        <v>51.417793856595402</v>
      </c>
      <c r="AI86">
        <v>91.280842061951205</v>
      </c>
      <c r="AJ86">
        <v>86.170020038775107</v>
      </c>
      <c r="AK86">
        <v>51.545763877720297</v>
      </c>
    </row>
    <row r="87" spans="1:37" x14ac:dyDescent="0.2">
      <c r="A87" t="str">
        <f>"20200111160055870"</f>
        <v>20200111160055870</v>
      </c>
      <c r="B87" t="str">
        <f>"1578729655859384"</f>
        <v>1578729655859384</v>
      </c>
      <c r="C87" t="s">
        <v>37</v>
      </c>
      <c r="D87">
        <v>4.5058129999999998</v>
      </c>
      <c r="E87">
        <v>0.54395629999999995</v>
      </c>
      <c r="F87" t="s">
        <v>39</v>
      </c>
      <c r="G87">
        <v>-421.4658</v>
      </c>
      <c r="H87">
        <v>-0.05</v>
      </c>
      <c r="I87">
        <v>364.25400000000002</v>
      </c>
      <c r="J87">
        <v>-470.74220000000003</v>
      </c>
      <c r="K87">
        <v>1.102114</v>
      </c>
      <c r="L87">
        <v>367.49930000000001</v>
      </c>
      <c r="M87">
        <v>0.9999962</v>
      </c>
      <c r="N87">
        <v>0</v>
      </c>
      <c r="O87">
        <v>-4.1426599999999999E-4</v>
      </c>
      <c r="P87">
        <v>0.99847849999999905</v>
      </c>
      <c r="Q87">
        <v>-1.833926E-2</v>
      </c>
      <c r="R87">
        <v>5.2006669999999998E-2</v>
      </c>
      <c r="S87">
        <v>3.013916</v>
      </c>
      <c r="T87">
        <v>-7.027245E-2</v>
      </c>
      <c r="U87">
        <v>-0.19790650000000001</v>
      </c>
      <c r="V87">
        <v>-5.242293E-2</v>
      </c>
      <c r="W87">
        <v>-2.10420999999999E-2</v>
      </c>
      <c r="X87">
        <v>0.99840329999999999</v>
      </c>
      <c r="Y87">
        <v>6.5092239999999996E-2</v>
      </c>
      <c r="Z87">
        <v>-7.4827889999999999E-4</v>
      </c>
      <c r="AA87">
        <v>0.99787899999999996</v>
      </c>
      <c r="AB87">
        <v>15</v>
      </c>
      <c r="AC87">
        <v>49.276400000000002</v>
      </c>
      <c r="AD87">
        <v>-1.1521140000000001</v>
      </c>
      <c r="AE87">
        <v>-3.2452999999999799</v>
      </c>
      <c r="AF87">
        <v>3.2231317782154099</v>
      </c>
      <c r="AG87">
        <v>-1.1521140000000001</v>
      </c>
      <c r="AH87">
        <v>49.250933220725599</v>
      </c>
      <c r="AI87">
        <v>91.337201174944596</v>
      </c>
      <c r="AJ87">
        <v>86.255728087229599</v>
      </c>
      <c r="AK87">
        <v>49.369731296018998</v>
      </c>
    </row>
    <row r="88" spans="1:37" x14ac:dyDescent="0.2">
      <c r="A88" t="str">
        <f>"20200111160055893"</f>
        <v>20200111160055893</v>
      </c>
      <c r="B88" t="str">
        <f>"1578729655888664"</f>
        <v>1578729655888664</v>
      </c>
      <c r="C88" t="s">
        <v>37</v>
      </c>
      <c r="D88">
        <v>4.4813169999999998</v>
      </c>
      <c r="E88">
        <v>0.54277219999999904</v>
      </c>
      <c r="F88" t="s">
        <v>39</v>
      </c>
      <c r="G88">
        <v>-421.58460000000002</v>
      </c>
      <c r="H88">
        <v>-0.05</v>
      </c>
      <c r="I88">
        <v>364.34100000000001</v>
      </c>
      <c r="J88">
        <v>-470.584</v>
      </c>
      <c r="K88">
        <v>1.102071</v>
      </c>
      <c r="L88">
        <v>367.49979999999999</v>
      </c>
      <c r="M88">
        <v>0.99999629999999995</v>
      </c>
      <c r="N88">
        <v>0</v>
      </c>
      <c r="O88" s="1">
        <v>1.794665E-6</v>
      </c>
      <c r="P88">
        <v>0.9984944</v>
      </c>
      <c r="Q88">
        <v>-1.8012799999999999E-2</v>
      </c>
      <c r="R88">
        <v>5.1815010000000002E-2</v>
      </c>
      <c r="S88">
        <v>3.0133669999999899</v>
      </c>
      <c r="T88">
        <v>-7.0624709999999993E-2</v>
      </c>
      <c r="U88">
        <v>-0.19360350000000001</v>
      </c>
      <c r="V88">
        <v>-5.1815720000000003E-2</v>
      </c>
      <c r="W88">
        <v>-2.078615E-2</v>
      </c>
      <c r="X88">
        <v>0.99844029999999995</v>
      </c>
      <c r="Y88">
        <v>6.4100309999999994E-2</v>
      </c>
      <c r="Z88">
        <v>-7.5032989999999997E-4</v>
      </c>
      <c r="AA88">
        <v>0.99794319999999903</v>
      </c>
      <c r="AB88">
        <v>15</v>
      </c>
      <c r="AC88">
        <v>48.999399999999902</v>
      </c>
      <c r="AD88">
        <v>-1.1520709999999901</v>
      </c>
      <c r="AE88">
        <v>-3.1587999999999798</v>
      </c>
      <c r="AF88">
        <v>3.1571498527684598</v>
      </c>
      <c r="AG88">
        <v>-1.1520709999999901</v>
      </c>
      <c r="AH88">
        <v>48.972433857191199</v>
      </c>
      <c r="AI88">
        <v>91.344837485731901</v>
      </c>
      <c r="AJ88">
        <v>86.311366022925498</v>
      </c>
      <c r="AK88">
        <v>49.087616979018698</v>
      </c>
    </row>
    <row r="89" spans="1:37" x14ac:dyDescent="0.2">
      <c r="A89" t="str">
        <f>"20200111160055915"</f>
        <v>20200111160055915</v>
      </c>
      <c r="B89" t="str">
        <f>"1578729655909159"</f>
        <v>1578729655909159</v>
      </c>
      <c r="C89" t="s">
        <v>37</v>
      </c>
      <c r="D89">
        <v>4.5286359999999997</v>
      </c>
      <c r="E89">
        <v>0.54201769999999905</v>
      </c>
      <c r="F89" t="s">
        <v>39</v>
      </c>
      <c r="G89">
        <v>-422.1465</v>
      </c>
      <c r="H89">
        <v>-0.05</v>
      </c>
      <c r="I89">
        <v>364.5299</v>
      </c>
      <c r="J89">
        <v>-470.4178</v>
      </c>
      <c r="K89">
        <v>1.10205</v>
      </c>
      <c r="L89">
        <v>367.50029999999998</v>
      </c>
      <c r="M89">
        <v>0.99999590000000005</v>
      </c>
      <c r="N89">
        <v>0</v>
      </c>
      <c r="O89">
        <v>3.4163800000000001E-4</v>
      </c>
      <c r="P89">
        <v>0.99843199999999999</v>
      </c>
      <c r="Q89">
        <v>-1.8501480000000001E-2</v>
      </c>
      <c r="R89">
        <v>5.2831399999999903E-2</v>
      </c>
      <c r="S89">
        <v>3.012756</v>
      </c>
      <c r="T89">
        <v>-7.1657419999999999E-2</v>
      </c>
      <c r="U89">
        <v>-0.1847229</v>
      </c>
      <c r="V89">
        <v>-5.2492089999999998E-2</v>
      </c>
      <c r="W89">
        <v>-2.134991E-2</v>
      </c>
      <c r="X89">
        <v>0.99839310000000003</v>
      </c>
      <c r="Y89">
        <v>6.1522229999999997E-2</v>
      </c>
      <c r="Z89">
        <v>-7.3897060000000002E-4</v>
      </c>
      <c r="AA89">
        <v>0.99810549999999998</v>
      </c>
      <c r="AB89">
        <v>16</v>
      </c>
      <c r="AC89">
        <v>48.271299999999997</v>
      </c>
      <c r="AD89">
        <v>-1.15205</v>
      </c>
      <c r="AE89">
        <v>-2.9703999999999802</v>
      </c>
      <c r="AF89">
        <v>2.9851972704174998</v>
      </c>
      <c r="AG89">
        <v>-1.15205</v>
      </c>
      <c r="AH89">
        <v>48.242907213004102</v>
      </c>
      <c r="AI89">
        <v>91.365363891209</v>
      </c>
      <c r="AJ89">
        <v>86.459139493827607</v>
      </c>
      <c r="AK89">
        <v>48.348906071475199</v>
      </c>
    </row>
    <row r="90" spans="1:37" x14ac:dyDescent="0.2">
      <c r="A90" t="str">
        <f>"20200111160055938"</f>
        <v>20200111160055938</v>
      </c>
      <c r="B90" t="str">
        <f>"1578729655928680"</f>
        <v>1578729655928680</v>
      </c>
      <c r="C90" t="s">
        <v>37</v>
      </c>
      <c r="D90">
        <v>4.5534619999999997</v>
      </c>
      <c r="E90">
        <v>0.54143140000000001</v>
      </c>
      <c r="F90" t="s">
        <v>39</v>
      </c>
      <c r="G90">
        <v>-423.1309</v>
      </c>
      <c r="H90">
        <v>-0.05</v>
      </c>
      <c r="I90">
        <v>364.7441</v>
      </c>
      <c r="J90">
        <v>-470.2543</v>
      </c>
      <c r="K90">
        <v>1.102023</v>
      </c>
      <c r="L90">
        <v>367.50080000000003</v>
      </c>
      <c r="M90">
        <v>0.99999570000000004</v>
      </c>
      <c r="N90">
        <v>0</v>
      </c>
      <c r="O90">
        <v>6.1041229999999995E-4</v>
      </c>
      <c r="P90">
        <v>0.99832019999999899</v>
      </c>
      <c r="Q90">
        <v>-1.8457870000000001E-2</v>
      </c>
      <c r="R90">
        <v>5.4923420000000001E-2</v>
      </c>
      <c r="S90">
        <v>3.0126339999999998</v>
      </c>
      <c r="T90">
        <v>-7.3396680000000006E-2</v>
      </c>
      <c r="U90">
        <v>-0.17559810000000001</v>
      </c>
      <c r="V90">
        <v>-5.4315799999999997E-2</v>
      </c>
      <c r="W90">
        <v>-2.137675E-2</v>
      </c>
      <c r="X90">
        <v>0.99829489999999999</v>
      </c>
      <c r="Y90">
        <v>5.8780300000000001E-2</v>
      </c>
      <c r="Z90">
        <v>-7.3017479999999896E-4</v>
      </c>
      <c r="AA90">
        <v>0.99827069999999996</v>
      </c>
      <c r="AB90">
        <v>16</v>
      </c>
      <c r="AC90">
        <v>47.123399999999997</v>
      </c>
      <c r="AD90">
        <v>-1.152023</v>
      </c>
      <c r="AE90">
        <v>-2.7567000000000199</v>
      </c>
      <c r="AF90">
        <v>2.7838062320033101</v>
      </c>
      <c r="AG90">
        <v>-1.152023</v>
      </c>
      <c r="AH90">
        <v>47.093658818020202</v>
      </c>
      <c r="AI90">
        <v>91.398870790584795</v>
      </c>
      <c r="AJ90">
        <v>86.617061342798394</v>
      </c>
      <c r="AK90">
        <v>47.189929381150399</v>
      </c>
    </row>
    <row r="91" spans="1:37" x14ac:dyDescent="0.2">
      <c r="A91" t="str">
        <f>"20200111160055959"</f>
        <v>20200111160055959</v>
      </c>
      <c r="B91" t="str">
        <f>"1578729655949176"</f>
        <v>1578729655949176</v>
      </c>
      <c r="C91" t="s">
        <v>37</v>
      </c>
      <c r="D91">
        <v>4.5667289999999996</v>
      </c>
      <c r="E91">
        <v>0.54082419999999998</v>
      </c>
      <c r="F91" t="s">
        <v>39</v>
      </c>
      <c r="G91">
        <v>-422.88810000000001</v>
      </c>
      <c r="H91">
        <v>-0.05</v>
      </c>
      <c r="I91">
        <v>364.91129999999998</v>
      </c>
      <c r="J91">
        <v>-470.0949</v>
      </c>
      <c r="K91">
        <v>1.1019969999999999</v>
      </c>
      <c r="L91">
        <v>367.50119999999998</v>
      </c>
      <c r="M91">
        <v>0.99999519999999997</v>
      </c>
      <c r="N91">
        <v>0</v>
      </c>
      <c r="O91">
        <v>8.2185299999999999E-4</v>
      </c>
      <c r="P91">
        <v>0.99816669999999996</v>
      </c>
      <c r="Q91">
        <v>-1.7453179999999999E-2</v>
      </c>
      <c r="R91">
        <v>5.7953730000000002E-2</v>
      </c>
      <c r="S91">
        <v>3.012756</v>
      </c>
      <c r="T91">
        <v>-7.3275090000000001E-2</v>
      </c>
      <c r="U91">
        <v>-0.1647034</v>
      </c>
      <c r="V91">
        <v>-5.7136190000000003E-2</v>
      </c>
      <c r="W91">
        <v>-2.043526E-2</v>
      </c>
      <c r="X91">
        <v>0.99815719999999997</v>
      </c>
      <c r="Y91">
        <v>5.539119E-2</v>
      </c>
      <c r="Z91">
        <v>-6.9297079999999995E-4</v>
      </c>
      <c r="AA91">
        <v>0.99846449999999998</v>
      </c>
      <c r="AB91">
        <v>16</v>
      </c>
      <c r="AC91">
        <v>47.206799999999902</v>
      </c>
      <c r="AD91">
        <v>-1.1519969999999999</v>
      </c>
      <c r="AE91">
        <v>-2.5899000000000001</v>
      </c>
      <c r="AF91">
        <v>2.62713654122732</v>
      </c>
      <c r="AG91">
        <v>-1.1519969999999999</v>
      </c>
      <c r="AH91">
        <v>47.176645383137704</v>
      </c>
      <c r="AI91">
        <v>91.396653092221698</v>
      </c>
      <c r="AJ91">
        <v>86.812648953349395</v>
      </c>
      <c r="AK91">
        <v>47.263779081878198</v>
      </c>
    </row>
    <row r="92" spans="1:37" x14ac:dyDescent="0.2">
      <c r="A92" t="str">
        <f>"20200111160055982"</f>
        <v>20200111160055982</v>
      </c>
      <c r="B92" t="str">
        <f>"1578729655979432"</f>
        <v>1578729655979432</v>
      </c>
      <c r="C92" t="s">
        <v>37</v>
      </c>
      <c r="D92">
        <v>4.4937370000000003</v>
      </c>
      <c r="E92">
        <v>0.54004189999999996</v>
      </c>
      <c r="F92" t="s">
        <v>39</v>
      </c>
      <c r="G92">
        <v>-421.48289999999997</v>
      </c>
      <c r="H92">
        <v>-0.05</v>
      </c>
      <c r="I92">
        <v>365.07279999999997</v>
      </c>
      <c r="J92">
        <v>-469.92649999999998</v>
      </c>
      <c r="K92">
        <v>1.1019649999999901</v>
      </c>
      <c r="L92">
        <v>367.50170000000003</v>
      </c>
      <c r="M92">
        <v>0.99999490000000002</v>
      </c>
      <c r="N92">
        <v>0</v>
      </c>
      <c r="O92">
        <v>9.8787019999999992E-4</v>
      </c>
      <c r="P92">
        <v>0.9980059</v>
      </c>
      <c r="Q92">
        <v>-1.6572719999999999E-2</v>
      </c>
      <c r="R92">
        <v>6.0907490000000002E-2</v>
      </c>
      <c r="S92">
        <v>3.0130309999999998</v>
      </c>
      <c r="T92">
        <v>-7.1402190000000004E-2</v>
      </c>
      <c r="U92">
        <v>-0.1505127</v>
      </c>
      <c r="V92">
        <v>-5.9925590000000001E-2</v>
      </c>
      <c r="W92">
        <v>-1.9614699999999999E-2</v>
      </c>
      <c r="X92">
        <v>0.99801010000000001</v>
      </c>
      <c r="Y92">
        <v>5.0863800000000001E-2</v>
      </c>
      <c r="Z92">
        <v>-6.2561270000000002E-4</v>
      </c>
      <c r="AA92">
        <v>0.99870539999999997</v>
      </c>
      <c r="AB92">
        <v>17</v>
      </c>
      <c r="AC92">
        <v>48.443600000000004</v>
      </c>
      <c r="AD92">
        <v>-1.1519649999999999</v>
      </c>
      <c r="AE92">
        <v>-2.4289000000000498</v>
      </c>
      <c r="AF92">
        <v>2.4753588054679998</v>
      </c>
      <c r="AG92">
        <v>-1.1519649999999999</v>
      </c>
      <c r="AH92">
        <v>48.413869211777403</v>
      </c>
      <c r="AI92">
        <v>91.361267496222595</v>
      </c>
      <c r="AJ92">
        <v>87.073065628946395</v>
      </c>
      <c r="AK92">
        <v>48.490794555586803</v>
      </c>
    </row>
    <row r="93" spans="1:37" x14ac:dyDescent="0.2">
      <c r="A93" t="str">
        <f>"20200111160056003"</f>
        <v>20200111160056003</v>
      </c>
      <c r="B93" t="str">
        <f>"1578729655998953"</f>
        <v>1578729655998953</v>
      </c>
      <c r="C93" t="s">
        <v>37</v>
      </c>
      <c r="D93">
        <v>4.6206420000000001</v>
      </c>
      <c r="E93">
        <v>0.53944360000000002</v>
      </c>
      <c r="F93" t="s">
        <v>39</v>
      </c>
      <c r="G93">
        <v>-419.88060000000002</v>
      </c>
      <c r="H93">
        <v>-0.05</v>
      </c>
      <c r="I93">
        <v>365.24810000000002</v>
      </c>
      <c r="J93">
        <v>-469.75959999999998</v>
      </c>
      <c r="K93">
        <v>1.1019369999999999</v>
      </c>
      <c r="L93">
        <v>367.50199999999899</v>
      </c>
      <c r="M93">
        <v>0.99999450000000001</v>
      </c>
      <c r="N93">
        <v>0</v>
      </c>
      <c r="O93">
        <v>1.0878120000000001E-3</v>
      </c>
      <c r="P93">
        <v>0.99783869999999897</v>
      </c>
      <c r="Q93">
        <v>-1.603189E-2</v>
      </c>
      <c r="R93">
        <v>6.3725569999999995E-2</v>
      </c>
      <c r="S93">
        <v>3.01312299999999</v>
      </c>
      <c r="T93">
        <v>-6.9356559999999998E-2</v>
      </c>
      <c r="U93">
        <v>-0.1356812</v>
      </c>
      <c r="V93">
        <v>-6.2645649999999997E-2</v>
      </c>
      <c r="W93">
        <v>-1.9125320000000001E-2</v>
      </c>
      <c r="X93">
        <v>0.99785259999999998</v>
      </c>
      <c r="Y93">
        <v>4.6058719999999997E-2</v>
      </c>
      <c r="Z93">
        <v>-5.547789E-4</v>
      </c>
      <c r="AA93">
        <v>0.99893860000000001</v>
      </c>
      <c r="AB93">
        <v>17</v>
      </c>
      <c r="AC93">
        <v>49.878999999999898</v>
      </c>
      <c r="AD93">
        <v>-1.151937</v>
      </c>
      <c r="AE93">
        <v>-2.2538999999999301</v>
      </c>
      <c r="AF93">
        <v>2.3069299862512702</v>
      </c>
      <c r="AG93">
        <v>-1.151937</v>
      </c>
      <c r="AH93">
        <v>49.849984753889402</v>
      </c>
      <c r="AI93">
        <v>91.322344660372394</v>
      </c>
      <c r="AJ93">
        <v>87.350388040001405</v>
      </c>
      <c r="AK93">
        <v>49.916629140762701</v>
      </c>
    </row>
    <row r="94" spans="1:37" x14ac:dyDescent="0.2">
      <c r="A94" t="str">
        <f>"20200111160056026"</f>
        <v>20200111160056026</v>
      </c>
      <c r="B94" t="str">
        <f>"1578729656019056"</f>
        <v>1578729656019056</v>
      </c>
      <c r="C94" t="s">
        <v>37</v>
      </c>
      <c r="D94">
        <v>4.673489</v>
      </c>
      <c r="E94">
        <v>0.53885919999999998</v>
      </c>
      <c r="F94" t="s">
        <v>39</v>
      </c>
      <c r="G94">
        <v>-419.29989999999998</v>
      </c>
      <c r="H94">
        <v>-0.05</v>
      </c>
      <c r="I94">
        <v>365.45260000000002</v>
      </c>
      <c r="J94">
        <v>-469.5874</v>
      </c>
      <c r="K94">
        <v>1.101907</v>
      </c>
      <c r="L94">
        <v>367.50229999999999</v>
      </c>
      <c r="M94">
        <v>0.99999439999999995</v>
      </c>
      <c r="N94">
        <v>0</v>
      </c>
      <c r="O94">
        <v>1.117009E-3</v>
      </c>
      <c r="P94">
        <v>0.99768060000000003</v>
      </c>
      <c r="Q94">
        <v>-1.695435E-2</v>
      </c>
      <c r="R94">
        <v>6.5926040000000005E-2</v>
      </c>
      <c r="S94">
        <v>3.0131839999999999</v>
      </c>
      <c r="T94">
        <v>-6.8787459999999995E-2</v>
      </c>
      <c r="U94">
        <v>-0.1223755</v>
      </c>
      <c r="V94">
        <v>-6.4819219999999997E-2</v>
      </c>
      <c r="W94">
        <v>-2.009236E-2</v>
      </c>
      <c r="X94">
        <v>0.99769470000000005</v>
      </c>
      <c r="Y94">
        <v>4.1684840000000001E-2</v>
      </c>
      <c r="Z94">
        <v>-5.0103660000000005E-4</v>
      </c>
      <c r="AA94">
        <v>0.99913069999999904</v>
      </c>
      <c r="AB94">
        <v>17</v>
      </c>
      <c r="AC94">
        <v>50.287500000000001</v>
      </c>
      <c r="AD94">
        <v>-1.151907</v>
      </c>
      <c r="AE94">
        <v>-2.0496999999999699</v>
      </c>
      <c r="AF94">
        <v>2.1047680414486498</v>
      </c>
      <c r="AG94">
        <v>-1.151907</v>
      </c>
      <c r="AH94">
        <v>50.258851778701803</v>
      </c>
      <c r="AI94">
        <v>91.3118104623547</v>
      </c>
      <c r="AJ94">
        <v>87.601936863258103</v>
      </c>
      <c r="AK94">
        <v>50.316092061670197</v>
      </c>
    </row>
    <row r="95" spans="1:37" x14ac:dyDescent="0.2">
      <c r="A95" t="str">
        <f>"20200111160056048"</f>
        <v>20200111160056048</v>
      </c>
      <c r="B95" t="str">
        <f>"1578729656038565"</f>
        <v>1578729656038565</v>
      </c>
      <c r="C95" t="s">
        <v>37</v>
      </c>
      <c r="D95">
        <v>4.6033679999999997</v>
      </c>
      <c r="E95">
        <v>0.53842179999999995</v>
      </c>
      <c r="F95" t="s">
        <v>39</v>
      </c>
      <c r="G95">
        <v>-422.2715</v>
      </c>
      <c r="H95">
        <v>-0.05</v>
      </c>
      <c r="I95">
        <v>365.76170000000002</v>
      </c>
      <c r="J95">
        <v>-469.40870000000001</v>
      </c>
      <c r="K95">
        <v>1.101888</v>
      </c>
      <c r="L95">
        <v>367.50240000000002</v>
      </c>
      <c r="M95">
        <v>0.99999439999999995</v>
      </c>
      <c r="N95">
        <v>0</v>
      </c>
      <c r="O95">
        <v>1.064312E-3</v>
      </c>
      <c r="P95">
        <v>0.99762220000000001</v>
      </c>
      <c r="Q95">
        <v>-1.8105779999999998E-2</v>
      </c>
      <c r="R95">
        <v>6.650151E-2</v>
      </c>
      <c r="S95">
        <v>3.0130619999999899</v>
      </c>
      <c r="T95">
        <v>-7.3353050000000003E-2</v>
      </c>
      <c r="U95">
        <v>-0.1108398</v>
      </c>
      <c r="V95">
        <v>-6.5449370000000007E-2</v>
      </c>
      <c r="W95">
        <v>-2.128159E-2</v>
      </c>
      <c r="X95">
        <v>0.99762890000000004</v>
      </c>
      <c r="Y95">
        <v>3.7813659999999999E-2</v>
      </c>
      <c r="Z95">
        <v>-4.8596199999999999E-4</v>
      </c>
      <c r="AA95">
        <v>0.99928470000000003</v>
      </c>
      <c r="AB95">
        <v>17</v>
      </c>
      <c r="AC95">
        <v>47.1372</v>
      </c>
      <c r="AD95">
        <v>-1.151888</v>
      </c>
      <c r="AE95">
        <v>-1.7406999999999999</v>
      </c>
      <c r="AF95">
        <v>1.78980060694345</v>
      </c>
      <c r="AG95">
        <v>-1.151888</v>
      </c>
      <c r="AH95">
        <v>47.107228257405602</v>
      </c>
      <c r="AI95">
        <v>91.399734558393504</v>
      </c>
      <c r="AJ95">
        <v>87.824140312071506</v>
      </c>
      <c r="AK95">
        <v>47.155287999040702</v>
      </c>
    </row>
    <row r="96" spans="1:37" x14ac:dyDescent="0.2">
      <c r="A96" t="str">
        <f>"20200111160056071"</f>
        <v>20200111160056071</v>
      </c>
      <c r="B96" t="str">
        <f>"1578729656068821"</f>
        <v>1578729656068821</v>
      </c>
      <c r="C96" t="s">
        <v>37</v>
      </c>
      <c r="D96">
        <v>4.5848440000000004</v>
      </c>
      <c r="E96">
        <v>0.53778149999999902</v>
      </c>
      <c r="F96" t="s">
        <v>39</v>
      </c>
      <c r="G96">
        <v>-424.76060000000001</v>
      </c>
      <c r="H96">
        <v>-0.05</v>
      </c>
      <c r="I96">
        <v>365.94029999999998</v>
      </c>
      <c r="J96">
        <v>-469.22629999999998</v>
      </c>
      <c r="K96">
        <v>1.101877</v>
      </c>
      <c r="L96">
        <v>367.5025</v>
      </c>
      <c r="M96">
        <v>0.99999439999999995</v>
      </c>
      <c r="N96">
        <v>0</v>
      </c>
      <c r="O96">
        <v>9.2018239999999999E-4</v>
      </c>
      <c r="P96">
        <v>0.99768950000000001</v>
      </c>
      <c r="Q96">
        <v>-1.7695280000000001E-2</v>
      </c>
      <c r="R96">
        <v>6.559334E-2</v>
      </c>
      <c r="S96">
        <v>3.0127869999999999</v>
      </c>
      <c r="T96">
        <v>-7.7727560000000001E-2</v>
      </c>
      <c r="U96">
        <v>-0.10540769999999999</v>
      </c>
      <c r="V96">
        <v>-6.4686389999999996E-2</v>
      </c>
      <c r="W96">
        <v>-2.0901360000000001E-2</v>
      </c>
      <c r="X96">
        <v>0.99768670000000004</v>
      </c>
      <c r="Y96">
        <v>3.5872769999999998E-2</v>
      </c>
      <c r="Z96">
        <v>-4.8625519999999898E-4</v>
      </c>
      <c r="AA96">
        <v>0.99935629999999998</v>
      </c>
      <c r="AB96">
        <v>18</v>
      </c>
      <c r="AC96">
        <v>44.465699999999899</v>
      </c>
      <c r="AD96">
        <v>-1.151877</v>
      </c>
      <c r="AE96">
        <v>-1.56220000000001</v>
      </c>
      <c r="AF96">
        <v>1.60204236227295</v>
      </c>
      <c r="AG96">
        <v>-1.151877</v>
      </c>
      <c r="AH96">
        <v>44.434462186579601</v>
      </c>
      <c r="AI96">
        <v>91.483985295573405</v>
      </c>
      <c r="AJ96">
        <v>87.935149434040298</v>
      </c>
      <c r="AK96">
        <v>44.478250754320598</v>
      </c>
    </row>
    <row r="97" spans="1:37" x14ac:dyDescent="0.2">
      <c r="A97" t="str">
        <f>"20200111160056094"</f>
        <v>20200111160056094</v>
      </c>
      <c r="B97" t="str">
        <f>"1578729656089317"</f>
        <v>1578729656089317</v>
      </c>
      <c r="C97" t="s">
        <v>37</v>
      </c>
      <c r="D97">
        <v>4.545534</v>
      </c>
      <c r="E97">
        <v>0.53744440000000004</v>
      </c>
      <c r="F97" t="s">
        <v>39</v>
      </c>
      <c r="G97">
        <v>-424.74040000000002</v>
      </c>
      <c r="H97">
        <v>-0.05</v>
      </c>
      <c r="I97">
        <v>365.98320000000001</v>
      </c>
      <c r="J97">
        <v>-469.03899999999999</v>
      </c>
      <c r="K97">
        <v>1.1018649999999901</v>
      </c>
      <c r="L97">
        <v>367.50240000000002</v>
      </c>
      <c r="M97">
        <v>0.99999459999999996</v>
      </c>
      <c r="N97">
        <v>0</v>
      </c>
      <c r="O97">
        <v>6.9088630000000003E-4</v>
      </c>
      <c r="P97">
        <v>0.99775700000000001</v>
      </c>
      <c r="Q97">
        <v>-1.6837319999999999E-2</v>
      </c>
      <c r="R97">
        <v>6.4792820000000001E-2</v>
      </c>
      <c r="S97">
        <v>3.0123599999999899</v>
      </c>
      <c r="T97">
        <v>-7.7999230000000003E-2</v>
      </c>
      <c r="U97">
        <v>-0.1028748</v>
      </c>
      <c r="V97">
        <v>-6.4115640000000002E-2</v>
      </c>
      <c r="W97">
        <v>-2.00649E-2</v>
      </c>
      <c r="X97">
        <v>0.99774069999999904</v>
      </c>
      <c r="Y97">
        <v>3.4809590000000001E-2</v>
      </c>
      <c r="Z97">
        <v>-4.6833790000000002E-4</v>
      </c>
      <c r="AA97">
        <v>0.99939389999999995</v>
      </c>
      <c r="AB97">
        <v>18</v>
      </c>
      <c r="AC97">
        <v>44.298599999999901</v>
      </c>
      <c r="AD97">
        <v>-1.1518649999999999</v>
      </c>
      <c r="AE97">
        <v>-1.5192000000000101</v>
      </c>
      <c r="AF97">
        <v>1.54875917579482</v>
      </c>
      <c r="AG97">
        <v>-1.1518649999999999</v>
      </c>
      <c r="AH97">
        <v>44.267644790400503</v>
      </c>
      <c r="AI97">
        <v>91.489615893999499</v>
      </c>
      <c r="AJ97">
        <v>87.996252448722899</v>
      </c>
      <c r="AK97">
        <v>44.309703488647997</v>
      </c>
    </row>
    <row r="98" spans="1:37" x14ac:dyDescent="0.2">
      <c r="A98" t="str">
        <f>"20200111160056117"</f>
        <v>20200111160056117</v>
      </c>
      <c r="B98" t="str">
        <f>"1578729656108837"</f>
        <v>1578729656108837</v>
      </c>
      <c r="C98" t="s">
        <v>37</v>
      </c>
      <c r="D98">
        <v>4.5477509999999999</v>
      </c>
      <c r="E98">
        <v>0.5371937</v>
      </c>
      <c r="F98" t="s">
        <v>39</v>
      </c>
      <c r="G98">
        <v>-423.43439999999998</v>
      </c>
      <c r="H98">
        <v>-0.05</v>
      </c>
      <c r="I98">
        <v>365.94810000000001</v>
      </c>
      <c r="J98">
        <v>-468.84129999999999</v>
      </c>
      <c r="K98">
        <v>1.101869</v>
      </c>
      <c r="L98">
        <v>367.50229999999999</v>
      </c>
      <c r="M98">
        <v>0.99999450000000001</v>
      </c>
      <c r="N98">
        <v>0</v>
      </c>
      <c r="O98">
        <v>3.8213929999999998E-4</v>
      </c>
      <c r="P98">
        <v>0.9978534</v>
      </c>
      <c r="Q98">
        <v>-1.4240849999999999E-2</v>
      </c>
      <c r="R98">
        <v>6.3922209999999993E-2</v>
      </c>
      <c r="S98">
        <v>3.0121150000000001</v>
      </c>
      <c r="T98">
        <v>-7.6078889999999996E-2</v>
      </c>
      <c r="U98">
        <v>-0.10266110000000001</v>
      </c>
      <c r="V98">
        <v>-6.3553020000000002E-2</v>
      </c>
      <c r="W98">
        <v>-1.7481529999999999E-2</v>
      </c>
      <c r="X98">
        <v>0.99782530000000003</v>
      </c>
      <c r="Y98">
        <v>3.4433779999999997E-2</v>
      </c>
      <c r="Z98">
        <v>-4.4431000000000001E-4</v>
      </c>
      <c r="AA98">
        <v>0.99940689999999999</v>
      </c>
      <c r="AB98">
        <v>18</v>
      </c>
      <c r="AC98">
        <v>45.4069</v>
      </c>
      <c r="AD98">
        <v>-1.151869</v>
      </c>
      <c r="AE98">
        <v>-1.55419999999998</v>
      </c>
      <c r="AF98">
        <v>1.5705422480268301</v>
      </c>
      <c r="AG98">
        <v>-1.151869</v>
      </c>
      <c r="AH98">
        <v>45.3771358086452</v>
      </c>
      <c r="AI98">
        <v>91.453233937289497</v>
      </c>
      <c r="AJ98">
        <v>88.017734372204799</v>
      </c>
      <c r="AK98">
        <v>45.418915215383898</v>
      </c>
    </row>
    <row r="99" spans="1:37" x14ac:dyDescent="0.2">
      <c r="A99" t="str">
        <f>"20200111160056140"</f>
        <v>20200111160056140</v>
      </c>
      <c r="B99" t="str">
        <f>"1578729656129334"</f>
        <v>1578729656129334</v>
      </c>
      <c r="C99" t="s">
        <v>37</v>
      </c>
      <c r="D99">
        <v>4.4293569999999898</v>
      </c>
      <c r="E99">
        <v>0.53677240000000004</v>
      </c>
      <c r="F99" t="s">
        <v>39</v>
      </c>
      <c r="G99">
        <v>-417.75080000000003</v>
      </c>
      <c r="H99">
        <v>-0.05</v>
      </c>
      <c r="I99">
        <v>365.74950000000001</v>
      </c>
      <c r="J99">
        <v>-468.65010000000001</v>
      </c>
      <c r="K99">
        <v>1.101861</v>
      </c>
      <c r="L99">
        <v>367.50199999999899</v>
      </c>
      <c r="M99">
        <v>0.99999459999999996</v>
      </c>
      <c r="N99">
        <v>0</v>
      </c>
      <c r="O99" s="1">
        <v>3.041821E-5</v>
      </c>
      <c r="P99">
        <v>0.99795140000000004</v>
      </c>
      <c r="Q99">
        <v>-1.366464E-2</v>
      </c>
      <c r="R99">
        <v>6.2499609999999997E-2</v>
      </c>
      <c r="S99">
        <v>3.012054</v>
      </c>
      <c r="T99">
        <v>-6.7908759999999999E-2</v>
      </c>
      <c r="U99">
        <v>-0.10333249999999999</v>
      </c>
      <c r="V99">
        <v>-6.2481630000000003E-2</v>
      </c>
      <c r="W99">
        <v>-1.6908079999999999E-2</v>
      </c>
      <c r="X99">
        <v>0.99790290000000004</v>
      </c>
      <c r="Y99">
        <v>3.4307839999999999E-2</v>
      </c>
      <c r="Z99">
        <v>-3.8726910000000002E-4</v>
      </c>
      <c r="AA99">
        <v>0.99941119999999894</v>
      </c>
      <c r="AB99">
        <v>19</v>
      </c>
      <c r="AC99">
        <v>50.899299999999897</v>
      </c>
      <c r="AD99">
        <v>-1.151861</v>
      </c>
      <c r="AE99">
        <v>-1.75249999999994</v>
      </c>
      <c r="AF99">
        <v>1.7531515023908</v>
      </c>
      <c r="AG99">
        <v>-1.151861</v>
      </c>
      <c r="AH99">
        <v>50.8732240344724</v>
      </c>
      <c r="AI99">
        <v>91.296288327692096</v>
      </c>
      <c r="AJ99">
        <v>88.026300692350205</v>
      </c>
      <c r="AK99">
        <v>50.9164536040686</v>
      </c>
    </row>
    <row r="100" spans="1:37" x14ac:dyDescent="0.2">
      <c r="A100" t="str">
        <f>"20200111160056161"</f>
        <v>20200111160056161</v>
      </c>
      <c r="B100" t="str">
        <f>"1578729656148853"</f>
        <v>1578729656148853</v>
      </c>
      <c r="C100" t="s">
        <v>37</v>
      </c>
      <c r="D100">
        <v>4.5516579999999998</v>
      </c>
      <c r="E100">
        <v>0.53637060000000003</v>
      </c>
      <c r="F100" t="s">
        <v>39</v>
      </c>
      <c r="G100">
        <v>-416.60640000000001</v>
      </c>
      <c r="H100">
        <v>-0.05</v>
      </c>
      <c r="I100">
        <v>365.70060000000001</v>
      </c>
      <c r="J100">
        <v>-468.47</v>
      </c>
      <c r="K100">
        <v>1.1018520000000001</v>
      </c>
      <c r="L100">
        <v>367.5016</v>
      </c>
      <c r="M100">
        <v>0.99999459999999996</v>
      </c>
      <c r="N100">
        <v>0</v>
      </c>
      <c r="O100">
        <v>-3.410919E-4</v>
      </c>
      <c r="P100">
        <v>0.99795999999999996</v>
      </c>
      <c r="Q100">
        <v>-1.6160399999999998E-2</v>
      </c>
      <c r="R100">
        <v>6.176587E-2</v>
      </c>
      <c r="S100">
        <v>3.0117799999999999</v>
      </c>
      <c r="T100">
        <v>-6.6658499999999996E-2</v>
      </c>
      <c r="U100">
        <v>-0.10424799999999999</v>
      </c>
      <c r="V100">
        <v>-6.2121460000000003E-2</v>
      </c>
      <c r="W100">
        <v>-1.9396259999999999E-2</v>
      </c>
      <c r="X100">
        <v>0.99788009999999905</v>
      </c>
      <c r="Y100">
        <v>3.4243540000000003E-2</v>
      </c>
      <c r="Z100">
        <v>-3.7124320000000001E-4</v>
      </c>
      <c r="AA100">
        <v>0.99941340000000001</v>
      </c>
      <c r="AB100">
        <v>19</v>
      </c>
      <c r="AC100">
        <v>51.863599999999998</v>
      </c>
      <c r="AD100">
        <v>-1.1518520000000001</v>
      </c>
      <c r="AE100">
        <v>-1.80099999999998</v>
      </c>
      <c r="AF100">
        <v>1.7824314195595199</v>
      </c>
      <c r="AG100">
        <v>-1.1518520000000001</v>
      </c>
      <c r="AH100">
        <v>51.838672608051397</v>
      </c>
      <c r="AI100">
        <v>91.272147563744994</v>
      </c>
      <c r="AJ100">
        <v>88.03070614792</v>
      </c>
      <c r="AK100">
        <v>51.882095202102903</v>
      </c>
    </row>
    <row r="101" spans="1:37" x14ac:dyDescent="0.2">
      <c r="A101" t="str">
        <f>"20200111160056183"</f>
        <v>20200111160056183</v>
      </c>
      <c r="B101" t="str">
        <f>"1578729656179109"</f>
        <v>1578729656179109</v>
      </c>
      <c r="C101" t="s">
        <v>37</v>
      </c>
      <c r="D101">
        <v>4.481744</v>
      </c>
      <c r="E101">
        <v>0.53589560000000003</v>
      </c>
      <c r="F101" t="s">
        <v>39</v>
      </c>
      <c r="G101">
        <v>-422.69580000000002</v>
      </c>
      <c r="H101">
        <v>-0.05</v>
      </c>
      <c r="I101">
        <v>365.9332</v>
      </c>
      <c r="J101">
        <v>-468.28039999999999</v>
      </c>
      <c r="K101">
        <v>1.1018600000000001</v>
      </c>
      <c r="L101">
        <v>367.50110000000001</v>
      </c>
      <c r="M101">
        <v>0.99999450000000001</v>
      </c>
      <c r="N101">
        <v>0</v>
      </c>
      <c r="O101">
        <v>-7.6529059999999995E-4</v>
      </c>
      <c r="P101">
        <v>0.99798759999999997</v>
      </c>
      <c r="Q101">
        <v>-1.5858009999999999E-2</v>
      </c>
      <c r="R101">
        <v>6.1396289999999999E-2</v>
      </c>
      <c r="S101">
        <v>3.0112919999999899</v>
      </c>
      <c r="T101">
        <v>-7.5775499999999996E-2</v>
      </c>
      <c r="U101">
        <v>-0.10317989999999901</v>
      </c>
      <c r="V101">
        <v>-6.2176090000000003E-2</v>
      </c>
      <c r="W101">
        <v>-1.9076829999999999E-2</v>
      </c>
      <c r="X101">
        <v>0.99788279999999996</v>
      </c>
      <c r="Y101">
        <v>3.346905E-2</v>
      </c>
      <c r="Z101">
        <v>-4.01665E-4</v>
      </c>
      <c r="AA101">
        <v>0.99943969999999904</v>
      </c>
      <c r="AB101">
        <v>19</v>
      </c>
      <c r="AC101">
        <v>45.584599999999902</v>
      </c>
      <c r="AD101">
        <v>-1.1518600000000001</v>
      </c>
      <c r="AE101">
        <v>-1.5679000000000001</v>
      </c>
      <c r="AF101">
        <v>1.53203683874894</v>
      </c>
      <c r="AG101">
        <v>-1.1518600000000001</v>
      </c>
      <c r="AH101">
        <v>45.556732807328601</v>
      </c>
      <c r="AI101">
        <v>91.447544438883199</v>
      </c>
      <c r="AJ101">
        <v>88.073914185527798</v>
      </c>
      <c r="AK101">
        <v>45.597037430223601</v>
      </c>
    </row>
    <row r="102" spans="1:37" x14ac:dyDescent="0.2">
      <c r="A102" t="str">
        <f>"20200111160056204"</f>
        <v>20200111160056204</v>
      </c>
      <c r="B102" t="str">
        <f>"1578729656199606"</f>
        <v>1578729656199606</v>
      </c>
      <c r="C102" t="s">
        <v>37</v>
      </c>
      <c r="D102">
        <v>4.3272180000000002</v>
      </c>
      <c r="E102">
        <v>0.53579719999999997</v>
      </c>
      <c r="F102" t="s">
        <v>39</v>
      </c>
      <c r="G102">
        <v>-421.7448</v>
      </c>
      <c r="H102">
        <v>-0.05</v>
      </c>
      <c r="I102">
        <v>365.95319999999998</v>
      </c>
      <c r="J102">
        <v>-468.09309999999999</v>
      </c>
      <c r="K102">
        <v>1.101874</v>
      </c>
      <c r="L102">
        <v>367.50049999999999</v>
      </c>
      <c r="M102">
        <v>0.99999419999999895</v>
      </c>
      <c r="N102">
        <v>0</v>
      </c>
      <c r="O102">
        <v>-1.20714E-3</v>
      </c>
      <c r="P102">
        <v>0.99813750000000001</v>
      </c>
      <c r="Q102">
        <v>-1.346466E-2</v>
      </c>
      <c r="R102">
        <v>5.9504410000000001E-2</v>
      </c>
      <c r="S102">
        <v>3.011047</v>
      </c>
      <c r="T102">
        <v>-7.4530239999999998E-2</v>
      </c>
      <c r="U102">
        <v>-0.1001587</v>
      </c>
      <c r="V102">
        <v>-6.0723079999999999E-2</v>
      </c>
      <c r="W102">
        <v>-1.6661120000000001E-2</v>
      </c>
      <c r="X102">
        <v>0.998015599999999</v>
      </c>
      <c r="Y102">
        <v>3.2029420000000003E-2</v>
      </c>
      <c r="Z102">
        <v>-3.6636349999999998E-4</v>
      </c>
      <c r="AA102">
        <v>0.99948689999999996</v>
      </c>
      <c r="AB102">
        <v>19</v>
      </c>
      <c r="AC102">
        <v>46.348300000000002</v>
      </c>
      <c r="AD102">
        <v>-1.1518740000000001</v>
      </c>
      <c r="AE102">
        <v>-1.5472999999999999</v>
      </c>
      <c r="AF102">
        <v>1.49043016291257</v>
      </c>
      <c r="AG102">
        <v>-1.1518740000000001</v>
      </c>
      <c r="AH102">
        <v>46.321555397557198</v>
      </c>
      <c r="AI102">
        <v>91.423739000707201</v>
      </c>
      <c r="AJ102">
        <v>88.157101888297603</v>
      </c>
      <c r="AK102">
        <v>46.359839195486401</v>
      </c>
    </row>
    <row r="103" spans="1:37" x14ac:dyDescent="0.2">
      <c r="A103" t="str">
        <f>"20200111160056227"</f>
        <v>20200111160056227</v>
      </c>
      <c r="B103" t="str">
        <f>"1578729656219647"</f>
        <v>1578729656219647</v>
      </c>
      <c r="C103" t="s">
        <v>37</v>
      </c>
      <c r="D103">
        <v>4.4709969999999997</v>
      </c>
      <c r="E103">
        <v>0.53531149999999905</v>
      </c>
      <c r="F103" t="s">
        <v>39</v>
      </c>
      <c r="G103">
        <v>-414.89580000000001</v>
      </c>
      <c r="H103">
        <v>-0.05</v>
      </c>
      <c r="I103">
        <v>365.63709999999998</v>
      </c>
      <c r="J103">
        <v>-467.88</v>
      </c>
      <c r="K103">
        <v>1.1019019999999999</v>
      </c>
      <c r="L103">
        <v>367.49970000000002</v>
      </c>
      <c r="M103">
        <v>0.99999340000000003</v>
      </c>
      <c r="N103">
        <v>0</v>
      </c>
      <c r="O103">
        <v>-1.7250479999999901E-3</v>
      </c>
      <c r="P103">
        <v>0.99832480000000001</v>
      </c>
      <c r="Q103">
        <v>-9.5168040000000002E-3</v>
      </c>
      <c r="R103">
        <v>5.7072919999999999E-2</v>
      </c>
      <c r="S103">
        <v>3.0109859999999999</v>
      </c>
      <c r="T103">
        <v>-6.5196509999999999E-2</v>
      </c>
      <c r="U103">
        <v>-0.1054688</v>
      </c>
      <c r="V103">
        <v>-5.8806190000000001E-2</v>
      </c>
      <c r="W103">
        <v>-1.268183E-2</v>
      </c>
      <c r="X103">
        <v>0.99818890000000005</v>
      </c>
      <c r="Y103">
        <v>3.3275060000000002E-2</v>
      </c>
      <c r="Z103">
        <v>-3.2276149999999998E-4</v>
      </c>
      <c r="AA103">
        <v>0.99944619999999995</v>
      </c>
      <c r="AB103">
        <v>20</v>
      </c>
      <c r="AC103">
        <v>52.984199999999902</v>
      </c>
      <c r="AD103">
        <v>-1.151902</v>
      </c>
      <c r="AE103">
        <v>-1.86260000000004</v>
      </c>
      <c r="AF103">
        <v>1.77036074752399</v>
      </c>
      <c r="AG103">
        <v>-1.151902</v>
      </c>
      <c r="AH103">
        <v>52.962332583877199</v>
      </c>
      <c r="AI103">
        <v>91.245260400012597</v>
      </c>
      <c r="AJ103">
        <v>88.085498877542605</v>
      </c>
      <c r="AK103">
        <v>53.004431212109097</v>
      </c>
    </row>
    <row r="104" spans="1:37" x14ac:dyDescent="0.2">
      <c r="A104" t="str">
        <f>"20200111160056249"</f>
        <v>20200111160056249</v>
      </c>
      <c r="B104" t="str">
        <f>"1578729656239155"</f>
        <v>1578729656239155</v>
      </c>
      <c r="C104" t="s">
        <v>37</v>
      </c>
      <c r="D104">
        <v>4.4519929999999999</v>
      </c>
      <c r="E104">
        <v>0.53474759999999999</v>
      </c>
      <c r="F104" t="s">
        <v>39</v>
      </c>
      <c r="G104">
        <v>-403.36320000000001</v>
      </c>
      <c r="H104">
        <v>-0.05</v>
      </c>
      <c r="I104">
        <v>365.16570000000002</v>
      </c>
      <c r="J104">
        <v>-467.68099999999998</v>
      </c>
      <c r="K104">
        <v>1.101934</v>
      </c>
      <c r="L104">
        <v>367.49869999999999</v>
      </c>
      <c r="M104">
        <v>0.99999249999999995</v>
      </c>
      <c r="N104">
        <v>0</v>
      </c>
      <c r="O104">
        <v>-2.2142389999999998E-3</v>
      </c>
      <c r="P104">
        <v>0.99844869999999997</v>
      </c>
      <c r="Q104">
        <v>-7.4842049999999999E-3</v>
      </c>
      <c r="R104">
        <v>5.5173779999999999E-2</v>
      </c>
      <c r="S104">
        <v>3.010742</v>
      </c>
      <c r="T104">
        <v>-5.3754690000000001E-2</v>
      </c>
      <c r="U104">
        <v>-0.10891720000000001</v>
      </c>
      <c r="V104">
        <v>-5.739387E-2</v>
      </c>
      <c r="W104">
        <v>-1.0614419999999999E-2</v>
      </c>
      <c r="X104">
        <v>0.99829519999999905</v>
      </c>
      <c r="Y104">
        <v>3.3934619999999999E-2</v>
      </c>
      <c r="Z104">
        <v>-2.6329879999999997E-4</v>
      </c>
      <c r="AA104">
        <v>0.99942399999999998</v>
      </c>
      <c r="AB104">
        <v>20</v>
      </c>
      <c r="AC104">
        <v>64.317799999999906</v>
      </c>
      <c r="AD104">
        <v>-1.151934</v>
      </c>
      <c r="AE104">
        <v>-2.33299999999997</v>
      </c>
      <c r="AF104">
        <v>2.18987705823357</v>
      </c>
      <c r="AG104">
        <v>-1.151934</v>
      </c>
      <c r="AH104">
        <v>64.302209100023603</v>
      </c>
      <c r="AI104">
        <v>91.025713882533694</v>
      </c>
      <c r="AJ104">
        <v>88.0494878623349</v>
      </c>
      <c r="AK104">
        <v>64.349798823412797</v>
      </c>
    </row>
    <row r="105" spans="1:37" x14ac:dyDescent="0.2">
      <c r="A105" t="str">
        <f>"20200111160056272"</f>
        <v>20200111160056272</v>
      </c>
      <c r="B105" t="str">
        <f>"1578729656269409"</f>
        <v>1578729656269409</v>
      </c>
      <c r="C105" t="s">
        <v>37</v>
      </c>
      <c r="D105">
        <v>4.4016570000000002</v>
      </c>
      <c r="E105">
        <v>0.53389569999999997</v>
      </c>
      <c r="F105" t="s">
        <v>38</v>
      </c>
      <c r="G105">
        <v>-396.95929999999998</v>
      </c>
      <c r="H105" s="1">
        <v>-2.2736530000000001E-6</v>
      </c>
      <c r="I105">
        <v>364.90769999999998</v>
      </c>
      <c r="J105">
        <v>-467.47609999999997</v>
      </c>
      <c r="K105">
        <v>1.101961</v>
      </c>
      <c r="L105">
        <v>367.49770000000001</v>
      </c>
      <c r="M105">
        <v>0.99999150000000003</v>
      </c>
      <c r="N105">
        <v>0</v>
      </c>
      <c r="O105">
        <v>-2.718935E-3</v>
      </c>
      <c r="P105">
        <v>0.99852909999999995</v>
      </c>
      <c r="Q105">
        <v>-6.4043240000000003E-3</v>
      </c>
      <c r="R105">
        <v>5.384133E-2</v>
      </c>
      <c r="S105">
        <v>3.0104060000000001</v>
      </c>
      <c r="T105">
        <v>-4.6905990000000002E-2</v>
      </c>
      <c r="U105">
        <v>-0.1102905</v>
      </c>
      <c r="V105">
        <v>-5.6564299999999998E-2</v>
      </c>
      <c r="W105">
        <v>-9.4942529999999994E-3</v>
      </c>
      <c r="X105">
        <v>0.99835379999999996</v>
      </c>
      <c r="Y105">
        <v>3.3890820000000002E-2</v>
      </c>
      <c r="Z105">
        <v>-2.2157939999999999E-4</v>
      </c>
      <c r="AA105">
        <v>0.99942549999999997</v>
      </c>
      <c r="AB105">
        <v>20</v>
      </c>
      <c r="AC105">
        <v>70.516799999999904</v>
      </c>
      <c r="AD105">
        <v>-1.1019632736530001</v>
      </c>
      <c r="AE105">
        <v>-2.5900000000000301</v>
      </c>
      <c r="AF105">
        <v>2.3976741820378602</v>
      </c>
      <c r="AG105">
        <v>-1.1019632736530001</v>
      </c>
      <c r="AH105">
        <v>70.506386822588993</v>
      </c>
      <c r="AI105">
        <v>90.894901019928696</v>
      </c>
      <c r="AJ105">
        <v>88.052322658884407</v>
      </c>
      <c r="AK105">
        <v>70.555749215186196</v>
      </c>
    </row>
    <row r="106" spans="1:37" x14ac:dyDescent="0.2">
      <c r="A106" t="str">
        <f>"20200111160056293"</f>
        <v>20200111160056293</v>
      </c>
      <c r="B106" t="str">
        <f>"1578729656288930"</f>
        <v>1578729656288930</v>
      </c>
      <c r="C106" t="s">
        <v>37</v>
      </c>
      <c r="D106">
        <v>4.429246</v>
      </c>
      <c r="E106">
        <v>0.53330959999999905</v>
      </c>
      <c r="F106" t="s">
        <v>38</v>
      </c>
      <c r="G106">
        <v>-389.9228</v>
      </c>
      <c r="H106" s="1">
        <v>-1.312909E-6</v>
      </c>
      <c r="I106">
        <v>364.72820000000002</v>
      </c>
      <c r="J106">
        <v>-467.27640000000002</v>
      </c>
      <c r="K106">
        <v>1.1019760000000001</v>
      </c>
      <c r="L106">
        <v>367.49650000000003</v>
      </c>
      <c r="M106">
        <v>0.99999009999999999</v>
      </c>
      <c r="N106">
        <v>0</v>
      </c>
      <c r="O106">
        <v>-3.2061120000000001E-3</v>
      </c>
      <c r="P106">
        <v>0.99857790000000002</v>
      </c>
      <c r="Q106">
        <v>-6.7934409999999999E-3</v>
      </c>
      <c r="R106">
        <v>5.2878630000000003E-2</v>
      </c>
      <c r="S106">
        <v>3.0099490000000002</v>
      </c>
      <c r="T106">
        <v>-4.2768599999999997E-2</v>
      </c>
      <c r="U106">
        <v>-0.10748289999999899</v>
      </c>
      <c r="V106">
        <v>-5.6088060000000002E-2</v>
      </c>
      <c r="W106">
        <v>-9.8413279999999999E-3</v>
      </c>
      <c r="X106">
        <v>0.99837730000000002</v>
      </c>
      <c r="Y106">
        <v>3.2479250000000001E-2</v>
      </c>
      <c r="Z106">
        <v>-1.851264E-4</v>
      </c>
      <c r="AA106">
        <v>0.99947240000000004</v>
      </c>
      <c r="AB106">
        <v>21</v>
      </c>
      <c r="AC106">
        <v>77.3536</v>
      </c>
      <c r="AD106">
        <v>-1.101977312909</v>
      </c>
      <c r="AE106">
        <v>-2.7683</v>
      </c>
      <c r="AF106">
        <v>2.5197695586785098</v>
      </c>
      <c r="AG106">
        <v>-1.101977312909</v>
      </c>
      <c r="AH106">
        <v>77.346400752917006</v>
      </c>
      <c r="AI106">
        <v>90.815822140879106</v>
      </c>
      <c r="AJ106">
        <v>88.134093924096206</v>
      </c>
      <c r="AK106">
        <v>77.3952795851133</v>
      </c>
    </row>
    <row r="107" spans="1:37" x14ac:dyDescent="0.2">
      <c r="A107" t="str">
        <f>"20200111160056316"</f>
        <v>20200111160056316</v>
      </c>
      <c r="B107" t="str">
        <f>"1578729656309425"</f>
        <v>1578729656309425</v>
      </c>
      <c r="C107" t="s">
        <v>37</v>
      </c>
      <c r="D107">
        <v>4.4168459999999996</v>
      </c>
      <c r="E107">
        <v>0.53268340000000003</v>
      </c>
      <c r="F107" t="s">
        <v>38</v>
      </c>
      <c r="G107">
        <v>-390.28149999999999</v>
      </c>
      <c r="H107" s="1">
        <v>-5.0082190000000001E-6</v>
      </c>
      <c r="I107">
        <v>364.78649999999999</v>
      </c>
      <c r="J107">
        <v>-467.06400000000002</v>
      </c>
      <c r="K107">
        <v>1.101977</v>
      </c>
      <c r="L107">
        <v>367.49520000000001</v>
      </c>
      <c r="M107">
        <v>0.9999884</v>
      </c>
      <c r="N107">
        <v>0</v>
      </c>
      <c r="O107">
        <v>-3.715224E-3</v>
      </c>
      <c r="P107">
        <v>0.99856900000000004</v>
      </c>
      <c r="Q107">
        <v>-8.9802839999999998E-3</v>
      </c>
      <c r="R107">
        <v>5.271907E-2</v>
      </c>
      <c r="S107">
        <v>3.0096129999999999</v>
      </c>
      <c r="T107">
        <v>-4.3074729999999999E-2</v>
      </c>
      <c r="U107">
        <v>-0.10592650000000001</v>
      </c>
      <c r="V107">
        <v>-5.6438540000000002E-2</v>
      </c>
      <c r="W107">
        <v>-1.198049E-2</v>
      </c>
      <c r="X107">
        <v>0.99833419999999895</v>
      </c>
      <c r="Y107">
        <v>3.1458260000000002E-2</v>
      </c>
      <c r="Z107">
        <v>-1.7188629999999999E-4</v>
      </c>
      <c r="AA107">
        <v>0.99950499999999998</v>
      </c>
      <c r="AB107">
        <v>21</v>
      </c>
      <c r="AC107">
        <v>76.782499999999999</v>
      </c>
      <c r="AD107">
        <v>-1.1019820082189999</v>
      </c>
      <c r="AE107">
        <v>-2.7087000000000199</v>
      </c>
      <c r="AF107">
        <v>2.4229173271558699</v>
      </c>
      <c r="AG107">
        <v>-1.1019820082189999</v>
      </c>
      <c r="AH107">
        <v>76.7762388642346</v>
      </c>
      <c r="AI107">
        <v>90.821910179033097</v>
      </c>
      <c r="AJ107">
        <v>88.192450149782104</v>
      </c>
      <c r="AK107">
        <v>76.822364887177699</v>
      </c>
    </row>
    <row r="108" spans="1:37" x14ac:dyDescent="0.2">
      <c r="A108" t="str">
        <f>"20200111160056339"</f>
        <v>20200111160056339</v>
      </c>
      <c r="B108" t="str">
        <f>"1578729656328946"</f>
        <v>1578729656328946</v>
      </c>
      <c r="C108" t="s">
        <v>37</v>
      </c>
      <c r="D108">
        <v>4.4247879999999897</v>
      </c>
      <c r="E108">
        <v>0.53214539999999999</v>
      </c>
      <c r="F108" t="s">
        <v>38</v>
      </c>
      <c r="G108">
        <v>-399.54079999999999</v>
      </c>
      <c r="H108" s="1">
        <v>-1.31106E-6</v>
      </c>
      <c r="I108">
        <v>365.22379999999998</v>
      </c>
      <c r="J108">
        <v>-466.83929999999998</v>
      </c>
      <c r="K108">
        <v>1.1020049999999999</v>
      </c>
      <c r="L108">
        <v>367.49380000000002</v>
      </c>
      <c r="M108">
        <v>0.99998659999999995</v>
      </c>
      <c r="N108">
        <v>0</v>
      </c>
      <c r="O108">
        <v>-4.2364969999999997E-3</v>
      </c>
      <c r="P108">
        <v>0.9986197</v>
      </c>
      <c r="Q108">
        <v>-7.5842890000000001E-3</v>
      </c>
      <c r="R108">
        <v>5.1973159999999997E-2</v>
      </c>
      <c r="S108">
        <v>3.0092159999999999</v>
      </c>
      <c r="T108">
        <v>-4.9110290000000001E-2</v>
      </c>
      <c r="U108">
        <v>-0.10122680000000001</v>
      </c>
      <c r="V108">
        <v>-5.621143E-2</v>
      </c>
      <c r="W108">
        <v>-1.0532039999999999E-2</v>
      </c>
      <c r="X108">
        <v>0.99836329999999995</v>
      </c>
      <c r="Y108">
        <v>2.9382149999999999E-2</v>
      </c>
      <c r="Z108">
        <v>-1.7055980000000001E-4</v>
      </c>
      <c r="AA108">
        <v>0.99956819999999902</v>
      </c>
      <c r="AB108">
        <v>21</v>
      </c>
      <c r="AC108">
        <v>67.298499999999905</v>
      </c>
      <c r="AD108">
        <v>-1.10200631105999</v>
      </c>
      <c r="AE108">
        <v>-2.2700000000000302</v>
      </c>
      <c r="AF108">
        <v>1.98433700331376</v>
      </c>
      <c r="AG108">
        <v>-1.10200631105999</v>
      </c>
      <c r="AH108">
        <v>67.289490624629494</v>
      </c>
      <c r="AI108">
        <v>90.937846858109793</v>
      </c>
      <c r="AJ108">
        <v>88.310862600777696</v>
      </c>
      <c r="AK108">
        <v>67.327762177087394</v>
      </c>
    </row>
    <row r="109" spans="1:37" x14ac:dyDescent="0.2">
      <c r="A109" t="str">
        <f>"20200111160056361"</f>
        <v>20200111160056361</v>
      </c>
      <c r="B109" t="str">
        <f>"1578729656349441"</f>
        <v>1578729656349441</v>
      </c>
      <c r="C109" t="s">
        <v>37</v>
      </c>
      <c r="D109">
        <v>4.4544360000000003</v>
      </c>
      <c r="E109">
        <v>0.53158749999999999</v>
      </c>
      <c r="F109" t="s">
        <v>38</v>
      </c>
      <c r="G109">
        <v>-392.60059999999999</v>
      </c>
      <c r="H109" s="1">
        <v>-3.9671910000000003E-6</v>
      </c>
      <c r="I109">
        <v>365.04660000000001</v>
      </c>
      <c r="J109">
        <v>-466.63209999999998</v>
      </c>
      <c r="K109">
        <v>1.1020490000000001</v>
      </c>
      <c r="L109">
        <v>367.4923</v>
      </c>
      <c r="M109">
        <v>0.99998469999999995</v>
      </c>
      <c r="N109">
        <v>0</v>
      </c>
      <c r="O109">
        <v>-4.6886419999999998E-3</v>
      </c>
      <c r="P109">
        <v>0.99869599999999903</v>
      </c>
      <c r="Q109">
        <v>-1.931051E-3</v>
      </c>
      <c r="R109">
        <v>5.101762E-2</v>
      </c>
      <c r="S109">
        <v>3.008972</v>
      </c>
      <c r="T109">
        <v>-4.4665580000000003E-2</v>
      </c>
      <c r="U109">
        <v>-9.9182129999999993E-2</v>
      </c>
      <c r="V109">
        <v>-5.5703059999999999E-2</v>
      </c>
      <c r="W109">
        <v>-4.8270329999999997E-3</v>
      </c>
      <c r="X109">
        <v>0.99843570000000004</v>
      </c>
      <c r="Y109">
        <v>2.825517E-2</v>
      </c>
      <c r="Z109">
        <v>-1.400684E-4</v>
      </c>
      <c r="AA109">
        <v>0.99960070000000001</v>
      </c>
      <c r="AB109">
        <v>21</v>
      </c>
      <c r="AC109">
        <v>74.031499999999994</v>
      </c>
      <c r="AD109">
        <v>-1.102052967191</v>
      </c>
      <c r="AE109">
        <v>-2.44569999999998</v>
      </c>
      <c r="AF109">
        <v>2.0980999873085602</v>
      </c>
      <c r="AG109">
        <v>-1.102052967191</v>
      </c>
      <c r="AH109">
        <v>74.025767013907497</v>
      </c>
      <c r="AI109">
        <v>90.8525812169528</v>
      </c>
      <c r="AJ109">
        <v>88.376509894679401</v>
      </c>
      <c r="AK109">
        <v>74.063693712213293</v>
      </c>
    </row>
    <row r="110" spans="1:37" x14ac:dyDescent="0.2">
      <c r="A110" t="str">
        <f>"20200111160056383"</f>
        <v>20200111160056383</v>
      </c>
      <c r="B110" t="str">
        <f>"1578729656379699"</f>
        <v>1578729656379699</v>
      </c>
      <c r="C110" t="s">
        <v>37</v>
      </c>
      <c r="D110">
        <v>4.497096</v>
      </c>
      <c r="E110">
        <v>0.53077659999999904</v>
      </c>
      <c r="F110" t="s">
        <v>38</v>
      </c>
      <c r="G110">
        <v>-349.44380000000001</v>
      </c>
      <c r="H110" s="1">
        <v>-1.7740450000000001E-6</v>
      </c>
      <c r="I110">
        <v>363.69240000000002</v>
      </c>
      <c r="J110">
        <v>-466.41329999999999</v>
      </c>
      <c r="K110">
        <v>1.1021019999999999</v>
      </c>
      <c r="L110">
        <v>367.49079999999998</v>
      </c>
      <c r="M110">
        <v>0.99998279999999995</v>
      </c>
      <c r="N110">
        <v>0</v>
      </c>
      <c r="O110">
        <v>-5.1167290000000004E-3</v>
      </c>
      <c r="P110">
        <v>0.99876089999999995</v>
      </c>
      <c r="Q110">
        <v>1.8261389999999901E-3</v>
      </c>
      <c r="R110">
        <v>4.9734359999999998E-2</v>
      </c>
      <c r="S110">
        <v>3.0088499999999998</v>
      </c>
      <c r="T110">
        <v>-2.8295520000000001E-2</v>
      </c>
      <c r="U110">
        <v>-9.7564699999999893E-2</v>
      </c>
      <c r="V110">
        <v>-5.4844789999999997E-2</v>
      </c>
      <c r="W110">
        <v>-1.0110519999999999E-3</v>
      </c>
      <c r="X110">
        <v>0.9984944</v>
      </c>
      <c r="Y110">
        <v>2.7293410000000001E-2</v>
      </c>
      <c r="Z110" s="1">
        <v>-8.0194820000000001E-5</v>
      </c>
      <c r="AA110">
        <v>0.9996275</v>
      </c>
      <c r="AB110">
        <v>21</v>
      </c>
      <c r="AC110">
        <v>116.969499999999</v>
      </c>
      <c r="AD110">
        <v>-1.1021037740449999</v>
      </c>
      <c r="AE110">
        <v>-3.7983999999999498</v>
      </c>
      <c r="AF110">
        <v>3.19956283633377</v>
      </c>
      <c r="AG110">
        <v>-1.1021037740449999</v>
      </c>
      <c r="AH110">
        <v>116.97703034409599</v>
      </c>
      <c r="AI110">
        <v>90.539596712853395</v>
      </c>
      <c r="AJ110">
        <v>88.433232999937303</v>
      </c>
      <c r="AK110">
        <v>117.025969182895</v>
      </c>
    </row>
    <row r="111" spans="1:37" x14ac:dyDescent="0.2">
      <c r="A111" t="str">
        <f>"20200111160056406"</f>
        <v>20200111160056406</v>
      </c>
      <c r="B111" t="str">
        <f>"1578729656399217"</f>
        <v>1578729656399217</v>
      </c>
      <c r="C111" t="s">
        <v>37</v>
      </c>
      <c r="D111">
        <v>4.4908320000000002</v>
      </c>
      <c r="E111">
        <v>0.5302829</v>
      </c>
      <c r="F111" t="s">
        <v>39</v>
      </c>
      <c r="G111">
        <v>-271.56549999999999</v>
      </c>
      <c r="H111">
        <v>-0.05</v>
      </c>
      <c r="I111">
        <v>361.34379999999999</v>
      </c>
      <c r="J111">
        <v>-466.19389999999999</v>
      </c>
      <c r="K111">
        <v>1.1021479999999999</v>
      </c>
      <c r="L111">
        <v>367.48910000000001</v>
      </c>
      <c r="M111">
        <v>0.99998109999999996</v>
      </c>
      <c r="N111">
        <v>0</v>
      </c>
      <c r="O111">
        <v>-5.4707019999999896E-3</v>
      </c>
      <c r="P111">
        <v>0.998841599999999</v>
      </c>
      <c r="Q111">
        <v>1.6669689999999999E-3</v>
      </c>
      <c r="R111">
        <v>4.8094039999999998E-2</v>
      </c>
      <c r="S111">
        <v>3.0084840000000002</v>
      </c>
      <c r="T111">
        <v>-1.778865E-2</v>
      </c>
      <c r="U111">
        <v>-9.4909670000000002E-2</v>
      </c>
      <c r="V111">
        <v>-5.3558729999999999E-2</v>
      </c>
      <c r="W111">
        <v>-1.106489E-3</v>
      </c>
      <c r="X111">
        <v>0.99856409999999995</v>
      </c>
      <c r="Y111">
        <v>2.606282E-2</v>
      </c>
      <c r="Z111" s="1">
        <v>-4.4694339999999999E-5</v>
      </c>
      <c r="AA111">
        <v>0.99966029999999995</v>
      </c>
      <c r="AB111">
        <v>22</v>
      </c>
      <c r="AC111">
        <v>194.6284</v>
      </c>
      <c r="AD111">
        <v>-1.1521479999999999</v>
      </c>
      <c r="AE111">
        <v>-6.1453000000000104</v>
      </c>
      <c r="AF111">
        <v>5.0802720191757498</v>
      </c>
      <c r="AG111">
        <v>-1.1521479999999999</v>
      </c>
      <c r="AH111">
        <v>194.65229226557199</v>
      </c>
      <c r="AI111">
        <v>90.339014636270093</v>
      </c>
      <c r="AJ111">
        <v>88.504964529572504</v>
      </c>
      <c r="AK111">
        <v>194.721985130196</v>
      </c>
    </row>
    <row r="112" spans="1:37" x14ac:dyDescent="0.2">
      <c r="A112" t="str">
        <f>"20200111160056428"</f>
        <v>20200111160056428</v>
      </c>
      <c r="B112" t="str">
        <f>"1578729656419714"</f>
        <v>1578729656419714</v>
      </c>
      <c r="C112" t="s">
        <v>37</v>
      </c>
      <c r="D112">
        <v>4.537871</v>
      </c>
      <c r="E112">
        <v>0.5297558</v>
      </c>
      <c r="F112" t="s">
        <v>39</v>
      </c>
      <c r="G112">
        <v>-286.27879999999999</v>
      </c>
      <c r="H112">
        <v>-0.05</v>
      </c>
      <c r="I112">
        <v>361.74689999999998</v>
      </c>
      <c r="J112">
        <v>-465.96260000000001</v>
      </c>
      <c r="K112">
        <v>1.1022149999999999</v>
      </c>
      <c r="L112">
        <v>367.48750000000001</v>
      </c>
      <c r="M112">
        <v>0.99997999999999998</v>
      </c>
      <c r="N112">
        <v>0</v>
      </c>
      <c r="O112">
        <v>-5.7416239999999999E-3</v>
      </c>
      <c r="P112">
        <v>0.99892499999999995</v>
      </c>
      <c r="Q112">
        <v>6.9167459999999997E-4</v>
      </c>
      <c r="R112">
        <v>4.6352829999999998E-2</v>
      </c>
      <c r="S112">
        <v>3.0081180000000001</v>
      </c>
      <c r="T112">
        <v>-1.9263510000000001E-2</v>
      </c>
      <c r="U112">
        <v>-9.6008300000000005E-2</v>
      </c>
      <c r="V112">
        <v>-5.2088719999999998E-2</v>
      </c>
      <c r="W112">
        <v>-2.0072379999999902E-3</v>
      </c>
      <c r="X112">
        <v>0.99864039999999998</v>
      </c>
      <c r="Y112">
        <v>2.61605E-2</v>
      </c>
      <c r="Z112" s="1">
        <v>-4.6983809999999901E-5</v>
      </c>
      <c r="AA112">
        <v>0.99965780000000004</v>
      </c>
      <c r="AB112">
        <v>22</v>
      </c>
      <c r="AC112">
        <v>179.68379999999999</v>
      </c>
      <c r="AD112">
        <v>-1.152215</v>
      </c>
      <c r="AE112">
        <v>-5.7406000000000201</v>
      </c>
      <c r="AF112">
        <v>4.7086315091894999</v>
      </c>
      <c r="AG112">
        <v>-1.152215</v>
      </c>
      <c r="AH112">
        <v>179.70641676048501</v>
      </c>
      <c r="AI112">
        <v>90.367229530649794</v>
      </c>
      <c r="AJ112">
        <v>88.499090882671197</v>
      </c>
      <c r="AK112">
        <v>179.77178598152901</v>
      </c>
    </row>
    <row r="113" spans="1:37" x14ac:dyDescent="0.2">
      <c r="A113" t="str">
        <f>"20200111160056450"</f>
        <v>20200111160056450</v>
      </c>
      <c r="B113" t="str">
        <f>"1578729656439233"</f>
        <v>1578729656439233</v>
      </c>
      <c r="C113" t="s">
        <v>37</v>
      </c>
      <c r="D113">
        <v>4.5897589999999999</v>
      </c>
      <c r="E113">
        <v>0.52927400000000002</v>
      </c>
      <c r="F113" t="s">
        <v>38</v>
      </c>
      <c r="G113">
        <v>-323.60899999999998</v>
      </c>
      <c r="H113" s="1">
        <v>-3.9449309999999999E-6</v>
      </c>
      <c r="I113">
        <v>362.91160000000002</v>
      </c>
      <c r="J113">
        <v>-465.74029999999999</v>
      </c>
      <c r="K113">
        <v>1.102292</v>
      </c>
      <c r="L113">
        <v>367.48599999999999</v>
      </c>
      <c r="M113">
        <v>0.99997939999999996</v>
      </c>
      <c r="N113">
        <v>0</v>
      </c>
      <c r="O113">
        <v>-5.8851299999999997E-3</v>
      </c>
      <c r="P113">
        <v>0.99899069999999901</v>
      </c>
      <c r="Q113">
        <v>1.1397379999999999E-3</v>
      </c>
      <c r="R113">
        <v>4.4910350000000002E-2</v>
      </c>
      <c r="S113">
        <v>3.0076900000000002</v>
      </c>
      <c r="T113">
        <v>-2.3288010000000001E-2</v>
      </c>
      <c r="U113">
        <v>-9.6679689999999999E-2</v>
      </c>
      <c r="V113">
        <v>-5.07892E-2</v>
      </c>
      <c r="W113">
        <v>-1.4763329999999901E-3</v>
      </c>
      <c r="X113">
        <v>0.99870829999999999</v>
      </c>
      <c r="Y113">
        <v>2.6244299999999901E-2</v>
      </c>
      <c r="Z113" s="1">
        <v>-5.6020760000000001E-5</v>
      </c>
      <c r="AA113">
        <v>0.99965550000000003</v>
      </c>
      <c r="AB113">
        <v>22</v>
      </c>
      <c r="AC113">
        <v>142.13129999999899</v>
      </c>
      <c r="AD113">
        <v>-1.1022959449309999</v>
      </c>
      <c r="AE113">
        <v>-4.5743999999999598</v>
      </c>
      <c r="AF113">
        <v>3.737632282696</v>
      </c>
      <c r="AG113">
        <v>-1.1022959449309999</v>
      </c>
      <c r="AH113">
        <v>142.147218707479</v>
      </c>
      <c r="AI113">
        <v>90.444143895437605</v>
      </c>
      <c r="AJ113">
        <v>88.4938064600302</v>
      </c>
      <c r="AK113">
        <v>142.200621439228</v>
      </c>
    </row>
    <row r="114" spans="1:37" x14ac:dyDescent="0.2">
      <c r="A114" t="str">
        <f>"20200111160056474"</f>
        <v>20200111160056474</v>
      </c>
      <c r="B114" t="str">
        <f>"1578729656469489"</f>
        <v>1578729656469489</v>
      </c>
      <c r="C114" t="s">
        <v>37</v>
      </c>
      <c r="D114">
        <v>4.6016069999999996</v>
      </c>
      <c r="E114">
        <v>0.52853969999999995</v>
      </c>
      <c r="F114" t="s">
        <v>39</v>
      </c>
      <c r="G114">
        <v>-311.81229999999999</v>
      </c>
      <c r="H114">
        <v>-0.05</v>
      </c>
      <c r="I114">
        <v>362.510999999999</v>
      </c>
      <c r="J114">
        <v>-465.4957</v>
      </c>
      <c r="K114">
        <v>1.1023940000000001</v>
      </c>
      <c r="L114">
        <v>367.48430000000002</v>
      </c>
      <c r="M114">
        <v>0.99997950000000002</v>
      </c>
      <c r="N114">
        <v>0</v>
      </c>
      <c r="O114">
        <v>-5.9074139999999997E-3</v>
      </c>
      <c r="P114">
        <v>0.99905250000000001</v>
      </c>
      <c r="Q114">
        <v>1.083646E-3</v>
      </c>
      <c r="R114">
        <v>4.3509699999999998E-2</v>
      </c>
      <c r="S114">
        <v>3.00738499999999</v>
      </c>
      <c r="T114">
        <v>-2.251303E-2</v>
      </c>
      <c r="U114">
        <v>-9.7198489999999999E-2</v>
      </c>
      <c r="V114">
        <v>-4.941098E-2</v>
      </c>
      <c r="W114">
        <v>-1.4250739999999999E-3</v>
      </c>
      <c r="X114">
        <v>0.99877749999999998</v>
      </c>
      <c r="Y114">
        <v>2.6397589999999999E-2</v>
      </c>
      <c r="Z114" s="1">
        <v>-5.4568769999999901E-5</v>
      </c>
      <c r="AA114">
        <v>0.99965159999999997</v>
      </c>
      <c r="AB114">
        <v>23</v>
      </c>
      <c r="AC114">
        <v>153.68340000000001</v>
      </c>
      <c r="AD114">
        <v>-1.1523939999999999</v>
      </c>
      <c r="AE114">
        <v>-4.9733000000000498</v>
      </c>
      <c r="AF114">
        <v>4.06511065055148</v>
      </c>
      <c r="AG114">
        <v>-1.1523939999999999</v>
      </c>
      <c r="AH114">
        <v>153.701464611587</v>
      </c>
      <c r="AI114">
        <v>90.429423335812004</v>
      </c>
      <c r="AJ114">
        <v>88.484989072377303</v>
      </c>
      <c r="AK114">
        <v>153.75953095752999</v>
      </c>
    </row>
    <row r="115" spans="1:37" x14ac:dyDescent="0.2">
      <c r="A115" t="str">
        <f>"20200111160056495"</f>
        <v>20200111160056495</v>
      </c>
      <c r="B115" t="str">
        <f>"1578729656489010"</f>
        <v>1578729656489010</v>
      </c>
      <c r="C115" t="s">
        <v>37</v>
      </c>
      <c r="D115">
        <v>4.6224069999999999</v>
      </c>
      <c r="E115">
        <v>0.52804229999999996</v>
      </c>
      <c r="F115" t="s">
        <v>38</v>
      </c>
      <c r="G115">
        <v>-325.58229999999998</v>
      </c>
      <c r="H115" s="1">
        <v>-3.2423169999999899E-6</v>
      </c>
      <c r="I115">
        <v>363.02839999999998</v>
      </c>
      <c r="J115">
        <v>-465.27550000000002</v>
      </c>
      <c r="K115">
        <v>1.1024929999999999</v>
      </c>
      <c r="L115">
        <v>367.483</v>
      </c>
      <c r="M115">
        <v>0.99998019999999999</v>
      </c>
      <c r="N115">
        <v>0</v>
      </c>
      <c r="O115">
        <v>-5.82904699999999E-3</v>
      </c>
      <c r="P115">
        <v>0.9991023</v>
      </c>
      <c r="Q115">
        <v>1.8493909999999999E-3</v>
      </c>
      <c r="R115">
        <v>4.2324920000000002E-2</v>
      </c>
      <c r="S115">
        <v>3.0070189999999899</v>
      </c>
      <c r="T115">
        <v>-2.3692729999999999E-2</v>
      </c>
      <c r="U115">
        <v>-9.5764160000000001E-2</v>
      </c>
      <c r="V115">
        <v>-4.8147950000000002E-2</v>
      </c>
      <c r="W115">
        <v>-5.4863860000000004E-4</v>
      </c>
      <c r="X115">
        <v>0.99884010000000001</v>
      </c>
      <c r="Y115">
        <v>2.6003470000000001E-2</v>
      </c>
      <c r="Z115" s="1">
        <v>-5.6500530000000001E-5</v>
      </c>
      <c r="AA115">
        <v>0.99966189999999999</v>
      </c>
      <c r="AB115">
        <v>23</v>
      </c>
      <c r="AC115">
        <v>139.69319999999999</v>
      </c>
      <c r="AD115">
        <v>-1.1024962423169999</v>
      </c>
      <c r="AE115">
        <v>-4.4546000000000197</v>
      </c>
      <c r="AF115">
        <v>3.6400173042289601</v>
      </c>
      <c r="AG115">
        <v>-1.1024962423169999</v>
      </c>
      <c r="AH115">
        <v>139.70809959475901</v>
      </c>
      <c r="AI115">
        <v>90.451982686743804</v>
      </c>
      <c r="AJ115">
        <v>88.507527790547698</v>
      </c>
      <c r="AK115">
        <v>139.759859460141</v>
      </c>
    </row>
    <row r="116" spans="1:37" x14ac:dyDescent="0.2">
      <c r="A116" t="str">
        <f>"20200111160056519"</f>
        <v>20200111160056519</v>
      </c>
      <c r="B116" t="str">
        <f>"1578729656509506"</f>
        <v>1578729656509506</v>
      </c>
      <c r="C116" t="s">
        <v>37</v>
      </c>
      <c r="D116">
        <v>4.6565539999999999</v>
      </c>
      <c r="E116">
        <v>0.52753629999999996</v>
      </c>
      <c r="F116" t="s">
        <v>39</v>
      </c>
      <c r="G116">
        <v>-306.58690000000001</v>
      </c>
      <c r="H116">
        <v>-0.05</v>
      </c>
      <c r="I116">
        <v>362.4579</v>
      </c>
      <c r="J116">
        <v>-465.03609999999998</v>
      </c>
      <c r="K116">
        <v>1.1026039999999999</v>
      </c>
      <c r="L116">
        <v>367.48169999999999</v>
      </c>
      <c r="M116">
        <v>0.99998159999999903</v>
      </c>
      <c r="N116">
        <v>0</v>
      </c>
      <c r="O116">
        <v>-5.6402730000000003E-3</v>
      </c>
      <c r="P116">
        <v>0.99914199999999997</v>
      </c>
      <c r="Q116">
        <v>5.3461180000000004E-3</v>
      </c>
      <c r="R116">
        <v>4.1070540000000003E-2</v>
      </c>
      <c r="S116">
        <v>3.0068049999999999</v>
      </c>
      <c r="T116">
        <v>-2.1837229999999999E-2</v>
      </c>
      <c r="U116">
        <v>-9.5214839999999995E-2</v>
      </c>
      <c r="V116">
        <v>-4.6706449999999997E-2</v>
      </c>
      <c r="W116">
        <v>3.0816189999999999E-3</v>
      </c>
      <c r="X116">
        <v>0.99890389999999996</v>
      </c>
      <c r="Y116">
        <v>2.601208E-2</v>
      </c>
      <c r="Z116" s="1">
        <v>-5.3481519999999899E-5</v>
      </c>
      <c r="AA116">
        <v>0.99966160000000004</v>
      </c>
      <c r="AB116">
        <v>23</v>
      </c>
      <c r="AC116">
        <v>158.449199999999</v>
      </c>
      <c r="AD116">
        <v>-1.152604</v>
      </c>
      <c r="AE116">
        <v>-5.0237999999999898</v>
      </c>
      <c r="AF116">
        <v>4.1298028059015897</v>
      </c>
      <c r="AG116">
        <v>-1.152604</v>
      </c>
      <c r="AH116">
        <v>158.46663842767899</v>
      </c>
      <c r="AI116">
        <v>90.4165909441423</v>
      </c>
      <c r="AJ116">
        <v>88.507151245496502</v>
      </c>
      <c r="AK116">
        <v>158.52463298101401</v>
      </c>
    </row>
    <row r="117" spans="1:37" x14ac:dyDescent="0.2">
      <c r="A117" t="str">
        <f>"20200111160056541"</f>
        <v>20200111160056541</v>
      </c>
      <c r="B117" t="str">
        <f>"1578729656539763"</f>
        <v>1578729656539763</v>
      </c>
      <c r="C117" t="s">
        <v>37</v>
      </c>
      <c r="D117">
        <v>4.6550089999999997</v>
      </c>
      <c r="E117">
        <v>0.52678199999999997</v>
      </c>
      <c r="F117" t="s">
        <v>41</v>
      </c>
      <c r="G117">
        <v>-204.98840000000001</v>
      </c>
      <c r="H117">
        <v>7.9987649999999993E-2</v>
      </c>
      <c r="I117">
        <v>359.27789999999999</v>
      </c>
      <c r="J117">
        <v>-464.79509999999999</v>
      </c>
      <c r="K117">
        <v>1.102698</v>
      </c>
      <c r="L117">
        <v>367.48059999999998</v>
      </c>
      <c r="M117">
        <v>0.99998359999999997</v>
      </c>
      <c r="N117">
        <v>0</v>
      </c>
      <c r="O117">
        <v>-5.3502589999999996E-3</v>
      </c>
      <c r="P117">
        <v>0.9991778</v>
      </c>
      <c r="Q117">
        <v>5.25268E-3</v>
      </c>
      <c r="R117">
        <v>4.0205749999999998E-2</v>
      </c>
      <c r="S117">
        <v>3.006561</v>
      </c>
      <c r="T117">
        <v>-1.182306E-2</v>
      </c>
      <c r="U117">
        <v>-9.4848630000000003E-2</v>
      </c>
      <c r="V117">
        <v>-4.5552780000000001E-2</v>
      </c>
      <c r="W117">
        <v>3.1350250000000001E-3</v>
      </c>
      <c r="X117">
        <v>0.99895699999999998</v>
      </c>
      <c r="Y117">
        <v>2.6183310000000001E-2</v>
      </c>
      <c r="Z117" s="1">
        <v>-3.0435209999999899E-5</v>
      </c>
      <c r="AA117">
        <v>0.99965720000000002</v>
      </c>
      <c r="AB117">
        <v>23</v>
      </c>
      <c r="AC117">
        <v>259.80669999999998</v>
      </c>
      <c r="AD117">
        <v>-1.0227103500000001</v>
      </c>
      <c r="AE117">
        <v>-8.2026999999999894</v>
      </c>
      <c r="AF117">
        <v>6.8124411033289398</v>
      </c>
      <c r="AG117">
        <v>-1.0227103500000001</v>
      </c>
      <c r="AH117">
        <v>259.84284572419102</v>
      </c>
      <c r="AI117">
        <v>90.225430706271396</v>
      </c>
      <c r="AJ117">
        <v>88.498189441506398</v>
      </c>
      <c r="AK117">
        <v>259.93414505272699</v>
      </c>
    </row>
    <row r="118" spans="1:37" x14ac:dyDescent="0.2">
      <c r="A118" t="str">
        <f>"20200111160056565"</f>
        <v>20200111160056565</v>
      </c>
      <c r="B118" t="str">
        <f>"1578729656559281"</f>
        <v>1578729656559281</v>
      </c>
      <c r="C118" t="s">
        <v>37</v>
      </c>
      <c r="D118">
        <v>4.614052</v>
      </c>
      <c r="E118">
        <v>0.49309510000000001</v>
      </c>
      <c r="F118" t="s">
        <v>38</v>
      </c>
      <c r="G118">
        <v>-214.0378</v>
      </c>
      <c r="H118" s="1">
        <v>-4.6091779999999997E-6</v>
      </c>
      <c r="I118">
        <v>359.86669999999998</v>
      </c>
      <c r="J118">
        <v>-464.5532</v>
      </c>
      <c r="K118">
        <v>1.1027750000000001</v>
      </c>
      <c r="L118">
        <v>367.4796</v>
      </c>
      <c r="M118">
        <v>0.99998589999999998</v>
      </c>
      <c r="N118">
        <v>0</v>
      </c>
      <c r="O118">
        <v>-4.9752109999999898E-3</v>
      </c>
      <c r="P118">
        <v>0.99918899999999999</v>
      </c>
      <c r="Q118">
        <v>4.6838039999999997E-3</v>
      </c>
      <c r="R118">
        <v>3.9996169999999998E-2</v>
      </c>
      <c r="S118">
        <v>3.006195</v>
      </c>
      <c r="T118">
        <v>-1.3219710000000001E-2</v>
      </c>
      <c r="U118">
        <v>-9.1278079999999998E-2</v>
      </c>
      <c r="V118">
        <v>-4.4968830000000001E-2</v>
      </c>
      <c r="W118">
        <v>2.722562E-3</v>
      </c>
      <c r="X118">
        <v>0.99898469999999995</v>
      </c>
      <c r="Y118">
        <v>2.537584E-2</v>
      </c>
      <c r="Z118" s="1">
        <v>-3.390904E-5</v>
      </c>
      <c r="AA118">
        <v>0.99967799999999996</v>
      </c>
      <c r="AB118">
        <v>24</v>
      </c>
      <c r="AC118">
        <v>250.5154</v>
      </c>
      <c r="AD118">
        <v>-1.102779609178</v>
      </c>
      <c r="AE118">
        <v>-7.6129000000000202</v>
      </c>
      <c r="AF118">
        <v>6.36631340466948</v>
      </c>
      <c r="AG118">
        <v>-1.102779609178</v>
      </c>
      <c r="AH118">
        <v>250.54532476600201</v>
      </c>
      <c r="AI118">
        <v>90.252105369631906</v>
      </c>
      <c r="AJ118">
        <v>88.544437356003897</v>
      </c>
      <c r="AK118">
        <v>250.62862133310799</v>
      </c>
    </row>
    <row r="119" spans="1:37" x14ac:dyDescent="0.2">
      <c r="A119" t="str">
        <f>"20200111160056586"</f>
        <v>20200111160056586</v>
      </c>
      <c r="B119" t="str">
        <f>"1578729656578801"</f>
        <v>1578729656578801</v>
      </c>
      <c r="C119" t="s">
        <v>37</v>
      </c>
      <c r="D119">
        <v>4.648504</v>
      </c>
      <c r="E119">
        <v>0.4935329</v>
      </c>
      <c r="F119" t="s">
        <v>39</v>
      </c>
      <c r="G119">
        <v>-406.88810000000001</v>
      </c>
      <c r="H119">
        <v>-0.05</v>
      </c>
      <c r="I119">
        <v>370.9434</v>
      </c>
      <c r="J119">
        <v>-464.31779999999998</v>
      </c>
      <c r="K119">
        <v>1.10284</v>
      </c>
      <c r="L119">
        <v>367.47879999999998</v>
      </c>
      <c r="M119">
        <v>0.99998809999999905</v>
      </c>
      <c r="N119">
        <v>0</v>
      </c>
      <c r="O119">
        <v>-4.5508839999999998E-3</v>
      </c>
      <c r="P119">
        <v>0.99917259999999997</v>
      </c>
      <c r="Q119">
        <v>4.5773740000000004E-3</v>
      </c>
      <c r="R119">
        <v>4.0415810000000003E-2</v>
      </c>
      <c r="S119">
        <v>2.9954830000000001</v>
      </c>
      <c r="T119">
        <v>-5.9882280000000003E-2</v>
      </c>
      <c r="U119">
        <v>0.1799316</v>
      </c>
      <c r="V119">
        <v>-4.4964530000000003E-2</v>
      </c>
      <c r="W119">
        <v>2.7754909999999902E-3</v>
      </c>
      <c r="X119">
        <v>0.99898480000000001</v>
      </c>
      <c r="Y119">
        <v>-6.4487909999999996E-2</v>
      </c>
      <c r="Z119">
        <v>7.3482810000000001E-4</v>
      </c>
      <c r="AA119">
        <v>0.99791819999999898</v>
      </c>
      <c r="AB119">
        <v>24</v>
      </c>
      <c r="AC119">
        <v>57.429699999999897</v>
      </c>
      <c r="AD119">
        <v>-1.1528400000000001</v>
      </c>
      <c r="AE119">
        <v>3.4646000000000101</v>
      </c>
      <c r="AF119">
        <v>-3.72442506681928</v>
      </c>
      <c r="AG119">
        <v>-1.1528400000000001</v>
      </c>
      <c r="AH119">
        <v>57.390295983022803</v>
      </c>
      <c r="AI119">
        <v>91.1483715892943</v>
      </c>
      <c r="AJ119">
        <v>93.713084518261894</v>
      </c>
      <c r="AK119">
        <v>57.522573440023699</v>
      </c>
    </row>
    <row r="120" spans="1:37" x14ac:dyDescent="0.2">
      <c r="A120" t="str">
        <f>"20200111160056609"</f>
        <v>20200111160056609</v>
      </c>
      <c r="B120" t="str">
        <f>"1578729656599298"</f>
        <v>1578729656599298</v>
      </c>
      <c r="C120" t="s">
        <v>37</v>
      </c>
      <c r="D120">
        <v>4.6601660000000003</v>
      </c>
      <c r="E120">
        <v>0.49333299999999902</v>
      </c>
      <c r="F120" t="s">
        <v>39</v>
      </c>
      <c r="G120">
        <v>-410.0136</v>
      </c>
      <c r="H120">
        <v>-0.05</v>
      </c>
      <c r="I120">
        <v>370.70530000000002</v>
      </c>
      <c r="J120">
        <v>-464.0752</v>
      </c>
      <c r="K120">
        <v>1.102897</v>
      </c>
      <c r="L120">
        <v>367.47820000000002</v>
      </c>
      <c r="M120">
        <v>0.9999905</v>
      </c>
      <c r="N120">
        <v>0</v>
      </c>
      <c r="O120">
        <v>-4.0733330000000002E-3</v>
      </c>
      <c r="P120">
        <v>0.99911260000000002</v>
      </c>
      <c r="Q120">
        <v>3.9324370000000004E-3</v>
      </c>
      <c r="R120">
        <v>4.1936639999999997E-2</v>
      </c>
      <c r="S120">
        <v>2.99554399999999</v>
      </c>
      <c r="T120">
        <v>-6.3593269999999993E-2</v>
      </c>
      <c r="U120">
        <v>0.17797850000000001</v>
      </c>
      <c r="V120">
        <v>-4.600779E-2</v>
      </c>
      <c r="W120">
        <v>2.3010399999999999E-3</v>
      </c>
      <c r="X120">
        <v>0.9989384</v>
      </c>
      <c r="Y120">
        <v>-6.3360369999999999E-2</v>
      </c>
      <c r="Z120">
        <v>7.5827039999999896E-4</v>
      </c>
      <c r="AA120">
        <v>0.99799040000000006</v>
      </c>
      <c r="AB120">
        <v>24</v>
      </c>
      <c r="AC120">
        <v>54.061599999999999</v>
      </c>
      <c r="AD120">
        <v>-1.1528969999999901</v>
      </c>
      <c r="AE120">
        <v>3.2271000000000001</v>
      </c>
      <c r="AF120">
        <v>-3.4457229035388801</v>
      </c>
      <c r="AG120">
        <v>-1.1528969999999901</v>
      </c>
      <c r="AH120">
        <v>54.023524742249002</v>
      </c>
      <c r="AI120">
        <v>91.220065045304693</v>
      </c>
      <c r="AJ120">
        <v>93.649490011256304</v>
      </c>
      <c r="AK120">
        <v>54.145576027935803</v>
      </c>
    </row>
    <row r="121" spans="1:37" x14ac:dyDescent="0.2">
      <c r="A121" t="str">
        <f>"20200111160056631"</f>
        <v>20200111160056631</v>
      </c>
      <c r="B121" t="str">
        <f>"1578729656629554"</f>
        <v>1578729656629554</v>
      </c>
      <c r="C121" t="s">
        <v>37</v>
      </c>
      <c r="D121">
        <v>4.7008289999999997</v>
      </c>
      <c r="E121">
        <v>0.49303720000000001</v>
      </c>
      <c r="F121" t="s">
        <v>39</v>
      </c>
      <c r="G121">
        <v>-410.62639999999999</v>
      </c>
      <c r="H121">
        <v>-0.05</v>
      </c>
      <c r="I121">
        <v>370.75709999999998</v>
      </c>
      <c r="J121">
        <v>-463.82850000000002</v>
      </c>
      <c r="K121">
        <v>1.1029340000000001</v>
      </c>
      <c r="L121">
        <v>367.4778</v>
      </c>
      <c r="M121">
        <v>0.99999269999999996</v>
      </c>
      <c r="N121">
        <v>0</v>
      </c>
      <c r="O121">
        <v>-3.5623529999999999E-3</v>
      </c>
      <c r="P121">
        <v>0.99907009999999996</v>
      </c>
      <c r="Q121">
        <v>3.5068600000000001E-3</v>
      </c>
      <c r="R121">
        <v>4.297252E-2</v>
      </c>
      <c r="S121">
        <v>2.9951779999999899</v>
      </c>
      <c r="T121">
        <v>-6.460631E-2</v>
      </c>
      <c r="U121">
        <v>0.1837463</v>
      </c>
      <c r="V121">
        <v>-4.6533190000000002E-2</v>
      </c>
      <c r="W121">
        <v>2.056422E-3</v>
      </c>
      <c r="X121">
        <v>0.99891459999999999</v>
      </c>
      <c r="Y121">
        <v>-6.4771709999999996E-2</v>
      </c>
      <c r="Z121">
        <v>7.7459060000000001E-4</v>
      </c>
      <c r="AA121">
        <v>0.9978998</v>
      </c>
      <c r="AB121">
        <v>24</v>
      </c>
      <c r="AC121">
        <v>53.202100000000002</v>
      </c>
      <c r="AD121">
        <v>-1.1529339999999999</v>
      </c>
      <c r="AE121">
        <v>3.2792999999999699</v>
      </c>
      <c r="AF121">
        <v>-3.4671819207400598</v>
      </c>
      <c r="AG121">
        <v>-1.1529339999999999</v>
      </c>
      <c r="AH121">
        <v>53.165207168952797</v>
      </c>
      <c r="AI121">
        <v>91.239681773859104</v>
      </c>
      <c r="AJ121">
        <v>93.731274448934997</v>
      </c>
      <c r="AK121">
        <v>53.290617003348103</v>
      </c>
    </row>
    <row r="122" spans="1:37" x14ac:dyDescent="0.2">
      <c r="A122" t="str">
        <f>"20200111160056653"</f>
        <v>20200111160056653</v>
      </c>
      <c r="B122" t="str">
        <f>"1578729656649076"</f>
        <v>1578729656649076</v>
      </c>
      <c r="C122" t="s">
        <v>37</v>
      </c>
      <c r="D122">
        <v>4.6749359999999998</v>
      </c>
      <c r="E122">
        <v>0.49307250000000002</v>
      </c>
      <c r="F122" t="s">
        <v>39</v>
      </c>
      <c r="G122">
        <v>-415.97739999999999</v>
      </c>
      <c r="H122">
        <v>-0.05</v>
      </c>
      <c r="I122">
        <v>370.50720000000001</v>
      </c>
      <c r="J122">
        <v>-463.57639999999998</v>
      </c>
      <c r="K122">
        <v>1.102959</v>
      </c>
      <c r="L122">
        <v>367.47750000000002</v>
      </c>
      <c r="M122">
        <v>0.99999470000000001</v>
      </c>
      <c r="N122">
        <v>0</v>
      </c>
      <c r="O122">
        <v>-3.0290500000000001E-3</v>
      </c>
      <c r="P122">
        <v>0.99900669999999903</v>
      </c>
      <c r="Q122">
        <v>3.2335020000000001E-3</v>
      </c>
      <c r="R122">
        <v>4.4443699999999899E-2</v>
      </c>
      <c r="S122">
        <v>2.9948730000000001</v>
      </c>
      <c r="T122">
        <v>-7.2159169999999995E-2</v>
      </c>
      <c r="U122">
        <v>0.18960569999999999</v>
      </c>
      <c r="V122">
        <v>-4.7471529999999998E-2</v>
      </c>
      <c r="W122">
        <v>1.972499E-3</v>
      </c>
      <c r="X122">
        <v>0.9988707</v>
      </c>
      <c r="Y122">
        <v>-6.6186300000000003E-2</v>
      </c>
      <c r="Z122">
        <v>8.6934239999999997E-4</v>
      </c>
      <c r="AA122">
        <v>0.99780689999999905</v>
      </c>
      <c r="AB122">
        <v>25</v>
      </c>
      <c r="AC122">
        <v>47.598999999999897</v>
      </c>
      <c r="AD122">
        <v>-1.1529590000000001</v>
      </c>
      <c r="AE122">
        <v>3.0296999999999898</v>
      </c>
      <c r="AF122">
        <v>-3.1720123760627001</v>
      </c>
      <c r="AG122">
        <v>-1.1529590000000001</v>
      </c>
      <c r="AH122">
        <v>47.561811574220201</v>
      </c>
      <c r="AI122">
        <v>91.385574026926804</v>
      </c>
      <c r="AJ122">
        <v>93.815543935143197</v>
      </c>
      <c r="AK122">
        <v>47.681410394316103</v>
      </c>
    </row>
    <row r="123" spans="1:37" x14ac:dyDescent="0.2">
      <c r="A123" t="str">
        <f>"20200111160056675"</f>
        <v>20200111160056675</v>
      </c>
      <c r="B123" t="str">
        <f>"1578729656669570"</f>
        <v>1578729656669570</v>
      </c>
      <c r="C123" t="s">
        <v>37</v>
      </c>
      <c r="D123">
        <v>4.9138999999999999</v>
      </c>
      <c r="E123">
        <v>0.49348940000000002</v>
      </c>
      <c r="F123" t="s">
        <v>39</v>
      </c>
      <c r="G123">
        <v>-416.54419999999999</v>
      </c>
      <c r="H123">
        <v>-0.05</v>
      </c>
      <c r="I123">
        <v>370.51949999999999</v>
      </c>
      <c r="J123">
        <v>-463.34359999999998</v>
      </c>
      <c r="K123">
        <v>1.102986</v>
      </c>
      <c r="L123">
        <v>367.47739999999999</v>
      </c>
      <c r="M123">
        <v>0.99999629999999995</v>
      </c>
      <c r="N123">
        <v>0</v>
      </c>
      <c r="O123">
        <v>-2.5339080000000001E-3</v>
      </c>
      <c r="P123">
        <v>0.99896870000000004</v>
      </c>
      <c r="Q123">
        <v>5.9338919999999996E-3</v>
      </c>
      <c r="R123">
        <v>4.5016680000000003E-2</v>
      </c>
      <c r="S123">
        <v>2.9946290000000002</v>
      </c>
      <c r="T123">
        <v>-7.3410989999999995E-2</v>
      </c>
      <c r="U123">
        <v>0.19369510000000001</v>
      </c>
      <c r="V123">
        <v>-4.7552030000000002E-2</v>
      </c>
      <c r="W123">
        <v>4.8497169999999999E-3</v>
      </c>
      <c r="X123">
        <v>0.99885699999999999</v>
      </c>
      <c r="Y123">
        <v>-6.7053539999999995E-2</v>
      </c>
      <c r="Z123">
        <v>8.8294570000000002E-4</v>
      </c>
      <c r="AA123">
        <v>0.997749</v>
      </c>
      <c r="AB123">
        <v>25</v>
      </c>
      <c r="AC123">
        <v>46.799399999999899</v>
      </c>
      <c r="AD123">
        <v>-1.1529860000000001</v>
      </c>
      <c r="AE123">
        <v>3.0421</v>
      </c>
      <c r="AF123">
        <v>-3.15876645538326</v>
      </c>
      <c r="AG123">
        <v>-1.1529860000000001</v>
      </c>
      <c r="AH123">
        <v>46.7632768566152</v>
      </c>
      <c r="AI123">
        <v>91.409177231843103</v>
      </c>
      <c r="AJ123">
        <v>93.864345893227707</v>
      </c>
      <c r="AK123">
        <v>46.884019074779502</v>
      </c>
    </row>
    <row r="124" spans="1:37" x14ac:dyDescent="0.2">
      <c r="A124" t="str">
        <f>"20200111160056721"</f>
        <v>20200111160056721</v>
      </c>
      <c r="B124" t="str">
        <f>"1578729656709586"</f>
        <v>1578729656709586</v>
      </c>
      <c r="C124" t="s">
        <v>37</v>
      </c>
      <c r="D124">
        <v>4.8032180000000002</v>
      </c>
      <c r="E124">
        <v>0.54680010000000001</v>
      </c>
      <c r="F124" t="s">
        <v>39</v>
      </c>
      <c r="G124">
        <v>-408.05579999999998</v>
      </c>
      <c r="H124">
        <v>-0.05</v>
      </c>
      <c r="I124">
        <v>371.02330000000001</v>
      </c>
      <c r="J124">
        <v>-462.82760000000002</v>
      </c>
      <c r="K124">
        <v>1.1030249999999999</v>
      </c>
      <c r="L124">
        <v>367.47739999999999</v>
      </c>
      <c r="M124">
        <v>0.99999869999999902</v>
      </c>
      <c r="N124">
        <v>0</v>
      </c>
      <c r="O124">
        <v>-1.4427750000000001E-3</v>
      </c>
      <c r="P124">
        <v>0.99891369999999902</v>
      </c>
      <c r="Q124">
        <v>7.2887519999999999E-3</v>
      </c>
      <c r="R124">
        <v>4.6024839999999997E-2</v>
      </c>
      <c r="S124">
        <v>2.9948429999999999</v>
      </c>
      <c r="T124">
        <v>-6.2455179999999999E-2</v>
      </c>
      <c r="U124">
        <v>0.19207759999999999</v>
      </c>
      <c r="V124">
        <v>-4.747154E-2</v>
      </c>
      <c r="W124">
        <v>6.5996800000000001E-3</v>
      </c>
      <c r="X124">
        <v>0.99885079999999904</v>
      </c>
      <c r="Y124">
        <v>-6.5429899999999999E-2</v>
      </c>
      <c r="Z124">
        <v>7.1152580000000002E-4</v>
      </c>
      <c r="AA124">
        <v>0.99785689999999905</v>
      </c>
      <c r="AB124">
        <v>25</v>
      </c>
      <c r="AC124">
        <v>54.771799999999999</v>
      </c>
      <c r="AD124">
        <v>-1.153025</v>
      </c>
      <c r="AE124">
        <v>3.5459000000000098</v>
      </c>
      <c r="AF124">
        <v>-3.6233206940736999</v>
      </c>
      <c r="AG124">
        <v>-1.153025</v>
      </c>
      <c r="AH124">
        <v>54.742468477366202</v>
      </c>
      <c r="AI124">
        <v>91.203992613808097</v>
      </c>
      <c r="AJ124">
        <v>93.786797033718003</v>
      </c>
      <c r="AK124">
        <v>54.8743635452673</v>
      </c>
    </row>
    <row r="125" spans="1:37" x14ac:dyDescent="0.2">
      <c r="A125" t="str">
        <f>"20200111160056743"</f>
        <v>20200111160056743</v>
      </c>
      <c r="B125" t="str">
        <f>"1578729656738866"</f>
        <v>1578729656738866</v>
      </c>
      <c r="C125" t="s">
        <v>37</v>
      </c>
      <c r="D125">
        <v>4.7925509999999996</v>
      </c>
      <c r="E125">
        <v>0.55088169999999903</v>
      </c>
      <c r="F125" t="s">
        <v>42</v>
      </c>
      <c r="G125">
        <v>-462.00040000000001</v>
      </c>
      <c r="H125">
        <v>1.051318</v>
      </c>
      <c r="I125">
        <v>367.4153</v>
      </c>
      <c r="J125">
        <v>-462.56490000000002</v>
      </c>
      <c r="K125">
        <v>1.103035</v>
      </c>
      <c r="L125">
        <v>367.4776</v>
      </c>
      <c r="M125">
        <v>0.99999950000000004</v>
      </c>
      <c r="N125">
        <v>0</v>
      </c>
      <c r="O125">
        <v>-8.9330500000000005E-4</v>
      </c>
      <c r="P125">
        <v>0.99900449999999996</v>
      </c>
      <c r="Q125">
        <v>3.734734E-3</v>
      </c>
      <c r="R125">
        <v>4.4455509999999997E-2</v>
      </c>
      <c r="S125">
        <v>3.015015</v>
      </c>
      <c r="T125">
        <v>-0.18894849999999999</v>
      </c>
      <c r="U125">
        <v>-0.223998999999999</v>
      </c>
      <c r="V125">
        <v>-4.5350790000000002E-2</v>
      </c>
      <c r="W125">
        <v>3.2551870000000001E-3</v>
      </c>
      <c r="X125">
        <v>0.99896580000000001</v>
      </c>
      <c r="Y125">
        <v>7.3058629999999999E-2</v>
      </c>
      <c r="Z125">
        <v>-2.2280300000000002E-3</v>
      </c>
      <c r="AA125">
        <v>0.99732520000000002</v>
      </c>
      <c r="AB125">
        <v>25</v>
      </c>
      <c r="AC125">
        <v>0.56450000000000899</v>
      </c>
      <c r="AD125">
        <v>-5.1716999999999999E-2</v>
      </c>
      <c r="AE125">
        <v>-6.2299999999993298E-2</v>
      </c>
      <c r="AF125">
        <v>6.1287483214852501E-2</v>
      </c>
      <c r="AG125">
        <v>-5.1716999999999999E-2</v>
      </c>
      <c r="AH125">
        <v>0.55991240204582704</v>
      </c>
      <c r="AI125">
        <v>95.246064464716596</v>
      </c>
      <c r="AJ125">
        <v>83.753326549939899</v>
      </c>
      <c r="AK125">
        <v>0.56562593792411797</v>
      </c>
    </row>
    <row r="126" spans="1:37" x14ac:dyDescent="0.2">
      <c r="A126" t="str">
        <f>"20200111160056766"</f>
        <v>20200111160056766</v>
      </c>
      <c r="B126" t="str">
        <f>"1578729656759361"</f>
        <v>1578729656759361</v>
      </c>
      <c r="C126" t="s">
        <v>37</v>
      </c>
      <c r="D126">
        <v>4.7484729999999997</v>
      </c>
      <c r="E126">
        <v>0.55150410000000005</v>
      </c>
      <c r="F126" t="s">
        <v>42</v>
      </c>
      <c r="G126">
        <v>-461.77170000000001</v>
      </c>
      <c r="H126">
        <v>1.0506949999999999</v>
      </c>
      <c r="I126">
        <v>367.40820000000002</v>
      </c>
      <c r="J126">
        <v>-462.30939999999998</v>
      </c>
      <c r="K126">
        <v>1.1030450000000001</v>
      </c>
      <c r="L126">
        <v>367.47789999999998</v>
      </c>
      <c r="M126">
        <v>0.99999989999999905</v>
      </c>
      <c r="N126">
        <v>0</v>
      </c>
      <c r="O126">
        <v>-3.6079029999999999E-4</v>
      </c>
      <c r="P126">
        <v>0.99914809999999998</v>
      </c>
      <c r="Q126">
        <v>7.8419220000000003E-4</v>
      </c>
      <c r="R126">
        <v>4.1262319999999998E-2</v>
      </c>
      <c r="S126">
        <v>3.0154109999999998</v>
      </c>
      <c r="T126">
        <v>-0.19908770000000001</v>
      </c>
      <c r="U126">
        <v>-0.26321409999999901</v>
      </c>
      <c r="V126">
        <v>-4.1623300000000002E-2</v>
      </c>
      <c r="W126">
        <v>5.1194819999999999E-4</v>
      </c>
      <c r="X126">
        <v>0.99913320000000005</v>
      </c>
      <c r="Y126">
        <v>8.6413580000000004E-2</v>
      </c>
      <c r="Z126">
        <v>-2.8204179999999999E-3</v>
      </c>
      <c r="AA126">
        <v>0.99625529999999995</v>
      </c>
      <c r="AB126">
        <v>25</v>
      </c>
      <c r="AC126">
        <v>0.53769999999997198</v>
      </c>
      <c r="AD126">
        <v>-5.2349999999999897E-2</v>
      </c>
      <c r="AE126">
        <v>-6.9699999999954798E-2</v>
      </c>
      <c r="AF126">
        <v>6.88640370154259E-2</v>
      </c>
      <c r="AG126">
        <v>-5.2349999999999897E-2</v>
      </c>
      <c r="AH126">
        <v>0.53275865127466904</v>
      </c>
      <c r="AI126">
        <v>95.565978412886807</v>
      </c>
      <c r="AJ126">
        <v>82.634822678456402</v>
      </c>
      <c r="AK126">
        <v>0.539735637698741</v>
      </c>
    </row>
    <row r="127" spans="1:37" x14ac:dyDescent="0.2">
      <c r="A127" t="str">
        <f>"20200111160056785"</f>
        <v>20200111160056785</v>
      </c>
      <c r="B127" t="str">
        <f>"1578729656778881"</f>
        <v>1578729656778881</v>
      </c>
      <c r="C127" t="s">
        <v>37</v>
      </c>
      <c r="D127">
        <v>4.7636779999999996</v>
      </c>
      <c r="E127">
        <v>0.55159429999999998</v>
      </c>
      <c r="F127" t="s">
        <v>42</v>
      </c>
      <c r="G127">
        <v>-461.5421</v>
      </c>
      <c r="H127">
        <v>1.0484659999999999</v>
      </c>
      <c r="I127">
        <v>367.4067</v>
      </c>
      <c r="J127">
        <v>-462.07389999999998</v>
      </c>
      <c r="K127">
        <v>1.1030629999999999</v>
      </c>
      <c r="L127">
        <v>367.47829999999999</v>
      </c>
      <c r="M127">
        <v>1</v>
      </c>
      <c r="N127">
        <v>0</v>
      </c>
      <c r="O127">
        <v>1.2812349999999999E-4</v>
      </c>
      <c r="P127">
        <v>0.99929140000000005</v>
      </c>
      <c r="Q127">
        <v>-8.9098140000000003E-4</v>
      </c>
      <c r="R127">
        <v>3.7631230000000002E-2</v>
      </c>
      <c r="S127">
        <v>3.0141909999999998</v>
      </c>
      <c r="T127">
        <v>-0.21462579999999901</v>
      </c>
      <c r="U127">
        <v>-0.2782288</v>
      </c>
      <c r="V127">
        <v>-3.7502359999999998E-2</v>
      </c>
      <c r="W127">
        <v>-9.6718759999999998E-4</v>
      </c>
      <c r="X127">
        <v>0.99929609999999902</v>
      </c>
      <c r="Y127">
        <v>9.1812309999999994E-2</v>
      </c>
      <c r="Z127">
        <v>-3.2668150000000002E-3</v>
      </c>
      <c r="AA127">
        <v>0.99577099999999996</v>
      </c>
      <c r="AB127">
        <v>26</v>
      </c>
      <c r="AC127">
        <v>0.53179999999997496</v>
      </c>
      <c r="AD127">
        <v>-5.4597E-2</v>
      </c>
      <c r="AE127">
        <v>-7.1599999999989394E-2</v>
      </c>
      <c r="AF127">
        <v>7.0933804039774201E-2</v>
      </c>
      <c r="AG127">
        <v>-5.4597E-2</v>
      </c>
      <c r="AH127">
        <v>0.52634194680747703</v>
      </c>
      <c r="AI127">
        <v>95.869377478195304</v>
      </c>
      <c r="AJ127">
        <v>82.324633786192095</v>
      </c>
      <c r="AK127">
        <v>0.53389913086053797</v>
      </c>
    </row>
    <row r="128" spans="1:37" x14ac:dyDescent="0.2">
      <c r="A128" t="str">
        <f>"20200111160056814"</f>
        <v>20200111160056814</v>
      </c>
      <c r="B128" t="str">
        <f>"1578729656809137"</f>
        <v>1578729656809137</v>
      </c>
      <c r="C128" t="s">
        <v>37</v>
      </c>
      <c r="D128">
        <v>4.8264209999999999</v>
      </c>
      <c r="E128">
        <v>0.55116390000000004</v>
      </c>
      <c r="F128" t="s">
        <v>42</v>
      </c>
      <c r="G128">
        <v>-461.31150000000002</v>
      </c>
      <c r="H128">
        <v>1.045458</v>
      </c>
      <c r="I128">
        <v>367.4051</v>
      </c>
      <c r="J128">
        <v>-461.78590000000003</v>
      </c>
      <c r="K128">
        <v>1.1030799999999901</v>
      </c>
      <c r="L128">
        <v>367.47890000000001</v>
      </c>
      <c r="M128">
        <v>0.99999979999999999</v>
      </c>
      <c r="N128">
        <v>0</v>
      </c>
      <c r="O128">
        <v>7.2539449999999895E-4</v>
      </c>
      <c r="P128">
        <v>0.99941999999999998</v>
      </c>
      <c r="Q128">
        <v>-3.7275390000000002E-3</v>
      </c>
      <c r="R128">
        <v>3.3851329999999999E-2</v>
      </c>
      <c r="S128">
        <v>3.012848</v>
      </c>
      <c r="T128">
        <v>-0.22759670000000001</v>
      </c>
      <c r="U128">
        <v>-0.28973389999999999</v>
      </c>
      <c r="V128">
        <v>-3.3123729999999997E-2</v>
      </c>
      <c r="W128">
        <v>-3.5611269999999999E-3</v>
      </c>
      <c r="X128">
        <v>0.99944489999999997</v>
      </c>
      <c r="Y128">
        <v>9.6172999999999995E-2</v>
      </c>
      <c r="Z128">
        <v>-3.6736679999999902E-3</v>
      </c>
      <c r="AA128">
        <v>0.99535790000000002</v>
      </c>
      <c r="AB128">
        <v>26</v>
      </c>
      <c r="AC128">
        <v>0.47440000000000199</v>
      </c>
      <c r="AD128">
        <v>-5.7621999999999798E-2</v>
      </c>
      <c r="AE128">
        <v>-7.3800000000005597E-2</v>
      </c>
      <c r="AF128">
        <v>7.3091254680547904E-2</v>
      </c>
      <c r="AG128">
        <v>-5.7621999999999798E-2</v>
      </c>
      <c r="AH128">
        <v>0.46761058015289497</v>
      </c>
      <c r="AI128">
        <v>96.941493025618797</v>
      </c>
      <c r="AJ128">
        <v>81.116099299155906</v>
      </c>
      <c r="AK128">
        <v>0.47678326424666401</v>
      </c>
    </row>
    <row r="129" spans="1:37" x14ac:dyDescent="0.2">
      <c r="A129" t="str">
        <f>"20200111160056833"</f>
        <v>20200111160056833</v>
      </c>
      <c r="B129" t="str">
        <f>"1578729656829634"</f>
        <v>1578729656829634</v>
      </c>
      <c r="C129" t="s">
        <v>37</v>
      </c>
      <c r="D129">
        <v>4.7786119999999999</v>
      </c>
      <c r="E129">
        <v>0.55105819999999905</v>
      </c>
      <c r="F129" t="s">
        <v>42</v>
      </c>
      <c r="G129">
        <v>-460.85079999999999</v>
      </c>
      <c r="H129">
        <v>1.0286690000000001</v>
      </c>
      <c r="I129">
        <v>367.38650000000001</v>
      </c>
      <c r="J129">
        <v>-461.51769999999999</v>
      </c>
      <c r="K129">
        <v>1.1030959999999901</v>
      </c>
      <c r="L129">
        <v>367.47969999999998</v>
      </c>
      <c r="M129">
        <v>0.99999919999999998</v>
      </c>
      <c r="N129">
        <v>0</v>
      </c>
      <c r="O129">
        <v>1.2784680000000001E-3</v>
      </c>
      <c r="P129">
        <v>0.99950699999999904</v>
      </c>
      <c r="Q129">
        <v>-5.484905E-3</v>
      </c>
      <c r="R129">
        <v>3.0922459999999999E-2</v>
      </c>
      <c r="S129">
        <v>3.0109560000000002</v>
      </c>
      <c r="T129">
        <v>-0.23970529999999901</v>
      </c>
      <c r="U129">
        <v>-0.29721069999999999</v>
      </c>
      <c r="V129">
        <v>-2.9640070000000001E-2</v>
      </c>
      <c r="W129">
        <v>-5.0937730000000002E-3</v>
      </c>
      <c r="X129">
        <v>0.99954769999999904</v>
      </c>
      <c r="Y129">
        <v>9.9189719999999995E-2</v>
      </c>
      <c r="Z129">
        <v>-4.0339269999999997E-3</v>
      </c>
      <c r="AA129">
        <v>0.99506039999999996</v>
      </c>
      <c r="AB129">
        <v>26</v>
      </c>
      <c r="AC129">
        <v>0.66689999999999805</v>
      </c>
      <c r="AD129">
        <v>-7.4426999999999799E-2</v>
      </c>
      <c r="AE129">
        <v>-9.3199999999967503E-2</v>
      </c>
      <c r="AF129">
        <v>9.2917427641421205E-2</v>
      </c>
      <c r="AG129">
        <v>-7.4426999999999799E-2</v>
      </c>
      <c r="AH129">
        <v>0.65873302635363995</v>
      </c>
      <c r="AI129">
        <v>96.383567578645994</v>
      </c>
      <c r="AJ129">
        <v>81.971126746619504</v>
      </c>
      <c r="AK129">
        <v>0.66940438204236796</v>
      </c>
    </row>
    <row r="130" spans="1:37" x14ac:dyDescent="0.2">
      <c r="A130" t="str">
        <f>"20200111160056855"</f>
        <v>20200111160056855</v>
      </c>
      <c r="B130" t="str">
        <f>"1578729656849153"</f>
        <v>1578729656849153</v>
      </c>
      <c r="C130" t="s">
        <v>37</v>
      </c>
      <c r="D130">
        <v>4.7966379999999997</v>
      </c>
      <c r="E130">
        <v>0.55104949999999997</v>
      </c>
      <c r="F130" t="s">
        <v>42</v>
      </c>
      <c r="G130">
        <v>-460.61450000000002</v>
      </c>
      <c r="H130">
        <v>1.0285949999999999</v>
      </c>
      <c r="I130">
        <v>367.38810000000001</v>
      </c>
      <c r="J130">
        <v>-461.26819999999998</v>
      </c>
      <c r="K130">
        <v>1.103121</v>
      </c>
      <c r="L130">
        <v>367.48050000000001</v>
      </c>
      <c r="M130">
        <v>0.99999830000000001</v>
      </c>
      <c r="N130">
        <v>0</v>
      </c>
      <c r="O130">
        <v>1.78711E-3</v>
      </c>
      <c r="P130">
        <v>0.99953099999999995</v>
      </c>
      <c r="Q130">
        <v>-4.3218529999999996E-3</v>
      </c>
      <c r="R130">
        <v>3.0322160000000001E-2</v>
      </c>
      <c r="S130">
        <v>3.0095209999999999</v>
      </c>
      <c r="T130">
        <v>-0.24834129999999999</v>
      </c>
      <c r="U130">
        <v>-0.30444339999999998</v>
      </c>
      <c r="V130">
        <v>-2.8533030000000001E-2</v>
      </c>
      <c r="W130">
        <v>-3.7280849999999999E-3</v>
      </c>
      <c r="X130">
        <v>0.99958590000000003</v>
      </c>
      <c r="Y130">
        <v>0.10207479999999999</v>
      </c>
      <c r="Z130">
        <v>-4.3405889999999997E-3</v>
      </c>
      <c r="AA130">
        <v>0.99476719999999896</v>
      </c>
      <c r="AB130">
        <v>26</v>
      </c>
      <c r="AC130">
        <v>0.65369999999995798</v>
      </c>
      <c r="AD130">
        <v>-7.4525999999999801E-2</v>
      </c>
      <c r="AE130">
        <v>-9.2399999999997803E-2</v>
      </c>
      <c r="AF130">
        <v>9.2390763129023501E-2</v>
      </c>
      <c r="AG130">
        <v>-7.4525999999999801E-2</v>
      </c>
      <c r="AH130">
        <v>0.645310718202322</v>
      </c>
      <c r="AI130">
        <v>96.521898056684293</v>
      </c>
      <c r="AJ130">
        <v>81.852189920960001</v>
      </c>
      <c r="AK130">
        <v>0.65613725760267605</v>
      </c>
    </row>
    <row r="131" spans="1:37" x14ac:dyDescent="0.2">
      <c r="A131" t="str">
        <f>"20200111160056878"</f>
        <v>20200111160056878</v>
      </c>
      <c r="B131" t="str">
        <f>"1578729656869650"</f>
        <v>1578729656869650</v>
      </c>
      <c r="C131" t="s">
        <v>37</v>
      </c>
      <c r="D131">
        <v>4.7949459999999897</v>
      </c>
      <c r="E131">
        <v>0.55085709999999999</v>
      </c>
      <c r="F131" t="s">
        <v>42</v>
      </c>
      <c r="G131">
        <v>-460.3759</v>
      </c>
      <c r="H131">
        <v>1.0302519999999999</v>
      </c>
      <c r="I131">
        <v>367.3897</v>
      </c>
      <c r="J131">
        <v>-460.98669999999998</v>
      </c>
      <c r="K131">
        <v>1.103138</v>
      </c>
      <c r="L131">
        <v>367.48169999999999</v>
      </c>
      <c r="M131">
        <v>0.99999699999999903</v>
      </c>
      <c r="N131">
        <v>0</v>
      </c>
      <c r="O131">
        <v>2.3416879999999902E-3</v>
      </c>
      <c r="P131">
        <v>0.99948879999999996</v>
      </c>
      <c r="Q131">
        <v>-3.3129470000000001E-3</v>
      </c>
      <c r="R131">
        <v>3.1799229999999998E-2</v>
      </c>
      <c r="S131">
        <v>3.0096129999999999</v>
      </c>
      <c r="T131">
        <v>-0.245838</v>
      </c>
      <c r="U131">
        <v>-0.305481</v>
      </c>
      <c r="V131">
        <v>-2.9456860000000001E-2</v>
      </c>
      <c r="W131">
        <v>-2.500787E-3</v>
      </c>
      <c r="X131">
        <v>0.99956290000000003</v>
      </c>
      <c r="Y131">
        <v>0.1029651</v>
      </c>
      <c r="Z131">
        <v>-4.37809799999999E-3</v>
      </c>
      <c r="AA131">
        <v>0.99467530000000004</v>
      </c>
      <c r="AB131">
        <v>26</v>
      </c>
      <c r="AC131">
        <v>0.61079999999998302</v>
      </c>
      <c r="AD131">
        <v>-7.2886000000000006E-2</v>
      </c>
      <c r="AE131">
        <v>-9.1999999999984497E-2</v>
      </c>
      <c r="AF131">
        <v>9.2147044704730993E-2</v>
      </c>
      <c r="AG131">
        <v>-7.2886000000000006E-2</v>
      </c>
      <c r="AH131">
        <v>0.60219820241788502</v>
      </c>
      <c r="AI131">
        <v>96.822477553380907</v>
      </c>
      <c r="AJ131">
        <v>81.3002072545939</v>
      </c>
      <c r="AK131">
        <v>0.61355205308037897</v>
      </c>
    </row>
    <row r="132" spans="1:37" x14ac:dyDescent="0.2">
      <c r="A132" t="str">
        <f>"20200111160056899"</f>
        <v>20200111160056899</v>
      </c>
      <c r="B132" t="str">
        <f>"1578729656889170"</f>
        <v>1578729656889170</v>
      </c>
      <c r="C132" t="s">
        <v>37</v>
      </c>
      <c r="D132">
        <v>4.8496610000000002</v>
      </c>
      <c r="E132">
        <v>0.55071740000000002</v>
      </c>
      <c r="F132" t="s">
        <v>42</v>
      </c>
      <c r="G132">
        <v>-460.13479999999998</v>
      </c>
      <c r="H132">
        <v>1.0340020000000001</v>
      </c>
      <c r="I132">
        <v>367.39690000000002</v>
      </c>
      <c r="J132">
        <v>-460.73059999999998</v>
      </c>
      <c r="K132">
        <v>1.10314</v>
      </c>
      <c r="L132">
        <v>367.4828</v>
      </c>
      <c r="M132">
        <v>0.99999550000000004</v>
      </c>
      <c r="N132">
        <v>0</v>
      </c>
      <c r="O132">
        <v>2.814282E-3</v>
      </c>
      <c r="P132">
        <v>0.99937559999999903</v>
      </c>
      <c r="Q132">
        <v>-2.0947750000000001E-3</v>
      </c>
      <c r="R132">
        <v>3.5270799999999998E-2</v>
      </c>
      <c r="S132">
        <v>3.0102540000000002</v>
      </c>
      <c r="T132">
        <v>-0.244473</v>
      </c>
      <c r="U132">
        <v>-0.29876710000000001</v>
      </c>
      <c r="V132">
        <v>-3.2457180000000002E-2</v>
      </c>
      <c r="W132">
        <v>-1.0936769999999999E-3</v>
      </c>
      <c r="X132">
        <v>0.99947260000000004</v>
      </c>
      <c r="Y132">
        <v>0.10122539999999999</v>
      </c>
      <c r="Z132">
        <v>-4.321302E-3</v>
      </c>
      <c r="AA132">
        <v>0.99485419999999902</v>
      </c>
      <c r="AB132">
        <v>27</v>
      </c>
      <c r="AC132">
        <v>0.595799999999997</v>
      </c>
      <c r="AD132">
        <v>-6.9137999999999894E-2</v>
      </c>
      <c r="AE132">
        <v>-8.5899999999980894E-2</v>
      </c>
      <c r="AF132">
        <v>8.6436178056416096E-2</v>
      </c>
      <c r="AG132">
        <v>-6.9137999999999894E-2</v>
      </c>
      <c r="AH132">
        <v>0.58780184405512503</v>
      </c>
      <c r="AI132">
        <v>96.637645319429595</v>
      </c>
      <c r="AJ132">
        <v>81.634616655664999</v>
      </c>
      <c r="AK132">
        <v>0.59813232966928498</v>
      </c>
    </row>
    <row r="133" spans="1:37" x14ac:dyDescent="0.2">
      <c r="A133" t="str">
        <f>"20200111160057033"</f>
        <v>20200111160057033</v>
      </c>
      <c r="B133" t="str">
        <f>"1578729657029714"</f>
        <v>1578729657029714</v>
      </c>
      <c r="C133" t="s">
        <v>37</v>
      </c>
      <c r="D133">
        <v>4.8632739999999997</v>
      </c>
      <c r="E133">
        <v>0.52213399999999999</v>
      </c>
      <c r="F133" t="s">
        <v>39</v>
      </c>
      <c r="G133">
        <v>-424.9117</v>
      </c>
      <c r="H133">
        <v>-0.05</v>
      </c>
      <c r="I133">
        <v>367.19959999999998</v>
      </c>
      <c r="J133">
        <v>-459.09190000000001</v>
      </c>
      <c r="K133">
        <v>1.103089</v>
      </c>
      <c r="L133">
        <v>367.49119999999999</v>
      </c>
      <c r="M133">
        <v>0.99998569999999998</v>
      </c>
      <c r="N133">
        <v>0</v>
      </c>
      <c r="O133">
        <v>4.9601979999999999E-3</v>
      </c>
      <c r="P133">
        <v>0.99908169999999996</v>
      </c>
      <c r="Q133">
        <v>-2.4122150000000001E-3</v>
      </c>
      <c r="R133">
        <v>4.277661E-2</v>
      </c>
      <c r="S133">
        <v>3.0032040000000002</v>
      </c>
      <c r="T133">
        <v>-0.1004703</v>
      </c>
      <c r="U133">
        <v>-2.5268550000000001E-2</v>
      </c>
      <c r="V133">
        <v>-3.782021E-2</v>
      </c>
      <c r="W133">
        <v>-4.2906869999999997E-4</v>
      </c>
      <c r="X133">
        <v>0.99928439999999996</v>
      </c>
      <c r="Y133">
        <v>1.336324E-2</v>
      </c>
      <c r="Z133">
        <v>-3.8935469999999998E-4</v>
      </c>
      <c r="AA133">
        <v>0.99991070000000004</v>
      </c>
      <c r="AB133">
        <v>28</v>
      </c>
      <c r="AC133">
        <v>34.180199999999999</v>
      </c>
      <c r="AD133">
        <v>-1.153089</v>
      </c>
      <c r="AE133">
        <v>-0.29160000000001601</v>
      </c>
      <c r="AF133">
        <v>0.46061313033872497</v>
      </c>
      <c r="AG133">
        <v>-1.153089</v>
      </c>
      <c r="AH133">
        <v>34.139482159407002</v>
      </c>
      <c r="AI133">
        <v>91.934300616187201</v>
      </c>
      <c r="AJ133">
        <v>89.227006812206895</v>
      </c>
      <c r="AK133">
        <v>34.162055277899</v>
      </c>
    </row>
    <row r="134" spans="1:37" x14ac:dyDescent="0.2">
      <c r="A134" t="str">
        <f>"20200111160057056"</f>
        <v>20200111160057056</v>
      </c>
      <c r="B134" t="str">
        <f>"1578729657049234"</f>
        <v>1578729657049234</v>
      </c>
      <c r="C134" t="s">
        <v>37</v>
      </c>
      <c r="D134">
        <v>4.8420519999999998</v>
      </c>
      <c r="E134">
        <v>0.52089160000000001</v>
      </c>
      <c r="F134" t="s">
        <v>39</v>
      </c>
      <c r="G134">
        <v>-406.56</v>
      </c>
      <c r="H134">
        <v>-0.05</v>
      </c>
      <c r="I134">
        <v>366.7063</v>
      </c>
      <c r="J134">
        <v>-458.80650000000003</v>
      </c>
      <c r="K134">
        <v>1.1030990000000001</v>
      </c>
      <c r="L134">
        <v>367.49299999999999</v>
      </c>
      <c r="M134">
        <v>0.99998390000000004</v>
      </c>
      <c r="N134">
        <v>0</v>
      </c>
      <c r="O134">
        <v>5.2784629999999997E-3</v>
      </c>
      <c r="P134">
        <v>0.9989169</v>
      </c>
      <c r="Q134">
        <v>-7.0711489999999997E-3</v>
      </c>
      <c r="R134">
        <v>4.599309E-2</v>
      </c>
      <c r="S134">
        <v>3.004486</v>
      </c>
      <c r="T134">
        <v>-6.5949199999999999E-2</v>
      </c>
      <c r="U134">
        <v>-4.4891359999999998E-2</v>
      </c>
      <c r="V134">
        <v>-4.0717589999999998E-2</v>
      </c>
      <c r="W134">
        <v>-4.9616360000000002E-3</v>
      </c>
      <c r="X134">
        <v>0.9991584</v>
      </c>
      <c r="Y134">
        <v>2.021131E-2</v>
      </c>
      <c r="Z134">
        <v>-3.3762669999999899E-4</v>
      </c>
      <c r="AA134">
        <v>0.99979569999999995</v>
      </c>
      <c r="AB134">
        <v>28</v>
      </c>
      <c r="AC134">
        <v>52.246499999999997</v>
      </c>
      <c r="AD134">
        <v>-1.1530990000000001</v>
      </c>
      <c r="AE134">
        <v>-0.78670000000005302</v>
      </c>
      <c r="AF134">
        <v>1.0619536943601899</v>
      </c>
      <c r="AG134">
        <v>-1.1530990000000001</v>
      </c>
      <c r="AH134">
        <v>52.2161907858506</v>
      </c>
      <c r="AI134">
        <v>91.264805340957906</v>
      </c>
      <c r="AJ134">
        <v>88.834900115497305</v>
      </c>
      <c r="AK134">
        <v>52.239716338597397</v>
      </c>
    </row>
    <row r="135" spans="1:37" x14ac:dyDescent="0.2">
      <c r="A135" t="str">
        <f>"20200111160057078"</f>
        <v>20200111160057078</v>
      </c>
      <c r="B135" t="str">
        <f>"1578729657069729"</f>
        <v>1578729657069729</v>
      </c>
      <c r="C135" t="s">
        <v>37</v>
      </c>
      <c r="D135">
        <v>4.9480649999999997</v>
      </c>
      <c r="E135">
        <v>0.52156219999999998</v>
      </c>
      <c r="F135" t="s">
        <v>39</v>
      </c>
      <c r="G135">
        <v>-418.17660000000001</v>
      </c>
      <c r="H135">
        <v>-0.05</v>
      </c>
      <c r="I135">
        <v>367.15449999999998</v>
      </c>
      <c r="J135">
        <v>-458.53019999999998</v>
      </c>
      <c r="K135">
        <v>1.103116</v>
      </c>
      <c r="L135">
        <v>367.4948</v>
      </c>
      <c r="M135">
        <v>0.99998180000000003</v>
      </c>
      <c r="N135">
        <v>0</v>
      </c>
      <c r="O135">
        <v>5.604019E-3</v>
      </c>
      <c r="P135">
        <v>0.99883069999999896</v>
      </c>
      <c r="Q135">
        <v>-8.8846269999999904E-3</v>
      </c>
      <c r="R135">
        <v>4.7519470000000001E-2</v>
      </c>
      <c r="S135">
        <v>3.0038450000000001</v>
      </c>
      <c r="T135">
        <v>-8.5250740000000005E-2</v>
      </c>
      <c r="U135">
        <v>-2.502441E-2</v>
      </c>
      <c r="V135">
        <v>-4.1917759999999998E-2</v>
      </c>
      <c r="W135">
        <v>-6.6600979999999997E-3</v>
      </c>
      <c r="X135">
        <v>0.99909879999999995</v>
      </c>
      <c r="Y135">
        <v>1.3926350000000001E-2</v>
      </c>
      <c r="Z135">
        <v>-3.5658640000000002E-4</v>
      </c>
      <c r="AA135">
        <v>0.99990299999999999</v>
      </c>
      <c r="AB135">
        <v>28</v>
      </c>
      <c r="AC135">
        <v>40.353599999999901</v>
      </c>
      <c r="AD135">
        <v>-1.153116</v>
      </c>
      <c r="AE135">
        <v>-0.34030000000001298</v>
      </c>
      <c r="AF135">
        <v>0.56597544928917098</v>
      </c>
      <c r="AG135">
        <v>-1.153116</v>
      </c>
      <c r="AH135">
        <v>40.318139953128103</v>
      </c>
      <c r="AI135">
        <v>91.638075844192201</v>
      </c>
      <c r="AJ135">
        <v>89.1957497351016</v>
      </c>
      <c r="AK135">
        <v>40.338597075241502</v>
      </c>
    </row>
    <row r="136" spans="1:37" x14ac:dyDescent="0.2">
      <c r="A136" t="str">
        <f>"20200111160057099"</f>
        <v>20200111160057099</v>
      </c>
      <c r="B136" t="str">
        <f>"1578729657089250"</f>
        <v>1578729657089250</v>
      </c>
      <c r="C136" t="s">
        <v>37</v>
      </c>
      <c r="D136">
        <v>4.8673979999999997</v>
      </c>
      <c r="E136">
        <v>0.5216326</v>
      </c>
      <c r="F136" t="s">
        <v>39</v>
      </c>
      <c r="G136">
        <v>-416.42540000000002</v>
      </c>
      <c r="H136">
        <v>-0.05</v>
      </c>
      <c r="I136">
        <v>367.12479999999999</v>
      </c>
      <c r="J136">
        <v>-458.25049999999999</v>
      </c>
      <c r="K136">
        <v>1.103148</v>
      </c>
      <c r="L136">
        <v>367.49669999999998</v>
      </c>
      <c r="M136">
        <v>0.99997959999999997</v>
      </c>
      <c r="N136">
        <v>0</v>
      </c>
      <c r="O136">
        <v>5.9583719999999904E-3</v>
      </c>
      <c r="P136">
        <v>0.99883029999999995</v>
      </c>
      <c r="Q136">
        <v>-8.4291920000000003E-3</v>
      </c>
      <c r="R136">
        <v>4.7615899999999899E-2</v>
      </c>
      <c r="S136">
        <v>3.0039980000000002</v>
      </c>
      <c r="T136">
        <v>-8.2269789999999995E-2</v>
      </c>
      <c r="U136">
        <v>-2.6397710000000001E-2</v>
      </c>
      <c r="V136">
        <v>-4.1659710000000003E-2</v>
      </c>
      <c r="W136">
        <v>-6.092409E-3</v>
      </c>
      <c r="X136">
        <v>0.99911329999999998</v>
      </c>
      <c r="Y136">
        <v>1.4737429999999999E-2</v>
      </c>
      <c r="Z136">
        <v>-3.649112E-4</v>
      </c>
      <c r="AA136">
        <v>0.99989130000000004</v>
      </c>
      <c r="AB136">
        <v>28</v>
      </c>
      <c r="AC136">
        <v>41.8250999999999</v>
      </c>
      <c r="AD136">
        <v>-1.1531480000000001</v>
      </c>
      <c r="AE136">
        <v>-0.37189999999998202</v>
      </c>
      <c r="AF136">
        <v>0.62063183055300597</v>
      </c>
      <c r="AG136">
        <v>-1.1531480000000001</v>
      </c>
      <c r="AH136">
        <v>41.790377411890603</v>
      </c>
      <c r="AI136">
        <v>91.580422985020505</v>
      </c>
      <c r="AJ136">
        <v>89.149158902187693</v>
      </c>
      <c r="AK136">
        <v>41.810890667471497</v>
      </c>
    </row>
    <row r="137" spans="1:37" x14ac:dyDescent="0.2">
      <c r="A137" t="str">
        <f>"20200111160057123"</f>
        <v>20200111160057123</v>
      </c>
      <c r="B137" t="str">
        <f>"1578729657119505"</f>
        <v>1578729657119505</v>
      </c>
      <c r="C137" t="s">
        <v>37</v>
      </c>
      <c r="D137">
        <v>4.8960379999999999</v>
      </c>
      <c r="E137">
        <v>0.53929229999999995</v>
      </c>
      <c r="F137" t="s">
        <v>39</v>
      </c>
      <c r="G137">
        <v>-416.75319999999999</v>
      </c>
      <c r="H137">
        <v>-0.05</v>
      </c>
      <c r="I137">
        <v>367.13080000000002</v>
      </c>
      <c r="J137">
        <v>-457.9563</v>
      </c>
      <c r="K137">
        <v>1.103191</v>
      </c>
      <c r="L137">
        <v>367.49889999999999</v>
      </c>
      <c r="M137">
        <v>0.99997669999999905</v>
      </c>
      <c r="N137">
        <v>0</v>
      </c>
      <c r="O137">
        <v>6.3572500000000001E-3</v>
      </c>
      <c r="P137">
        <v>0.99880469999999899</v>
      </c>
      <c r="Q137">
        <v>-7.52935699999999E-3</v>
      </c>
      <c r="R137">
        <v>4.8294089999999998E-2</v>
      </c>
      <c r="S137">
        <v>3.0040589999999998</v>
      </c>
      <c r="T137">
        <v>-8.3478209999999997E-2</v>
      </c>
      <c r="U137">
        <v>-2.6489260000000001E-2</v>
      </c>
      <c r="V137">
        <v>-4.1940070000000003E-2</v>
      </c>
      <c r="W137">
        <v>-5.0793909999999999E-3</v>
      </c>
      <c r="X137">
        <v>0.99910719999999997</v>
      </c>
      <c r="Y137">
        <v>1.5166020000000001E-2</v>
      </c>
      <c r="Z137">
        <v>-3.8729709999999899E-4</v>
      </c>
      <c r="AA137">
        <v>0.99988489999999997</v>
      </c>
      <c r="AB137">
        <v>28</v>
      </c>
      <c r="AC137">
        <v>41.203099999999999</v>
      </c>
      <c r="AD137">
        <v>-1.1531910000000001</v>
      </c>
      <c r="AE137">
        <v>-0.36809999999996901</v>
      </c>
      <c r="AF137">
        <v>0.62953868421923298</v>
      </c>
      <c r="AG137">
        <v>-1.1531910000000001</v>
      </c>
      <c r="AH137">
        <v>41.167682117270402</v>
      </c>
      <c r="AI137">
        <v>91.604364928958404</v>
      </c>
      <c r="AJ137">
        <v>89.123897762256306</v>
      </c>
      <c r="AK137">
        <v>41.188641873046002</v>
      </c>
    </row>
    <row r="138" spans="1:37" x14ac:dyDescent="0.2">
      <c r="A138" t="str">
        <f>"20200111160057146"</f>
        <v>20200111160057146</v>
      </c>
      <c r="B138" t="str">
        <f>"1578729657139026"</f>
        <v>1578729657139026</v>
      </c>
      <c r="C138" t="s">
        <v>37</v>
      </c>
      <c r="D138">
        <v>4.9046190000000003</v>
      </c>
      <c r="E138">
        <v>0.52460180000000001</v>
      </c>
      <c r="F138" t="s">
        <v>43</v>
      </c>
      <c r="G138">
        <v>0</v>
      </c>
      <c r="H138">
        <v>0</v>
      </c>
      <c r="I138">
        <v>0</v>
      </c>
      <c r="J138">
        <v>-457.64800000000002</v>
      </c>
      <c r="K138">
        <v>1.1032360000000001</v>
      </c>
      <c r="L138">
        <v>367.50130000000001</v>
      </c>
      <c r="M138">
        <v>0.99997349999999996</v>
      </c>
      <c r="N138">
        <v>0</v>
      </c>
      <c r="O138">
        <v>6.7971259999999997E-3</v>
      </c>
      <c r="P138">
        <v>0.99874030000000003</v>
      </c>
      <c r="Q138">
        <v>-7.7810119999999899E-3</v>
      </c>
      <c r="R138">
        <v>4.9570070000000001E-2</v>
      </c>
      <c r="S138">
        <v>3.012543</v>
      </c>
      <c r="T138">
        <v>6.8378449999999993E-2</v>
      </c>
      <c r="U138">
        <v>-0.17373659999999999</v>
      </c>
      <c r="V138">
        <v>-4.2776599999999998E-2</v>
      </c>
      <c r="W138">
        <v>-5.21777099999999E-3</v>
      </c>
      <c r="X138">
        <v>0.99907109999999899</v>
      </c>
      <c r="Y138">
        <v>6.4341679999999998E-2</v>
      </c>
      <c r="Z138">
        <v>8.8365109999999998E-4</v>
      </c>
      <c r="AA138">
        <v>0.99792749999999997</v>
      </c>
      <c r="AB138">
        <v>28</v>
      </c>
      <c r="AC138">
        <v>3.012543</v>
      </c>
      <c r="AD138">
        <v>6.8378449999999993E-2</v>
      </c>
      <c r="AE138">
        <v>-0.17373659999999999</v>
      </c>
      <c r="AF138">
        <v>0.19410961760758799</v>
      </c>
      <c r="AG138">
        <v>6.8378449999999993E-2</v>
      </c>
      <c r="AH138">
        <v>3.00974702628156</v>
      </c>
      <c r="AI138">
        <v>88.701218303676598</v>
      </c>
      <c r="AJ138">
        <v>86.309895752543895</v>
      </c>
      <c r="AK138">
        <v>3.0167749863526199</v>
      </c>
    </row>
    <row r="139" spans="1:37" x14ac:dyDescent="0.2">
      <c r="A139" t="str">
        <f>"20200111160057169"</f>
        <v>20200111160057169</v>
      </c>
      <c r="B139" t="str">
        <f>"1578729657159521"</f>
        <v>1578729657159521</v>
      </c>
      <c r="C139" t="s">
        <v>37</v>
      </c>
      <c r="D139">
        <v>4.8899919999999897</v>
      </c>
      <c r="E139">
        <v>0.52431799999999995</v>
      </c>
      <c r="F139" t="s">
        <v>39</v>
      </c>
      <c r="G139">
        <v>-423.46940000000001</v>
      </c>
      <c r="H139">
        <v>-0.05</v>
      </c>
      <c r="I139">
        <v>367.00779999999997</v>
      </c>
      <c r="J139">
        <v>-457.37880000000001</v>
      </c>
      <c r="K139">
        <v>1.103267</v>
      </c>
      <c r="L139">
        <v>367.50360000000001</v>
      </c>
      <c r="M139">
        <v>0.99997060000000004</v>
      </c>
      <c r="N139">
        <v>0</v>
      </c>
      <c r="O139">
        <v>7.1936709999999996E-3</v>
      </c>
      <c r="P139">
        <v>0.99872479999999997</v>
      </c>
      <c r="Q139">
        <v>-6.8074819999999897E-3</v>
      </c>
      <c r="R139">
        <v>5.002641E-2</v>
      </c>
      <c r="S139">
        <v>3.0051570000000001</v>
      </c>
      <c r="T139">
        <v>-0.1013983</v>
      </c>
      <c r="U139">
        <v>-4.3395999999999997E-2</v>
      </c>
      <c r="V139">
        <v>-4.2837319999999998E-2</v>
      </c>
      <c r="W139">
        <v>-4.1489659999999996E-3</v>
      </c>
      <c r="X139">
        <v>0.9990734</v>
      </c>
      <c r="Y139">
        <v>2.1615180000000001E-2</v>
      </c>
      <c r="Z139">
        <v>-6.0718670000000003E-4</v>
      </c>
      <c r="AA139">
        <v>0.99976620000000005</v>
      </c>
      <c r="AB139">
        <v>29</v>
      </c>
      <c r="AC139">
        <v>33.909399999999998</v>
      </c>
      <c r="AD139">
        <v>-1.153267</v>
      </c>
      <c r="AE139">
        <v>-0.49580000000003099</v>
      </c>
      <c r="AF139">
        <v>0.73886663651892304</v>
      </c>
      <c r="AG139">
        <v>-1.153267</v>
      </c>
      <c r="AH139">
        <v>33.865791881509899</v>
      </c>
      <c r="AI139">
        <v>91.949935328736004</v>
      </c>
      <c r="AJ139">
        <v>88.750148086462403</v>
      </c>
      <c r="AK139">
        <v>33.893477373110997</v>
      </c>
    </row>
    <row r="140" spans="1:37" x14ac:dyDescent="0.2">
      <c r="A140" t="str">
        <f>"20200111160057188"</f>
        <v>20200111160057188</v>
      </c>
      <c r="B140" t="str">
        <f>"1578729657179042"</f>
        <v>1578729657179042</v>
      </c>
      <c r="C140" t="s">
        <v>37</v>
      </c>
      <c r="D140">
        <v>4.8769269999999896</v>
      </c>
      <c r="E140">
        <v>0.52369169999999998</v>
      </c>
      <c r="F140" t="s">
        <v>39</v>
      </c>
      <c r="G140">
        <v>-418.44099999999997</v>
      </c>
      <c r="H140">
        <v>-0.05</v>
      </c>
      <c r="I140">
        <v>366.98160000000001</v>
      </c>
      <c r="J140">
        <v>-457.11090000000002</v>
      </c>
      <c r="K140">
        <v>1.1032919999999999</v>
      </c>
      <c r="L140">
        <v>367.5059</v>
      </c>
      <c r="M140">
        <v>0.99996749999999901</v>
      </c>
      <c r="N140">
        <v>0</v>
      </c>
      <c r="O140">
        <v>7.5912139999999998E-3</v>
      </c>
      <c r="P140">
        <v>0.99867700000000004</v>
      </c>
      <c r="Q140">
        <v>-6.8482329999999996E-3</v>
      </c>
      <c r="R140">
        <v>5.0967819999999997E-2</v>
      </c>
      <c r="S140">
        <v>3.00528</v>
      </c>
      <c r="T140">
        <v>-8.9010829999999999E-2</v>
      </c>
      <c r="U140">
        <v>-4.0283199999999998E-2</v>
      </c>
      <c r="V140">
        <v>-4.3382320000000002E-2</v>
      </c>
      <c r="W140">
        <v>-4.097028E-3</v>
      </c>
      <c r="X140">
        <v>0.99905010000000005</v>
      </c>
      <c r="Y140">
        <v>2.098059E-2</v>
      </c>
      <c r="Z140">
        <v>-5.3540160000000001E-4</v>
      </c>
      <c r="AA140">
        <v>0.9997798</v>
      </c>
      <c r="AB140">
        <v>29</v>
      </c>
      <c r="AC140">
        <v>38.669899999999998</v>
      </c>
      <c r="AD140">
        <v>-1.153292</v>
      </c>
      <c r="AE140">
        <v>-0.524299999999982</v>
      </c>
      <c r="AF140">
        <v>0.81711079733820302</v>
      </c>
      <c r="AG140">
        <v>-1.153292</v>
      </c>
      <c r="AH140">
        <v>38.630451277841999</v>
      </c>
      <c r="AI140">
        <v>91.709645545238104</v>
      </c>
      <c r="AJ140">
        <v>88.788261117075294</v>
      </c>
      <c r="AK140">
        <v>38.656299854255501</v>
      </c>
    </row>
    <row r="141" spans="1:37" x14ac:dyDescent="0.2">
      <c r="A141" t="str">
        <f>"20200111160057212"</f>
        <v>20200111160057212</v>
      </c>
      <c r="B141" t="str">
        <f>"1578729657209298"</f>
        <v>1578729657209298</v>
      </c>
      <c r="C141" t="s">
        <v>37</v>
      </c>
      <c r="D141">
        <v>4.9934190000000003</v>
      </c>
      <c r="E141">
        <v>0.52435710000000002</v>
      </c>
      <c r="F141" t="s">
        <v>39</v>
      </c>
      <c r="G141">
        <v>-418.52640000000002</v>
      </c>
      <c r="H141">
        <v>-0.05</v>
      </c>
      <c r="I141">
        <v>367.08659999999998</v>
      </c>
      <c r="J141">
        <v>-456.8202</v>
      </c>
      <c r="K141">
        <v>1.103313</v>
      </c>
      <c r="L141">
        <v>367.50850000000003</v>
      </c>
      <c r="M141">
        <v>0.99996379999999996</v>
      </c>
      <c r="N141">
        <v>0</v>
      </c>
      <c r="O141">
        <v>8.0096890000000004E-3</v>
      </c>
      <c r="P141">
        <v>0.99862299999999904</v>
      </c>
      <c r="Q141">
        <v>-9.4157489999999993E-3</v>
      </c>
      <c r="R141">
        <v>5.1612669999999999E-2</v>
      </c>
      <c r="S141">
        <v>3.0050349999999999</v>
      </c>
      <c r="T141">
        <v>-8.9820620000000004E-2</v>
      </c>
      <c r="U141">
        <v>-3.2653809999999998E-2</v>
      </c>
      <c r="V141">
        <v>-4.3607559999999997E-2</v>
      </c>
      <c r="W141">
        <v>-6.5521210000000002E-3</v>
      </c>
      <c r="X141">
        <v>0.99902729999999995</v>
      </c>
      <c r="Y141">
        <v>1.886262E-2</v>
      </c>
      <c r="Z141">
        <v>-5.2118209999999995E-4</v>
      </c>
      <c r="AA141">
        <v>0.99982199999999999</v>
      </c>
      <c r="AB141">
        <v>29</v>
      </c>
      <c r="AC141">
        <v>38.293799999999898</v>
      </c>
      <c r="AD141">
        <v>-1.15331299999999</v>
      </c>
      <c r="AE141">
        <v>-0.42190000000005001</v>
      </c>
      <c r="AF141">
        <v>0.72794894362264695</v>
      </c>
      <c r="AG141">
        <v>-1.15331299999999</v>
      </c>
      <c r="AH141">
        <v>38.254497269735197</v>
      </c>
      <c r="AI141">
        <v>91.726542300751106</v>
      </c>
      <c r="AJ141">
        <v>88.909844019920996</v>
      </c>
      <c r="AK141">
        <v>38.278800946485603</v>
      </c>
    </row>
    <row r="142" spans="1:37" x14ac:dyDescent="0.2">
      <c r="A142" t="str">
        <f>"20200111160057278"</f>
        <v>20200111160057278</v>
      </c>
      <c r="B142" t="str">
        <f>"1578729657268834"</f>
        <v>1578729657268834</v>
      </c>
      <c r="C142" t="s">
        <v>37</v>
      </c>
      <c r="D142">
        <v>4.9369360000000002</v>
      </c>
      <c r="E142">
        <v>0.53034190000000003</v>
      </c>
      <c r="F142" t="s">
        <v>39</v>
      </c>
      <c r="G142">
        <v>-421.29050000000001</v>
      </c>
      <c r="H142">
        <v>-0.05</v>
      </c>
      <c r="I142">
        <v>367.08600000000001</v>
      </c>
      <c r="J142">
        <v>-455.93619999999999</v>
      </c>
      <c r="K142">
        <v>1.103359</v>
      </c>
      <c r="L142">
        <v>367.51710000000003</v>
      </c>
      <c r="M142">
        <v>0.99995279999999998</v>
      </c>
      <c r="N142">
        <v>0</v>
      </c>
      <c r="O142">
        <v>9.1006190000000008E-3</v>
      </c>
      <c r="P142">
        <v>0.9981409</v>
      </c>
      <c r="Q142">
        <v>-8.4524140000000001E-3</v>
      </c>
      <c r="R142">
        <v>6.0361049999999999E-2</v>
      </c>
      <c r="S142">
        <v>3.0050349999999999</v>
      </c>
      <c r="T142">
        <v>-9.7545030000000005E-2</v>
      </c>
      <c r="U142">
        <v>-3.5736080000000003E-2</v>
      </c>
      <c r="V142">
        <v>-5.1271480000000001E-2</v>
      </c>
      <c r="W142">
        <v>-5.0558369999999997E-3</v>
      </c>
      <c r="X142">
        <v>0.99867189999999995</v>
      </c>
      <c r="Y142">
        <v>2.0974929999999999E-2</v>
      </c>
      <c r="Z142">
        <v>-6.356523E-4</v>
      </c>
      <c r="AA142">
        <v>0.9997798</v>
      </c>
      <c r="AB142">
        <v>29</v>
      </c>
      <c r="AC142">
        <v>34.645699999999898</v>
      </c>
      <c r="AD142">
        <v>-1.153359</v>
      </c>
      <c r="AE142">
        <v>-0.43110000000001403</v>
      </c>
      <c r="AF142">
        <v>0.74555516850238002</v>
      </c>
      <c r="AG142">
        <v>-1.153359</v>
      </c>
      <c r="AH142">
        <v>34.602000876341201</v>
      </c>
      <c r="AI142">
        <v>91.908641900450604</v>
      </c>
      <c r="AJ142">
        <v>88.765662252252</v>
      </c>
      <c r="AK142">
        <v>34.629244203974203</v>
      </c>
    </row>
    <row r="143" spans="1:37" x14ac:dyDescent="0.2">
      <c r="A143" t="str">
        <f>"20200111160057300"</f>
        <v>20200111160057300</v>
      </c>
      <c r="B143" t="str">
        <f>"1578729657289330"</f>
        <v>1578729657289330</v>
      </c>
      <c r="C143" t="s">
        <v>37</v>
      </c>
      <c r="D143">
        <v>5.0006129999999898</v>
      </c>
      <c r="E143">
        <v>0.53043339999999894</v>
      </c>
      <c r="F143" t="s">
        <v>38</v>
      </c>
      <c r="G143">
        <v>-381.77839999999998</v>
      </c>
      <c r="H143" s="1">
        <v>-4.1425679999999999E-6</v>
      </c>
      <c r="I143">
        <v>366.04660000000001</v>
      </c>
      <c r="J143">
        <v>-455.65559999999999</v>
      </c>
      <c r="K143">
        <v>1.10338799999999</v>
      </c>
      <c r="L143">
        <v>367.52</v>
      </c>
      <c r="M143">
        <v>0.99994950000000005</v>
      </c>
      <c r="N143">
        <v>0</v>
      </c>
      <c r="O143">
        <v>9.3600269999999999E-3</v>
      </c>
      <c r="P143">
        <v>0.99796989999999997</v>
      </c>
      <c r="Q143">
        <v>-6.1600040000000002E-3</v>
      </c>
      <c r="R143">
        <v>6.3391089999999997E-2</v>
      </c>
      <c r="S143">
        <v>3.0088200000000001</v>
      </c>
      <c r="T143">
        <v>-4.4766899999999998E-2</v>
      </c>
      <c r="U143">
        <v>-5.9661869999999999E-2</v>
      </c>
      <c r="V143">
        <v>-5.4046169999999998E-2</v>
      </c>
      <c r="W143">
        <v>-2.4937789999999998E-3</v>
      </c>
      <c r="X143">
        <v>0.99853530000000001</v>
      </c>
      <c r="Y143">
        <v>2.9178220000000001E-2</v>
      </c>
      <c r="Z143">
        <v>-3.5627659999999998E-4</v>
      </c>
      <c r="AA143">
        <v>0.99957419999999997</v>
      </c>
      <c r="AB143">
        <v>29</v>
      </c>
      <c r="AC143">
        <v>73.877200000000002</v>
      </c>
      <c r="AD143">
        <v>-1.10339214256799</v>
      </c>
      <c r="AE143">
        <v>-1.4733999999999601</v>
      </c>
      <c r="AF143">
        <v>2.1643500636042501</v>
      </c>
      <c r="AG143">
        <v>-1.10339214256799</v>
      </c>
      <c r="AH143">
        <v>73.843706853985296</v>
      </c>
      <c r="AI143">
        <v>90.855697522282099</v>
      </c>
      <c r="AJ143">
        <v>88.321148313145699</v>
      </c>
      <c r="AK143">
        <v>73.883658053424895</v>
      </c>
    </row>
    <row r="144" spans="1:37" x14ac:dyDescent="0.2">
      <c r="A144" t="str">
        <f>"20200111160057323"</f>
        <v>20200111160057323</v>
      </c>
      <c r="B144" t="str">
        <f>"1578729657319585"</f>
        <v>1578729657319585</v>
      </c>
      <c r="C144" t="s">
        <v>37</v>
      </c>
      <c r="D144">
        <v>5.2490040000000002</v>
      </c>
      <c r="E144">
        <v>0.53259000000000001</v>
      </c>
      <c r="F144" t="s">
        <v>38</v>
      </c>
      <c r="G144">
        <v>-379.14139999999998</v>
      </c>
      <c r="H144" s="1">
        <v>-1.182689E-6</v>
      </c>
      <c r="I144">
        <v>366.21699999999998</v>
      </c>
      <c r="J144">
        <v>-455.34809999999999</v>
      </c>
      <c r="K144">
        <v>1.103397</v>
      </c>
      <c r="L144">
        <v>367.5231</v>
      </c>
      <c r="M144">
        <v>0.99994590000000005</v>
      </c>
      <c r="N144">
        <v>0</v>
      </c>
      <c r="O144">
        <v>9.5788580000000009E-3</v>
      </c>
      <c r="P144">
        <v>0.99774419999999897</v>
      </c>
      <c r="Q144">
        <v>-6.0521480000000002E-3</v>
      </c>
      <c r="R144">
        <v>6.6859740000000001E-2</v>
      </c>
      <c r="S144">
        <v>3.009125</v>
      </c>
      <c r="T144">
        <v>-4.3393729999999998E-2</v>
      </c>
      <c r="U144">
        <v>-5.1239010000000001E-2</v>
      </c>
      <c r="V144">
        <v>-5.7298920000000003E-2</v>
      </c>
      <c r="W144">
        <v>-2.020352E-3</v>
      </c>
      <c r="X144">
        <v>0.99835499999999899</v>
      </c>
      <c r="Y144">
        <v>2.6598420000000001E-2</v>
      </c>
      <c r="Z144">
        <v>-3.2987940000000002E-4</v>
      </c>
      <c r="AA144">
        <v>0.99964609999999998</v>
      </c>
      <c r="AB144">
        <v>30</v>
      </c>
      <c r="AC144">
        <v>76.206699999999998</v>
      </c>
      <c r="AD144">
        <v>-1.103398182689</v>
      </c>
      <c r="AE144">
        <v>-1.30610000000001</v>
      </c>
      <c r="AF144">
        <v>2.03559261636885</v>
      </c>
      <c r="AG144">
        <v>-1.103398182689</v>
      </c>
      <c r="AH144">
        <v>76.174727928439495</v>
      </c>
      <c r="AI144">
        <v>90.829580672523605</v>
      </c>
      <c r="AJ144">
        <v>88.469267712586301</v>
      </c>
      <c r="AK144">
        <v>76.209909459473593</v>
      </c>
    </row>
    <row r="145" spans="1:37" x14ac:dyDescent="0.2">
      <c r="A145" t="str">
        <f>"20200111160057344"</f>
        <v>20200111160057344</v>
      </c>
      <c r="B145" t="str">
        <f>"1578729657339105"</f>
        <v>1578729657339105</v>
      </c>
      <c r="C145" t="s">
        <v>37</v>
      </c>
      <c r="D145">
        <v>4.787725</v>
      </c>
      <c r="E145">
        <v>0.53229079999999995</v>
      </c>
      <c r="F145" t="s">
        <v>38</v>
      </c>
      <c r="G145">
        <v>-351.85129999999998</v>
      </c>
      <c r="H145" s="1">
        <v>-4.2048379999999997E-6</v>
      </c>
      <c r="I145">
        <v>365.51920000000001</v>
      </c>
      <c r="J145">
        <v>-455.05590000000001</v>
      </c>
      <c r="K145">
        <v>1.103416</v>
      </c>
      <c r="L145">
        <v>367.52609999999999</v>
      </c>
      <c r="M145">
        <v>0.99994289999999997</v>
      </c>
      <c r="N145">
        <v>0</v>
      </c>
      <c r="O145">
        <v>9.722128E-3</v>
      </c>
      <c r="P145">
        <v>0.99756529999999999</v>
      </c>
      <c r="Q145">
        <v>-7.1005859999999999E-3</v>
      </c>
      <c r="R145">
        <v>6.9375110000000004E-2</v>
      </c>
      <c r="S145">
        <v>3.0104980000000001</v>
      </c>
      <c r="T145">
        <v>-3.209555E-2</v>
      </c>
      <c r="U145">
        <v>-5.8288569999999998E-2</v>
      </c>
      <c r="V145">
        <v>-5.9672259999999998E-2</v>
      </c>
      <c r="W145">
        <v>-2.6586959999999999E-3</v>
      </c>
      <c r="X145">
        <v>0.9982145</v>
      </c>
      <c r="Y145">
        <v>2.9075429999999999E-2</v>
      </c>
      <c r="Z145">
        <v>-2.5860990000000001E-4</v>
      </c>
      <c r="AA145">
        <v>0.99957719999999906</v>
      </c>
      <c r="AB145">
        <v>30</v>
      </c>
      <c r="AC145">
        <v>103.2046</v>
      </c>
      <c r="AD145">
        <v>-1.103420204838</v>
      </c>
      <c r="AE145">
        <v>-2.0068999999999702</v>
      </c>
      <c r="AF145">
        <v>3.00983942886266</v>
      </c>
      <c r="AG145">
        <v>-1.103420204838</v>
      </c>
      <c r="AH145">
        <v>103.168422108673</v>
      </c>
      <c r="AI145">
        <v>90.6125132539578</v>
      </c>
      <c r="AJ145">
        <v>88.328924762544702</v>
      </c>
      <c r="AK145">
        <v>103.21821539791</v>
      </c>
    </row>
    <row r="146" spans="1:37" x14ac:dyDescent="0.2">
      <c r="A146" t="str">
        <f>"20200111160057368"</f>
        <v>20200111160057368</v>
      </c>
      <c r="B146" t="str">
        <f>"1578729657359603"</f>
        <v>1578729657359603</v>
      </c>
      <c r="C146" t="s">
        <v>37</v>
      </c>
      <c r="D146">
        <v>5.0181250000000004</v>
      </c>
      <c r="E146">
        <v>0.53248700000000004</v>
      </c>
      <c r="F146" t="s">
        <v>38</v>
      </c>
      <c r="G146">
        <v>-380.82299999999998</v>
      </c>
      <c r="H146" s="1">
        <v>-4.5009009999999998E-6</v>
      </c>
      <c r="I146">
        <v>366.33699999999999</v>
      </c>
      <c r="J146">
        <v>-454.74639999999999</v>
      </c>
      <c r="K146">
        <v>1.103445</v>
      </c>
      <c r="L146">
        <v>367.5292</v>
      </c>
      <c r="M146">
        <v>0.99993960000000004</v>
      </c>
      <c r="N146">
        <v>0</v>
      </c>
      <c r="O146">
        <v>9.8163829999999997E-3</v>
      </c>
      <c r="P146">
        <v>0.99742050000000004</v>
      </c>
      <c r="Q146">
        <v>-8.4248350000000003E-3</v>
      </c>
      <c r="R146">
        <v>7.1284520000000004E-2</v>
      </c>
      <c r="S146">
        <v>3.0103759999999999</v>
      </c>
      <c r="T146">
        <v>-4.474711E-2</v>
      </c>
      <c r="U146">
        <v>-4.821777E-2</v>
      </c>
      <c r="V146">
        <v>-6.1489330000000002E-2</v>
      </c>
      <c r="W146">
        <v>-3.4971970000000001E-3</v>
      </c>
      <c r="X146">
        <v>0.99810159999999903</v>
      </c>
      <c r="Y146">
        <v>2.582568E-2</v>
      </c>
      <c r="Z146">
        <v>-3.3781650000000001E-4</v>
      </c>
      <c r="AA146">
        <v>0.99966639999999996</v>
      </c>
      <c r="AB146">
        <v>30</v>
      </c>
      <c r="AC146">
        <v>73.923399999999901</v>
      </c>
      <c r="AD146">
        <v>-1.1034495009009999</v>
      </c>
      <c r="AE146">
        <v>-1.1922000000000099</v>
      </c>
      <c r="AF146">
        <v>1.91738472149266</v>
      </c>
      <c r="AG146">
        <v>-1.1034495009009999</v>
      </c>
      <c r="AH146">
        <v>73.891675147254006</v>
      </c>
      <c r="AI146">
        <v>90.855265910161705</v>
      </c>
      <c r="AJ146">
        <v>88.5135889110515</v>
      </c>
      <c r="AK146">
        <v>73.924783537312905</v>
      </c>
    </row>
    <row r="147" spans="1:37" x14ac:dyDescent="0.2">
      <c r="A147" t="str">
        <f>"20200111160057391"</f>
        <v>20200111160057391</v>
      </c>
      <c r="B147" t="str">
        <f>"1578729657379121"</f>
        <v>1578729657379121</v>
      </c>
      <c r="C147" t="s">
        <v>37</v>
      </c>
      <c r="D147">
        <v>4.963374</v>
      </c>
      <c r="E147">
        <v>0.53230859999999902</v>
      </c>
      <c r="F147" t="s">
        <v>38</v>
      </c>
      <c r="G147">
        <v>-390.88199999999898</v>
      </c>
      <c r="H147" s="1">
        <v>-4.4281250000000001E-6</v>
      </c>
      <c r="I147">
        <v>366.60469999999998</v>
      </c>
      <c r="J147">
        <v>-454.44389999999999</v>
      </c>
      <c r="K147">
        <v>1.1034809999999999</v>
      </c>
      <c r="L147">
        <v>367.53230000000002</v>
      </c>
      <c r="M147">
        <v>0.99993659999999995</v>
      </c>
      <c r="N147">
        <v>0</v>
      </c>
      <c r="O147">
        <v>9.8640419999999999E-3</v>
      </c>
      <c r="P147">
        <v>0.9973379</v>
      </c>
      <c r="Q147">
        <v>-1.058941E-2</v>
      </c>
      <c r="R147">
        <v>7.2148260000000006E-2</v>
      </c>
      <c r="S147">
        <v>3.010437</v>
      </c>
      <c r="T147">
        <v>-5.2014230000000002E-2</v>
      </c>
      <c r="U147">
        <v>-4.3579100000000003E-2</v>
      </c>
      <c r="V147">
        <v>-6.2306500000000001E-2</v>
      </c>
      <c r="W147">
        <v>-5.1518930000000003E-3</v>
      </c>
      <c r="X147">
        <v>0.99804380000000004</v>
      </c>
      <c r="Y147">
        <v>2.433184E-2</v>
      </c>
      <c r="Z147">
        <v>-3.8058809999999999E-4</v>
      </c>
      <c r="AA147">
        <v>0.99970389999999998</v>
      </c>
      <c r="AB147">
        <v>30</v>
      </c>
      <c r="AC147">
        <v>63.561900000000001</v>
      </c>
      <c r="AD147">
        <v>-1.1034854281249999</v>
      </c>
      <c r="AE147">
        <v>-0.92760000000003995</v>
      </c>
      <c r="AF147">
        <v>1.5540730746062501</v>
      </c>
      <c r="AG147">
        <v>-1.1034854281249999</v>
      </c>
      <c r="AH147">
        <v>63.530513695458303</v>
      </c>
      <c r="AI147">
        <v>90.994794388737105</v>
      </c>
      <c r="AJ147">
        <v>88.598719432624307</v>
      </c>
      <c r="AK147">
        <v>63.559098433034102</v>
      </c>
    </row>
    <row r="148" spans="1:37" x14ac:dyDescent="0.2">
      <c r="A148" t="str">
        <f>"20200111160057433"</f>
        <v>20200111160057433</v>
      </c>
      <c r="B148" t="str">
        <f>"1578729657428897"</f>
        <v>1578729657428897</v>
      </c>
      <c r="C148" t="s">
        <v>37</v>
      </c>
      <c r="D148">
        <v>4.9541059999999897</v>
      </c>
      <c r="E148">
        <v>0.53506790000000004</v>
      </c>
      <c r="F148" t="s">
        <v>39</v>
      </c>
      <c r="G148">
        <v>-401.16030000000001</v>
      </c>
      <c r="H148">
        <v>-0.05</v>
      </c>
      <c r="I148">
        <v>366.8322</v>
      </c>
      <c r="J148">
        <v>-453.8707</v>
      </c>
      <c r="K148">
        <v>1.1035839999999999</v>
      </c>
      <c r="L148">
        <v>367.53800000000001</v>
      </c>
      <c r="M148">
        <v>0.9999306</v>
      </c>
      <c r="N148">
        <v>0</v>
      </c>
      <c r="O148">
        <v>9.8774329999999997E-3</v>
      </c>
      <c r="P148">
        <v>0.99733609999999995</v>
      </c>
      <c r="Q148">
        <v>-1.6989669999999998E-2</v>
      </c>
      <c r="R148">
        <v>7.0937539999999993E-2</v>
      </c>
      <c r="S148">
        <v>3.0101619999999998</v>
      </c>
      <c r="T148">
        <v>-6.5163849999999995E-2</v>
      </c>
      <c r="U148">
        <v>-3.9550780000000001E-2</v>
      </c>
      <c r="V148">
        <v>-6.108222E-2</v>
      </c>
      <c r="W148">
        <v>-1.0556589999999999E-2</v>
      </c>
      <c r="X148">
        <v>0.99807690000000004</v>
      </c>
      <c r="Y148">
        <v>2.3006390000000002E-2</v>
      </c>
      <c r="Z148">
        <v>-4.6277800000000001E-4</v>
      </c>
      <c r="AA148">
        <v>0.99973519999999905</v>
      </c>
      <c r="AB148">
        <v>30</v>
      </c>
      <c r="AC148">
        <v>52.7103999999999</v>
      </c>
      <c r="AD148">
        <v>-1.1535839999999999</v>
      </c>
      <c r="AE148">
        <v>-0.70580000000000997</v>
      </c>
      <c r="AF148">
        <v>1.2258327172271399</v>
      </c>
      <c r="AG148">
        <v>-1.1535839999999999</v>
      </c>
      <c r="AH148">
        <v>52.675631505110601</v>
      </c>
      <c r="AI148">
        <v>91.254224161293195</v>
      </c>
      <c r="AJ148">
        <v>88.666890847338607</v>
      </c>
      <c r="AK148">
        <v>52.702519639556897</v>
      </c>
    </row>
    <row r="149" spans="1:37" x14ac:dyDescent="0.2">
      <c r="A149" t="str">
        <f>"20200111160057478"</f>
        <v>20200111160057478</v>
      </c>
      <c r="B149" t="str">
        <f>"1578729657468913"</f>
        <v>1578729657468913</v>
      </c>
      <c r="C149" t="s">
        <v>37</v>
      </c>
      <c r="D149">
        <v>4.9625890000000004</v>
      </c>
      <c r="E149">
        <v>0.53899980000000003</v>
      </c>
      <c r="F149" t="s">
        <v>39</v>
      </c>
      <c r="G149">
        <v>-418.28250000000003</v>
      </c>
      <c r="H149">
        <v>-0.05</v>
      </c>
      <c r="I149">
        <v>366.77859999999998</v>
      </c>
      <c r="J149">
        <v>-453.27120000000002</v>
      </c>
      <c r="K149">
        <v>1.103701</v>
      </c>
      <c r="L149">
        <v>367.54379999999998</v>
      </c>
      <c r="M149">
        <v>0.99992380000000003</v>
      </c>
      <c r="N149">
        <v>0</v>
      </c>
      <c r="O149">
        <v>9.8545909999999994E-3</v>
      </c>
      <c r="P149">
        <v>0.99759189999999998</v>
      </c>
      <c r="Q149">
        <v>-2.0732839999999999E-2</v>
      </c>
      <c r="R149">
        <v>6.6186990000000001E-2</v>
      </c>
      <c r="S149">
        <v>3.01086399999999</v>
      </c>
      <c r="T149">
        <v>-9.7596649999999993E-2</v>
      </c>
      <c r="U149">
        <v>-6.4239500000000005E-2</v>
      </c>
      <c r="V149">
        <v>-5.6352869999999999E-2</v>
      </c>
      <c r="W149">
        <v>-1.329493E-2</v>
      </c>
      <c r="X149">
        <v>0.99832240000000005</v>
      </c>
      <c r="Y149">
        <v>3.1161109999999999E-2</v>
      </c>
      <c r="Z149">
        <v>-8.2417899999999997E-4</v>
      </c>
      <c r="AA149">
        <v>0.99951399999999901</v>
      </c>
      <c r="AB149">
        <v>30</v>
      </c>
      <c r="AC149">
        <v>34.988699999999902</v>
      </c>
      <c r="AD149">
        <v>-1.1537010000000001</v>
      </c>
      <c r="AE149">
        <v>-0.765199999999992</v>
      </c>
      <c r="AF149">
        <v>1.10876676606441</v>
      </c>
      <c r="AG149">
        <v>-1.1537010000000001</v>
      </c>
      <c r="AH149">
        <v>34.941487892304899</v>
      </c>
      <c r="AI149">
        <v>91.890159168745299</v>
      </c>
      <c r="AJ149">
        <v>88.1824944983412</v>
      </c>
      <c r="AK149">
        <v>34.978106950877503</v>
      </c>
    </row>
    <row r="150" spans="1:37" x14ac:dyDescent="0.2">
      <c r="A150" t="str">
        <f>"20200111160057501"</f>
        <v>20200111160057501</v>
      </c>
      <c r="B150" t="str">
        <f>"1578729657499170"</f>
        <v>1578729657499170</v>
      </c>
      <c r="C150" t="s">
        <v>37</v>
      </c>
      <c r="D150">
        <v>4.9465529999999998</v>
      </c>
      <c r="E150">
        <v>0.54042939999999995</v>
      </c>
      <c r="F150" t="s">
        <v>39</v>
      </c>
      <c r="G150">
        <v>-425.49799999999999</v>
      </c>
      <c r="H150">
        <v>-0.05</v>
      </c>
      <c r="I150">
        <v>366.53750000000002</v>
      </c>
      <c r="J150">
        <v>-452.96499999999997</v>
      </c>
      <c r="K150">
        <v>1.103737</v>
      </c>
      <c r="L150">
        <v>367.54680000000002</v>
      </c>
      <c r="M150">
        <v>0.99992019999999904</v>
      </c>
      <c r="N150">
        <v>0</v>
      </c>
      <c r="O150">
        <v>9.8466860000000003E-3</v>
      </c>
      <c r="P150">
        <v>0.99762739999999905</v>
      </c>
      <c r="Q150">
        <v>-2.4179869999999999E-2</v>
      </c>
      <c r="R150">
        <v>6.4460909999999996E-2</v>
      </c>
      <c r="S150">
        <v>3.0119319999999998</v>
      </c>
      <c r="T150">
        <v>-0.125115899999999</v>
      </c>
      <c r="U150">
        <v>-0.1091309</v>
      </c>
      <c r="V150">
        <v>-5.463428E-2</v>
      </c>
      <c r="W150">
        <v>-1.6264689999999998E-2</v>
      </c>
      <c r="X150">
        <v>0.99837399999999998</v>
      </c>
      <c r="Y150">
        <v>4.5999749999999999E-2</v>
      </c>
      <c r="Z150">
        <v>-1.3634400000000001E-3</v>
      </c>
      <c r="AA150">
        <v>0.99894050000000001</v>
      </c>
      <c r="AB150">
        <v>30</v>
      </c>
      <c r="AC150">
        <v>27.466999999999899</v>
      </c>
      <c r="AD150">
        <v>-1.153737</v>
      </c>
      <c r="AE150">
        <v>-1.0092999999999901</v>
      </c>
      <c r="AF150">
        <v>1.2774675672825599</v>
      </c>
      <c r="AG150">
        <v>-1.153737</v>
      </c>
      <c r="AH150">
        <v>27.4074379267879</v>
      </c>
      <c r="AI150">
        <v>92.407875294640505</v>
      </c>
      <c r="AJ150">
        <v>87.331360757654593</v>
      </c>
      <c r="AK150">
        <v>27.461439987032001</v>
      </c>
    </row>
    <row r="151" spans="1:37" x14ac:dyDescent="0.2">
      <c r="A151" t="str">
        <f>"20200111160057524"</f>
        <v>20200111160057524</v>
      </c>
      <c r="B151" t="str">
        <f>"1578729657519665"</f>
        <v>1578729657519665</v>
      </c>
      <c r="C151" t="s">
        <v>37</v>
      </c>
      <c r="D151">
        <v>4.9231360000000004</v>
      </c>
      <c r="E151">
        <v>0.54124749999999999</v>
      </c>
      <c r="F151" t="s">
        <v>39</v>
      </c>
      <c r="G151">
        <v>-430.45870000000002</v>
      </c>
      <c r="H151">
        <v>-0.05</v>
      </c>
      <c r="I151">
        <v>366.61219999999997</v>
      </c>
      <c r="J151">
        <v>-452.6601</v>
      </c>
      <c r="K151">
        <v>1.103766</v>
      </c>
      <c r="L151">
        <v>367.54989999999998</v>
      </c>
      <c r="M151">
        <v>0.99991669999999999</v>
      </c>
      <c r="N151">
        <v>0</v>
      </c>
      <c r="O151">
        <v>9.8436819999999994E-3</v>
      </c>
      <c r="P151">
        <v>0.9976313</v>
      </c>
      <c r="Q151">
        <v>-2.5490269999999999E-2</v>
      </c>
      <c r="R151">
        <v>6.3893270000000002E-2</v>
      </c>
      <c r="S151">
        <v>3.0114749999999999</v>
      </c>
      <c r="T151">
        <v>-0.15437690000000001</v>
      </c>
      <c r="U151">
        <v>-0.12506099999999901</v>
      </c>
      <c r="V151">
        <v>-5.4069819999999998E-2</v>
      </c>
      <c r="W151">
        <v>-1.714305E-2</v>
      </c>
      <c r="X151">
        <v>0.99839</v>
      </c>
      <c r="Y151">
        <v>5.1245869999999999E-2</v>
      </c>
      <c r="Z151">
        <v>-1.816184E-3</v>
      </c>
      <c r="AA151">
        <v>0.99868440000000003</v>
      </c>
      <c r="AB151">
        <v>30</v>
      </c>
      <c r="AC151">
        <v>22.2013999999999</v>
      </c>
      <c r="AD151">
        <v>-1.1537660000000001</v>
      </c>
      <c r="AE151">
        <v>-0.93770000000000597</v>
      </c>
      <c r="AF151">
        <v>1.15309709024609</v>
      </c>
      <c r="AG151">
        <v>-1.1537660000000001</v>
      </c>
      <c r="AH151">
        <v>22.1314298203276</v>
      </c>
      <c r="AI151">
        <v>92.980233566653197</v>
      </c>
      <c r="AJ151">
        <v>87.017458382159703</v>
      </c>
      <c r="AK151">
        <v>22.191462204514</v>
      </c>
    </row>
    <row r="152" spans="1:37" x14ac:dyDescent="0.2">
      <c r="A152" t="str">
        <f>"20200111160057545"</f>
        <v>20200111160057545</v>
      </c>
      <c r="B152" t="str">
        <f>"1578729657539694"</f>
        <v>1578729657539694</v>
      </c>
      <c r="C152" t="s">
        <v>37</v>
      </c>
      <c r="D152">
        <v>4.7013780000000001</v>
      </c>
      <c r="E152">
        <v>0.65414919999999899</v>
      </c>
      <c r="F152" t="s">
        <v>39</v>
      </c>
      <c r="G152">
        <v>-431.15019999999998</v>
      </c>
      <c r="H152">
        <v>-0.05</v>
      </c>
      <c r="I152">
        <v>366.596</v>
      </c>
      <c r="J152">
        <v>-452.37349999999998</v>
      </c>
      <c r="K152">
        <v>1.103785</v>
      </c>
      <c r="L152">
        <v>367.55259999999998</v>
      </c>
      <c r="M152">
        <v>0.99991359999999996</v>
      </c>
      <c r="N152">
        <v>0</v>
      </c>
      <c r="O152">
        <v>9.8437750000000008E-3</v>
      </c>
      <c r="P152">
        <v>0.997625599999999</v>
      </c>
      <c r="Q152">
        <v>-2.4334399999999999E-2</v>
      </c>
      <c r="R152">
        <v>6.4429280000000005E-2</v>
      </c>
      <c r="S152">
        <v>3.011536</v>
      </c>
      <c r="T152">
        <v>-0.16153519999999999</v>
      </c>
      <c r="U152">
        <v>-0.13354489999999999</v>
      </c>
      <c r="V152">
        <v>-5.4605790000000001E-2</v>
      </c>
      <c r="W152">
        <v>-1.5628779999999998E-2</v>
      </c>
      <c r="X152">
        <v>0.99838570000000004</v>
      </c>
      <c r="Y152">
        <v>5.4041599999999898E-2</v>
      </c>
      <c r="Z152">
        <v>-1.975026E-3</v>
      </c>
      <c r="AA152">
        <v>0.99853670000000005</v>
      </c>
      <c r="AB152">
        <v>30</v>
      </c>
      <c r="AC152">
        <v>21.223299999999899</v>
      </c>
      <c r="AD152">
        <v>-1.1537850000000001</v>
      </c>
      <c r="AE152">
        <v>-0.95659999999998002</v>
      </c>
      <c r="AF152">
        <v>1.1620515414175501</v>
      </c>
      <c r="AG152">
        <v>-1.1537850000000001</v>
      </c>
      <c r="AH152">
        <v>21.1504722405835</v>
      </c>
      <c r="AI152">
        <v>93.117769484535302</v>
      </c>
      <c r="AJ152">
        <v>86.855210844048699</v>
      </c>
      <c r="AK152">
        <v>21.213770518482299</v>
      </c>
    </row>
    <row r="153" spans="1:37" x14ac:dyDescent="0.2">
      <c r="A153" t="str">
        <f>"20200111160057567"</f>
        <v>20200111160057567</v>
      </c>
      <c r="B153" t="str">
        <f>"1578729657559215"</f>
        <v>1578729657559215</v>
      </c>
      <c r="C153" t="s">
        <v>37</v>
      </c>
      <c r="D153">
        <v>4.9610339999999997</v>
      </c>
      <c r="E153">
        <v>0.55325259999999998</v>
      </c>
      <c r="F153" t="s">
        <v>40</v>
      </c>
      <c r="G153">
        <v>-351.47149999999999</v>
      </c>
      <c r="H153">
        <v>8.1479420000000005</v>
      </c>
      <c r="I153">
        <v>333.24279999999999</v>
      </c>
      <c r="J153">
        <v>-452.06610000000001</v>
      </c>
      <c r="K153">
        <v>1.1038049999999999</v>
      </c>
      <c r="L153">
        <v>367.5557</v>
      </c>
      <c r="M153">
        <v>0.99991070000000004</v>
      </c>
      <c r="N153">
        <v>0</v>
      </c>
      <c r="O153">
        <v>9.8447599999999993E-3</v>
      </c>
      <c r="P153">
        <v>0.99754599999999904</v>
      </c>
      <c r="Q153">
        <v>-2.1784310000000001E-2</v>
      </c>
      <c r="R153">
        <v>6.6541199999999995E-2</v>
      </c>
      <c r="S153">
        <v>3.0800169999999998</v>
      </c>
      <c r="T153">
        <v>0.21502179999999901</v>
      </c>
      <c r="U153">
        <v>-1.047302</v>
      </c>
      <c r="V153">
        <v>-5.6717429999999999E-2</v>
      </c>
      <c r="W153">
        <v>-1.274659E-2</v>
      </c>
      <c r="X153">
        <v>0.99830889999999906</v>
      </c>
      <c r="Y153">
        <v>0.33049149999999999</v>
      </c>
      <c r="Z153">
        <v>1.187612E-2</v>
      </c>
      <c r="AA153">
        <v>0.94373419999999897</v>
      </c>
      <c r="AB153">
        <v>30</v>
      </c>
      <c r="AC153">
        <v>100.5946</v>
      </c>
      <c r="AD153">
        <v>7.0441370000000001</v>
      </c>
      <c r="AE153">
        <v>-34.312899999999999</v>
      </c>
      <c r="AF153">
        <v>35.147225048223603</v>
      </c>
      <c r="AG153">
        <v>7.0441370000000001</v>
      </c>
      <c r="AH153">
        <v>99.813483775591195</v>
      </c>
      <c r="AI153">
        <v>86.191632851567306</v>
      </c>
      <c r="AJ153">
        <v>70.601353991995595</v>
      </c>
      <c r="AK153">
        <v>106.05507455131701</v>
      </c>
    </row>
    <row r="154" spans="1:37" x14ac:dyDescent="0.2">
      <c r="A154" t="str">
        <f>"20200111160057591"</f>
        <v>20200111160057591</v>
      </c>
      <c r="B154" t="str">
        <f>"1578729657579710"</f>
        <v>1578729657579710</v>
      </c>
      <c r="C154" t="s">
        <v>37</v>
      </c>
      <c r="D154">
        <v>5.1218940000000002</v>
      </c>
      <c r="E154">
        <v>0.5553515</v>
      </c>
      <c r="F154" t="s">
        <v>42</v>
      </c>
      <c r="G154">
        <v>-451.33</v>
      </c>
      <c r="H154">
        <v>1.044584</v>
      </c>
      <c r="I154">
        <v>367.50229999999999</v>
      </c>
      <c r="J154">
        <v>-451.76990000000001</v>
      </c>
      <c r="K154">
        <v>1.1038059999999901</v>
      </c>
      <c r="L154">
        <v>367.55860000000001</v>
      </c>
      <c r="M154">
        <v>0.99990809999999997</v>
      </c>
      <c r="N154">
        <v>0</v>
      </c>
      <c r="O154">
        <v>9.8459020000000001E-3</v>
      </c>
      <c r="P154">
        <v>0.99745680000000003</v>
      </c>
      <c r="Q154">
        <v>-1.96370999999999E-2</v>
      </c>
      <c r="R154">
        <v>6.8516690000000005E-2</v>
      </c>
      <c r="S154">
        <v>3.0164789999999999</v>
      </c>
      <c r="T154">
        <v>-0.24307319999999999</v>
      </c>
      <c r="U154">
        <v>-0.2166138</v>
      </c>
      <c r="V154">
        <v>-5.8692109999999999E-2</v>
      </c>
      <c r="W154">
        <v>-1.033544E-2</v>
      </c>
      <c r="X154">
        <v>0.99822259999999996</v>
      </c>
      <c r="Y154">
        <v>8.1149750000000007E-2</v>
      </c>
      <c r="Z154">
        <v>-4.0513240000000002E-3</v>
      </c>
      <c r="AA154">
        <v>0.99669370000000002</v>
      </c>
      <c r="AB154">
        <v>30</v>
      </c>
      <c r="AC154">
        <v>0.439900000000022</v>
      </c>
      <c r="AD154">
        <v>-5.9221999999999803E-2</v>
      </c>
      <c r="AE154">
        <v>-5.63000000000215E-2</v>
      </c>
      <c r="AF154">
        <v>5.9566476548148797E-2</v>
      </c>
      <c r="AG154">
        <v>-5.9221999999999803E-2</v>
      </c>
      <c r="AH154">
        <v>0.43162750744950201</v>
      </c>
      <c r="AI154">
        <v>97.740102068484902</v>
      </c>
      <c r="AJ154">
        <v>82.142564111765495</v>
      </c>
      <c r="AK154">
        <v>0.439724590623984</v>
      </c>
    </row>
    <row r="155" spans="1:37" x14ac:dyDescent="0.2">
      <c r="A155" t="str">
        <f>"20200111160057612"</f>
        <v>20200111160057612</v>
      </c>
      <c r="B155" t="str">
        <f>"1578729657608990"</f>
        <v>1578729657608990</v>
      </c>
      <c r="C155" t="s">
        <v>37</v>
      </c>
      <c r="D155">
        <v>4.9438599999999999</v>
      </c>
      <c r="E155">
        <v>0.55434939999999999</v>
      </c>
      <c r="F155" t="s">
        <v>42</v>
      </c>
      <c r="G155">
        <v>-450.7996</v>
      </c>
      <c r="H155">
        <v>1.0315449999999999</v>
      </c>
      <c r="I155">
        <v>367.48480000000001</v>
      </c>
      <c r="J155">
        <v>-451.4708</v>
      </c>
      <c r="K155">
        <v>1.1038049999999999</v>
      </c>
      <c r="L155">
        <v>367.5616</v>
      </c>
      <c r="M155">
        <v>0.99990610000000002</v>
      </c>
      <c r="N155">
        <v>0</v>
      </c>
      <c r="O155">
        <v>9.8463359999999903E-3</v>
      </c>
      <c r="P155">
        <v>0.99729869999999898</v>
      </c>
      <c r="Q155">
        <v>-2.2243889999999999E-2</v>
      </c>
      <c r="R155">
        <v>7.000402E-2</v>
      </c>
      <c r="S155">
        <v>3.0188899999999999</v>
      </c>
      <c r="T155">
        <v>-0.22503519999999999</v>
      </c>
      <c r="U155">
        <v>-0.2278442</v>
      </c>
      <c r="V155">
        <v>-6.0180709999999998E-2</v>
      </c>
      <c r="W155">
        <v>-1.272388E-2</v>
      </c>
      <c r="X155">
        <v>0.99810639999999995</v>
      </c>
      <c r="Y155">
        <v>8.4812830000000006E-2</v>
      </c>
      <c r="Z155">
        <v>-3.8842379999999999E-3</v>
      </c>
      <c r="AA155">
        <v>0.99638930000000003</v>
      </c>
      <c r="AB155">
        <v>30</v>
      </c>
      <c r="AC155">
        <v>0.67119999999999802</v>
      </c>
      <c r="AD155">
        <v>-7.2259999999999699E-2</v>
      </c>
      <c r="AE155">
        <v>-7.67999999999915E-2</v>
      </c>
      <c r="AF155">
        <v>8.2462035106908804E-2</v>
      </c>
      <c r="AG155">
        <v>-7.2259999999999699E-2</v>
      </c>
      <c r="AH155">
        <v>0.66282817654291704</v>
      </c>
      <c r="AI155">
        <v>96.174455717350099</v>
      </c>
      <c r="AJ155">
        <v>82.908306115458601</v>
      </c>
      <c r="AK155">
        <v>0.67183531200226598</v>
      </c>
    </row>
    <row r="156" spans="1:37" x14ac:dyDescent="0.2">
      <c r="A156" t="str">
        <f>"20200111160057636"</f>
        <v>20200111160057636</v>
      </c>
      <c r="B156" t="str">
        <f>"1578729657629486"</f>
        <v>1578729657629486</v>
      </c>
      <c r="C156" t="s">
        <v>37</v>
      </c>
      <c r="D156">
        <v>4.983962</v>
      </c>
      <c r="E156">
        <v>0.554724199999999</v>
      </c>
      <c r="F156" t="s">
        <v>42</v>
      </c>
      <c r="G156">
        <v>-450.53280000000001</v>
      </c>
      <c r="H156">
        <v>1.0282549999999999</v>
      </c>
      <c r="I156">
        <v>367.49450000000002</v>
      </c>
      <c r="J156">
        <v>-451.17090000000002</v>
      </c>
      <c r="K156">
        <v>1.1038049999999999</v>
      </c>
      <c r="L156">
        <v>367.56459999999998</v>
      </c>
      <c r="M156">
        <v>0.99990429999999997</v>
      </c>
      <c r="N156">
        <v>0</v>
      </c>
      <c r="O156">
        <v>9.846446E-3</v>
      </c>
      <c r="P156">
        <v>0.99723830000000002</v>
      </c>
      <c r="Q156">
        <v>-2.1403419999999999E-2</v>
      </c>
      <c r="R156">
        <v>7.1118680000000004E-2</v>
      </c>
      <c r="S156">
        <v>3.017792</v>
      </c>
      <c r="T156">
        <v>-0.2431886</v>
      </c>
      <c r="U156">
        <v>-0.21490479999999901</v>
      </c>
      <c r="V156">
        <v>-6.1296070000000001E-2</v>
      </c>
      <c r="W156">
        <v>-1.1699889999999999E-2</v>
      </c>
      <c r="X156">
        <v>0.99805100000000002</v>
      </c>
      <c r="Y156">
        <v>8.0559649999999997E-2</v>
      </c>
      <c r="Z156">
        <v>-4.0279080000000002E-3</v>
      </c>
      <c r="AA156">
        <v>0.99674169999999995</v>
      </c>
      <c r="AB156">
        <v>30</v>
      </c>
      <c r="AC156">
        <v>0.63810000000000799</v>
      </c>
      <c r="AD156">
        <v>-7.5550000000000006E-2</v>
      </c>
      <c r="AE156">
        <v>-7.0099999999967993E-2</v>
      </c>
      <c r="AF156">
        <v>7.5336429581077696E-2</v>
      </c>
      <c r="AG156">
        <v>-7.5550000000000006E-2</v>
      </c>
      <c r="AH156">
        <v>0.62867106526636496</v>
      </c>
      <c r="AI156">
        <v>96.804387615263494</v>
      </c>
      <c r="AJ156">
        <v>83.166579391840102</v>
      </c>
      <c r="AK156">
        <v>0.63766032370312298</v>
      </c>
    </row>
    <row r="157" spans="1:37" x14ac:dyDescent="0.2">
      <c r="A157" t="str">
        <f>"20200111160057657"</f>
        <v>20200111160057657</v>
      </c>
      <c r="B157" t="str">
        <f>"1578729657649007"</f>
        <v>1578729657649007</v>
      </c>
      <c r="C157" t="s">
        <v>37</v>
      </c>
      <c r="D157">
        <v>4.8360629999999896</v>
      </c>
      <c r="E157">
        <v>0.57634449999999904</v>
      </c>
      <c r="F157" t="s">
        <v>42</v>
      </c>
      <c r="G157">
        <v>-450.26170000000002</v>
      </c>
      <c r="H157">
        <v>1.0334989999999999</v>
      </c>
      <c r="I157">
        <v>367.49919999999997</v>
      </c>
      <c r="J157">
        <v>-450.86619999999999</v>
      </c>
      <c r="K157">
        <v>1.1038129999999999</v>
      </c>
      <c r="L157">
        <v>367.56760000000003</v>
      </c>
      <c r="M157">
        <v>0.99990290000000004</v>
      </c>
      <c r="N157">
        <v>0</v>
      </c>
      <c r="O157">
        <v>9.8466700000000001E-3</v>
      </c>
      <c r="P157">
        <v>0.99723819999999996</v>
      </c>
      <c r="Q157">
        <v>-1.9588399999999999E-2</v>
      </c>
      <c r="R157">
        <v>7.1640990000000002E-2</v>
      </c>
      <c r="S157">
        <v>3.0186160000000002</v>
      </c>
      <c r="T157">
        <v>-0.23376839999999999</v>
      </c>
      <c r="U157">
        <v>-0.21490479999999901</v>
      </c>
      <c r="V157">
        <v>-6.181801E-2</v>
      </c>
      <c r="W157">
        <v>-9.7271679999999996E-3</v>
      </c>
      <c r="X157">
        <v>0.99803999999999904</v>
      </c>
      <c r="Y157">
        <v>8.0562869999999995E-2</v>
      </c>
      <c r="Z157">
        <v>-3.8714470000000001E-3</v>
      </c>
      <c r="AA157">
        <v>0.99674200000000002</v>
      </c>
      <c r="AB157">
        <v>30</v>
      </c>
      <c r="AC157">
        <v>0.60449999999997295</v>
      </c>
      <c r="AD157">
        <v>-7.0313999999999904E-2</v>
      </c>
      <c r="AE157">
        <v>-6.8400000000053696E-2</v>
      </c>
      <c r="AF157">
        <v>7.3369164541102302E-2</v>
      </c>
      <c r="AG157">
        <v>-7.0313999999999904E-2</v>
      </c>
      <c r="AH157">
        <v>0.59583750023322501</v>
      </c>
      <c r="AI157">
        <v>96.680279469367093</v>
      </c>
      <c r="AJ157">
        <v>82.980152741242094</v>
      </c>
      <c r="AK157">
        <v>0.60444141121008299</v>
      </c>
    </row>
    <row r="158" spans="1:37" x14ac:dyDescent="0.2">
      <c r="A158" t="str">
        <f>"20200111160057681"</f>
        <v>20200111160057681</v>
      </c>
      <c r="B158" t="str">
        <f>"1578729657669503"</f>
        <v>1578729657669503</v>
      </c>
      <c r="C158" t="s">
        <v>37</v>
      </c>
      <c r="D158">
        <v>4.8674429999999997</v>
      </c>
      <c r="E158">
        <v>0.57791719999999902</v>
      </c>
      <c r="F158" t="s">
        <v>44</v>
      </c>
      <c r="G158">
        <v>-279.96460000000002</v>
      </c>
      <c r="H158">
        <v>0.3167818</v>
      </c>
      <c r="I158">
        <v>345.31240000000003</v>
      </c>
      <c r="J158">
        <v>-450.56639999999999</v>
      </c>
      <c r="K158">
        <v>1.1038110000000001</v>
      </c>
      <c r="L158">
        <v>367.57049999999998</v>
      </c>
      <c r="M158">
        <v>0.999901499999999</v>
      </c>
      <c r="N158">
        <v>0</v>
      </c>
      <c r="O158">
        <v>9.8471340000000004E-3</v>
      </c>
      <c r="P158">
        <v>0.99726179999999998</v>
      </c>
      <c r="Q158">
        <v>-1.9793599999999901E-2</v>
      </c>
      <c r="R158">
        <v>7.1253079999999996E-2</v>
      </c>
      <c r="S158">
        <v>3.0364689999999999</v>
      </c>
      <c r="T158">
        <v>-1.3982059999999999E-2</v>
      </c>
      <c r="U158">
        <v>-0.3954163</v>
      </c>
      <c r="V158">
        <v>-6.1429629999999999E-2</v>
      </c>
      <c r="W158">
        <v>-9.8006640000000006E-3</v>
      </c>
      <c r="X158">
        <v>0.99806329999999999</v>
      </c>
      <c r="Y158">
        <v>0.1388895</v>
      </c>
      <c r="Z158">
        <v>-3.6358819999999999E-4</v>
      </c>
      <c r="AA158">
        <v>0.99030779999999996</v>
      </c>
      <c r="AB158">
        <v>30</v>
      </c>
      <c r="AC158">
        <v>170.601799999999</v>
      </c>
      <c r="AD158">
        <v>-0.78702919999999998</v>
      </c>
      <c r="AE158">
        <v>-22.258099999999899</v>
      </c>
      <c r="AF158">
        <v>23.936542641032698</v>
      </c>
      <c r="AG158">
        <v>-0.78702919999999998</v>
      </c>
      <c r="AH158">
        <v>170.37077306335399</v>
      </c>
      <c r="AI158">
        <v>90.262102260963601</v>
      </c>
      <c r="AJ158">
        <v>82.002476057985504</v>
      </c>
      <c r="AK158">
        <v>172.045859592065</v>
      </c>
    </row>
    <row r="159" spans="1:37" x14ac:dyDescent="0.2">
      <c r="A159" t="str">
        <f>"20200111160057727"</f>
        <v>20200111160057727</v>
      </c>
      <c r="B159" t="str">
        <f>"1578729657719278"</f>
        <v>1578729657719278</v>
      </c>
      <c r="C159" t="s">
        <v>37</v>
      </c>
      <c r="D159">
        <v>4.9097179999999998</v>
      </c>
      <c r="E159">
        <v>0.58641699999999997</v>
      </c>
      <c r="F159" t="s">
        <v>44</v>
      </c>
      <c r="G159">
        <v>-279.96460000000002</v>
      </c>
      <c r="H159">
        <v>0.37588100000000002</v>
      </c>
      <c r="I159">
        <v>344.57459999999998</v>
      </c>
      <c r="J159">
        <v>-449.94639999999998</v>
      </c>
      <c r="K159">
        <v>1.1038019999999999</v>
      </c>
      <c r="L159">
        <v>367.57670000000002</v>
      </c>
      <c r="M159">
        <v>0.99989910000000004</v>
      </c>
      <c r="N159">
        <v>0</v>
      </c>
      <c r="O159">
        <v>9.8482309999999903E-3</v>
      </c>
      <c r="P159">
        <v>0.99772859999999997</v>
      </c>
      <c r="Q159">
        <v>-2.2860390000000001E-2</v>
      </c>
      <c r="R159">
        <v>6.3365229999999995E-2</v>
      </c>
      <c r="S159">
        <v>3.037201</v>
      </c>
      <c r="T159">
        <v>-1.295781E-2</v>
      </c>
      <c r="U159">
        <v>-0.40939330000000002</v>
      </c>
      <c r="V159">
        <v>-5.3536390000000003E-2</v>
      </c>
      <c r="W159">
        <v>-1.264906E-2</v>
      </c>
      <c r="X159">
        <v>0.99848579999999998</v>
      </c>
      <c r="Y159">
        <v>0.14333750000000001</v>
      </c>
      <c r="Z159">
        <v>-3.46223E-4</v>
      </c>
      <c r="AA159">
        <v>0.98967380000000005</v>
      </c>
      <c r="AB159">
        <v>30</v>
      </c>
      <c r="AC159">
        <v>169.981799999999</v>
      </c>
      <c r="AD159">
        <v>-0.72792099999999904</v>
      </c>
      <c r="AE159">
        <v>-23.002099999999999</v>
      </c>
      <c r="AF159">
        <v>24.6746477968608</v>
      </c>
      <c r="AG159">
        <v>-0.72792099999999904</v>
      </c>
      <c r="AH159">
        <v>169.74395713076899</v>
      </c>
      <c r="AI159">
        <v>90.243147210307797</v>
      </c>
      <c r="AJ159">
        <v>81.729191851974093</v>
      </c>
      <c r="AK159">
        <v>171.529528348019</v>
      </c>
    </row>
    <row r="160" spans="1:37" x14ac:dyDescent="0.2">
      <c r="A160" t="str">
        <f>"20200111160057749"</f>
        <v>20200111160057749</v>
      </c>
      <c r="B160" t="str">
        <f>"1578729657739242"</f>
        <v>1578729657739242</v>
      </c>
      <c r="C160" t="s">
        <v>37</v>
      </c>
      <c r="D160">
        <v>4.8873249999999997</v>
      </c>
      <c r="E160">
        <v>0.58446849999999995</v>
      </c>
      <c r="F160" t="s">
        <v>44</v>
      </c>
      <c r="G160">
        <v>-335.63909999999998</v>
      </c>
      <c r="H160">
        <v>2.8309759999999899</v>
      </c>
      <c r="I160">
        <v>348.51170000000002</v>
      </c>
      <c r="J160">
        <v>-449.63720000000001</v>
      </c>
      <c r="K160">
        <v>1.1037969999999999</v>
      </c>
      <c r="L160">
        <v>367.5797</v>
      </c>
      <c r="M160">
        <v>0.99989830000000002</v>
      </c>
      <c r="N160">
        <v>0</v>
      </c>
      <c r="O160">
        <v>9.8486240000000003E-3</v>
      </c>
      <c r="P160">
        <v>0.99785299999999999</v>
      </c>
      <c r="Q160">
        <v>-2.6416450000000001E-2</v>
      </c>
      <c r="R160">
        <v>5.992989E-2</v>
      </c>
      <c r="S160">
        <v>3.0400999999999998</v>
      </c>
      <c r="T160">
        <v>4.5937659999999998E-2</v>
      </c>
      <c r="U160">
        <v>-0.50704959999999999</v>
      </c>
      <c r="V160">
        <v>-5.0099829999999998E-2</v>
      </c>
      <c r="W160">
        <v>-1.6119629999999999E-2</v>
      </c>
      <c r="X160">
        <v>0.99861409999999995</v>
      </c>
      <c r="Y160">
        <v>0.1742011</v>
      </c>
      <c r="Z160">
        <v>1.4548639999999999E-3</v>
      </c>
      <c r="AA160">
        <v>0.98470899999999995</v>
      </c>
      <c r="AB160">
        <v>30</v>
      </c>
      <c r="AC160">
        <v>113.99809999999999</v>
      </c>
      <c r="AD160">
        <v>1.72717899999999</v>
      </c>
      <c r="AE160">
        <v>-19.067999999999898</v>
      </c>
      <c r="AF160">
        <v>20.185351817753901</v>
      </c>
      <c r="AG160">
        <v>1.72717899999999</v>
      </c>
      <c r="AH160">
        <v>113.779359740047</v>
      </c>
      <c r="AI160">
        <v>89.143681925439793</v>
      </c>
      <c r="AJ160">
        <v>79.9399491552591</v>
      </c>
      <c r="AK160">
        <v>115.568915709024</v>
      </c>
    </row>
    <row r="161" spans="1:37" x14ac:dyDescent="0.2">
      <c r="A161" t="str">
        <f>"20200111160057771"</f>
        <v>20200111160057771</v>
      </c>
      <c r="B161" t="str">
        <f>"1578729657759737"</f>
        <v>1578729657759737</v>
      </c>
      <c r="C161" t="s">
        <v>37</v>
      </c>
      <c r="D161">
        <v>5.000299</v>
      </c>
      <c r="E161">
        <v>0.58398300000000003</v>
      </c>
      <c r="F161" t="s">
        <v>44</v>
      </c>
      <c r="G161">
        <v>-334.37569999999999</v>
      </c>
      <c r="H161">
        <v>2.6161919999999999</v>
      </c>
      <c r="I161">
        <v>348.51170000000002</v>
      </c>
      <c r="J161">
        <v>-449.35109999999997</v>
      </c>
      <c r="K161">
        <v>1.1037859999999999</v>
      </c>
      <c r="L161">
        <v>367.58249999999998</v>
      </c>
      <c r="M161">
        <v>0.999897699999999</v>
      </c>
      <c r="N161">
        <v>0</v>
      </c>
      <c r="O161">
        <v>9.8489089999999994E-3</v>
      </c>
      <c r="P161">
        <v>0.99790689999999904</v>
      </c>
      <c r="Q161">
        <v>-2.9109039999999999E-2</v>
      </c>
      <c r="R161">
        <v>5.7746020000000002E-2</v>
      </c>
      <c r="S161">
        <v>3.0376889999999999</v>
      </c>
      <c r="T161">
        <v>3.9860840000000002E-2</v>
      </c>
      <c r="U161">
        <v>-0.50253300000000001</v>
      </c>
      <c r="V161">
        <v>-4.7914739999999997E-2</v>
      </c>
      <c r="W161">
        <v>-1.8741560000000001E-2</v>
      </c>
      <c r="X161">
        <v>0.998675599999999</v>
      </c>
      <c r="Y161">
        <v>0.17290839999999999</v>
      </c>
      <c r="Z161">
        <v>1.2551470000000001E-3</v>
      </c>
      <c r="AA161">
        <v>0.98493709999999901</v>
      </c>
      <c r="AB161">
        <v>30</v>
      </c>
      <c r="AC161">
        <v>114.975399999999</v>
      </c>
      <c r="AD161">
        <v>1.5124059999999899</v>
      </c>
      <c r="AE161">
        <v>-19.070799999999899</v>
      </c>
      <c r="AF161">
        <v>20.198916626875601</v>
      </c>
      <c r="AG161">
        <v>1.5124059999999899</v>
      </c>
      <c r="AH161">
        <v>114.762660288082</v>
      </c>
      <c r="AI161">
        <v>89.256396697559694</v>
      </c>
      <c r="AJ161">
        <v>80.017837344128296</v>
      </c>
      <c r="AK161">
        <v>116.536482704799</v>
      </c>
    </row>
    <row r="162" spans="1:37" x14ac:dyDescent="0.2">
      <c r="A162" t="str">
        <f>"20200111160057792"</f>
        <v>20200111160057792</v>
      </c>
      <c r="B162" t="str">
        <f>"1578729657789017"</f>
        <v>1578729657789017</v>
      </c>
      <c r="C162" t="s">
        <v>37</v>
      </c>
      <c r="D162">
        <v>5.1524159999999997</v>
      </c>
      <c r="E162">
        <v>0.63838329999999999</v>
      </c>
      <c r="F162" t="s">
        <v>44</v>
      </c>
      <c r="G162">
        <v>-334.73970000000003</v>
      </c>
      <c r="H162">
        <v>2.4826349999999899</v>
      </c>
      <c r="I162">
        <v>348.51170000000002</v>
      </c>
      <c r="J162">
        <v>-449.05509999999998</v>
      </c>
      <c r="K162">
        <v>1.103785</v>
      </c>
      <c r="L162">
        <v>367.58539999999999</v>
      </c>
      <c r="M162">
        <v>0.99989689999999998</v>
      </c>
      <c r="N162">
        <v>0</v>
      </c>
      <c r="O162">
        <v>9.8493850000000004E-3</v>
      </c>
      <c r="P162">
        <v>0.99789989999999995</v>
      </c>
      <c r="Q162">
        <v>-3.103883E-2</v>
      </c>
      <c r="R162">
        <v>5.685627E-2</v>
      </c>
      <c r="S162">
        <v>3.0366209999999998</v>
      </c>
      <c r="T162">
        <v>3.6534549999999999E-2</v>
      </c>
      <c r="U162">
        <v>-0.50527949999999999</v>
      </c>
      <c r="V162">
        <v>-4.7024860000000002E-2</v>
      </c>
      <c r="W162">
        <v>-2.0604040000000001E-2</v>
      </c>
      <c r="X162">
        <v>0.99868119999999905</v>
      </c>
      <c r="Y162">
        <v>0.17383399999999999</v>
      </c>
      <c r="Z162">
        <v>1.156266E-3</v>
      </c>
      <c r="AA162">
        <v>0.98477429999999999</v>
      </c>
      <c r="AB162">
        <v>30</v>
      </c>
      <c r="AC162">
        <v>114.315399999999</v>
      </c>
      <c r="AD162">
        <v>1.3788499999999899</v>
      </c>
      <c r="AE162">
        <v>-19.073699999999899</v>
      </c>
      <c r="AF162">
        <v>20.1959138964583</v>
      </c>
      <c r="AG162">
        <v>1.3788499999999899</v>
      </c>
      <c r="AH162">
        <v>114.10582861219601</v>
      </c>
      <c r="AI162">
        <v>89.318268674102598</v>
      </c>
      <c r="AJ162">
        <v>79.963004056900402</v>
      </c>
      <c r="AK162">
        <v>115.88751567236</v>
      </c>
    </row>
    <row r="163" spans="1:37" x14ac:dyDescent="0.2">
      <c r="A163" t="str">
        <f>"20200111160057814"</f>
        <v>20200111160057814</v>
      </c>
      <c r="B163" t="str">
        <f>"1578729657809514"</f>
        <v>1578729657809514</v>
      </c>
      <c r="C163" t="s">
        <v>37</v>
      </c>
      <c r="D163">
        <v>9.3442469999999993</v>
      </c>
      <c r="E163">
        <v>0.63655319999999904</v>
      </c>
      <c r="F163" t="s">
        <v>45</v>
      </c>
      <c r="G163">
        <v>-368.85019999999997</v>
      </c>
      <c r="H163">
        <v>9.7853569999999994</v>
      </c>
      <c r="I163">
        <v>342.48039999999997</v>
      </c>
      <c r="J163">
        <v>-448.76549999999997</v>
      </c>
      <c r="K163">
        <v>1.103782</v>
      </c>
      <c r="L163">
        <v>367.58819999999997</v>
      </c>
      <c r="M163">
        <v>0.99989649999999997</v>
      </c>
      <c r="N163">
        <v>0</v>
      </c>
      <c r="O163">
        <v>9.8496E-3</v>
      </c>
      <c r="P163">
        <v>0.99786059999999999</v>
      </c>
      <c r="Q163">
        <v>-3.3569990000000001E-2</v>
      </c>
      <c r="R163">
        <v>5.6105009999999997E-2</v>
      </c>
      <c r="S163">
        <v>3.0714419999999998</v>
      </c>
      <c r="T163">
        <v>0.33246049999999999</v>
      </c>
      <c r="U163">
        <v>-0.96139529999999995</v>
      </c>
      <c r="V163">
        <v>-4.6273759999999997E-2</v>
      </c>
      <c r="W163">
        <v>-2.3075470000000001E-2</v>
      </c>
      <c r="X163">
        <v>0.99866219999999895</v>
      </c>
      <c r="Y163">
        <v>0.306421</v>
      </c>
      <c r="Z163">
        <v>1.7191310000000001E-2</v>
      </c>
      <c r="AA163">
        <v>0.9517409</v>
      </c>
      <c r="AB163">
        <v>30</v>
      </c>
      <c r="AC163">
        <v>79.915300000000002</v>
      </c>
      <c r="AD163">
        <v>8.6815750000000005</v>
      </c>
      <c r="AE163">
        <v>-25.107800000000001</v>
      </c>
      <c r="AF163">
        <v>25.618583588862901</v>
      </c>
      <c r="AG163">
        <v>8.6815750000000005</v>
      </c>
      <c r="AH163">
        <v>78.8175098098408</v>
      </c>
      <c r="AI163">
        <v>84.019895142809901</v>
      </c>
      <c r="AJ163">
        <v>71.993936348558506</v>
      </c>
      <c r="AK163">
        <v>83.329955131420306</v>
      </c>
    </row>
    <row r="164" spans="1:37" x14ac:dyDescent="0.2">
      <c r="A164" t="str">
        <f>"20200111160057835"</f>
        <v>20200111160057835</v>
      </c>
      <c r="B164" t="str">
        <f>"1578729657829175"</f>
        <v>1578729657829175</v>
      </c>
      <c r="C164" t="s">
        <v>37</v>
      </c>
      <c r="D164">
        <v>4.7281879999999896</v>
      </c>
      <c r="E164">
        <v>0.63767910000000005</v>
      </c>
      <c r="F164" t="s">
        <v>45</v>
      </c>
      <c r="G164">
        <v>-368.68759999999997</v>
      </c>
      <c r="H164">
        <v>10.24901</v>
      </c>
      <c r="I164">
        <v>342.81610000000001</v>
      </c>
      <c r="J164">
        <v>-448.47859999999997</v>
      </c>
      <c r="K164">
        <v>1.1037629999999901</v>
      </c>
      <c r="L164">
        <v>367.59100000000001</v>
      </c>
      <c r="M164">
        <v>0.9998958</v>
      </c>
      <c r="N164">
        <v>0</v>
      </c>
      <c r="O164">
        <v>9.8499669999999994E-3</v>
      </c>
      <c r="P164">
        <v>0.99772079999999996</v>
      </c>
      <c r="Q164">
        <v>-3.9316259999999999E-2</v>
      </c>
      <c r="R164">
        <v>5.4844399999999897E-2</v>
      </c>
      <c r="S164">
        <v>3.0716860000000001</v>
      </c>
      <c r="T164">
        <v>0.35079939999999998</v>
      </c>
      <c r="U164">
        <v>-0.95022580000000001</v>
      </c>
      <c r="V164">
        <v>-4.501467E-2</v>
      </c>
      <c r="W164">
        <v>-2.8769059999999999E-2</v>
      </c>
      <c r="X164">
        <v>0.99857199999999902</v>
      </c>
      <c r="Y164">
        <v>0.30307000000000001</v>
      </c>
      <c r="Z164">
        <v>1.7955769999999999E-2</v>
      </c>
      <c r="AA164">
        <v>0.95279910000000001</v>
      </c>
      <c r="AB164">
        <v>30</v>
      </c>
      <c r="AC164">
        <v>79.790999999999997</v>
      </c>
      <c r="AD164">
        <v>9.1452469999999995</v>
      </c>
      <c r="AE164">
        <v>-24.774899999999999</v>
      </c>
      <c r="AF164">
        <v>25.257063369122399</v>
      </c>
      <c r="AG164">
        <v>9.1452469999999995</v>
      </c>
      <c r="AH164">
        <v>78.601322717118194</v>
      </c>
      <c r="AI164">
        <v>83.679032345398994</v>
      </c>
      <c r="AJ164">
        <v>72.186163800082397</v>
      </c>
      <c r="AK164">
        <v>83.064569616675001</v>
      </c>
    </row>
    <row r="165" spans="1:37" x14ac:dyDescent="0.2">
      <c r="A165" t="str">
        <f>"20200111160057858"</f>
        <v>20200111160057858</v>
      </c>
      <c r="B165" t="str">
        <f>"1578729657849672"</f>
        <v>1578729657849672</v>
      </c>
      <c r="C165" t="s">
        <v>37</v>
      </c>
      <c r="D165">
        <v>8.5489499999999996</v>
      </c>
      <c r="E165">
        <v>0.58693819999999997</v>
      </c>
      <c r="F165" t="s">
        <v>45</v>
      </c>
      <c r="G165">
        <v>-368.60160000000002</v>
      </c>
      <c r="H165">
        <v>9.5294640000000008</v>
      </c>
      <c r="I165">
        <v>342.57749999999999</v>
      </c>
      <c r="J165">
        <v>-448.17079999999999</v>
      </c>
      <c r="K165">
        <v>1.1037600000000001</v>
      </c>
      <c r="L165">
        <v>367.59399999999999</v>
      </c>
      <c r="M165">
        <v>0.99989530000000004</v>
      </c>
      <c r="N165">
        <v>0</v>
      </c>
      <c r="O165">
        <v>9.8503429999999993E-3</v>
      </c>
      <c r="P165">
        <v>0.99774019999999997</v>
      </c>
      <c r="Q165">
        <v>-4.0296569999999997E-2</v>
      </c>
      <c r="R165">
        <v>5.3767589999999997E-2</v>
      </c>
      <c r="S165">
        <v>3.0725099999999999</v>
      </c>
      <c r="T165">
        <v>0.32409879999999902</v>
      </c>
      <c r="U165">
        <v>-0.96215819999999996</v>
      </c>
      <c r="V165">
        <v>-4.3937339999999998E-2</v>
      </c>
      <c r="W165">
        <v>-2.9697390000000001E-2</v>
      </c>
      <c r="X165">
        <v>0.99859279999999995</v>
      </c>
      <c r="Y165">
        <v>0.30662620000000002</v>
      </c>
      <c r="Z165">
        <v>1.676567E-2</v>
      </c>
      <c r="AA165">
        <v>0.95168229999999998</v>
      </c>
      <c r="AB165">
        <v>30</v>
      </c>
      <c r="AC165">
        <v>79.569199999999896</v>
      </c>
      <c r="AD165">
        <v>8.4257039999999996</v>
      </c>
      <c r="AE165">
        <v>-25.016500000000001</v>
      </c>
      <c r="AF165">
        <v>25.538510294880499</v>
      </c>
      <c r="AG165">
        <v>8.4257039999999996</v>
      </c>
      <c r="AH165">
        <v>78.517682569936099</v>
      </c>
      <c r="AI165">
        <v>84.173285987286604</v>
      </c>
      <c r="AJ165">
        <v>71.982465421565394</v>
      </c>
      <c r="AK165">
        <v>82.995388258207299</v>
      </c>
    </row>
    <row r="166" spans="1:37" x14ac:dyDescent="0.2">
      <c r="A166" t="str">
        <f>"20200111160057880"</f>
        <v>20200111160057880</v>
      </c>
      <c r="B166" t="str">
        <f>"1578729657869191"</f>
        <v>1578729657869191</v>
      </c>
      <c r="C166" t="s">
        <v>37</v>
      </c>
      <c r="D166">
        <v>4.7408529999999898</v>
      </c>
      <c r="E166">
        <v>0.63196039999999998</v>
      </c>
      <c r="F166" t="s">
        <v>46</v>
      </c>
      <c r="G166">
        <v>-334.77359999999999</v>
      </c>
      <c r="H166">
        <v>3.289012</v>
      </c>
      <c r="I166">
        <v>347.29719999999998</v>
      </c>
      <c r="J166">
        <v>-447.86180000000002</v>
      </c>
      <c r="K166">
        <v>1.103775</v>
      </c>
      <c r="L166">
        <v>367.59699999999998</v>
      </c>
      <c r="M166">
        <v>0.99989459999999997</v>
      </c>
      <c r="N166">
        <v>0</v>
      </c>
      <c r="O166">
        <v>9.8516479999999993E-3</v>
      </c>
      <c r="P166">
        <v>0.99768289999999904</v>
      </c>
      <c r="Q166">
        <v>-4.108502E-2</v>
      </c>
      <c r="R166">
        <v>5.4229769999999997E-2</v>
      </c>
      <c r="S166">
        <v>3.0384829999999998</v>
      </c>
      <c r="T166">
        <v>5.8555959999999997E-2</v>
      </c>
      <c r="U166">
        <v>-0.54385380000000005</v>
      </c>
      <c r="V166">
        <v>-4.4399170000000002E-2</v>
      </c>
      <c r="W166">
        <v>-3.0440169999999999E-2</v>
      </c>
      <c r="X166">
        <v>0.99855000000000005</v>
      </c>
      <c r="Y166">
        <v>0.18584289999999901</v>
      </c>
      <c r="Z166">
        <v>1.9648439999999999E-3</v>
      </c>
      <c r="AA166">
        <v>0.98257749999999999</v>
      </c>
      <c r="AB166">
        <v>30</v>
      </c>
      <c r="AC166">
        <v>113.0882</v>
      </c>
      <c r="AD166">
        <v>2.1852369999999999</v>
      </c>
      <c r="AE166">
        <v>-20.299800000000001</v>
      </c>
      <c r="AF166">
        <v>21.405240260017599</v>
      </c>
      <c r="AG166">
        <v>2.1852369999999999</v>
      </c>
      <c r="AH166">
        <v>112.84189473251899</v>
      </c>
      <c r="AI166">
        <v>88.910011136265496</v>
      </c>
      <c r="AJ166">
        <v>79.259048678800397</v>
      </c>
      <c r="AK166">
        <v>114.874944083382</v>
      </c>
    </row>
    <row r="167" spans="1:37" x14ac:dyDescent="0.2">
      <c r="A167" t="str">
        <f>"20200111160057903"</f>
        <v>20200111160057903</v>
      </c>
      <c r="B167" t="str">
        <f>"1578729657899449"</f>
        <v>1578729657899449</v>
      </c>
      <c r="C167" t="s">
        <v>37</v>
      </c>
      <c r="D167">
        <v>8.068543</v>
      </c>
      <c r="E167">
        <v>0.63559519999999903</v>
      </c>
      <c r="F167" t="s">
        <v>45</v>
      </c>
      <c r="G167">
        <v>-368.43770000000001</v>
      </c>
      <c r="H167">
        <v>10.7202</v>
      </c>
      <c r="I167">
        <v>343.79070000000002</v>
      </c>
      <c r="J167">
        <v>-447.5598</v>
      </c>
      <c r="K167">
        <v>1.10379</v>
      </c>
      <c r="L167">
        <v>367.6</v>
      </c>
      <c r="M167">
        <v>0.99989419999999996</v>
      </c>
      <c r="N167">
        <v>0</v>
      </c>
      <c r="O167">
        <v>9.8579630000000008E-3</v>
      </c>
      <c r="P167">
        <v>0.99766390000000005</v>
      </c>
      <c r="Q167">
        <v>-4.0575140000000003E-2</v>
      </c>
      <c r="R167">
        <v>5.4960189999999999E-2</v>
      </c>
      <c r="S167">
        <v>3.0723569999999998</v>
      </c>
      <c r="T167">
        <v>0.37199189999999999</v>
      </c>
      <c r="U167">
        <v>-0.92089840000000001</v>
      </c>
      <c r="V167">
        <v>-4.512269E-2</v>
      </c>
      <c r="W167">
        <v>-2.9890690000000001E-2</v>
      </c>
      <c r="X167">
        <v>0.99853409999999998</v>
      </c>
      <c r="Y167">
        <v>0.294504299999999</v>
      </c>
      <c r="Z167">
        <v>1.8550319999999999E-2</v>
      </c>
      <c r="AA167">
        <v>0.95547009999999899</v>
      </c>
      <c r="AB167">
        <v>30</v>
      </c>
      <c r="AC167">
        <v>79.122099999999904</v>
      </c>
      <c r="AD167">
        <v>9.6164100000000001</v>
      </c>
      <c r="AE167">
        <v>-23.8093</v>
      </c>
      <c r="AF167">
        <v>24.2595706585183</v>
      </c>
      <c r="AG167">
        <v>9.6164100000000001</v>
      </c>
      <c r="AH167">
        <v>77.829320097103803</v>
      </c>
      <c r="AI167">
        <v>83.272473318141294</v>
      </c>
      <c r="AJ167">
        <v>72.687628371738796</v>
      </c>
      <c r="AK167">
        <v>82.087789448864996</v>
      </c>
    </row>
    <row r="168" spans="1:37" x14ac:dyDescent="0.2">
      <c r="A168" t="str">
        <f>"20200111160057924"</f>
        <v>20200111160057924</v>
      </c>
      <c r="B168" t="str">
        <f>"1578729657918967"</f>
        <v>1578729657918967</v>
      </c>
      <c r="C168" t="s">
        <v>37</v>
      </c>
      <c r="D168">
        <v>5.4510870000000002</v>
      </c>
      <c r="E168">
        <v>0.63240680000000005</v>
      </c>
      <c r="F168" t="s">
        <v>45</v>
      </c>
      <c r="G168">
        <v>-369.483</v>
      </c>
      <c r="H168">
        <v>11.060129999999999</v>
      </c>
      <c r="I168">
        <v>343.51199999999898</v>
      </c>
      <c r="J168">
        <v>-447.26510000000002</v>
      </c>
      <c r="K168">
        <v>1.103809</v>
      </c>
      <c r="L168">
        <v>367.60289999999998</v>
      </c>
      <c r="M168">
        <v>0.99989359999999905</v>
      </c>
      <c r="N168">
        <v>0</v>
      </c>
      <c r="O168">
        <v>9.8753260000000002E-3</v>
      </c>
      <c r="P168">
        <v>0.99757580000000001</v>
      </c>
      <c r="Q168">
        <v>-4.1073810000000002E-2</v>
      </c>
      <c r="R168">
        <v>5.6172779999999999E-2</v>
      </c>
      <c r="S168">
        <v>3.0752259999999998</v>
      </c>
      <c r="T168">
        <v>0.39215229999999901</v>
      </c>
      <c r="U168">
        <v>-0.94876099999999997</v>
      </c>
      <c r="V168">
        <v>-4.631855E-2</v>
      </c>
      <c r="W168">
        <v>-3.0356029999999999E-2</v>
      </c>
      <c r="X168">
        <v>0.99846539999999995</v>
      </c>
      <c r="Y168">
        <v>0.30192069999999999</v>
      </c>
      <c r="Z168">
        <v>1.9968610000000001E-2</v>
      </c>
      <c r="AA168">
        <v>0.95312389999999902</v>
      </c>
      <c r="AB168">
        <v>30</v>
      </c>
      <c r="AC168">
        <v>77.7821</v>
      </c>
      <c r="AD168">
        <v>9.9563210000000009</v>
      </c>
      <c r="AE168">
        <v>-24.090900000000001</v>
      </c>
      <c r="AF168">
        <v>24.491728911792499</v>
      </c>
      <c r="AG168">
        <v>9.9563210000000009</v>
      </c>
      <c r="AH168">
        <v>76.398194755560198</v>
      </c>
      <c r="AI168">
        <v>82.925742058593599</v>
      </c>
      <c r="AJ168">
        <v>72.225191687543003</v>
      </c>
      <c r="AK168">
        <v>80.843412068345302</v>
      </c>
    </row>
    <row r="169" spans="1:37" x14ac:dyDescent="0.2">
      <c r="A169" t="str">
        <f>"20200111160057947"</f>
        <v>20200111160057947</v>
      </c>
      <c r="B169" t="str">
        <f>"1578729657939059"</f>
        <v>1578729657939059</v>
      </c>
      <c r="C169" t="s">
        <v>37</v>
      </c>
      <c r="D169">
        <v>4.7141869999999999</v>
      </c>
      <c r="E169">
        <v>0.63354109999999997</v>
      </c>
      <c r="F169" t="s">
        <v>45</v>
      </c>
      <c r="G169">
        <v>-367.9941</v>
      </c>
      <c r="H169">
        <v>10.47903</v>
      </c>
      <c r="I169">
        <v>343.91480000000001</v>
      </c>
      <c r="J169">
        <v>-446.95870000000002</v>
      </c>
      <c r="K169">
        <v>1.103836</v>
      </c>
      <c r="L169">
        <v>367.60599999999999</v>
      </c>
      <c r="M169">
        <v>0.99989300000000003</v>
      </c>
      <c r="N169">
        <v>0</v>
      </c>
      <c r="O169">
        <v>9.90802E-3</v>
      </c>
      <c r="P169">
        <v>0.99754039999999999</v>
      </c>
      <c r="Q169">
        <v>-4.0252179999999999E-2</v>
      </c>
      <c r="R169">
        <v>5.7386689999999997E-2</v>
      </c>
      <c r="S169">
        <v>3.0739749999999999</v>
      </c>
      <c r="T169">
        <v>0.36355279999999901</v>
      </c>
      <c r="U169">
        <v>-0.91857909999999898</v>
      </c>
      <c r="V169">
        <v>-4.7499520000000003E-2</v>
      </c>
      <c r="W169">
        <v>-2.9503709999999999E-2</v>
      </c>
      <c r="X169">
        <v>0.99843539999999997</v>
      </c>
      <c r="Y169">
        <v>0.29384879999999902</v>
      </c>
      <c r="Z169">
        <v>1.8093040000000001E-2</v>
      </c>
      <c r="AA169">
        <v>0.95568069999999905</v>
      </c>
      <c r="AB169">
        <v>30</v>
      </c>
      <c r="AC169">
        <v>78.964600000000004</v>
      </c>
      <c r="AD169">
        <v>9.3751940000000005</v>
      </c>
      <c r="AE169">
        <v>-23.691199999999899</v>
      </c>
      <c r="AF169">
        <v>24.160029098875398</v>
      </c>
      <c r="AG169">
        <v>9.3751940000000005</v>
      </c>
      <c r="AH169">
        <v>77.720895189300904</v>
      </c>
      <c r="AI169">
        <v>83.429100123313901</v>
      </c>
      <c r="AJ169">
        <v>72.731814344023604</v>
      </c>
      <c r="AK169">
        <v>81.927643793913902</v>
      </c>
    </row>
    <row r="170" spans="1:37" x14ac:dyDescent="0.2">
      <c r="A170" t="str">
        <f>"20200111160057968"</f>
        <v>20200111160057968</v>
      </c>
      <c r="B170" t="str">
        <f>"1578729657959555"</f>
        <v>1578729657959555</v>
      </c>
      <c r="C170" t="s">
        <v>37</v>
      </c>
      <c r="D170">
        <v>4.7757050000000003</v>
      </c>
      <c r="E170">
        <v>0.63354109999999997</v>
      </c>
      <c r="F170" t="s">
        <v>45</v>
      </c>
      <c r="G170">
        <v>-368.16829999999999</v>
      </c>
      <c r="H170">
        <v>10.699389999999999</v>
      </c>
      <c r="I170">
        <v>343.91300000000001</v>
      </c>
      <c r="J170">
        <v>-446.66789999999997</v>
      </c>
      <c r="K170">
        <v>1.103869</v>
      </c>
      <c r="L170">
        <v>367.60890000000001</v>
      </c>
      <c r="M170">
        <v>0.99989219999999901</v>
      </c>
      <c r="N170">
        <v>0</v>
      </c>
      <c r="O170">
        <v>9.9536439999999993E-3</v>
      </c>
      <c r="P170">
        <v>0.99770249999999905</v>
      </c>
      <c r="Q170">
        <v>-3.643449E-2</v>
      </c>
      <c r="R170">
        <v>5.7113820000000003E-2</v>
      </c>
      <c r="S170">
        <v>3.0757140000000001</v>
      </c>
      <c r="T170">
        <v>0.37457859999999998</v>
      </c>
      <c r="U170">
        <v>-0.92489619999999995</v>
      </c>
      <c r="V170">
        <v>-4.7178400000000002E-2</v>
      </c>
      <c r="W170">
        <v>-2.565864E-2</v>
      </c>
      <c r="X170">
        <v>0.99855689999999997</v>
      </c>
      <c r="Y170">
        <v>0.29541809999999902</v>
      </c>
      <c r="Z170">
        <v>1.8721270000000002E-2</v>
      </c>
      <c r="AA170">
        <v>0.95518459999999905</v>
      </c>
      <c r="AB170">
        <v>30</v>
      </c>
      <c r="AC170">
        <v>78.499599999999901</v>
      </c>
      <c r="AD170">
        <v>9.5955209999999997</v>
      </c>
      <c r="AE170">
        <v>-23.695899999999899</v>
      </c>
      <c r="AF170">
        <v>24.1454807045629</v>
      </c>
      <c r="AG170">
        <v>9.5955209999999997</v>
      </c>
      <c r="AH170">
        <v>77.202624771358103</v>
      </c>
      <c r="AI170">
        <v>83.234970513616304</v>
      </c>
      <c r="AJ170">
        <v>72.632683481930698</v>
      </c>
      <c r="AK170">
        <v>81.457495255519504</v>
      </c>
    </row>
    <row r="171" spans="1:37" x14ac:dyDescent="0.2">
      <c r="A171" t="str">
        <f>"20200111160057993"</f>
        <v>20200111160057993</v>
      </c>
      <c r="B171" t="str">
        <f>"1578729657988834"</f>
        <v>1578729657988834</v>
      </c>
      <c r="C171" t="s">
        <v>37</v>
      </c>
      <c r="D171">
        <v>4.6093599999999997</v>
      </c>
      <c r="E171">
        <v>0.62365809999999999</v>
      </c>
      <c r="F171" t="s">
        <v>45</v>
      </c>
      <c r="G171">
        <v>-368.25650000000002</v>
      </c>
      <c r="H171">
        <v>10.84567</v>
      </c>
      <c r="I171">
        <v>343.9477</v>
      </c>
      <c r="J171">
        <v>-446.34059999999999</v>
      </c>
      <c r="K171">
        <v>1.103907</v>
      </c>
      <c r="L171">
        <v>367.61219999999997</v>
      </c>
      <c r="M171">
        <v>0.99989119999999998</v>
      </c>
      <c r="N171">
        <v>0</v>
      </c>
      <c r="O171">
        <v>1.002804E-2</v>
      </c>
      <c r="P171">
        <v>0.99803649999999999</v>
      </c>
      <c r="Q171">
        <v>-3.4377909999999998E-2</v>
      </c>
      <c r="R171">
        <v>5.2357580000000001E-2</v>
      </c>
      <c r="S171">
        <v>3.073944</v>
      </c>
      <c r="T171">
        <v>0.38190559999999901</v>
      </c>
      <c r="U171">
        <v>-0.92758180000000001</v>
      </c>
      <c r="V171">
        <v>-4.2343800000000001E-2</v>
      </c>
      <c r="W171">
        <v>-2.3573429999999999E-2</v>
      </c>
      <c r="X171">
        <v>0.99882499999999996</v>
      </c>
      <c r="Y171">
        <v>0.29631560000000001</v>
      </c>
      <c r="Z171">
        <v>1.9156349999999999E-2</v>
      </c>
      <c r="AA171">
        <v>0.95489799999999903</v>
      </c>
      <c r="AB171">
        <v>30</v>
      </c>
      <c r="AC171">
        <v>78.084099999999907</v>
      </c>
      <c r="AD171">
        <v>9.7417630000000006</v>
      </c>
      <c r="AE171">
        <v>-23.664499999999901</v>
      </c>
      <c r="AF171">
        <v>24.102784829811799</v>
      </c>
      <c r="AG171">
        <v>9.7417630000000006</v>
      </c>
      <c r="AH171">
        <v>76.748745809738907</v>
      </c>
      <c r="AI171">
        <v>83.095148537659</v>
      </c>
      <c r="AJ171">
        <v>72.565211656618899</v>
      </c>
      <c r="AK171">
        <v>81.032192160080996</v>
      </c>
    </row>
    <row r="172" spans="1:37" x14ac:dyDescent="0.2">
      <c r="A172" t="str">
        <f>"20200111160058014"</f>
        <v>20200111160058014</v>
      </c>
      <c r="B172" t="str">
        <f>"1578729658009331"</f>
        <v>1578729658009331</v>
      </c>
      <c r="C172" t="s">
        <v>37</v>
      </c>
      <c r="D172">
        <v>4.7633000000000001</v>
      </c>
      <c r="E172">
        <v>0.60846389999999995</v>
      </c>
      <c r="F172" t="s">
        <v>47</v>
      </c>
      <c r="G172">
        <v>-362.34190000000001</v>
      </c>
      <c r="H172">
        <v>10.39231</v>
      </c>
      <c r="I172">
        <v>343.9203</v>
      </c>
      <c r="J172">
        <v>-446.05070000000001</v>
      </c>
      <c r="K172">
        <v>1.1039429999999999</v>
      </c>
      <c r="L172">
        <v>367.61509999999998</v>
      </c>
      <c r="M172">
        <v>0.9998901</v>
      </c>
      <c r="N172">
        <v>0</v>
      </c>
      <c r="O172">
        <v>1.0114659999999999E-2</v>
      </c>
      <c r="P172">
        <v>0.99849299999999996</v>
      </c>
      <c r="Q172">
        <v>-3.1654660000000001E-2</v>
      </c>
      <c r="R172">
        <v>4.4830559999999998E-2</v>
      </c>
      <c r="S172">
        <v>3.062897</v>
      </c>
      <c r="T172">
        <v>0.3386884</v>
      </c>
      <c r="U172">
        <v>-0.86389159999999898</v>
      </c>
      <c r="V172">
        <v>-3.472575E-2</v>
      </c>
      <c r="W172">
        <v>-2.0825369999999999E-2</v>
      </c>
      <c r="X172">
        <v>0.99917990000000001</v>
      </c>
      <c r="Y172">
        <v>0.27954409999999902</v>
      </c>
      <c r="Z172">
        <v>1.6210789999999999E-2</v>
      </c>
      <c r="AA172">
        <v>0.95999599999999996</v>
      </c>
      <c r="AB172">
        <v>30</v>
      </c>
      <c r="AC172">
        <v>83.708799999999997</v>
      </c>
      <c r="AD172">
        <v>9.2883669999999992</v>
      </c>
      <c r="AE172">
        <v>-23.694799999999901</v>
      </c>
      <c r="AF172">
        <v>24.263743660975301</v>
      </c>
      <c r="AG172">
        <v>9.2883669999999992</v>
      </c>
      <c r="AH172">
        <v>82.524154235682204</v>
      </c>
      <c r="AI172">
        <v>83.836931720067099</v>
      </c>
      <c r="AJ172">
        <v>73.615614342749694</v>
      </c>
      <c r="AK172">
        <v>86.517276022115198</v>
      </c>
    </row>
    <row r="173" spans="1:37" x14ac:dyDescent="0.2">
      <c r="A173" t="str">
        <f>"20200111160058037"</f>
        <v>20200111160058037</v>
      </c>
      <c r="B173" t="str">
        <f>"1578729658029513"</f>
        <v>1578729658029513</v>
      </c>
      <c r="C173" t="s">
        <v>37</v>
      </c>
      <c r="D173">
        <v>8.3838249999999999</v>
      </c>
      <c r="E173">
        <v>0.60541400000000001</v>
      </c>
      <c r="F173" t="s">
        <v>40</v>
      </c>
      <c r="G173">
        <v>-265.98390000000001</v>
      </c>
      <c r="H173">
        <v>13.061019999999999</v>
      </c>
      <c r="I173">
        <v>322.837999999999</v>
      </c>
      <c r="J173">
        <v>-445.74630000000002</v>
      </c>
      <c r="K173">
        <v>1.103974</v>
      </c>
      <c r="L173">
        <v>367.61829999999998</v>
      </c>
      <c r="M173">
        <v>0.99988869999999896</v>
      </c>
      <c r="N173">
        <v>0</v>
      </c>
      <c r="O173">
        <v>1.0224779999999999E-2</v>
      </c>
      <c r="P173">
        <v>0.99888909999999997</v>
      </c>
      <c r="Q173">
        <v>-2.9586609999999999E-2</v>
      </c>
      <c r="R173">
        <v>3.6675149999999997E-2</v>
      </c>
      <c r="S173">
        <v>3.0448909999999998</v>
      </c>
      <c r="T173">
        <v>0.20219179999999901</v>
      </c>
      <c r="U173">
        <v>-0.75717159999999994</v>
      </c>
      <c r="V173">
        <v>-2.645608E-2</v>
      </c>
      <c r="W173">
        <v>-1.8733880000000001E-2</v>
      </c>
      <c r="X173">
        <v>0.99947439999999999</v>
      </c>
      <c r="Y173">
        <v>0.2506892</v>
      </c>
      <c r="Z173">
        <v>8.8581919999999904E-3</v>
      </c>
      <c r="AA173">
        <v>0.96802710000000003</v>
      </c>
      <c r="AB173">
        <v>30</v>
      </c>
      <c r="AC173">
        <v>179.76240000000001</v>
      </c>
      <c r="AD173">
        <v>11.957045999999901</v>
      </c>
      <c r="AE173">
        <v>-44.780299999999997</v>
      </c>
      <c r="AF173">
        <v>46.422708535098501</v>
      </c>
      <c r="AG173">
        <v>11.957045999999901</v>
      </c>
      <c r="AH173">
        <v>178.551289178373</v>
      </c>
      <c r="AI173">
        <v>86.291719033577493</v>
      </c>
      <c r="AJ173">
        <v>75.425972157058794</v>
      </c>
      <c r="AK173">
        <v>184.87455661620899</v>
      </c>
    </row>
    <row r="174" spans="1:37" x14ac:dyDescent="0.2">
      <c r="A174" t="str">
        <f>"20200111160058082"</f>
        <v>20200111160058082</v>
      </c>
      <c r="B174" t="str">
        <f>"1578729658079289"</f>
        <v>1578729658079289</v>
      </c>
      <c r="C174" t="s">
        <v>37</v>
      </c>
      <c r="D174">
        <v>8.3533740000000005</v>
      </c>
      <c r="E174">
        <v>0.63411269999999997</v>
      </c>
      <c r="F174" t="s">
        <v>40</v>
      </c>
      <c r="G174">
        <v>-265.98439999999999</v>
      </c>
      <c r="H174">
        <v>11.725289999999999</v>
      </c>
      <c r="I174">
        <v>322.80829999999997</v>
      </c>
      <c r="J174">
        <v>-445.13260000000002</v>
      </c>
      <c r="K174">
        <v>1.1040030000000001</v>
      </c>
      <c r="L174">
        <v>367.62479999999999</v>
      </c>
      <c r="M174">
        <v>0.99988539999999904</v>
      </c>
      <c r="N174">
        <v>0</v>
      </c>
      <c r="O174">
        <v>1.050588E-2</v>
      </c>
      <c r="P174">
        <v>0.99919590000000003</v>
      </c>
      <c r="Q174">
        <v>-3.1162749999999999E-2</v>
      </c>
      <c r="R174">
        <v>2.5225069999999999E-2</v>
      </c>
      <c r="S174">
        <v>3.0364070000000001</v>
      </c>
      <c r="T174">
        <v>0.17940780000000001</v>
      </c>
      <c r="U174">
        <v>-0.75689700000000004</v>
      </c>
      <c r="V174">
        <v>-1.4720520000000001E-2</v>
      </c>
      <c r="W174">
        <v>-2.0272479999999999E-2</v>
      </c>
      <c r="X174">
        <v>0.99968609999999902</v>
      </c>
      <c r="Y174">
        <v>0.25162289999999998</v>
      </c>
      <c r="Z174">
        <v>7.9266259999999904E-3</v>
      </c>
      <c r="AA174">
        <v>0.96779289999999996</v>
      </c>
      <c r="AB174">
        <v>30</v>
      </c>
      <c r="AC174">
        <v>179.1482</v>
      </c>
      <c r="AD174">
        <v>10.621286999999899</v>
      </c>
      <c r="AE174">
        <v>-44.816499999999998</v>
      </c>
      <c r="AF174">
        <v>46.5422853153947</v>
      </c>
      <c r="AG174">
        <v>10.621286999999899</v>
      </c>
      <c r="AH174">
        <v>178.07836215430399</v>
      </c>
      <c r="AI174">
        <v>86.697377223442203</v>
      </c>
      <c r="AJ174">
        <v>75.352902701688805</v>
      </c>
      <c r="AK174">
        <v>184.36620928867501</v>
      </c>
    </row>
    <row r="175" spans="1:37" x14ac:dyDescent="0.2">
      <c r="A175" t="str">
        <f>"20200111160058127"</f>
        <v>20200111160058127</v>
      </c>
      <c r="B175" t="str">
        <f>"1578729658119305"</f>
        <v>1578729658119305</v>
      </c>
      <c r="C175" t="s">
        <v>37</v>
      </c>
      <c r="D175">
        <v>4.780742</v>
      </c>
      <c r="E175">
        <v>0.63461690000000004</v>
      </c>
      <c r="F175" t="s">
        <v>45</v>
      </c>
      <c r="G175">
        <v>-368.25479999999999</v>
      </c>
      <c r="H175">
        <v>11.95313</v>
      </c>
      <c r="I175">
        <v>341.18529999999998</v>
      </c>
      <c r="J175">
        <v>-444.51479999999998</v>
      </c>
      <c r="K175">
        <v>1.1040350000000001</v>
      </c>
      <c r="L175">
        <v>367.63159999999999</v>
      </c>
      <c r="M175">
        <v>0.99988149999999998</v>
      </c>
      <c r="N175">
        <v>0</v>
      </c>
      <c r="O175">
        <v>1.085266E-2</v>
      </c>
      <c r="P175">
        <v>0.99936579999999997</v>
      </c>
      <c r="Q175">
        <v>-2.9896430000000002E-2</v>
      </c>
      <c r="R175">
        <v>1.9352310000000001E-2</v>
      </c>
      <c r="S175">
        <v>3.0422060000000002</v>
      </c>
      <c r="T175">
        <v>0.42932120000000001</v>
      </c>
      <c r="U175">
        <v>-1.046265</v>
      </c>
      <c r="V175">
        <v>-8.4992450000000008E-3</v>
      </c>
      <c r="W175">
        <v>-1.897565E-2</v>
      </c>
      <c r="X175">
        <v>0.9997838</v>
      </c>
      <c r="Y175">
        <v>0.33241870000000001</v>
      </c>
      <c r="Z175">
        <v>2.4179699999999998E-2</v>
      </c>
      <c r="AA175">
        <v>0.94282189999999999</v>
      </c>
      <c r="AB175">
        <v>30</v>
      </c>
      <c r="AC175">
        <v>76.259999999999906</v>
      </c>
      <c r="AD175">
        <v>10.849095</v>
      </c>
      <c r="AE175">
        <v>-26.446300000000001</v>
      </c>
      <c r="AF175">
        <v>26.788443283574399</v>
      </c>
      <c r="AG175">
        <v>10.849095</v>
      </c>
      <c r="AH175">
        <v>74.620353200174605</v>
      </c>
      <c r="AI175">
        <v>82.208048263044901</v>
      </c>
      <c r="AJ175">
        <v>70.252041222049996</v>
      </c>
      <c r="AK175">
        <v>80.022001147154</v>
      </c>
    </row>
    <row r="176" spans="1:37" x14ac:dyDescent="0.2">
      <c r="A176" t="str">
        <f>"20200111160058148"</f>
        <v>20200111160058148</v>
      </c>
      <c r="B176" t="str">
        <f>"1578729658138826"</f>
        <v>1578729658138826</v>
      </c>
      <c r="C176" t="s">
        <v>37</v>
      </c>
      <c r="D176">
        <v>4.8767430000000003</v>
      </c>
      <c r="E176">
        <v>0.58040789999999998</v>
      </c>
      <c r="F176" t="s">
        <v>45</v>
      </c>
      <c r="G176">
        <v>-368.59440000000001</v>
      </c>
      <c r="H176">
        <v>11.927099999999999</v>
      </c>
      <c r="I176">
        <v>340.96230000000003</v>
      </c>
      <c r="J176">
        <v>-444.22489999999999</v>
      </c>
      <c r="K176">
        <v>1.1040270000000001</v>
      </c>
      <c r="L176">
        <v>367.63490000000002</v>
      </c>
      <c r="M176">
        <v>0.99987959999999998</v>
      </c>
      <c r="N176">
        <v>0</v>
      </c>
      <c r="O176">
        <v>1.1015580000000001E-2</v>
      </c>
      <c r="P176">
        <v>0.99940390000000001</v>
      </c>
      <c r="Q176">
        <v>-2.9136860000000001E-2</v>
      </c>
      <c r="R176">
        <v>1.8528670000000001E-2</v>
      </c>
      <c r="S176">
        <v>3.0355219999999998</v>
      </c>
      <c r="T176">
        <v>0.43273790000000001</v>
      </c>
      <c r="U176">
        <v>-1.0663149999999999</v>
      </c>
      <c r="V176">
        <v>-7.51251E-3</v>
      </c>
      <c r="W176">
        <v>-1.8203960000000002E-2</v>
      </c>
      <c r="X176">
        <v>0.99980599999999997</v>
      </c>
      <c r="Y176">
        <v>0.33864689999999997</v>
      </c>
      <c r="Z176">
        <v>2.4846790000000001E-2</v>
      </c>
      <c r="AA176">
        <v>0.94058539999999902</v>
      </c>
      <c r="AB176">
        <v>30</v>
      </c>
      <c r="AC176">
        <v>75.630499999999898</v>
      </c>
      <c r="AD176">
        <v>10.8230729999999</v>
      </c>
      <c r="AE176">
        <v>-26.6725999999999</v>
      </c>
      <c r="AF176">
        <v>27.012156625565801</v>
      </c>
      <c r="AG176">
        <v>10.8230729999999</v>
      </c>
      <c r="AH176">
        <v>73.984554370594495</v>
      </c>
      <c r="AI176">
        <v>82.175657561801103</v>
      </c>
      <c r="AJ176">
        <v>69.942591540638205</v>
      </c>
      <c r="AK176">
        <v>79.501633946371697</v>
      </c>
    </row>
    <row r="177" spans="1:37" x14ac:dyDescent="0.2">
      <c r="A177" t="str">
        <f>"20200111160058172"</f>
        <v>20200111160058172</v>
      </c>
      <c r="B177" t="str">
        <f>"1578729658159320"</f>
        <v>1578729658159320</v>
      </c>
      <c r="C177" t="s">
        <v>37</v>
      </c>
      <c r="D177">
        <v>5.0784390000000004</v>
      </c>
      <c r="E177">
        <v>0.58102489999999996</v>
      </c>
      <c r="F177" t="s">
        <v>40</v>
      </c>
      <c r="G177">
        <v>-266.48500000000001</v>
      </c>
      <c r="H177">
        <v>8.1667439999999996</v>
      </c>
      <c r="I177">
        <v>331.89519999999999</v>
      </c>
      <c r="J177">
        <v>-443.91719999999998</v>
      </c>
      <c r="K177">
        <v>1.104006</v>
      </c>
      <c r="L177">
        <v>367.63850000000002</v>
      </c>
      <c r="M177">
        <v>0.99987789999999999</v>
      </c>
      <c r="N177">
        <v>0</v>
      </c>
      <c r="O177">
        <v>1.116137E-2</v>
      </c>
      <c r="P177">
        <v>0.9993187</v>
      </c>
      <c r="Q177">
        <v>-3.110574E-2</v>
      </c>
      <c r="R177">
        <v>1.9867590000000001E-2</v>
      </c>
      <c r="S177">
        <v>3.0165709999999999</v>
      </c>
      <c r="T177">
        <v>0.1198674</v>
      </c>
      <c r="U177">
        <v>-0.60656739999999998</v>
      </c>
      <c r="V177">
        <v>-8.7068979999999994E-3</v>
      </c>
      <c r="W177">
        <v>-2.0162309999999999E-2</v>
      </c>
      <c r="X177">
        <v>0.99975879999999995</v>
      </c>
      <c r="Y177">
        <v>0.2078971</v>
      </c>
      <c r="Z177">
        <v>4.5271290000000004E-3</v>
      </c>
      <c r="AA177">
        <v>0.97814020000000002</v>
      </c>
      <c r="AB177">
        <v>30</v>
      </c>
      <c r="AC177">
        <v>177.432199999999</v>
      </c>
      <c r="AD177">
        <v>7.0627380000000004</v>
      </c>
      <c r="AE177">
        <v>-35.743299999999998</v>
      </c>
      <c r="AF177">
        <v>37.664228029962999</v>
      </c>
      <c r="AG177">
        <v>7.0627380000000004</v>
      </c>
      <c r="AH177">
        <v>176.75304207640499</v>
      </c>
      <c r="AI177">
        <v>87.7619739283748</v>
      </c>
      <c r="AJ177">
        <v>77.970784692687303</v>
      </c>
      <c r="AK177">
        <v>180.85937693250301</v>
      </c>
    </row>
    <row r="178" spans="1:37" x14ac:dyDescent="0.2">
      <c r="A178" t="str">
        <f>"20200111160058237"</f>
        <v>20200111160058237</v>
      </c>
      <c r="B178" t="str">
        <f>"1578729658229593"</f>
        <v>1578729658229593</v>
      </c>
      <c r="C178" t="s">
        <v>37</v>
      </c>
      <c r="D178">
        <v>4.9453949999999898</v>
      </c>
      <c r="E178">
        <v>0.58184429999999998</v>
      </c>
      <c r="F178" t="s">
        <v>40</v>
      </c>
      <c r="G178">
        <v>-265.98540000000003</v>
      </c>
      <c r="H178">
        <v>8.6598310000000005</v>
      </c>
      <c r="I178">
        <v>331.76670000000001</v>
      </c>
      <c r="J178">
        <v>-443.01330000000002</v>
      </c>
      <c r="K178">
        <v>1.103972</v>
      </c>
      <c r="L178">
        <v>367.64890000000003</v>
      </c>
      <c r="M178">
        <v>0.99987490000000001</v>
      </c>
      <c r="N178">
        <v>0</v>
      </c>
      <c r="O178">
        <v>1.138774E-2</v>
      </c>
      <c r="P178">
        <v>0.999206699999999</v>
      </c>
      <c r="Q178">
        <v>-2.618005E-2</v>
      </c>
      <c r="R178">
        <v>3.001492E-2</v>
      </c>
      <c r="S178">
        <v>3.018097</v>
      </c>
      <c r="T178">
        <v>0.1281629</v>
      </c>
      <c r="U178">
        <v>-0.60845950000000004</v>
      </c>
      <c r="V178">
        <v>-1.8632340000000001E-2</v>
      </c>
      <c r="W178">
        <v>-1.520731E-2</v>
      </c>
      <c r="X178">
        <v>0.99971069999999995</v>
      </c>
      <c r="Y178">
        <v>0.20858789999999999</v>
      </c>
      <c r="Z178">
        <v>4.8615029999999997E-3</v>
      </c>
      <c r="AA178">
        <v>0.97799150000000001</v>
      </c>
      <c r="AB178">
        <v>31</v>
      </c>
      <c r="AC178">
        <v>177.02789999999999</v>
      </c>
      <c r="AD178">
        <v>7.5558589999999999</v>
      </c>
      <c r="AE178">
        <v>-35.882199999999997</v>
      </c>
      <c r="AF178">
        <v>37.829746191669102</v>
      </c>
      <c r="AG178">
        <v>7.5558589999999999</v>
      </c>
      <c r="AH178">
        <v>176.29928233142601</v>
      </c>
      <c r="AI178">
        <v>87.6004648984689</v>
      </c>
      <c r="AJ178">
        <v>77.889294880945698</v>
      </c>
      <c r="AK178">
        <v>180.47054511118901</v>
      </c>
    </row>
    <row r="179" spans="1:37" x14ac:dyDescent="0.2">
      <c r="A179" t="str">
        <f>"20200111160058258"</f>
        <v>20200111160058258</v>
      </c>
      <c r="B179" t="str">
        <f>"1578729658249112"</f>
        <v>1578729658249112</v>
      </c>
      <c r="C179" t="s">
        <v>37</v>
      </c>
      <c r="D179">
        <v>4.9724190000000004</v>
      </c>
      <c r="E179">
        <v>0.58095739999999996</v>
      </c>
      <c r="F179" t="s">
        <v>40</v>
      </c>
      <c r="G179">
        <v>-265.15159999999997</v>
      </c>
      <c r="H179">
        <v>10.7101899999999</v>
      </c>
      <c r="I179">
        <v>333.24279999999999</v>
      </c>
      <c r="J179">
        <v>-442.70949999999999</v>
      </c>
      <c r="K179">
        <v>1.1039649999999901</v>
      </c>
      <c r="L179">
        <v>367.6524</v>
      </c>
      <c r="M179">
        <v>0.9998745</v>
      </c>
      <c r="N179">
        <v>0</v>
      </c>
      <c r="O179">
        <v>1.1411589999999999E-2</v>
      </c>
      <c r="P179">
        <v>0.99912769999999995</v>
      </c>
      <c r="Q179">
        <v>-2.4402150000000001E-2</v>
      </c>
      <c r="R179">
        <v>3.3890459999999997E-2</v>
      </c>
      <c r="S179">
        <v>3.0242610000000001</v>
      </c>
      <c r="T179">
        <v>0.16333889999999901</v>
      </c>
      <c r="U179">
        <v>-0.58502200000000004</v>
      </c>
      <c r="V179">
        <v>-2.2485930000000001E-2</v>
      </c>
      <c r="W179">
        <v>-1.342085E-2</v>
      </c>
      <c r="X179">
        <v>0.99965709999999997</v>
      </c>
      <c r="Y179">
        <v>0.20081599999999999</v>
      </c>
      <c r="Z179">
        <v>5.9798119999999897E-3</v>
      </c>
      <c r="AA179">
        <v>0.97961069999999995</v>
      </c>
      <c r="AB179">
        <v>31</v>
      </c>
      <c r="AC179">
        <v>177.55789999999999</v>
      </c>
      <c r="AD179">
        <v>9.6062249999999896</v>
      </c>
      <c r="AE179">
        <v>-34.409599999999998</v>
      </c>
      <c r="AF179">
        <v>36.331206580574602</v>
      </c>
      <c r="AG179">
        <v>9.6062249999999896</v>
      </c>
      <c r="AH179">
        <v>176.65528803196801</v>
      </c>
      <c r="AI179">
        <v>86.951102173115402</v>
      </c>
      <c r="AJ179">
        <v>78.378501226636203</v>
      </c>
      <c r="AK179">
        <v>180.608213877466</v>
      </c>
    </row>
    <row r="180" spans="1:37" x14ac:dyDescent="0.2">
      <c r="A180" t="str">
        <f>"20200111160058282"</f>
        <v>20200111160058282</v>
      </c>
      <c r="B180" t="str">
        <f>"1578729658279368"</f>
        <v>1578729658279368</v>
      </c>
      <c r="C180" t="s">
        <v>37</v>
      </c>
      <c r="D180">
        <v>4.7807629999999897</v>
      </c>
      <c r="E180">
        <v>0.58165540000000004</v>
      </c>
      <c r="F180" t="s">
        <v>40</v>
      </c>
      <c r="G180">
        <v>-258.5727</v>
      </c>
      <c r="H180">
        <v>10.729480000000001</v>
      </c>
      <c r="I180">
        <v>333.24279999999999</v>
      </c>
      <c r="J180">
        <v>-442.39769999999999</v>
      </c>
      <c r="K180">
        <v>1.103974</v>
      </c>
      <c r="L180">
        <v>367.65600000000001</v>
      </c>
      <c r="M180">
        <v>0.9998745</v>
      </c>
      <c r="N180">
        <v>0</v>
      </c>
      <c r="O180">
        <v>1.141733E-2</v>
      </c>
      <c r="P180">
        <v>0.99908200000000003</v>
      </c>
      <c r="Q180">
        <v>-2.0224829999999999E-2</v>
      </c>
      <c r="R180">
        <v>3.7767130000000003E-2</v>
      </c>
      <c r="S180">
        <v>3.0256349999999999</v>
      </c>
      <c r="T180">
        <v>0.15816129999999901</v>
      </c>
      <c r="U180">
        <v>-0.56539919999999899</v>
      </c>
      <c r="V180">
        <v>-2.635759E-2</v>
      </c>
      <c r="W180">
        <v>-9.2352400000000005E-3</v>
      </c>
      <c r="X180">
        <v>0.99960990000000005</v>
      </c>
      <c r="Y180">
        <v>0.19462969999999999</v>
      </c>
      <c r="Z180">
        <v>5.6315009999999997E-3</v>
      </c>
      <c r="AA180">
        <v>0.98086070000000003</v>
      </c>
      <c r="AB180">
        <v>31</v>
      </c>
      <c r="AC180">
        <v>183.82499999999999</v>
      </c>
      <c r="AD180">
        <v>9.6255059999999997</v>
      </c>
      <c r="AE180">
        <v>-34.413200000000003</v>
      </c>
      <c r="AF180">
        <v>36.413415653682499</v>
      </c>
      <c r="AG180">
        <v>9.6255059999999997</v>
      </c>
      <c r="AH180">
        <v>182.935494320749</v>
      </c>
      <c r="AI180">
        <v>87.045897195726695</v>
      </c>
      <c r="AJ180">
        <v>78.742382779442394</v>
      </c>
      <c r="AK180">
        <v>186.77254157852201</v>
      </c>
    </row>
    <row r="181" spans="1:37" x14ac:dyDescent="0.2">
      <c r="A181" t="str">
        <f>"20200111160058304"</f>
        <v>20200111160058304</v>
      </c>
      <c r="B181" t="str">
        <f>"1578729658298889"</f>
        <v>1578729658298889</v>
      </c>
      <c r="C181" t="s">
        <v>37</v>
      </c>
      <c r="D181">
        <v>4.9976900000000004</v>
      </c>
      <c r="E181">
        <v>0.58176000000000005</v>
      </c>
      <c r="F181" t="s">
        <v>40</v>
      </c>
      <c r="G181">
        <v>-253.61779999999999</v>
      </c>
      <c r="H181">
        <v>11.439349999999999</v>
      </c>
      <c r="I181">
        <v>332.78769999999997</v>
      </c>
      <c r="J181">
        <v>-442.09539999999998</v>
      </c>
      <c r="K181">
        <v>1.1039859999999999</v>
      </c>
      <c r="L181">
        <v>367.65940000000001</v>
      </c>
      <c r="M181">
        <v>0.99987440000000005</v>
      </c>
      <c r="N181">
        <v>0</v>
      </c>
      <c r="O181">
        <v>1.1412820000000001E-2</v>
      </c>
      <c r="P181">
        <v>0.99903459999999999</v>
      </c>
      <c r="Q181">
        <v>-1.588705E-2</v>
      </c>
      <c r="R181">
        <v>4.096006E-2</v>
      </c>
      <c r="S181">
        <v>3.0272519999999998</v>
      </c>
      <c r="T181">
        <v>0.165737299999999</v>
      </c>
      <c r="U181">
        <v>-0.5591431</v>
      </c>
      <c r="V181">
        <v>-2.9554779999999999E-2</v>
      </c>
      <c r="W181">
        <v>-4.8901959999999899E-3</v>
      </c>
      <c r="X181">
        <v>0.99955119999999897</v>
      </c>
      <c r="Y181">
        <v>0.1925473</v>
      </c>
      <c r="Z181">
        <v>5.842145E-3</v>
      </c>
      <c r="AA181">
        <v>0.98127030000000004</v>
      </c>
      <c r="AB181">
        <v>31</v>
      </c>
      <c r="AC181">
        <v>188.4776</v>
      </c>
      <c r="AD181">
        <v>10.335363999999901</v>
      </c>
      <c r="AE181">
        <v>-34.871699999999997</v>
      </c>
      <c r="AF181">
        <v>36.913295528155203</v>
      </c>
      <c r="AG181">
        <v>10.335363999999901</v>
      </c>
      <c r="AH181">
        <v>187.522101104379</v>
      </c>
      <c r="AI181">
        <v>86.904592566956694</v>
      </c>
      <c r="AJ181">
        <v>78.863838788292497</v>
      </c>
      <c r="AK181">
        <v>191.399972670746</v>
      </c>
    </row>
    <row r="182" spans="1:37" x14ac:dyDescent="0.2">
      <c r="A182" t="str">
        <f>"20200111160058326"</f>
        <v>20200111160058326</v>
      </c>
      <c r="B182" t="str">
        <f>"1578729658319385"</f>
        <v>1578729658319385</v>
      </c>
      <c r="C182" t="s">
        <v>37</v>
      </c>
      <c r="D182">
        <v>9.2037479999999992</v>
      </c>
      <c r="E182">
        <v>0.58132759999999895</v>
      </c>
      <c r="F182" t="s">
        <v>40</v>
      </c>
      <c r="G182">
        <v>-251.97</v>
      </c>
      <c r="H182">
        <v>12.023339999999999</v>
      </c>
      <c r="I182">
        <v>333.15370000000001</v>
      </c>
      <c r="J182">
        <v>-441.80040000000002</v>
      </c>
      <c r="K182">
        <v>1.103996</v>
      </c>
      <c r="L182">
        <v>367.6628</v>
      </c>
      <c r="M182">
        <v>0.9998745</v>
      </c>
      <c r="N182">
        <v>0</v>
      </c>
      <c r="O182">
        <v>1.1405729999999999E-2</v>
      </c>
      <c r="P182">
        <v>0.99896030000000002</v>
      </c>
      <c r="Q182">
        <v>-1.281728E-2</v>
      </c>
      <c r="R182">
        <v>4.3753109999999998E-2</v>
      </c>
      <c r="S182">
        <v>3.0282290000000001</v>
      </c>
      <c r="T182">
        <v>0.17391870000000001</v>
      </c>
      <c r="U182">
        <v>-0.5495911</v>
      </c>
      <c r="V182">
        <v>-3.235611E-2</v>
      </c>
      <c r="W182">
        <v>-1.8140539999999901E-3</v>
      </c>
      <c r="X182">
        <v>0.9994748</v>
      </c>
      <c r="Y182">
        <v>0.18946299999999999</v>
      </c>
      <c r="Z182">
        <v>6.0416769999999996E-3</v>
      </c>
      <c r="AA182">
        <v>0.98186929999999994</v>
      </c>
      <c r="AB182">
        <v>31</v>
      </c>
      <c r="AC182">
        <v>189.8304</v>
      </c>
      <c r="AD182">
        <v>10.919344000000001</v>
      </c>
      <c r="AE182">
        <v>-34.509099999999897</v>
      </c>
      <c r="AF182">
        <v>36.555058520619902</v>
      </c>
      <c r="AG182">
        <v>10.919344000000001</v>
      </c>
      <c r="AH182">
        <v>188.81965756675299</v>
      </c>
      <c r="AI182">
        <v>86.750503293866203</v>
      </c>
      <c r="AJ182">
        <v>79.0432119047844</v>
      </c>
      <c r="AK182">
        <v>192.63532246309899</v>
      </c>
    </row>
    <row r="183" spans="1:37" x14ac:dyDescent="0.2">
      <c r="A183" t="str">
        <f>"20200111160058349"</f>
        <v>20200111160058349</v>
      </c>
      <c r="B183" t="str">
        <f>"1578729658339480"</f>
        <v>1578729658339480</v>
      </c>
      <c r="C183" t="s">
        <v>37</v>
      </c>
      <c r="D183">
        <v>4.8947719999999997</v>
      </c>
      <c r="E183">
        <v>0.63084580000000001</v>
      </c>
      <c r="F183" t="s">
        <v>40</v>
      </c>
      <c r="G183">
        <v>-245.12909999999999</v>
      </c>
      <c r="H183">
        <v>12.61763</v>
      </c>
      <c r="I183">
        <v>332.78769999999997</v>
      </c>
      <c r="J183">
        <v>-441.4753</v>
      </c>
      <c r="K183">
        <v>1.103988</v>
      </c>
      <c r="L183">
        <v>367.66649999999998</v>
      </c>
      <c r="M183">
        <v>0.99987440000000005</v>
      </c>
      <c r="N183">
        <v>0</v>
      </c>
      <c r="O183">
        <v>1.1399350000000001E-2</v>
      </c>
      <c r="P183">
        <v>0.99883789999999995</v>
      </c>
      <c r="Q183">
        <v>-1.138029E-2</v>
      </c>
      <c r="R183">
        <v>4.6833519999999997E-2</v>
      </c>
      <c r="S183">
        <v>3.028931</v>
      </c>
      <c r="T183">
        <v>0.17732139999999999</v>
      </c>
      <c r="U183">
        <v>-0.53710939999999996</v>
      </c>
      <c r="V183">
        <v>-3.5443339999999997E-2</v>
      </c>
      <c r="W183">
        <v>-3.7072720000000002E-4</v>
      </c>
      <c r="X183">
        <v>0.99937160000000003</v>
      </c>
      <c r="Y183">
        <v>0.18548909999999999</v>
      </c>
      <c r="Z183">
        <v>6.0448029999999996E-3</v>
      </c>
      <c r="AA183">
        <v>0.98262769999999999</v>
      </c>
      <c r="AB183">
        <v>31</v>
      </c>
      <c r="AC183">
        <v>196.34620000000001</v>
      </c>
      <c r="AD183">
        <v>11.513642000000001</v>
      </c>
      <c r="AE183">
        <v>-34.878799999999998</v>
      </c>
      <c r="AF183">
        <v>36.991580407634899</v>
      </c>
      <c r="AG183">
        <v>11.513642000000001</v>
      </c>
      <c r="AH183">
        <v>195.28485813832401</v>
      </c>
      <c r="AI183">
        <v>86.684670470790195</v>
      </c>
      <c r="AJ183">
        <v>79.273905353362295</v>
      </c>
      <c r="AK183">
        <v>199.090725025713</v>
      </c>
    </row>
    <row r="184" spans="1:37" x14ac:dyDescent="0.2">
      <c r="A184" t="str">
        <f>"20200111160058371"</f>
        <v>20200111160058371</v>
      </c>
      <c r="B184" t="str">
        <f>"1578729658369736"</f>
        <v>1578729658369736</v>
      </c>
      <c r="C184" t="s">
        <v>37</v>
      </c>
      <c r="D184">
        <v>5.0292680000000001</v>
      </c>
      <c r="E184">
        <v>0.63811309999999999</v>
      </c>
      <c r="F184" t="s">
        <v>47</v>
      </c>
      <c r="G184">
        <v>-362.62360000000001</v>
      </c>
      <c r="H184">
        <v>13.68576</v>
      </c>
      <c r="I184">
        <v>343.21589999999998</v>
      </c>
      <c r="J184">
        <v>-441.16579999999999</v>
      </c>
      <c r="K184">
        <v>1.103958</v>
      </c>
      <c r="L184">
        <v>367.67</v>
      </c>
      <c r="M184">
        <v>0.99987539999999997</v>
      </c>
      <c r="N184">
        <v>0</v>
      </c>
      <c r="O184">
        <v>1.1404650000000001E-2</v>
      </c>
      <c r="P184">
        <v>0.9986408</v>
      </c>
      <c r="Q184">
        <v>-1.17816E-2</v>
      </c>
      <c r="R184">
        <v>5.0773489999999998E-2</v>
      </c>
      <c r="S184">
        <v>3.0534059999999998</v>
      </c>
      <c r="T184">
        <v>0.487209</v>
      </c>
      <c r="U184">
        <v>-0.94680789999999904</v>
      </c>
      <c r="V184">
        <v>-3.938067E-2</v>
      </c>
      <c r="W184">
        <v>-8.5556710000000004E-4</v>
      </c>
      <c r="X184">
        <v>0.99922389999999905</v>
      </c>
      <c r="Y184">
        <v>0.30340679999999998</v>
      </c>
      <c r="Z184">
        <v>2.5280239999999999E-2</v>
      </c>
      <c r="AA184">
        <v>0.95252569999999903</v>
      </c>
      <c r="AB184">
        <v>31</v>
      </c>
      <c r="AC184">
        <v>78.542199999999895</v>
      </c>
      <c r="AD184">
        <v>12.581802</v>
      </c>
      <c r="AE184">
        <v>-24.4541</v>
      </c>
      <c r="AF184">
        <v>24.768875724843902</v>
      </c>
      <c r="AG184">
        <v>12.581802</v>
      </c>
      <c r="AH184">
        <v>76.469291701632102</v>
      </c>
      <c r="AI184">
        <v>81.103807667821897</v>
      </c>
      <c r="AJ184">
        <v>72.052540923688497</v>
      </c>
      <c r="AK184">
        <v>81.359397242047393</v>
      </c>
    </row>
    <row r="185" spans="1:37" x14ac:dyDescent="0.2">
      <c r="A185" t="str">
        <f>"20200111160058396"</f>
        <v>20200111160058396</v>
      </c>
      <c r="B185" t="str">
        <f>"1578729658389256"</f>
        <v>1578729658389256</v>
      </c>
      <c r="C185" t="s">
        <v>37</v>
      </c>
      <c r="D185">
        <v>4.9743379999999897</v>
      </c>
      <c r="E185">
        <v>0.63866669999999903</v>
      </c>
      <c r="F185" t="s">
        <v>45</v>
      </c>
      <c r="G185">
        <v>-368.82190000000003</v>
      </c>
      <c r="H185">
        <v>11.89236</v>
      </c>
      <c r="I185">
        <v>344.28230000000002</v>
      </c>
      <c r="J185">
        <v>-440.8322</v>
      </c>
      <c r="K185">
        <v>1.1037269999999999</v>
      </c>
      <c r="L185">
        <v>367.6739</v>
      </c>
      <c r="M185">
        <v>0.99988359999999998</v>
      </c>
      <c r="N185">
        <v>0</v>
      </c>
      <c r="O185">
        <v>1.1420380000000001E-2</v>
      </c>
      <c r="P185">
        <v>0.99846619999999997</v>
      </c>
      <c r="Q185">
        <v>-8.8377409999999997E-3</v>
      </c>
      <c r="R185">
        <v>5.465594E-2</v>
      </c>
      <c r="S185">
        <v>3.059723</v>
      </c>
      <c r="T185">
        <v>0.45628599999999903</v>
      </c>
      <c r="U185">
        <v>-0.98916630000000005</v>
      </c>
      <c r="V185">
        <v>-4.3249250000000003E-2</v>
      </c>
      <c r="W185">
        <v>1.2810860000000001E-3</v>
      </c>
      <c r="X185">
        <v>0.99906349999999999</v>
      </c>
      <c r="Y185">
        <v>0.3151833</v>
      </c>
      <c r="Z185">
        <v>2.4453240000000001E-2</v>
      </c>
      <c r="AA185">
        <v>0.94871569999999905</v>
      </c>
      <c r="AB185">
        <v>31</v>
      </c>
      <c r="AC185">
        <v>72.010299999999901</v>
      </c>
      <c r="AD185">
        <v>10.788633000000001</v>
      </c>
      <c r="AE185">
        <v>-23.391599999999901</v>
      </c>
      <c r="AF185">
        <v>23.730678429731199</v>
      </c>
      <c r="AG185">
        <v>10.788633000000001</v>
      </c>
      <c r="AH185">
        <v>70.3108706836274</v>
      </c>
      <c r="AI185">
        <v>81.728035591071801</v>
      </c>
      <c r="AJ185">
        <v>71.349905571805195</v>
      </c>
      <c r="AK185">
        <v>74.9877205749967</v>
      </c>
    </row>
    <row r="186" spans="1:37" x14ac:dyDescent="0.2">
      <c r="A186" t="str">
        <f>"20200111160058415"</f>
        <v>20200111160058415</v>
      </c>
      <c r="B186" t="str">
        <f>"1578729658409751"</f>
        <v>1578729658409751</v>
      </c>
      <c r="C186" t="s">
        <v>37</v>
      </c>
      <c r="D186">
        <v>5.0274669999999997</v>
      </c>
      <c r="E186">
        <v>0.63790400000000003</v>
      </c>
      <c r="F186" t="s">
        <v>45</v>
      </c>
      <c r="G186">
        <v>-368.61070000000001</v>
      </c>
      <c r="H186">
        <v>11.897119999999999</v>
      </c>
      <c r="I186">
        <v>344.56349999999998</v>
      </c>
      <c r="J186">
        <v>-440.55939999999998</v>
      </c>
      <c r="K186">
        <v>1.1034759999999999</v>
      </c>
      <c r="L186">
        <v>367.6771</v>
      </c>
      <c r="M186">
        <v>0.99988809999999995</v>
      </c>
      <c r="N186">
        <v>0</v>
      </c>
      <c r="O186">
        <v>1.144795E-2</v>
      </c>
      <c r="P186">
        <v>0.99826769999999998</v>
      </c>
      <c r="Q186">
        <v>-3.8295870000000002E-3</v>
      </c>
      <c r="R186">
        <v>5.8712460000000001E-2</v>
      </c>
      <c r="S186">
        <v>3.06231699999999</v>
      </c>
      <c r="T186">
        <v>0.45765899999999998</v>
      </c>
      <c r="U186">
        <v>-0.9799194</v>
      </c>
      <c r="V186">
        <v>-4.7279830000000002E-2</v>
      </c>
      <c r="W186">
        <v>5.7862119999999998E-3</v>
      </c>
      <c r="X186">
        <v>0.99886490000000006</v>
      </c>
      <c r="Y186">
        <v>0.31238640000000001</v>
      </c>
      <c r="Z186">
        <v>2.431852E-2</v>
      </c>
      <c r="AA186">
        <v>0.94964380000000004</v>
      </c>
      <c r="AB186">
        <v>31</v>
      </c>
      <c r="AC186">
        <v>71.948699999999903</v>
      </c>
      <c r="AD186">
        <v>10.793644</v>
      </c>
      <c r="AE186">
        <v>-23.113600000000002</v>
      </c>
      <c r="AF186">
        <v>23.457255071427898</v>
      </c>
      <c r="AG186">
        <v>10.793644</v>
      </c>
      <c r="AH186">
        <v>70.246327712110798</v>
      </c>
      <c r="AI186">
        <v>81.707915354246495</v>
      </c>
      <c r="AJ186">
        <v>71.534363071944796</v>
      </c>
      <c r="AK186">
        <v>74.841780599622496</v>
      </c>
    </row>
    <row r="187" spans="1:37" x14ac:dyDescent="0.2">
      <c r="A187" t="str">
        <f>"20200111160058438"</f>
        <v>20200111160058438</v>
      </c>
      <c r="B187" t="str">
        <f>"1578729658429607"</f>
        <v>1578729658429607</v>
      </c>
      <c r="C187" t="s">
        <v>37</v>
      </c>
      <c r="D187">
        <v>4.8627609999999999</v>
      </c>
      <c r="E187">
        <v>0.587719199999999</v>
      </c>
      <c r="F187" t="s">
        <v>45</v>
      </c>
      <c r="G187">
        <v>-366.29969999999997</v>
      </c>
      <c r="H187">
        <v>12.649760000000001</v>
      </c>
      <c r="I187">
        <v>344.3974</v>
      </c>
      <c r="J187">
        <v>-440.24329999999998</v>
      </c>
      <c r="K187">
        <v>1.1030990000000001</v>
      </c>
      <c r="L187">
        <v>367.6807</v>
      </c>
      <c r="M187">
        <v>0.99988840000000001</v>
      </c>
      <c r="N187">
        <v>0</v>
      </c>
      <c r="O187">
        <v>1.1510299999999999E-2</v>
      </c>
      <c r="P187">
        <v>0.99799689999999996</v>
      </c>
      <c r="Q187">
        <v>4.7900900000000002E-4</v>
      </c>
      <c r="R187">
        <v>6.3261369999999997E-2</v>
      </c>
      <c r="S187">
        <v>3.0635379999999999</v>
      </c>
      <c r="T187">
        <v>0.4763348</v>
      </c>
      <c r="U187">
        <v>-0.96038819999999903</v>
      </c>
      <c r="V187">
        <v>-5.1770040000000003E-2</v>
      </c>
      <c r="W187">
        <v>9.9979809999999995E-3</v>
      </c>
      <c r="X187">
        <v>0.99860899999999997</v>
      </c>
      <c r="Y187">
        <v>0.306614</v>
      </c>
      <c r="Z187">
        <v>2.4887599999999999E-2</v>
      </c>
      <c r="AA187">
        <v>0.95150849999999898</v>
      </c>
      <c r="AB187">
        <v>31</v>
      </c>
      <c r="AC187">
        <v>73.943600000000004</v>
      </c>
      <c r="AD187">
        <v>11.546661</v>
      </c>
      <c r="AE187">
        <v>-23.283300000000001</v>
      </c>
      <c r="AF187">
        <v>23.6091453716462</v>
      </c>
      <c r="AG187">
        <v>11.546661</v>
      </c>
      <c r="AH187">
        <v>72.071794305629894</v>
      </c>
      <c r="AI187">
        <v>81.343203953466897</v>
      </c>
      <c r="AJ187">
        <v>71.862334500177397</v>
      </c>
      <c r="AK187">
        <v>76.714149019991595</v>
      </c>
    </row>
    <row r="188" spans="1:37" x14ac:dyDescent="0.2">
      <c r="A188" t="str">
        <f>"20200111160058460"</f>
        <v>20200111160058460</v>
      </c>
      <c r="B188" t="str">
        <f>"1578729658449107"</f>
        <v>1578729658449107</v>
      </c>
      <c r="C188" t="s">
        <v>37</v>
      </c>
      <c r="D188">
        <v>4.8823720000000002</v>
      </c>
      <c r="E188">
        <v>0.58947830000000001</v>
      </c>
      <c r="F188" t="s">
        <v>48</v>
      </c>
      <c r="G188">
        <v>-282.32900000000001</v>
      </c>
      <c r="H188">
        <v>5.3442850000000002</v>
      </c>
      <c r="I188">
        <v>340.88630000000001</v>
      </c>
      <c r="J188">
        <v>-439.92230000000001</v>
      </c>
      <c r="K188">
        <v>1.102557</v>
      </c>
      <c r="L188">
        <v>367.68450000000001</v>
      </c>
      <c r="M188">
        <v>0.99988330000000003</v>
      </c>
      <c r="N188">
        <v>0</v>
      </c>
      <c r="O188">
        <v>1.1616039999999999E-2</v>
      </c>
      <c r="P188">
        <v>0.99767519999999998</v>
      </c>
      <c r="Q188">
        <v>3.7685890000000001E-3</v>
      </c>
      <c r="R188">
        <v>6.8045149999999999E-2</v>
      </c>
      <c r="S188">
        <v>3.0386660000000001</v>
      </c>
      <c r="T188">
        <v>8.1610920000000003E-2</v>
      </c>
      <c r="U188">
        <v>-0.51559449999999996</v>
      </c>
      <c r="V188">
        <v>-5.6453030000000001E-2</v>
      </c>
      <c r="W188">
        <v>1.36708E-2</v>
      </c>
      <c r="X188">
        <v>0.99831159999999997</v>
      </c>
      <c r="Y188">
        <v>0.17866170000000001</v>
      </c>
      <c r="Z188">
        <v>2.6915519999999998E-3</v>
      </c>
      <c r="AA188">
        <v>0.98390689999999903</v>
      </c>
      <c r="AB188">
        <v>31</v>
      </c>
      <c r="AC188">
        <v>157.5933</v>
      </c>
      <c r="AD188">
        <v>4.2417280000000002</v>
      </c>
      <c r="AE188">
        <v>-26.798200000000001</v>
      </c>
      <c r="AF188">
        <v>28.606950022008501</v>
      </c>
      <c r="AG188">
        <v>4.2417280000000002</v>
      </c>
      <c r="AH188">
        <v>157.16070626831899</v>
      </c>
      <c r="AI188">
        <v>88.478957290114096</v>
      </c>
      <c r="AJ188">
        <v>79.683763626076598</v>
      </c>
      <c r="AK188">
        <v>159.799366208832</v>
      </c>
    </row>
    <row r="189" spans="1:37" x14ac:dyDescent="0.2">
      <c r="A189" t="str">
        <f>"20200111160058482"</f>
        <v>20200111160058482</v>
      </c>
      <c r="B189" t="str">
        <f>"1578729658479364"</f>
        <v>1578729658479364</v>
      </c>
      <c r="C189" t="s">
        <v>37</v>
      </c>
      <c r="D189">
        <v>5.0250779999999997</v>
      </c>
      <c r="E189">
        <v>0.58916469999999999</v>
      </c>
      <c r="F189" t="s">
        <v>48</v>
      </c>
      <c r="G189">
        <v>-282.32900000000001</v>
      </c>
      <c r="H189">
        <v>6.0170069999999898</v>
      </c>
      <c r="I189">
        <v>340.99400000000003</v>
      </c>
      <c r="J189">
        <v>-439.62439999999998</v>
      </c>
      <c r="K189">
        <v>1.101853</v>
      </c>
      <c r="L189">
        <v>367.68810000000002</v>
      </c>
      <c r="M189">
        <v>0.99987399999999904</v>
      </c>
      <c r="N189">
        <v>0</v>
      </c>
      <c r="O189">
        <v>1.175059E-2</v>
      </c>
      <c r="P189">
        <v>0.99738039999999994</v>
      </c>
      <c r="Q189">
        <v>6.8250580000000002E-3</v>
      </c>
      <c r="R189">
        <v>7.2011969999999995E-2</v>
      </c>
      <c r="S189">
        <v>3.041779</v>
      </c>
      <c r="T189">
        <v>9.4856140000000005E-2</v>
      </c>
      <c r="U189">
        <v>-0.51516720000000005</v>
      </c>
      <c r="V189">
        <v>-6.0290139999999999E-2</v>
      </c>
      <c r="W189">
        <v>1.7465959999999999E-2</v>
      </c>
      <c r="X189">
        <v>0.99802809999999897</v>
      </c>
      <c r="Y189">
        <v>0.17847070000000001</v>
      </c>
      <c r="Z189">
        <v>3.1262849999999999E-3</v>
      </c>
      <c r="AA189">
        <v>0.98394020000000004</v>
      </c>
      <c r="AB189">
        <v>31</v>
      </c>
      <c r="AC189">
        <v>157.29539999999901</v>
      </c>
      <c r="AD189">
        <v>4.9151539999999896</v>
      </c>
      <c r="AE189">
        <v>-26.694099999999899</v>
      </c>
      <c r="AF189">
        <v>28.513613630517501</v>
      </c>
      <c r="AG189">
        <v>4.9151539999999896</v>
      </c>
      <c r="AH189">
        <v>156.82201024124399</v>
      </c>
      <c r="AI189">
        <v>88.2337483934689</v>
      </c>
      <c r="AJ189">
        <v>79.694969322078805</v>
      </c>
      <c r="AK189">
        <v>159.46889288265299</v>
      </c>
    </row>
    <row r="190" spans="1:37" x14ac:dyDescent="0.2">
      <c r="A190" t="str">
        <f>"20200111160058503"</f>
        <v>20200111160058503</v>
      </c>
      <c r="B190" t="str">
        <f>"1578729658499860"</f>
        <v>1578729658499860</v>
      </c>
      <c r="C190" t="s">
        <v>37</v>
      </c>
      <c r="D190">
        <v>5.0081470000000001</v>
      </c>
      <c r="E190">
        <v>0.52311620000000003</v>
      </c>
      <c r="F190" t="s">
        <v>48</v>
      </c>
      <c r="G190">
        <v>-282.47660000000002</v>
      </c>
      <c r="H190">
        <v>6.8736839999999999</v>
      </c>
      <c r="I190">
        <v>341.82229999999998</v>
      </c>
      <c r="J190">
        <v>-439.32029999999997</v>
      </c>
      <c r="K190">
        <v>1.100965</v>
      </c>
      <c r="L190">
        <v>367.69189999999998</v>
      </c>
      <c r="M190">
        <v>0.99985729999999995</v>
      </c>
      <c r="N190">
        <v>0</v>
      </c>
      <c r="O190">
        <v>1.1915230000000001E-2</v>
      </c>
      <c r="P190">
        <v>0.99717180000000005</v>
      </c>
      <c r="Q190">
        <v>6.1324819999999999E-3</v>
      </c>
      <c r="R190">
        <v>7.4906329999999993E-2</v>
      </c>
      <c r="S190">
        <v>3.043304</v>
      </c>
      <c r="T190">
        <v>0.1117766</v>
      </c>
      <c r="U190">
        <v>-0.50091549999999996</v>
      </c>
      <c r="V190">
        <v>-6.3024209999999997E-2</v>
      </c>
      <c r="W190">
        <v>1.807288E-2</v>
      </c>
      <c r="X190">
        <v>0.99784830000000002</v>
      </c>
      <c r="Y190">
        <v>0.17403489999999999</v>
      </c>
      <c r="Z190">
        <v>3.6083220000000002E-3</v>
      </c>
      <c r="AA190">
        <v>0.98473290000000002</v>
      </c>
      <c r="AB190">
        <v>31</v>
      </c>
      <c r="AC190">
        <v>156.84369999999899</v>
      </c>
      <c r="AD190">
        <v>5.7727190000000004</v>
      </c>
      <c r="AE190">
        <v>-25.869599999999899</v>
      </c>
      <c r="AF190">
        <v>27.7001958218138</v>
      </c>
      <c r="AG190">
        <v>5.7727190000000004</v>
      </c>
      <c r="AH190">
        <v>156.31815193992099</v>
      </c>
      <c r="AI190">
        <v>87.917483233313604</v>
      </c>
      <c r="AJ190">
        <v>79.951275146965997</v>
      </c>
      <c r="AK190">
        <v>158.85839530579401</v>
      </c>
    </row>
    <row r="191" spans="1:37" x14ac:dyDescent="0.2">
      <c r="A191" t="str">
        <f>"20200111160058527"</f>
        <v>20200111160058527</v>
      </c>
      <c r="B191" t="str">
        <f>"1578729658519380"</f>
        <v>1578729658519380</v>
      </c>
      <c r="C191" t="s">
        <v>37</v>
      </c>
      <c r="D191">
        <v>5.001576</v>
      </c>
      <c r="E191">
        <v>0.52087019999999995</v>
      </c>
      <c r="F191" t="s">
        <v>39</v>
      </c>
      <c r="G191">
        <v>-418.27839999999998</v>
      </c>
      <c r="H191">
        <v>-0.05</v>
      </c>
      <c r="I191">
        <v>368.0557</v>
      </c>
      <c r="J191">
        <v>-438.99079999999998</v>
      </c>
      <c r="K191">
        <v>1.099828</v>
      </c>
      <c r="L191">
        <v>367.6961</v>
      </c>
      <c r="M191">
        <v>0.99982870000000001</v>
      </c>
      <c r="N191">
        <v>0</v>
      </c>
      <c r="O191">
        <v>1.212858E-2</v>
      </c>
      <c r="P191">
        <v>0.99712400000000001</v>
      </c>
      <c r="Q191">
        <v>4.2106269999999998E-3</v>
      </c>
      <c r="R191">
        <v>7.5672749999999997E-2</v>
      </c>
      <c r="S191">
        <v>3.005585</v>
      </c>
      <c r="T191">
        <v>-0.16440099999999999</v>
      </c>
      <c r="U191">
        <v>5.1971440000000001E-2</v>
      </c>
      <c r="V191">
        <v>-6.3580349999999994E-2</v>
      </c>
      <c r="W191">
        <v>1.814487E-2</v>
      </c>
      <c r="X191">
        <v>0.99781169999999997</v>
      </c>
      <c r="Y191">
        <v>-5.1702099999999997E-3</v>
      </c>
      <c r="Z191">
        <v>-5.2162040000000001E-4</v>
      </c>
      <c r="AA191">
        <v>0.9999865</v>
      </c>
      <c r="AB191">
        <v>31</v>
      </c>
      <c r="AC191">
        <v>20.712399999999999</v>
      </c>
      <c r="AD191">
        <v>-1.1498280000000001</v>
      </c>
      <c r="AE191">
        <v>0.35959999999999998</v>
      </c>
      <c r="AF191">
        <v>-0.108004241338371</v>
      </c>
      <c r="AG191">
        <v>-1.1498280000000001</v>
      </c>
      <c r="AH191">
        <v>20.651613056966401</v>
      </c>
      <c r="AI191">
        <v>93.186745940327498</v>
      </c>
      <c r="AJ191">
        <v>90.299643943758497</v>
      </c>
      <c r="AK191">
        <v>20.683879984190501</v>
      </c>
    </row>
    <row r="192" spans="1:37" x14ac:dyDescent="0.2">
      <c r="A192" t="str">
        <f>"20200111160058549"</f>
        <v>20200111160058549</v>
      </c>
      <c r="B192" t="str">
        <f>"1578729658539877"</f>
        <v>1578729658539877</v>
      </c>
      <c r="C192" t="s">
        <v>37</v>
      </c>
      <c r="D192">
        <v>5.0030760000000001</v>
      </c>
      <c r="E192">
        <v>0.52048179999999999</v>
      </c>
      <c r="F192" t="s">
        <v>39</v>
      </c>
      <c r="G192">
        <v>-421.09620000000001</v>
      </c>
      <c r="H192">
        <v>-0.05</v>
      </c>
      <c r="I192">
        <v>368.12849999999997</v>
      </c>
      <c r="J192">
        <v>-438.68529999999998</v>
      </c>
      <c r="K192">
        <v>1.0985849999999999</v>
      </c>
      <c r="L192">
        <v>367.7</v>
      </c>
      <c r="M192">
        <v>0.99979419999999897</v>
      </c>
      <c r="N192">
        <v>0</v>
      </c>
      <c r="O192">
        <v>1.237155E-2</v>
      </c>
      <c r="P192">
        <v>0.99716349999999998</v>
      </c>
      <c r="Q192">
        <v>1.8266479999999999E-3</v>
      </c>
      <c r="R192">
        <v>7.5246060000000003E-2</v>
      </c>
      <c r="S192">
        <v>3.0039980000000002</v>
      </c>
      <c r="T192">
        <v>-0.19302369999999999</v>
      </c>
      <c r="U192">
        <v>7.2601319999999997E-2</v>
      </c>
      <c r="V192">
        <v>-6.2911239999999993E-2</v>
      </c>
      <c r="W192">
        <v>1.78426E-2</v>
      </c>
      <c r="X192">
        <v>0.99785959999999996</v>
      </c>
      <c r="Y192">
        <v>-1.1790989999999999E-2</v>
      </c>
      <c r="Z192">
        <v>-4.156912E-4</v>
      </c>
      <c r="AA192">
        <v>0.9999304</v>
      </c>
      <c r="AB192">
        <v>31</v>
      </c>
      <c r="AC192">
        <v>17.589099999999899</v>
      </c>
      <c r="AD192">
        <v>-1.148585</v>
      </c>
      <c r="AE192">
        <v>0.428499999999985</v>
      </c>
      <c r="AF192">
        <v>-0.20993993904512501</v>
      </c>
      <c r="AG192">
        <v>-1.148585</v>
      </c>
      <c r="AH192">
        <v>17.518397546518202</v>
      </c>
      <c r="AI192">
        <v>93.750931695314193</v>
      </c>
      <c r="AJ192">
        <v>90.686597997419895</v>
      </c>
      <c r="AK192">
        <v>17.557265586590798</v>
      </c>
    </row>
    <row r="193" spans="1:37" x14ac:dyDescent="0.2">
      <c r="A193" t="str">
        <f>"20200111160058572"</f>
        <v>20200111160058572</v>
      </c>
      <c r="B193" t="str">
        <f>"1578729658569156"</f>
        <v>1578729658569156</v>
      </c>
      <c r="C193" t="s">
        <v>37</v>
      </c>
      <c r="D193">
        <v>4.9718220000000004</v>
      </c>
      <c r="E193">
        <v>0.52024649999999995</v>
      </c>
      <c r="F193" t="s">
        <v>39</v>
      </c>
      <c r="G193">
        <v>-422.2088</v>
      </c>
      <c r="H193">
        <v>-0.05</v>
      </c>
      <c r="I193">
        <v>368.10840000000002</v>
      </c>
      <c r="J193">
        <v>-438.37020000000001</v>
      </c>
      <c r="K193">
        <v>1.0970150000000001</v>
      </c>
      <c r="L193">
        <v>367.70429999999999</v>
      </c>
      <c r="M193">
        <v>0.9997627</v>
      </c>
      <c r="N193">
        <v>0</v>
      </c>
      <c r="O193">
        <v>1.2686319999999999E-2</v>
      </c>
      <c r="P193">
        <v>0.99717829999999996</v>
      </c>
      <c r="Q193">
        <v>-2.3087299999999901E-4</v>
      </c>
      <c r="R193">
        <v>7.5069259999999999E-2</v>
      </c>
      <c r="S193">
        <v>3.0033259999999999</v>
      </c>
      <c r="T193">
        <v>-0.20936269999999901</v>
      </c>
      <c r="U193">
        <v>7.4432369999999998E-2</v>
      </c>
      <c r="V193">
        <v>-6.2420169999999997E-2</v>
      </c>
      <c r="W193">
        <v>1.7416379999999999E-2</v>
      </c>
      <c r="X193">
        <v>0.99789799999999995</v>
      </c>
      <c r="Y193">
        <v>-1.2090740000000001E-2</v>
      </c>
      <c r="Z193">
        <v>-4.623966E-4</v>
      </c>
      <c r="AA193">
        <v>0.9999268</v>
      </c>
      <c r="AB193">
        <v>31</v>
      </c>
      <c r="AC193">
        <v>16.1614</v>
      </c>
      <c r="AD193">
        <v>-1.1470149999999999</v>
      </c>
      <c r="AE193">
        <v>0.40410000000002799</v>
      </c>
      <c r="AF193">
        <v>-0.19800985034282401</v>
      </c>
      <c r="AG193">
        <v>-1.1470149999999999</v>
      </c>
      <c r="AH193">
        <v>16.084259018393698</v>
      </c>
      <c r="AI193">
        <v>94.078714313279903</v>
      </c>
      <c r="AJ193">
        <v>90.705320377346098</v>
      </c>
      <c r="AK193">
        <v>16.126321325145302</v>
      </c>
    </row>
    <row r="194" spans="1:37" x14ac:dyDescent="0.2">
      <c r="A194" t="str">
        <f>"20200111160058594"</f>
        <v>20200111160058594</v>
      </c>
      <c r="B194" t="str">
        <f>"1578729658589652"</f>
        <v>1578729658589652</v>
      </c>
      <c r="C194" t="s">
        <v>37</v>
      </c>
      <c r="D194">
        <v>4.991193</v>
      </c>
      <c r="E194">
        <v>0.52055819999999997</v>
      </c>
      <c r="F194" t="s">
        <v>42</v>
      </c>
      <c r="G194">
        <v>-437.40249999999997</v>
      </c>
      <c r="H194">
        <v>1.023299</v>
      </c>
      <c r="I194">
        <v>367.72879999999998</v>
      </c>
      <c r="J194">
        <v>-438.06130000000002</v>
      </c>
      <c r="K194">
        <v>1.0952440000000001</v>
      </c>
      <c r="L194">
        <v>367.70850000000002</v>
      </c>
      <c r="M194">
        <v>0.99973609999999902</v>
      </c>
      <c r="N194">
        <v>0</v>
      </c>
      <c r="O194">
        <v>1.301484E-2</v>
      </c>
      <c r="P194">
        <v>0.99712649999999903</v>
      </c>
      <c r="Q194">
        <v>-2.2818929999999901E-3</v>
      </c>
      <c r="R194">
        <v>7.5719469999999997E-2</v>
      </c>
      <c r="S194">
        <v>3.0027469999999998</v>
      </c>
      <c r="T194">
        <v>-0.22877549999999999</v>
      </c>
      <c r="U194">
        <v>7.6110839999999999E-2</v>
      </c>
      <c r="V194">
        <v>-6.2743220000000002E-2</v>
      </c>
      <c r="W194">
        <v>1.6569629999999998E-2</v>
      </c>
      <c r="X194">
        <v>0.99789209999999995</v>
      </c>
      <c r="Y194">
        <v>-1.23258E-2</v>
      </c>
      <c r="Z194">
        <v>-5.2131740000000001E-4</v>
      </c>
      <c r="AA194">
        <v>0.99992389999999998</v>
      </c>
      <c r="AB194">
        <v>31</v>
      </c>
      <c r="AC194">
        <v>0.65880000000004202</v>
      </c>
      <c r="AD194">
        <v>-7.1945000000000106E-2</v>
      </c>
      <c r="AE194">
        <v>2.0299999999963299E-2</v>
      </c>
      <c r="AF194">
        <v>-1.15845408414242E-2</v>
      </c>
      <c r="AG194">
        <v>-7.1945000000000106E-2</v>
      </c>
      <c r="AH194">
        <v>0.65124901555345405</v>
      </c>
      <c r="AI194">
        <v>96.303047324907894</v>
      </c>
      <c r="AJ194">
        <v>91.019080701681702</v>
      </c>
      <c r="AK194">
        <v>0.65531333335348096</v>
      </c>
    </row>
    <row r="195" spans="1:37" x14ac:dyDescent="0.2">
      <c r="A195" t="str">
        <f>"20200111160058616"</f>
        <v>20200111160058616</v>
      </c>
      <c r="B195" t="str">
        <f>"1578729658609172"</f>
        <v>1578729658609172</v>
      </c>
      <c r="C195" t="s">
        <v>37</v>
      </c>
      <c r="D195">
        <v>4.9432119999999999</v>
      </c>
      <c r="E195">
        <v>0.52067819999999998</v>
      </c>
      <c r="F195" t="s">
        <v>42</v>
      </c>
      <c r="G195">
        <v>-437.1223</v>
      </c>
      <c r="H195">
        <v>1.0209589999999999</v>
      </c>
      <c r="I195">
        <v>367.73180000000002</v>
      </c>
      <c r="J195">
        <v>-437.7373</v>
      </c>
      <c r="K195">
        <v>1.0931979999999999</v>
      </c>
      <c r="L195">
        <v>367.71300000000002</v>
      </c>
      <c r="M195">
        <v>0.99971189999999999</v>
      </c>
      <c r="N195">
        <v>0</v>
      </c>
      <c r="O195">
        <v>1.334977E-2</v>
      </c>
      <c r="P195">
        <v>0.99706229999999996</v>
      </c>
      <c r="Q195">
        <v>-3.3479820000000002E-3</v>
      </c>
      <c r="R195">
        <v>7.6522270000000003E-2</v>
      </c>
      <c r="S195">
        <v>3.00238</v>
      </c>
      <c r="T195">
        <v>-0.2378004</v>
      </c>
      <c r="U195">
        <v>7.5744629999999993E-2</v>
      </c>
      <c r="V195">
        <v>-6.321338E-2</v>
      </c>
      <c r="W195">
        <v>1.6519570000000001E-2</v>
      </c>
      <c r="X195">
        <v>0.99786330000000001</v>
      </c>
      <c r="Y195">
        <v>-1.187436E-2</v>
      </c>
      <c r="Z195">
        <v>-5.8623789999999996E-4</v>
      </c>
      <c r="AA195">
        <v>0.99992930000000002</v>
      </c>
      <c r="AB195">
        <v>31</v>
      </c>
      <c r="AC195">
        <v>0.61500000000000898</v>
      </c>
      <c r="AD195">
        <v>-7.2238999999999901E-2</v>
      </c>
      <c r="AE195">
        <v>1.87999999999988E-2</v>
      </c>
      <c r="AF195">
        <v>-1.04426362061232E-2</v>
      </c>
      <c r="AG195">
        <v>-7.2238999999999901E-2</v>
      </c>
      <c r="AH195">
        <v>0.60683139875519898</v>
      </c>
      <c r="AI195">
        <v>96.787715234569404</v>
      </c>
      <c r="AJ195">
        <v>90.985875043724306</v>
      </c>
      <c r="AK195">
        <v>0.611205258720117</v>
      </c>
    </row>
    <row r="196" spans="1:37" x14ac:dyDescent="0.2">
      <c r="A196" t="str">
        <f>"20200111160058640"</f>
        <v>20200111160058640</v>
      </c>
      <c r="B196" t="str">
        <f>"1578729658629668"</f>
        <v>1578729658629668</v>
      </c>
      <c r="C196" t="s">
        <v>37</v>
      </c>
      <c r="D196">
        <v>4.9247069999999997</v>
      </c>
      <c r="E196">
        <v>0.52092129999999903</v>
      </c>
      <c r="F196" t="s">
        <v>42</v>
      </c>
      <c r="G196">
        <v>-436.83330000000001</v>
      </c>
      <c r="H196">
        <v>1.019862</v>
      </c>
      <c r="I196">
        <v>367.73630000000003</v>
      </c>
      <c r="J196">
        <v>-437.4119</v>
      </c>
      <c r="K196">
        <v>1.0909279999999999</v>
      </c>
      <c r="L196">
        <v>367.71769999999998</v>
      </c>
      <c r="M196">
        <v>0.99969229999999998</v>
      </c>
      <c r="N196">
        <v>0</v>
      </c>
      <c r="O196">
        <v>1.3679220000000001E-2</v>
      </c>
      <c r="P196">
        <v>0.99701879999999998</v>
      </c>
      <c r="Q196">
        <v>-3.9344089999999998E-3</v>
      </c>
      <c r="R196">
        <v>7.7059849999999999E-2</v>
      </c>
      <c r="S196">
        <v>3.002014</v>
      </c>
      <c r="T196">
        <v>-0.24361439999999901</v>
      </c>
      <c r="U196">
        <v>7.7697749999999996E-2</v>
      </c>
      <c r="V196">
        <v>-6.3423530000000006E-2</v>
      </c>
      <c r="W196">
        <v>1.6672139999999998E-2</v>
      </c>
      <c r="X196">
        <v>0.99784740000000005</v>
      </c>
      <c r="Y196">
        <v>-1.219809E-2</v>
      </c>
      <c r="Z196">
        <v>-6.1418449999999999E-4</v>
      </c>
      <c r="AA196">
        <v>0.99992539999999996</v>
      </c>
      <c r="AB196">
        <v>31</v>
      </c>
      <c r="AC196">
        <v>0.57859999999999401</v>
      </c>
      <c r="AD196">
        <v>-7.1066000000000004E-2</v>
      </c>
      <c r="AE196">
        <v>1.8600000000049001E-2</v>
      </c>
      <c r="AF196">
        <v>-1.05231810281755E-2</v>
      </c>
      <c r="AG196">
        <v>-7.1066000000000004E-2</v>
      </c>
      <c r="AH196">
        <v>0.57020720536417402</v>
      </c>
      <c r="AI196">
        <v>97.103051426306493</v>
      </c>
      <c r="AJ196">
        <v>91.057274299070301</v>
      </c>
      <c r="AK196">
        <v>0.57471503438153904</v>
      </c>
    </row>
    <row r="197" spans="1:37" x14ac:dyDescent="0.2">
      <c r="A197" t="str">
        <f>"20200111160058662"</f>
        <v>20200111160058662</v>
      </c>
      <c r="B197" t="str">
        <f>"1578729658658948"</f>
        <v>1578729658658948</v>
      </c>
      <c r="C197" t="s">
        <v>37</v>
      </c>
      <c r="D197">
        <v>4.9115269999999898</v>
      </c>
      <c r="E197">
        <v>0.52148430000000001</v>
      </c>
      <c r="F197" t="s">
        <v>39</v>
      </c>
      <c r="G197">
        <v>-423.6497</v>
      </c>
      <c r="H197">
        <v>-0.05</v>
      </c>
      <c r="I197">
        <v>368.07369999999997</v>
      </c>
      <c r="J197">
        <v>-437.10340000000002</v>
      </c>
      <c r="K197">
        <v>1.08857</v>
      </c>
      <c r="L197">
        <v>367.72230000000002</v>
      </c>
      <c r="M197">
        <v>0.99968069999999898</v>
      </c>
      <c r="N197">
        <v>0</v>
      </c>
      <c r="O197">
        <v>1.3992569999999999E-2</v>
      </c>
      <c r="P197">
        <v>0.99697729999999996</v>
      </c>
      <c r="Q197">
        <v>-4.1157009999999898E-3</v>
      </c>
      <c r="R197">
        <v>7.758611E-2</v>
      </c>
      <c r="S197">
        <v>3.002014</v>
      </c>
      <c r="T197">
        <v>-0.24887570000000001</v>
      </c>
      <c r="U197">
        <v>7.7636720000000006E-2</v>
      </c>
      <c r="V197">
        <v>-6.3637929999999995E-2</v>
      </c>
      <c r="W197">
        <v>1.6839489999999999E-2</v>
      </c>
      <c r="X197">
        <v>0.99783099999999902</v>
      </c>
      <c r="Y197">
        <v>-1.1866669999999999E-2</v>
      </c>
      <c r="Z197">
        <v>-6.6705499999999995E-4</v>
      </c>
      <c r="AA197">
        <v>0.99992939999999997</v>
      </c>
      <c r="AB197">
        <v>31</v>
      </c>
      <c r="AC197">
        <v>13.4537</v>
      </c>
      <c r="AD197">
        <v>-1.1385700000000001</v>
      </c>
      <c r="AE197">
        <v>0.35139999999995503</v>
      </c>
      <c r="AF197">
        <v>-0.16191322304911199</v>
      </c>
      <c r="AG197">
        <v>-1.1385700000000001</v>
      </c>
      <c r="AH197">
        <v>13.361668964645901</v>
      </c>
      <c r="AI197">
        <v>94.870147136035101</v>
      </c>
      <c r="AJ197">
        <v>90.694261347016393</v>
      </c>
      <c r="AK197">
        <v>13.4110683786744</v>
      </c>
    </row>
    <row r="198" spans="1:37" x14ac:dyDescent="0.2">
      <c r="A198" t="str">
        <f>"20200111160058684"</f>
        <v>20200111160058684</v>
      </c>
      <c r="B198" t="str">
        <f>"1578729658679445"</f>
        <v>1578729658679445</v>
      </c>
      <c r="C198" t="s">
        <v>37</v>
      </c>
      <c r="D198">
        <v>4.8894489999999999</v>
      </c>
      <c r="E198">
        <v>0.52196260000000005</v>
      </c>
      <c r="F198" t="s">
        <v>39</v>
      </c>
      <c r="G198">
        <v>-423.53629999999998</v>
      </c>
      <c r="H198">
        <v>-0.05</v>
      </c>
      <c r="I198">
        <v>368.06439999999998</v>
      </c>
      <c r="J198">
        <v>-436.80180000000001</v>
      </c>
      <c r="K198">
        <v>1.086095</v>
      </c>
      <c r="L198">
        <v>367.72680000000003</v>
      </c>
      <c r="M198">
        <v>0.99967640000000002</v>
      </c>
      <c r="N198">
        <v>0</v>
      </c>
      <c r="O198">
        <v>1.4301639999999999E-2</v>
      </c>
      <c r="P198">
        <v>0.99696549999999995</v>
      </c>
      <c r="Q198">
        <v>-4.2195130000000003E-3</v>
      </c>
      <c r="R198">
        <v>7.7731800000000004E-2</v>
      </c>
      <c r="S198">
        <v>3.0021969999999998</v>
      </c>
      <c r="T198">
        <v>-0.25194850000000002</v>
      </c>
      <c r="U198">
        <v>7.5714110000000001E-2</v>
      </c>
      <c r="V198">
        <v>-6.3475340000000005E-2</v>
      </c>
      <c r="W198">
        <v>1.6726020000000001E-2</v>
      </c>
      <c r="X198">
        <v>0.99784319999999904</v>
      </c>
      <c r="Y198">
        <v>-1.0920590000000001E-2</v>
      </c>
      <c r="Z198">
        <v>-7.4073960000000001E-4</v>
      </c>
      <c r="AA198">
        <v>0.9999401</v>
      </c>
      <c r="AB198">
        <v>31</v>
      </c>
      <c r="AC198">
        <v>13.265499999999999</v>
      </c>
      <c r="AD198">
        <v>-1.1360950000000001</v>
      </c>
      <c r="AE198">
        <v>0.33759999999995199</v>
      </c>
      <c r="AF198">
        <v>-0.14672953723241</v>
      </c>
      <c r="AG198">
        <v>-1.1360950000000001</v>
      </c>
      <c r="AH198">
        <v>13.1724188528156</v>
      </c>
      <c r="AI198">
        <v>94.929144275884894</v>
      </c>
      <c r="AJ198">
        <v>90.638199833949798</v>
      </c>
      <c r="AK198">
        <v>13.2221352224266</v>
      </c>
    </row>
    <row r="199" spans="1:37" x14ac:dyDescent="0.2">
      <c r="A199" t="str">
        <f>"20200111160058706"</f>
        <v>20200111160058706</v>
      </c>
      <c r="B199" t="str">
        <f>"1578729658698964"</f>
        <v>1578729658698964</v>
      </c>
      <c r="C199" t="s">
        <v>37</v>
      </c>
      <c r="D199">
        <v>4.8554170000000001</v>
      </c>
      <c r="E199">
        <v>0.522063099999999</v>
      </c>
      <c r="F199" t="s">
        <v>39</v>
      </c>
      <c r="G199">
        <v>-423.26330000000002</v>
      </c>
      <c r="H199">
        <v>-0.05</v>
      </c>
      <c r="I199">
        <v>368.05079999999998</v>
      </c>
      <c r="J199">
        <v>-436.4796</v>
      </c>
      <c r="K199">
        <v>1.0833170000000001</v>
      </c>
      <c r="L199">
        <v>367.73180000000002</v>
      </c>
      <c r="M199">
        <v>0.99967659999999903</v>
      </c>
      <c r="N199">
        <v>0</v>
      </c>
      <c r="O199">
        <v>1.4603659999999999E-2</v>
      </c>
      <c r="P199">
        <v>0.99698500000000001</v>
      </c>
      <c r="Q199">
        <v>-4.52108299999999E-3</v>
      </c>
      <c r="R199">
        <v>7.7465619999999999E-2</v>
      </c>
      <c r="S199">
        <v>3.0024410000000001</v>
      </c>
      <c r="T199">
        <v>-0.25195079999999997</v>
      </c>
      <c r="U199">
        <v>7.1838379999999993E-2</v>
      </c>
      <c r="V199">
        <v>-6.2907279999999996E-2</v>
      </c>
      <c r="W199">
        <v>1.6205859999999999E-2</v>
      </c>
      <c r="X199">
        <v>0.99788779999999999</v>
      </c>
      <c r="Y199">
        <v>-9.3331330000000004E-3</v>
      </c>
      <c r="Z199">
        <v>-8.3247240000000004E-4</v>
      </c>
      <c r="AA199">
        <v>0.99995610000000001</v>
      </c>
      <c r="AB199">
        <v>31</v>
      </c>
      <c r="AC199">
        <v>13.216299999999899</v>
      </c>
      <c r="AD199">
        <v>-1.1333169999999999</v>
      </c>
      <c r="AE199">
        <v>0.31899999999995998</v>
      </c>
      <c r="AF199">
        <v>-0.124999152212193</v>
      </c>
      <c r="AG199">
        <v>-1.1333169999999999</v>
      </c>
      <c r="AH199">
        <v>13.1231074658303</v>
      </c>
      <c r="AI199">
        <v>94.935618088358396</v>
      </c>
      <c r="AJ199">
        <v>90.545732578927598</v>
      </c>
      <c r="AK199">
        <v>13.1725465180531</v>
      </c>
    </row>
    <row r="200" spans="1:37" x14ac:dyDescent="0.2">
      <c r="A200" t="str">
        <f>"20200111160058730"</f>
        <v>20200111160058730</v>
      </c>
      <c r="B200" t="str">
        <f>"1578729658719460"</f>
        <v>1578729658719460</v>
      </c>
      <c r="C200" t="s">
        <v>37</v>
      </c>
      <c r="D200">
        <v>4.8284449999999897</v>
      </c>
      <c r="E200">
        <v>0.52221070000000003</v>
      </c>
      <c r="F200" t="s">
        <v>39</v>
      </c>
      <c r="G200">
        <v>-423.09989999999999</v>
      </c>
      <c r="H200">
        <v>-0.05</v>
      </c>
      <c r="I200">
        <v>368.04469999999998</v>
      </c>
      <c r="J200">
        <v>-436.15839999999997</v>
      </c>
      <c r="K200">
        <v>1.0804719999999901</v>
      </c>
      <c r="L200">
        <v>367.73689999999999</v>
      </c>
      <c r="M200">
        <v>0.99967929999999905</v>
      </c>
      <c r="N200">
        <v>0</v>
      </c>
      <c r="O200">
        <v>1.488649E-2</v>
      </c>
      <c r="P200">
        <v>0.99702279999999999</v>
      </c>
      <c r="Q200">
        <v>-4.9417580000000001E-3</v>
      </c>
      <c r="R200">
        <v>7.6948920000000004E-2</v>
      </c>
      <c r="S200">
        <v>3.002472</v>
      </c>
      <c r="T200">
        <v>-0.25432260000000001</v>
      </c>
      <c r="U200">
        <v>7.0220950000000004E-2</v>
      </c>
      <c r="V200">
        <v>-6.2107170000000003E-2</v>
      </c>
      <c r="W200">
        <v>1.5463040000000001E-2</v>
      </c>
      <c r="X200">
        <v>0.99794969999999905</v>
      </c>
      <c r="Y200">
        <v>-8.5159859999999997E-3</v>
      </c>
      <c r="Z200">
        <v>-8.9872439999999997E-4</v>
      </c>
      <c r="AA200">
        <v>0.9999633</v>
      </c>
      <c r="AB200">
        <v>31</v>
      </c>
      <c r="AC200">
        <v>13.058499999999899</v>
      </c>
      <c r="AD200">
        <v>-1.1304719999999999</v>
      </c>
      <c r="AE200">
        <v>0.30779999999998597</v>
      </c>
      <c r="AF200">
        <v>-0.11248729382586301</v>
      </c>
      <c r="AG200">
        <v>-1.1304719999999999</v>
      </c>
      <c r="AH200">
        <v>12.9645288484757</v>
      </c>
      <c r="AI200">
        <v>94.983246251427005</v>
      </c>
      <c r="AJ200">
        <v>90.497116828141202</v>
      </c>
      <c r="AK200">
        <v>13.014208719588501</v>
      </c>
    </row>
    <row r="201" spans="1:37" x14ac:dyDescent="0.2">
      <c r="A201" t="str">
        <f>"20200111160058751"</f>
        <v>20200111160058751</v>
      </c>
      <c r="B201" t="str">
        <f>"1578729658749716"</f>
        <v>1578729658749716</v>
      </c>
      <c r="C201" t="s">
        <v>37</v>
      </c>
      <c r="D201">
        <v>4.7966449999999998</v>
      </c>
      <c r="E201">
        <v>0.52236759999999904</v>
      </c>
      <c r="F201" t="s">
        <v>42</v>
      </c>
      <c r="G201">
        <v>-435.1687</v>
      </c>
      <c r="H201">
        <v>0.99658919999999995</v>
      </c>
      <c r="I201">
        <v>367.75889999999998</v>
      </c>
      <c r="J201">
        <v>-435.8528</v>
      </c>
      <c r="K201">
        <v>1.077752</v>
      </c>
      <c r="L201">
        <v>367.74180000000001</v>
      </c>
      <c r="M201">
        <v>0.99968449999999998</v>
      </c>
      <c r="N201">
        <v>0</v>
      </c>
      <c r="O201">
        <v>1.5156319999999999E-2</v>
      </c>
      <c r="P201">
        <v>0.99699340000000003</v>
      </c>
      <c r="Q201">
        <v>-3.844554E-3</v>
      </c>
      <c r="R201">
        <v>7.7390749999999994E-2</v>
      </c>
      <c r="S201">
        <v>3.0025019999999998</v>
      </c>
      <c r="T201">
        <v>-0.25458710000000001</v>
      </c>
      <c r="U201">
        <v>6.7321779999999998E-2</v>
      </c>
      <c r="V201">
        <v>-6.227974E-2</v>
      </c>
      <c r="W201">
        <v>1.6104779999999999E-2</v>
      </c>
      <c r="X201">
        <v>0.99792879999999995</v>
      </c>
      <c r="Y201">
        <v>-7.2863579999999997E-3</v>
      </c>
      <c r="Z201">
        <v>-9.7451389999999997E-4</v>
      </c>
      <c r="AA201">
        <v>0.999973</v>
      </c>
      <c r="AB201">
        <v>31</v>
      </c>
      <c r="AC201">
        <v>0.68410000000000004</v>
      </c>
      <c r="AD201">
        <v>-8.1162799999999993E-2</v>
      </c>
      <c r="AE201">
        <v>1.7099999999970798E-2</v>
      </c>
      <c r="AF201">
        <v>-6.6341924303590901E-3</v>
      </c>
      <c r="AG201">
        <v>-8.1162799999999993E-2</v>
      </c>
      <c r="AH201">
        <v>0.67478832202474104</v>
      </c>
      <c r="AI201">
        <v>96.858197797923197</v>
      </c>
      <c r="AJ201">
        <v>90.563286245509005</v>
      </c>
      <c r="AK201">
        <v>0.67968425916303898</v>
      </c>
    </row>
    <row r="202" spans="1:37" x14ac:dyDescent="0.2">
      <c r="A202" t="str">
        <f>"20200111160058773"</f>
        <v>20200111160058773</v>
      </c>
      <c r="B202" t="str">
        <f>"1578729658769236"</f>
        <v>1578729658769236</v>
      </c>
      <c r="C202" t="s">
        <v>37</v>
      </c>
      <c r="D202">
        <v>4.9219919999999897</v>
      </c>
      <c r="E202">
        <v>0.52240370000000003</v>
      </c>
      <c r="F202" t="s">
        <v>42</v>
      </c>
      <c r="G202">
        <v>-434.88740000000001</v>
      </c>
      <c r="H202">
        <v>0.99682530000000003</v>
      </c>
      <c r="I202">
        <v>367.7629</v>
      </c>
      <c r="J202">
        <v>-435.5573</v>
      </c>
      <c r="K202">
        <v>1.0751809999999999</v>
      </c>
      <c r="L202">
        <v>367.7466</v>
      </c>
      <c r="M202">
        <v>0.99969219999999903</v>
      </c>
      <c r="N202">
        <v>0</v>
      </c>
      <c r="O202">
        <v>1.5415389999999999E-2</v>
      </c>
      <c r="P202">
        <v>0.99691289999999999</v>
      </c>
      <c r="Q202">
        <v>-2.0646060000000001E-3</v>
      </c>
      <c r="R202">
        <v>7.8490879999999999E-2</v>
      </c>
      <c r="S202">
        <v>3.002869</v>
      </c>
      <c r="T202">
        <v>-0.25196429999999997</v>
      </c>
      <c r="U202">
        <v>6.7108150000000005E-2</v>
      </c>
      <c r="V202">
        <v>-6.3122150000000002E-2</v>
      </c>
      <c r="W202">
        <v>1.7301E-2</v>
      </c>
      <c r="X202">
        <v>0.99785579999999996</v>
      </c>
      <c r="Y202">
        <v>-6.9550489999999996E-3</v>
      </c>
      <c r="Z202">
        <v>-9.9994959999999996E-4</v>
      </c>
      <c r="AA202">
        <v>0.99997530000000001</v>
      </c>
      <c r="AB202">
        <v>31</v>
      </c>
      <c r="AC202">
        <v>0.66989999999998395</v>
      </c>
      <c r="AD202">
        <v>-7.8355699999999903E-2</v>
      </c>
      <c r="AE202">
        <v>1.6300000000001001E-2</v>
      </c>
      <c r="AF202">
        <v>-5.8888230787164696E-3</v>
      </c>
      <c r="AG202">
        <v>-7.8355699999999903E-2</v>
      </c>
      <c r="AH202">
        <v>0.66103337086668001</v>
      </c>
      <c r="AI202">
        <v>96.7597559685166</v>
      </c>
      <c r="AJ202">
        <v>90.510406582101297</v>
      </c>
      <c r="AK202">
        <v>0.66568717229574703</v>
      </c>
    </row>
    <row r="203" spans="1:37" x14ac:dyDescent="0.2">
      <c r="A203" t="str">
        <f>"20200111160058795"</f>
        <v>20200111160058795</v>
      </c>
      <c r="B203" t="str">
        <f>"1578729658789733"</f>
        <v>1578729658789733</v>
      </c>
      <c r="C203" t="s">
        <v>37</v>
      </c>
      <c r="D203">
        <v>4.688885</v>
      </c>
      <c r="E203">
        <v>0.52254209999999901</v>
      </c>
      <c r="F203" t="s">
        <v>42</v>
      </c>
      <c r="G203">
        <v>-434.60509999999999</v>
      </c>
      <c r="H203">
        <v>0.99751719999999899</v>
      </c>
      <c r="I203">
        <v>367.76859999999999</v>
      </c>
      <c r="J203">
        <v>-435.24250000000001</v>
      </c>
      <c r="K203">
        <v>1.0725819999999999</v>
      </c>
      <c r="L203">
        <v>367.7516</v>
      </c>
      <c r="M203">
        <v>0.99970230000000004</v>
      </c>
      <c r="N203">
        <v>0</v>
      </c>
      <c r="O203">
        <v>1.566391E-2</v>
      </c>
      <c r="P203">
        <v>0.99686379999999997</v>
      </c>
      <c r="Q203">
        <v>4.7193650000000001E-4</v>
      </c>
      <c r="R203">
        <v>7.9134999999999997E-2</v>
      </c>
      <c r="S203">
        <v>3.0032349999999899</v>
      </c>
      <c r="T203">
        <v>-0.24509800000000001</v>
      </c>
      <c r="U203">
        <v>6.9946289999999994E-2</v>
      </c>
      <c r="V203">
        <v>-6.35183E-2</v>
      </c>
      <c r="W203">
        <v>1.9105529999999999E-2</v>
      </c>
      <c r="X203">
        <v>0.99779779999999996</v>
      </c>
      <c r="Y203">
        <v>-7.6453900000000002E-3</v>
      </c>
      <c r="Z203">
        <v>-9.6476949999999896E-4</v>
      </c>
      <c r="AA203">
        <v>0.99997029999999998</v>
      </c>
      <c r="AB203">
        <v>31</v>
      </c>
      <c r="AC203">
        <v>0.63740000000001296</v>
      </c>
      <c r="AD203">
        <v>-7.5064800000000001E-2</v>
      </c>
      <c r="AE203">
        <v>1.69999999999959E-2</v>
      </c>
      <c r="AF203">
        <v>-6.9161374306576599E-3</v>
      </c>
      <c r="AG203">
        <v>-7.5064800000000001E-2</v>
      </c>
      <c r="AH203">
        <v>0.62887240544169698</v>
      </c>
      <c r="AI203">
        <v>96.806446810349897</v>
      </c>
      <c r="AJ203">
        <v>90.630095242012501</v>
      </c>
      <c r="AK203">
        <v>0.63337434387731995</v>
      </c>
    </row>
    <row r="204" spans="1:37" x14ac:dyDescent="0.2">
      <c r="A204" t="str">
        <f>"20200111160058818"</f>
        <v>20200111160058818</v>
      </c>
      <c r="B204" t="str">
        <f>"1578729658809252"</f>
        <v>1578729658809252</v>
      </c>
      <c r="C204" t="s">
        <v>37</v>
      </c>
      <c r="D204">
        <v>4.5917300000000001</v>
      </c>
      <c r="E204">
        <v>0.52254480000000003</v>
      </c>
      <c r="F204" t="s">
        <v>42</v>
      </c>
      <c r="G204">
        <v>-434.32139999999998</v>
      </c>
      <c r="H204">
        <v>1.000075</v>
      </c>
      <c r="I204">
        <v>367.77289999999999</v>
      </c>
      <c r="J204">
        <v>-434.9228</v>
      </c>
      <c r="K204">
        <v>1.0701270000000001</v>
      </c>
      <c r="L204">
        <v>367.75689999999997</v>
      </c>
      <c r="M204">
        <v>0.99971379999999999</v>
      </c>
      <c r="N204">
        <v>0</v>
      </c>
      <c r="O204">
        <v>1.5866749999999999E-2</v>
      </c>
      <c r="P204">
        <v>0.99684229999999996</v>
      </c>
      <c r="Q204">
        <v>2.242249E-3</v>
      </c>
      <c r="R204">
        <v>7.9375619999999994E-2</v>
      </c>
      <c r="S204">
        <v>3.0039370000000001</v>
      </c>
      <c r="T204">
        <v>-0.2367254</v>
      </c>
      <c r="U204">
        <v>7.0678710000000006E-2</v>
      </c>
      <c r="V204">
        <v>-6.3556109999999999E-2</v>
      </c>
      <c r="W204">
        <v>2.007952E-2</v>
      </c>
      <c r="X204">
        <v>0.99777629999999995</v>
      </c>
      <c r="Y204">
        <v>-7.6796929999999996E-3</v>
      </c>
      <c r="Z204">
        <v>-9.4628599999999996E-4</v>
      </c>
      <c r="AA204">
        <v>0.99997009999999897</v>
      </c>
      <c r="AB204">
        <v>31</v>
      </c>
      <c r="AC204">
        <v>0.60140000000001204</v>
      </c>
      <c r="AD204">
        <v>-7.0052000000000003E-2</v>
      </c>
      <c r="AE204">
        <v>1.6000000000019499E-2</v>
      </c>
      <c r="AF204">
        <v>-6.3678543068843799E-3</v>
      </c>
      <c r="AG204">
        <v>-7.0052000000000003E-2</v>
      </c>
      <c r="AH204">
        <v>0.59353087604048504</v>
      </c>
      <c r="AI204">
        <v>96.730860214976303</v>
      </c>
      <c r="AJ204">
        <v>90.614689467939996</v>
      </c>
      <c r="AK204">
        <v>0.59768447619614495</v>
      </c>
    </row>
    <row r="205" spans="1:37" x14ac:dyDescent="0.2">
      <c r="A205" t="str">
        <f>"20200111160058840"</f>
        <v>20200111160058840</v>
      </c>
      <c r="B205" t="str">
        <f>"1578729658829766"</f>
        <v>1578729658829766</v>
      </c>
      <c r="C205" t="s">
        <v>37</v>
      </c>
      <c r="D205">
        <v>4.554405</v>
      </c>
      <c r="E205">
        <v>0.52268269999999994</v>
      </c>
      <c r="F205" t="s">
        <v>39</v>
      </c>
      <c r="G205">
        <v>-420.37090000000001</v>
      </c>
      <c r="H205">
        <v>-0.05</v>
      </c>
      <c r="I205">
        <v>368.1035</v>
      </c>
      <c r="J205">
        <v>-434.61189999999999</v>
      </c>
      <c r="K205">
        <v>1.067939</v>
      </c>
      <c r="L205">
        <v>367.76199999999898</v>
      </c>
      <c r="M205">
        <v>0.99972530000000004</v>
      </c>
      <c r="N205">
        <v>0</v>
      </c>
      <c r="O205">
        <v>1.6010099999999999E-2</v>
      </c>
      <c r="P205">
        <v>0.99686919999999901</v>
      </c>
      <c r="Q205">
        <v>3.061013E-3</v>
      </c>
      <c r="R205">
        <v>7.9010529999999995E-2</v>
      </c>
      <c r="S205">
        <v>3.00430299999999</v>
      </c>
      <c r="T205">
        <v>-0.2312546</v>
      </c>
      <c r="U205">
        <v>7.1563719999999997E-2</v>
      </c>
      <c r="V205">
        <v>-6.304601E-2</v>
      </c>
      <c r="W205">
        <v>2.0122899999999999E-2</v>
      </c>
      <c r="X205">
        <v>0.99780769999999996</v>
      </c>
      <c r="Y205">
        <v>-7.8268880000000006E-3</v>
      </c>
      <c r="Z205">
        <v>-9.2970919999999999E-4</v>
      </c>
      <c r="AA205">
        <v>0.99996890000000005</v>
      </c>
      <c r="AB205">
        <v>31</v>
      </c>
      <c r="AC205">
        <v>14.2409999999999</v>
      </c>
      <c r="AD205">
        <v>-1.117939</v>
      </c>
      <c r="AE205">
        <v>0.34150000000005298</v>
      </c>
      <c r="AF205">
        <v>-0.112728685032601</v>
      </c>
      <c r="AG205">
        <v>-1.117939</v>
      </c>
      <c r="AH205">
        <v>14.157447657563999</v>
      </c>
      <c r="AI205">
        <v>94.514834383114206</v>
      </c>
      <c r="AJ205">
        <v>90.456208035740303</v>
      </c>
      <c r="AK205">
        <v>14.2019653407835</v>
      </c>
    </row>
    <row r="206" spans="1:37" x14ac:dyDescent="0.2">
      <c r="A206" t="str">
        <f>"20200111160058863"</f>
        <v>20200111160058863</v>
      </c>
      <c r="B206" t="str">
        <f>"1578729658859027"</f>
        <v>1578729658859027</v>
      </c>
      <c r="C206" t="s">
        <v>37</v>
      </c>
      <c r="D206">
        <v>4.4965669999999998</v>
      </c>
      <c r="E206">
        <v>0.52282229999999996</v>
      </c>
      <c r="F206" t="s">
        <v>39</v>
      </c>
      <c r="G206">
        <v>-419.88060000000002</v>
      </c>
      <c r="H206">
        <v>-0.05</v>
      </c>
      <c r="I206">
        <v>368.10129999999998</v>
      </c>
      <c r="J206">
        <v>-434.29500000000002</v>
      </c>
      <c r="K206">
        <v>1.065936</v>
      </c>
      <c r="L206">
        <v>367.7672</v>
      </c>
      <c r="M206">
        <v>0.99973659999999998</v>
      </c>
      <c r="N206">
        <v>0</v>
      </c>
      <c r="O206">
        <v>1.6105999999999999E-2</v>
      </c>
      <c r="P206">
        <v>0.99696489999999904</v>
      </c>
      <c r="Q206">
        <v>3.5146719999999999E-3</v>
      </c>
      <c r="R206">
        <v>7.7773460000000003E-2</v>
      </c>
      <c r="S206">
        <v>3.0046689999999998</v>
      </c>
      <c r="T206">
        <v>-0.22801939999999901</v>
      </c>
      <c r="U206">
        <v>6.9213869999999997E-2</v>
      </c>
      <c r="V206">
        <v>-6.1709819999999999E-2</v>
      </c>
      <c r="W206">
        <v>1.9816830000000001E-2</v>
      </c>
      <c r="X206">
        <v>0.99789740000000005</v>
      </c>
      <c r="Y206">
        <v>-6.9487780000000001E-3</v>
      </c>
      <c r="Z206">
        <v>-9.5715630000000002E-4</v>
      </c>
      <c r="AA206">
        <v>0.99997539999999996</v>
      </c>
      <c r="AB206">
        <v>31</v>
      </c>
      <c r="AC206">
        <v>14.414400000000001</v>
      </c>
      <c r="AD206">
        <v>-1.115936</v>
      </c>
      <c r="AE206">
        <v>0.33409999999997803</v>
      </c>
      <c r="AF206">
        <v>-0.10126070150407</v>
      </c>
      <c r="AG206">
        <v>-1.115936</v>
      </c>
      <c r="AH206">
        <v>14.3320575038131</v>
      </c>
      <c r="AI206">
        <v>94.452123709160603</v>
      </c>
      <c r="AJ206">
        <v>90.404806796798695</v>
      </c>
      <c r="AK206">
        <v>14.3757935147375</v>
      </c>
    </row>
    <row r="207" spans="1:37" x14ac:dyDescent="0.2">
      <c r="A207" t="str">
        <f>"20200111160058883"</f>
        <v>20200111160058883</v>
      </c>
      <c r="B207" t="str">
        <f>"1578729658879523"</f>
        <v>1578729658879523</v>
      </c>
      <c r="C207" t="s">
        <v>37</v>
      </c>
      <c r="D207">
        <v>4.7198880000000001</v>
      </c>
      <c r="E207">
        <v>0.52269390000000004</v>
      </c>
      <c r="F207" t="s">
        <v>39</v>
      </c>
      <c r="G207">
        <v>-419.35579999999999</v>
      </c>
      <c r="H207">
        <v>-0.05</v>
      </c>
      <c r="I207">
        <v>368.08640000000003</v>
      </c>
      <c r="J207">
        <v>-434.00889999999998</v>
      </c>
      <c r="K207">
        <v>1.0643320000000001</v>
      </c>
      <c r="L207">
        <v>367.77190000000002</v>
      </c>
      <c r="M207">
        <v>0.99974619999999903</v>
      </c>
      <c r="N207">
        <v>0</v>
      </c>
      <c r="O207">
        <v>1.6160230000000001E-2</v>
      </c>
      <c r="P207">
        <v>0.99704609999999905</v>
      </c>
      <c r="Q207">
        <v>4.493609E-3</v>
      </c>
      <c r="R207">
        <v>7.6675010000000002E-2</v>
      </c>
      <c r="S207">
        <v>3.004883</v>
      </c>
      <c r="T207">
        <v>-0.22445979999999999</v>
      </c>
      <c r="U207">
        <v>6.4208979999999999E-2</v>
      </c>
      <c r="V207">
        <v>-6.0554539999999997E-2</v>
      </c>
      <c r="W207">
        <v>2.015103E-2</v>
      </c>
      <c r="X207">
        <v>0.99796149999999995</v>
      </c>
      <c r="Y207">
        <v>-5.2324520000000003E-3</v>
      </c>
      <c r="Z207">
        <v>-1.010249E-3</v>
      </c>
      <c r="AA207">
        <v>0.99998580000000004</v>
      </c>
      <c r="AB207">
        <v>31</v>
      </c>
      <c r="AC207">
        <v>14.653099999999901</v>
      </c>
      <c r="AD207">
        <v>-1.1143320000000001</v>
      </c>
      <c r="AE207">
        <v>0.31450000000000899</v>
      </c>
      <c r="AF207">
        <v>-7.7186098766343095E-2</v>
      </c>
      <c r="AG207">
        <v>-1.1143320000000001</v>
      </c>
      <c r="AH207">
        <v>14.5720345035271</v>
      </c>
      <c r="AI207">
        <v>94.372869974425299</v>
      </c>
      <c r="AJ207">
        <v>90.303485167855698</v>
      </c>
      <c r="AK207">
        <v>14.6147830319868</v>
      </c>
    </row>
    <row r="208" spans="1:37" x14ac:dyDescent="0.2">
      <c r="A208" t="str">
        <f>"20200111160058906"</f>
        <v>20200111160058906</v>
      </c>
      <c r="B208" t="str">
        <f>"1578729658899044"</f>
        <v>1578729658899044</v>
      </c>
      <c r="C208" t="s">
        <v>37</v>
      </c>
      <c r="D208">
        <v>4.4048319999999999</v>
      </c>
      <c r="E208">
        <v>0.52268379999999903</v>
      </c>
      <c r="F208" t="s">
        <v>39</v>
      </c>
      <c r="G208">
        <v>-418.8485</v>
      </c>
      <c r="H208">
        <v>-0.05</v>
      </c>
      <c r="I208">
        <v>368.08330000000001</v>
      </c>
      <c r="J208">
        <v>-433.67450000000002</v>
      </c>
      <c r="K208">
        <v>1.0626709999999999</v>
      </c>
      <c r="L208">
        <v>367.77730000000003</v>
      </c>
      <c r="M208">
        <v>0.999756599999999</v>
      </c>
      <c r="N208">
        <v>0</v>
      </c>
      <c r="O208">
        <v>1.6193119999999998E-2</v>
      </c>
      <c r="P208">
        <v>0.99713099999999999</v>
      </c>
      <c r="Q208">
        <v>4.9413199999999999E-3</v>
      </c>
      <c r="R208">
        <v>7.5534589999999999E-2</v>
      </c>
      <c r="S208">
        <v>3.0051269999999999</v>
      </c>
      <c r="T208">
        <v>-0.22088459999999999</v>
      </c>
      <c r="U208">
        <v>6.1737060000000003E-2</v>
      </c>
      <c r="V208">
        <v>-5.9378449999999999E-2</v>
      </c>
      <c r="W208">
        <v>1.990074E-2</v>
      </c>
      <c r="X208">
        <v>0.99803719999999996</v>
      </c>
      <c r="Y208">
        <v>-4.3772259999999997E-3</v>
      </c>
      <c r="Z208">
        <v>-1.0279169999999999E-3</v>
      </c>
      <c r="AA208">
        <v>0.99998989999999999</v>
      </c>
      <c r="AB208">
        <v>31</v>
      </c>
      <c r="AC208">
        <v>14.826000000000001</v>
      </c>
      <c r="AD208">
        <v>-1.112671</v>
      </c>
      <c r="AE208">
        <v>0.30599999999998301</v>
      </c>
      <c r="AF208">
        <v>-6.5485041600014698E-2</v>
      </c>
      <c r="AG208">
        <v>-1.112671</v>
      </c>
      <c r="AH208">
        <v>14.7459928251918</v>
      </c>
      <c r="AI208">
        <v>94.315080609794506</v>
      </c>
      <c r="AJ208">
        <v>90.254441452994797</v>
      </c>
      <c r="AK208">
        <v>14.788056986822999</v>
      </c>
    </row>
    <row r="209" spans="1:37" x14ac:dyDescent="0.2">
      <c r="A209" t="str">
        <f>"20200111160058930"</f>
        <v>20200111160058930</v>
      </c>
      <c r="B209" t="str">
        <f>"1578729658919539"</f>
        <v>1578729658919539</v>
      </c>
      <c r="C209" t="s">
        <v>37</v>
      </c>
      <c r="D209">
        <v>4.3306329999999997</v>
      </c>
      <c r="E209">
        <v>0.52261950000000001</v>
      </c>
      <c r="F209" t="s">
        <v>39</v>
      </c>
      <c r="G209">
        <v>-418.28739999999999</v>
      </c>
      <c r="H209">
        <v>-0.05</v>
      </c>
      <c r="I209">
        <v>368.07400000000001</v>
      </c>
      <c r="J209">
        <v>-433.35300000000001</v>
      </c>
      <c r="K209">
        <v>1.0612969999999999</v>
      </c>
      <c r="L209">
        <v>367.78250000000003</v>
      </c>
      <c r="M209">
        <v>0.99976549999999997</v>
      </c>
      <c r="N209">
        <v>0</v>
      </c>
      <c r="O209">
        <v>1.6193679999999998E-2</v>
      </c>
      <c r="P209">
        <v>0.99717679999999997</v>
      </c>
      <c r="Q209">
        <v>5.7449010000000002E-3</v>
      </c>
      <c r="R209">
        <v>7.4868459999999998E-2</v>
      </c>
      <c r="S209">
        <v>3.0053099999999899</v>
      </c>
      <c r="T209">
        <v>-0.2173205</v>
      </c>
      <c r="U209">
        <v>5.7952879999999998E-2</v>
      </c>
      <c r="V209">
        <v>-5.8710039999999998E-2</v>
      </c>
      <c r="W209">
        <v>2.0096679999999999E-2</v>
      </c>
      <c r="X209">
        <v>0.99807269999999904</v>
      </c>
      <c r="Y209">
        <v>-3.1191589999999998E-3</v>
      </c>
      <c r="Z209">
        <v>-1.0567829999999999E-3</v>
      </c>
      <c r="AA209">
        <v>0.99999459999999996</v>
      </c>
      <c r="AB209">
        <v>32</v>
      </c>
      <c r="AC209">
        <v>15.0656</v>
      </c>
      <c r="AD209">
        <v>-1.111297</v>
      </c>
      <c r="AE209">
        <v>0.29149999999998499</v>
      </c>
      <c r="AF209">
        <v>-4.7212253375388799E-2</v>
      </c>
      <c r="AG209">
        <v>-1.111297</v>
      </c>
      <c r="AH209">
        <v>14.9868305812179</v>
      </c>
      <c r="AI209">
        <v>94.240789702629996</v>
      </c>
      <c r="AJ209">
        <v>90.180495395386899</v>
      </c>
      <c r="AK209">
        <v>15.0280504686804</v>
      </c>
    </row>
    <row r="210" spans="1:37" x14ac:dyDescent="0.2">
      <c r="A210" t="str">
        <f>"20200111160058952"</f>
        <v>20200111160058952</v>
      </c>
      <c r="B210" t="str">
        <f>"1578729658949796"</f>
        <v>1578729658949796</v>
      </c>
      <c r="C210" t="s">
        <v>37</v>
      </c>
      <c r="D210">
        <v>4.2727000000000004</v>
      </c>
      <c r="E210">
        <v>0.52255629999999997</v>
      </c>
      <c r="F210" t="s">
        <v>42</v>
      </c>
      <c r="G210">
        <v>-432.35329999999999</v>
      </c>
      <c r="H210">
        <v>0.99010769999999904</v>
      </c>
      <c r="I210">
        <v>367.80130000000003</v>
      </c>
      <c r="J210">
        <v>-433.03769999999997</v>
      </c>
      <c r="K210">
        <v>1.060149</v>
      </c>
      <c r="L210">
        <v>367.7876</v>
      </c>
      <c r="M210">
        <v>0.99977349999999998</v>
      </c>
      <c r="N210">
        <v>0</v>
      </c>
      <c r="O210">
        <v>1.616741E-2</v>
      </c>
      <c r="P210">
        <v>0.9971913</v>
      </c>
      <c r="Q210">
        <v>7.3090100000000003E-3</v>
      </c>
      <c r="R210">
        <v>7.4541339999999998E-2</v>
      </c>
      <c r="S210">
        <v>3.0054319999999999</v>
      </c>
      <c r="T210">
        <v>-0.2139897</v>
      </c>
      <c r="U210">
        <v>5.6640629999999997E-2</v>
      </c>
      <c r="V210">
        <v>-5.8408019999999998E-2</v>
      </c>
      <c r="W210">
        <v>2.1128339999999999E-2</v>
      </c>
      <c r="X210">
        <v>0.99806919999999899</v>
      </c>
      <c r="Y210">
        <v>-2.7082450000000002E-3</v>
      </c>
      <c r="Z210">
        <v>-1.0533230000000001E-3</v>
      </c>
      <c r="AA210">
        <v>0.99999579999999999</v>
      </c>
      <c r="AB210">
        <v>32</v>
      </c>
      <c r="AC210">
        <v>0.68439999999998202</v>
      </c>
      <c r="AD210">
        <v>-7.0041300000000001E-2</v>
      </c>
      <c r="AE210">
        <v>1.37000000000284E-2</v>
      </c>
      <c r="AF210">
        <v>-2.6049023712923598E-3</v>
      </c>
      <c r="AG210">
        <v>-7.0041300000000001E-2</v>
      </c>
      <c r="AH210">
        <v>0.67743977835565194</v>
      </c>
      <c r="AI210">
        <v>95.902861212228999</v>
      </c>
      <c r="AJ210">
        <v>90.220313570454806</v>
      </c>
      <c r="AK210">
        <v>0.68105596137219804</v>
      </c>
    </row>
    <row r="211" spans="1:37" x14ac:dyDescent="0.2">
      <c r="A211" t="str">
        <f>"20200111160058973"</f>
        <v>20200111160058973</v>
      </c>
      <c r="B211" t="str">
        <f>"1578729658969316"</f>
        <v>1578729658969316</v>
      </c>
      <c r="C211" t="s">
        <v>37</v>
      </c>
      <c r="D211">
        <v>4.2433180000000004</v>
      </c>
      <c r="E211">
        <v>0.52246269999999995</v>
      </c>
      <c r="F211" t="s">
        <v>42</v>
      </c>
      <c r="G211">
        <v>-432.06689999999998</v>
      </c>
      <c r="H211">
        <v>0.99355749999999998</v>
      </c>
      <c r="I211">
        <v>367.80540000000002</v>
      </c>
      <c r="J211">
        <v>-432.74119999999999</v>
      </c>
      <c r="K211">
        <v>1.0592090000000001</v>
      </c>
      <c r="L211">
        <v>367.79230000000001</v>
      </c>
      <c r="M211">
        <v>0.99978040000000001</v>
      </c>
      <c r="N211">
        <v>0</v>
      </c>
      <c r="O211">
        <v>1.612796E-2</v>
      </c>
      <c r="P211">
        <v>0.99718649999999998</v>
      </c>
      <c r="Q211">
        <v>8.24686E-3</v>
      </c>
      <c r="R211">
        <v>7.450561E-2</v>
      </c>
      <c r="S211">
        <v>3.0057680000000002</v>
      </c>
      <c r="T211">
        <v>-0.20636589999999999</v>
      </c>
      <c r="U211">
        <v>5.6121829999999998E-2</v>
      </c>
      <c r="V211">
        <v>-5.841122E-2</v>
      </c>
      <c r="W211">
        <v>2.1616509999999999E-2</v>
      </c>
      <c r="X211">
        <v>0.99805859999999902</v>
      </c>
      <c r="Y211">
        <v>-2.5710020000000002E-3</v>
      </c>
      <c r="Z211">
        <v>-1.017769E-3</v>
      </c>
      <c r="AA211">
        <v>0.9999962</v>
      </c>
      <c r="AB211">
        <v>32</v>
      </c>
      <c r="AC211">
        <v>0.674300000000016</v>
      </c>
      <c r="AD211">
        <v>-6.5651499999999904E-2</v>
      </c>
      <c r="AE211">
        <v>1.3100000000008501E-2</v>
      </c>
      <c r="AF211">
        <v>-2.2013787769697402E-3</v>
      </c>
      <c r="AG211">
        <v>-6.5651499999999904E-2</v>
      </c>
      <c r="AH211">
        <v>0.66809281652740404</v>
      </c>
      <c r="AI211">
        <v>95.612237580115902</v>
      </c>
      <c r="AJ211">
        <v>90.188790020552403</v>
      </c>
      <c r="AK211">
        <v>0.67131436526882804</v>
      </c>
    </row>
    <row r="212" spans="1:37" x14ac:dyDescent="0.2">
      <c r="A212" t="str">
        <f>"20200111160058996"</f>
        <v>20200111160058996</v>
      </c>
      <c r="B212" t="str">
        <f>"1578729658989811"</f>
        <v>1578729658989811</v>
      </c>
      <c r="C212" t="s">
        <v>37</v>
      </c>
      <c r="D212">
        <v>4.2104039999999996</v>
      </c>
      <c r="E212">
        <v>0.52232009999999995</v>
      </c>
      <c r="F212" t="s">
        <v>42</v>
      </c>
      <c r="G212">
        <v>-431.7817</v>
      </c>
      <c r="H212">
        <v>0.99489309999999997</v>
      </c>
      <c r="I212">
        <v>367.81020000000001</v>
      </c>
      <c r="J212">
        <v>-432.41160000000002</v>
      </c>
      <c r="K212">
        <v>1.058316</v>
      </c>
      <c r="L212">
        <v>367.79759999999999</v>
      </c>
      <c r="M212">
        <v>0.99978709999999904</v>
      </c>
      <c r="N212">
        <v>0</v>
      </c>
      <c r="O212">
        <v>1.607424E-2</v>
      </c>
      <c r="P212">
        <v>0.99721780000000004</v>
      </c>
      <c r="Q212">
        <v>7.7994669999999896E-3</v>
      </c>
      <c r="R212">
        <v>7.4136359999999998E-2</v>
      </c>
      <c r="S212">
        <v>3.00589</v>
      </c>
      <c r="T212">
        <v>-0.20169389999999901</v>
      </c>
      <c r="U212">
        <v>5.6915279999999999E-2</v>
      </c>
      <c r="V212">
        <v>-5.8094399999999997E-2</v>
      </c>
      <c r="W212">
        <v>2.072502E-2</v>
      </c>
      <c r="X212">
        <v>0.99809590000000004</v>
      </c>
      <c r="Y212">
        <v>-2.885692E-3</v>
      </c>
      <c r="Z212">
        <v>-9.8058429999999994E-4</v>
      </c>
      <c r="AA212">
        <v>0.99999539999999998</v>
      </c>
      <c r="AB212">
        <v>32</v>
      </c>
      <c r="AC212">
        <v>0.62990000000002</v>
      </c>
      <c r="AD212">
        <v>-6.3422899999999893E-2</v>
      </c>
      <c r="AE212">
        <v>1.26000000000203E-2</v>
      </c>
      <c r="AF212">
        <v>-2.4475573734526802E-3</v>
      </c>
      <c r="AG212">
        <v>-6.3422899999999893E-2</v>
      </c>
      <c r="AH212">
        <v>0.623700656296439</v>
      </c>
      <c r="AI212">
        <v>95.806292859154595</v>
      </c>
      <c r="AJ212">
        <v>90.224841815294894</v>
      </c>
      <c r="AK212">
        <v>0.62692181605533204</v>
      </c>
    </row>
    <row r="213" spans="1:37" x14ac:dyDescent="0.2">
      <c r="A213" t="str">
        <f>"20200111160059020"</f>
        <v>20200111160059020</v>
      </c>
      <c r="B213" t="str">
        <f>"1578729659009332"</f>
        <v>1578729659009332</v>
      </c>
      <c r="C213" t="s">
        <v>37</v>
      </c>
      <c r="D213">
        <v>4.2088469999999996</v>
      </c>
      <c r="E213">
        <v>0.52220759999999999</v>
      </c>
      <c r="F213" t="s">
        <v>39</v>
      </c>
      <c r="G213">
        <v>-415.94069999999999</v>
      </c>
      <c r="H213">
        <v>-0.05</v>
      </c>
      <c r="I213">
        <v>368.1103</v>
      </c>
      <c r="J213">
        <v>-432.07929999999999</v>
      </c>
      <c r="K213">
        <v>1.057561</v>
      </c>
      <c r="L213">
        <v>367.80290000000002</v>
      </c>
      <c r="M213">
        <v>0.99979309999999999</v>
      </c>
      <c r="N213">
        <v>0</v>
      </c>
      <c r="O213">
        <v>1.6015069999999999E-2</v>
      </c>
      <c r="P213">
        <v>0.99729469999999998</v>
      </c>
      <c r="Q213">
        <v>6.2826949999999996E-3</v>
      </c>
      <c r="R213">
        <v>7.3240710000000001E-2</v>
      </c>
      <c r="S213">
        <v>3.0057369999999999</v>
      </c>
      <c r="T213">
        <v>-0.202255399999999</v>
      </c>
      <c r="U213">
        <v>5.706787E-2</v>
      </c>
      <c r="V213">
        <v>-5.725653E-2</v>
      </c>
      <c r="W213">
        <v>1.8816619999999999E-2</v>
      </c>
      <c r="X213">
        <v>0.99818220000000002</v>
      </c>
      <c r="Y213">
        <v>-2.9964409999999999E-3</v>
      </c>
      <c r="Z213">
        <v>-9.7565409999999999E-4</v>
      </c>
      <c r="AA213">
        <v>0.99999509999999903</v>
      </c>
      <c r="AB213">
        <v>32</v>
      </c>
      <c r="AC213">
        <v>16.138599999999901</v>
      </c>
      <c r="AD213">
        <v>-1.107561</v>
      </c>
      <c r="AE213">
        <v>0.30739999999997197</v>
      </c>
      <c r="AF213">
        <v>-4.8650383070500201E-2</v>
      </c>
      <c r="AG213">
        <v>-1.107561</v>
      </c>
      <c r="AH213">
        <v>16.065813803437901</v>
      </c>
      <c r="AI213">
        <v>93.943655578778404</v>
      </c>
      <c r="AJ213">
        <v>90.173502141596302</v>
      </c>
      <c r="AK213">
        <v>16.1040191068947</v>
      </c>
    </row>
    <row r="214" spans="1:37" x14ac:dyDescent="0.2">
      <c r="A214" t="str">
        <f>"20200111160059041"</f>
        <v>20200111160059041</v>
      </c>
      <c r="B214" t="str">
        <f>"1578729659039588"</f>
        <v>1578729659039588</v>
      </c>
      <c r="C214" t="s">
        <v>37</v>
      </c>
      <c r="D214">
        <v>4.2145609999999998</v>
      </c>
      <c r="E214">
        <v>0.52205590000000002</v>
      </c>
      <c r="F214" t="s">
        <v>39</v>
      </c>
      <c r="G214">
        <v>-415.87740000000002</v>
      </c>
      <c r="H214">
        <v>-0.05</v>
      </c>
      <c r="I214">
        <v>368.10129999999998</v>
      </c>
      <c r="J214">
        <v>-431.76670000000001</v>
      </c>
      <c r="K214">
        <v>1.056956</v>
      </c>
      <c r="L214">
        <v>367.80790000000002</v>
      </c>
      <c r="M214">
        <v>0.99979789999999902</v>
      </c>
      <c r="N214">
        <v>0</v>
      </c>
      <c r="O214">
        <v>1.5956970000000001E-2</v>
      </c>
      <c r="P214">
        <v>0.99736309999999995</v>
      </c>
      <c r="Q214">
        <v>5.2232559999999999E-3</v>
      </c>
      <c r="R214">
        <v>7.2385560000000002E-2</v>
      </c>
      <c r="S214">
        <v>3.005341</v>
      </c>
      <c r="T214">
        <v>-0.2054453</v>
      </c>
      <c r="U214">
        <v>5.5358890000000001E-2</v>
      </c>
      <c r="V214">
        <v>-5.645828E-2</v>
      </c>
      <c r="W214">
        <v>1.7439739999999999E-2</v>
      </c>
      <c r="X214">
        <v>0.99825259999999905</v>
      </c>
      <c r="Y214">
        <v>-2.4906619999999998E-3</v>
      </c>
      <c r="Z214">
        <v>-1.0044380000000001E-3</v>
      </c>
      <c r="AA214">
        <v>0.99999640000000001</v>
      </c>
      <c r="AB214">
        <v>32</v>
      </c>
      <c r="AC214">
        <v>15.889299999999899</v>
      </c>
      <c r="AD214">
        <v>-1.1069560000000001</v>
      </c>
      <c r="AE214">
        <v>0.29339999999996202</v>
      </c>
      <c r="AF214">
        <v>-3.9606433575150903E-2</v>
      </c>
      <c r="AG214">
        <v>-1.1069560000000001</v>
      </c>
      <c r="AH214">
        <v>15.8152264295406</v>
      </c>
      <c r="AI214">
        <v>94.003764399384394</v>
      </c>
      <c r="AJ214">
        <v>90.143486832231901</v>
      </c>
      <c r="AK214">
        <v>15.8539681869605</v>
      </c>
    </row>
    <row r="215" spans="1:37" x14ac:dyDescent="0.2">
      <c r="A215" t="str">
        <f>"20200111160059063"</f>
        <v>20200111160059063</v>
      </c>
      <c r="B215" t="str">
        <f>"1578729659059107"</f>
        <v>1578729659059107</v>
      </c>
      <c r="C215" t="s">
        <v>37</v>
      </c>
      <c r="D215">
        <v>4.158074</v>
      </c>
      <c r="E215">
        <v>0.52191540000000003</v>
      </c>
      <c r="F215" t="s">
        <v>39</v>
      </c>
      <c r="G215">
        <v>-415.70819999999998</v>
      </c>
      <c r="H215">
        <v>-0.05</v>
      </c>
      <c r="I215">
        <v>368.09410000000003</v>
      </c>
      <c r="J215">
        <v>-431.44979999999998</v>
      </c>
      <c r="K215">
        <v>1.0564420000000001</v>
      </c>
      <c r="L215">
        <v>367.81290000000001</v>
      </c>
      <c r="M215">
        <v>0.99980219999999898</v>
      </c>
      <c r="N215">
        <v>0</v>
      </c>
      <c r="O215">
        <v>1.5896380000000002E-2</v>
      </c>
      <c r="P215">
        <v>0.99741619999999998</v>
      </c>
      <c r="Q215">
        <v>4.5667659999999999E-3</v>
      </c>
      <c r="R215">
        <v>7.1693720000000002E-2</v>
      </c>
      <c r="S215">
        <v>3.0051269999999999</v>
      </c>
      <c r="T215">
        <v>-0.20715249999999999</v>
      </c>
      <c r="U215">
        <v>5.3558349999999998E-2</v>
      </c>
      <c r="V215">
        <v>-5.5826069999999998E-2</v>
      </c>
      <c r="W215">
        <v>1.651004E-2</v>
      </c>
      <c r="X215">
        <v>0.99830399999999997</v>
      </c>
      <c r="Y215">
        <v>-1.9553229999999902E-3</v>
      </c>
      <c r="Z215">
        <v>-1.027097E-3</v>
      </c>
      <c r="AA215">
        <v>0.99999760000000004</v>
      </c>
      <c r="AB215">
        <v>32</v>
      </c>
      <c r="AC215">
        <v>15.7416</v>
      </c>
      <c r="AD215">
        <v>-1.1064419999999999</v>
      </c>
      <c r="AE215">
        <v>0.281200000000012</v>
      </c>
      <c r="AF215">
        <v>-3.07602130710821E-2</v>
      </c>
      <c r="AG215">
        <v>-1.1064419999999999</v>
      </c>
      <c r="AH215">
        <v>15.666706409623799</v>
      </c>
      <c r="AI215">
        <v>94.039729221997604</v>
      </c>
      <c r="AJ215">
        <v>90.112495126614505</v>
      </c>
      <c r="AK215">
        <v>15.705758492203399</v>
      </c>
    </row>
    <row r="216" spans="1:37" x14ac:dyDescent="0.2">
      <c r="A216" t="str">
        <f>"20200111160059085"</f>
        <v>20200111160059085</v>
      </c>
      <c r="B216" t="str">
        <f>"1578729659079604"</f>
        <v>1578729659079604</v>
      </c>
      <c r="C216" t="s">
        <v>37</v>
      </c>
      <c r="D216">
        <v>4.1179709999999998</v>
      </c>
      <c r="E216">
        <v>0.52176979999999995</v>
      </c>
      <c r="F216" t="s">
        <v>39</v>
      </c>
      <c r="G216">
        <v>-415.45190000000002</v>
      </c>
      <c r="H216">
        <v>-0.05</v>
      </c>
      <c r="I216">
        <v>368.09230000000002</v>
      </c>
      <c r="J216">
        <v>-431.1388</v>
      </c>
      <c r="K216">
        <v>1.056019</v>
      </c>
      <c r="L216">
        <v>367.8177</v>
      </c>
      <c r="M216">
        <v>0.99980579999999997</v>
      </c>
      <c r="N216">
        <v>0</v>
      </c>
      <c r="O216">
        <v>1.5837150000000001E-2</v>
      </c>
      <c r="P216">
        <v>0.99745300000000003</v>
      </c>
      <c r="Q216">
        <v>4.3341849999999999E-3</v>
      </c>
      <c r="R216">
        <v>7.1196220000000005E-2</v>
      </c>
      <c r="S216">
        <v>3.0049130000000002</v>
      </c>
      <c r="T216">
        <v>-0.2078248</v>
      </c>
      <c r="U216">
        <v>5.2490229999999999E-2</v>
      </c>
      <c r="V216">
        <v>-5.5387099999999898E-2</v>
      </c>
      <c r="W216">
        <v>1.6060919999999999E-2</v>
      </c>
      <c r="X216">
        <v>0.9983358</v>
      </c>
      <c r="Y216">
        <v>-1.6613120000000001E-3</v>
      </c>
      <c r="Z216">
        <v>-1.03656E-3</v>
      </c>
      <c r="AA216">
        <v>0.9999981</v>
      </c>
      <c r="AB216">
        <v>32</v>
      </c>
      <c r="AC216">
        <v>15.6868999999999</v>
      </c>
      <c r="AD216">
        <v>-1.1060190000000001</v>
      </c>
      <c r="AE216">
        <v>0.27460000000001999</v>
      </c>
      <c r="AF216">
        <v>-2.59835534620893E-2</v>
      </c>
      <c r="AG216">
        <v>-1.1060190000000001</v>
      </c>
      <c r="AH216">
        <v>15.6116982717769</v>
      </c>
      <c r="AI216">
        <v>94.052373432254996</v>
      </c>
      <c r="AJ216">
        <v>90.095360962628803</v>
      </c>
      <c r="AK216">
        <v>15.6508490537227</v>
      </c>
    </row>
    <row r="217" spans="1:37" x14ac:dyDescent="0.2">
      <c r="A217" t="str">
        <f>"20200111160059107"</f>
        <v>20200111160059107</v>
      </c>
      <c r="B217" t="str">
        <f>"1578729659099124"</f>
        <v>1578729659099124</v>
      </c>
      <c r="C217" t="s">
        <v>37</v>
      </c>
      <c r="D217">
        <v>4.1571569999999998</v>
      </c>
      <c r="E217">
        <v>0.52164739999999998</v>
      </c>
      <c r="F217" t="s">
        <v>39</v>
      </c>
      <c r="G217">
        <v>-415.13310000000001</v>
      </c>
      <c r="H217">
        <v>-0.05</v>
      </c>
      <c r="I217">
        <v>368.09339999999997</v>
      </c>
      <c r="J217">
        <v>-430.81560000000002</v>
      </c>
      <c r="K217">
        <v>1.055663</v>
      </c>
      <c r="L217">
        <v>367.82279999999997</v>
      </c>
      <c r="M217">
        <v>0.99980849999999899</v>
      </c>
      <c r="N217">
        <v>0</v>
      </c>
      <c r="O217">
        <v>1.577578E-2</v>
      </c>
      <c r="P217">
        <v>0.99744460000000001</v>
      </c>
      <c r="Q217">
        <v>4.341831E-3</v>
      </c>
      <c r="R217">
        <v>7.1314039999999995E-2</v>
      </c>
      <c r="S217">
        <v>3.004883</v>
      </c>
      <c r="T217">
        <v>-0.20764279999999999</v>
      </c>
      <c r="U217">
        <v>5.1757810000000001E-2</v>
      </c>
      <c r="V217">
        <v>-5.556622E-2</v>
      </c>
      <c r="W217">
        <v>1.591884E-2</v>
      </c>
      <c r="X217">
        <v>0.99832809999999905</v>
      </c>
      <c r="Y217">
        <v>-1.4794539999999901E-3</v>
      </c>
      <c r="Z217">
        <v>-1.037706E-3</v>
      </c>
      <c r="AA217">
        <v>0.99999839999999995</v>
      </c>
      <c r="AB217">
        <v>32</v>
      </c>
      <c r="AC217">
        <v>15.682499999999999</v>
      </c>
      <c r="AD217">
        <v>-1.1056629999999901</v>
      </c>
      <c r="AE217">
        <v>0.27060000000000101</v>
      </c>
      <c r="AF217">
        <v>-2.3031613624038199E-2</v>
      </c>
      <c r="AG217">
        <v>-1.1056629999999901</v>
      </c>
      <c r="AH217">
        <v>15.607261873320301</v>
      </c>
      <c r="AI217">
        <v>94.052222304798804</v>
      </c>
      <c r="AJ217">
        <v>90.084551237035896</v>
      </c>
      <c r="AK217">
        <v>15.646393971365899</v>
      </c>
    </row>
    <row r="218" spans="1:37" x14ac:dyDescent="0.2">
      <c r="A218" t="str">
        <f>"20200111160059132"</f>
        <v>20200111160059132</v>
      </c>
      <c r="B218" t="str">
        <f>"1578729659129380"</f>
        <v>1578729659129380</v>
      </c>
      <c r="C218" t="s">
        <v>37</v>
      </c>
      <c r="D218">
        <v>4.1661799999999998</v>
      </c>
      <c r="E218">
        <v>0.5214993</v>
      </c>
      <c r="F218" t="s">
        <v>39</v>
      </c>
      <c r="G218">
        <v>-414.70240000000001</v>
      </c>
      <c r="H218">
        <v>-0.05</v>
      </c>
      <c r="I218">
        <v>368.10919999999999</v>
      </c>
      <c r="J218">
        <v>-430.48050000000001</v>
      </c>
      <c r="K218">
        <v>1.0553980000000001</v>
      </c>
      <c r="L218">
        <v>367.82810000000001</v>
      </c>
      <c r="M218">
        <v>0.99980970000000002</v>
      </c>
      <c r="N218">
        <v>0</v>
      </c>
      <c r="O218">
        <v>1.5705239999999999E-2</v>
      </c>
      <c r="P218">
        <v>0.9974404</v>
      </c>
      <c r="Q218">
        <v>5.9034789999999997E-3</v>
      </c>
      <c r="R218">
        <v>7.1258230000000006E-2</v>
      </c>
      <c r="S218">
        <v>3.004791</v>
      </c>
      <c r="T218">
        <v>-0.2061837</v>
      </c>
      <c r="U218">
        <v>5.3405759999999997E-2</v>
      </c>
      <c r="V218">
        <v>-5.5580499999999998E-2</v>
      </c>
      <c r="W218">
        <v>1.7460239999999998E-2</v>
      </c>
      <c r="X218">
        <v>0.99830149999999995</v>
      </c>
      <c r="Y218">
        <v>-2.0967109999999998E-3</v>
      </c>
      <c r="Z218">
        <v>-1.004472E-3</v>
      </c>
      <c r="AA218">
        <v>0.99999729999999998</v>
      </c>
      <c r="AB218">
        <v>32</v>
      </c>
      <c r="AC218">
        <v>15.778099999999901</v>
      </c>
      <c r="AD218">
        <v>-1.1053980000000001</v>
      </c>
      <c r="AE218">
        <v>0.28109999999997998</v>
      </c>
      <c r="AF218">
        <v>-3.3087534898198601E-2</v>
      </c>
      <c r="AG218">
        <v>-1.1053980000000001</v>
      </c>
      <c r="AH218">
        <v>15.7035162364272</v>
      </c>
      <c r="AI218">
        <v>94.026499635811206</v>
      </c>
      <c r="AJ218">
        <v>90.120722854052801</v>
      </c>
      <c r="AK218">
        <v>15.7424083834432</v>
      </c>
    </row>
    <row r="219" spans="1:37" x14ac:dyDescent="0.2">
      <c r="A219" t="str">
        <f>"20200111160059152"</f>
        <v>20200111160059152</v>
      </c>
      <c r="B219" t="str">
        <f>"1578729659149875"</f>
        <v>1578729659149875</v>
      </c>
      <c r="C219" t="s">
        <v>37</v>
      </c>
      <c r="D219">
        <v>4.0951949999999897</v>
      </c>
      <c r="E219">
        <v>0.52137079999999902</v>
      </c>
      <c r="F219" t="s">
        <v>42</v>
      </c>
      <c r="G219">
        <v>-429.50540000000001</v>
      </c>
      <c r="H219">
        <v>0.99078149999999998</v>
      </c>
      <c r="I219">
        <v>367.84530000000001</v>
      </c>
      <c r="J219">
        <v>-430.18740000000003</v>
      </c>
      <c r="K219">
        <v>1.0552319999999999</v>
      </c>
      <c r="L219">
        <v>367.83260000000001</v>
      </c>
      <c r="M219">
        <v>0.99980939999999996</v>
      </c>
      <c r="N219">
        <v>0</v>
      </c>
      <c r="O219">
        <v>1.5651149999999999E-2</v>
      </c>
      <c r="P219">
        <v>0.99740409999999902</v>
      </c>
      <c r="Q219">
        <v>7.8945679999999994E-3</v>
      </c>
      <c r="R219">
        <v>7.1575040000000006E-2</v>
      </c>
      <c r="S219">
        <v>3.0050050000000001</v>
      </c>
      <c r="T219">
        <v>-0.19937769999999999</v>
      </c>
      <c r="U219">
        <v>5.4107669999999997E-2</v>
      </c>
      <c r="V219">
        <v>-5.5951519999999998E-2</v>
      </c>
      <c r="W219">
        <v>1.9568929999999998E-2</v>
      </c>
      <c r="X219">
        <v>0.99824169999999901</v>
      </c>
      <c r="Y219">
        <v>-2.3802189999999998E-3</v>
      </c>
      <c r="Z219">
        <v>-9.5834039999999896E-4</v>
      </c>
      <c r="AA219">
        <v>0.99999669999999896</v>
      </c>
      <c r="AB219">
        <v>32</v>
      </c>
      <c r="AC219">
        <v>0.68200000000001604</v>
      </c>
      <c r="AD219">
        <v>-6.44504999999998E-2</v>
      </c>
      <c r="AE219">
        <v>1.26999999999952E-2</v>
      </c>
      <c r="AF219">
        <v>-2.00572663459296E-3</v>
      </c>
      <c r="AG219">
        <v>-6.44504999999998E-2</v>
      </c>
      <c r="AH219">
        <v>0.67607948890394498</v>
      </c>
      <c r="AI219">
        <v>95.4455133459698</v>
      </c>
      <c r="AJ219">
        <v>90.169979027257298</v>
      </c>
      <c r="AK219">
        <v>0.67914752830751202</v>
      </c>
    </row>
    <row r="220" spans="1:37" x14ac:dyDescent="0.2">
      <c r="A220" t="str">
        <f>"20200111160059174"</f>
        <v>20200111160059174</v>
      </c>
      <c r="B220" t="str">
        <f>"1578729659169396"</f>
        <v>1578729659169396</v>
      </c>
      <c r="C220" t="s">
        <v>37</v>
      </c>
      <c r="D220">
        <v>4.1665320000000001</v>
      </c>
      <c r="E220">
        <v>0.52135339999999997</v>
      </c>
      <c r="F220" t="s">
        <v>42</v>
      </c>
      <c r="G220">
        <v>-429.2115</v>
      </c>
      <c r="H220">
        <v>0.99268339999999999</v>
      </c>
      <c r="I220">
        <v>367.85070000000002</v>
      </c>
      <c r="J220">
        <v>-429.88490000000002</v>
      </c>
      <c r="K220">
        <v>1.055113</v>
      </c>
      <c r="L220">
        <v>367.8372</v>
      </c>
      <c r="M220">
        <v>0.99980749999999996</v>
      </c>
      <c r="N220">
        <v>0</v>
      </c>
      <c r="O220">
        <v>1.559608E-2</v>
      </c>
      <c r="P220">
        <v>0.99738660000000001</v>
      </c>
      <c r="Q220">
        <v>9.0580150000000009E-3</v>
      </c>
      <c r="R220">
        <v>7.1681320000000007E-2</v>
      </c>
      <c r="S220">
        <v>3.0053099999999899</v>
      </c>
      <c r="T220">
        <v>-0.19267419999999999</v>
      </c>
      <c r="U220">
        <v>5.6274409999999997E-2</v>
      </c>
      <c r="V220">
        <v>-5.611273E-2</v>
      </c>
      <c r="W220">
        <v>2.0956720000000002E-2</v>
      </c>
      <c r="X220">
        <v>0.99820450000000005</v>
      </c>
      <c r="Y220">
        <v>-3.150524E-3</v>
      </c>
      <c r="Z220">
        <v>-8.9789570000000003E-4</v>
      </c>
      <c r="AA220">
        <v>0.99999459999999996</v>
      </c>
      <c r="AB220">
        <v>32</v>
      </c>
      <c r="AC220">
        <v>0.67340000000001499</v>
      </c>
      <c r="AD220">
        <v>-6.2429599999999801E-2</v>
      </c>
      <c r="AE220">
        <v>1.35000000000218E-2</v>
      </c>
      <c r="AF220">
        <v>-2.9696995669488899E-3</v>
      </c>
      <c r="AG220">
        <v>-6.2429599999999801E-2</v>
      </c>
      <c r="AH220">
        <v>0.66779143110894201</v>
      </c>
      <c r="AI220">
        <v>95.340816168501803</v>
      </c>
      <c r="AJ220">
        <v>90.254795317887002</v>
      </c>
      <c r="AK220">
        <v>0.67070982513618105</v>
      </c>
    </row>
    <row r="221" spans="1:37" x14ac:dyDescent="0.2">
      <c r="A221" t="str">
        <f>"20200111160059197"</f>
        <v>20200111160059197</v>
      </c>
      <c r="B221" t="str">
        <f>"1578729659188916"</f>
        <v>1578729659188916</v>
      </c>
      <c r="C221" t="s">
        <v>37</v>
      </c>
      <c r="D221">
        <v>4.1633940000000003</v>
      </c>
      <c r="E221">
        <v>0.52118089999999995</v>
      </c>
      <c r="F221" t="s">
        <v>39</v>
      </c>
      <c r="G221">
        <v>-412.28410000000002</v>
      </c>
      <c r="H221">
        <v>-0.05</v>
      </c>
      <c r="I221">
        <v>368.17039999999997</v>
      </c>
      <c r="J221">
        <v>-429.54680000000002</v>
      </c>
      <c r="K221">
        <v>1.0550170000000001</v>
      </c>
      <c r="L221">
        <v>367.8424</v>
      </c>
      <c r="M221">
        <v>0.99980460000000004</v>
      </c>
      <c r="N221">
        <v>0</v>
      </c>
      <c r="O221">
        <v>1.55312E-2</v>
      </c>
      <c r="P221">
        <v>0.99740830000000003</v>
      </c>
      <c r="Q221">
        <v>8.2477009999999996E-3</v>
      </c>
      <c r="R221">
        <v>7.1475300000000005E-2</v>
      </c>
      <c r="S221">
        <v>3.0055239999999999</v>
      </c>
      <c r="T221">
        <v>-0.1887105</v>
      </c>
      <c r="U221">
        <v>5.6884770000000001E-2</v>
      </c>
      <c r="V221">
        <v>-5.5970970000000002E-2</v>
      </c>
      <c r="W221">
        <v>2.0472830000000001E-2</v>
      </c>
      <c r="X221">
        <v>0.99822250000000001</v>
      </c>
      <c r="Y221">
        <v>-3.415342E-3</v>
      </c>
      <c r="Z221">
        <v>-8.6702640000000004E-4</v>
      </c>
      <c r="AA221">
        <v>0.99999380000000004</v>
      </c>
      <c r="AB221">
        <v>32</v>
      </c>
      <c r="AC221">
        <v>17.262699999999899</v>
      </c>
      <c r="AD221">
        <v>-1.1050169999999999</v>
      </c>
      <c r="AE221">
        <v>0.32799999999997398</v>
      </c>
      <c r="AF221">
        <v>-5.9585870479776898E-2</v>
      </c>
      <c r="AG221">
        <v>-1.1050169999999999</v>
      </c>
      <c r="AH221">
        <v>17.195279663103499</v>
      </c>
      <c r="AI221">
        <v>93.676909820362695</v>
      </c>
      <c r="AJ221">
        <v>90.198543164111996</v>
      </c>
      <c r="AK221">
        <v>17.230851857600999</v>
      </c>
    </row>
    <row r="222" spans="1:37" x14ac:dyDescent="0.2">
      <c r="A222" t="str">
        <f>"20200111160059220"</f>
        <v>20200111160059220</v>
      </c>
      <c r="B222" t="str">
        <f>"1578729659209411"</f>
        <v>1578729659209411</v>
      </c>
      <c r="C222" t="s">
        <v>37</v>
      </c>
      <c r="D222">
        <v>4.1702110000000001</v>
      </c>
      <c r="E222">
        <v>0.52113469999999995</v>
      </c>
      <c r="F222" t="s">
        <v>39</v>
      </c>
      <c r="G222">
        <v>-412.1345</v>
      </c>
      <c r="H222">
        <v>-0.05</v>
      </c>
      <c r="I222">
        <v>368.17860000000002</v>
      </c>
      <c r="J222">
        <v>-429.23059999999998</v>
      </c>
      <c r="K222">
        <v>1.0549409999999999</v>
      </c>
      <c r="L222">
        <v>367.84730000000002</v>
      </c>
      <c r="M222">
        <v>0.9998013</v>
      </c>
      <c r="N222">
        <v>0</v>
      </c>
      <c r="O222">
        <v>1.5469180000000001E-2</v>
      </c>
      <c r="P222">
        <v>0.99750209999999995</v>
      </c>
      <c r="Q222">
        <v>7.0378649999999999E-3</v>
      </c>
      <c r="R222">
        <v>7.0285790000000001E-2</v>
      </c>
      <c r="S222">
        <v>3.00528</v>
      </c>
      <c r="T222">
        <v>-0.19072149999999999</v>
      </c>
      <c r="U222">
        <v>5.8013919999999997E-2</v>
      </c>
      <c r="V222">
        <v>-5.4842830000000002E-2</v>
      </c>
      <c r="W222">
        <v>1.9599439999999999E-2</v>
      </c>
      <c r="X222">
        <v>0.99830259999999904</v>
      </c>
      <c r="Y222">
        <v>-3.8539329999999999E-3</v>
      </c>
      <c r="Z222">
        <v>-8.5848599999999999E-4</v>
      </c>
      <c r="AA222">
        <v>0.999992199999999</v>
      </c>
      <c r="AB222">
        <v>32</v>
      </c>
      <c r="AC222">
        <v>17.0960999999999</v>
      </c>
      <c r="AD222">
        <v>-1.104941</v>
      </c>
      <c r="AE222">
        <v>0.33129999999999798</v>
      </c>
      <c r="AF222">
        <v>-6.6499125130016101E-2</v>
      </c>
      <c r="AG222">
        <v>-1.104941</v>
      </c>
      <c r="AH222">
        <v>17.028076603365399</v>
      </c>
      <c r="AI222">
        <v>93.712653185736599</v>
      </c>
      <c r="AJ222">
        <v>90.223753975901502</v>
      </c>
      <c r="AK222">
        <v>17.0640179781083</v>
      </c>
    </row>
    <row r="223" spans="1:37" x14ac:dyDescent="0.2">
      <c r="A223" t="str">
        <f>"20200111160059241"</f>
        <v>20200111160059241</v>
      </c>
      <c r="B223" t="str">
        <f>"1578729659239667"</f>
        <v>1578729659239667</v>
      </c>
      <c r="C223" t="s">
        <v>37</v>
      </c>
      <c r="D223">
        <v>4.2191609999999997</v>
      </c>
      <c r="E223">
        <v>0.52114249999999995</v>
      </c>
      <c r="F223" t="s">
        <v>39</v>
      </c>
      <c r="G223">
        <v>-412.12479999999999</v>
      </c>
      <c r="H223">
        <v>-0.05</v>
      </c>
      <c r="I223">
        <v>368.15910000000002</v>
      </c>
      <c r="J223">
        <v>-428.9212</v>
      </c>
      <c r="K223">
        <v>1.05487999999999</v>
      </c>
      <c r="L223">
        <v>367.85199999999998</v>
      </c>
      <c r="M223">
        <v>0.99979810000000002</v>
      </c>
      <c r="N223">
        <v>0</v>
      </c>
      <c r="O223">
        <v>1.54095E-2</v>
      </c>
      <c r="P223">
        <v>0.9975697</v>
      </c>
      <c r="Q223">
        <v>6.2861000000000002E-3</v>
      </c>
      <c r="R223">
        <v>6.9392140000000005E-2</v>
      </c>
      <c r="S223">
        <v>3.0050659999999998</v>
      </c>
      <c r="T223">
        <v>-0.19411029999999899</v>
      </c>
      <c r="U223">
        <v>5.4779050000000003E-2</v>
      </c>
      <c r="V223">
        <v>-5.4007359999999997E-2</v>
      </c>
      <c r="W223">
        <v>1.917847E-2</v>
      </c>
      <c r="X223">
        <v>0.99835629999999997</v>
      </c>
      <c r="Y223">
        <v>-2.8416719999999999E-3</v>
      </c>
      <c r="Z223">
        <v>-9.0259189999999999E-4</v>
      </c>
      <c r="AA223">
        <v>0.99999550000000004</v>
      </c>
      <c r="AB223">
        <v>32</v>
      </c>
      <c r="AC223">
        <v>16.796399999999998</v>
      </c>
      <c r="AD223">
        <v>-1.1048799999999901</v>
      </c>
      <c r="AE223">
        <v>0.307100000000048</v>
      </c>
      <c r="AF223">
        <v>-4.8010204401779603E-2</v>
      </c>
      <c r="AG223">
        <v>-1.1048799999999901</v>
      </c>
      <c r="AH223">
        <v>16.726783602061101</v>
      </c>
      <c r="AI223">
        <v>93.779140822495606</v>
      </c>
      <c r="AJ223">
        <v>90.164453286253803</v>
      </c>
      <c r="AK223">
        <v>16.763303805166501</v>
      </c>
    </row>
    <row r="224" spans="1:37" x14ac:dyDescent="0.2">
      <c r="A224" t="str">
        <f>"20200111160059264"</f>
        <v>20200111160059264</v>
      </c>
      <c r="B224" t="str">
        <f>"1578729659259188"</f>
        <v>1578729659259188</v>
      </c>
      <c r="C224" t="s">
        <v>37</v>
      </c>
      <c r="D224">
        <v>4.2540649999999998</v>
      </c>
      <c r="E224">
        <v>0.52001660000000005</v>
      </c>
      <c r="F224" t="s">
        <v>39</v>
      </c>
      <c r="G224">
        <v>-411.86</v>
      </c>
      <c r="H224">
        <v>-0.05</v>
      </c>
      <c r="I224">
        <v>368.14679999999998</v>
      </c>
      <c r="J224">
        <v>-428.61380000000003</v>
      </c>
      <c r="K224">
        <v>1.054832</v>
      </c>
      <c r="L224">
        <v>367.85669999999999</v>
      </c>
      <c r="M224">
        <v>0.99979490000000004</v>
      </c>
      <c r="N224">
        <v>0</v>
      </c>
      <c r="O224">
        <v>1.5352660000000001E-2</v>
      </c>
      <c r="P224">
        <v>0.99762410000000001</v>
      </c>
      <c r="Q224">
        <v>6.3909090000000002E-3</v>
      </c>
      <c r="R224">
        <v>6.8595690000000001E-2</v>
      </c>
      <c r="S224">
        <v>3.0049440000000001</v>
      </c>
      <c r="T224">
        <v>-0.19459949999999901</v>
      </c>
      <c r="U224">
        <v>5.1910400000000002E-2</v>
      </c>
      <c r="V224">
        <v>-5.3267130000000003E-2</v>
      </c>
      <c r="W224">
        <v>1.9597529999999998E-2</v>
      </c>
      <c r="X224">
        <v>0.99838799999999905</v>
      </c>
      <c r="Y224">
        <v>-1.9467499999999999E-3</v>
      </c>
      <c r="Z224">
        <v>-9.3018039999999999E-4</v>
      </c>
      <c r="AA224">
        <v>0.99999769999999899</v>
      </c>
      <c r="AB224">
        <v>32</v>
      </c>
      <c r="AC224">
        <v>16.753799999999998</v>
      </c>
      <c r="AD224">
        <v>-1.104832</v>
      </c>
      <c r="AE224">
        <v>0.29009999999999497</v>
      </c>
      <c r="AF224">
        <v>-3.26858684669648E-2</v>
      </c>
      <c r="AG224">
        <v>-1.104832</v>
      </c>
      <c r="AH224">
        <v>16.683747331903302</v>
      </c>
      <c r="AI224">
        <v>93.788705069873203</v>
      </c>
      <c r="AJ224">
        <v>90.112250556160106</v>
      </c>
      <c r="AK224">
        <v>16.720321382946299</v>
      </c>
    </row>
    <row r="225" spans="1:37" x14ac:dyDescent="0.2">
      <c r="A225" t="str">
        <f>"20200111160059287"</f>
        <v>20200111160059287</v>
      </c>
      <c r="B225" t="str">
        <f>"1578729659279683"</f>
        <v>1578729659279683</v>
      </c>
      <c r="C225" t="s">
        <v>37</v>
      </c>
      <c r="D225">
        <v>4.1570510000000001</v>
      </c>
      <c r="E225">
        <v>0.51082119999999998</v>
      </c>
      <c r="F225" t="s">
        <v>38</v>
      </c>
      <c r="G225">
        <v>-322.85759999999999</v>
      </c>
      <c r="H225" s="1">
        <v>-3.0532420000000002E-6</v>
      </c>
      <c r="I225">
        <v>369.57780000000002</v>
      </c>
      <c r="J225">
        <v>-428.28269999999998</v>
      </c>
      <c r="K225">
        <v>1.0547789999999999</v>
      </c>
      <c r="L225">
        <v>367.86169999999998</v>
      </c>
      <c r="M225">
        <v>0.999791599999999</v>
      </c>
      <c r="N225">
        <v>0</v>
      </c>
      <c r="O225">
        <v>1.5292790000000001E-2</v>
      </c>
      <c r="P225">
        <v>0.99770689999999995</v>
      </c>
      <c r="Q225">
        <v>6.5019989999999996E-3</v>
      </c>
      <c r="R225">
        <v>6.7371219999999996E-2</v>
      </c>
      <c r="S225">
        <v>3.0039669999999998</v>
      </c>
      <c r="T225">
        <v>-2.9962180000000001E-2</v>
      </c>
      <c r="U225">
        <v>4.8889160000000001E-2</v>
      </c>
      <c r="V225">
        <v>-5.210124E-2</v>
      </c>
      <c r="W225">
        <v>2.0022310000000001E-2</v>
      </c>
      <c r="X225">
        <v>0.99844100000000002</v>
      </c>
      <c r="Y225">
        <v>-9.7935059999999991E-4</v>
      </c>
      <c r="Z225">
        <v>-1.476406E-4</v>
      </c>
      <c r="AA225">
        <v>0.99999950000000004</v>
      </c>
      <c r="AB225">
        <v>32</v>
      </c>
      <c r="AC225">
        <v>105.4251</v>
      </c>
      <c r="AD225">
        <v>-1.054782053242</v>
      </c>
      <c r="AE225">
        <v>1.7161000000000399</v>
      </c>
      <c r="AF225">
        <v>-0.103497557856446</v>
      </c>
      <c r="AG225">
        <v>-1.054782053242</v>
      </c>
      <c r="AH225">
        <v>105.428464852186</v>
      </c>
      <c r="AI225">
        <v>90.573208712262598</v>
      </c>
      <c r="AJ225">
        <v>90.056246397578505</v>
      </c>
      <c r="AK225">
        <v>105.433791917074</v>
      </c>
    </row>
    <row r="226" spans="1:37" x14ac:dyDescent="0.2">
      <c r="A226" t="str">
        <f>"20200111160059308"</f>
        <v>20200111160059308</v>
      </c>
      <c r="B226" t="str">
        <f>"1578729659299203"</f>
        <v>1578729659299203</v>
      </c>
      <c r="C226" t="s">
        <v>37</v>
      </c>
      <c r="D226">
        <v>4.1345369999999999</v>
      </c>
      <c r="E226">
        <v>0.51101129999999995</v>
      </c>
      <c r="F226" t="s">
        <v>38</v>
      </c>
      <c r="G226">
        <v>-391.37040000000002</v>
      </c>
      <c r="H226" s="1">
        <v>-3.7294099999999899E-6</v>
      </c>
      <c r="I226">
        <v>369.36250000000001</v>
      </c>
      <c r="J226">
        <v>-427.97480000000002</v>
      </c>
      <c r="K226">
        <v>1.0547329999999999</v>
      </c>
      <c r="L226">
        <v>367.86630000000002</v>
      </c>
      <c r="M226">
        <v>0.99978869999999898</v>
      </c>
      <c r="N226">
        <v>0</v>
      </c>
      <c r="O226">
        <v>1.523706E-2</v>
      </c>
      <c r="P226">
        <v>0.9977644</v>
      </c>
      <c r="Q226">
        <v>5.2822590000000001E-3</v>
      </c>
      <c r="R226">
        <v>6.6620380000000007E-2</v>
      </c>
      <c r="S226">
        <v>2.9991759999999998</v>
      </c>
      <c r="T226">
        <v>-8.5702299999999995E-2</v>
      </c>
      <c r="U226">
        <v>0.12194819999999899</v>
      </c>
      <c r="V226">
        <v>-5.1404699999999998E-2</v>
      </c>
      <c r="W226">
        <v>1.9065479999999999E-2</v>
      </c>
      <c r="X226">
        <v>0.99849589999999999</v>
      </c>
      <c r="Y226">
        <v>-2.5392229999999998E-2</v>
      </c>
      <c r="Z226" s="1">
        <v>-7.2558439999999996E-5</v>
      </c>
      <c r="AA226">
        <v>0.9996775</v>
      </c>
      <c r="AB226">
        <v>32</v>
      </c>
      <c r="AC226">
        <v>36.604399999999998</v>
      </c>
      <c r="AD226">
        <v>-1.0547367294100001</v>
      </c>
      <c r="AE226">
        <v>1.49619999999998</v>
      </c>
      <c r="AF226">
        <v>-0.93745268711579399</v>
      </c>
      <c r="AG226">
        <v>-1.0547367294100001</v>
      </c>
      <c r="AH226">
        <v>36.592618386924201</v>
      </c>
      <c r="AI226">
        <v>91.650481253247094</v>
      </c>
      <c r="AJ226">
        <v>91.467518280771699</v>
      </c>
      <c r="AK226">
        <v>36.619817142088699</v>
      </c>
    </row>
    <row r="227" spans="1:37" x14ac:dyDescent="0.2">
      <c r="A227" t="str">
        <f>"20200111160059331"</f>
        <v>20200111160059331</v>
      </c>
      <c r="B227" t="str">
        <f>"1578729659329459"</f>
        <v>1578729659329459</v>
      </c>
      <c r="C227" t="s">
        <v>37</v>
      </c>
      <c r="D227">
        <v>4.2766440000000001</v>
      </c>
      <c r="E227">
        <v>0.51246199999999997</v>
      </c>
      <c r="F227" t="s">
        <v>38</v>
      </c>
      <c r="G227">
        <v>-392.89819999999997</v>
      </c>
      <c r="H227" s="1">
        <v>-3.09450699999999E-6</v>
      </c>
      <c r="I227">
        <v>369.24680000000001</v>
      </c>
      <c r="J227">
        <v>-427.66019999999997</v>
      </c>
      <c r="K227">
        <v>1.0546850000000001</v>
      </c>
      <c r="L227">
        <v>367.87110000000001</v>
      </c>
      <c r="M227">
        <v>0.99978639999999996</v>
      </c>
      <c r="N227">
        <v>0</v>
      </c>
      <c r="O227">
        <v>1.5179150000000001E-2</v>
      </c>
      <c r="P227">
        <v>0.99780569999999902</v>
      </c>
      <c r="Q227">
        <v>4.1083529999999899E-3</v>
      </c>
      <c r="R227">
        <v>6.6085550000000007E-2</v>
      </c>
      <c r="S227">
        <v>2.999298</v>
      </c>
      <c r="T227">
        <v>-9.018719E-2</v>
      </c>
      <c r="U227">
        <v>0.11804199999999999</v>
      </c>
      <c r="V227">
        <v>-5.0927559999999997E-2</v>
      </c>
      <c r="W227">
        <v>1.812913E-2</v>
      </c>
      <c r="X227">
        <v>0.99853780000000003</v>
      </c>
      <c r="Y227">
        <v>-2.4148610000000001E-2</v>
      </c>
      <c r="Z227" s="1">
        <v>-9.3301580000000007E-5</v>
      </c>
      <c r="AA227">
        <v>0.99970840000000005</v>
      </c>
      <c r="AB227">
        <v>31</v>
      </c>
      <c r="AC227">
        <v>34.762</v>
      </c>
      <c r="AD227">
        <v>-1.0546880945070001</v>
      </c>
      <c r="AE227">
        <v>1.3756999999999899</v>
      </c>
      <c r="AF227">
        <v>-0.84705342687913998</v>
      </c>
      <c r="AG227">
        <v>-1.0546880945070001</v>
      </c>
      <c r="AH227">
        <v>34.746942662293598</v>
      </c>
      <c r="AI227">
        <v>91.7380722576805</v>
      </c>
      <c r="AJ227">
        <v>91.396467492360799</v>
      </c>
      <c r="AK227">
        <v>34.7732640236921</v>
      </c>
    </row>
    <row r="228" spans="1:37" x14ac:dyDescent="0.2">
      <c r="A228" t="str">
        <f>"20200111160059352"</f>
        <v>20200111160059352</v>
      </c>
      <c r="B228" t="str">
        <f>"1578729659348980"</f>
        <v>1578729659348980</v>
      </c>
      <c r="C228" t="s">
        <v>37</v>
      </c>
      <c r="D228">
        <v>4.2789359999999999</v>
      </c>
      <c r="E228">
        <v>0.51250649999999998</v>
      </c>
      <c r="F228" t="s">
        <v>38</v>
      </c>
      <c r="G228">
        <v>-389.12079999999997</v>
      </c>
      <c r="H228" s="1">
        <v>-4.311634E-7</v>
      </c>
      <c r="I228">
        <v>369.2122</v>
      </c>
      <c r="J228">
        <v>-427.35719999999998</v>
      </c>
      <c r="K228">
        <v>1.054646</v>
      </c>
      <c r="L228">
        <v>367.87560000000002</v>
      </c>
      <c r="M228">
        <v>0.99978440000000002</v>
      </c>
      <c r="N228">
        <v>0</v>
      </c>
      <c r="O228">
        <v>1.5122149999999999E-2</v>
      </c>
      <c r="P228">
        <v>0.99784699999999904</v>
      </c>
      <c r="Q228">
        <v>2.8513759999999901E-3</v>
      </c>
      <c r="R228">
        <v>6.5521109999999994E-2</v>
      </c>
      <c r="S228">
        <v>3.0000309999999999</v>
      </c>
      <c r="T228">
        <v>-8.2099850000000002E-2</v>
      </c>
      <c r="U228">
        <v>0.1044006</v>
      </c>
      <c r="V228">
        <v>-5.0419499999999999E-2</v>
      </c>
      <c r="W228">
        <v>1.7074530000000001E-2</v>
      </c>
      <c r="X228">
        <v>0.99858219999999998</v>
      </c>
      <c r="Y228">
        <v>-1.965861E-2</v>
      </c>
      <c r="Z228">
        <v>-1.4477770000000001E-4</v>
      </c>
      <c r="AA228">
        <v>0.9998068</v>
      </c>
      <c r="AB228">
        <v>31</v>
      </c>
      <c r="AC228">
        <v>38.236400000000003</v>
      </c>
      <c r="AD228">
        <v>-1.0546464311634001</v>
      </c>
      <c r="AE228">
        <v>1.33659999999997</v>
      </c>
      <c r="AF228">
        <v>-0.75759635011036897</v>
      </c>
      <c r="AG228">
        <v>-1.0546464311634001</v>
      </c>
      <c r="AH228">
        <v>38.223197237270597</v>
      </c>
      <c r="AI228">
        <v>91.580181921798797</v>
      </c>
      <c r="AJ228">
        <v>91.135472535576696</v>
      </c>
      <c r="AK228">
        <v>38.245248572388199</v>
      </c>
    </row>
    <row r="229" spans="1:37" x14ac:dyDescent="0.2">
      <c r="A229" t="str">
        <f>"20200111160059375"</f>
        <v>20200111160059375</v>
      </c>
      <c r="B229" t="str">
        <f>"1578729659369476"</f>
        <v>1578729659369476</v>
      </c>
      <c r="C229" t="s">
        <v>37</v>
      </c>
      <c r="D229">
        <v>4.4790339999999897</v>
      </c>
      <c r="E229">
        <v>0.51264659999999995</v>
      </c>
      <c r="F229" t="s">
        <v>38</v>
      </c>
      <c r="G229">
        <v>-388.93119999999999</v>
      </c>
      <c r="H229" s="1">
        <v>-5.1851040000000002E-7</v>
      </c>
      <c r="I229">
        <v>369.17829999999998</v>
      </c>
      <c r="J229">
        <v>-427.04849999999999</v>
      </c>
      <c r="K229">
        <v>1.0546059999999999</v>
      </c>
      <c r="L229">
        <v>367.8802</v>
      </c>
      <c r="M229">
        <v>0.99978269999999902</v>
      </c>
      <c r="N229">
        <v>0</v>
      </c>
      <c r="O229">
        <v>1.506361E-2</v>
      </c>
      <c r="P229">
        <v>0.99787530000000002</v>
      </c>
      <c r="Q229">
        <v>2.1060779999999999E-3</v>
      </c>
      <c r="R229">
        <v>6.5119479999999993E-2</v>
      </c>
      <c r="S229">
        <v>3.0000610000000001</v>
      </c>
      <c r="T229">
        <v>-8.2340120000000003E-2</v>
      </c>
      <c r="U229">
        <v>0.1017151</v>
      </c>
      <c r="V229">
        <v>-5.007665E-2</v>
      </c>
      <c r="W229">
        <v>1.6509079999999999E-2</v>
      </c>
      <c r="X229">
        <v>0.99860890000000002</v>
      </c>
      <c r="Y229">
        <v>-1.8823090000000001E-2</v>
      </c>
      <c r="Z229">
        <v>-1.5505860000000001E-4</v>
      </c>
      <c r="AA229">
        <v>0.99982280000000001</v>
      </c>
      <c r="AB229">
        <v>31</v>
      </c>
      <c r="AC229">
        <v>38.1173</v>
      </c>
      <c r="AD229">
        <v>-1.0546065185104001</v>
      </c>
      <c r="AE229">
        <v>1.2980999999999701</v>
      </c>
      <c r="AF229">
        <v>-0.72315599718560197</v>
      </c>
      <c r="AG229">
        <v>-1.0546065185104001</v>
      </c>
      <c r="AH229">
        <v>38.103396528842502</v>
      </c>
      <c r="AI229">
        <v>91.585113529732595</v>
      </c>
      <c r="AJ229">
        <v>91.087273489557205</v>
      </c>
      <c r="AK229">
        <v>38.124847232996999</v>
      </c>
    </row>
    <row r="230" spans="1:37" x14ac:dyDescent="0.2">
      <c r="A230" t="str">
        <f>"20200111160059397"</f>
        <v>20200111160059397</v>
      </c>
      <c r="B230" t="str">
        <f>"1578729659388996"</f>
        <v>1578729659388996</v>
      </c>
      <c r="C230" t="s">
        <v>37</v>
      </c>
      <c r="D230">
        <v>4.23855</v>
      </c>
      <c r="E230">
        <v>0.51246990000000003</v>
      </c>
      <c r="F230" t="s">
        <v>38</v>
      </c>
      <c r="G230">
        <v>-386.29840000000002</v>
      </c>
      <c r="H230" s="1">
        <v>-1.638911E-6</v>
      </c>
      <c r="I230">
        <v>369.22949999999997</v>
      </c>
      <c r="J230">
        <v>-426.73039999999997</v>
      </c>
      <c r="K230">
        <v>1.054578</v>
      </c>
      <c r="L230">
        <v>367.88499999999999</v>
      </c>
      <c r="M230">
        <v>0.99978129999999998</v>
      </c>
      <c r="N230">
        <v>0</v>
      </c>
      <c r="O230">
        <v>1.500371E-2</v>
      </c>
      <c r="P230">
        <v>0.99792769999999997</v>
      </c>
      <c r="Q230">
        <v>1.2258379999999999E-3</v>
      </c>
      <c r="R230">
        <v>6.4332139999999996E-2</v>
      </c>
      <c r="S230">
        <v>3.0000610000000001</v>
      </c>
      <c r="T230">
        <v>-7.7641070000000006E-2</v>
      </c>
      <c r="U230">
        <v>9.9334720000000001E-2</v>
      </c>
      <c r="V230">
        <v>-4.9348199999999898E-2</v>
      </c>
      <c r="W230">
        <v>1.579011E-2</v>
      </c>
      <c r="X230">
        <v>0.99865680000000001</v>
      </c>
      <c r="Y230">
        <v>-1.8090930000000002E-2</v>
      </c>
      <c r="Z230">
        <v>-1.5413649999999901E-4</v>
      </c>
      <c r="AA230">
        <v>0.99983630000000001</v>
      </c>
      <c r="AB230">
        <v>31</v>
      </c>
      <c r="AC230">
        <v>40.431999999999903</v>
      </c>
      <c r="AD230">
        <v>-1.054579638911</v>
      </c>
      <c r="AE230">
        <v>1.34449999999998</v>
      </c>
      <c r="AF230">
        <v>-0.73715329895405501</v>
      </c>
      <c r="AG230">
        <v>-1.054579638911</v>
      </c>
      <c r="AH230">
        <v>40.420154602355801</v>
      </c>
      <c r="AI230">
        <v>91.494284708371396</v>
      </c>
      <c r="AJ230">
        <v>91.044802814885699</v>
      </c>
      <c r="AK230">
        <v>40.440628472852701</v>
      </c>
    </row>
    <row r="231" spans="1:37" x14ac:dyDescent="0.2">
      <c r="A231" t="str">
        <f>"20200111160059422"</f>
        <v>20200111160059422</v>
      </c>
      <c r="B231" t="str">
        <f>"1578729659409492"</f>
        <v>1578729659409492</v>
      </c>
      <c r="C231" t="s">
        <v>37</v>
      </c>
      <c r="D231">
        <v>4.2463860000000002</v>
      </c>
      <c r="E231">
        <v>0.5125807</v>
      </c>
      <c r="F231" t="s">
        <v>38</v>
      </c>
      <c r="G231">
        <v>-386.51350000000002</v>
      </c>
      <c r="H231" s="1">
        <v>-1.5514070000000001E-6</v>
      </c>
      <c r="I231">
        <v>369.20260000000002</v>
      </c>
      <c r="J231">
        <v>-426.40179999999998</v>
      </c>
      <c r="K231">
        <v>1.054556</v>
      </c>
      <c r="L231">
        <v>367.88979999999998</v>
      </c>
      <c r="M231">
        <v>0.99978009999999995</v>
      </c>
      <c r="N231">
        <v>0</v>
      </c>
      <c r="O231">
        <v>1.494202E-2</v>
      </c>
      <c r="P231">
        <v>0.99796450000000003</v>
      </c>
      <c r="Q231">
        <v>1.1616669999999999E-3</v>
      </c>
      <c r="R231">
        <v>6.3763219999999995E-2</v>
      </c>
      <c r="S231">
        <v>3.0000309999999999</v>
      </c>
      <c r="T231">
        <v>-7.8667459999999995E-2</v>
      </c>
      <c r="U231">
        <v>9.8297120000000002E-2</v>
      </c>
      <c r="V231">
        <v>-4.884003E-2</v>
      </c>
      <c r="W231">
        <v>1.586926E-2</v>
      </c>
      <c r="X231">
        <v>0.99868049999999997</v>
      </c>
      <c r="Y231">
        <v>-1.780754E-2</v>
      </c>
      <c r="Z231">
        <v>-1.5827420000000001E-4</v>
      </c>
      <c r="AA231">
        <v>0.99984139999999999</v>
      </c>
      <c r="AB231">
        <v>31</v>
      </c>
      <c r="AC231">
        <v>39.888299999999902</v>
      </c>
      <c r="AD231">
        <v>-1.054557551407</v>
      </c>
      <c r="AE231">
        <v>1.3128000000000299</v>
      </c>
      <c r="AF231">
        <v>-0.71607714368280995</v>
      </c>
      <c r="AG231">
        <v>-1.054557551407</v>
      </c>
      <c r="AH231">
        <v>39.875622856748898</v>
      </c>
      <c r="AI231">
        <v>91.514656798938105</v>
      </c>
      <c r="AJ231">
        <v>91.028793678344996</v>
      </c>
      <c r="AK231">
        <v>39.895991732486202</v>
      </c>
    </row>
    <row r="232" spans="1:37" x14ac:dyDescent="0.2">
      <c r="A232" t="str">
        <f>"20200111160059442"</f>
        <v>20200111160059442</v>
      </c>
      <c r="B232" t="str">
        <f>"1578729659439748"</f>
        <v>1578729659439748</v>
      </c>
      <c r="C232" t="s">
        <v>37</v>
      </c>
      <c r="D232">
        <v>4.2923939999999998</v>
      </c>
      <c r="E232">
        <v>0.51202009999999998</v>
      </c>
      <c r="F232" t="s">
        <v>38</v>
      </c>
      <c r="G232">
        <v>-385.71030000000002</v>
      </c>
      <c r="H232" s="1">
        <v>-1.8984239999999999E-6</v>
      </c>
      <c r="I232">
        <v>369.18869999999998</v>
      </c>
      <c r="J232">
        <v>-426.11090000000002</v>
      </c>
      <c r="K232">
        <v>1.0545389999999999</v>
      </c>
      <c r="L232">
        <v>367.89409999999998</v>
      </c>
      <c r="M232">
        <v>0.99977929999999904</v>
      </c>
      <c r="N232">
        <v>0</v>
      </c>
      <c r="O232">
        <v>1.488749E-2</v>
      </c>
      <c r="P232">
        <v>0.99797469999999999</v>
      </c>
      <c r="Q232">
        <v>7.9829429999999995E-4</v>
      </c>
      <c r="R232">
        <v>6.3607479999999994E-2</v>
      </c>
      <c r="S232">
        <v>3.000092</v>
      </c>
      <c r="T232">
        <v>-7.7750089999999994E-2</v>
      </c>
      <c r="U232">
        <v>9.5764160000000001E-2</v>
      </c>
      <c r="V232">
        <v>-4.8738789999999997E-2</v>
      </c>
      <c r="W232">
        <v>1.5614650000000001E-2</v>
      </c>
      <c r="X232">
        <v>0.99868950000000001</v>
      </c>
      <c r="Y232">
        <v>-1.701836E-2</v>
      </c>
      <c r="Z232">
        <v>-1.652387E-4</v>
      </c>
      <c r="AA232">
        <v>0.99985519999999894</v>
      </c>
      <c r="AB232">
        <v>31</v>
      </c>
      <c r="AC232">
        <v>40.400599999999997</v>
      </c>
      <c r="AD232">
        <v>-1.0545408984239999</v>
      </c>
      <c r="AE232">
        <v>1.2946</v>
      </c>
      <c r="AF232">
        <v>-0.69245558032323495</v>
      </c>
      <c r="AG232">
        <v>-1.0545408984239999</v>
      </c>
      <c r="AH232">
        <v>40.387908219978598</v>
      </c>
      <c r="AI232">
        <v>91.495451188428504</v>
      </c>
      <c r="AJ232">
        <v>90.982246844434798</v>
      </c>
      <c r="AK232">
        <v>40.407606729706004</v>
      </c>
    </row>
    <row r="233" spans="1:37" x14ac:dyDescent="0.2">
      <c r="A233" t="str">
        <f>"20200111160059465"</f>
        <v>20200111160059465</v>
      </c>
      <c r="B233" t="str">
        <f>"1578729659459268"</f>
        <v>1578729659459268</v>
      </c>
      <c r="C233" t="s">
        <v>37</v>
      </c>
      <c r="D233">
        <v>4.3003330000000002</v>
      </c>
      <c r="E233">
        <v>0.51228560000000001</v>
      </c>
      <c r="F233" t="s">
        <v>38</v>
      </c>
      <c r="G233">
        <v>-386.11750000000001</v>
      </c>
      <c r="H233" s="1">
        <v>-1.7177299999999899E-6</v>
      </c>
      <c r="I233">
        <v>369.22250000000003</v>
      </c>
      <c r="J233">
        <v>-425.8082</v>
      </c>
      <c r="K233">
        <v>1.0545249999999999</v>
      </c>
      <c r="L233">
        <v>367.89859999999999</v>
      </c>
      <c r="M233">
        <v>0.99977879999999997</v>
      </c>
      <c r="N233">
        <v>0</v>
      </c>
      <c r="O233">
        <v>1.4830370000000001E-2</v>
      </c>
      <c r="P233">
        <v>0.99798819999999999</v>
      </c>
      <c r="Q233">
        <v>1.471441E-3</v>
      </c>
      <c r="R233">
        <v>6.3387109999999997E-2</v>
      </c>
      <c r="S233">
        <v>2.9997560000000001</v>
      </c>
      <c r="T233">
        <v>-7.9097150000000005E-2</v>
      </c>
      <c r="U233">
        <v>9.9639889999999995E-2</v>
      </c>
      <c r="V233">
        <v>-4.8575319999999998E-2</v>
      </c>
      <c r="W233">
        <v>1.638512E-2</v>
      </c>
      <c r="X233">
        <v>0.99868509999999999</v>
      </c>
      <c r="Y233">
        <v>-1.8368969999999998E-2</v>
      </c>
      <c r="Z233">
        <v>-1.4881169999999999E-4</v>
      </c>
      <c r="AA233">
        <v>0.99983129999999998</v>
      </c>
      <c r="AB233">
        <v>31</v>
      </c>
      <c r="AC233">
        <v>39.6906999999999</v>
      </c>
      <c r="AD233">
        <v>-1.05452671773</v>
      </c>
      <c r="AE233">
        <v>1.3239000000000301</v>
      </c>
      <c r="AF233">
        <v>-0.73454320300925802</v>
      </c>
      <c r="AG233">
        <v>-1.05452671773</v>
      </c>
      <c r="AH233">
        <v>39.677992903727002</v>
      </c>
      <c r="AI233">
        <v>91.522137655777698</v>
      </c>
      <c r="AJ233">
        <v>91.060573265601505</v>
      </c>
      <c r="AK233">
        <v>39.698799744875203</v>
      </c>
    </row>
    <row r="234" spans="1:37" x14ac:dyDescent="0.2">
      <c r="A234" t="str">
        <f>"20200111160059487"</f>
        <v>20200111160059487</v>
      </c>
      <c r="B234" t="str">
        <f>"1578729659479764"</f>
        <v>1578729659479764</v>
      </c>
      <c r="C234" t="s">
        <v>37</v>
      </c>
      <c r="D234">
        <v>4.3327999999999998</v>
      </c>
      <c r="E234">
        <v>0.51253530000000003</v>
      </c>
      <c r="F234" t="s">
        <v>38</v>
      </c>
      <c r="G234">
        <v>-382.39409999999998</v>
      </c>
      <c r="H234" s="1">
        <v>-3.3021600000000001E-6</v>
      </c>
      <c r="I234">
        <v>369.29539999999997</v>
      </c>
      <c r="J234">
        <v>-425.49560000000002</v>
      </c>
      <c r="K234">
        <v>1.054511</v>
      </c>
      <c r="L234">
        <v>367.90320000000003</v>
      </c>
      <c r="M234">
        <v>0.99977819999999995</v>
      </c>
      <c r="N234">
        <v>0</v>
      </c>
      <c r="O234">
        <v>1.477201E-2</v>
      </c>
      <c r="P234">
        <v>0.99797590000000003</v>
      </c>
      <c r="Q234">
        <v>1.5670599999999999E-3</v>
      </c>
      <c r="R234">
        <v>6.3574430000000001E-2</v>
      </c>
      <c r="S234">
        <v>3.0000309999999999</v>
      </c>
      <c r="T234">
        <v>-7.2870489999999996E-2</v>
      </c>
      <c r="U234">
        <v>9.6527100000000005E-2</v>
      </c>
      <c r="V234">
        <v>-4.8820910000000002E-2</v>
      </c>
      <c r="W234">
        <v>1.6567249999999999E-2</v>
      </c>
      <c r="X234">
        <v>0.99867019999999995</v>
      </c>
      <c r="Y234">
        <v>-1.7388420000000002E-2</v>
      </c>
      <c r="Z234">
        <v>-1.4757879999999999E-4</v>
      </c>
      <c r="AA234">
        <v>0.99984879999999998</v>
      </c>
      <c r="AB234">
        <v>31</v>
      </c>
      <c r="AC234">
        <v>43.101500000000001</v>
      </c>
      <c r="AD234">
        <v>-1.0545143021600001</v>
      </c>
      <c r="AE234">
        <v>1.3921999999999399</v>
      </c>
      <c r="AF234">
        <v>-0.75482917008455896</v>
      </c>
      <c r="AG234">
        <v>-1.0545143021600001</v>
      </c>
      <c r="AH234">
        <v>43.091597189835198</v>
      </c>
      <c r="AI234">
        <v>91.401616664208106</v>
      </c>
      <c r="AJ234">
        <v>91.003539109068598</v>
      </c>
      <c r="AK234">
        <v>43.111106641566103</v>
      </c>
    </row>
    <row r="235" spans="1:37" x14ac:dyDescent="0.2">
      <c r="A235" t="str">
        <f>"20200111160059510"</f>
        <v>20200111160059510</v>
      </c>
      <c r="B235" t="str">
        <f>"1578729659499283"</f>
        <v>1578729659499283</v>
      </c>
      <c r="C235" t="s">
        <v>37</v>
      </c>
      <c r="D235">
        <v>4.4395290000000003</v>
      </c>
      <c r="E235">
        <v>0.51249449999999996</v>
      </c>
      <c r="F235" t="s">
        <v>38</v>
      </c>
      <c r="G235">
        <v>-379.64490000000001</v>
      </c>
      <c r="H235" s="1">
        <v>-1.814256E-7</v>
      </c>
      <c r="I235">
        <v>369.3526</v>
      </c>
      <c r="J235">
        <v>-425.17450000000002</v>
      </c>
      <c r="K235">
        <v>1.0545069999999901</v>
      </c>
      <c r="L235">
        <v>367.90780000000001</v>
      </c>
      <c r="M235">
        <v>0.99977819999999995</v>
      </c>
      <c r="N235">
        <v>0</v>
      </c>
      <c r="O235">
        <v>1.4711719999999999E-2</v>
      </c>
      <c r="P235">
        <v>0.99796700000000005</v>
      </c>
      <c r="Q235">
        <v>1.3614759999999999E-3</v>
      </c>
      <c r="R235">
        <v>6.3720079999999998E-2</v>
      </c>
      <c r="S235">
        <v>3.0002140000000002</v>
      </c>
      <c r="T235">
        <v>-6.9001259999999995E-2</v>
      </c>
      <c r="U235">
        <v>9.4848630000000003E-2</v>
      </c>
      <c r="V235">
        <v>-4.90272E-2</v>
      </c>
      <c r="W235">
        <v>1.6436139999999998E-2</v>
      </c>
      <c r="X235">
        <v>0.99866219999999895</v>
      </c>
      <c r="Y235">
        <v>-1.6888139999999999E-2</v>
      </c>
      <c r="Z235">
        <v>-1.4410289999999999E-4</v>
      </c>
      <c r="AA235">
        <v>0.99985740000000001</v>
      </c>
      <c r="AB235">
        <v>31</v>
      </c>
      <c r="AC235">
        <v>45.529600000000002</v>
      </c>
      <c r="AD235">
        <v>-1.0545071814256</v>
      </c>
      <c r="AE235">
        <v>1.4447999999999801</v>
      </c>
      <c r="AF235">
        <v>-0.77433384393484095</v>
      </c>
      <c r="AG235">
        <v>-1.0545071814256</v>
      </c>
      <c r="AH235">
        <v>45.521534968960403</v>
      </c>
      <c r="AI235">
        <v>91.326828559576796</v>
      </c>
      <c r="AJ235">
        <v>90.974523000286993</v>
      </c>
      <c r="AK235">
        <v>45.540330743505002</v>
      </c>
    </row>
    <row r="236" spans="1:37" x14ac:dyDescent="0.2">
      <c r="A236" t="str">
        <f>"20200111160059531"</f>
        <v>20200111160059531</v>
      </c>
      <c r="B236" t="str">
        <f>"1578729659529540"</f>
        <v>1578729659529540</v>
      </c>
      <c r="C236" t="s">
        <v>37</v>
      </c>
      <c r="D236">
        <v>4.337853</v>
      </c>
      <c r="E236">
        <v>0.51252819999999999</v>
      </c>
      <c r="F236" t="s">
        <v>38</v>
      </c>
      <c r="G236">
        <v>-378.58629999999999</v>
      </c>
      <c r="H236" s="1">
        <v>-6.2797979999999995E-7</v>
      </c>
      <c r="I236">
        <v>369.39530000000002</v>
      </c>
      <c r="J236">
        <v>-424.88400000000001</v>
      </c>
      <c r="K236">
        <v>1.054495</v>
      </c>
      <c r="L236">
        <v>367.91199999999998</v>
      </c>
      <c r="M236">
        <v>0.99977799999999994</v>
      </c>
      <c r="N236">
        <v>0</v>
      </c>
      <c r="O236">
        <v>1.465704E-2</v>
      </c>
      <c r="P236">
        <v>0.99794930000000004</v>
      </c>
      <c r="Q236">
        <v>8.7126719999999996E-4</v>
      </c>
      <c r="R236">
        <v>6.4004699999999998E-2</v>
      </c>
      <c r="S236">
        <v>3.000092</v>
      </c>
      <c r="T236">
        <v>-6.7905899999999894E-2</v>
      </c>
      <c r="U236">
        <v>9.5794679999999993E-2</v>
      </c>
      <c r="V236">
        <v>-4.9366599999999997E-2</v>
      </c>
      <c r="W236">
        <v>1.600323E-2</v>
      </c>
      <c r="X236">
        <v>0.99865249999999905</v>
      </c>
      <c r="Y236">
        <v>-1.725898E-2</v>
      </c>
      <c r="Z236">
        <v>-1.3638889999999999E-4</v>
      </c>
      <c r="AA236">
        <v>0.99985100000000005</v>
      </c>
      <c r="AB236">
        <v>31</v>
      </c>
      <c r="AC236">
        <v>46.297699999999999</v>
      </c>
      <c r="AD236">
        <v>-1.0544956279797999</v>
      </c>
      <c r="AE236">
        <v>1.48330000000004</v>
      </c>
      <c r="AF236">
        <v>-0.80405894337337203</v>
      </c>
      <c r="AG236">
        <v>-1.0544956279797999</v>
      </c>
      <c r="AH236">
        <v>46.290479570945401</v>
      </c>
      <c r="AI236">
        <v>91.304773558048495</v>
      </c>
      <c r="AJ236">
        <v>90.995119341899894</v>
      </c>
      <c r="AK236">
        <v>46.309469557769297</v>
      </c>
    </row>
    <row r="237" spans="1:37" x14ac:dyDescent="0.2">
      <c r="A237" t="str">
        <f>"20200111160059553"</f>
        <v>20200111160059553</v>
      </c>
      <c r="B237" t="str">
        <f>"1578729659549059"</f>
        <v>1578729659549059</v>
      </c>
      <c r="C237" t="s">
        <v>37</v>
      </c>
      <c r="D237">
        <v>4.323677</v>
      </c>
      <c r="E237">
        <v>0.5126271</v>
      </c>
      <c r="F237" t="s">
        <v>38</v>
      </c>
      <c r="G237">
        <v>-377.06950000000001</v>
      </c>
      <c r="H237" s="1">
        <v>-1.2702379999999999E-6</v>
      </c>
      <c r="I237">
        <v>369.44310000000002</v>
      </c>
      <c r="J237">
        <v>-424.58</v>
      </c>
      <c r="K237">
        <v>1.054492</v>
      </c>
      <c r="L237">
        <v>367.91640000000001</v>
      </c>
      <c r="M237">
        <v>0.99977799999999994</v>
      </c>
      <c r="N237">
        <v>0</v>
      </c>
      <c r="O237">
        <v>1.4599910000000001E-2</v>
      </c>
      <c r="P237">
        <v>0.99791989999999997</v>
      </c>
      <c r="Q237">
        <v>2.4485590000000002E-4</v>
      </c>
      <c r="R237">
        <v>6.4466930000000006E-2</v>
      </c>
      <c r="S237">
        <v>3.0000610000000001</v>
      </c>
      <c r="T237">
        <v>-6.6162940000000003E-2</v>
      </c>
      <c r="U237">
        <v>9.6069340000000003E-2</v>
      </c>
      <c r="V237">
        <v>-4.988658E-2</v>
      </c>
      <c r="W237">
        <v>1.542728E-2</v>
      </c>
      <c r="X237">
        <v>0.99863570000000002</v>
      </c>
      <c r="Y237">
        <v>-1.7407849999999999E-2</v>
      </c>
      <c r="Z237">
        <v>-1.2998999999999999E-4</v>
      </c>
      <c r="AA237">
        <v>0.99984850000000003</v>
      </c>
      <c r="AB237">
        <v>31</v>
      </c>
      <c r="AC237">
        <v>47.510499999999901</v>
      </c>
      <c r="AD237">
        <v>-1.0544932702380001</v>
      </c>
      <c r="AE237">
        <v>1.5266999999999999</v>
      </c>
      <c r="AF237">
        <v>-0.83239852761270505</v>
      </c>
      <c r="AG237">
        <v>-1.0544932702380001</v>
      </c>
      <c r="AH237">
        <v>47.5043499507928</v>
      </c>
      <c r="AI237">
        <v>91.271437767009502</v>
      </c>
      <c r="AJ237">
        <v>91.003866850760105</v>
      </c>
      <c r="AK237">
        <v>47.523342765562397</v>
      </c>
    </row>
    <row r="238" spans="1:37" x14ac:dyDescent="0.2">
      <c r="A238" t="str">
        <f>"20200111160059577"</f>
        <v>20200111160059577</v>
      </c>
      <c r="B238" t="str">
        <f>"1578729659569556"</f>
        <v>1578729659569556</v>
      </c>
      <c r="C238" t="s">
        <v>37</v>
      </c>
      <c r="D238">
        <v>4.3174209999999897</v>
      </c>
      <c r="E238">
        <v>0.51281140000000003</v>
      </c>
      <c r="F238" t="s">
        <v>38</v>
      </c>
      <c r="G238">
        <v>-377.3854</v>
      </c>
      <c r="H238" s="1">
        <v>-1.1365170000000001E-6</v>
      </c>
      <c r="I238">
        <v>369.43290000000002</v>
      </c>
      <c r="J238">
        <v>-424.26560000000001</v>
      </c>
      <c r="K238">
        <v>1.054494</v>
      </c>
      <c r="L238">
        <v>367.92099999999999</v>
      </c>
      <c r="M238">
        <v>0.99977830000000001</v>
      </c>
      <c r="N238">
        <v>0</v>
      </c>
      <c r="O238">
        <v>1.4540869999999999E-2</v>
      </c>
      <c r="P238">
        <v>0.9979228</v>
      </c>
      <c r="Q238" s="1">
        <v>8.4342440000000004E-5</v>
      </c>
      <c r="R238">
        <v>6.4423079999999994E-2</v>
      </c>
      <c r="S238">
        <v>3.0000610000000001</v>
      </c>
      <c r="T238">
        <v>-6.7031859999999999E-2</v>
      </c>
      <c r="U238">
        <v>9.6405030000000003E-2</v>
      </c>
      <c r="V238">
        <v>-4.9901429999999997E-2</v>
      </c>
      <c r="W238">
        <v>1.531047E-2</v>
      </c>
      <c r="X238">
        <v>0.99863679999999999</v>
      </c>
      <c r="Y238">
        <v>-1.757858E-2</v>
      </c>
      <c r="Z238">
        <v>-1.284713E-4</v>
      </c>
      <c r="AA238">
        <v>0.99984549999999905</v>
      </c>
      <c r="AB238">
        <v>31</v>
      </c>
      <c r="AC238">
        <v>46.880200000000002</v>
      </c>
      <c r="AD238">
        <v>-1.0544951365170001</v>
      </c>
      <c r="AE238">
        <v>1.51190000000002</v>
      </c>
      <c r="AF238">
        <v>-0.82956288198511496</v>
      </c>
      <c r="AG238">
        <v>-1.0544951365170001</v>
      </c>
      <c r="AH238">
        <v>46.873538206525303</v>
      </c>
      <c r="AI238">
        <v>91.2885410155112</v>
      </c>
      <c r="AJ238">
        <v>91.013908749063802</v>
      </c>
      <c r="AK238">
        <v>46.892736309226997</v>
      </c>
    </row>
    <row r="239" spans="1:37" x14ac:dyDescent="0.2">
      <c r="A239" t="str">
        <f>"20200111160059598"</f>
        <v>20200111160059598</v>
      </c>
      <c r="B239" t="str">
        <f>"1578729659589075"</f>
        <v>1578729659589075</v>
      </c>
      <c r="C239" t="s">
        <v>37</v>
      </c>
      <c r="D239">
        <v>4.3626750000000003</v>
      </c>
      <c r="E239">
        <v>0.51288080000000003</v>
      </c>
      <c r="F239" t="s">
        <v>38</v>
      </c>
      <c r="G239">
        <v>-375.92340000000002</v>
      </c>
      <c r="H239" s="1">
        <v>-1.7608189999999901E-6</v>
      </c>
      <c r="I239">
        <v>369.44920000000002</v>
      </c>
      <c r="J239">
        <v>-423.96589999999998</v>
      </c>
      <c r="K239">
        <v>1.0544929999999999</v>
      </c>
      <c r="L239">
        <v>367.92529999999999</v>
      </c>
      <c r="M239">
        <v>0.99977839999999996</v>
      </c>
      <c r="N239">
        <v>0</v>
      </c>
      <c r="O239">
        <v>1.4484149999999999E-2</v>
      </c>
      <c r="P239">
        <v>0.99791669999999999</v>
      </c>
      <c r="Q239">
        <v>-3.6464819999999998E-4</v>
      </c>
      <c r="R239">
        <v>6.4514379999999996E-2</v>
      </c>
      <c r="S239">
        <v>3.000092</v>
      </c>
      <c r="T239">
        <v>-6.5441250000000006E-2</v>
      </c>
      <c r="U239">
        <v>9.4848630000000003E-2</v>
      </c>
      <c r="V239">
        <v>-5.0049360000000001E-2</v>
      </c>
      <c r="W239">
        <v>1.4896619999999999E-2</v>
      </c>
      <c r="X239">
        <v>0.99863559999999996</v>
      </c>
      <c r="Y239">
        <v>-1.7116920000000001E-2</v>
      </c>
      <c r="Z239">
        <v>-1.292206E-4</v>
      </c>
      <c r="AA239">
        <v>0.99985349999999995</v>
      </c>
      <c r="AB239">
        <v>31</v>
      </c>
      <c r="AC239">
        <v>48.042499999999897</v>
      </c>
      <c r="AD239">
        <v>-1.0544947608190001</v>
      </c>
      <c r="AE239">
        <v>1.52390000000002</v>
      </c>
      <c r="AF239">
        <v>-0.82740590457418195</v>
      </c>
      <c r="AG239">
        <v>-1.0544947608190001</v>
      </c>
      <c r="AH239">
        <v>48.036414968238901</v>
      </c>
      <c r="AI239">
        <v>91.257367789252697</v>
      </c>
      <c r="AJ239">
        <v>90.986796763142394</v>
      </c>
      <c r="AK239">
        <v>48.055111307043703</v>
      </c>
    </row>
    <row r="240" spans="1:37" x14ac:dyDescent="0.2">
      <c r="A240" t="str">
        <f>"20200111160059623"</f>
        <v>20200111160059623</v>
      </c>
      <c r="B240" t="str">
        <f>"1578729659619331"</f>
        <v>1578729659619331</v>
      </c>
      <c r="C240" t="s">
        <v>37</v>
      </c>
      <c r="D240">
        <v>4.4227069999999999</v>
      </c>
      <c r="E240">
        <v>0.51289399999999996</v>
      </c>
      <c r="F240" t="s">
        <v>38</v>
      </c>
      <c r="G240">
        <v>-376.06380000000001</v>
      </c>
      <c r="H240" s="1">
        <v>-1.7032069999999901E-6</v>
      </c>
      <c r="I240">
        <v>369.43419999999998</v>
      </c>
      <c r="J240">
        <v>-423.63330000000002</v>
      </c>
      <c r="K240">
        <v>1.0544929999999999</v>
      </c>
      <c r="L240">
        <v>367.93</v>
      </c>
      <c r="M240">
        <v>0.99977899999999997</v>
      </c>
      <c r="N240">
        <v>0</v>
      </c>
      <c r="O240">
        <v>1.442132E-2</v>
      </c>
      <c r="P240">
        <v>0.99792099999999995</v>
      </c>
      <c r="Q240">
        <v>-1.168281E-3</v>
      </c>
      <c r="R240">
        <v>6.4440140000000007E-2</v>
      </c>
      <c r="S240">
        <v>3.0001530000000001</v>
      </c>
      <c r="T240">
        <v>-6.6044030000000004E-2</v>
      </c>
      <c r="U240">
        <v>9.4512940000000004E-2</v>
      </c>
      <c r="V240">
        <v>-5.0038489999999998E-2</v>
      </c>
      <c r="W240">
        <v>1.4125179999999999E-2</v>
      </c>
      <c r="X240">
        <v>0.99864739999999996</v>
      </c>
      <c r="Y240">
        <v>-1.706732E-2</v>
      </c>
      <c r="Z240">
        <v>-1.2957139999999901E-4</v>
      </c>
      <c r="AA240">
        <v>0.99985429999999997</v>
      </c>
      <c r="AB240">
        <v>31</v>
      </c>
      <c r="AC240">
        <v>47.569499999999998</v>
      </c>
      <c r="AD240">
        <v>-1.054494703207</v>
      </c>
      <c r="AE240">
        <v>1.50419999999996</v>
      </c>
      <c r="AF240">
        <v>-0.81754694805514105</v>
      </c>
      <c r="AG240">
        <v>-1.054494703207</v>
      </c>
      <c r="AH240">
        <v>47.562898179649203</v>
      </c>
      <c r="AI240">
        <v>91.269882263072603</v>
      </c>
      <c r="AJ240">
        <v>90.984746074806296</v>
      </c>
      <c r="AK240">
        <v>47.5816101591681</v>
      </c>
    </row>
    <row r="241" spans="1:37" x14ac:dyDescent="0.2">
      <c r="A241" t="str">
        <f>"20200111160059643"</f>
        <v>20200111160059643</v>
      </c>
      <c r="B241" t="str">
        <f>"1578729659639829"</f>
        <v>1578729659639829</v>
      </c>
      <c r="C241" t="s">
        <v>37</v>
      </c>
      <c r="D241">
        <v>4.348662</v>
      </c>
      <c r="E241">
        <v>0.51290769999999997</v>
      </c>
      <c r="F241" t="s">
        <v>38</v>
      </c>
      <c r="G241">
        <v>-376.77190000000002</v>
      </c>
      <c r="H241" s="1">
        <v>-1.405718E-6</v>
      </c>
      <c r="I241">
        <v>369.39909999999998</v>
      </c>
      <c r="J241">
        <v>-423.35129999999998</v>
      </c>
      <c r="K241">
        <v>1.054495</v>
      </c>
      <c r="L241">
        <v>367.9341</v>
      </c>
      <c r="M241">
        <v>0.99977929999999904</v>
      </c>
      <c r="N241">
        <v>0</v>
      </c>
      <c r="O241">
        <v>1.436846E-2</v>
      </c>
      <c r="P241">
        <v>0.99792890000000001</v>
      </c>
      <c r="Q241">
        <v>-1.698539E-3</v>
      </c>
      <c r="R241">
        <v>6.4306420000000003E-2</v>
      </c>
      <c r="S241">
        <v>3.000092</v>
      </c>
      <c r="T241">
        <v>-6.7509109999999997E-2</v>
      </c>
      <c r="U241">
        <v>9.4055180000000002E-2</v>
      </c>
      <c r="V241">
        <v>-4.9957399999999999E-2</v>
      </c>
      <c r="W241">
        <v>1.36174E-2</v>
      </c>
      <c r="X241">
        <v>0.99865849999999901</v>
      </c>
      <c r="Y241">
        <v>-1.696839E-2</v>
      </c>
      <c r="Z241">
        <v>-1.3237190000000001E-4</v>
      </c>
      <c r="AA241">
        <v>0.99985599999999997</v>
      </c>
      <c r="AB241">
        <v>31</v>
      </c>
      <c r="AC241">
        <v>46.5793999999999</v>
      </c>
      <c r="AD241">
        <v>-1.054496405718</v>
      </c>
      <c r="AE241">
        <v>1.4649999999999701</v>
      </c>
      <c r="AF241">
        <v>-0.79508877638254305</v>
      </c>
      <c r="AG241">
        <v>-1.054496405718</v>
      </c>
      <c r="AH241">
        <v>46.571797739402399</v>
      </c>
      <c r="AI241">
        <v>91.296902336067802</v>
      </c>
      <c r="AJ241">
        <v>90.978077040252899</v>
      </c>
      <c r="AK241">
        <v>46.590519137607899</v>
      </c>
    </row>
    <row r="242" spans="1:37" x14ac:dyDescent="0.2">
      <c r="A242" t="str">
        <f>"20200111160059667"</f>
        <v>20200111160059667</v>
      </c>
      <c r="B242" t="str">
        <f>"1578729659659348"</f>
        <v>1578729659659348</v>
      </c>
      <c r="C242" t="s">
        <v>37</v>
      </c>
      <c r="D242">
        <v>4.4055210000000002</v>
      </c>
      <c r="E242">
        <v>0.51291309999999901</v>
      </c>
      <c r="F242" t="s">
        <v>38</v>
      </c>
      <c r="G242">
        <v>-376.41469999999998</v>
      </c>
      <c r="H242" s="1">
        <v>-1.5595619999999899E-6</v>
      </c>
      <c r="I242">
        <v>369.3954</v>
      </c>
      <c r="J242">
        <v>-423.04059999999998</v>
      </c>
      <c r="K242">
        <v>1.0544959999999901</v>
      </c>
      <c r="L242">
        <v>367.9384</v>
      </c>
      <c r="M242">
        <v>0.9997798</v>
      </c>
      <c r="N242">
        <v>0</v>
      </c>
      <c r="O242">
        <v>1.4310069999999999E-2</v>
      </c>
      <c r="P242">
        <v>0.99793679999999996</v>
      </c>
      <c r="Q242">
        <v>-1.9847039999999999E-3</v>
      </c>
      <c r="R242">
        <v>6.4174250000000002E-2</v>
      </c>
      <c r="S242">
        <v>3.0000610000000001</v>
      </c>
      <c r="T242">
        <v>-6.7400570000000007E-2</v>
      </c>
      <c r="U242">
        <v>9.341431E-2</v>
      </c>
      <c r="V242">
        <v>-4.9883780000000003E-2</v>
      </c>
      <c r="W242">
        <v>1.3352299999999999E-2</v>
      </c>
      <c r="X242">
        <v>0.99866580000000005</v>
      </c>
      <c r="Y242">
        <v>-1.6813749999999999E-2</v>
      </c>
      <c r="Z242">
        <v>-1.325865E-4</v>
      </c>
      <c r="AA242">
        <v>0.99985859999999904</v>
      </c>
      <c r="AB242">
        <v>30</v>
      </c>
      <c r="AC242">
        <v>46.625900000000001</v>
      </c>
      <c r="AD242">
        <v>-1.0544975595620001</v>
      </c>
      <c r="AE242">
        <v>1.4569999999999901</v>
      </c>
      <c r="AF242">
        <v>-0.78914903236522305</v>
      </c>
      <c r="AG242">
        <v>-1.0544975595620001</v>
      </c>
      <c r="AH242">
        <v>46.6181554424737</v>
      </c>
      <c r="AI242">
        <v>91.295617714704093</v>
      </c>
      <c r="AJ242">
        <v>90.969806514713994</v>
      </c>
      <c r="AK242">
        <v>46.636757371809701</v>
      </c>
    </row>
    <row r="243" spans="1:37" x14ac:dyDescent="0.2">
      <c r="A243" t="str">
        <f>"20200111160059690"</f>
        <v>20200111160059690</v>
      </c>
      <c r="B243" t="str">
        <f>"1578729659679844"</f>
        <v>1578729659679844</v>
      </c>
      <c r="C243" t="s">
        <v>37</v>
      </c>
      <c r="D243">
        <v>4.333189</v>
      </c>
      <c r="E243">
        <v>0.51269240000000005</v>
      </c>
      <c r="F243" t="s">
        <v>38</v>
      </c>
      <c r="G243">
        <v>-376.3655</v>
      </c>
      <c r="H243" s="1">
        <v>-1.5824329999999999E-6</v>
      </c>
      <c r="I243">
        <v>369.38549999999998</v>
      </c>
      <c r="J243">
        <v>-422.72329999999999</v>
      </c>
      <c r="K243">
        <v>1.0544990000000001</v>
      </c>
      <c r="L243">
        <v>367.94290000000001</v>
      </c>
      <c r="M243">
        <v>0.99978040000000001</v>
      </c>
      <c r="N243">
        <v>0</v>
      </c>
      <c r="O243">
        <v>1.425034E-2</v>
      </c>
      <c r="P243">
        <v>0.99795180000000006</v>
      </c>
      <c r="Q243">
        <v>-1.520179E-3</v>
      </c>
      <c r="R243">
        <v>6.3953659999999996E-2</v>
      </c>
      <c r="S243">
        <v>3.0001530000000001</v>
      </c>
      <c r="T243">
        <v>-6.7780320000000005E-2</v>
      </c>
      <c r="U243">
        <v>9.3017580000000002E-2</v>
      </c>
      <c r="V243">
        <v>-4.9722019999999999E-2</v>
      </c>
      <c r="W243">
        <v>1.383386E-2</v>
      </c>
      <c r="X243">
        <v>0.99866730000000004</v>
      </c>
      <c r="Y243">
        <v>-1.6740439999999999E-2</v>
      </c>
      <c r="Z243">
        <v>-1.3280860000000001E-4</v>
      </c>
      <c r="AA243">
        <v>0.99985990000000002</v>
      </c>
      <c r="AB243">
        <v>30</v>
      </c>
      <c r="AC243">
        <v>46.357799999999997</v>
      </c>
      <c r="AD243">
        <v>-1.054500582433</v>
      </c>
      <c r="AE243">
        <v>1.4425999999999699</v>
      </c>
      <c r="AF243">
        <v>-0.78135717458382503</v>
      </c>
      <c r="AG243">
        <v>-1.054500582433</v>
      </c>
      <c r="AH243">
        <v>46.349692305767199</v>
      </c>
      <c r="AI243">
        <v>91.303124787813005</v>
      </c>
      <c r="AJ243">
        <v>90.965793428330599</v>
      </c>
      <c r="AK243">
        <v>46.368270049160998</v>
      </c>
    </row>
    <row r="244" spans="1:37" x14ac:dyDescent="0.2">
      <c r="A244" t="str">
        <f>"20200111160059714"</f>
        <v>20200111160059714</v>
      </c>
      <c r="B244" t="str">
        <f>"1578729659709124"</f>
        <v>1578729659709124</v>
      </c>
      <c r="C244" t="s">
        <v>37</v>
      </c>
      <c r="D244">
        <v>4.4253640000000001</v>
      </c>
      <c r="E244">
        <v>0.51265050000000001</v>
      </c>
      <c r="F244" t="s">
        <v>38</v>
      </c>
      <c r="G244">
        <v>-375.9427</v>
      </c>
      <c r="H244" s="1">
        <v>-1.7594139999999901E-6</v>
      </c>
      <c r="I244">
        <v>369.41039999999998</v>
      </c>
      <c r="J244">
        <v>-422.40879999999999</v>
      </c>
      <c r="K244">
        <v>1.0545069999999901</v>
      </c>
      <c r="L244">
        <v>367.94729999999998</v>
      </c>
      <c r="M244">
        <v>0.99978120000000004</v>
      </c>
      <c r="N244">
        <v>0</v>
      </c>
      <c r="O244">
        <v>1.419082E-2</v>
      </c>
      <c r="P244">
        <v>0.99792179999999997</v>
      </c>
      <c r="Q244">
        <v>-1.2265589999999999E-3</v>
      </c>
      <c r="R244">
        <v>6.4425629999999998E-2</v>
      </c>
      <c r="S244">
        <v>3.0000309999999999</v>
      </c>
      <c r="T244">
        <v>-6.7624809999999994E-2</v>
      </c>
      <c r="U244">
        <v>9.4116210000000006E-2</v>
      </c>
      <c r="V244">
        <v>-5.025371E-2</v>
      </c>
      <c r="W244">
        <v>1.413996E-2</v>
      </c>
      <c r="X244">
        <v>0.99863639999999998</v>
      </c>
      <c r="Y244">
        <v>-1.7166899999999999E-2</v>
      </c>
      <c r="Z244">
        <v>-1.263626E-4</v>
      </c>
      <c r="AA244">
        <v>0.99985270000000004</v>
      </c>
      <c r="AB244">
        <v>30</v>
      </c>
      <c r="AC244">
        <v>46.466099999999898</v>
      </c>
      <c r="AD244">
        <v>-1.0545087594139999</v>
      </c>
      <c r="AE244">
        <v>1.4630999999999901</v>
      </c>
      <c r="AF244">
        <v>-0.80306950762631002</v>
      </c>
      <c r="AG244">
        <v>-1.0545087594139999</v>
      </c>
      <c r="AH244">
        <v>46.458281586436001</v>
      </c>
      <c r="AI244">
        <v>91.3000805608322</v>
      </c>
      <c r="AJ244">
        <v>90.990305922971004</v>
      </c>
      <c r="AK244">
        <v>46.477186202720397</v>
      </c>
    </row>
    <row r="245" spans="1:37" x14ac:dyDescent="0.2">
      <c r="A245" t="str">
        <f>"20200111160059734"</f>
        <v>20200111160059734</v>
      </c>
      <c r="B245" t="str">
        <f>"1578729659729620"</f>
        <v>1578729659729620</v>
      </c>
      <c r="C245" t="s">
        <v>37</v>
      </c>
      <c r="D245">
        <v>4.4525600000000001</v>
      </c>
      <c r="E245">
        <v>0.51275329999999997</v>
      </c>
      <c r="F245" t="s">
        <v>38</v>
      </c>
      <c r="G245">
        <v>-374.25409999999999</v>
      </c>
      <c r="H245" s="1">
        <v>-2.4703310000000001E-6</v>
      </c>
      <c r="I245">
        <v>369.4864</v>
      </c>
      <c r="J245">
        <v>-422.12580000000003</v>
      </c>
      <c r="K245">
        <v>1.0545169999999999</v>
      </c>
      <c r="L245">
        <v>367.9513</v>
      </c>
      <c r="M245">
        <v>0.99978180000000005</v>
      </c>
      <c r="N245">
        <v>0</v>
      </c>
      <c r="O245">
        <v>1.413705E-2</v>
      </c>
      <c r="P245">
        <v>0.99791149999999995</v>
      </c>
      <c r="Q245">
        <v>-1.270747E-3</v>
      </c>
      <c r="R245">
        <v>6.4585409999999996E-2</v>
      </c>
      <c r="S245">
        <v>2.9999689999999899</v>
      </c>
      <c r="T245">
        <v>-6.5694450000000001E-2</v>
      </c>
      <c r="U245">
        <v>9.5886230000000003E-2</v>
      </c>
      <c r="V245">
        <v>-5.046755E-2</v>
      </c>
      <c r="W245">
        <v>1.410468E-2</v>
      </c>
      <c r="X245">
        <v>0.99862609999999996</v>
      </c>
      <c r="Y245">
        <v>-1.7810510000000002E-2</v>
      </c>
      <c r="Z245">
        <v>-1.145363E-4</v>
      </c>
      <c r="AA245">
        <v>0.99984139999999999</v>
      </c>
      <c r="AB245">
        <v>30</v>
      </c>
      <c r="AC245">
        <v>47.871699999999997</v>
      </c>
      <c r="AD245">
        <v>-1.0545194703309999</v>
      </c>
      <c r="AE245">
        <v>1.5350999999999999</v>
      </c>
      <c r="AF245">
        <v>-0.85768614837965795</v>
      </c>
      <c r="AG245">
        <v>-1.0545194703309999</v>
      </c>
      <c r="AH245">
        <v>47.865417169341001</v>
      </c>
      <c r="AI245">
        <v>91.261872426254996</v>
      </c>
      <c r="AJ245">
        <v>91.026556141930001</v>
      </c>
      <c r="AK245">
        <v>47.884713611313003</v>
      </c>
    </row>
    <row r="246" spans="1:37" x14ac:dyDescent="0.2">
      <c r="A246" t="str">
        <f>"20200111160059755"</f>
        <v>20200111160059755</v>
      </c>
      <c r="B246" t="str">
        <f>"1578729659749140"</f>
        <v>1578729659749140</v>
      </c>
      <c r="C246" t="s">
        <v>37</v>
      </c>
      <c r="D246">
        <v>4.4444939999999997</v>
      </c>
      <c r="E246">
        <v>0.51265329999999998</v>
      </c>
      <c r="F246" t="s">
        <v>38</v>
      </c>
      <c r="G246">
        <v>-373.27159999999998</v>
      </c>
      <c r="H246" s="1">
        <v>-2.8890230000000002E-6</v>
      </c>
      <c r="I246">
        <v>369.50220000000002</v>
      </c>
      <c r="J246">
        <v>-421.84269999999998</v>
      </c>
      <c r="K246">
        <v>1.054524</v>
      </c>
      <c r="L246">
        <v>367.95519999999999</v>
      </c>
      <c r="M246">
        <v>0.99978239999999996</v>
      </c>
      <c r="N246">
        <v>0</v>
      </c>
      <c r="O246">
        <v>1.4083419999999999E-2</v>
      </c>
      <c r="P246">
        <v>0.99790020000000001</v>
      </c>
      <c r="Q246">
        <v>-1.9786819999999998E-3</v>
      </c>
      <c r="R246">
        <v>6.4741300000000002E-2</v>
      </c>
      <c r="S246">
        <v>3.0000309999999999</v>
      </c>
      <c r="T246">
        <v>-6.4755679999999996E-2</v>
      </c>
      <c r="U246">
        <v>9.5245360000000001E-2</v>
      </c>
      <c r="V246">
        <v>-5.0677079999999999E-2</v>
      </c>
      <c r="W246">
        <v>1.34037999999999E-2</v>
      </c>
      <c r="X246">
        <v>0.99862519999999999</v>
      </c>
      <c r="Y246">
        <v>-1.765017E-2</v>
      </c>
      <c r="Z246">
        <v>-1.134708E-4</v>
      </c>
      <c r="AA246">
        <v>0.99984419999999996</v>
      </c>
      <c r="AB246">
        <v>30</v>
      </c>
      <c r="AC246">
        <v>48.571100000000001</v>
      </c>
      <c r="AD246">
        <v>-1.054526889023</v>
      </c>
      <c r="AE246">
        <v>1.5470000000000199</v>
      </c>
      <c r="AF246">
        <v>-0.86231227393994903</v>
      </c>
      <c r="AG246">
        <v>-1.054526889023</v>
      </c>
      <c r="AH246">
        <v>48.565202540223403</v>
      </c>
      <c r="AI246">
        <v>91.2437079749145</v>
      </c>
      <c r="AJ246">
        <v>91.017223448016594</v>
      </c>
      <c r="AK246">
        <v>48.5843030946249</v>
      </c>
    </row>
    <row r="247" spans="1:37" x14ac:dyDescent="0.2">
      <c r="A247" t="str">
        <f>"20200111160059789"</f>
        <v>20200111160059789</v>
      </c>
      <c r="B247" t="str">
        <f>"1578729659779396"</f>
        <v>1578729659779396</v>
      </c>
      <c r="C247" t="s">
        <v>37</v>
      </c>
      <c r="D247">
        <v>4.5090079999999997</v>
      </c>
      <c r="E247">
        <v>0.51285340000000001</v>
      </c>
      <c r="F247" t="s">
        <v>38</v>
      </c>
      <c r="G247">
        <v>-375.23270000000002</v>
      </c>
      <c r="H247" s="1">
        <v>-2.055268E-6</v>
      </c>
      <c r="I247">
        <v>369.4597</v>
      </c>
      <c r="J247">
        <v>-421.38780000000003</v>
      </c>
      <c r="K247">
        <v>1.05453</v>
      </c>
      <c r="L247">
        <v>367.9615</v>
      </c>
      <c r="M247">
        <v>0.99978330000000004</v>
      </c>
      <c r="N247">
        <v>0</v>
      </c>
      <c r="O247">
        <v>1.399747E-2</v>
      </c>
      <c r="P247">
        <v>0.99789309999999998</v>
      </c>
      <c r="Q247">
        <v>-1.9459E-3</v>
      </c>
      <c r="R247">
        <v>6.4850149999999995E-2</v>
      </c>
      <c r="S247">
        <v>2.999908</v>
      </c>
      <c r="T247">
        <v>-6.7871210000000001E-2</v>
      </c>
      <c r="U247">
        <v>9.6832280000000007E-2</v>
      </c>
      <c r="V247">
        <v>-5.0872279999999999E-2</v>
      </c>
      <c r="W247">
        <v>1.3444799999999899E-2</v>
      </c>
      <c r="X247">
        <v>0.99861469999999897</v>
      </c>
      <c r="Y247">
        <v>-1.8265509999999999E-2</v>
      </c>
      <c r="Z247">
        <v>-1.100307E-4</v>
      </c>
      <c r="AA247">
        <v>0.99983319999999998</v>
      </c>
      <c r="AB247">
        <v>30</v>
      </c>
      <c r="AC247">
        <v>46.155099999999997</v>
      </c>
      <c r="AD247">
        <v>-1.054532055268</v>
      </c>
      <c r="AE247">
        <v>1.49819999999999</v>
      </c>
      <c r="AF247">
        <v>-0.85147783826448997</v>
      </c>
      <c r="AG247">
        <v>-1.054532055268</v>
      </c>
      <c r="AH247">
        <v>46.147486469775103</v>
      </c>
      <c r="AI247">
        <v>91.308835003571104</v>
      </c>
      <c r="AJ247">
        <v>91.057057598820904</v>
      </c>
      <c r="AK247">
        <v>46.167386322410799</v>
      </c>
    </row>
    <row r="248" spans="1:37" x14ac:dyDescent="0.2">
      <c r="A248" t="str">
        <f>"20200111160059811"</f>
        <v>20200111160059811</v>
      </c>
      <c r="B248" t="str">
        <f>"1578729659809651"</f>
        <v>1578729659809651</v>
      </c>
      <c r="C248" t="s">
        <v>37</v>
      </c>
      <c r="D248">
        <v>4.6045360000000004</v>
      </c>
      <c r="E248">
        <v>0.51296889999999995</v>
      </c>
      <c r="F248" t="s">
        <v>38</v>
      </c>
      <c r="G248">
        <v>-374.0539</v>
      </c>
      <c r="H248" s="1">
        <v>-2.559561E-6</v>
      </c>
      <c r="I248">
        <v>369.4676</v>
      </c>
      <c r="J248">
        <v>-421.089</v>
      </c>
      <c r="K248">
        <v>1.054527</v>
      </c>
      <c r="L248">
        <v>367.96570000000003</v>
      </c>
      <c r="M248">
        <v>0.99978419999999901</v>
      </c>
      <c r="N248">
        <v>0</v>
      </c>
      <c r="O248">
        <v>1.394071E-2</v>
      </c>
      <c r="P248">
        <v>0.99786059999999999</v>
      </c>
      <c r="Q248">
        <v>-1.8888209999999999E-3</v>
      </c>
      <c r="R248">
        <v>6.5352380000000002E-2</v>
      </c>
      <c r="S248">
        <v>3</v>
      </c>
      <c r="T248">
        <v>-6.6835640000000002E-2</v>
      </c>
      <c r="U248">
        <v>9.5458979999999999E-2</v>
      </c>
      <c r="V248">
        <v>-5.1431270000000001E-2</v>
      </c>
      <c r="W248">
        <v>1.3504399999999901E-2</v>
      </c>
      <c r="X248">
        <v>0.99858519999999995</v>
      </c>
      <c r="Y248">
        <v>-1.7864189999999999E-2</v>
      </c>
      <c r="Z248">
        <v>-1.11554699999999E-4</v>
      </c>
      <c r="AA248">
        <v>0.99984039999999996</v>
      </c>
      <c r="AB248">
        <v>30</v>
      </c>
      <c r="AC248">
        <v>47.0351</v>
      </c>
      <c r="AD248">
        <v>-1.054529559561</v>
      </c>
      <c r="AE248">
        <v>1.50189999999997</v>
      </c>
      <c r="AF248">
        <v>-0.84554895393346996</v>
      </c>
      <c r="AG248">
        <v>-1.054529559561</v>
      </c>
      <c r="AH248">
        <v>47.027853358331903</v>
      </c>
      <c r="AI248">
        <v>91.284349729371897</v>
      </c>
      <c r="AJ248">
        <v>91.030052693083405</v>
      </c>
      <c r="AK248">
        <v>47.047273854265498</v>
      </c>
    </row>
    <row r="249" spans="1:37" x14ac:dyDescent="0.2">
      <c r="A249" t="str">
        <f>"20200111160059834"</f>
        <v>20200111160059834</v>
      </c>
      <c r="B249" t="str">
        <f>"1578729659829172"</f>
        <v>1578729659829172</v>
      </c>
      <c r="C249" t="s">
        <v>37</v>
      </c>
      <c r="D249">
        <v>4.4299580000000001</v>
      </c>
      <c r="E249">
        <v>0.51301160000000001</v>
      </c>
      <c r="F249" t="s">
        <v>38</v>
      </c>
      <c r="G249">
        <v>-373.32049999999998</v>
      </c>
      <c r="H249" s="1">
        <v>-2.8698769999999998E-6</v>
      </c>
      <c r="I249">
        <v>369.49189999999999</v>
      </c>
      <c r="J249">
        <v>-420.78809999999999</v>
      </c>
      <c r="K249">
        <v>1.0545249999999999</v>
      </c>
      <c r="L249">
        <v>367.96980000000002</v>
      </c>
      <c r="M249">
        <v>0.99978500000000003</v>
      </c>
      <c r="N249">
        <v>0</v>
      </c>
      <c r="O249">
        <v>1.3883960000000001E-2</v>
      </c>
      <c r="P249">
        <v>0.99784649999999997</v>
      </c>
      <c r="Q249">
        <v>-1.2137680000000001E-3</v>
      </c>
      <c r="R249">
        <v>6.5581410000000007E-2</v>
      </c>
      <c r="S249">
        <v>3.0000610000000001</v>
      </c>
      <c r="T249">
        <v>-6.6228809999999999E-2</v>
      </c>
      <c r="U249">
        <v>9.5855709999999997E-2</v>
      </c>
      <c r="V249">
        <v>-5.1716949999999998E-2</v>
      </c>
      <c r="W249">
        <v>1.4180969999999999E-2</v>
      </c>
      <c r="X249">
        <v>0.99856109999999898</v>
      </c>
      <c r="Y249">
        <v>-1.805234E-2</v>
      </c>
      <c r="Z249">
        <v>-1.072112E-4</v>
      </c>
      <c r="AA249">
        <v>0.99983699999999998</v>
      </c>
      <c r="AB249">
        <v>30</v>
      </c>
      <c r="AC249">
        <v>47.467599999999997</v>
      </c>
      <c r="AD249">
        <v>-1.054527869877</v>
      </c>
      <c r="AE249">
        <v>1.52209999999996</v>
      </c>
      <c r="AF249">
        <v>-0.86241162609199995</v>
      </c>
      <c r="AG249">
        <v>-1.054527869877</v>
      </c>
      <c r="AH249">
        <v>47.460759265082601</v>
      </c>
      <c r="AI249">
        <v>91.272632168202506</v>
      </c>
      <c r="AJ249">
        <v>91.041009662756593</v>
      </c>
      <c r="AK249">
        <v>47.480305947406102</v>
      </c>
    </row>
    <row r="250" spans="1:37" x14ac:dyDescent="0.2">
      <c r="A250" t="str">
        <f>"20200111160059856"</f>
        <v>20200111160059856</v>
      </c>
      <c r="B250" t="str">
        <f>"1578729659849668"</f>
        <v>1578729659849668</v>
      </c>
      <c r="C250" t="s">
        <v>37</v>
      </c>
      <c r="D250">
        <v>4.538354</v>
      </c>
      <c r="E250">
        <v>0.51311340000000005</v>
      </c>
      <c r="F250" t="s">
        <v>38</v>
      </c>
      <c r="G250">
        <v>-371.38959999999997</v>
      </c>
      <c r="H250" s="1">
        <v>-3.68689799999999E-6</v>
      </c>
      <c r="I250">
        <v>369.55560000000003</v>
      </c>
      <c r="J250">
        <v>-420.50099999999998</v>
      </c>
      <c r="K250">
        <v>1.0545309999999899</v>
      </c>
      <c r="L250">
        <v>367.97379999999998</v>
      </c>
      <c r="M250">
        <v>0.9997857</v>
      </c>
      <c r="N250">
        <v>0</v>
      </c>
      <c r="O250">
        <v>1.382972E-2</v>
      </c>
      <c r="P250">
        <v>0.99781039999999999</v>
      </c>
      <c r="Q250">
        <v>-1.0876530000000001E-3</v>
      </c>
      <c r="R250">
        <v>6.613144E-2</v>
      </c>
      <c r="S250">
        <v>3.0000309999999999</v>
      </c>
      <c r="T250">
        <v>-6.4042749999999996E-2</v>
      </c>
      <c r="U250">
        <v>9.6313480000000007E-2</v>
      </c>
      <c r="V250">
        <v>-5.2321560000000003E-2</v>
      </c>
      <c r="W250">
        <v>1.430731E-2</v>
      </c>
      <c r="X250">
        <v>0.99852779999999997</v>
      </c>
      <c r="Y250">
        <v>-1.8259319999999999E-2</v>
      </c>
      <c r="Z250">
        <v>-1.003084E-4</v>
      </c>
      <c r="AA250">
        <v>0.99983330000000004</v>
      </c>
      <c r="AB250">
        <v>30</v>
      </c>
      <c r="AC250">
        <v>49.111400000000003</v>
      </c>
      <c r="AD250">
        <v>-1.0545346868979999</v>
      </c>
      <c r="AE250">
        <v>1.5818000000000401</v>
      </c>
      <c r="AF250">
        <v>-0.90195575450533605</v>
      </c>
      <c r="AG250">
        <v>-1.0545346868979999</v>
      </c>
      <c r="AH250">
        <v>49.105963240965998</v>
      </c>
      <c r="AI250">
        <v>91.230011856013405</v>
      </c>
      <c r="AJ250">
        <v>91.052264211950998</v>
      </c>
      <c r="AK250">
        <v>49.1255655785464</v>
      </c>
    </row>
    <row r="251" spans="1:37" x14ac:dyDescent="0.2">
      <c r="A251" t="str">
        <f>"20200111160059878"</f>
        <v>20200111160059878</v>
      </c>
      <c r="B251" t="str">
        <f>"1578729659869188"</f>
        <v>1578729659869188</v>
      </c>
      <c r="C251" t="s">
        <v>37</v>
      </c>
      <c r="D251">
        <v>4.5889480000000002</v>
      </c>
      <c r="E251">
        <v>0.51326759999999905</v>
      </c>
      <c r="F251" t="s">
        <v>38</v>
      </c>
      <c r="G251">
        <v>-371.1035</v>
      </c>
      <c r="H251" s="1">
        <v>-3.8065579999999998E-6</v>
      </c>
      <c r="I251">
        <v>369.57310000000001</v>
      </c>
      <c r="J251">
        <v>-420.18549999999999</v>
      </c>
      <c r="K251">
        <v>1.054532</v>
      </c>
      <c r="L251">
        <v>367.97809999999998</v>
      </c>
      <c r="M251">
        <v>0.99978659999999997</v>
      </c>
      <c r="N251">
        <v>0</v>
      </c>
      <c r="O251">
        <v>1.376966E-2</v>
      </c>
      <c r="P251">
        <v>0.99782139999999997</v>
      </c>
      <c r="Q251">
        <v>-1.4023E-3</v>
      </c>
      <c r="R251">
        <v>6.5957500000000002E-2</v>
      </c>
      <c r="S251">
        <v>3.0001220000000002</v>
      </c>
      <c r="T251">
        <v>-6.404638E-2</v>
      </c>
      <c r="U251">
        <v>9.713745E-2</v>
      </c>
      <c r="V251">
        <v>-5.2207530000000002E-2</v>
      </c>
      <c r="W251">
        <v>1.3991679999999999E-2</v>
      </c>
      <c r="X251">
        <v>0.99853829999999999</v>
      </c>
      <c r="Y251">
        <v>-1.8592629999999999E-2</v>
      </c>
      <c r="Z251" s="1">
        <v>-9.5472250000000001E-5</v>
      </c>
      <c r="AA251">
        <v>0.99982709999999997</v>
      </c>
      <c r="AB251">
        <v>30</v>
      </c>
      <c r="AC251">
        <v>49.082000000000001</v>
      </c>
      <c r="AD251">
        <v>-1.0545358065579999</v>
      </c>
      <c r="AE251">
        <v>1.59500000000002</v>
      </c>
      <c r="AF251">
        <v>-0.91850259784546295</v>
      </c>
      <c r="AG251">
        <v>-1.0545358065579999</v>
      </c>
      <c r="AH251">
        <v>49.076680285834698</v>
      </c>
      <c r="AI251">
        <v>91.230738918232703</v>
      </c>
      <c r="AJ251">
        <v>91.072203309863795</v>
      </c>
      <c r="AK251">
        <v>49.096601111152303</v>
      </c>
    </row>
    <row r="252" spans="1:37" x14ac:dyDescent="0.2">
      <c r="A252" t="str">
        <f>"20200111160059903"</f>
        <v>20200111160059903</v>
      </c>
      <c r="B252" t="str">
        <f>"1578729659899444"</f>
        <v>1578729659899444</v>
      </c>
      <c r="C252" t="s">
        <v>37</v>
      </c>
      <c r="D252">
        <v>4.5694239999999997</v>
      </c>
      <c r="E252">
        <v>0.51355479999999998</v>
      </c>
      <c r="F252" t="s">
        <v>38</v>
      </c>
      <c r="G252">
        <v>-371.72750000000002</v>
      </c>
      <c r="H252" s="1">
        <v>-3.5484039999999999E-6</v>
      </c>
      <c r="I252">
        <v>369.51929999999999</v>
      </c>
      <c r="J252">
        <v>-419.87090000000001</v>
      </c>
      <c r="K252">
        <v>1.05453</v>
      </c>
      <c r="L252">
        <v>367.98230000000001</v>
      </c>
      <c r="M252">
        <v>0.99978739999999999</v>
      </c>
      <c r="N252">
        <v>0</v>
      </c>
      <c r="O252">
        <v>1.3710079999999999E-2</v>
      </c>
      <c r="P252">
        <v>0.99783770000000005</v>
      </c>
      <c r="Q252">
        <v>-1.299068E-3</v>
      </c>
      <c r="R252">
        <v>6.5715460000000003E-2</v>
      </c>
      <c r="S252">
        <v>3.0001530000000001</v>
      </c>
      <c r="T252">
        <v>-6.5288780000000005E-2</v>
      </c>
      <c r="U252">
        <v>9.5428470000000001E-2</v>
      </c>
      <c r="V252">
        <v>-5.2025090000000003E-2</v>
      </c>
      <c r="W252">
        <v>1.409324E-2</v>
      </c>
      <c r="X252">
        <v>0.9985463</v>
      </c>
      <c r="Y252">
        <v>-1.8082999999999998E-2</v>
      </c>
      <c r="Z252">
        <v>-1.015711E-4</v>
      </c>
      <c r="AA252">
        <v>0.99983650000000002</v>
      </c>
      <c r="AB252">
        <v>30</v>
      </c>
      <c r="AC252">
        <v>48.1433999999999</v>
      </c>
      <c r="AD252">
        <v>-1.0545335484039999</v>
      </c>
      <c r="AE252">
        <v>1.5369999999999699</v>
      </c>
      <c r="AF252">
        <v>-0.87630733769455205</v>
      </c>
      <c r="AG252">
        <v>-1.0545335484039999</v>
      </c>
      <c r="AH252">
        <v>48.136877069182098</v>
      </c>
      <c r="AI252">
        <v>91.254768861624299</v>
      </c>
      <c r="AJ252">
        <v>91.042925293830095</v>
      </c>
      <c r="AK252">
        <v>48.156400296620497</v>
      </c>
    </row>
    <row r="253" spans="1:37" x14ac:dyDescent="0.2">
      <c r="A253" t="str">
        <f>"20200111160059922"</f>
        <v>20200111160059922</v>
      </c>
      <c r="B253" t="str">
        <f>"1578729659918964"</f>
        <v>1578729659918964</v>
      </c>
      <c r="C253" t="s">
        <v>37</v>
      </c>
      <c r="D253">
        <v>4.5634569999999997</v>
      </c>
      <c r="E253">
        <v>0.51355980000000001</v>
      </c>
      <c r="F253" t="s">
        <v>38</v>
      </c>
      <c r="G253">
        <v>-371.2346</v>
      </c>
      <c r="H253" s="1">
        <v>-3.7672959999999998E-6</v>
      </c>
      <c r="I253">
        <v>369.47719999999998</v>
      </c>
      <c r="J253">
        <v>-419.60599999999999</v>
      </c>
      <c r="K253">
        <v>1.0545359999999999</v>
      </c>
      <c r="L253">
        <v>367.98590000000002</v>
      </c>
      <c r="M253">
        <v>0.99978809999999996</v>
      </c>
      <c r="N253">
        <v>0</v>
      </c>
      <c r="O253">
        <v>1.3659849999999999E-2</v>
      </c>
      <c r="P253">
        <v>0.99786140000000001</v>
      </c>
      <c r="Q253">
        <v>-9.5591139999999996E-4</v>
      </c>
      <c r="R253">
        <v>6.5359349999999997E-2</v>
      </c>
      <c r="S253">
        <v>3.000305</v>
      </c>
      <c r="T253">
        <v>-6.5052689999999996E-2</v>
      </c>
      <c r="U253">
        <v>9.2224120000000007E-2</v>
      </c>
      <c r="V253">
        <v>-5.1719139999999997E-2</v>
      </c>
      <c r="W253">
        <v>1.443462E-2</v>
      </c>
      <c r="X253">
        <v>0.99855729999999998</v>
      </c>
      <c r="Y253">
        <v>-1.7065049999999998E-2</v>
      </c>
      <c r="Z253">
        <v>-1.1114420000000001E-4</v>
      </c>
      <c r="AA253">
        <v>0.99985440000000003</v>
      </c>
      <c r="AB253">
        <v>30</v>
      </c>
      <c r="AC253">
        <v>48.371400000000001</v>
      </c>
      <c r="AD253">
        <v>-1.054539767296</v>
      </c>
      <c r="AE253">
        <v>1.4912999999999601</v>
      </c>
      <c r="AF253">
        <v>-0.82994231429605603</v>
      </c>
      <c r="AG253">
        <v>-1.054539767296</v>
      </c>
      <c r="AH253">
        <v>48.364294518406602</v>
      </c>
      <c r="AI253">
        <v>91.248900998885702</v>
      </c>
      <c r="AJ253">
        <v>90.983112139391395</v>
      </c>
      <c r="AK253">
        <v>48.382908579673497</v>
      </c>
    </row>
    <row r="254" spans="1:37" x14ac:dyDescent="0.2">
      <c r="A254" t="str">
        <f>"20200111160059945"</f>
        <v>20200111160059945</v>
      </c>
      <c r="B254" t="str">
        <f>"1578729659939459"</f>
        <v>1578729659939459</v>
      </c>
      <c r="C254" t="s">
        <v>37</v>
      </c>
      <c r="D254">
        <v>4.6761780000000002</v>
      </c>
      <c r="E254">
        <v>0.51355280000000003</v>
      </c>
      <c r="F254" t="s">
        <v>38</v>
      </c>
      <c r="G254">
        <v>-371.07319999999999</v>
      </c>
      <c r="H254" s="1">
        <v>-3.839223E-6</v>
      </c>
      <c r="I254">
        <v>369.4622</v>
      </c>
      <c r="J254">
        <v>-419.30779999999999</v>
      </c>
      <c r="K254">
        <v>1.0545519999999999</v>
      </c>
      <c r="L254">
        <v>367.98989999999998</v>
      </c>
      <c r="M254">
        <v>0.99978899999999904</v>
      </c>
      <c r="N254">
        <v>0</v>
      </c>
      <c r="O254">
        <v>1.360331E-2</v>
      </c>
      <c r="P254">
        <v>0.99790879999999904</v>
      </c>
      <c r="Q254">
        <v>-5.133208E-4</v>
      </c>
      <c r="R254">
        <v>6.4636040000000006E-2</v>
      </c>
      <c r="S254">
        <v>3.0004270000000002</v>
      </c>
      <c r="T254">
        <v>-6.5194429999999998E-2</v>
      </c>
      <c r="U254">
        <v>9.1278079999999998E-2</v>
      </c>
      <c r="V254">
        <v>-5.1051249999999999E-2</v>
      </c>
      <c r="W254">
        <v>1.4874210000000001E-2</v>
      </c>
      <c r="X254">
        <v>0.99858530000000001</v>
      </c>
      <c r="Y254">
        <v>-1.6805420000000001E-2</v>
      </c>
      <c r="Z254">
        <v>-1.129741E-4</v>
      </c>
      <c r="AA254">
        <v>0.99985879999999905</v>
      </c>
      <c r="AB254">
        <v>30</v>
      </c>
      <c r="AC254">
        <v>48.2346</v>
      </c>
      <c r="AD254">
        <v>-1.0545558392229999</v>
      </c>
      <c r="AE254">
        <v>1.4723000000000099</v>
      </c>
      <c r="AF254">
        <v>-0.81554632090406698</v>
      </c>
      <c r="AG254">
        <v>-1.0545558392229999</v>
      </c>
      <c r="AH254">
        <v>48.227135565218298</v>
      </c>
      <c r="AI254">
        <v>91.252476175539698</v>
      </c>
      <c r="AJ254">
        <v>90.968809535478798</v>
      </c>
      <c r="AK254">
        <v>48.245557398018803</v>
      </c>
    </row>
    <row r="255" spans="1:37" x14ac:dyDescent="0.2">
      <c r="A255" t="str">
        <f>"20200111160059966"</f>
        <v>20200111160059966</v>
      </c>
      <c r="B255" t="str">
        <f>"1578729659958980"</f>
        <v>1578729659958980</v>
      </c>
      <c r="C255" t="s">
        <v>37</v>
      </c>
      <c r="D255">
        <v>4.6868540000000003</v>
      </c>
      <c r="E255">
        <v>0.51370360000000004</v>
      </c>
      <c r="F255" t="s">
        <v>38</v>
      </c>
      <c r="G255">
        <v>-371.0138</v>
      </c>
      <c r="H255" s="1">
        <v>-3.8708420000000002E-6</v>
      </c>
      <c r="I255">
        <v>369.42750000000001</v>
      </c>
      <c r="J255">
        <v>-419.01429999999999</v>
      </c>
      <c r="K255">
        <v>1.0545629999999999</v>
      </c>
      <c r="L255">
        <v>367.99380000000002</v>
      </c>
      <c r="M255">
        <v>0.99978979999999995</v>
      </c>
      <c r="N255">
        <v>0</v>
      </c>
      <c r="O255">
        <v>1.3547740000000001E-2</v>
      </c>
      <c r="P255">
        <v>0.99794470000000002</v>
      </c>
      <c r="Q255">
        <v>2.8411860000000002E-4</v>
      </c>
      <c r="R255">
        <v>6.4081150000000003E-2</v>
      </c>
      <c r="S255">
        <v>3.0004879999999998</v>
      </c>
      <c r="T255">
        <v>-6.5519149999999998E-2</v>
      </c>
      <c r="U255">
        <v>8.932495E-2</v>
      </c>
      <c r="V255">
        <v>-5.0551609999999997E-2</v>
      </c>
      <c r="W255">
        <v>1.566853E-2</v>
      </c>
      <c r="X255">
        <v>0.99859849999999994</v>
      </c>
      <c r="Y255">
        <v>-1.6210249999999999E-2</v>
      </c>
      <c r="Z255">
        <v>-1.188186E-4</v>
      </c>
      <c r="AA255">
        <v>0.9998686</v>
      </c>
      <c r="AB255">
        <v>30</v>
      </c>
      <c r="AC255">
        <v>48.000499999999903</v>
      </c>
      <c r="AD255">
        <v>-1.054566870842</v>
      </c>
      <c r="AE255">
        <v>1.43369999999998</v>
      </c>
      <c r="AF255">
        <v>-0.78281557325114104</v>
      </c>
      <c r="AG255">
        <v>-1.054566870842</v>
      </c>
      <c r="AH255">
        <v>47.992375238686499</v>
      </c>
      <c r="AI255">
        <v>91.258626527001297</v>
      </c>
      <c r="AJ255">
        <v>90.934482845797802</v>
      </c>
      <c r="AK255">
        <v>48.0103425582207</v>
      </c>
    </row>
    <row r="256" spans="1:37" x14ac:dyDescent="0.2">
      <c r="A256" t="str">
        <f>"20200111160059990"</f>
        <v>20200111160059990</v>
      </c>
      <c r="B256" t="str">
        <f>"1578729659979476"</f>
        <v>1578729659979476</v>
      </c>
      <c r="C256" t="s">
        <v>37</v>
      </c>
      <c r="D256">
        <v>4.873812</v>
      </c>
      <c r="E256">
        <v>0.51391169999999997</v>
      </c>
      <c r="F256" t="s">
        <v>38</v>
      </c>
      <c r="G256">
        <v>-369.34609999999998</v>
      </c>
      <c r="H256" s="1">
        <v>-2.96627E-7</v>
      </c>
      <c r="I256">
        <v>369.42579999999998</v>
      </c>
      <c r="J256">
        <v>-418.71370000000002</v>
      </c>
      <c r="K256">
        <v>1.0545679999999999</v>
      </c>
      <c r="L256">
        <v>367.99779999999998</v>
      </c>
      <c r="M256">
        <v>0.99979050000000003</v>
      </c>
      <c r="N256">
        <v>0</v>
      </c>
      <c r="O256">
        <v>1.349032E-2</v>
      </c>
      <c r="P256">
        <v>0.99799850000000001</v>
      </c>
      <c r="Q256">
        <v>8.8451990000000004E-4</v>
      </c>
      <c r="R256">
        <v>6.3232720000000006E-2</v>
      </c>
      <c r="S256">
        <v>3.0006409999999999</v>
      </c>
      <c r="T256">
        <v>-6.3710030000000001E-2</v>
      </c>
      <c r="U256">
        <v>8.6517330000000003E-2</v>
      </c>
      <c r="V256">
        <v>-4.9759730000000002E-2</v>
      </c>
      <c r="W256">
        <v>1.6265459999999999E-2</v>
      </c>
      <c r="X256">
        <v>0.99862870000000004</v>
      </c>
      <c r="Y256">
        <v>-1.5331630000000001E-2</v>
      </c>
      <c r="Z256">
        <v>-1.2364059999999999E-4</v>
      </c>
      <c r="AA256">
        <v>0.99988250000000001</v>
      </c>
      <c r="AB256">
        <v>30</v>
      </c>
      <c r="AC256">
        <v>49.367600000000003</v>
      </c>
      <c r="AD256">
        <v>-1.054568296627</v>
      </c>
      <c r="AE256">
        <v>1.4279999999999899</v>
      </c>
      <c r="AF256">
        <v>-0.76145920405359602</v>
      </c>
      <c r="AG256">
        <v>-1.054568296627</v>
      </c>
      <c r="AH256">
        <v>49.359868165187301</v>
      </c>
      <c r="AI256">
        <v>91.223786423459103</v>
      </c>
      <c r="AJ256">
        <v>90.883813912909304</v>
      </c>
      <c r="AK256">
        <v>49.377003956258399</v>
      </c>
    </row>
    <row r="257" spans="1:37" x14ac:dyDescent="0.2">
      <c r="A257" t="str">
        <f>"20200111160100013"</f>
        <v>20200111160100013</v>
      </c>
      <c r="B257" t="str">
        <f>"1578729660009732"</f>
        <v>1578729660009732</v>
      </c>
      <c r="C257" t="s">
        <v>37</v>
      </c>
      <c r="D257">
        <v>4.6254049999999998</v>
      </c>
      <c r="E257">
        <v>0.58574630000000005</v>
      </c>
      <c r="F257" t="s">
        <v>38</v>
      </c>
      <c r="G257">
        <v>-367.07170000000002</v>
      </c>
      <c r="H257" s="1">
        <v>-1.274623E-6</v>
      </c>
      <c r="I257">
        <v>369.41309999999999</v>
      </c>
      <c r="J257">
        <v>-418.40199999999999</v>
      </c>
      <c r="K257">
        <v>1.0545719999999901</v>
      </c>
      <c r="L257">
        <v>368.00199999999899</v>
      </c>
      <c r="M257">
        <v>0.99979150000000006</v>
      </c>
      <c r="N257">
        <v>0</v>
      </c>
      <c r="O257">
        <v>1.3430940000000001E-2</v>
      </c>
      <c r="P257">
        <v>0.99803050000000004</v>
      </c>
      <c r="Q257">
        <v>1.208609E-3</v>
      </c>
      <c r="R257">
        <v>6.2720079999999997E-2</v>
      </c>
      <c r="S257">
        <v>3.0008539999999999</v>
      </c>
      <c r="T257">
        <v>-6.127954E-2</v>
      </c>
      <c r="U257">
        <v>8.2244869999999998E-2</v>
      </c>
      <c r="V257">
        <v>-4.9305660000000001E-2</v>
      </c>
      <c r="W257">
        <v>1.6584890000000001E-2</v>
      </c>
      <c r="X257">
        <v>0.99864599999999903</v>
      </c>
      <c r="Y257">
        <v>-1.39668E-2</v>
      </c>
      <c r="Z257">
        <v>-1.3163850000000001E-4</v>
      </c>
      <c r="AA257">
        <v>0.99990239999999997</v>
      </c>
      <c r="AB257">
        <v>30</v>
      </c>
      <c r="AC257">
        <v>51.330299999999902</v>
      </c>
      <c r="AD257">
        <v>-1.0545732746230001</v>
      </c>
      <c r="AE257">
        <v>1.41110000000003</v>
      </c>
      <c r="AF257">
        <v>-0.72117277926477497</v>
      </c>
      <c r="AG257">
        <v>-1.0545732746230001</v>
      </c>
      <c r="AH257">
        <v>51.322976998007199</v>
      </c>
      <c r="AI257">
        <v>91.177019300477895</v>
      </c>
      <c r="AJ257">
        <v>90.805047558599796</v>
      </c>
      <c r="AK257">
        <v>51.338875941211299</v>
      </c>
    </row>
    <row r="258" spans="1:37" x14ac:dyDescent="0.2">
      <c r="A258" t="str">
        <f>"20200111160100035"</f>
        <v>20200111160100035</v>
      </c>
      <c r="B258" t="str">
        <f>"1578729660029251"</f>
        <v>1578729660029251</v>
      </c>
      <c r="C258" t="s">
        <v>37</v>
      </c>
      <c r="D258">
        <v>7.5742940000000001</v>
      </c>
      <c r="E258">
        <v>0.59125680000000003</v>
      </c>
      <c r="F258" t="s">
        <v>48</v>
      </c>
      <c r="G258">
        <v>-282.32900000000001</v>
      </c>
      <c r="H258">
        <v>5.8344940000000003</v>
      </c>
      <c r="I258">
        <v>345.56849999999997</v>
      </c>
      <c r="J258">
        <v>-418.13279999999997</v>
      </c>
      <c r="K258">
        <v>1.0545709999999999</v>
      </c>
      <c r="L258">
        <v>368.00549999999998</v>
      </c>
      <c r="M258">
        <v>0.99979229999999997</v>
      </c>
      <c r="N258">
        <v>0</v>
      </c>
      <c r="O258">
        <v>1.33799E-2</v>
      </c>
      <c r="P258">
        <v>0.99806980000000001</v>
      </c>
      <c r="Q258">
        <v>1.2703930000000001E-3</v>
      </c>
      <c r="R258">
        <v>6.2090970000000002E-2</v>
      </c>
      <c r="S258">
        <v>3.0372309999999998</v>
      </c>
      <c r="T258">
        <v>0.10669099999999999</v>
      </c>
      <c r="U258">
        <v>-0.50073239999999997</v>
      </c>
      <c r="V258">
        <v>-4.87275E-2</v>
      </c>
      <c r="W258">
        <v>1.6642580000000001E-2</v>
      </c>
      <c r="X258">
        <v>0.99867340000000004</v>
      </c>
      <c r="Y258">
        <v>0.17574389999999901</v>
      </c>
      <c r="Z258">
        <v>3.5320059999999999E-3</v>
      </c>
      <c r="AA258">
        <v>0.98442960000000002</v>
      </c>
      <c r="AB258">
        <v>29</v>
      </c>
      <c r="AC258">
        <v>135.803799999999</v>
      </c>
      <c r="AD258">
        <v>4.7799230000000001</v>
      </c>
      <c r="AE258">
        <v>-22.437000000000001</v>
      </c>
      <c r="AF258">
        <v>24.2230358060763</v>
      </c>
      <c r="AG258">
        <v>4.7799230000000001</v>
      </c>
      <c r="AH258">
        <v>135.32820399814901</v>
      </c>
      <c r="AI258">
        <v>88.008720466168299</v>
      </c>
      <c r="AJ258">
        <v>79.851825975958405</v>
      </c>
      <c r="AK258">
        <v>137.56208025801601</v>
      </c>
    </row>
    <row r="259" spans="1:37" x14ac:dyDescent="0.2">
      <c r="A259" t="str">
        <f>"20200111160100057"</f>
        <v>20200111160100057</v>
      </c>
      <c r="B259" t="str">
        <f>"1578729660049748"</f>
        <v>1578729660049748</v>
      </c>
      <c r="C259" t="s">
        <v>37</v>
      </c>
      <c r="D259">
        <v>6.056832</v>
      </c>
      <c r="E259">
        <v>0.59164459999999996</v>
      </c>
      <c r="F259" t="s">
        <v>48</v>
      </c>
      <c r="G259">
        <v>-285.02980000000002</v>
      </c>
      <c r="H259">
        <v>7.3586199999999904</v>
      </c>
      <c r="I259">
        <v>343.9819</v>
      </c>
      <c r="J259">
        <v>-417.83179999999999</v>
      </c>
      <c r="K259">
        <v>1.0545709999999999</v>
      </c>
      <c r="L259">
        <v>368.0095</v>
      </c>
      <c r="M259">
        <v>0.99979309999999999</v>
      </c>
      <c r="N259">
        <v>0</v>
      </c>
      <c r="O259">
        <v>1.33232E-2</v>
      </c>
      <c r="P259">
        <v>0.99807990000000002</v>
      </c>
      <c r="Q259">
        <v>1.342254E-3</v>
      </c>
      <c r="R259">
        <v>6.192549E-2</v>
      </c>
      <c r="S259">
        <v>3.0397639999999999</v>
      </c>
      <c r="T259">
        <v>0.14396989999999901</v>
      </c>
      <c r="U259">
        <v>-0.54864499999999905</v>
      </c>
      <c r="V259">
        <v>-4.8618399999999999E-2</v>
      </c>
      <c r="W259">
        <v>1.6708850000000001E-2</v>
      </c>
      <c r="X259">
        <v>0.9986777</v>
      </c>
      <c r="Y259">
        <v>0.1904952</v>
      </c>
      <c r="Z259">
        <v>5.0983979999999996E-3</v>
      </c>
      <c r="AA259">
        <v>0.98167490000000002</v>
      </c>
      <c r="AB259">
        <v>29</v>
      </c>
      <c r="AC259">
        <v>132.801999999999</v>
      </c>
      <c r="AD259">
        <v>6.3040489999999902</v>
      </c>
      <c r="AE259">
        <v>-24.0276</v>
      </c>
      <c r="AF259">
        <v>25.7388630779047</v>
      </c>
      <c r="AG259">
        <v>6.3040489999999902</v>
      </c>
      <c r="AH259">
        <v>132.181636423123</v>
      </c>
      <c r="AI259">
        <v>87.319765555714298</v>
      </c>
      <c r="AJ259">
        <v>78.981056995037406</v>
      </c>
      <c r="AK259">
        <v>134.81177661403399</v>
      </c>
    </row>
    <row r="260" spans="1:37" x14ac:dyDescent="0.2">
      <c r="A260" t="str">
        <f>"20200111160100080"</f>
        <v>20200111160100080</v>
      </c>
      <c r="B260" t="str">
        <f>"1578729660069267"</f>
        <v>1578729660069267</v>
      </c>
      <c r="C260" t="s">
        <v>37</v>
      </c>
      <c r="D260">
        <v>4.6189439999999999</v>
      </c>
      <c r="E260">
        <v>0.59092069999999997</v>
      </c>
      <c r="F260" t="s">
        <v>48</v>
      </c>
      <c r="G260">
        <v>-282.98149999999998</v>
      </c>
      <c r="H260">
        <v>6.9933069999999997</v>
      </c>
      <c r="I260">
        <v>343.53460000000001</v>
      </c>
      <c r="J260">
        <v>-417.5401</v>
      </c>
      <c r="K260">
        <v>1.0545610000000001</v>
      </c>
      <c r="L260">
        <v>368.01330000000002</v>
      </c>
      <c r="M260">
        <v>0.99979390000000001</v>
      </c>
      <c r="N260">
        <v>0</v>
      </c>
      <c r="O260">
        <v>1.3267630000000001E-2</v>
      </c>
      <c r="P260">
        <v>0.99806109999999904</v>
      </c>
      <c r="Q260">
        <v>9.7984259999999899E-4</v>
      </c>
      <c r="R260">
        <v>6.2238229999999999E-2</v>
      </c>
      <c r="S260">
        <v>3.0398559999999999</v>
      </c>
      <c r="T260">
        <v>0.13387370000000001</v>
      </c>
      <c r="U260">
        <v>-0.55172730000000003</v>
      </c>
      <c r="V260">
        <v>-4.8986799999999997E-2</v>
      </c>
      <c r="W260">
        <v>1.6340790000000001E-2</v>
      </c>
      <c r="X260">
        <v>0.99866580000000005</v>
      </c>
      <c r="Y260">
        <v>0.1914283</v>
      </c>
      <c r="Z260">
        <v>4.7585919999999999E-3</v>
      </c>
      <c r="AA260">
        <v>0.98149509999999995</v>
      </c>
      <c r="AB260">
        <v>29</v>
      </c>
      <c r="AC260">
        <v>134.55860000000001</v>
      </c>
      <c r="AD260">
        <v>5.9387460000000001</v>
      </c>
      <c r="AE260">
        <v>-24.4787</v>
      </c>
      <c r="AF260">
        <v>26.212605560244299</v>
      </c>
      <c r="AG260">
        <v>5.9387460000000001</v>
      </c>
      <c r="AH260">
        <v>133.969341591214</v>
      </c>
      <c r="AI260">
        <v>87.508962515036899</v>
      </c>
      <c r="AJ260">
        <v>78.9292979237254</v>
      </c>
      <c r="AK260">
        <v>136.638771513406</v>
      </c>
    </row>
    <row r="261" spans="1:37" x14ac:dyDescent="0.2">
      <c r="A261" t="str">
        <f>"20200111160100102"</f>
        <v>20200111160100102</v>
      </c>
      <c r="B261" t="str">
        <f>"1578729660099523"</f>
        <v>1578729660099523</v>
      </c>
      <c r="C261" t="s">
        <v>37</v>
      </c>
      <c r="D261">
        <v>7.6660830000000004</v>
      </c>
      <c r="E261">
        <v>0.59061280000000005</v>
      </c>
      <c r="F261" t="s">
        <v>45</v>
      </c>
      <c r="G261">
        <v>-275.45999999999998</v>
      </c>
      <c r="H261">
        <v>8.9514270000000007</v>
      </c>
      <c r="I261">
        <v>342.44639999999998</v>
      </c>
      <c r="J261">
        <v>-417.23950000000002</v>
      </c>
      <c r="K261">
        <v>1.0545659999999999</v>
      </c>
      <c r="L261">
        <v>368.0172</v>
      </c>
      <c r="M261">
        <v>0.99979470000000004</v>
      </c>
      <c r="N261">
        <v>0</v>
      </c>
      <c r="O261">
        <v>1.3210939999999999E-2</v>
      </c>
      <c r="P261">
        <v>0.99804099999999996</v>
      </c>
      <c r="Q261">
        <v>8.2845049999999995E-4</v>
      </c>
      <c r="R261">
        <v>6.2556909999999993E-2</v>
      </c>
      <c r="S261">
        <v>3.0397639999999999</v>
      </c>
      <c r="T261">
        <v>0.1689512</v>
      </c>
      <c r="U261">
        <v>-0.54699709999999901</v>
      </c>
      <c r="V261">
        <v>-4.9362169999999997E-2</v>
      </c>
      <c r="W261">
        <v>1.6183929999999999E-2</v>
      </c>
      <c r="X261">
        <v>0.99864979999999903</v>
      </c>
      <c r="Y261">
        <v>0.18978719999999999</v>
      </c>
      <c r="Z261">
        <v>5.9564149999999996E-3</v>
      </c>
      <c r="AA261">
        <v>0.98180719999999999</v>
      </c>
      <c r="AB261">
        <v>29</v>
      </c>
      <c r="AC261">
        <v>141.77950000000001</v>
      </c>
      <c r="AD261">
        <v>7.8968610000000004</v>
      </c>
      <c r="AE261">
        <v>-25.570799999999998</v>
      </c>
      <c r="AF261">
        <v>27.3596260103965</v>
      </c>
      <c r="AG261">
        <v>7.8968610000000004</v>
      </c>
      <c r="AH261">
        <v>141.0056109615</v>
      </c>
      <c r="AI261">
        <v>86.853131439612895</v>
      </c>
      <c r="AJ261">
        <v>79.019221405528498</v>
      </c>
      <c r="AK261">
        <v>143.852326612078</v>
      </c>
    </row>
    <row r="262" spans="1:37" x14ac:dyDescent="0.2">
      <c r="A262" t="str">
        <f>"20200111160100125"</f>
        <v>20200111160100125</v>
      </c>
      <c r="B262" t="str">
        <f>"1578729660119044"</f>
        <v>1578729660119044</v>
      </c>
      <c r="C262" t="s">
        <v>37</v>
      </c>
      <c r="D262">
        <v>4.6232280000000001</v>
      </c>
      <c r="E262">
        <v>0.66986169999999901</v>
      </c>
      <c r="F262" t="s">
        <v>45</v>
      </c>
      <c r="G262">
        <v>-275.1114</v>
      </c>
      <c r="H262">
        <v>8.4338580000000007</v>
      </c>
      <c r="I262">
        <v>342.62430000000001</v>
      </c>
      <c r="J262">
        <v>-416.94330000000002</v>
      </c>
      <c r="K262">
        <v>1.0545719999999901</v>
      </c>
      <c r="L262">
        <v>368.02109999999999</v>
      </c>
      <c r="M262">
        <v>0.99979560000000001</v>
      </c>
      <c r="N262">
        <v>0</v>
      </c>
      <c r="O262">
        <v>1.315473E-2</v>
      </c>
      <c r="P262">
        <v>0.99801390000000001</v>
      </c>
      <c r="Q262">
        <v>8.7691470000000004E-4</v>
      </c>
      <c r="R262">
        <v>6.2991050000000007E-2</v>
      </c>
      <c r="S262">
        <v>3.0397639999999999</v>
      </c>
      <c r="T262">
        <v>0.15782449999999901</v>
      </c>
      <c r="U262">
        <v>-0.54309079999999998</v>
      </c>
      <c r="V262">
        <v>-4.9853090000000003E-2</v>
      </c>
      <c r="W262">
        <v>1.622589E-2</v>
      </c>
      <c r="X262">
        <v>0.99862469999999903</v>
      </c>
      <c r="Y262">
        <v>0.18854979999999999</v>
      </c>
      <c r="Z262">
        <v>5.530554E-3</v>
      </c>
      <c r="AA262">
        <v>0.98204809999999998</v>
      </c>
      <c r="AB262">
        <v>29</v>
      </c>
      <c r="AC262">
        <v>141.83189999999999</v>
      </c>
      <c r="AD262">
        <v>7.3792859999999996</v>
      </c>
      <c r="AE262">
        <v>-25.396799999999899</v>
      </c>
      <c r="AF262">
        <v>27.189268710197901</v>
      </c>
      <c r="AG262">
        <v>7.3792859999999996</v>
      </c>
      <c r="AH262">
        <v>141.115372059512</v>
      </c>
      <c r="AI262">
        <v>87.060549161651295</v>
      </c>
      <c r="AJ262">
        <v>79.094232775576302</v>
      </c>
      <c r="AK262">
        <v>143.900168263833</v>
      </c>
    </row>
    <row r="263" spans="1:37" x14ac:dyDescent="0.2">
      <c r="A263" t="str">
        <f>"20200111160100146"</f>
        <v>20200111160100146</v>
      </c>
      <c r="B263" t="str">
        <f>"1578729660139540"</f>
        <v>1578729660139540</v>
      </c>
      <c r="C263" t="s">
        <v>37</v>
      </c>
      <c r="D263">
        <v>4.1909080000000003</v>
      </c>
      <c r="E263">
        <v>0.65594940000000002</v>
      </c>
      <c r="F263" t="s">
        <v>49</v>
      </c>
      <c r="G263">
        <v>-157.8382</v>
      </c>
      <c r="H263">
        <v>34.441949999999999</v>
      </c>
      <c r="I263">
        <v>268.22719999999998</v>
      </c>
      <c r="J263">
        <v>-416.66739999999999</v>
      </c>
      <c r="K263">
        <v>1.054578</v>
      </c>
      <c r="L263">
        <v>368.0247</v>
      </c>
      <c r="M263">
        <v>0.99979629999999997</v>
      </c>
      <c r="N263">
        <v>0</v>
      </c>
      <c r="O263">
        <v>1.3102330000000001E-2</v>
      </c>
      <c r="P263">
        <v>0.99801770000000001</v>
      </c>
      <c r="Q263">
        <v>1.0136780000000001E-3</v>
      </c>
      <c r="R263">
        <v>6.2926590000000004E-2</v>
      </c>
      <c r="S263">
        <v>3.0805359999999999</v>
      </c>
      <c r="T263">
        <v>0.39694790000000002</v>
      </c>
      <c r="U263">
        <v>-1.1864619999999999</v>
      </c>
      <c r="V263">
        <v>-4.9841080000000003E-2</v>
      </c>
      <c r="W263">
        <v>1.6357E-2</v>
      </c>
      <c r="X263">
        <v>0.99862320000000004</v>
      </c>
      <c r="Y263">
        <v>0.36885449999999997</v>
      </c>
      <c r="Z263">
        <v>2.448314E-2</v>
      </c>
      <c r="AA263">
        <v>0.92916460000000001</v>
      </c>
      <c r="AB263">
        <v>29</v>
      </c>
      <c r="AC263">
        <v>258.82920000000001</v>
      </c>
      <c r="AD263">
        <v>33.387371999999999</v>
      </c>
      <c r="AE263">
        <v>-99.797499999999999</v>
      </c>
      <c r="AF263">
        <v>101.70728021664399</v>
      </c>
      <c r="AG263">
        <v>33.387371999999999</v>
      </c>
      <c r="AH263">
        <v>253.82240951682101</v>
      </c>
      <c r="AI263">
        <v>83.038605961338206</v>
      </c>
      <c r="AJ263">
        <v>68.163899200085496</v>
      </c>
      <c r="AK263">
        <v>275.47214565370899</v>
      </c>
    </row>
    <row r="264" spans="1:37" x14ac:dyDescent="0.2">
      <c r="A264" t="str">
        <f>"20200111160100168"</f>
        <v>20200111160100168</v>
      </c>
      <c r="B264" t="str">
        <f>"1578729660159059"</f>
        <v>1578729660159059</v>
      </c>
      <c r="C264" t="s">
        <v>37</v>
      </c>
      <c r="D264">
        <v>4.637022</v>
      </c>
      <c r="E264">
        <v>0.59583050000000004</v>
      </c>
      <c r="F264" t="s">
        <v>40</v>
      </c>
      <c r="G264">
        <v>-265.98129999999998</v>
      </c>
      <c r="H264">
        <v>21.051400000000001</v>
      </c>
      <c r="I264">
        <v>315.2509</v>
      </c>
      <c r="J264">
        <v>-416.37549999999999</v>
      </c>
      <c r="K264">
        <v>1.0545819999999999</v>
      </c>
      <c r="L264">
        <v>368.02850000000001</v>
      </c>
      <c r="M264">
        <v>0.99979719999999905</v>
      </c>
      <c r="N264">
        <v>0</v>
      </c>
      <c r="O264">
        <v>1.304665E-2</v>
      </c>
      <c r="P264">
        <v>0.99802690000000005</v>
      </c>
      <c r="Q264">
        <v>1.827097E-3</v>
      </c>
      <c r="R264">
        <v>6.2764529999999999E-2</v>
      </c>
      <c r="S264">
        <v>3.0734249999999999</v>
      </c>
      <c r="T264">
        <v>0.40785969999999999</v>
      </c>
      <c r="U264">
        <v>-1.0763849999999999</v>
      </c>
      <c r="V264">
        <v>-4.9734210000000001E-2</v>
      </c>
      <c r="W264">
        <v>1.7164169999999999E-2</v>
      </c>
      <c r="X264">
        <v>0.99861499999999903</v>
      </c>
      <c r="Y264">
        <v>0.340063</v>
      </c>
      <c r="Z264">
        <v>2.3499530000000001E-2</v>
      </c>
      <c r="AA264">
        <v>0.94010899999999997</v>
      </c>
      <c r="AB264">
        <v>29</v>
      </c>
      <c r="AC264">
        <v>150.39420000000001</v>
      </c>
      <c r="AD264">
        <v>19.996818000000001</v>
      </c>
      <c r="AE264">
        <v>-52.7776</v>
      </c>
      <c r="AF264">
        <v>53.887260058503202</v>
      </c>
      <c r="AG264">
        <v>19.996818000000001</v>
      </c>
      <c r="AH264">
        <v>147.37300388018201</v>
      </c>
      <c r="AI264">
        <v>82.737575648697998</v>
      </c>
      <c r="AJ264">
        <v>69.914950634484597</v>
      </c>
      <c r="AK264">
        <v>158.18505555015699</v>
      </c>
    </row>
    <row r="265" spans="1:37" x14ac:dyDescent="0.2">
      <c r="A265" t="str">
        <f>"20200111160100192"</f>
        <v>20200111160100192</v>
      </c>
      <c r="B265" t="str">
        <f>"1578729660189315"</f>
        <v>1578729660189315</v>
      </c>
      <c r="C265" t="s">
        <v>37</v>
      </c>
      <c r="D265">
        <v>4.6374370000000003</v>
      </c>
      <c r="E265">
        <v>0.59477449999999998</v>
      </c>
      <c r="F265" t="s">
        <v>48</v>
      </c>
      <c r="G265">
        <v>-283.99419999999998</v>
      </c>
      <c r="H265">
        <v>7.3095270000000001</v>
      </c>
      <c r="I265">
        <v>342.65629999999999</v>
      </c>
      <c r="J265">
        <v>-416.08370000000002</v>
      </c>
      <c r="K265">
        <v>1.0545879999999901</v>
      </c>
      <c r="L265">
        <v>368.03219999999999</v>
      </c>
      <c r="M265">
        <v>0.99979789999999902</v>
      </c>
      <c r="N265">
        <v>0</v>
      </c>
      <c r="O265">
        <v>1.29911E-2</v>
      </c>
      <c r="P265">
        <v>0.99803580000000003</v>
      </c>
      <c r="Q265">
        <v>2.199065E-3</v>
      </c>
      <c r="R265">
        <v>6.260984E-2</v>
      </c>
      <c r="S265">
        <v>3.0423580000000001</v>
      </c>
      <c r="T265">
        <v>0.14374979999999901</v>
      </c>
      <c r="U265">
        <v>-0.58309940000000005</v>
      </c>
      <c r="V265">
        <v>-4.963534E-2</v>
      </c>
      <c r="W265">
        <v>1.752985E-2</v>
      </c>
      <c r="X265">
        <v>0.99861350000000004</v>
      </c>
      <c r="Y265">
        <v>0.2007486</v>
      </c>
      <c r="Z265">
        <v>5.3055139999999999E-3</v>
      </c>
      <c r="AA265">
        <v>0.97962839999999995</v>
      </c>
      <c r="AB265">
        <v>29</v>
      </c>
      <c r="AC265">
        <v>132.08949999999999</v>
      </c>
      <c r="AD265">
        <v>6.2549390000000002</v>
      </c>
      <c r="AE265">
        <v>-25.375900000000001</v>
      </c>
      <c r="AF265">
        <v>27.031490533391601</v>
      </c>
      <c r="AG265">
        <v>6.2549390000000002</v>
      </c>
      <c r="AH265">
        <v>131.464350314341</v>
      </c>
      <c r="AI265">
        <v>87.331718724878399</v>
      </c>
      <c r="AJ265">
        <v>78.380874683651598</v>
      </c>
      <c r="AK265">
        <v>134.36034067358699</v>
      </c>
    </row>
    <row r="266" spans="1:37" x14ac:dyDescent="0.2">
      <c r="A266" t="str">
        <f>"20200111160100213"</f>
        <v>20200111160100213</v>
      </c>
      <c r="B266" t="str">
        <f>"1578729660208835"</f>
        <v>1578729660208835</v>
      </c>
      <c r="C266" t="s">
        <v>37</v>
      </c>
      <c r="D266">
        <v>4.6853009999999999</v>
      </c>
      <c r="E266">
        <v>0.5946555</v>
      </c>
      <c r="F266" t="s">
        <v>48</v>
      </c>
      <c r="G266">
        <v>-282.32900000000001</v>
      </c>
      <c r="H266">
        <v>6.7108080000000001</v>
      </c>
      <c r="I266">
        <v>342.78680000000003</v>
      </c>
      <c r="J266">
        <v>-415.80329999999998</v>
      </c>
      <c r="K266">
        <v>1.0545959999999901</v>
      </c>
      <c r="L266">
        <v>368.03579999999999</v>
      </c>
      <c r="M266">
        <v>0.99979879999999999</v>
      </c>
      <c r="N266">
        <v>0</v>
      </c>
      <c r="O266">
        <v>1.2937219999999999E-2</v>
      </c>
      <c r="P266">
        <v>0.99807159999999995</v>
      </c>
      <c r="Q266">
        <v>2.459068E-3</v>
      </c>
      <c r="R266">
        <v>6.2023929999999998E-2</v>
      </c>
      <c r="S266">
        <v>3.0416560000000001</v>
      </c>
      <c r="T266">
        <v>0.12862580000000001</v>
      </c>
      <c r="U266">
        <v>-0.57409670000000002</v>
      </c>
      <c r="V266">
        <v>-4.9102739999999999E-2</v>
      </c>
      <c r="W266">
        <v>1.7783480000000001E-2</v>
      </c>
      <c r="X266">
        <v>0.99863539999999995</v>
      </c>
      <c r="Y266">
        <v>0.19798659999999901</v>
      </c>
      <c r="Z266">
        <v>4.690077E-3</v>
      </c>
      <c r="AA266">
        <v>0.98019349999999905</v>
      </c>
      <c r="AB266">
        <v>29</v>
      </c>
      <c r="AC266">
        <v>133.474299999999</v>
      </c>
      <c r="AD266">
        <v>5.656212</v>
      </c>
      <c r="AE266">
        <v>-25.248999999999899</v>
      </c>
      <c r="AF266">
        <v>26.927190695087901</v>
      </c>
      <c r="AG266">
        <v>5.656212</v>
      </c>
      <c r="AH266">
        <v>132.90601082286301</v>
      </c>
      <c r="AI266">
        <v>87.6115473987076</v>
      </c>
      <c r="AJ266">
        <v>78.546720693287199</v>
      </c>
      <c r="AK266">
        <v>135.724257396258</v>
      </c>
    </row>
    <row r="267" spans="1:37" x14ac:dyDescent="0.2">
      <c r="A267" t="str">
        <f>"20200111160100236"</f>
        <v>20200111160100236</v>
      </c>
      <c r="B267" t="str">
        <f>"1578729660229332"</f>
        <v>1578729660229332</v>
      </c>
      <c r="C267" t="s">
        <v>37</v>
      </c>
      <c r="D267">
        <v>6.3384970000000003</v>
      </c>
      <c r="E267">
        <v>0.64852900000000002</v>
      </c>
      <c r="F267" t="s">
        <v>48</v>
      </c>
      <c r="G267">
        <v>-282.32900000000001</v>
      </c>
      <c r="H267">
        <v>6.7332879999999999</v>
      </c>
      <c r="I267">
        <v>342.8098</v>
      </c>
      <c r="J267">
        <v>-415.51510000000002</v>
      </c>
      <c r="K267">
        <v>1.0545949999999999</v>
      </c>
      <c r="L267">
        <v>368.0394</v>
      </c>
      <c r="M267">
        <v>0.99979949999999995</v>
      </c>
      <c r="N267">
        <v>0</v>
      </c>
      <c r="O267">
        <v>1.2882019999999999E-2</v>
      </c>
      <c r="P267">
        <v>0.99808709999999901</v>
      </c>
      <c r="Q267">
        <v>2.881527E-3</v>
      </c>
      <c r="R267">
        <v>6.1756480000000002E-2</v>
      </c>
      <c r="S267">
        <v>3.0411679999999999</v>
      </c>
      <c r="T267">
        <v>0.1293871</v>
      </c>
      <c r="U267">
        <v>-0.5747681</v>
      </c>
      <c r="V267">
        <v>-4.8889990000000001E-2</v>
      </c>
      <c r="W267">
        <v>1.8200170000000002E-2</v>
      </c>
      <c r="X267">
        <v>0.99863829999999998</v>
      </c>
      <c r="Y267">
        <v>0.19816779999999901</v>
      </c>
      <c r="Z267">
        <v>4.7199570000000003E-3</v>
      </c>
      <c r="AA267">
        <v>0.98015669999999899</v>
      </c>
      <c r="AB267">
        <v>29</v>
      </c>
      <c r="AC267">
        <v>133.18610000000001</v>
      </c>
      <c r="AD267">
        <v>5.678693</v>
      </c>
      <c r="AE267">
        <v>-25.229600000000001</v>
      </c>
      <c r="AF267">
        <v>26.8962118496652</v>
      </c>
      <c r="AG267">
        <v>5.678693</v>
      </c>
      <c r="AH267">
        <v>132.61726136686099</v>
      </c>
      <c r="AI267">
        <v>87.596947439485803</v>
      </c>
      <c r="AJ267">
        <v>78.535299122646194</v>
      </c>
      <c r="AK267">
        <v>135.43630155352199</v>
      </c>
    </row>
    <row r="268" spans="1:37" x14ac:dyDescent="0.2">
      <c r="A268" t="str">
        <f>"20200111160100258"</f>
        <v>20200111160100258</v>
      </c>
      <c r="B268" t="str">
        <f>"1578729660249401"</f>
        <v>1578729660249401</v>
      </c>
      <c r="C268" t="s">
        <v>37</v>
      </c>
      <c r="D268">
        <v>4.6566799999999997</v>
      </c>
      <c r="E268">
        <v>0.64820559999999905</v>
      </c>
      <c r="F268" t="s">
        <v>50</v>
      </c>
      <c r="G268">
        <v>-334.03559999999999</v>
      </c>
      <c r="H268">
        <v>11.604839999999999</v>
      </c>
      <c r="I268">
        <v>340.96710000000002</v>
      </c>
      <c r="J268">
        <v>-415.22410000000002</v>
      </c>
      <c r="K268">
        <v>1.054603</v>
      </c>
      <c r="L268">
        <v>368.04320000000001</v>
      </c>
      <c r="M268">
        <v>0.99980040000000003</v>
      </c>
      <c r="N268">
        <v>0</v>
      </c>
      <c r="O268">
        <v>1.282676E-2</v>
      </c>
      <c r="P268">
        <v>0.99811030000000001</v>
      </c>
      <c r="Q268">
        <v>2.9314979999999998E-3</v>
      </c>
      <c r="R268">
        <v>6.137716E-2</v>
      </c>
      <c r="S268">
        <v>3.0676570000000001</v>
      </c>
      <c r="T268">
        <v>0.39721050000000002</v>
      </c>
      <c r="U268">
        <v>-1.0192570000000001</v>
      </c>
      <c r="V268">
        <v>-4.8565190000000001E-2</v>
      </c>
      <c r="W268">
        <v>1.8243079999999998E-2</v>
      </c>
      <c r="X268">
        <v>0.99865339999999903</v>
      </c>
      <c r="Y268">
        <v>0.32491490000000001</v>
      </c>
      <c r="Z268">
        <v>2.2018369999999999E-2</v>
      </c>
      <c r="AA268">
        <v>0.94548690000000002</v>
      </c>
      <c r="AB268">
        <v>29</v>
      </c>
      <c r="AC268">
        <v>81.188500000000005</v>
      </c>
      <c r="AD268">
        <v>10.550236999999999</v>
      </c>
      <c r="AE268">
        <v>-27.0761</v>
      </c>
      <c r="AF268">
        <v>27.694527736344899</v>
      </c>
      <c r="AG268">
        <v>10.550236999999999</v>
      </c>
      <c r="AH268">
        <v>79.624489421115101</v>
      </c>
      <c r="AI268">
        <v>82.866736354240103</v>
      </c>
      <c r="AJ268">
        <v>70.821599769580999</v>
      </c>
      <c r="AK268">
        <v>84.960895021584093</v>
      </c>
    </row>
    <row r="269" spans="1:37" x14ac:dyDescent="0.2">
      <c r="A269" t="str">
        <f>"20200111160100280"</f>
        <v>20200111160100280</v>
      </c>
      <c r="B269" t="str">
        <f>"1578729660268923"</f>
        <v>1578729660268923</v>
      </c>
      <c r="C269" t="s">
        <v>37</v>
      </c>
      <c r="D269">
        <v>6.7867470000000001</v>
      </c>
      <c r="E269">
        <v>0.64805279999999998</v>
      </c>
      <c r="F269" t="s">
        <v>50</v>
      </c>
      <c r="G269">
        <v>-333.8612</v>
      </c>
      <c r="H269">
        <v>12.1265</v>
      </c>
      <c r="I269">
        <v>341.00959999999998</v>
      </c>
      <c r="J269">
        <v>-414.93119999999999</v>
      </c>
      <c r="K269">
        <v>1.0546120000000001</v>
      </c>
      <c r="L269">
        <v>368.04680000000002</v>
      </c>
      <c r="M269">
        <v>0.99980119999999895</v>
      </c>
      <c r="N269">
        <v>0</v>
      </c>
      <c r="O269">
        <v>1.2771380000000001E-2</v>
      </c>
      <c r="P269">
        <v>0.99812350000000005</v>
      </c>
      <c r="Q269">
        <v>3.8234200000000001E-3</v>
      </c>
      <c r="R269">
        <v>6.1114160000000001E-2</v>
      </c>
      <c r="S269">
        <v>3.0671080000000002</v>
      </c>
      <c r="T269">
        <v>0.4173733</v>
      </c>
      <c r="U269">
        <v>-1.0190729999999999</v>
      </c>
      <c r="V269">
        <v>-4.835772E-2</v>
      </c>
      <c r="W269">
        <v>1.9128889999999999E-2</v>
      </c>
      <c r="X269">
        <v>0.9986469</v>
      </c>
      <c r="Y269">
        <v>0.32460090000000003</v>
      </c>
      <c r="Z269">
        <v>2.3102899999999999E-2</v>
      </c>
      <c r="AA269">
        <v>0.94556890000000005</v>
      </c>
      <c r="AB269">
        <v>29</v>
      </c>
      <c r="AC269">
        <v>81.069999999999993</v>
      </c>
      <c r="AD269">
        <v>11.071888</v>
      </c>
      <c r="AE269">
        <v>-27.037199999999999</v>
      </c>
      <c r="AF269">
        <v>27.607106704529699</v>
      </c>
      <c r="AG269">
        <v>11.071888</v>
      </c>
      <c r="AH269">
        <v>79.385558361704298</v>
      </c>
      <c r="AI269">
        <v>82.495551291959899</v>
      </c>
      <c r="AJ269">
        <v>70.824379589718902</v>
      </c>
      <c r="AK269">
        <v>84.775031234906606</v>
      </c>
    </row>
    <row r="270" spans="1:37" x14ac:dyDescent="0.2">
      <c r="A270" t="str">
        <f>"20200111160100639"</f>
        <v>20200111160100639</v>
      </c>
      <c r="B270" t="str">
        <f>"1578729660629925"</f>
        <v>1578729660629925</v>
      </c>
      <c r="C270" t="s">
        <v>37</v>
      </c>
      <c r="D270">
        <v>4.8397949999999996</v>
      </c>
      <c r="E270">
        <v>0.65172299999999905</v>
      </c>
      <c r="F270" t="s">
        <v>40</v>
      </c>
      <c r="G270">
        <v>-265.98079999999999</v>
      </c>
      <c r="H270">
        <v>22.409329999999901</v>
      </c>
      <c r="I270">
        <v>318.5068</v>
      </c>
      <c r="J270">
        <v>-410.41910000000001</v>
      </c>
      <c r="K270">
        <v>1.054697</v>
      </c>
      <c r="L270">
        <v>368.10210000000001</v>
      </c>
      <c r="M270">
        <v>0.99980930000000001</v>
      </c>
      <c r="N270">
        <v>0</v>
      </c>
      <c r="O270">
        <v>1.2259000000000001E-2</v>
      </c>
      <c r="P270">
        <v>0.99812919999999905</v>
      </c>
      <c r="Q270">
        <v>2.6970430000000001E-3</v>
      </c>
      <c r="R270">
        <v>6.1082589999999999E-2</v>
      </c>
      <c r="S270">
        <v>3.0664060000000002</v>
      </c>
      <c r="T270">
        <v>0.43962479999999998</v>
      </c>
      <c r="U270">
        <v>-1.0198670000000001</v>
      </c>
      <c r="V270">
        <v>-4.8842179999999999E-2</v>
      </c>
      <c r="W270">
        <v>1.7882169999999999E-2</v>
      </c>
      <c r="X270">
        <v>0.99864640000000005</v>
      </c>
      <c r="Y270">
        <v>0.32410450000000002</v>
      </c>
      <c r="Z270">
        <v>2.422187E-2</v>
      </c>
      <c r="AA270">
        <v>0.94571109999999903</v>
      </c>
      <c r="AB270">
        <v>28</v>
      </c>
      <c r="AC270">
        <v>144.4383</v>
      </c>
      <c r="AD270">
        <v>21.354633</v>
      </c>
      <c r="AE270">
        <v>-49.595300000000002</v>
      </c>
      <c r="AF270">
        <v>50.377410067553001</v>
      </c>
      <c r="AG270">
        <v>21.354633</v>
      </c>
      <c r="AH270">
        <v>141.06119693112899</v>
      </c>
      <c r="AI270">
        <v>81.886208504807797</v>
      </c>
      <c r="AJ270">
        <v>70.346748289198302</v>
      </c>
      <c r="AK270">
        <v>151.30156996978599</v>
      </c>
    </row>
    <row r="271" spans="1:37" x14ac:dyDescent="0.2">
      <c r="A271" t="str">
        <f>"20200111160100660"</f>
        <v>20200111160100660</v>
      </c>
      <c r="B271" t="str">
        <f>"1578729660650000"</f>
        <v>1578729660650000</v>
      </c>
      <c r="C271" t="s">
        <v>37</v>
      </c>
      <c r="D271">
        <v>7.3101250000000002</v>
      </c>
      <c r="E271">
        <v>0.59307659999999995</v>
      </c>
      <c r="F271" t="s">
        <v>50</v>
      </c>
      <c r="G271">
        <v>-335.3263</v>
      </c>
      <c r="H271">
        <v>11.53885</v>
      </c>
      <c r="I271">
        <v>342.44779999999997</v>
      </c>
      <c r="J271">
        <v>-410.14179999999999</v>
      </c>
      <c r="K271">
        <v>1.054754</v>
      </c>
      <c r="L271">
        <v>368.10570000000001</v>
      </c>
      <c r="M271">
        <v>0.99980709999999995</v>
      </c>
      <c r="N271">
        <v>0</v>
      </c>
      <c r="O271">
        <v>1.2445579999999999E-2</v>
      </c>
      <c r="P271">
        <v>0.99814859999999905</v>
      </c>
      <c r="Q271">
        <v>2.3275169999999999E-3</v>
      </c>
      <c r="R271">
        <v>6.0778649999999997E-2</v>
      </c>
      <c r="S271">
        <v>3.068695</v>
      </c>
      <c r="T271">
        <v>0.4284385</v>
      </c>
      <c r="U271">
        <v>-1.04837</v>
      </c>
      <c r="V271">
        <v>-4.835441E-2</v>
      </c>
      <c r="W271">
        <v>1.749933E-2</v>
      </c>
      <c r="X271">
        <v>0.99867700000000004</v>
      </c>
      <c r="Y271">
        <v>0.33204519999999998</v>
      </c>
      <c r="Z271">
        <v>2.4122850000000001E-2</v>
      </c>
      <c r="AA271">
        <v>0.94295499999999899</v>
      </c>
      <c r="AB271">
        <v>28</v>
      </c>
      <c r="AC271">
        <v>74.815499999999901</v>
      </c>
      <c r="AD271">
        <v>10.484095999999999</v>
      </c>
      <c r="AE271">
        <v>-25.657900000000001</v>
      </c>
      <c r="AF271">
        <v>26.1280561211153</v>
      </c>
      <c r="AG271">
        <v>10.484095999999999</v>
      </c>
      <c r="AH271">
        <v>73.204098867267206</v>
      </c>
      <c r="AI271">
        <v>82.318121471222398</v>
      </c>
      <c r="AJ271">
        <v>70.357466959056595</v>
      </c>
      <c r="AK271">
        <v>78.431063212059001</v>
      </c>
    </row>
    <row r="272" spans="1:37" x14ac:dyDescent="0.2">
      <c r="A272" t="str">
        <f>"20200111160100682"</f>
        <v>20200111160100682</v>
      </c>
      <c r="B272" t="str">
        <f>"1578729660679277"</f>
        <v>1578729660679277</v>
      </c>
      <c r="C272" t="s">
        <v>37</v>
      </c>
      <c r="D272">
        <v>6.9407619999999897</v>
      </c>
      <c r="E272">
        <v>0.67257129999999998</v>
      </c>
      <c r="F272" t="s">
        <v>48</v>
      </c>
      <c r="G272">
        <v>-282.32900000000001</v>
      </c>
      <c r="H272">
        <v>1.2943279999999999</v>
      </c>
      <c r="I272">
        <v>344.57659999999998</v>
      </c>
      <c r="J272">
        <v>-409.87990000000002</v>
      </c>
      <c r="K272">
        <v>1.0548420000000001</v>
      </c>
      <c r="L272">
        <v>368.10919999999999</v>
      </c>
      <c r="M272">
        <v>0.99980360000000001</v>
      </c>
      <c r="N272">
        <v>0</v>
      </c>
      <c r="O272">
        <v>1.273579E-2</v>
      </c>
      <c r="P272">
        <v>0.99808410000000003</v>
      </c>
      <c r="Q272">
        <v>2.8334559999999998E-3</v>
      </c>
      <c r="R272">
        <v>6.1809250000000003E-2</v>
      </c>
      <c r="S272">
        <v>3.03964199999999</v>
      </c>
      <c r="T272">
        <v>5.6976079999999998E-3</v>
      </c>
      <c r="U272">
        <v>-0.55957029999999996</v>
      </c>
      <c r="V272">
        <v>-4.9099219999999999E-2</v>
      </c>
      <c r="W272">
        <v>1.798754E-2</v>
      </c>
      <c r="X272">
        <v>0.99863189999999902</v>
      </c>
      <c r="Y272">
        <v>0.19356029999999999</v>
      </c>
      <c r="Z272">
        <v>2.0357900000000001E-4</v>
      </c>
      <c r="AA272">
        <v>0.98108830000000002</v>
      </c>
      <c r="AB272">
        <v>28</v>
      </c>
      <c r="AC272">
        <v>127.5509</v>
      </c>
      <c r="AD272">
        <v>0.239486</v>
      </c>
      <c r="AE272">
        <v>-23.532599999999999</v>
      </c>
      <c r="AF272">
        <v>25.155254002325702</v>
      </c>
      <c r="AG272">
        <v>0.239486</v>
      </c>
      <c r="AH272">
        <v>127.24037819476401</v>
      </c>
      <c r="AI272">
        <v>89.894208243216298</v>
      </c>
      <c r="AJ272">
        <v>78.816908346013804</v>
      </c>
      <c r="AK272">
        <v>129.703346142697</v>
      </c>
    </row>
    <row r="273" spans="1:37" x14ac:dyDescent="0.2">
      <c r="A273" t="str">
        <f>"20200111160100704"</f>
        <v>20200111160100704</v>
      </c>
      <c r="B273" t="str">
        <f>"1578729660699772"</f>
        <v>1578729660699772</v>
      </c>
      <c r="C273" t="s">
        <v>37</v>
      </c>
      <c r="D273">
        <v>4.9013859999999996</v>
      </c>
      <c r="E273">
        <v>0.67030730000000005</v>
      </c>
      <c r="F273" t="s">
        <v>40</v>
      </c>
      <c r="G273">
        <v>-266.4819</v>
      </c>
      <c r="H273">
        <v>17.400839999999999</v>
      </c>
      <c r="I273">
        <v>311.79039999999998</v>
      </c>
      <c r="J273">
        <v>-409.60570000000001</v>
      </c>
      <c r="K273">
        <v>1.0549469999999901</v>
      </c>
      <c r="L273">
        <v>368.11309999999997</v>
      </c>
      <c r="M273">
        <v>0.99979810000000002</v>
      </c>
      <c r="N273">
        <v>0</v>
      </c>
      <c r="O273">
        <v>1.318459E-2</v>
      </c>
      <c r="P273">
        <v>0.99799509999999902</v>
      </c>
      <c r="Q273">
        <v>3.011569E-3</v>
      </c>
      <c r="R273">
        <v>6.3221109999999997E-2</v>
      </c>
      <c r="S273">
        <v>3.0796199999999998</v>
      </c>
      <c r="T273">
        <v>0.35104730000000001</v>
      </c>
      <c r="U273">
        <v>-1.209503</v>
      </c>
      <c r="V273">
        <v>-5.006907E-2</v>
      </c>
      <c r="W273">
        <v>1.8127709999999998E-2</v>
      </c>
      <c r="X273">
        <v>0.99858119999999995</v>
      </c>
      <c r="Y273">
        <v>0.3756179</v>
      </c>
      <c r="Z273">
        <v>2.2027040000000001E-2</v>
      </c>
      <c r="AA273">
        <v>0.92651280000000003</v>
      </c>
      <c r="AB273">
        <v>28</v>
      </c>
      <c r="AC273">
        <v>143.12379999999999</v>
      </c>
      <c r="AD273">
        <v>16.345893</v>
      </c>
      <c r="AE273">
        <v>-56.322699999999998</v>
      </c>
      <c r="AF273">
        <v>57.554998870605303</v>
      </c>
      <c r="AG273">
        <v>16.345893</v>
      </c>
      <c r="AH273">
        <v>140.77866705923799</v>
      </c>
      <c r="AI273">
        <v>83.865654479386095</v>
      </c>
      <c r="AJ273">
        <v>67.763624217740897</v>
      </c>
      <c r="AK273">
        <v>152.96535297883199</v>
      </c>
    </row>
    <row r="274" spans="1:37" x14ac:dyDescent="0.2">
      <c r="A274" t="str">
        <f>"20200111160100727"</f>
        <v>20200111160100727</v>
      </c>
      <c r="B274" t="str">
        <f>"1578729660719292"</f>
        <v>1578729660719292</v>
      </c>
      <c r="C274" t="s">
        <v>37</v>
      </c>
      <c r="D274">
        <v>4.9576570000000002</v>
      </c>
      <c r="E274">
        <v>0.67223980000000005</v>
      </c>
      <c r="F274" t="s">
        <v>40</v>
      </c>
      <c r="G274">
        <v>-265.98239999999998</v>
      </c>
      <c r="H274">
        <v>17.825379999999999</v>
      </c>
      <c r="I274">
        <v>312.70030000000003</v>
      </c>
      <c r="J274">
        <v>-409.32380000000001</v>
      </c>
      <c r="K274">
        <v>1.0550600000000001</v>
      </c>
      <c r="L274">
        <v>368.11750000000001</v>
      </c>
      <c r="M274">
        <v>0.99979050000000003</v>
      </c>
      <c r="N274">
        <v>0</v>
      </c>
      <c r="O274">
        <v>1.3824039999999999E-2</v>
      </c>
      <c r="P274">
        <v>0.99787340000000002</v>
      </c>
      <c r="Q274">
        <v>2.4457389999999902E-3</v>
      </c>
      <c r="R274">
        <v>6.5136550000000001E-2</v>
      </c>
      <c r="S274">
        <v>3.0802309999999999</v>
      </c>
      <c r="T274">
        <v>0.35966909999999902</v>
      </c>
      <c r="U274">
        <v>-1.1884159999999999</v>
      </c>
      <c r="V274">
        <v>-5.1352410000000001E-2</v>
      </c>
      <c r="W274">
        <v>1.7463099999999999E-2</v>
      </c>
      <c r="X274">
        <v>0.99852790000000002</v>
      </c>
      <c r="Y274">
        <v>0.37054549999999897</v>
      </c>
      <c r="Z274">
        <v>2.2374390000000001E-2</v>
      </c>
      <c r="AA274">
        <v>0.92854479999999995</v>
      </c>
      <c r="AB274">
        <v>28</v>
      </c>
      <c r="AC274">
        <v>143.34139999999999</v>
      </c>
      <c r="AD274">
        <v>16.770319999999899</v>
      </c>
      <c r="AE274">
        <v>-55.417199999999902</v>
      </c>
      <c r="AF274">
        <v>56.718278850212698</v>
      </c>
      <c r="AG274">
        <v>16.770319999999899</v>
      </c>
      <c r="AH274">
        <v>140.88386225821401</v>
      </c>
      <c r="AI274">
        <v>83.698713757454996</v>
      </c>
      <c r="AJ274">
        <v>68.070831565150002</v>
      </c>
      <c r="AK274">
        <v>152.795515095909</v>
      </c>
    </row>
    <row r="275" spans="1:37" x14ac:dyDescent="0.2">
      <c r="A275" t="str">
        <f>"20200111160100749"</f>
        <v>20200111160100749</v>
      </c>
      <c r="B275" t="str">
        <f>"1578729660739704"</f>
        <v>1578729660739704</v>
      </c>
      <c r="C275" t="s">
        <v>37</v>
      </c>
      <c r="D275">
        <v>6.2909480000000002</v>
      </c>
      <c r="E275">
        <v>0.67223980000000005</v>
      </c>
      <c r="F275" t="s">
        <v>40</v>
      </c>
      <c r="G275">
        <v>-265.98259999999999</v>
      </c>
      <c r="H275">
        <v>16.983470000000001</v>
      </c>
      <c r="I275">
        <v>312.45030000000003</v>
      </c>
      <c r="J275">
        <v>-409.0487</v>
      </c>
      <c r="K275">
        <v>1.055161</v>
      </c>
      <c r="L275">
        <v>368.12209999999999</v>
      </c>
      <c r="M275">
        <v>0.99978149999999999</v>
      </c>
      <c r="N275">
        <v>0</v>
      </c>
      <c r="O275">
        <v>1.463185E-2</v>
      </c>
      <c r="P275">
        <v>0.99774479999999999</v>
      </c>
      <c r="Q275">
        <v>1.2067499999999999E-3</v>
      </c>
      <c r="R275">
        <v>6.7110870000000003E-2</v>
      </c>
      <c r="S275">
        <v>3.08371</v>
      </c>
      <c r="T275">
        <v>0.34266920000000001</v>
      </c>
      <c r="U275">
        <v>-1.1975709999999999</v>
      </c>
      <c r="V275">
        <v>-5.2525389999999998E-2</v>
      </c>
      <c r="W275">
        <v>1.6038509999999999E-2</v>
      </c>
      <c r="X275">
        <v>0.99849080000000001</v>
      </c>
      <c r="Y275">
        <v>0.37353540000000002</v>
      </c>
      <c r="Z275">
        <v>2.1535950000000002E-2</v>
      </c>
      <c r="AA275">
        <v>0.92736589999999997</v>
      </c>
      <c r="AB275">
        <v>28</v>
      </c>
      <c r="AC275">
        <v>143.06610000000001</v>
      </c>
      <c r="AD275">
        <v>15.928309</v>
      </c>
      <c r="AE275">
        <v>-55.671799999999898</v>
      </c>
      <c r="AF275">
        <v>57.144213476210503</v>
      </c>
      <c r="AG275">
        <v>15.928309</v>
      </c>
      <c r="AH275">
        <v>140.72118869561999</v>
      </c>
      <c r="AI275">
        <v>84.013079481373794</v>
      </c>
      <c r="AJ275">
        <v>67.898859092559306</v>
      </c>
      <c r="AK275">
        <v>152.714194197273</v>
      </c>
    </row>
    <row r="276" spans="1:37" x14ac:dyDescent="0.2">
      <c r="A276" t="str">
        <f>"20200111160100771"</f>
        <v>20200111160100771</v>
      </c>
      <c r="B276" t="str">
        <f>"1578729660759212"</f>
        <v>1578729660759212</v>
      </c>
      <c r="C276" t="s">
        <v>37</v>
      </c>
      <c r="D276">
        <v>5.0031429999999997</v>
      </c>
      <c r="E276">
        <v>0.52829519999999996</v>
      </c>
      <c r="F276" t="s">
        <v>42</v>
      </c>
      <c r="G276">
        <v>-408.34449999999998</v>
      </c>
      <c r="H276">
        <v>1.132374</v>
      </c>
      <c r="I276">
        <v>367.84989999999999</v>
      </c>
      <c r="J276">
        <v>-408.77850000000001</v>
      </c>
      <c r="K276">
        <v>1.0552330000000001</v>
      </c>
      <c r="L276">
        <v>368.12709999999998</v>
      </c>
      <c r="M276">
        <v>0.99977059999999995</v>
      </c>
      <c r="N276">
        <v>0</v>
      </c>
      <c r="O276">
        <v>1.5615530000000001E-2</v>
      </c>
      <c r="P276">
        <v>0.99763069999999898</v>
      </c>
      <c r="Q276">
        <v>4.4701620000000002E-4</v>
      </c>
      <c r="R276">
        <v>6.8798289999999998E-2</v>
      </c>
      <c r="S276">
        <v>3.086487</v>
      </c>
      <c r="T276">
        <v>0.33834419999999998</v>
      </c>
      <c r="U276">
        <v>-1.1916500000000001</v>
      </c>
      <c r="V276">
        <v>-5.3235169999999998E-2</v>
      </c>
      <c r="W276">
        <v>1.5005330000000001E-2</v>
      </c>
      <c r="X276">
        <v>0.99846919999999995</v>
      </c>
      <c r="Y276">
        <v>0.37267119999999998</v>
      </c>
      <c r="Z276">
        <v>2.1313240000000001E-2</v>
      </c>
      <c r="AA276">
        <v>0.92771870000000001</v>
      </c>
      <c r="AB276">
        <v>28</v>
      </c>
      <c r="AC276">
        <v>0.43400000000002498</v>
      </c>
      <c r="AD276">
        <v>7.7140999999999904E-2</v>
      </c>
      <c r="AE276">
        <v>-0.27719999999999301</v>
      </c>
      <c r="AF276">
        <v>0.27771246744454903</v>
      </c>
      <c r="AG276">
        <v>7.7140999999999904E-2</v>
      </c>
      <c r="AH276">
        <v>0.420189345242035</v>
      </c>
      <c r="AI276">
        <v>81.292365530141595</v>
      </c>
      <c r="AJ276">
        <v>56.538398694438101</v>
      </c>
      <c r="AK276">
        <v>0.50954296610793304</v>
      </c>
    </row>
    <row r="277" spans="1:37" x14ac:dyDescent="0.2">
      <c r="A277" t="str">
        <f>"20200111160100793"</f>
        <v>20200111160100793</v>
      </c>
      <c r="B277" t="str">
        <f>"1578729660789469"</f>
        <v>1578729660789469</v>
      </c>
      <c r="C277" t="s">
        <v>37</v>
      </c>
      <c r="D277">
        <v>5.0280079999999998</v>
      </c>
      <c r="E277">
        <v>0.52354209999999901</v>
      </c>
      <c r="F277" t="s">
        <v>38</v>
      </c>
      <c r="G277">
        <v>-384.53460000000001</v>
      </c>
      <c r="H277" s="1">
        <v>-2.6069599999999902E-6</v>
      </c>
      <c r="I277">
        <v>368.0378</v>
      </c>
      <c r="J277">
        <v>-408.51409999999998</v>
      </c>
      <c r="K277">
        <v>1.0552820000000001</v>
      </c>
      <c r="L277">
        <v>368.13249999999999</v>
      </c>
      <c r="M277">
        <v>0.99975720000000001</v>
      </c>
      <c r="N277">
        <v>0</v>
      </c>
      <c r="O277">
        <v>1.6708259999999999E-2</v>
      </c>
      <c r="P277">
        <v>0.99752649999999998</v>
      </c>
      <c r="Q277">
        <v>3.3164579999999999E-4</v>
      </c>
      <c r="R277">
        <v>7.0291599999999996E-2</v>
      </c>
      <c r="S277">
        <v>3.007965</v>
      </c>
      <c r="T277">
        <v>-0.1309237</v>
      </c>
      <c r="U277">
        <v>-1.107788E-2</v>
      </c>
      <c r="V277">
        <v>-5.364211E-2</v>
      </c>
      <c r="W277">
        <v>1.457432E-2</v>
      </c>
      <c r="X277">
        <v>0.99845390000000001</v>
      </c>
      <c r="Y277">
        <v>2.0357090000000001E-2</v>
      </c>
      <c r="Z277">
        <v>-1.169764E-3</v>
      </c>
      <c r="AA277">
        <v>0.99979209999999996</v>
      </c>
      <c r="AB277">
        <v>28</v>
      </c>
      <c r="AC277">
        <v>23.979499999999899</v>
      </c>
      <c r="AD277">
        <v>-1.0552846069599999</v>
      </c>
      <c r="AE277">
        <v>-9.4699999999988904E-2</v>
      </c>
      <c r="AF277">
        <v>0.49442631456279701</v>
      </c>
      <c r="AG277">
        <v>-1.0552846069599999</v>
      </c>
      <c r="AH277">
        <v>23.928228793914101</v>
      </c>
      <c r="AI277">
        <v>92.524688379816894</v>
      </c>
      <c r="AJ277">
        <v>88.816272164945701</v>
      </c>
      <c r="AK277">
        <v>23.956590245611299</v>
      </c>
    </row>
    <row r="278" spans="1:37" x14ac:dyDescent="0.2">
      <c r="A278" t="str">
        <f>"20200111160100826"</f>
        <v>20200111160100826</v>
      </c>
      <c r="B278" t="str">
        <f>"1578729660819725"</f>
        <v>1578729660819725</v>
      </c>
      <c r="C278" t="s">
        <v>37</v>
      </c>
      <c r="D278">
        <v>4.9737519999999904</v>
      </c>
      <c r="E278">
        <v>0.52202919999999997</v>
      </c>
      <c r="F278" t="s">
        <v>38</v>
      </c>
      <c r="G278">
        <v>-384.73039999999997</v>
      </c>
      <c r="H278" s="1">
        <v>-2.4622649999999998E-6</v>
      </c>
      <c r="I278">
        <v>368.38</v>
      </c>
      <c r="J278">
        <v>-408.09609999999998</v>
      </c>
      <c r="K278">
        <v>1.055302</v>
      </c>
      <c r="L278">
        <v>368.14170000000001</v>
      </c>
      <c r="M278">
        <v>0.99973069999999897</v>
      </c>
      <c r="N278">
        <v>0</v>
      </c>
      <c r="O278">
        <v>1.8659249999999999E-2</v>
      </c>
      <c r="P278">
        <v>0.99741489999999999</v>
      </c>
      <c r="Q278">
        <v>1.2154519999999999E-3</v>
      </c>
      <c r="R278">
        <v>7.1846969999999996E-2</v>
      </c>
      <c r="S278">
        <v>3.00528</v>
      </c>
      <c r="T278">
        <v>-0.13334409999999999</v>
      </c>
      <c r="U278">
        <v>3.1280519999999999E-2</v>
      </c>
      <c r="V278">
        <v>-5.325527E-2</v>
      </c>
      <c r="W278">
        <v>1.487373E-2</v>
      </c>
      <c r="X278">
        <v>0.99847009999999903</v>
      </c>
      <c r="Y278">
        <v>8.2274189999999997E-3</v>
      </c>
      <c r="Z278">
        <v>-1.0099339999999899E-3</v>
      </c>
      <c r="AA278">
        <v>0.99996569999999996</v>
      </c>
      <c r="AB278">
        <v>28</v>
      </c>
      <c r="AC278">
        <v>23.3657</v>
      </c>
      <c r="AD278">
        <v>-1.0553044622650001</v>
      </c>
      <c r="AE278">
        <v>0.238299999999981</v>
      </c>
      <c r="AF278">
        <v>0.197366879790695</v>
      </c>
      <c r="AG278">
        <v>-1.0553044622650001</v>
      </c>
      <c r="AH278">
        <v>23.318516904482902</v>
      </c>
      <c r="AI278">
        <v>92.591121128677401</v>
      </c>
      <c r="AJ278">
        <v>89.515062675333397</v>
      </c>
      <c r="AK278">
        <v>23.343218540252099</v>
      </c>
    </row>
    <row r="279" spans="1:37" x14ac:dyDescent="0.2">
      <c r="A279" t="str">
        <f>"20200111160100850"</f>
        <v>20200111160100850</v>
      </c>
      <c r="B279" t="str">
        <f>"1578729660839702"</f>
        <v>1578729660839702</v>
      </c>
      <c r="C279" t="s">
        <v>37</v>
      </c>
      <c r="D279">
        <v>5.0584920000000002</v>
      </c>
      <c r="E279">
        <v>0.52143909999999905</v>
      </c>
      <c r="F279" t="s">
        <v>38</v>
      </c>
      <c r="G279">
        <v>-383.14150000000001</v>
      </c>
      <c r="H279" s="1">
        <v>-3.1159760000000001E-6</v>
      </c>
      <c r="I279">
        <v>368.53730000000002</v>
      </c>
      <c r="J279">
        <v>-407.80959999999999</v>
      </c>
      <c r="K279">
        <v>1.0552709999999901</v>
      </c>
      <c r="L279">
        <v>368.14859999999999</v>
      </c>
      <c r="M279">
        <v>0.99970890000000001</v>
      </c>
      <c r="N279">
        <v>0</v>
      </c>
      <c r="O279">
        <v>2.0108870000000001E-2</v>
      </c>
      <c r="P279">
        <v>0.99728909999999904</v>
      </c>
      <c r="Q279">
        <v>7.1106659999999999E-4</v>
      </c>
      <c r="R279">
        <v>7.3581720000000003E-2</v>
      </c>
      <c r="S279">
        <v>3.0045169999999999</v>
      </c>
      <c r="T279">
        <v>-0.1270578</v>
      </c>
      <c r="U279">
        <v>4.7637939999999997E-2</v>
      </c>
      <c r="V279">
        <v>-5.3543590000000002E-2</v>
      </c>
      <c r="W279">
        <v>1.390252E-2</v>
      </c>
      <c r="X279">
        <v>0.99846880000000005</v>
      </c>
      <c r="Y279">
        <v>4.2361359999999997E-3</v>
      </c>
      <c r="Z279">
        <v>-9.3947330000000002E-4</v>
      </c>
      <c r="AA279">
        <v>0.99999059999999995</v>
      </c>
      <c r="AB279">
        <v>28</v>
      </c>
      <c r="AC279">
        <v>24.6680999999999</v>
      </c>
      <c r="AD279">
        <v>-1.05527411597599</v>
      </c>
      <c r="AE279">
        <v>0.38870000000002802</v>
      </c>
      <c r="AF279">
        <v>0.107274051953998</v>
      </c>
      <c r="AG279">
        <v>-1.05527411597599</v>
      </c>
      <c r="AH279">
        <v>24.625873143113299</v>
      </c>
      <c r="AI279">
        <v>92.453728697089602</v>
      </c>
      <c r="AJ279">
        <v>89.7504124416173</v>
      </c>
      <c r="AK279">
        <v>24.648706644422202</v>
      </c>
    </row>
    <row r="280" spans="1:37" x14ac:dyDescent="0.2">
      <c r="A280" t="str">
        <f>"20200111160100872"</f>
        <v>20200111160100872</v>
      </c>
      <c r="B280" t="str">
        <f>"1578729660869940"</f>
        <v>1578729660869940</v>
      </c>
      <c r="C280" t="s">
        <v>37</v>
      </c>
      <c r="D280">
        <v>4.986764</v>
      </c>
      <c r="E280">
        <v>0.52095449999999999</v>
      </c>
      <c r="F280" t="s">
        <v>38</v>
      </c>
      <c r="G280">
        <v>-383.05149999999998</v>
      </c>
      <c r="H280" s="1">
        <v>-3.1397639999999998E-6</v>
      </c>
      <c r="I280">
        <v>368.62079999999997</v>
      </c>
      <c r="J280">
        <v>-407.53859999999997</v>
      </c>
      <c r="K280">
        <v>1.0552189999999999</v>
      </c>
      <c r="L280">
        <v>368.15550000000002</v>
      </c>
      <c r="M280">
        <v>0.99968559999999995</v>
      </c>
      <c r="N280">
        <v>0</v>
      </c>
      <c r="O280">
        <v>2.1524450000000001E-2</v>
      </c>
      <c r="P280">
        <v>0.99711510000000003</v>
      </c>
      <c r="Q280">
        <v>-5.1644069999999998E-4</v>
      </c>
      <c r="R280">
        <v>7.5904659999999999E-2</v>
      </c>
      <c r="S280">
        <v>3.0040279999999999</v>
      </c>
      <c r="T280">
        <v>-0.12804180000000001</v>
      </c>
      <c r="U280">
        <v>5.7312009999999997E-2</v>
      </c>
      <c r="V280">
        <v>-5.4453199999999903E-2</v>
      </c>
      <c r="W280">
        <v>1.2188910000000001E-2</v>
      </c>
      <c r="X280">
        <v>0.99844189999999999</v>
      </c>
      <c r="Y280">
        <v>2.4300799999999998E-3</v>
      </c>
      <c r="Z280">
        <v>-9.6868149999999897E-4</v>
      </c>
      <c r="AA280">
        <v>0.99999660000000001</v>
      </c>
      <c r="AB280">
        <v>28</v>
      </c>
      <c r="AC280">
        <v>24.487100000000002</v>
      </c>
      <c r="AD280">
        <v>-1.055222139764</v>
      </c>
      <c r="AE280">
        <v>0.46529999999995603</v>
      </c>
      <c r="AF280">
        <v>6.1808034712001303E-2</v>
      </c>
      <c r="AG280">
        <v>-1.055222139764</v>
      </c>
      <c r="AH280">
        <v>24.446062023915498</v>
      </c>
      <c r="AI280">
        <v>92.471648545215501</v>
      </c>
      <c r="AJ280">
        <v>89.855136914095397</v>
      </c>
      <c r="AK280">
        <v>24.468903990054901</v>
      </c>
    </row>
    <row r="281" spans="1:37" x14ac:dyDescent="0.2">
      <c r="A281" t="str">
        <f>"20200111160100894"</f>
        <v>20200111160100894</v>
      </c>
      <c r="B281" t="str">
        <f>"1578729660889459"</f>
        <v>1578729660889459</v>
      </c>
      <c r="C281" t="s">
        <v>37</v>
      </c>
      <c r="D281">
        <v>5.0131239999999897</v>
      </c>
      <c r="E281">
        <v>0.52099319999999905</v>
      </c>
      <c r="F281" t="s">
        <v>38</v>
      </c>
      <c r="G281">
        <v>-383.22949999999997</v>
      </c>
      <c r="H281" s="1">
        <v>-3.0481230000000001E-6</v>
      </c>
      <c r="I281">
        <v>368.70699999999999</v>
      </c>
      <c r="J281">
        <v>-407.26589999999999</v>
      </c>
      <c r="K281">
        <v>1.0551569999999999</v>
      </c>
      <c r="L281">
        <v>368.16289999999998</v>
      </c>
      <c r="M281">
        <v>0.99965999999999999</v>
      </c>
      <c r="N281">
        <v>0</v>
      </c>
      <c r="O281">
        <v>2.296082E-2</v>
      </c>
      <c r="P281">
        <v>0.99691430000000003</v>
      </c>
      <c r="Q281">
        <v>-2.0420629999999898E-3</v>
      </c>
      <c r="R281">
        <v>7.8471360000000004E-2</v>
      </c>
      <c r="S281">
        <v>3.003387</v>
      </c>
      <c r="T281">
        <v>-0.1303724</v>
      </c>
      <c r="U281">
        <v>6.8145750000000005E-2</v>
      </c>
      <c r="V281">
        <v>-5.5584189999999999E-2</v>
      </c>
      <c r="W281">
        <v>1.016153E-2</v>
      </c>
      <c r="X281">
        <v>0.99840229999999996</v>
      </c>
      <c r="Y281">
        <v>2.5701089999999999E-4</v>
      </c>
      <c r="Z281">
        <v>-1.001617E-3</v>
      </c>
      <c r="AA281">
        <v>0.99999950000000004</v>
      </c>
      <c r="AB281">
        <v>28</v>
      </c>
      <c r="AC281">
        <v>24.0364</v>
      </c>
      <c r="AD281">
        <v>-1.0551600481229999</v>
      </c>
      <c r="AE281">
        <v>0.54410000000001402</v>
      </c>
      <c r="AF281">
        <v>7.9657145258351606E-3</v>
      </c>
      <c r="AG281">
        <v>-1.0551600481229999</v>
      </c>
      <c r="AH281">
        <v>23.996337172028099</v>
      </c>
      <c r="AI281">
        <v>92.517771549316294</v>
      </c>
      <c r="AJ281">
        <v>89.9809803553308</v>
      </c>
      <c r="AK281">
        <v>24.019525887357201</v>
      </c>
    </row>
    <row r="282" spans="1:37" x14ac:dyDescent="0.2">
      <c r="A282" t="str">
        <f>"20200111160100916"</f>
        <v>20200111160100916</v>
      </c>
      <c r="B282" t="str">
        <f>"1578729660909955"</f>
        <v>1578729660909955</v>
      </c>
      <c r="C282" t="s">
        <v>37</v>
      </c>
      <c r="D282">
        <v>5.0226040000000003</v>
      </c>
      <c r="E282">
        <v>0.5207775</v>
      </c>
      <c r="F282" t="s">
        <v>38</v>
      </c>
      <c r="G282">
        <v>-383.5539</v>
      </c>
      <c r="H282" s="1">
        <v>-2.8998000000000002E-6</v>
      </c>
      <c r="I282">
        <v>368.75850000000003</v>
      </c>
      <c r="J282">
        <v>-406.9846</v>
      </c>
      <c r="K282">
        <v>1.055094</v>
      </c>
      <c r="L282">
        <v>368.17090000000002</v>
      </c>
      <c r="M282">
        <v>0.9996313</v>
      </c>
      <c r="N282">
        <v>0</v>
      </c>
      <c r="O282">
        <v>2.443331E-2</v>
      </c>
      <c r="P282">
        <v>0.99675999999999998</v>
      </c>
      <c r="Q282">
        <v>-2.2878389999999998E-3</v>
      </c>
      <c r="R282">
        <v>8.0399890000000002E-2</v>
      </c>
      <c r="S282">
        <v>3.0030519999999998</v>
      </c>
      <c r="T282">
        <v>-0.1336328</v>
      </c>
      <c r="U282">
        <v>7.5439450000000005E-2</v>
      </c>
      <c r="V282">
        <v>-5.6043540000000003E-2</v>
      </c>
      <c r="W282">
        <v>9.4014839999999999E-3</v>
      </c>
      <c r="X282">
        <v>0.9983841</v>
      </c>
      <c r="Y282">
        <v>-7.0165309999999895E-4</v>
      </c>
      <c r="Z282">
        <v>-1.0708600000000001E-3</v>
      </c>
      <c r="AA282">
        <v>0.99999919999999998</v>
      </c>
      <c r="AB282">
        <v>28</v>
      </c>
      <c r="AC282">
        <v>23.430700000000002</v>
      </c>
      <c r="AD282">
        <v>-1.0550968998000001</v>
      </c>
      <c r="AE282">
        <v>0.587600000000009</v>
      </c>
      <c r="AF282">
        <v>-1.4864717036272001E-2</v>
      </c>
      <c r="AG282">
        <v>-1.0550968998000001</v>
      </c>
      <c r="AH282">
        <v>23.390661510677798</v>
      </c>
      <c r="AI282">
        <v>92.582724571773099</v>
      </c>
      <c r="AJ282">
        <v>90.036411344535594</v>
      </c>
      <c r="AK282">
        <v>23.4144505879358</v>
      </c>
    </row>
    <row r="283" spans="1:37" x14ac:dyDescent="0.2">
      <c r="A283" t="str">
        <f>"20200111160100938"</f>
        <v>20200111160100938</v>
      </c>
      <c r="B283" t="str">
        <f>"1578729660929475"</f>
        <v>1578729660929475</v>
      </c>
      <c r="C283" t="s">
        <v>37</v>
      </c>
      <c r="D283">
        <v>5.0668699999999998</v>
      </c>
      <c r="E283">
        <v>0.52111249999999998</v>
      </c>
      <c r="F283" t="s">
        <v>38</v>
      </c>
      <c r="G283">
        <v>-383.41</v>
      </c>
      <c r="H283" s="1">
        <v>-2.9499700000000002E-6</v>
      </c>
      <c r="I283">
        <v>368.82369999999997</v>
      </c>
      <c r="J283">
        <v>-406.70229999999998</v>
      </c>
      <c r="K283">
        <v>1.0550349999999999</v>
      </c>
      <c r="L283">
        <v>368.17930000000001</v>
      </c>
      <c r="M283">
        <v>0.99960079999999996</v>
      </c>
      <c r="N283">
        <v>0</v>
      </c>
      <c r="O283">
        <v>2.5884919999999999E-2</v>
      </c>
      <c r="P283">
        <v>0.99664759999999997</v>
      </c>
      <c r="Q283">
        <v>-2.1363699999999998E-3</v>
      </c>
      <c r="R283">
        <v>8.1788840000000002E-2</v>
      </c>
      <c r="S283">
        <v>3.002777</v>
      </c>
      <c r="T283">
        <v>-0.13439119999999999</v>
      </c>
      <c r="U283">
        <v>8.3160399999999995E-2</v>
      </c>
      <c r="V283">
        <v>-5.5984220000000001E-2</v>
      </c>
      <c r="W283">
        <v>9.0457809999999993E-3</v>
      </c>
      <c r="X283">
        <v>0.99839069999999996</v>
      </c>
      <c r="Y283">
        <v>-1.822017E-3</v>
      </c>
      <c r="Z283">
        <v>-1.116824E-3</v>
      </c>
      <c r="AA283">
        <v>0.99999769999999899</v>
      </c>
      <c r="AB283">
        <v>28</v>
      </c>
      <c r="AC283">
        <v>23.292299999999901</v>
      </c>
      <c r="AD283">
        <v>-1.05503794997</v>
      </c>
      <c r="AE283">
        <v>0.644399999999961</v>
      </c>
      <c r="AF283">
        <v>-4.1141730862161302E-2</v>
      </c>
      <c r="AG283">
        <v>-1.05503794997</v>
      </c>
      <c r="AH283">
        <v>23.253503288432999</v>
      </c>
      <c r="AI283">
        <v>92.597789188793797</v>
      </c>
      <c r="AJ283">
        <v>90.101371610607899</v>
      </c>
      <c r="AK283">
        <v>23.277461478929698</v>
      </c>
    </row>
    <row r="284" spans="1:37" x14ac:dyDescent="0.2">
      <c r="A284" t="str">
        <f>"20200111160100961"</f>
        <v>20200111160100961</v>
      </c>
      <c r="B284" t="str">
        <f>"1578729660949506"</f>
        <v>1578729660949506</v>
      </c>
      <c r="C284" t="s">
        <v>37</v>
      </c>
      <c r="D284">
        <v>5.0776250000000003</v>
      </c>
      <c r="E284">
        <v>0.52136899999999997</v>
      </c>
      <c r="F284" t="s">
        <v>38</v>
      </c>
      <c r="G284">
        <v>-382.62369999999999</v>
      </c>
      <c r="H284" s="1">
        <v>-3.280922E-6</v>
      </c>
      <c r="I284">
        <v>368.8596</v>
      </c>
      <c r="J284">
        <v>-406.42790000000002</v>
      </c>
      <c r="K284">
        <v>1.05497</v>
      </c>
      <c r="L284">
        <v>368.18790000000001</v>
      </c>
      <c r="M284">
        <v>0.99956939999999905</v>
      </c>
      <c r="N284">
        <v>0</v>
      </c>
      <c r="O284">
        <v>2.7263430000000002E-2</v>
      </c>
      <c r="P284">
        <v>0.99658409999999997</v>
      </c>
      <c r="Q284">
        <v>-1.469752E-3</v>
      </c>
      <c r="R284">
        <v>8.2571829999999999E-2</v>
      </c>
      <c r="S284">
        <v>3.0028380000000001</v>
      </c>
      <c r="T284">
        <v>-0.13157360000000001</v>
      </c>
      <c r="U284">
        <v>8.4838869999999997E-2</v>
      </c>
      <c r="V284">
        <v>-5.5391870000000003E-2</v>
      </c>
      <c r="W284">
        <v>9.2331689999999994E-3</v>
      </c>
      <c r="X284">
        <v>0.99842199999999903</v>
      </c>
      <c r="Y284">
        <v>-1.0021330000000001E-3</v>
      </c>
      <c r="Z284">
        <v>-1.17168E-3</v>
      </c>
      <c r="AA284">
        <v>0.99999879999999997</v>
      </c>
      <c r="AB284">
        <v>28</v>
      </c>
      <c r="AC284">
        <v>23.804200000000002</v>
      </c>
      <c r="AD284">
        <v>-1.054973280922</v>
      </c>
      <c r="AE284">
        <v>0.67169999999998697</v>
      </c>
      <c r="AF284">
        <v>-2.23840150273787E-2</v>
      </c>
      <c r="AG284">
        <v>-1.054973280922</v>
      </c>
      <c r="AH284">
        <v>23.767019502749001</v>
      </c>
      <c r="AI284">
        <v>92.541582376218201</v>
      </c>
      <c r="AJ284">
        <v>90.053961718265896</v>
      </c>
      <c r="AK284">
        <v>23.790432650787199</v>
      </c>
    </row>
    <row r="285" spans="1:37" x14ac:dyDescent="0.2">
      <c r="A285" t="str">
        <f>"20200111160100982"</f>
        <v>20200111160100982</v>
      </c>
      <c r="B285" t="str">
        <f>"1578729660979762"</f>
        <v>1578729660979762</v>
      </c>
      <c r="C285" t="s">
        <v>37</v>
      </c>
      <c r="D285">
        <v>5.1158830000000002</v>
      </c>
      <c r="E285">
        <v>0.52148470000000002</v>
      </c>
      <c r="F285" t="s">
        <v>38</v>
      </c>
      <c r="G285">
        <v>-381.65530000000001</v>
      </c>
      <c r="H285" s="1">
        <v>-3.691395E-6</v>
      </c>
      <c r="I285">
        <v>368.8877</v>
      </c>
      <c r="J285">
        <v>-406.15710000000001</v>
      </c>
      <c r="K285">
        <v>1.0549010000000001</v>
      </c>
      <c r="L285">
        <v>368.19659999999999</v>
      </c>
      <c r="M285">
        <v>0.99953740000000002</v>
      </c>
      <c r="N285">
        <v>0</v>
      </c>
      <c r="O285">
        <v>2.8586810000000001E-2</v>
      </c>
      <c r="P285">
        <v>0.99654449999999895</v>
      </c>
      <c r="Q285">
        <v>-1.3577729999999901E-3</v>
      </c>
      <c r="R285">
        <v>8.3050470000000001E-2</v>
      </c>
      <c r="S285">
        <v>3.0030209999999999</v>
      </c>
      <c r="T285">
        <v>-0.12788749999999999</v>
      </c>
      <c r="U285">
        <v>8.4838869999999997E-2</v>
      </c>
      <c r="V285">
        <v>-5.4548409999999999E-2</v>
      </c>
      <c r="W285">
        <v>8.8908140000000004E-3</v>
      </c>
      <c r="X285">
        <v>0.99847160000000001</v>
      </c>
      <c r="Y285">
        <v>3.224088E-4</v>
      </c>
      <c r="Z285">
        <v>-1.223291E-3</v>
      </c>
      <c r="AA285">
        <v>0.99999919999999998</v>
      </c>
      <c r="AB285">
        <v>28</v>
      </c>
      <c r="AC285">
        <v>24.501799999999999</v>
      </c>
      <c r="AD285">
        <v>-1.054904691395</v>
      </c>
      <c r="AE285">
        <v>0.69110000000000504</v>
      </c>
      <c r="AF285">
        <v>9.6306862500654695E-3</v>
      </c>
      <c r="AG285">
        <v>-1.054904691395</v>
      </c>
      <c r="AH285">
        <v>24.466226724328301</v>
      </c>
      <c r="AI285">
        <v>92.468879634435197</v>
      </c>
      <c r="AJ285">
        <v>89.977446557098403</v>
      </c>
      <c r="AK285">
        <v>24.488960100099799</v>
      </c>
    </row>
    <row r="286" spans="1:37" x14ac:dyDescent="0.2">
      <c r="A286" t="str">
        <f>"20200111160101005"</f>
        <v>20200111160101005</v>
      </c>
      <c r="B286" t="str">
        <f>"1578729660999283"</f>
        <v>1578729660999283</v>
      </c>
      <c r="C286" t="s">
        <v>37</v>
      </c>
      <c r="D286">
        <v>5.0480739999999997</v>
      </c>
      <c r="E286">
        <v>0.52154009999999995</v>
      </c>
      <c r="F286" t="s">
        <v>38</v>
      </c>
      <c r="G286">
        <v>-381.01799999999997</v>
      </c>
      <c r="H286" s="1">
        <v>-3.9608490000000001E-6</v>
      </c>
      <c r="I286">
        <v>368.9101</v>
      </c>
      <c r="J286">
        <v>-405.87490000000003</v>
      </c>
      <c r="K286">
        <v>1.05484</v>
      </c>
      <c r="L286">
        <v>368.20609999999999</v>
      </c>
      <c r="M286">
        <v>0.99950280000000002</v>
      </c>
      <c r="N286">
        <v>0</v>
      </c>
      <c r="O286">
        <v>2.992506E-2</v>
      </c>
      <c r="P286">
        <v>0.99650319999999903</v>
      </c>
      <c r="Q286">
        <v>-1.165176E-3</v>
      </c>
      <c r="R286">
        <v>8.3547549999999998E-2</v>
      </c>
      <c r="S286">
        <v>3.0031430000000001</v>
      </c>
      <c r="T286">
        <v>-0.12601969999999901</v>
      </c>
      <c r="U286">
        <v>8.5235599999999995E-2</v>
      </c>
      <c r="V286">
        <v>-5.3709140000000002E-2</v>
      </c>
      <c r="W286">
        <v>8.6333319999999901E-3</v>
      </c>
      <c r="X286">
        <v>0.9985193</v>
      </c>
      <c r="Y286">
        <v>1.5288489999999899E-3</v>
      </c>
      <c r="Z286">
        <v>-1.2867739999999901E-3</v>
      </c>
      <c r="AA286">
        <v>0.99999799999999905</v>
      </c>
      <c r="AB286">
        <v>28</v>
      </c>
      <c r="AC286">
        <v>24.8569</v>
      </c>
      <c r="AD286">
        <v>-1.0548439608489999</v>
      </c>
      <c r="AE286">
        <v>0.70400000000000695</v>
      </c>
      <c r="AF286">
        <v>4.0124035032394902E-2</v>
      </c>
      <c r="AG286">
        <v>-1.0548439608489999</v>
      </c>
      <c r="AH286">
        <v>24.8221692117054</v>
      </c>
      <c r="AI286">
        <v>92.4333765932586</v>
      </c>
      <c r="AJ286">
        <v>89.907383764792797</v>
      </c>
      <c r="AK286">
        <v>24.8446048488291</v>
      </c>
    </row>
    <row r="287" spans="1:37" x14ac:dyDescent="0.2">
      <c r="A287" t="str">
        <f>"20200111160101028"</f>
        <v>20200111160101028</v>
      </c>
      <c r="B287" t="str">
        <f>"1578729661019778"</f>
        <v>1578729661019778</v>
      </c>
      <c r="C287" t="s">
        <v>37</v>
      </c>
      <c r="D287">
        <v>4.9912489999999998</v>
      </c>
      <c r="E287">
        <v>0.52150509999999906</v>
      </c>
      <c r="F287" t="s">
        <v>38</v>
      </c>
      <c r="G287">
        <v>-380.83980000000003</v>
      </c>
      <c r="H287" s="1">
        <v>-4.0345759999999996E-6</v>
      </c>
      <c r="I287">
        <v>368.92520000000002</v>
      </c>
      <c r="J287">
        <v>-405.57499999999999</v>
      </c>
      <c r="K287">
        <v>1.0547850000000001</v>
      </c>
      <c r="L287">
        <v>368.21640000000002</v>
      </c>
      <c r="M287">
        <v>0.99946499999999905</v>
      </c>
      <c r="N287">
        <v>0</v>
      </c>
      <c r="O287">
        <v>3.1300219999999997E-2</v>
      </c>
      <c r="P287">
        <v>0.99644489999999997</v>
      </c>
      <c r="Q287">
        <v>8.2472709999999996E-4</v>
      </c>
      <c r="R287">
        <v>8.4244299999999994E-2</v>
      </c>
      <c r="S287">
        <v>3.003174</v>
      </c>
      <c r="T287">
        <v>-0.1265376</v>
      </c>
      <c r="U287">
        <v>8.627319E-2</v>
      </c>
      <c r="V287">
        <v>-5.3036529999999998E-2</v>
      </c>
      <c r="W287">
        <v>1.017679E-2</v>
      </c>
      <c r="X287">
        <v>0.99854069999999995</v>
      </c>
      <c r="Y287">
        <v>2.5572910000000002E-3</v>
      </c>
      <c r="Z287">
        <v>-1.3715559999999999E-3</v>
      </c>
      <c r="AA287">
        <v>0.99999579999999999</v>
      </c>
      <c r="AB287">
        <v>28</v>
      </c>
      <c r="AC287">
        <v>24.735199999999899</v>
      </c>
      <c r="AD287">
        <v>-1.054789034576</v>
      </c>
      <c r="AE287">
        <v>0.70879999999999599</v>
      </c>
      <c r="AF287">
        <v>6.5680033523356204E-2</v>
      </c>
      <c r="AG287">
        <v>-1.054789034576</v>
      </c>
      <c r="AH287">
        <v>24.700386488040699</v>
      </c>
      <c r="AI287">
        <v>92.445226958730501</v>
      </c>
      <c r="AJ287">
        <v>89.847646924406106</v>
      </c>
      <c r="AK287">
        <v>24.722984982255799</v>
      </c>
    </row>
    <row r="288" spans="1:37" x14ac:dyDescent="0.2">
      <c r="A288" t="str">
        <f>"20200111160101051"</f>
        <v>20200111160101051</v>
      </c>
      <c r="B288" t="str">
        <f>"1578729661039297"</f>
        <v>1578729661039297</v>
      </c>
      <c r="C288" t="s">
        <v>37</v>
      </c>
      <c r="D288">
        <v>5.0042499999999999</v>
      </c>
      <c r="E288">
        <v>0.52161290000000005</v>
      </c>
      <c r="F288" t="s">
        <v>38</v>
      </c>
      <c r="G288">
        <v>-379.41419999999999</v>
      </c>
      <c r="H288" s="1">
        <v>-3.5250709999999999E-7</v>
      </c>
      <c r="I288">
        <v>368.98829999999998</v>
      </c>
      <c r="J288">
        <v>-405.28879999999998</v>
      </c>
      <c r="K288">
        <v>1.054746</v>
      </c>
      <c r="L288">
        <v>368.22669999999999</v>
      </c>
      <c r="M288">
        <v>0.99942839999999999</v>
      </c>
      <c r="N288">
        <v>0</v>
      </c>
      <c r="O288">
        <v>3.2564950000000002E-2</v>
      </c>
      <c r="P288">
        <v>0.9964075</v>
      </c>
      <c r="Q288">
        <v>2.2666879999999898E-3</v>
      </c>
      <c r="R288">
        <v>8.4658919999999999E-2</v>
      </c>
      <c r="S288">
        <v>3.0032649999999999</v>
      </c>
      <c r="T288">
        <v>-0.1210894</v>
      </c>
      <c r="U288">
        <v>8.8623049999999995E-2</v>
      </c>
      <c r="V288">
        <v>-5.2190769999999997E-2</v>
      </c>
      <c r="W288">
        <v>1.1229100000000001E-2</v>
      </c>
      <c r="X288">
        <v>0.99857399999999996</v>
      </c>
      <c r="Y288">
        <v>3.0428209999999998E-3</v>
      </c>
      <c r="Z288">
        <v>-1.373202E-3</v>
      </c>
      <c r="AA288">
        <v>0.99999450000000001</v>
      </c>
      <c r="AB288">
        <v>28</v>
      </c>
      <c r="AC288">
        <v>25.874599999999901</v>
      </c>
      <c r="AD288">
        <v>-1.0547463525070999</v>
      </c>
      <c r="AE288">
        <v>0.76159999999998695</v>
      </c>
      <c r="AF288">
        <v>8.1308748674387393E-2</v>
      </c>
      <c r="AG288">
        <v>-1.0547463525070999</v>
      </c>
      <c r="AH288">
        <v>25.8427726386724</v>
      </c>
      <c r="AI288">
        <v>92.337159963812397</v>
      </c>
      <c r="AJ288">
        <v>89.819731697151994</v>
      </c>
      <c r="AK288">
        <v>25.864415683228799</v>
      </c>
    </row>
    <row r="289" spans="1:37" x14ac:dyDescent="0.2">
      <c r="A289" t="str">
        <f>"20200111160101072"</f>
        <v>20200111160101072</v>
      </c>
      <c r="B289" t="str">
        <f>"1578729661069554"</f>
        <v>1578729661069554</v>
      </c>
      <c r="C289" t="s">
        <v>37</v>
      </c>
      <c r="D289">
        <v>4.910863</v>
      </c>
      <c r="E289">
        <v>0.52172029999999903</v>
      </c>
      <c r="F289" t="s">
        <v>38</v>
      </c>
      <c r="G289">
        <v>-378.21800000000002</v>
      </c>
      <c r="H289" s="1">
        <v>-8.5109669999999998E-7</v>
      </c>
      <c r="I289">
        <v>369.02809999999999</v>
      </c>
      <c r="J289">
        <v>-405.01280000000003</v>
      </c>
      <c r="K289">
        <v>1.0547059999999999</v>
      </c>
      <c r="L289">
        <v>368.23689999999999</v>
      </c>
      <c r="M289">
        <v>0.99939230000000001</v>
      </c>
      <c r="N289">
        <v>0</v>
      </c>
      <c r="O289">
        <v>3.3743780000000001E-2</v>
      </c>
      <c r="P289">
        <v>0.99636800000000003</v>
      </c>
      <c r="Q289">
        <v>3.7385320000000001E-3</v>
      </c>
      <c r="R289">
        <v>8.5070129999999994E-2</v>
      </c>
      <c r="S289">
        <v>3.003479</v>
      </c>
      <c r="T289">
        <v>-0.1170229</v>
      </c>
      <c r="U289">
        <v>8.8928220000000002E-2</v>
      </c>
      <c r="V289">
        <v>-5.142679E-2</v>
      </c>
      <c r="W289">
        <v>1.2357699999999999E-2</v>
      </c>
      <c r="X289">
        <v>0.9986003</v>
      </c>
      <c r="Y289">
        <v>4.1230090000000004E-3</v>
      </c>
      <c r="Z289">
        <v>-1.393926E-3</v>
      </c>
      <c r="AA289">
        <v>0.9999905</v>
      </c>
      <c r="AB289">
        <v>29</v>
      </c>
      <c r="AC289">
        <v>26.794799999999999</v>
      </c>
      <c r="AD289">
        <v>-1.0547068510966999</v>
      </c>
      <c r="AE289">
        <v>0.79120000000000301</v>
      </c>
      <c r="AF289">
        <v>0.113267637941319</v>
      </c>
      <c r="AG289">
        <v>-1.0547068510966999</v>
      </c>
      <c r="AH289">
        <v>26.7648055731227</v>
      </c>
      <c r="AI289">
        <v>92.256637348660703</v>
      </c>
      <c r="AJ289">
        <v>89.757527890521501</v>
      </c>
      <c r="AK289">
        <v>26.785818140699298</v>
      </c>
    </row>
    <row r="290" spans="1:37" x14ac:dyDescent="0.2">
      <c r="A290" t="str">
        <f>"20200111160101094"</f>
        <v>20200111160101094</v>
      </c>
      <c r="B290" t="str">
        <f>"1578729661089074"</f>
        <v>1578729661089074</v>
      </c>
      <c r="C290" t="s">
        <v>37</v>
      </c>
      <c r="D290">
        <v>4.884595</v>
      </c>
      <c r="E290">
        <v>0.52176820000000002</v>
      </c>
      <c r="F290" t="s">
        <v>38</v>
      </c>
      <c r="G290">
        <v>-376.8913</v>
      </c>
      <c r="H290" s="1">
        <v>-1.412063E-6</v>
      </c>
      <c r="I290">
        <v>369.0745</v>
      </c>
      <c r="J290">
        <v>-404.72919999999999</v>
      </c>
      <c r="K290">
        <v>1.054664</v>
      </c>
      <c r="L290">
        <v>368.24770000000001</v>
      </c>
      <c r="M290">
        <v>0.99935450000000003</v>
      </c>
      <c r="N290">
        <v>0</v>
      </c>
      <c r="O290">
        <v>3.4923099999999999E-2</v>
      </c>
      <c r="P290">
        <v>0.99628709999999898</v>
      </c>
      <c r="Q290">
        <v>3.9578080000000002E-3</v>
      </c>
      <c r="R290">
        <v>8.6003129999999997E-2</v>
      </c>
      <c r="S290">
        <v>3.0036930000000002</v>
      </c>
      <c r="T290">
        <v>-0.1126543</v>
      </c>
      <c r="U290">
        <v>8.9477539999999994E-2</v>
      </c>
      <c r="V290">
        <v>-5.1183050000000001E-2</v>
      </c>
      <c r="W290">
        <v>1.225566E-2</v>
      </c>
      <c r="X290">
        <v>0.99861409999999995</v>
      </c>
      <c r="Y290">
        <v>5.1229270000000002E-3</v>
      </c>
      <c r="Z290">
        <v>-1.4047389999999999E-3</v>
      </c>
      <c r="AA290">
        <v>0.99998589999999998</v>
      </c>
      <c r="AB290">
        <v>29</v>
      </c>
      <c r="AC290">
        <v>27.837899999999902</v>
      </c>
      <c r="AD290">
        <v>-1.0546654120629999</v>
      </c>
      <c r="AE290">
        <v>0.82679999999999099</v>
      </c>
      <c r="AF290">
        <v>0.14571567440922401</v>
      </c>
      <c r="AG290">
        <v>-1.0546654120629999</v>
      </c>
      <c r="AH290">
        <v>27.8099115363759</v>
      </c>
      <c r="AI290">
        <v>92.171819340477398</v>
      </c>
      <c r="AJ290">
        <v>89.699789884695207</v>
      </c>
      <c r="AK290">
        <v>27.830284437105998</v>
      </c>
    </row>
    <row r="291" spans="1:37" x14ac:dyDescent="0.2">
      <c r="A291" t="str">
        <f>"20200111160101117"</f>
        <v>20200111160101117</v>
      </c>
      <c r="B291" t="str">
        <f>"1578729661109570"</f>
        <v>1578729661109570</v>
      </c>
      <c r="C291" t="s">
        <v>37</v>
      </c>
      <c r="D291">
        <v>4.8245459999999998</v>
      </c>
      <c r="E291">
        <v>0.52171499999999904</v>
      </c>
      <c r="F291" t="s">
        <v>38</v>
      </c>
      <c r="G291">
        <v>-376.46870000000001</v>
      </c>
      <c r="H291" s="1">
        <v>-1.5866659999999999E-6</v>
      </c>
      <c r="I291">
        <v>369.1121</v>
      </c>
      <c r="J291">
        <v>-404.42989999999998</v>
      </c>
      <c r="K291">
        <v>1.0546279999999999</v>
      </c>
      <c r="L291">
        <v>368.25940000000003</v>
      </c>
      <c r="M291">
        <v>0.99931399999999904</v>
      </c>
      <c r="N291">
        <v>0</v>
      </c>
      <c r="O291">
        <v>3.6134880000000001E-2</v>
      </c>
      <c r="P291">
        <v>0.9962048</v>
      </c>
      <c r="Q291">
        <v>3.3253969999999999E-3</v>
      </c>
      <c r="R291">
        <v>8.6976719999999993E-2</v>
      </c>
      <c r="S291">
        <v>3.0036930000000002</v>
      </c>
      <c r="T291">
        <v>-0.112096</v>
      </c>
      <c r="U291">
        <v>9.1888429999999993E-2</v>
      </c>
      <c r="V291">
        <v>-5.0945520000000001E-2</v>
      </c>
      <c r="W291">
        <v>1.131827E-2</v>
      </c>
      <c r="X291">
        <v>0.99863729999999995</v>
      </c>
      <c r="Y291">
        <v>5.5326659999999899E-3</v>
      </c>
      <c r="Z291">
        <v>-1.450563E-3</v>
      </c>
      <c r="AA291">
        <v>0.99998369999999903</v>
      </c>
      <c r="AB291">
        <v>29</v>
      </c>
      <c r="AC291">
        <v>27.961199999999899</v>
      </c>
      <c r="AD291">
        <v>-1.054629586666</v>
      </c>
      <c r="AE291">
        <v>0.85269999999997004</v>
      </c>
      <c r="AF291">
        <v>0.15804014398939401</v>
      </c>
      <c r="AG291">
        <v>-1.054629586666</v>
      </c>
      <c r="AH291">
        <v>27.9340486221375</v>
      </c>
      <c r="AI291">
        <v>92.162098803482394</v>
      </c>
      <c r="AJ291">
        <v>89.675845891316698</v>
      </c>
      <c r="AK291">
        <v>27.954396660921201</v>
      </c>
    </row>
    <row r="292" spans="1:37" x14ac:dyDescent="0.2">
      <c r="A292" t="str">
        <f>"20200111160101142"</f>
        <v>20200111160101142</v>
      </c>
      <c r="B292" t="str">
        <f>"1578729661138850"</f>
        <v>1578729661138850</v>
      </c>
      <c r="C292" t="s">
        <v>37</v>
      </c>
      <c r="D292">
        <v>4.7606529999999996</v>
      </c>
      <c r="E292">
        <v>0.52180990000000005</v>
      </c>
      <c r="F292" t="s">
        <v>38</v>
      </c>
      <c r="G292">
        <v>-376.99090000000001</v>
      </c>
      <c r="H292" s="1">
        <v>-1.3594319999999899E-6</v>
      </c>
      <c r="I292">
        <v>369.13029999999998</v>
      </c>
      <c r="J292">
        <v>-404.1148</v>
      </c>
      <c r="K292">
        <v>1.0545949999999999</v>
      </c>
      <c r="L292">
        <v>368.27210000000002</v>
      </c>
      <c r="M292">
        <v>0.99927060000000001</v>
      </c>
      <c r="N292">
        <v>0</v>
      </c>
      <c r="O292">
        <v>3.7376439999999997E-2</v>
      </c>
      <c r="P292">
        <v>0.99614329999999995</v>
      </c>
      <c r="Q292">
        <v>3.9482019999999996E-3</v>
      </c>
      <c r="R292">
        <v>8.7652820000000006E-2</v>
      </c>
      <c r="S292">
        <v>3.0034480000000001</v>
      </c>
      <c r="T292">
        <v>-0.1154384</v>
      </c>
      <c r="U292">
        <v>9.5336909999999997E-2</v>
      </c>
      <c r="V292">
        <v>-5.0382950000000003E-2</v>
      </c>
      <c r="W292">
        <v>1.1653459999999999E-2</v>
      </c>
      <c r="X292">
        <v>0.99866200000000005</v>
      </c>
      <c r="Y292">
        <v>5.6227279999999996E-3</v>
      </c>
      <c r="Z292">
        <v>-1.543251E-3</v>
      </c>
      <c r="AA292">
        <v>0.99998299999999996</v>
      </c>
      <c r="AB292">
        <v>29</v>
      </c>
      <c r="AC292">
        <v>27.1238999999999</v>
      </c>
      <c r="AD292">
        <v>-1.054596359432</v>
      </c>
      <c r="AE292">
        <v>0.858199999999953</v>
      </c>
      <c r="AF292">
        <v>0.15599000232223001</v>
      </c>
      <c r="AG292">
        <v>-1.054596359432</v>
      </c>
      <c r="AH292">
        <v>27.096103175253798</v>
      </c>
      <c r="AI292">
        <v>92.228823744323904</v>
      </c>
      <c r="AJ292">
        <v>89.670156627803706</v>
      </c>
      <c r="AK292">
        <v>27.1170668333828</v>
      </c>
    </row>
    <row r="293" spans="1:37" x14ac:dyDescent="0.2">
      <c r="A293" t="str">
        <f>"20200111160101162"</f>
        <v>20200111160101162</v>
      </c>
      <c r="B293" t="str">
        <f>"1578729661159832"</f>
        <v>1578729661159832</v>
      </c>
      <c r="C293" t="s">
        <v>37</v>
      </c>
      <c r="D293">
        <v>4.783982</v>
      </c>
      <c r="E293">
        <v>0.52157929999999997</v>
      </c>
      <c r="F293" t="s">
        <v>38</v>
      </c>
      <c r="G293">
        <v>-375.8503</v>
      </c>
      <c r="H293" s="1">
        <v>-1.840187E-6</v>
      </c>
      <c r="I293">
        <v>369.17860000000002</v>
      </c>
      <c r="J293">
        <v>-403.85050000000001</v>
      </c>
      <c r="K293">
        <v>1.0545659999999999</v>
      </c>
      <c r="L293">
        <v>368.28300000000002</v>
      </c>
      <c r="M293">
        <v>0.99923399999999996</v>
      </c>
      <c r="N293">
        <v>0</v>
      </c>
      <c r="O293">
        <v>3.8390140000000003E-2</v>
      </c>
      <c r="P293">
        <v>0.99609820000000004</v>
      </c>
      <c r="Q293">
        <v>5.0895070000000001E-3</v>
      </c>
      <c r="R293">
        <v>8.8104440000000006E-2</v>
      </c>
      <c r="S293">
        <v>3.003571</v>
      </c>
      <c r="T293">
        <v>-0.1120678</v>
      </c>
      <c r="U293">
        <v>9.6343990000000004E-2</v>
      </c>
      <c r="V293">
        <v>-4.9824750000000001E-2</v>
      </c>
      <c r="W293">
        <v>1.25775E-2</v>
      </c>
      <c r="X293">
        <v>0.99867879999999998</v>
      </c>
      <c r="Y293">
        <v>6.3041019999999998E-3</v>
      </c>
      <c r="Z293">
        <v>-1.5486229999999901E-3</v>
      </c>
      <c r="AA293">
        <v>0.99997899999999995</v>
      </c>
      <c r="AB293">
        <v>29</v>
      </c>
      <c r="AC293">
        <v>28.0002</v>
      </c>
      <c r="AD293">
        <v>-1.05456784018699</v>
      </c>
      <c r="AE293">
        <v>0.89560000000000095</v>
      </c>
      <c r="AF293">
        <v>0.179768074401505</v>
      </c>
      <c r="AG293">
        <v>-1.05456784018699</v>
      </c>
      <c r="AH293">
        <v>27.974300259294001</v>
      </c>
      <c r="AI293">
        <v>92.158854450643503</v>
      </c>
      <c r="AJ293">
        <v>89.631811695713395</v>
      </c>
      <c r="AK293">
        <v>27.9947478089599</v>
      </c>
    </row>
    <row r="294" spans="1:37" x14ac:dyDescent="0.2">
      <c r="A294" t="str">
        <f>"20200111160101184"</f>
        <v>20200111160101184</v>
      </c>
      <c r="B294" t="str">
        <f>"1578729661179353"</f>
        <v>1578729661179353</v>
      </c>
      <c r="C294" t="s">
        <v>37</v>
      </c>
      <c r="D294">
        <v>4.5889850000000001</v>
      </c>
      <c r="E294">
        <v>0.52130559999999904</v>
      </c>
      <c r="F294" t="s">
        <v>38</v>
      </c>
      <c r="G294">
        <v>-374.83199999999999</v>
      </c>
      <c r="H294" s="1">
        <v>-2.2651219999999999E-6</v>
      </c>
      <c r="I294">
        <v>369.24560000000002</v>
      </c>
      <c r="J294">
        <v>-403.57130000000001</v>
      </c>
      <c r="K294">
        <v>1.0545260000000001</v>
      </c>
      <c r="L294">
        <v>368.29480000000001</v>
      </c>
      <c r="M294">
        <v>0.99919500000000006</v>
      </c>
      <c r="N294">
        <v>0</v>
      </c>
      <c r="O294">
        <v>3.9433830000000003E-2</v>
      </c>
      <c r="P294">
        <v>0.99600669999999902</v>
      </c>
      <c r="Q294">
        <v>5.4140819999999997E-3</v>
      </c>
      <c r="R294">
        <v>8.911695E-2</v>
      </c>
      <c r="S294">
        <v>3.0035099999999999</v>
      </c>
      <c r="T294">
        <v>-0.109151199999999</v>
      </c>
      <c r="U294">
        <v>9.9639889999999995E-2</v>
      </c>
      <c r="V294">
        <v>-4.9796100000000003E-2</v>
      </c>
      <c r="W294">
        <v>1.2693370000000001E-2</v>
      </c>
      <c r="X294">
        <v>0.99867870000000003</v>
      </c>
      <c r="Y294">
        <v>6.2526539999999999E-3</v>
      </c>
      <c r="Z294">
        <v>-1.54528E-3</v>
      </c>
      <c r="AA294">
        <v>0.99997930000000002</v>
      </c>
      <c r="AB294">
        <v>29</v>
      </c>
      <c r="AC294">
        <v>28.7393</v>
      </c>
      <c r="AD294">
        <v>-1.054528265122</v>
      </c>
      <c r="AE294">
        <v>0.95080000000001497</v>
      </c>
      <c r="AF294">
        <v>0.18302489307799399</v>
      </c>
      <c r="AG294">
        <v>-1.054528265122</v>
      </c>
      <c r="AH294">
        <v>28.715819785601401</v>
      </c>
      <c r="AI294">
        <v>92.103079612094007</v>
      </c>
      <c r="AJ294">
        <v>89.634821084663201</v>
      </c>
      <c r="AK294">
        <v>28.735758802101699</v>
      </c>
    </row>
    <row r="295" spans="1:37" x14ac:dyDescent="0.2">
      <c r="A295" t="str">
        <f>"20200111160101205"</f>
        <v>20200111160101205</v>
      </c>
      <c r="B295" t="str">
        <f>"1578729661199847"</f>
        <v>1578729661199847</v>
      </c>
      <c r="C295" t="s">
        <v>37</v>
      </c>
      <c r="D295">
        <v>4.60623</v>
      </c>
      <c r="E295">
        <v>0.52121119999999999</v>
      </c>
      <c r="F295" t="s">
        <v>38</v>
      </c>
      <c r="G295">
        <v>-374.42250000000001</v>
      </c>
      <c r="H295" s="1">
        <v>-2.4285339999999998E-6</v>
      </c>
      <c r="I295">
        <v>369.31479999999999</v>
      </c>
      <c r="J295">
        <v>-403.27910000000003</v>
      </c>
      <c r="K295">
        <v>1.0544959999999901</v>
      </c>
      <c r="L295">
        <v>368.30739999999997</v>
      </c>
      <c r="M295">
        <v>0.99915390000000004</v>
      </c>
      <c r="N295">
        <v>0</v>
      </c>
      <c r="O295">
        <v>4.0495209999999997E-2</v>
      </c>
      <c r="P295">
        <v>0.99592389999999997</v>
      </c>
      <c r="Q295">
        <v>5.6045629999999999E-3</v>
      </c>
      <c r="R295">
        <v>9.0023800000000001E-2</v>
      </c>
      <c r="S295">
        <v>3.0032349999999899</v>
      </c>
      <c r="T295">
        <v>-0.10864929999999901</v>
      </c>
      <c r="U295">
        <v>0.1051025</v>
      </c>
      <c r="V295">
        <v>-4.9644670000000002E-2</v>
      </c>
      <c r="W295">
        <v>1.2689550000000001E-2</v>
      </c>
      <c r="X295">
        <v>0.99868630000000003</v>
      </c>
      <c r="Y295">
        <v>5.4951039999999998E-3</v>
      </c>
      <c r="Z295">
        <v>-1.5629000000000001E-3</v>
      </c>
      <c r="AA295">
        <v>0.99998369999999903</v>
      </c>
      <c r="AB295">
        <v>29</v>
      </c>
      <c r="AC295">
        <v>28.8566</v>
      </c>
      <c r="AD295">
        <v>-1.05449842853399</v>
      </c>
      <c r="AE295">
        <v>1.0074000000000101</v>
      </c>
      <c r="AF295">
        <v>0.16179482681188201</v>
      </c>
      <c r="AG295">
        <v>-1.05449842853399</v>
      </c>
      <c r="AH295">
        <v>28.8352657040328</v>
      </c>
      <c r="AI295">
        <v>92.094326040537396</v>
      </c>
      <c r="AJ295">
        <v>89.678516454988497</v>
      </c>
      <c r="AK295">
        <v>28.8549942423133</v>
      </c>
    </row>
    <row r="296" spans="1:37" x14ac:dyDescent="0.2">
      <c r="A296" t="str">
        <f>"20200111160101230"</f>
        <v>20200111160101230</v>
      </c>
      <c r="B296" t="str">
        <f>"1578729661219368"</f>
        <v>1578729661219368</v>
      </c>
      <c r="C296" t="s">
        <v>37</v>
      </c>
      <c r="D296">
        <v>4.5574849999999998</v>
      </c>
      <c r="E296">
        <v>0.52114419999999995</v>
      </c>
      <c r="F296" t="s">
        <v>38</v>
      </c>
      <c r="G296">
        <v>-373.77519999999998</v>
      </c>
      <c r="H296" s="1">
        <v>-2.6959010000000001E-6</v>
      </c>
      <c r="I296">
        <v>369.37290000000002</v>
      </c>
      <c r="J296">
        <v>-402.97019999999998</v>
      </c>
      <c r="K296">
        <v>1.0544629999999999</v>
      </c>
      <c r="L296">
        <v>368.3211</v>
      </c>
      <c r="M296">
        <v>0.99911049999999901</v>
      </c>
      <c r="N296">
        <v>0</v>
      </c>
      <c r="O296">
        <v>4.1580899999999997E-2</v>
      </c>
      <c r="P296">
        <v>0.99582549999999903</v>
      </c>
      <c r="Q296">
        <v>6.2747949999999997E-3</v>
      </c>
      <c r="R296">
        <v>9.1061619999999996E-2</v>
      </c>
      <c r="S296">
        <v>3.003082</v>
      </c>
      <c r="T296">
        <v>-0.107333199999999</v>
      </c>
      <c r="U296">
        <v>0.1084595</v>
      </c>
      <c r="V296">
        <v>-4.960055E-2</v>
      </c>
      <c r="W296">
        <v>1.317684E-2</v>
      </c>
      <c r="X296">
        <v>0.99868219999999996</v>
      </c>
      <c r="Y296">
        <v>5.4635559999999996E-3</v>
      </c>
      <c r="Z296">
        <v>-1.5821959999999999E-3</v>
      </c>
      <c r="AA296">
        <v>0.99998379999999998</v>
      </c>
      <c r="AB296">
        <v>29</v>
      </c>
      <c r="AC296">
        <v>29.195</v>
      </c>
      <c r="AD296">
        <v>-1.0544656959009999</v>
      </c>
      <c r="AE296">
        <v>1.0518000000000101</v>
      </c>
      <c r="AF296">
        <v>0.16288176109942301</v>
      </c>
      <c r="AG296">
        <v>-1.0544656959009999</v>
      </c>
      <c r="AH296">
        <v>29.1754746360381</v>
      </c>
      <c r="AI296">
        <v>92.069862053657602</v>
      </c>
      <c r="AJ296">
        <v>89.6801306360544</v>
      </c>
      <c r="AK296">
        <v>29.1949781402562</v>
      </c>
    </row>
    <row r="297" spans="1:37" x14ac:dyDescent="0.2">
      <c r="A297" t="str">
        <f>"20200111160101251"</f>
        <v>20200111160101251</v>
      </c>
      <c r="B297" t="str">
        <f>"1578729661239867"</f>
        <v>1578729661239867</v>
      </c>
      <c r="C297" t="s">
        <v>37</v>
      </c>
      <c r="D297">
        <v>4.4866619999999999</v>
      </c>
      <c r="E297">
        <v>0.52084569999999997</v>
      </c>
      <c r="F297" t="s">
        <v>38</v>
      </c>
      <c r="G297">
        <v>-372.4341</v>
      </c>
      <c r="H297" s="1">
        <v>-3.2552850000000002E-6</v>
      </c>
      <c r="I297">
        <v>369.46300000000002</v>
      </c>
      <c r="J297">
        <v>-402.68340000000001</v>
      </c>
      <c r="K297">
        <v>1.0544340000000001</v>
      </c>
      <c r="L297">
        <v>368.334</v>
      </c>
      <c r="M297">
        <v>0.99907089999999998</v>
      </c>
      <c r="N297">
        <v>0</v>
      </c>
      <c r="O297">
        <v>4.2550209999999998E-2</v>
      </c>
      <c r="P297">
        <v>0.99573049999999996</v>
      </c>
      <c r="Q297">
        <v>7.1757139999999997E-3</v>
      </c>
      <c r="R297">
        <v>9.2029769999999997E-2</v>
      </c>
      <c r="S297">
        <v>3.0029300000000001</v>
      </c>
      <c r="T297">
        <v>-0.1036961</v>
      </c>
      <c r="U297">
        <v>0.11230469999999999</v>
      </c>
      <c r="V297">
        <v>-4.9603380000000002E-2</v>
      </c>
      <c r="W297">
        <v>1.3930649999999999E-2</v>
      </c>
      <c r="X297">
        <v>0.9986718</v>
      </c>
      <c r="Y297">
        <v>5.1547119999999997E-3</v>
      </c>
      <c r="Z297">
        <v>-1.556731E-3</v>
      </c>
      <c r="AA297">
        <v>0.99998549999999997</v>
      </c>
      <c r="AB297">
        <v>30</v>
      </c>
      <c r="AC297">
        <v>30.249300000000002</v>
      </c>
      <c r="AD297">
        <v>-1.0544372552850001</v>
      </c>
      <c r="AE297">
        <v>1.12900000000001</v>
      </c>
      <c r="AF297">
        <v>0.15897384722690899</v>
      </c>
      <c r="AG297">
        <v>-1.0544372552850001</v>
      </c>
      <c r="AH297">
        <v>30.233257908314901</v>
      </c>
      <c r="AI297">
        <v>91.997452356642299</v>
      </c>
      <c r="AJ297">
        <v>89.698727587333593</v>
      </c>
      <c r="AK297">
        <v>30.252057688033801</v>
      </c>
    </row>
    <row r="298" spans="1:37" x14ac:dyDescent="0.2">
      <c r="A298" t="str">
        <f>"20200111160101273"</f>
        <v>20200111160101273</v>
      </c>
      <c r="B298" t="str">
        <f>"1578729661269144"</f>
        <v>1578729661269144</v>
      </c>
      <c r="C298" t="s">
        <v>37</v>
      </c>
      <c r="D298">
        <v>4.4264900000000003</v>
      </c>
      <c r="E298">
        <v>0.52067339999999995</v>
      </c>
      <c r="F298" t="s">
        <v>38</v>
      </c>
      <c r="G298">
        <v>-371.3365</v>
      </c>
      <c r="H298" s="1">
        <v>-3.708878E-6</v>
      </c>
      <c r="I298">
        <v>369.56020000000001</v>
      </c>
      <c r="J298">
        <v>-402.40069999999997</v>
      </c>
      <c r="K298">
        <v>1.0544020000000001</v>
      </c>
      <c r="L298">
        <v>368.34699999999998</v>
      </c>
      <c r="M298">
        <v>0.99903180000000003</v>
      </c>
      <c r="N298">
        <v>0</v>
      </c>
      <c r="O298">
        <v>4.3476630000000002E-2</v>
      </c>
      <c r="P298">
        <v>0.99564699999999995</v>
      </c>
      <c r="Q298">
        <v>7.3268430000000004E-3</v>
      </c>
      <c r="R298">
        <v>9.2915819999999996E-2</v>
      </c>
      <c r="S298">
        <v>3.0027159999999999</v>
      </c>
      <c r="T298">
        <v>-0.10100439999999999</v>
      </c>
      <c r="U298">
        <v>0.1174622</v>
      </c>
      <c r="V298">
        <v>-4.9565739999999997E-2</v>
      </c>
      <c r="W298">
        <v>1.3954009999999999E-2</v>
      </c>
      <c r="X298">
        <v>0.99867340000000004</v>
      </c>
      <c r="Y298">
        <v>4.3656090000000003E-3</v>
      </c>
      <c r="Z298">
        <v>-1.5342329999999901E-3</v>
      </c>
      <c r="AA298">
        <v>0.99998929999999997</v>
      </c>
      <c r="AB298">
        <v>30</v>
      </c>
      <c r="AC298">
        <v>31.0641999999999</v>
      </c>
      <c r="AD298">
        <v>-1.0544057088779999</v>
      </c>
      <c r="AE298">
        <v>1.21320000000002</v>
      </c>
      <c r="AF298">
        <v>0.13838529145065401</v>
      </c>
      <c r="AG298">
        <v>-1.0544057088779999</v>
      </c>
      <c r="AH298">
        <v>31.051852014399099</v>
      </c>
      <c r="AI298">
        <v>91.944785595172107</v>
      </c>
      <c r="AJ298">
        <v>89.744658043217797</v>
      </c>
      <c r="AK298">
        <v>31.0700568942502</v>
      </c>
    </row>
    <row r="299" spans="1:37" x14ac:dyDescent="0.2">
      <c r="A299" t="str">
        <f>"20200111160101295"</f>
        <v>20200111160101295</v>
      </c>
      <c r="B299" t="str">
        <f>"1578729661289640"</f>
        <v>1578729661289640</v>
      </c>
      <c r="C299" t="s">
        <v>37</v>
      </c>
      <c r="D299">
        <v>4.4303290000000004</v>
      </c>
      <c r="E299">
        <v>0.52052039999999999</v>
      </c>
      <c r="F299" t="s">
        <v>38</v>
      </c>
      <c r="G299">
        <v>-370.37810000000002</v>
      </c>
      <c r="H299" s="1">
        <v>-4.1166529999999997E-6</v>
      </c>
      <c r="I299">
        <v>369.640999999999</v>
      </c>
      <c r="J299">
        <v>-402.09469999999999</v>
      </c>
      <c r="K299">
        <v>1.0543670000000001</v>
      </c>
      <c r="L299">
        <v>368.36130000000003</v>
      </c>
      <c r="M299">
        <v>0.99899020000000005</v>
      </c>
      <c r="N299">
        <v>0</v>
      </c>
      <c r="O299">
        <v>4.4441920000000003E-2</v>
      </c>
      <c r="P299">
        <v>0.99559120000000001</v>
      </c>
      <c r="Q299">
        <v>8.7877960000000005E-3</v>
      </c>
      <c r="R299">
        <v>9.3385629999999997E-2</v>
      </c>
      <c r="S299">
        <v>3.0025330000000001</v>
      </c>
      <c r="T299">
        <v>-9.8864019999999997E-2</v>
      </c>
      <c r="U299">
        <v>0.121337899999999</v>
      </c>
      <c r="V299">
        <v>-4.9074279999999998E-2</v>
      </c>
      <c r="W299">
        <v>1.529807E-2</v>
      </c>
      <c r="X299">
        <v>0.99867799999999995</v>
      </c>
      <c r="Y299">
        <v>4.0414370000000002E-3</v>
      </c>
      <c r="Z299">
        <v>-1.528174E-3</v>
      </c>
      <c r="AA299">
        <v>0.99999059999999995</v>
      </c>
      <c r="AB299">
        <v>30</v>
      </c>
      <c r="AC299">
        <v>31.7165999999999</v>
      </c>
      <c r="AD299">
        <v>-1.0543711166530001</v>
      </c>
      <c r="AE299">
        <v>1.2796999999999299</v>
      </c>
      <c r="AF299">
        <v>0.130997159312635</v>
      </c>
      <c r="AG299">
        <v>-1.0543711166530001</v>
      </c>
      <c r="AH299">
        <v>31.7071516351103</v>
      </c>
      <c r="AI299">
        <v>91.904562358227807</v>
      </c>
      <c r="AJ299">
        <v>89.763285528159798</v>
      </c>
      <c r="AK299">
        <v>31.724947967163899</v>
      </c>
    </row>
    <row r="300" spans="1:37" x14ac:dyDescent="0.2">
      <c r="A300" t="str">
        <f>"20200111160101317"</f>
        <v>20200111160101317</v>
      </c>
      <c r="B300" t="str">
        <f>"1578729661309163"</f>
        <v>1578729661309163</v>
      </c>
      <c r="C300" t="s">
        <v>37</v>
      </c>
      <c r="D300">
        <v>4.475854</v>
      </c>
      <c r="E300">
        <v>0.52049009999999996</v>
      </c>
      <c r="F300" t="s">
        <v>38</v>
      </c>
      <c r="G300">
        <v>-368.19580000000002</v>
      </c>
      <c r="H300" s="1">
        <v>-7.9466309999999997E-7</v>
      </c>
      <c r="I300">
        <v>369.7604</v>
      </c>
      <c r="J300">
        <v>-401.798</v>
      </c>
      <c r="K300">
        <v>1.0543199999999999</v>
      </c>
      <c r="L300">
        <v>368.37540000000001</v>
      </c>
      <c r="M300">
        <v>0.99895080000000003</v>
      </c>
      <c r="N300">
        <v>0</v>
      </c>
      <c r="O300">
        <v>4.5334720000000002E-2</v>
      </c>
      <c r="P300">
        <v>0.99554869999999995</v>
      </c>
      <c r="Q300">
        <v>8.3916300000000006E-3</v>
      </c>
      <c r="R300">
        <v>9.3875780000000006E-2</v>
      </c>
      <c r="S300">
        <v>3.0024410000000001</v>
      </c>
      <c r="T300">
        <v>-9.3385640000000006E-2</v>
      </c>
      <c r="U300">
        <v>0.1239319</v>
      </c>
      <c r="V300">
        <v>-4.8671289999999999E-2</v>
      </c>
      <c r="W300">
        <v>1.4806990000000001E-2</v>
      </c>
      <c r="X300">
        <v>0.99870509999999901</v>
      </c>
      <c r="Y300">
        <v>4.0737530000000003E-3</v>
      </c>
      <c r="Z300">
        <v>-1.4717650000000001E-3</v>
      </c>
      <c r="AA300">
        <v>0.99999059999999995</v>
      </c>
      <c r="AB300">
        <v>30</v>
      </c>
      <c r="AC300">
        <v>33.602199999999897</v>
      </c>
      <c r="AD300">
        <v>-1.0543207946630999</v>
      </c>
      <c r="AE300">
        <v>1.38499999999999</v>
      </c>
      <c r="AF300">
        <v>0.139665145259151</v>
      </c>
      <c r="AG300">
        <v>-1.0543207946630999</v>
      </c>
      <c r="AH300">
        <v>33.597420317623197</v>
      </c>
      <c r="AI300">
        <v>91.797393733605801</v>
      </c>
      <c r="AJ300">
        <v>89.7618216756441</v>
      </c>
      <c r="AK300">
        <v>33.614249220976198</v>
      </c>
    </row>
    <row r="301" spans="1:37" x14ac:dyDescent="0.2">
      <c r="A301" t="str">
        <f>"20200111160101339"</f>
        <v>20200111160101339</v>
      </c>
      <c r="B301" t="str">
        <f>"1578729661329660"</f>
        <v>1578729661329660</v>
      </c>
      <c r="C301" t="s">
        <v>37</v>
      </c>
      <c r="D301">
        <v>4.4210949999999896</v>
      </c>
      <c r="E301">
        <v>0.52037230000000001</v>
      </c>
      <c r="F301" t="s">
        <v>38</v>
      </c>
      <c r="G301">
        <v>-367.89049999999997</v>
      </c>
      <c r="H301" s="1">
        <v>-9.3482790000000002E-7</v>
      </c>
      <c r="I301">
        <v>369.79489999999998</v>
      </c>
      <c r="J301">
        <v>-401.50139999999999</v>
      </c>
      <c r="K301">
        <v>1.0542750000000001</v>
      </c>
      <c r="L301">
        <v>368.3897</v>
      </c>
      <c r="M301">
        <v>0.99891260000000004</v>
      </c>
      <c r="N301">
        <v>0</v>
      </c>
      <c r="O301">
        <v>4.617773E-2</v>
      </c>
      <c r="P301">
        <v>0.99552909999999994</v>
      </c>
      <c r="Q301">
        <v>7.2094050000000003E-3</v>
      </c>
      <c r="R301">
        <v>9.4179940000000004E-2</v>
      </c>
      <c r="S301">
        <v>3.00238</v>
      </c>
      <c r="T301">
        <v>-9.3355889999999997E-2</v>
      </c>
      <c r="U301">
        <v>0.12570190000000001</v>
      </c>
      <c r="V301">
        <v>-4.8130199999999998E-2</v>
      </c>
      <c r="W301">
        <v>1.3548259999999999E-2</v>
      </c>
      <c r="X301">
        <v>0.9987492</v>
      </c>
      <c r="Y301">
        <v>4.3277769999999997E-3</v>
      </c>
      <c r="Z301">
        <v>-1.5014119999999999E-3</v>
      </c>
      <c r="AA301">
        <v>0.99998949999999998</v>
      </c>
      <c r="AB301">
        <v>30</v>
      </c>
      <c r="AC301">
        <v>33.610900000000001</v>
      </c>
      <c r="AD301">
        <v>-1.0542759348279001</v>
      </c>
      <c r="AE301">
        <v>1.40519999999997</v>
      </c>
      <c r="AF301">
        <v>0.14826052140941501</v>
      </c>
      <c r="AG301">
        <v>-1.0542759348279001</v>
      </c>
      <c r="AH301">
        <v>33.606926071182997</v>
      </c>
      <c r="AI301">
        <v>91.796807308984896</v>
      </c>
      <c r="AJ301">
        <v>89.747235227075095</v>
      </c>
      <c r="AK301">
        <v>33.623785612017599</v>
      </c>
    </row>
    <row r="302" spans="1:37" x14ac:dyDescent="0.2">
      <c r="A302" t="str">
        <f>"20200111160101361"</f>
        <v>20200111160101361</v>
      </c>
      <c r="B302" t="str">
        <f>"1578729661359912"</f>
        <v>1578729661359912</v>
      </c>
      <c r="C302" t="s">
        <v>37</v>
      </c>
      <c r="D302">
        <v>4.4286989999999999</v>
      </c>
      <c r="E302">
        <v>0.52026170000000005</v>
      </c>
      <c r="F302" t="s">
        <v>38</v>
      </c>
      <c r="G302">
        <v>-368.58730000000003</v>
      </c>
      <c r="H302" s="1">
        <v>-6.3359240000000002E-7</v>
      </c>
      <c r="I302">
        <v>369.78620000000001</v>
      </c>
      <c r="J302">
        <v>-401.20679999999999</v>
      </c>
      <c r="K302">
        <v>1.0543750000000001</v>
      </c>
      <c r="L302">
        <v>368.40429999999998</v>
      </c>
      <c r="M302">
        <v>0.99891810000000003</v>
      </c>
      <c r="N302">
        <v>0</v>
      </c>
      <c r="O302">
        <v>4.6014289999999999E-2</v>
      </c>
      <c r="P302">
        <v>0.99556520000000004</v>
      </c>
      <c r="Q302">
        <v>5.7185119999999898E-3</v>
      </c>
      <c r="R302">
        <v>9.3901109999999996E-2</v>
      </c>
      <c r="S302">
        <v>3.0021059999999999</v>
      </c>
      <c r="T302">
        <v>-9.6160350000000006E-2</v>
      </c>
      <c r="U302">
        <v>0.12738039999999901</v>
      </c>
      <c r="V302">
        <v>-4.8011869999999998E-2</v>
      </c>
      <c r="W302">
        <v>1.2379630000000001E-2</v>
      </c>
      <c r="X302">
        <v>0.99877009999999899</v>
      </c>
      <c r="Y302">
        <v>3.6012990000000001E-3</v>
      </c>
      <c r="Z302">
        <v>-1.529762E-3</v>
      </c>
      <c r="AA302">
        <v>0.9999924</v>
      </c>
      <c r="AB302">
        <v>30</v>
      </c>
      <c r="AC302">
        <v>32.619499999999903</v>
      </c>
      <c r="AD302">
        <v>-1.0543756335923999</v>
      </c>
      <c r="AE302">
        <v>1.3819000000000301</v>
      </c>
      <c r="AF302">
        <v>0.12043533561512899</v>
      </c>
      <c r="AG302">
        <v>-1.0543756335923999</v>
      </c>
      <c r="AH302">
        <v>32.614521010195801</v>
      </c>
      <c r="AI302">
        <v>91.851623997345399</v>
      </c>
      <c r="AJ302">
        <v>89.788425374440195</v>
      </c>
      <c r="AK302">
        <v>32.631781952128797</v>
      </c>
    </row>
    <row r="303" spans="1:37" x14ac:dyDescent="0.2">
      <c r="A303" t="str">
        <f>"20200111160101384"</f>
        <v>20200111160101384</v>
      </c>
      <c r="B303" t="str">
        <f>"1578729661379433"</f>
        <v>1578729661379433</v>
      </c>
      <c r="C303" t="s">
        <v>37</v>
      </c>
      <c r="D303">
        <v>4.4172120000000001</v>
      </c>
      <c r="E303">
        <v>0.52032879999999904</v>
      </c>
      <c r="F303" t="s">
        <v>38</v>
      </c>
      <c r="G303">
        <v>-369.34269999999998</v>
      </c>
      <c r="H303" s="1">
        <v>-3.0104689999999999E-7</v>
      </c>
      <c r="I303">
        <v>369.7543</v>
      </c>
      <c r="J303">
        <v>-400.91480000000001</v>
      </c>
      <c r="K303">
        <v>1.0545789999999999</v>
      </c>
      <c r="L303">
        <v>368.41919999999999</v>
      </c>
      <c r="M303">
        <v>0.99894079999999996</v>
      </c>
      <c r="N303">
        <v>0</v>
      </c>
      <c r="O303">
        <v>4.5328420000000001E-2</v>
      </c>
      <c r="P303">
        <v>0.99560309999999896</v>
      </c>
      <c r="Q303">
        <v>3.549254E-3</v>
      </c>
      <c r="R303">
        <v>9.3607360000000001E-2</v>
      </c>
      <c r="S303">
        <v>3.0019840000000002</v>
      </c>
      <c r="T303">
        <v>-9.9334660000000005E-2</v>
      </c>
      <c r="U303">
        <v>0.12719729999999899</v>
      </c>
      <c r="V303">
        <v>-4.8394390000000002E-2</v>
      </c>
      <c r="W303">
        <v>1.140648E-2</v>
      </c>
      <c r="X303">
        <v>0.99876309999999902</v>
      </c>
      <c r="Y303">
        <v>2.9732609999999901E-3</v>
      </c>
      <c r="Z303">
        <v>-1.5472789999999999E-3</v>
      </c>
      <c r="AA303">
        <v>0.99999439999999995</v>
      </c>
      <c r="AB303">
        <v>30</v>
      </c>
      <c r="AC303">
        <v>31.572099999999999</v>
      </c>
      <c r="AD303">
        <v>-1.0545793010469</v>
      </c>
      <c r="AE303">
        <v>1.3351000000000099</v>
      </c>
      <c r="AF303">
        <v>9.7322207642064298E-2</v>
      </c>
      <c r="AG303">
        <v>-1.0545793010469</v>
      </c>
      <c r="AH303">
        <v>31.565011549487998</v>
      </c>
      <c r="AI303">
        <v>91.913517110079496</v>
      </c>
      <c r="AJ303">
        <v>89.823344462503897</v>
      </c>
      <c r="AK303">
        <v>31.582773203656501</v>
      </c>
    </row>
    <row r="304" spans="1:37" x14ac:dyDescent="0.2">
      <c r="A304" t="str">
        <f>"20200111160101406"</f>
        <v>20200111160101406</v>
      </c>
      <c r="B304" t="str">
        <f>"1578729661399928"</f>
        <v>1578729661399928</v>
      </c>
      <c r="C304" t="s">
        <v>37</v>
      </c>
      <c r="D304">
        <v>4.3137879999999997</v>
      </c>
      <c r="E304">
        <v>0.52045540000000001</v>
      </c>
      <c r="F304" t="s">
        <v>38</v>
      </c>
      <c r="G304">
        <v>-370.44799999999998</v>
      </c>
      <c r="H304" s="1">
        <v>-4.1012599999999998E-6</v>
      </c>
      <c r="I304">
        <v>369.69580000000002</v>
      </c>
      <c r="J304">
        <v>-400.61450000000002</v>
      </c>
      <c r="K304">
        <v>1.054665</v>
      </c>
      <c r="L304">
        <v>368.43430000000001</v>
      </c>
      <c r="M304">
        <v>0.99888829999999995</v>
      </c>
      <c r="N304">
        <v>0</v>
      </c>
      <c r="O304">
        <v>4.6277150000000003E-2</v>
      </c>
      <c r="P304">
        <v>0.99551610000000001</v>
      </c>
      <c r="Q304">
        <v>8.6843779999999995E-4</v>
      </c>
      <c r="R304">
        <v>9.4588000000000005E-2</v>
      </c>
      <c r="S304">
        <v>3.00177</v>
      </c>
      <c r="T304">
        <v>-0.1039037</v>
      </c>
      <c r="U304">
        <v>0.1257935</v>
      </c>
      <c r="V304">
        <v>-4.8411839999999998E-2</v>
      </c>
      <c r="W304">
        <v>9.854458E-3</v>
      </c>
      <c r="X304">
        <v>0.99877879999999997</v>
      </c>
      <c r="Y304">
        <v>4.3833570000000001E-3</v>
      </c>
      <c r="Z304">
        <v>-1.675717E-3</v>
      </c>
      <c r="AA304">
        <v>0.99998899999999902</v>
      </c>
      <c r="AB304">
        <v>30</v>
      </c>
      <c r="AC304">
        <v>30.1664999999999</v>
      </c>
      <c r="AD304">
        <v>-1.05466910126</v>
      </c>
      <c r="AE304">
        <v>1.2615000000000101</v>
      </c>
      <c r="AF304">
        <v>0.13576187841550699</v>
      </c>
      <c r="AG304">
        <v>-1.05466910126</v>
      </c>
      <c r="AH304">
        <v>30.1557637026153</v>
      </c>
      <c r="AI304">
        <v>92.003028578467607</v>
      </c>
      <c r="AJ304">
        <v>89.742054945889507</v>
      </c>
      <c r="AK304">
        <v>30.1745065028204</v>
      </c>
    </row>
    <row r="305" spans="1:37" x14ac:dyDescent="0.2">
      <c r="A305" t="str">
        <f>"20200111160101430"</f>
        <v>20200111160101430</v>
      </c>
      <c r="B305" t="str">
        <f>"1578729661419448"</f>
        <v>1578729661419448</v>
      </c>
      <c r="C305" t="s">
        <v>37</v>
      </c>
      <c r="D305">
        <v>4.479857</v>
      </c>
      <c r="E305">
        <v>0.520534099999999</v>
      </c>
      <c r="F305" t="s">
        <v>38</v>
      </c>
      <c r="G305">
        <v>-371.76249999999999</v>
      </c>
      <c r="H305" s="1">
        <v>-3.5277690000000001E-6</v>
      </c>
      <c r="I305">
        <v>369.65980000000002</v>
      </c>
      <c r="J305">
        <v>-400.30360000000002</v>
      </c>
      <c r="K305">
        <v>1.054986</v>
      </c>
      <c r="L305">
        <v>368.44959999999998</v>
      </c>
      <c r="M305">
        <v>0.99879430000000002</v>
      </c>
      <c r="N305">
        <v>0</v>
      </c>
      <c r="O305">
        <v>4.8371079999999997E-2</v>
      </c>
      <c r="P305">
        <v>0.99538490000000002</v>
      </c>
      <c r="Q305" s="1">
        <v>-3.2765790000000003E-5</v>
      </c>
      <c r="R305">
        <v>9.5962599999999995E-2</v>
      </c>
      <c r="S305">
        <v>3.0014949999999998</v>
      </c>
      <c r="T305">
        <v>-0.1097176</v>
      </c>
      <c r="U305">
        <v>0.12750239999999999</v>
      </c>
      <c r="V305">
        <v>-4.7689040000000002E-2</v>
      </c>
      <c r="W305">
        <v>8.4049369999999995E-3</v>
      </c>
      <c r="X305">
        <v>0.99882689999999996</v>
      </c>
      <c r="Y305">
        <v>5.9013619999999899E-3</v>
      </c>
      <c r="Z305">
        <v>-1.873652E-3</v>
      </c>
      <c r="AA305">
        <v>0.9999808</v>
      </c>
      <c r="AB305">
        <v>30</v>
      </c>
      <c r="AC305">
        <v>28.5411</v>
      </c>
      <c r="AD305">
        <v>-1.054989527769</v>
      </c>
      <c r="AE305">
        <v>1.2102000000000399</v>
      </c>
      <c r="AF305">
        <v>0.17159496535242599</v>
      </c>
      <c r="AG305">
        <v>-1.054989527769</v>
      </c>
      <c r="AH305">
        <v>28.5273214363976</v>
      </c>
      <c r="AI305">
        <v>92.117893248802503</v>
      </c>
      <c r="AJ305">
        <v>89.655363762422795</v>
      </c>
      <c r="AK305">
        <v>28.5473381608757</v>
      </c>
    </row>
    <row r="306" spans="1:37" x14ac:dyDescent="0.2">
      <c r="A306" t="str">
        <f>"20200111160101452"</f>
        <v>20200111160101452</v>
      </c>
      <c r="B306" t="str">
        <f>"1578729661449704"</f>
        <v>1578729661449704</v>
      </c>
      <c r="C306" t="s">
        <v>37</v>
      </c>
      <c r="D306">
        <v>4.3585219999999998</v>
      </c>
      <c r="E306">
        <v>0.52055039999999997</v>
      </c>
      <c r="F306" t="s">
        <v>38</v>
      </c>
      <c r="G306">
        <v>-371.57799999999997</v>
      </c>
      <c r="H306" s="1">
        <v>-3.6179889999999998E-6</v>
      </c>
      <c r="I306">
        <v>369.70139999999998</v>
      </c>
      <c r="J306">
        <v>-400.0077</v>
      </c>
      <c r="K306">
        <v>1.0561559999999901</v>
      </c>
      <c r="L306">
        <v>368.46469999999999</v>
      </c>
      <c r="M306">
        <v>0.99877209999999905</v>
      </c>
      <c r="N306">
        <v>0</v>
      </c>
      <c r="O306">
        <v>4.910374E-2</v>
      </c>
      <c r="P306">
        <v>0.9953436</v>
      </c>
      <c r="Q306">
        <v>1.5361909999999999E-3</v>
      </c>
      <c r="R306">
        <v>9.6380279999999999E-2</v>
      </c>
      <c r="S306">
        <v>3.001312</v>
      </c>
      <c r="T306">
        <v>-0.1102273</v>
      </c>
      <c r="U306">
        <v>0.13079830000000001</v>
      </c>
      <c r="V306">
        <v>-4.7382889999999997E-2</v>
      </c>
      <c r="W306">
        <v>8.1422070000000003E-3</v>
      </c>
      <c r="X306">
        <v>0.99884359999999905</v>
      </c>
      <c r="Y306">
        <v>5.5349759999999996E-3</v>
      </c>
      <c r="Z306">
        <v>-1.9025120000000001E-3</v>
      </c>
      <c r="AA306">
        <v>0.99998290000000001</v>
      </c>
      <c r="AB306">
        <v>30</v>
      </c>
      <c r="AC306">
        <v>28.429699999999901</v>
      </c>
      <c r="AD306">
        <v>-1.0561596179889901</v>
      </c>
      <c r="AE306">
        <v>1.2366999999999799</v>
      </c>
      <c r="AF306">
        <v>0.160605373179915</v>
      </c>
      <c r="AG306">
        <v>-1.0561596179889901</v>
      </c>
      <c r="AH306">
        <v>28.4169866431677</v>
      </c>
      <c r="AI306">
        <v>92.128469282497804</v>
      </c>
      <c r="AJ306">
        <v>89.6761826934558</v>
      </c>
      <c r="AK306">
        <v>28.437060275326299</v>
      </c>
    </row>
    <row r="307" spans="1:37" x14ac:dyDescent="0.2">
      <c r="A307" t="str">
        <f>"20200111160101473"</f>
        <v>20200111160101473</v>
      </c>
      <c r="B307" t="str">
        <f>"1578729661469225"</f>
        <v>1578729661469225</v>
      </c>
      <c r="C307" t="s">
        <v>37</v>
      </c>
      <c r="D307">
        <v>4.3855699999999898</v>
      </c>
      <c r="E307">
        <v>0.52064619999999995</v>
      </c>
      <c r="F307" t="s">
        <v>38</v>
      </c>
      <c r="G307">
        <v>-369.23540000000003</v>
      </c>
      <c r="H307" s="1">
        <v>-3.6415949999999999E-7</v>
      </c>
      <c r="I307">
        <v>369.81849999999997</v>
      </c>
      <c r="J307">
        <v>-399.72089999999997</v>
      </c>
      <c r="K307">
        <v>1.0574490000000001</v>
      </c>
      <c r="L307">
        <v>368.47969999999998</v>
      </c>
      <c r="M307">
        <v>0.99876739999999997</v>
      </c>
      <c r="N307">
        <v>0</v>
      </c>
      <c r="O307">
        <v>4.9418089999999998E-2</v>
      </c>
      <c r="P307">
        <v>0.99534080000000003</v>
      </c>
      <c r="Q307">
        <v>5.0853159999999899E-3</v>
      </c>
      <c r="R307">
        <v>9.6286510000000006E-2</v>
      </c>
      <c r="S307">
        <v>3.001404</v>
      </c>
      <c r="T307">
        <v>-0.10301289999999901</v>
      </c>
      <c r="U307">
        <v>0.13204959999999999</v>
      </c>
      <c r="V307">
        <v>-4.6978800000000001E-2</v>
      </c>
      <c r="W307">
        <v>9.7381169999999993E-3</v>
      </c>
      <c r="X307">
        <v>0.99884839999999997</v>
      </c>
      <c r="Y307">
        <v>5.43894699999999E-3</v>
      </c>
      <c r="Z307">
        <v>-1.7870920000000001E-3</v>
      </c>
      <c r="AA307">
        <v>0.99998359999999997</v>
      </c>
      <c r="AB307">
        <v>30</v>
      </c>
      <c r="AC307">
        <v>30.485499999999899</v>
      </c>
      <c r="AD307">
        <v>-1.0574493641595</v>
      </c>
      <c r="AE307">
        <v>1.33879999999999</v>
      </c>
      <c r="AF307">
        <v>0.16918404337742199</v>
      </c>
      <c r="AG307">
        <v>-1.0574493641595</v>
      </c>
      <c r="AH307">
        <v>30.4778131782206</v>
      </c>
      <c r="AI307">
        <v>91.987090049093098</v>
      </c>
      <c r="AJ307">
        <v>89.681951194285702</v>
      </c>
      <c r="AK307">
        <v>30.496621428033801</v>
      </c>
    </row>
    <row r="308" spans="1:37" x14ac:dyDescent="0.2">
      <c r="A308" t="str">
        <f>"20200111160101496"</f>
        <v>20200111160101496</v>
      </c>
      <c r="B308" t="str">
        <f>"1578729661489721"</f>
        <v>1578729661489721</v>
      </c>
      <c r="C308" t="s">
        <v>37</v>
      </c>
      <c r="D308">
        <v>4.3774350000000002</v>
      </c>
      <c r="E308">
        <v>0.52069560000000004</v>
      </c>
      <c r="F308" t="s">
        <v>38</v>
      </c>
      <c r="G308">
        <v>-364.921999999999</v>
      </c>
      <c r="H308" s="1">
        <v>-2.260552E-6</v>
      </c>
      <c r="I308">
        <v>369.99130000000002</v>
      </c>
      <c r="J308">
        <v>-399.40989999999999</v>
      </c>
      <c r="K308">
        <v>1.058926</v>
      </c>
      <c r="L308">
        <v>368.49599999999998</v>
      </c>
      <c r="M308">
        <v>0.99876730000000002</v>
      </c>
      <c r="N308">
        <v>0</v>
      </c>
      <c r="O308">
        <v>4.9570389999999999E-2</v>
      </c>
      <c r="P308">
        <v>0.99536589999999903</v>
      </c>
      <c r="Q308">
        <v>8.8301969999999997E-3</v>
      </c>
      <c r="R308">
        <v>9.5753930000000001E-2</v>
      </c>
      <c r="S308">
        <v>3.0019230000000001</v>
      </c>
      <c r="T308">
        <v>-9.1220620000000002E-2</v>
      </c>
      <c r="U308">
        <v>0.13040160000000001</v>
      </c>
      <c r="V308">
        <v>-4.6294500000000002E-2</v>
      </c>
      <c r="W308">
        <v>1.141935E-2</v>
      </c>
      <c r="X308">
        <v>0.99886260000000004</v>
      </c>
      <c r="Y308">
        <v>6.1531249999999997E-3</v>
      </c>
      <c r="Z308">
        <v>-1.5978189999999899E-3</v>
      </c>
      <c r="AA308">
        <v>0.99997979999999997</v>
      </c>
      <c r="AB308">
        <v>30</v>
      </c>
      <c r="AC308">
        <v>34.487900000000003</v>
      </c>
      <c r="AD308">
        <v>-1.0589282605520001</v>
      </c>
      <c r="AE308">
        <v>1.49530000000004</v>
      </c>
      <c r="AF308">
        <v>0.21591945140170499</v>
      </c>
      <c r="AG308">
        <v>-1.0589282605520001</v>
      </c>
      <c r="AH308">
        <v>34.4871722626268</v>
      </c>
      <c r="AI308">
        <v>91.758679294772804</v>
      </c>
      <c r="AJ308">
        <v>89.6412836765805</v>
      </c>
      <c r="AK308">
        <v>34.5041012191679</v>
      </c>
    </row>
    <row r="309" spans="1:37" x14ac:dyDescent="0.2">
      <c r="A309" t="str">
        <f>"20200111160101519"</f>
        <v>20200111160101519</v>
      </c>
      <c r="B309" t="str">
        <f>"1578729661509240"</f>
        <v>1578729661509240</v>
      </c>
      <c r="C309" t="s">
        <v>37</v>
      </c>
      <c r="D309">
        <v>4.3721259999999997</v>
      </c>
      <c r="E309">
        <v>0.52071429999999996</v>
      </c>
      <c r="F309" t="s">
        <v>38</v>
      </c>
      <c r="G309">
        <v>-358.75439999999998</v>
      </c>
      <c r="H309" s="1">
        <v>-6.8235649999999999E-7</v>
      </c>
      <c r="I309">
        <v>370.23899999999998</v>
      </c>
      <c r="J309">
        <v>-399.0985</v>
      </c>
      <c r="K309">
        <v>1.060408</v>
      </c>
      <c r="L309">
        <v>368.51209999999998</v>
      </c>
      <c r="M309">
        <v>0.99876450000000006</v>
      </c>
      <c r="N309">
        <v>0</v>
      </c>
      <c r="O309">
        <v>4.9693870000000001E-2</v>
      </c>
      <c r="P309">
        <v>0.99541460000000004</v>
      </c>
      <c r="Q309">
        <v>9.8266510000000005E-3</v>
      </c>
      <c r="R309">
        <v>9.5150719999999994E-2</v>
      </c>
      <c r="S309">
        <v>3.002319</v>
      </c>
      <c r="T309">
        <v>-7.8199270000000001E-2</v>
      </c>
      <c r="U309">
        <v>0.12872310000000001</v>
      </c>
      <c r="V309">
        <v>-4.5564800000000003E-2</v>
      </c>
      <c r="W309">
        <v>1.0462870000000001E-2</v>
      </c>
      <c r="X309">
        <v>0.99890659999999898</v>
      </c>
      <c r="Y309">
        <v>6.8468499999999998E-3</v>
      </c>
      <c r="Z309">
        <v>-1.381895E-3</v>
      </c>
      <c r="AA309">
        <v>0.99997559999999996</v>
      </c>
      <c r="AB309">
        <v>31</v>
      </c>
      <c r="AC309">
        <v>40.344099999999997</v>
      </c>
      <c r="AD309">
        <v>-1.0604086823565</v>
      </c>
      <c r="AE309">
        <v>1.7269000000000501</v>
      </c>
      <c r="AF309">
        <v>0.279895031555978</v>
      </c>
      <c r="AG309">
        <v>-1.0604086823565</v>
      </c>
      <c r="AH309">
        <v>40.352244524594198</v>
      </c>
      <c r="AI309">
        <v>91.505281857333898</v>
      </c>
      <c r="AJ309">
        <v>89.602586001777794</v>
      </c>
      <c r="AK309">
        <v>40.367145625805001</v>
      </c>
    </row>
    <row r="310" spans="1:37" x14ac:dyDescent="0.2">
      <c r="A310" t="str">
        <f>"20200111160101541"</f>
        <v>20200111160101541</v>
      </c>
      <c r="B310" t="str">
        <f>"1578729661529739"</f>
        <v>1578729661529739</v>
      </c>
      <c r="C310" t="s">
        <v>37</v>
      </c>
      <c r="D310">
        <v>4.3885059999999996</v>
      </c>
      <c r="E310">
        <v>0.52071719999999999</v>
      </c>
      <c r="F310" t="s">
        <v>38</v>
      </c>
      <c r="G310">
        <v>-355.85300000000001</v>
      </c>
      <c r="H310" s="1">
        <v>-1.9521170000000002E-6</v>
      </c>
      <c r="I310">
        <v>370.33319999999998</v>
      </c>
      <c r="J310">
        <v>-398.79559999999998</v>
      </c>
      <c r="K310">
        <v>1.061869</v>
      </c>
      <c r="L310">
        <v>368.52760000000001</v>
      </c>
      <c r="M310">
        <v>0.99875780000000003</v>
      </c>
      <c r="N310">
        <v>0</v>
      </c>
      <c r="O310">
        <v>4.9814879999999999E-2</v>
      </c>
      <c r="P310">
        <v>0.99544480000000002</v>
      </c>
      <c r="Q310">
        <v>1.164159E-2</v>
      </c>
      <c r="R310">
        <v>9.462653E-2</v>
      </c>
      <c r="S310">
        <v>3.0025019999999998</v>
      </c>
      <c r="T310">
        <v>-7.3623240000000006E-2</v>
      </c>
      <c r="U310">
        <v>0.1264343</v>
      </c>
      <c r="V310">
        <v>-4.4916020000000001E-2</v>
      </c>
      <c r="W310">
        <v>1.053201E-2</v>
      </c>
      <c r="X310">
        <v>0.99893519999999902</v>
      </c>
      <c r="Y310">
        <v>7.7334300000000003E-3</v>
      </c>
      <c r="Z310">
        <v>-1.3148279999999899E-3</v>
      </c>
      <c r="AA310">
        <v>0.999969199999999</v>
      </c>
      <c r="AB310">
        <v>31</v>
      </c>
      <c r="AC310">
        <v>42.942599999999899</v>
      </c>
      <c r="AD310">
        <v>-1.061870952117</v>
      </c>
      <c r="AE310">
        <v>1.8055999999999699</v>
      </c>
      <c r="AF310">
        <v>0.33561875162976801</v>
      </c>
      <c r="AG310">
        <v>-1.061870952117</v>
      </c>
      <c r="AH310">
        <v>42.953013507692802</v>
      </c>
      <c r="AI310">
        <v>91.416116658264698</v>
      </c>
      <c r="AJ310">
        <v>89.552321360035293</v>
      </c>
      <c r="AK310">
        <v>42.967447902539398</v>
      </c>
    </row>
    <row r="311" spans="1:37" x14ac:dyDescent="0.2">
      <c r="A311" t="str">
        <f>"20200111160101562"</f>
        <v>20200111160101562</v>
      </c>
      <c r="B311" t="str">
        <f>"1578729661559992"</f>
        <v>1578729661559992</v>
      </c>
      <c r="C311" t="s">
        <v>37</v>
      </c>
      <c r="D311">
        <v>4.4580459999999897</v>
      </c>
      <c r="E311">
        <v>0.52076299999999998</v>
      </c>
      <c r="F311" t="s">
        <v>38</v>
      </c>
      <c r="G311">
        <v>-351.3888</v>
      </c>
      <c r="H311" s="1">
        <v>-3.9108750000000001E-6</v>
      </c>
      <c r="I311">
        <v>370.4973</v>
      </c>
      <c r="J311">
        <v>-398.4982</v>
      </c>
      <c r="K311">
        <v>1.0634379999999899</v>
      </c>
      <c r="L311">
        <v>368.54259999999999</v>
      </c>
      <c r="M311">
        <v>0.99875210000000003</v>
      </c>
      <c r="N311">
        <v>0</v>
      </c>
      <c r="O311">
        <v>4.9890570000000002E-2</v>
      </c>
      <c r="P311">
        <v>0.9955001</v>
      </c>
      <c r="Q311">
        <v>1.2795000000000001E-2</v>
      </c>
      <c r="R311">
        <v>9.3894210000000006E-2</v>
      </c>
      <c r="S311">
        <v>3.0026250000000001</v>
      </c>
      <c r="T311">
        <v>-6.7256209999999997E-2</v>
      </c>
      <c r="U311">
        <v>0.1247559</v>
      </c>
      <c r="V311">
        <v>-4.4103839999999998E-2</v>
      </c>
      <c r="W311">
        <v>1.057349E-2</v>
      </c>
      <c r="X311">
        <v>0.99897099999999905</v>
      </c>
      <c r="Y311">
        <v>8.3716880000000004E-3</v>
      </c>
      <c r="Z311">
        <v>-1.209957E-3</v>
      </c>
      <c r="AA311">
        <v>0.99996419999999997</v>
      </c>
      <c r="AB311">
        <v>31</v>
      </c>
      <c r="AC311">
        <v>47.109400000000001</v>
      </c>
      <c r="AD311">
        <v>-1.063441910875</v>
      </c>
      <c r="AE311">
        <v>1.9547000000000001</v>
      </c>
      <c r="AF311">
        <v>0.397852728851393</v>
      </c>
      <c r="AG311">
        <v>-1.063441910875</v>
      </c>
      <c r="AH311">
        <v>47.124282922764102</v>
      </c>
      <c r="AI311">
        <v>91.292714057070896</v>
      </c>
      <c r="AJ311">
        <v>89.516284615063995</v>
      </c>
      <c r="AK311">
        <v>47.137959612995303</v>
      </c>
    </row>
    <row r="312" spans="1:37" x14ac:dyDescent="0.2">
      <c r="A312" t="str">
        <f>"20200111160101585"</f>
        <v>20200111160101585</v>
      </c>
      <c r="B312" t="str">
        <f>"1578729661579512"</f>
        <v>1578729661579512</v>
      </c>
      <c r="C312" t="s">
        <v>37</v>
      </c>
      <c r="D312">
        <v>4.4355709999999897</v>
      </c>
      <c r="E312">
        <v>0.520845</v>
      </c>
      <c r="F312" t="s">
        <v>38</v>
      </c>
      <c r="G312">
        <v>-347.63330000000002</v>
      </c>
      <c r="H312" s="1">
        <v>-1.362897E-6</v>
      </c>
      <c r="I312">
        <v>370.60719999999998</v>
      </c>
      <c r="J312">
        <v>-398.1884</v>
      </c>
      <c r="K312">
        <v>1.065536</v>
      </c>
      <c r="L312">
        <v>368.55810000000002</v>
      </c>
      <c r="M312">
        <v>0.99875159999999996</v>
      </c>
      <c r="N312">
        <v>0</v>
      </c>
      <c r="O312">
        <v>4.9896299999999998E-2</v>
      </c>
      <c r="P312">
        <v>0.99552689999999999</v>
      </c>
      <c r="Q312">
        <v>1.3208599999999999E-2</v>
      </c>
      <c r="R312">
        <v>9.3552570000000002E-2</v>
      </c>
      <c r="S312">
        <v>3.002869</v>
      </c>
      <c r="T312">
        <v>-6.2781329999999996E-2</v>
      </c>
      <c r="U312">
        <v>0.1218872</v>
      </c>
      <c r="V312">
        <v>-4.3754069999999999E-2</v>
      </c>
      <c r="W312">
        <v>1.084337E-2</v>
      </c>
      <c r="X312">
        <v>0.99898349999999903</v>
      </c>
      <c r="Y312">
        <v>9.3361290000000003E-3</v>
      </c>
      <c r="Z312">
        <v>-1.139604E-3</v>
      </c>
      <c r="AA312">
        <v>0.99995579999999995</v>
      </c>
      <c r="AB312">
        <v>31</v>
      </c>
      <c r="AC312">
        <v>50.555099999999896</v>
      </c>
      <c r="AD312">
        <v>-1.065537362897</v>
      </c>
      <c r="AE312">
        <v>2.04909999999995</v>
      </c>
      <c r="AF312">
        <v>0.475760865088659</v>
      </c>
      <c r="AG312">
        <v>-1.065537362897</v>
      </c>
      <c r="AH312">
        <v>50.571942501704903</v>
      </c>
      <c r="AI312">
        <v>91.206974832554707</v>
      </c>
      <c r="AJ312">
        <v>89.460999832107603</v>
      </c>
      <c r="AK312">
        <v>50.5854038895434</v>
      </c>
    </row>
    <row r="313" spans="1:37" x14ac:dyDescent="0.2">
      <c r="A313" t="str">
        <f>"20200111160101608"</f>
        <v>20200111160101608</v>
      </c>
      <c r="B313" t="str">
        <f>"1578729661600008"</f>
        <v>1578729661600008</v>
      </c>
      <c r="C313" t="s">
        <v>37</v>
      </c>
      <c r="D313">
        <v>4.4732149999999997</v>
      </c>
      <c r="E313">
        <v>0.52085630000000005</v>
      </c>
      <c r="F313" t="s">
        <v>38</v>
      </c>
      <c r="G313">
        <v>-345.10489999999999</v>
      </c>
      <c r="H313" s="1">
        <v>-2.5788479999999998E-6</v>
      </c>
      <c r="I313">
        <v>370.68520000000001</v>
      </c>
      <c r="J313">
        <v>-397.86849999999998</v>
      </c>
      <c r="K313">
        <v>1.0681389999999999</v>
      </c>
      <c r="L313">
        <v>368.57389999999998</v>
      </c>
      <c r="M313">
        <v>0.99875709999999995</v>
      </c>
      <c r="N313">
        <v>0</v>
      </c>
      <c r="O313">
        <v>4.9798889999999998E-2</v>
      </c>
      <c r="P313">
        <v>0.99553289999999905</v>
      </c>
      <c r="Q313">
        <v>1.44256E-2</v>
      </c>
      <c r="R313">
        <v>9.3309169999999997E-2</v>
      </c>
      <c r="S313">
        <v>3.0029599999999999</v>
      </c>
      <c r="T313">
        <v>-6.0277940000000002E-2</v>
      </c>
      <c r="U313">
        <v>0.1203308</v>
      </c>
      <c r="V313">
        <v>-4.3607090000000001E-2</v>
      </c>
      <c r="W313">
        <v>1.2317170000000001E-2</v>
      </c>
      <c r="X313">
        <v>0.99897279999999999</v>
      </c>
      <c r="Y313">
        <v>9.7581730000000002E-3</v>
      </c>
      <c r="Z313">
        <v>-1.096435E-3</v>
      </c>
      <c r="AA313">
        <v>0.99995179999999995</v>
      </c>
      <c r="AB313">
        <v>31</v>
      </c>
      <c r="AC313">
        <v>52.763599999999997</v>
      </c>
      <c r="AD313">
        <v>-1.068141578848</v>
      </c>
      <c r="AE313">
        <v>2.1113000000000199</v>
      </c>
      <c r="AF313">
        <v>0.51868174525538002</v>
      </c>
      <c r="AG313">
        <v>-1.068141578848</v>
      </c>
      <c r="AH313">
        <v>52.781678532759798</v>
      </c>
      <c r="AI313">
        <v>91.159279129646094</v>
      </c>
      <c r="AJ313">
        <v>89.436976633206498</v>
      </c>
      <c r="AK313">
        <v>52.795033345201396</v>
      </c>
    </row>
    <row r="314" spans="1:37" x14ac:dyDescent="0.2">
      <c r="A314" t="str">
        <f>"20200111160101630"</f>
        <v>20200111160101630</v>
      </c>
      <c r="B314" t="str">
        <f>"1578729661619532"</f>
        <v>1578729661619532</v>
      </c>
      <c r="C314" t="s">
        <v>37</v>
      </c>
      <c r="D314">
        <v>4.4521990000000002</v>
      </c>
      <c r="E314">
        <v>0.52086829999999995</v>
      </c>
      <c r="F314" t="s">
        <v>38</v>
      </c>
      <c r="G314">
        <v>-341.13380000000001</v>
      </c>
      <c r="H314" s="1">
        <v>-4.4913699999999902E-6</v>
      </c>
      <c r="I314">
        <v>370.83099999999899</v>
      </c>
      <c r="J314">
        <v>-397.57069999999999</v>
      </c>
      <c r="K314">
        <v>1.070694</v>
      </c>
      <c r="L314">
        <v>368.58850000000001</v>
      </c>
      <c r="M314">
        <v>0.99876669999999901</v>
      </c>
      <c r="N314">
        <v>0</v>
      </c>
      <c r="O314">
        <v>4.9599589999999999E-2</v>
      </c>
      <c r="P314">
        <v>0.99548429999999999</v>
      </c>
      <c r="Q314">
        <v>1.5181170000000001E-2</v>
      </c>
      <c r="R314">
        <v>9.3704860000000001E-2</v>
      </c>
      <c r="S314">
        <v>3.0031129999999999</v>
      </c>
      <c r="T314">
        <v>-5.6539539999999999E-2</v>
      </c>
      <c r="U314">
        <v>0.11947629999999999</v>
      </c>
      <c r="V314">
        <v>-4.4203579999999999E-2</v>
      </c>
      <c r="W314">
        <v>1.295751E-2</v>
      </c>
      <c r="X314">
        <v>0.99893849999999995</v>
      </c>
      <c r="Y314">
        <v>9.846222E-3</v>
      </c>
      <c r="Z314">
        <v>-1.0254859999999999E-3</v>
      </c>
      <c r="AA314">
        <v>0.99995100000000003</v>
      </c>
      <c r="AB314">
        <v>31</v>
      </c>
      <c r="AC314">
        <v>56.436899999999902</v>
      </c>
      <c r="AD314">
        <v>-1.0706984913699999</v>
      </c>
      <c r="AE314">
        <v>2.24249999999995</v>
      </c>
      <c r="AF314">
        <v>0.55931317198160702</v>
      </c>
      <c r="AG314">
        <v>-1.0706984913699999</v>
      </c>
      <c r="AH314">
        <v>56.458374944833103</v>
      </c>
      <c r="AI314">
        <v>91.086395825789893</v>
      </c>
      <c r="AJ314">
        <v>89.432409524445603</v>
      </c>
      <c r="AK314">
        <v>56.471296495610403</v>
      </c>
    </row>
    <row r="315" spans="1:37" x14ac:dyDescent="0.2">
      <c r="A315" t="str">
        <f>"20200111160101652"</f>
        <v>20200111160101652</v>
      </c>
      <c r="B315" t="str">
        <f>"1578729661649784"</f>
        <v>1578729661649784</v>
      </c>
      <c r="C315" t="s">
        <v>37</v>
      </c>
      <c r="D315">
        <v>4.4816370000000001</v>
      </c>
      <c r="E315">
        <v>0.52069849999999995</v>
      </c>
      <c r="F315" t="s">
        <v>38</v>
      </c>
      <c r="G315">
        <v>-337.71859999999998</v>
      </c>
      <c r="H315" s="1">
        <v>-1.3262909999999899E-6</v>
      </c>
      <c r="I315">
        <v>370.98910000000001</v>
      </c>
      <c r="J315">
        <v>-397.25959999999998</v>
      </c>
      <c r="K315">
        <v>1.0734870000000001</v>
      </c>
      <c r="L315">
        <v>368.60359999999997</v>
      </c>
      <c r="M315">
        <v>0.998779999999999</v>
      </c>
      <c r="N315">
        <v>0</v>
      </c>
      <c r="O315">
        <v>4.932603E-2</v>
      </c>
      <c r="P315">
        <v>0.99549599999999905</v>
      </c>
      <c r="Q315">
        <v>1.35092999999999E-2</v>
      </c>
      <c r="R315">
        <v>9.383727E-2</v>
      </c>
      <c r="S315">
        <v>3.003082</v>
      </c>
      <c r="T315">
        <v>-5.3722140000000002E-2</v>
      </c>
      <c r="U315">
        <v>0.1204529</v>
      </c>
      <c r="V315">
        <v>-4.4610850000000001E-2</v>
      </c>
      <c r="W315">
        <v>1.117427E-2</v>
      </c>
      <c r="X315">
        <v>0.998942</v>
      </c>
      <c r="Y315">
        <v>9.2484509999999995E-3</v>
      </c>
      <c r="Z315">
        <v>-9.6416729999999895E-4</v>
      </c>
      <c r="AA315">
        <v>0.99995679999999998</v>
      </c>
      <c r="AB315">
        <v>31</v>
      </c>
      <c r="AC315">
        <v>59.540999999999997</v>
      </c>
      <c r="AD315">
        <v>-1.073488326291</v>
      </c>
      <c r="AE315">
        <v>2.3855000000000302</v>
      </c>
      <c r="AF315">
        <v>0.55415313013401202</v>
      </c>
      <c r="AG315">
        <v>-1.073488326291</v>
      </c>
      <c r="AH315">
        <v>59.566858005697902</v>
      </c>
      <c r="AI315">
        <v>91.032403498289298</v>
      </c>
      <c r="AJ315">
        <v>89.466990190502798</v>
      </c>
      <c r="AK315">
        <v>59.579107374559598</v>
      </c>
    </row>
    <row r="316" spans="1:37" x14ac:dyDescent="0.2">
      <c r="A316" t="str">
        <f>"20200111160101675"</f>
        <v>20200111160101675</v>
      </c>
      <c r="B316" t="str">
        <f>"1578729661669304"</f>
        <v>1578729661669304</v>
      </c>
      <c r="C316" t="s">
        <v>37</v>
      </c>
      <c r="D316">
        <v>4.6561219999999999</v>
      </c>
      <c r="E316">
        <v>0.52073219999999998</v>
      </c>
      <c r="F316" t="s">
        <v>38</v>
      </c>
      <c r="G316">
        <v>-342.69979999999998</v>
      </c>
      <c r="H316" s="1">
        <v>-3.7536419999999998E-6</v>
      </c>
      <c r="I316">
        <v>370.82760000000002</v>
      </c>
      <c r="J316">
        <v>-396.94330000000002</v>
      </c>
      <c r="K316">
        <v>1.076443</v>
      </c>
      <c r="L316">
        <v>368.6189</v>
      </c>
      <c r="M316">
        <v>0.99879560000000001</v>
      </c>
      <c r="N316">
        <v>0</v>
      </c>
      <c r="O316">
        <v>4.9019599999999899E-2</v>
      </c>
      <c r="P316">
        <v>0.99553769999999997</v>
      </c>
      <c r="Q316">
        <v>1.0964079999999999E-2</v>
      </c>
      <c r="R316">
        <v>9.3726019999999993E-2</v>
      </c>
      <c r="S316">
        <v>3.0028990000000002</v>
      </c>
      <c r="T316">
        <v>-5.9083459999999997E-2</v>
      </c>
      <c r="U316">
        <v>0.122406</v>
      </c>
      <c r="V316">
        <v>-4.4805280000000003E-2</v>
      </c>
      <c r="W316">
        <v>8.8502839999999999E-3</v>
      </c>
      <c r="X316">
        <v>0.99895659999999897</v>
      </c>
      <c r="Y316">
        <v>8.2881510000000005E-3</v>
      </c>
      <c r="Z316">
        <v>-1.044957E-3</v>
      </c>
      <c r="AA316">
        <v>0.99996509999999905</v>
      </c>
      <c r="AB316">
        <v>31</v>
      </c>
      <c r="AC316">
        <v>54.243499999999997</v>
      </c>
      <c r="AD316">
        <v>-1.0764467536419999</v>
      </c>
      <c r="AE316">
        <v>2.2087000000000199</v>
      </c>
      <c r="AF316">
        <v>0.45277781927565097</v>
      </c>
      <c r="AG316">
        <v>-1.0764467536419999</v>
      </c>
      <c r="AH316">
        <v>54.265223955625103</v>
      </c>
      <c r="AI316">
        <v>91.136374597931095</v>
      </c>
      <c r="AJ316">
        <v>89.521946944800902</v>
      </c>
      <c r="AK316">
        <v>54.277788056636901</v>
      </c>
    </row>
    <row r="317" spans="1:37" x14ac:dyDescent="0.2">
      <c r="A317" t="str">
        <f>"20200111160101698"</f>
        <v>20200111160101698</v>
      </c>
      <c r="B317" t="str">
        <f>"1578729661689802"</f>
        <v>1578729661689802</v>
      </c>
      <c r="C317" t="s">
        <v>37</v>
      </c>
      <c r="D317">
        <v>4.6399210000000002</v>
      </c>
      <c r="E317">
        <v>0.52095040000000004</v>
      </c>
      <c r="F317" t="s">
        <v>38</v>
      </c>
      <c r="G317">
        <v>-348.1995</v>
      </c>
      <c r="H317" s="1">
        <v>-1.0914860000000001E-6</v>
      </c>
      <c r="I317">
        <v>370.59309999999999</v>
      </c>
      <c r="J317">
        <v>-396.61110000000002</v>
      </c>
      <c r="K317">
        <v>1.0795379999999899</v>
      </c>
      <c r="L317">
        <v>368.63479999999998</v>
      </c>
      <c r="M317">
        <v>0.99881379999999997</v>
      </c>
      <c r="N317">
        <v>0</v>
      </c>
      <c r="O317">
        <v>4.8666229999999998E-2</v>
      </c>
      <c r="P317">
        <v>0.99555649999999996</v>
      </c>
      <c r="Q317">
        <v>9.0899339999999992E-3</v>
      </c>
      <c r="R317">
        <v>9.3727240000000003E-2</v>
      </c>
      <c r="S317">
        <v>3.0027159999999999</v>
      </c>
      <c r="T317">
        <v>-6.6311120000000001E-2</v>
      </c>
      <c r="U317">
        <v>0.1216125</v>
      </c>
      <c r="V317">
        <v>-4.5160169999999999E-2</v>
      </c>
      <c r="W317">
        <v>7.508987E-3</v>
      </c>
      <c r="X317">
        <v>0.99895159999999905</v>
      </c>
      <c r="Y317">
        <v>8.1928780000000007E-3</v>
      </c>
      <c r="Z317">
        <v>-1.1639949999999999E-3</v>
      </c>
      <c r="AA317">
        <v>0.99996580000000002</v>
      </c>
      <c r="AB317">
        <v>32</v>
      </c>
      <c r="AC317">
        <v>48.4116</v>
      </c>
      <c r="AD317">
        <v>-1.0795390914859999</v>
      </c>
      <c r="AE317">
        <v>1.9582999999999999</v>
      </c>
      <c r="AF317">
        <v>0.39983501938890298</v>
      </c>
      <c r="AG317">
        <v>-1.0795390914859999</v>
      </c>
      <c r="AH317">
        <v>48.425499590852901</v>
      </c>
      <c r="AI317">
        <v>91.2770272646884</v>
      </c>
      <c r="AJ317">
        <v>89.526936454191002</v>
      </c>
      <c r="AK317">
        <v>48.439181282474898</v>
      </c>
    </row>
    <row r="318" spans="1:37" x14ac:dyDescent="0.2">
      <c r="A318" t="str">
        <f>"20200111160101721"</f>
        <v>20200111160101721</v>
      </c>
      <c r="B318" t="str">
        <f>"1578729661709320"</f>
        <v>1578729661709320</v>
      </c>
      <c r="C318" t="s">
        <v>37</v>
      </c>
      <c r="D318">
        <v>4.6448650000000002</v>
      </c>
      <c r="E318">
        <v>0.52112219999999998</v>
      </c>
      <c r="F318" t="s">
        <v>38</v>
      </c>
      <c r="G318">
        <v>-350.11149999999998</v>
      </c>
      <c r="H318" s="1">
        <v>-4.3924779999999997E-6</v>
      </c>
      <c r="I318">
        <v>370.48680000000002</v>
      </c>
      <c r="J318">
        <v>-396.291</v>
      </c>
      <c r="K318">
        <v>1.082387</v>
      </c>
      <c r="L318">
        <v>368.65</v>
      </c>
      <c r="M318">
        <v>0.99883299999999997</v>
      </c>
      <c r="N318">
        <v>0</v>
      </c>
      <c r="O318">
        <v>4.8288520000000001E-2</v>
      </c>
      <c r="P318">
        <v>0.99557189999999995</v>
      </c>
      <c r="Q318">
        <v>7.6574030000000001E-3</v>
      </c>
      <c r="R318">
        <v>9.3691679999999999E-2</v>
      </c>
      <c r="S318">
        <v>3.002777</v>
      </c>
      <c r="T318">
        <v>-6.9712999999999997E-2</v>
      </c>
      <c r="U318">
        <v>0.11959839999999999</v>
      </c>
      <c r="V318">
        <v>-4.5501949999999999E-2</v>
      </c>
      <c r="W318">
        <v>6.731285E-3</v>
      </c>
      <c r="X318">
        <v>0.99894159999999899</v>
      </c>
      <c r="Y318">
        <v>8.4837409999999995E-3</v>
      </c>
      <c r="Z318">
        <v>-1.218312E-3</v>
      </c>
      <c r="AA318">
        <v>0.9999633</v>
      </c>
      <c r="AB318">
        <v>32</v>
      </c>
      <c r="AC318">
        <v>46.179499999999997</v>
      </c>
      <c r="AD318">
        <v>-1.082391392478</v>
      </c>
      <c r="AE318">
        <v>1.83680000000003</v>
      </c>
      <c r="AF318">
        <v>0.395066726698938</v>
      </c>
      <c r="AG318">
        <v>-1.082391392478</v>
      </c>
      <c r="AH318">
        <v>46.188989607491798</v>
      </c>
      <c r="AI318">
        <v>91.342372794077804</v>
      </c>
      <c r="AJ318">
        <v>89.509945892156907</v>
      </c>
      <c r="AK318">
        <v>46.203359291355</v>
      </c>
    </row>
    <row r="319" spans="1:37" x14ac:dyDescent="0.2">
      <c r="A319" t="str">
        <f>"20200111160101742"</f>
        <v>20200111160101742</v>
      </c>
      <c r="B319" t="str">
        <f>"1578729661739576"</f>
        <v>1578729661739576</v>
      </c>
      <c r="C319" t="s">
        <v>37</v>
      </c>
      <c r="D319">
        <v>4.707897</v>
      </c>
      <c r="E319">
        <v>0.52120739999999999</v>
      </c>
      <c r="F319" t="s">
        <v>38</v>
      </c>
      <c r="G319">
        <v>-351.56819999999999</v>
      </c>
      <c r="H319" s="1">
        <v>-3.8112789999999999E-6</v>
      </c>
      <c r="I319">
        <v>370.41219999999998</v>
      </c>
      <c r="J319">
        <v>-395.98410000000001</v>
      </c>
      <c r="K319">
        <v>1.0849359999999999</v>
      </c>
      <c r="L319">
        <v>368.6644</v>
      </c>
      <c r="M319">
        <v>0.99885279999999999</v>
      </c>
      <c r="N319">
        <v>0</v>
      </c>
      <c r="O319">
        <v>4.7887430000000002E-2</v>
      </c>
      <c r="P319">
        <v>0.99557229999999997</v>
      </c>
      <c r="Q319">
        <v>6.6008100000000004E-3</v>
      </c>
      <c r="R319">
        <v>9.3768370000000004E-2</v>
      </c>
      <c r="S319">
        <v>3.0027469999999998</v>
      </c>
      <c r="T319">
        <v>-7.2673080000000001E-2</v>
      </c>
      <c r="U319">
        <v>0.1183167</v>
      </c>
      <c r="V319">
        <v>-4.5979819999999998E-2</v>
      </c>
      <c r="W319">
        <v>6.3498239999999996E-3</v>
      </c>
      <c r="X319">
        <v>0.99892219999999998</v>
      </c>
      <c r="Y319">
        <v>8.5067289999999993E-3</v>
      </c>
      <c r="Z319">
        <v>-1.2606430000000001E-3</v>
      </c>
      <c r="AA319">
        <v>0.99996299999999905</v>
      </c>
      <c r="AB319">
        <v>32</v>
      </c>
      <c r="AC319">
        <v>44.415900000000001</v>
      </c>
      <c r="AD319">
        <v>-1.0849398112790001</v>
      </c>
      <c r="AE319">
        <v>1.74779999999998</v>
      </c>
      <c r="AF319">
        <v>0.38094141006988802</v>
      </c>
      <c r="AG319">
        <v>-1.0849398112790001</v>
      </c>
      <c r="AH319">
        <v>44.422176607950298</v>
      </c>
      <c r="AI319">
        <v>91.399027179333203</v>
      </c>
      <c r="AJ319">
        <v>89.508673331626596</v>
      </c>
      <c r="AK319">
        <v>44.437056443242597</v>
      </c>
    </row>
    <row r="320" spans="1:37" x14ac:dyDescent="0.2">
      <c r="A320" t="str">
        <f>"20200111160101763"</f>
        <v>20200111160101763</v>
      </c>
      <c r="B320" t="str">
        <f>"1578729661760073"</f>
        <v>1578729661760073</v>
      </c>
      <c r="C320" t="s">
        <v>37</v>
      </c>
      <c r="D320">
        <v>4.6877190000000004</v>
      </c>
      <c r="E320">
        <v>0.52135690000000001</v>
      </c>
      <c r="F320" t="s">
        <v>38</v>
      </c>
      <c r="G320">
        <v>-352.38049999999998</v>
      </c>
      <c r="H320" s="1">
        <v>-3.4523340000000001E-6</v>
      </c>
      <c r="I320">
        <v>370.37270000000001</v>
      </c>
      <c r="J320">
        <v>-395.6737</v>
      </c>
      <c r="K320">
        <v>1.087302</v>
      </c>
      <c r="L320">
        <v>368.67880000000002</v>
      </c>
      <c r="M320">
        <v>0.99887369999999898</v>
      </c>
      <c r="N320">
        <v>0</v>
      </c>
      <c r="O320">
        <v>4.7451800000000002E-2</v>
      </c>
      <c r="P320">
        <v>0.99563250000000003</v>
      </c>
      <c r="Q320">
        <v>6.62161E-3</v>
      </c>
      <c r="R320">
        <v>9.3126009999999995E-2</v>
      </c>
      <c r="S320">
        <v>3.0026860000000002</v>
      </c>
      <c r="T320">
        <v>-7.4712280000000006E-2</v>
      </c>
      <c r="U320">
        <v>0.11764529999999999</v>
      </c>
      <c r="V320">
        <v>-4.5770030000000003E-2</v>
      </c>
      <c r="W320">
        <v>7.0583869999999898E-3</v>
      </c>
      <c r="X320">
        <v>0.99892709999999996</v>
      </c>
      <c r="Y320">
        <v>8.292331E-3</v>
      </c>
      <c r="Z320">
        <v>-1.282554E-3</v>
      </c>
      <c r="AA320">
        <v>0.99996479999999999</v>
      </c>
      <c r="AB320">
        <v>32</v>
      </c>
      <c r="AC320">
        <v>43.293199999999999</v>
      </c>
      <c r="AD320">
        <v>-1.087305452334</v>
      </c>
      <c r="AE320">
        <v>1.69389999999998</v>
      </c>
      <c r="AF320">
        <v>0.36211998392503503</v>
      </c>
      <c r="AG320">
        <v>-1.087305452334</v>
      </c>
      <c r="AH320">
        <v>43.297541478637498</v>
      </c>
      <c r="AI320">
        <v>91.438482260657594</v>
      </c>
      <c r="AJ320">
        <v>89.520816602852904</v>
      </c>
      <c r="AK320">
        <v>43.312705550724502</v>
      </c>
    </row>
    <row r="321" spans="1:37" x14ac:dyDescent="0.2">
      <c r="A321" t="str">
        <f>"20200111160101787"</f>
        <v>20200111160101787</v>
      </c>
      <c r="B321" t="str">
        <f>"1578729661779592"</f>
        <v>1578729661779592</v>
      </c>
      <c r="C321" t="s">
        <v>37</v>
      </c>
      <c r="D321">
        <v>4.7823919999999998</v>
      </c>
      <c r="E321">
        <v>0.52154940000000005</v>
      </c>
      <c r="F321" t="s">
        <v>38</v>
      </c>
      <c r="G321">
        <v>-351.34480000000002</v>
      </c>
      <c r="H321" s="1">
        <v>-3.8955089999999998E-6</v>
      </c>
      <c r="I321">
        <v>370.36860000000001</v>
      </c>
      <c r="J321">
        <v>-395.34460000000001</v>
      </c>
      <c r="K321">
        <v>1.089564</v>
      </c>
      <c r="L321">
        <v>368.69400000000002</v>
      </c>
      <c r="M321">
        <v>0.9988958</v>
      </c>
      <c r="N321">
        <v>0</v>
      </c>
      <c r="O321">
        <v>4.6970360000000003E-2</v>
      </c>
      <c r="P321">
        <v>0.99572320000000003</v>
      </c>
      <c r="Q321">
        <v>7.3298919999999898E-3</v>
      </c>
      <c r="R321">
        <v>9.2095869999999996E-2</v>
      </c>
      <c r="S321">
        <v>3.0028990000000002</v>
      </c>
      <c r="T321">
        <v>-7.3655490000000004E-2</v>
      </c>
      <c r="U321">
        <v>0.1144714</v>
      </c>
      <c r="V321">
        <v>-4.5217460000000001E-2</v>
      </c>
      <c r="W321">
        <v>8.4745510000000003E-3</v>
      </c>
      <c r="X321">
        <v>0.99894119999999997</v>
      </c>
      <c r="Y321">
        <v>8.8689430000000007E-3</v>
      </c>
      <c r="Z321">
        <v>-1.2596420000000001E-3</v>
      </c>
      <c r="AA321">
        <v>0.99995990000000001</v>
      </c>
      <c r="AB321">
        <v>32</v>
      </c>
      <c r="AC321">
        <v>43.999799999999901</v>
      </c>
      <c r="AD321">
        <v>-1.089567895509</v>
      </c>
      <c r="AE321">
        <v>1.6745999999999901</v>
      </c>
      <c r="AF321">
        <v>0.393694662339857</v>
      </c>
      <c r="AG321">
        <v>-1.089567895509</v>
      </c>
      <c r="AH321">
        <v>44.002949359090302</v>
      </c>
      <c r="AI321">
        <v>91.418368359906594</v>
      </c>
      <c r="AJ321">
        <v>89.487387981092695</v>
      </c>
      <c r="AK321">
        <v>44.018197441339403</v>
      </c>
    </row>
    <row r="322" spans="1:37" x14ac:dyDescent="0.2">
      <c r="A322" t="str">
        <f>"20200111160101810"</f>
        <v>20200111160101810</v>
      </c>
      <c r="B322" t="str">
        <f>"1578729661800100"</f>
        <v>1578729661800100</v>
      </c>
      <c r="C322" t="s">
        <v>37</v>
      </c>
      <c r="D322">
        <v>4.7532389999999998</v>
      </c>
      <c r="E322">
        <v>0.52163359999999903</v>
      </c>
      <c r="F322" t="s">
        <v>38</v>
      </c>
      <c r="G322">
        <v>-348.47430000000003</v>
      </c>
      <c r="H322" s="1">
        <v>-9.1209449999999998E-7</v>
      </c>
      <c r="I322">
        <v>370.40719999999999</v>
      </c>
      <c r="J322">
        <v>-395.01249999999999</v>
      </c>
      <c r="K322">
        <v>1.0915649999999999</v>
      </c>
      <c r="L322">
        <v>368.70909999999998</v>
      </c>
      <c r="M322">
        <v>0.99891799999999997</v>
      </c>
      <c r="N322">
        <v>0</v>
      </c>
      <c r="O322">
        <v>4.6473250000000001E-2</v>
      </c>
      <c r="P322">
        <v>0.99575259999999999</v>
      </c>
      <c r="Q322">
        <v>5.946804E-3</v>
      </c>
      <c r="R322">
        <v>9.1878130000000002E-2</v>
      </c>
      <c r="S322">
        <v>3.0032040000000002</v>
      </c>
      <c r="T322">
        <v>-6.9813730000000004E-2</v>
      </c>
      <c r="U322">
        <v>0.109771699999999</v>
      </c>
      <c r="V322">
        <v>-4.5495899999999999E-2</v>
      </c>
      <c r="W322">
        <v>7.7640869999999898E-3</v>
      </c>
      <c r="X322">
        <v>0.99893430000000005</v>
      </c>
      <c r="Y322">
        <v>9.9394269999999903E-3</v>
      </c>
      <c r="Z322">
        <v>-1.1947850000000001E-3</v>
      </c>
      <c r="AA322">
        <v>0.99994989999999995</v>
      </c>
      <c r="AB322">
        <v>32</v>
      </c>
      <c r="AC322">
        <v>46.538199999999897</v>
      </c>
      <c r="AD322">
        <v>-1.0915659120944901</v>
      </c>
      <c r="AE322">
        <v>1.6981000000000099</v>
      </c>
      <c r="AF322">
        <v>0.46626328912446102</v>
      </c>
      <c r="AG322">
        <v>-1.0915659120944901</v>
      </c>
      <c r="AH322">
        <v>46.541262677306896</v>
      </c>
      <c r="AI322">
        <v>91.343485667555399</v>
      </c>
      <c r="AJ322">
        <v>89.426014178165502</v>
      </c>
      <c r="AK322">
        <v>46.556396436937803</v>
      </c>
    </row>
    <row r="323" spans="1:37" x14ac:dyDescent="0.2">
      <c r="A323" t="str">
        <f>"20200111160101831"</f>
        <v>20200111160101831</v>
      </c>
      <c r="B323" t="str">
        <f>"1578729661819612"</f>
        <v>1578729661819612</v>
      </c>
      <c r="C323" t="s">
        <v>37</v>
      </c>
      <c r="D323">
        <v>9.064254</v>
      </c>
      <c r="E323">
        <v>0.52174189999999998</v>
      </c>
      <c r="F323" t="s">
        <v>38</v>
      </c>
      <c r="G323">
        <v>-349.9538</v>
      </c>
      <c r="H323" s="1">
        <v>-1.932992E-7</v>
      </c>
      <c r="I323">
        <v>370.33409999999998</v>
      </c>
      <c r="J323">
        <v>-394.70690000000002</v>
      </c>
      <c r="K323">
        <v>1.093178</v>
      </c>
      <c r="L323">
        <v>368.72280000000001</v>
      </c>
      <c r="M323">
        <v>0.99893829999999995</v>
      </c>
      <c r="N323">
        <v>0</v>
      </c>
      <c r="O323">
        <v>4.6011490000000002E-2</v>
      </c>
      <c r="P323">
        <v>0.9957741</v>
      </c>
      <c r="Q323">
        <v>3.3570290000000001E-3</v>
      </c>
      <c r="R323">
        <v>9.1775590000000004E-2</v>
      </c>
      <c r="S323">
        <v>3.0032349999999899</v>
      </c>
      <c r="T323">
        <v>-7.27545E-2</v>
      </c>
      <c r="U323">
        <v>0.1083069</v>
      </c>
      <c r="V323">
        <v>-4.5855670000000001E-2</v>
      </c>
      <c r="W323">
        <v>5.7461580000000003E-3</v>
      </c>
      <c r="X323">
        <v>0.99893149999999997</v>
      </c>
      <c r="Y323">
        <v>9.9635190000000005E-3</v>
      </c>
      <c r="Z323">
        <v>-1.234225E-3</v>
      </c>
      <c r="AA323">
        <v>0.99994959999999899</v>
      </c>
      <c r="AB323">
        <v>32</v>
      </c>
      <c r="AC323">
        <v>44.753100000000003</v>
      </c>
      <c r="AD323">
        <v>-1.0931781932992</v>
      </c>
      <c r="AE323">
        <v>1.61129999999997</v>
      </c>
      <c r="AF323">
        <v>0.44930096446791201</v>
      </c>
      <c r="AG323">
        <v>-1.0931781932992</v>
      </c>
      <c r="AH323">
        <v>44.753172328801398</v>
      </c>
      <c r="AI323">
        <v>91.399205601292707</v>
      </c>
      <c r="AJ323">
        <v>89.424796437701005</v>
      </c>
      <c r="AK323">
        <v>44.768776434144101</v>
      </c>
    </row>
    <row r="324" spans="1:37" x14ac:dyDescent="0.2">
      <c r="A324" t="str">
        <f>"20200111160101865"</f>
        <v>20200111160101865</v>
      </c>
      <c r="B324" t="str">
        <f>"1578729661859624"</f>
        <v>1578729661859624</v>
      </c>
      <c r="C324" t="s">
        <v>37</v>
      </c>
      <c r="D324">
        <v>4.5531559999999898</v>
      </c>
      <c r="E324">
        <v>0.64486060000000001</v>
      </c>
      <c r="F324" t="s">
        <v>38</v>
      </c>
      <c r="G324">
        <v>-353.55950000000001</v>
      </c>
      <c r="H324" s="1">
        <v>-2.8977879999999899E-6</v>
      </c>
      <c r="I324">
        <v>370.18959999999998</v>
      </c>
      <c r="J324">
        <v>-394.2217</v>
      </c>
      <c r="K324">
        <v>1.0953329999999999</v>
      </c>
      <c r="L324">
        <v>368.74450000000002</v>
      </c>
      <c r="M324">
        <v>0.99896949999999995</v>
      </c>
      <c r="N324">
        <v>0</v>
      </c>
      <c r="O324">
        <v>4.5277640000000001E-2</v>
      </c>
      <c r="P324">
        <v>0.99572430000000001</v>
      </c>
      <c r="Q324">
        <v>3.8202549999999998E-3</v>
      </c>
      <c r="R324">
        <v>9.2296000000000003E-2</v>
      </c>
      <c r="S324">
        <v>3.003174</v>
      </c>
      <c r="T324">
        <v>-7.9786540000000003E-2</v>
      </c>
      <c r="U324">
        <v>0.1070557</v>
      </c>
      <c r="V324">
        <v>-4.711038E-2</v>
      </c>
      <c r="W324">
        <v>7.021195E-3</v>
      </c>
      <c r="X324">
        <v>0.998865</v>
      </c>
      <c r="Y324">
        <v>9.6414389999999999E-3</v>
      </c>
      <c r="Z324">
        <v>-1.3297820000000001E-3</v>
      </c>
      <c r="AA324">
        <v>0.99995259999999997</v>
      </c>
      <c r="AB324">
        <v>32</v>
      </c>
      <c r="AC324">
        <v>40.662199999999899</v>
      </c>
      <c r="AD324">
        <v>-1.0953358977879999</v>
      </c>
      <c r="AE324">
        <v>1.4450999999999601</v>
      </c>
      <c r="AF324">
        <v>0.39719174186362199</v>
      </c>
      <c r="AG324">
        <v>-1.0953358977879999</v>
      </c>
      <c r="AH324">
        <v>40.656464996757798</v>
      </c>
      <c r="AI324">
        <v>91.543172882193602</v>
      </c>
      <c r="AJ324">
        <v>89.440268933797199</v>
      </c>
      <c r="AK324">
        <v>40.673156602867401</v>
      </c>
    </row>
    <row r="325" spans="1:37" x14ac:dyDescent="0.2">
      <c r="A325" t="str">
        <f>"20200111160101887"</f>
        <v>20200111160101887</v>
      </c>
      <c r="B325" t="str">
        <f>"1578729661879143"</f>
        <v>1578729661879143</v>
      </c>
      <c r="C325" t="s">
        <v>37</v>
      </c>
      <c r="D325">
        <v>4.5010139999999996</v>
      </c>
      <c r="E325">
        <v>0.64537979999999995</v>
      </c>
      <c r="F325" t="s">
        <v>40</v>
      </c>
      <c r="G325">
        <v>-265.9821</v>
      </c>
      <c r="H325">
        <v>18.75948</v>
      </c>
      <c r="I325">
        <v>331.62729999999999</v>
      </c>
      <c r="J325">
        <v>-393.88749999999999</v>
      </c>
      <c r="K325">
        <v>1.0965609999999999</v>
      </c>
      <c r="L325">
        <v>368.75920000000002</v>
      </c>
      <c r="M325">
        <v>0.9989905</v>
      </c>
      <c r="N325">
        <v>0</v>
      </c>
      <c r="O325">
        <v>4.4772029999999997E-2</v>
      </c>
      <c r="P325">
        <v>0.99573049999999996</v>
      </c>
      <c r="Q325">
        <v>-7.6646169999999999E-4</v>
      </c>
      <c r="R325">
        <v>9.2306659999999999E-2</v>
      </c>
      <c r="S325">
        <v>3.0942989999999999</v>
      </c>
      <c r="T325">
        <v>0.42621909999999902</v>
      </c>
      <c r="U325">
        <v>-0.89559940000000005</v>
      </c>
      <c r="V325">
        <v>-4.7630029999999997E-2</v>
      </c>
      <c r="W325">
        <v>2.9337999999999999E-3</v>
      </c>
      <c r="X325">
        <v>0.99886070000000005</v>
      </c>
      <c r="Y325">
        <v>0.31758419999999998</v>
      </c>
      <c r="Z325">
        <v>2.7362210000000001E-2</v>
      </c>
      <c r="AA325">
        <v>0.94783519999999899</v>
      </c>
      <c r="AB325">
        <v>32</v>
      </c>
      <c r="AC325">
        <v>127.9054</v>
      </c>
      <c r="AD325">
        <v>17.662918999999999</v>
      </c>
      <c r="AE325">
        <v>-37.131900000000002</v>
      </c>
      <c r="AF325">
        <v>42.081181033831001</v>
      </c>
      <c r="AG325">
        <v>17.662918999999999</v>
      </c>
      <c r="AH325">
        <v>123.934939778333</v>
      </c>
      <c r="AI325">
        <v>82.314329115698797</v>
      </c>
      <c r="AJ325">
        <v>71.245465940795597</v>
      </c>
      <c r="AK325">
        <v>132.070715159196</v>
      </c>
    </row>
    <row r="326" spans="1:37" x14ac:dyDescent="0.2">
      <c r="A326" t="str">
        <f>"20200111160101910"</f>
        <v>20200111160101910</v>
      </c>
      <c r="B326" t="str">
        <f>"1578729661899644"</f>
        <v>1578729661899644</v>
      </c>
      <c r="C326" t="s">
        <v>37</v>
      </c>
      <c r="D326">
        <v>6.1133360000000003</v>
      </c>
      <c r="E326">
        <v>0.5974891</v>
      </c>
      <c r="F326" t="s">
        <v>40</v>
      </c>
      <c r="G326">
        <v>-265.98219999999998</v>
      </c>
      <c r="H326">
        <v>18.16516</v>
      </c>
      <c r="I326">
        <v>331.57409999999999</v>
      </c>
      <c r="J326">
        <v>-393.56240000000003</v>
      </c>
      <c r="K326">
        <v>1.0975999999999999</v>
      </c>
      <c r="L326">
        <v>368.77330000000001</v>
      </c>
      <c r="M326">
        <v>0.99901070000000003</v>
      </c>
      <c r="N326">
        <v>0</v>
      </c>
      <c r="O326">
        <v>4.4275490000000001E-2</v>
      </c>
      <c r="P326">
        <v>0.99578519999999904</v>
      </c>
      <c r="Q326">
        <v>-2.3503320000000001E-3</v>
      </c>
      <c r="R326">
        <v>9.1687649999999996E-2</v>
      </c>
      <c r="S326">
        <v>3.0966490000000002</v>
      </c>
      <c r="T326">
        <v>0.41323969999999999</v>
      </c>
      <c r="U326">
        <v>-0.90026859999999997</v>
      </c>
      <c r="V326">
        <v>-4.750679E-2</v>
      </c>
      <c r="W326">
        <v>1.8551970000000001E-3</v>
      </c>
      <c r="X326">
        <v>0.99886919999999901</v>
      </c>
      <c r="Y326">
        <v>0.31843189999999999</v>
      </c>
      <c r="Z326">
        <v>2.6501830000000001E-2</v>
      </c>
      <c r="AA326">
        <v>0.94757519999999995</v>
      </c>
      <c r="AB326">
        <v>32</v>
      </c>
      <c r="AC326">
        <v>127.5802</v>
      </c>
      <c r="AD326">
        <v>17.06756</v>
      </c>
      <c r="AE326">
        <v>-37.199199999999998</v>
      </c>
      <c r="AF326">
        <v>42.116748721054797</v>
      </c>
      <c r="AG326">
        <v>17.06756</v>
      </c>
      <c r="AH326">
        <v>123.766587696139</v>
      </c>
      <c r="AI326">
        <v>82.562130504740594</v>
      </c>
      <c r="AJ326">
        <v>71.206984204759607</v>
      </c>
      <c r="AK326">
        <v>131.84570663139601</v>
      </c>
    </row>
    <row r="327" spans="1:37" x14ac:dyDescent="0.2">
      <c r="A327" t="str">
        <f>"20200111160101931"</f>
        <v>20200111160101931</v>
      </c>
      <c r="B327" t="str">
        <f>"1578729661929896"</f>
        <v>1578729661929896</v>
      </c>
      <c r="C327" t="s">
        <v>37</v>
      </c>
      <c r="D327">
        <v>4.8631570000000002</v>
      </c>
      <c r="E327">
        <v>0.52614740000000004</v>
      </c>
      <c r="F327" t="s">
        <v>51</v>
      </c>
      <c r="G327">
        <v>-168.4091</v>
      </c>
      <c r="H327">
        <v>27.195879999999999</v>
      </c>
      <c r="I327">
        <v>330.64580000000001</v>
      </c>
      <c r="J327">
        <v>-393.2473</v>
      </c>
      <c r="K327">
        <v>1.0985020000000001</v>
      </c>
      <c r="L327">
        <v>368.7867</v>
      </c>
      <c r="M327">
        <v>0.99902979999999997</v>
      </c>
      <c r="N327">
        <v>0</v>
      </c>
      <c r="O327">
        <v>4.3783370000000002E-2</v>
      </c>
      <c r="P327">
        <v>0.99582959999999998</v>
      </c>
      <c r="Q327">
        <v>-2.6039929999999898E-3</v>
      </c>
      <c r="R327">
        <v>9.1196920000000001E-2</v>
      </c>
      <c r="S327">
        <v>3.06130999999999</v>
      </c>
      <c r="T327">
        <v>0.35484670000000001</v>
      </c>
      <c r="U327">
        <v>-0.51840209999999998</v>
      </c>
      <c r="V327">
        <v>-4.7506279999999998E-2</v>
      </c>
      <c r="W327">
        <v>2.2209310000000002E-3</v>
      </c>
      <c r="X327">
        <v>0.99886849999999905</v>
      </c>
      <c r="Y327">
        <v>0.20832809999999999</v>
      </c>
      <c r="Z327">
        <v>1.6975710000000001E-2</v>
      </c>
      <c r="AA327">
        <v>0.97791170000000005</v>
      </c>
      <c r="AB327">
        <v>33</v>
      </c>
      <c r="AC327">
        <v>224.8382</v>
      </c>
      <c r="AD327">
        <v>26.097377999999999</v>
      </c>
      <c r="AE327">
        <v>-38.140899999999903</v>
      </c>
      <c r="AF327">
        <v>47.328799594687197</v>
      </c>
      <c r="AG327">
        <v>26.097377999999999</v>
      </c>
      <c r="AH327">
        <v>220.07062687502099</v>
      </c>
      <c r="AI327">
        <v>83.386904303606599</v>
      </c>
      <c r="AJ327">
        <v>77.862731842402098</v>
      </c>
      <c r="AK327">
        <v>226.610170166111</v>
      </c>
    </row>
    <row r="328" spans="1:37" x14ac:dyDescent="0.2">
      <c r="A328" t="str">
        <f>"20200111160101953"</f>
        <v>20200111160101953</v>
      </c>
      <c r="B328" t="str">
        <f>"1578729661949416"</f>
        <v>1578729661949416</v>
      </c>
      <c r="C328" t="s">
        <v>37</v>
      </c>
      <c r="D328">
        <v>8.5649839999999902</v>
      </c>
      <c r="E328">
        <v>0.5269547</v>
      </c>
      <c r="F328" t="s">
        <v>38</v>
      </c>
      <c r="G328">
        <v>-350.0224</v>
      </c>
      <c r="H328" s="1">
        <v>-4.2978550000000002E-6</v>
      </c>
      <c r="I328">
        <v>369.78230000000002</v>
      </c>
      <c r="J328">
        <v>-392.93950000000001</v>
      </c>
      <c r="K328">
        <v>1.0993649999999999</v>
      </c>
      <c r="L328">
        <v>368.79969999999997</v>
      </c>
      <c r="M328">
        <v>0.99904559999999998</v>
      </c>
      <c r="N328">
        <v>0</v>
      </c>
      <c r="O328">
        <v>4.3303380000000002E-2</v>
      </c>
      <c r="P328">
        <v>0.9957802</v>
      </c>
      <c r="Q328">
        <v>-2.9463659999999902E-3</v>
      </c>
      <c r="R328">
        <v>9.1724920000000001E-2</v>
      </c>
      <c r="S328">
        <v>3.0060119999999899</v>
      </c>
      <c r="T328">
        <v>-7.6393840000000005E-2</v>
      </c>
      <c r="U328">
        <v>6.9244379999999994E-2</v>
      </c>
      <c r="V328">
        <v>-4.8514969999999998E-2</v>
      </c>
      <c r="W328">
        <v>2.8255590000000001E-3</v>
      </c>
      <c r="X328">
        <v>0.99881849999999905</v>
      </c>
      <c r="Y328">
        <v>2.0264509999999999E-2</v>
      </c>
      <c r="Z328">
        <v>-1.3572199999999999E-3</v>
      </c>
      <c r="AA328">
        <v>0.99979370000000001</v>
      </c>
      <c r="AB328">
        <v>33</v>
      </c>
      <c r="AC328">
        <v>42.917099999999998</v>
      </c>
      <c r="AD328">
        <v>-1.09936929785499</v>
      </c>
      <c r="AE328">
        <v>0.98260000000004699</v>
      </c>
      <c r="AF328">
        <v>0.87623295205534502</v>
      </c>
      <c r="AG328">
        <v>-1.09936929785499</v>
      </c>
      <c r="AH328">
        <v>42.891261827733302</v>
      </c>
      <c r="AI328">
        <v>91.467951697787399</v>
      </c>
      <c r="AJ328">
        <v>88.829657479426004</v>
      </c>
      <c r="AK328">
        <v>42.914295266431999</v>
      </c>
    </row>
    <row r="329" spans="1:37" x14ac:dyDescent="0.2">
      <c r="A329" t="str">
        <f>"20200111160101976"</f>
        <v>20200111160101976</v>
      </c>
      <c r="B329" t="str">
        <f>"1578729661969912"</f>
        <v>1578729661969912</v>
      </c>
      <c r="C329" t="s">
        <v>37</v>
      </c>
      <c r="D329">
        <v>5.0133409999999996</v>
      </c>
      <c r="E329">
        <v>0.53193269999999904</v>
      </c>
      <c r="F329" t="s">
        <v>38</v>
      </c>
      <c r="G329">
        <v>-347.28829999999999</v>
      </c>
      <c r="H329" s="1">
        <v>-1.3028419999999999E-6</v>
      </c>
      <c r="I329">
        <v>369.76859999999999</v>
      </c>
      <c r="J329">
        <v>-392.60059999999999</v>
      </c>
      <c r="K329">
        <v>1.1001369999999999</v>
      </c>
      <c r="L329">
        <v>368.81389999999999</v>
      </c>
      <c r="M329">
        <v>0.99906450000000002</v>
      </c>
      <c r="N329">
        <v>0</v>
      </c>
      <c r="O329">
        <v>4.2725079999999999E-2</v>
      </c>
      <c r="P329">
        <v>0.99577680000000002</v>
      </c>
      <c r="Q329">
        <v>-5.8624130000000003E-3</v>
      </c>
      <c r="R329">
        <v>9.1619229999999996E-2</v>
      </c>
      <c r="S329">
        <v>3.0065919999999999</v>
      </c>
      <c r="T329">
        <v>-7.2404380000000004E-2</v>
      </c>
      <c r="U329">
        <v>6.3812259999999996E-2</v>
      </c>
      <c r="V329">
        <v>-4.8989039999999998E-2</v>
      </c>
      <c r="W329">
        <v>8.6576149999999903E-4</v>
      </c>
      <c r="X329">
        <v>0.99879899999999999</v>
      </c>
      <c r="Y329">
        <v>2.1497849999999999E-2</v>
      </c>
      <c r="Z329">
        <v>-1.2870939999999999E-3</v>
      </c>
      <c r="AA329">
        <v>0.99976810000000005</v>
      </c>
      <c r="AB329">
        <v>32</v>
      </c>
      <c r="AC329">
        <v>45.312299999999901</v>
      </c>
      <c r="AD329">
        <v>-1.100138302842</v>
      </c>
      <c r="AE329">
        <v>0.95470000000000199</v>
      </c>
      <c r="AF329">
        <v>0.98160833992531205</v>
      </c>
      <c r="AG329">
        <v>-1.100138302842</v>
      </c>
      <c r="AH329">
        <v>45.285030170735801</v>
      </c>
      <c r="AI329">
        <v>91.391322717857804</v>
      </c>
      <c r="AJ329">
        <v>88.758238457933302</v>
      </c>
      <c r="AK329">
        <v>45.309025776139102</v>
      </c>
    </row>
    <row r="330" spans="1:37" x14ac:dyDescent="0.2">
      <c r="A330" t="str">
        <f>"20200111160101999"</f>
        <v>20200111160101999</v>
      </c>
      <c r="B330" t="str">
        <f>"1578729661989432"</f>
        <v>1578729661989432</v>
      </c>
      <c r="C330" t="s">
        <v>37</v>
      </c>
      <c r="D330">
        <v>4.8030499999999998</v>
      </c>
      <c r="E330">
        <v>0.53846930000000004</v>
      </c>
      <c r="F330" t="s">
        <v>38</v>
      </c>
      <c r="G330">
        <v>-365.23219999999998</v>
      </c>
      <c r="H330" s="1">
        <v>-2.1284759999999998E-6</v>
      </c>
      <c r="I330">
        <v>369.048</v>
      </c>
      <c r="J330">
        <v>-392.27199999999999</v>
      </c>
      <c r="K330">
        <v>1.1006879999999899</v>
      </c>
      <c r="L330">
        <v>368.82729999999998</v>
      </c>
      <c r="M330">
        <v>0.99908589999999997</v>
      </c>
      <c r="N330">
        <v>0</v>
      </c>
      <c r="O330">
        <v>4.2107980000000003E-2</v>
      </c>
      <c r="P330">
        <v>0.99586540000000001</v>
      </c>
      <c r="Q330">
        <v>-8.9601170000000001E-3</v>
      </c>
      <c r="R330">
        <v>9.0399380000000001E-2</v>
      </c>
      <c r="S330">
        <v>3.009674</v>
      </c>
      <c r="T330">
        <v>-0.1209807</v>
      </c>
      <c r="U330">
        <v>2.575684E-2</v>
      </c>
      <c r="V330">
        <v>-4.8386039999999998E-2</v>
      </c>
      <c r="W330">
        <v>-1.5276269999999999E-3</v>
      </c>
      <c r="X330">
        <v>0.99882749999999998</v>
      </c>
      <c r="Y330">
        <v>3.3496440000000002E-2</v>
      </c>
      <c r="Z330">
        <v>-2.364456E-3</v>
      </c>
      <c r="AA330">
        <v>0.99943599999999999</v>
      </c>
      <c r="AB330">
        <v>32</v>
      </c>
      <c r="AC330">
        <v>27.0398</v>
      </c>
      <c r="AD330">
        <v>-1.10069012847599</v>
      </c>
      <c r="AE330">
        <v>0.22070000000002199</v>
      </c>
      <c r="AF330">
        <v>0.91659931237580705</v>
      </c>
      <c r="AG330">
        <v>-1.10069012847599</v>
      </c>
      <c r="AH330">
        <v>26.980406029271901</v>
      </c>
      <c r="AI330">
        <v>92.334792367518205</v>
      </c>
      <c r="AJ330">
        <v>88.054251601541793</v>
      </c>
      <c r="AK330">
        <v>27.018400814310699</v>
      </c>
    </row>
    <row r="331" spans="1:37" x14ac:dyDescent="0.2">
      <c r="A331" t="str">
        <f>"20200111160102020"</f>
        <v>20200111160102020</v>
      </c>
      <c r="B331" t="str">
        <f>"1578729662009931"</f>
        <v>1578729662009931</v>
      </c>
      <c r="C331" t="s">
        <v>37</v>
      </c>
      <c r="D331">
        <v>4.7962959999999999</v>
      </c>
      <c r="E331">
        <v>0.54154230000000003</v>
      </c>
      <c r="F331" t="s">
        <v>42</v>
      </c>
      <c r="G331">
        <v>-391.38799999999998</v>
      </c>
      <c r="H331">
        <v>1.053585</v>
      </c>
      <c r="I331">
        <v>368.81849999999997</v>
      </c>
      <c r="J331">
        <v>-391.96210000000002</v>
      </c>
      <c r="K331">
        <v>1.1010869999999999</v>
      </c>
      <c r="L331">
        <v>368.83969999999999</v>
      </c>
      <c r="M331">
        <v>0.999108</v>
      </c>
      <c r="N331">
        <v>0</v>
      </c>
      <c r="O331">
        <v>4.1478920000000002E-2</v>
      </c>
      <c r="P331">
        <v>0.99611810000000001</v>
      </c>
      <c r="Q331">
        <v>-9.3101969999999992E-3</v>
      </c>
      <c r="R331">
        <v>8.7534650000000006E-2</v>
      </c>
      <c r="S331">
        <v>3.0136409999999998</v>
      </c>
      <c r="T331">
        <v>-0.16090660000000001</v>
      </c>
      <c r="U331">
        <v>-2.8533940000000001E-2</v>
      </c>
      <c r="V331">
        <v>-4.614219E-2</v>
      </c>
      <c r="W331">
        <v>-1.3247439999999899E-3</v>
      </c>
      <c r="X331">
        <v>0.99893399999999999</v>
      </c>
      <c r="Y331">
        <v>5.0806619999999997E-2</v>
      </c>
      <c r="Z331">
        <v>-3.568107E-3</v>
      </c>
      <c r="AA331">
        <v>0.99870210000000004</v>
      </c>
      <c r="AB331">
        <v>32</v>
      </c>
      <c r="AC331">
        <v>0.57409999999998695</v>
      </c>
      <c r="AD331">
        <v>-4.75020000000001E-2</v>
      </c>
      <c r="AE331">
        <v>-2.1200000000021601E-2</v>
      </c>
      <c r="AF331">
        <v>4.4690008812212197E-2</v>
      </c>
      <c r="AG331">
        <v>-4.75020000000001E-2</v>
      </c>
      <c r="AH331">
        <v>0.56883744225066302</v>
      </c>
      <c r="AI331">
        <v>94.758936013025107</v>
      </c>
      <c r="AJ331">
        <v>85.5078551492103</v>
      </c>
      <c r="AK331">
        <v>0.57256412094883502</v>
      </c>
    </row>
    <row r="332" spans="1:37" x14ac:dyDescent="0.2">
      <c r="A332" t="str">
        <f>"20200111160102043"</f>
        <v>20200111160102043</v>
      </c>
      <c r="B332" t="str">
        <f>"1578729662039208"</f>
        <v>1578729662039208</v>
      </c>
      <c r="C332" t="s">
        <v>37</v>
      </c>
      <c r="D332">
        <v>4.8005430000000002</v>
      </c>
      <c r="E332">
        <v>0.65933699999999995</v>
      </c>
      <c r="F332" t="s">
        <v>42</v>
      </c>
      <c r="G332">
        <v>-391.10379999999998</v>
      </c>
      <c r="H332">
        <v>1.051064</v>
      </c>
      <c r="I332">
        <v>368.82209999999998</v>
      </c>
      <c r="J332">
        <v>-391.64229999999998</v>
      </c>
      <c r="K332">
        <v>1.101416</v>
      </c>
      <c r="L332">
        <v>368.85230000000001</v>
      </c>
      <c r="M332">
        <v>0.99913349999999901</v>
      </c>
      <c r="N332">
        <v>0</v>
      </c>
      <c r="O332">
        <v>4.0758330000000002E-2</v>
      </c>
      <c r="P332">
        <v>0.99622630000000001</v>
      </c>
      <c r="Q332">
        <v>-1.0927569999999999E-2</v>
      </c>
      <c r="R332">
        <v>8.6105989999999993E-2</v>
      </c>
      <c r="S332">
        <v>3.0154109999999998</v>
      </c>
      <c r="T332">
        <v>-0.17596199999999901</v>
      </c>
      <c r="U332">
        <v>-6.1096190000000002E-2</v>
      </c>
      <c r="V332">
        <v>-4.543283E-2</v>
      </c>
      <c r="W332">
        <v>-2.4236800000000001E-3</v>
      </c>
      <c r="X332">
        <v>0.99896439999999997</v>
      </c>
      <c r="Y332">
        <v>6.0818990000000003E-2</v>
      </c>
      <c r="Z332">
        <v>-4.1488239999999997E-3</v>
      </c>
      <c r="AA332">
        <v>0.99814020000000003</v>
      </c>
      <c r="AB332">
        <v>32</v>
      </c>
      <c r="AC332">
        <v>0.53849999999999898</v>
      </c>
      <c r="AD332">
        <v>-5.0351999999999897E-2</v>
      </c>
      <c r="AE332">
        <v>-3.0200000000036201E-2</v>
      </c>
      <c r="AF332">
        <v>5.16736749608427E-2</v>
      </c>
      <c r="AG332">
        <v>-5.0351999999999897E-2</v>
      </c>
      <c r="AH332">
        <v>0.53218324120056304</v>
      </c>
      <c r="AI332">
        <v>95.3797439772991</v>
      </c>
      <c r="AJ332">
        <v>84.454106841346402</v>
      </c>
      <c r="AK332">
        <v>0.53705166865274301</v>
      </c>
    </row>
    <row r="333" spans="1:37" x14ac:dyDescent="0.2">
      <c r="A333" t="str">
        <f>"20200111160102067"</f>
        <v>20200111160102067</v>
      </c>
      <c r="B333" t="str">
        <f>"1578729662059704"</f>
        <v>1578729662059704</v>
      </c>
      <c r="C333" t="s">
        <v>37</v>
      </c>
      <c r="D333">
        <v>4.9267880000000002</v>
      </c>
      <c r="E333">
        <v>0.55722299999999902</v>
      </c>
      <c r="F333" t="s">
        <v>40</v>
      </c>
      <c r="G333">
        <v>-265.9846</v>
      </c>
      <c r="H333">
        <v>11.077450000000001</v>
      </c>
      <c r="I333">
        <v>327.47399999999999</v>
      </c>
      <c r="J333">
        <v>-391.29079999999999</v>
      </c>
      <c r="K333">
        <v>1.1017030000000001</v>
      </c>
      <c r="L333">
        <v>368.8657</v>
      </c>
      <c r="M333">
        <v>0.99916539999999998</v>
      </c>
      <c r="N333">
        <v>0</v>
      </c>
      <c r="O333">
        <v>3.9857570000000002E-2</v>
      </c>
      <c r="P333">
        <v>0.99634899999999904</v>
      </c>
      <c r="Q333">
        <v>-1.0143869999999999E-2</v>
      </c>
      <c r="R333">
        <v>8.4769730000000001E-2</v>
      </c>
      <c r="S333">
        <v>3.102325</v>
      </c>
      <c r="T333">
        <v>0.24629570000000001</v>
      </c>
      <c r="U333">
        <v>-1.021576</v>
      </c>
      <c r="V333">
        <v>-4.4990879999999997E-2</v>
      </c>
      <c r="W333">
        <v>-1.1285030000000001E-3</v>
      </c>
      <c r="X333">
        <v>0.99898679999999995</v>
      </c>
      <c r="Y333">
        <v>0.34927469999999999</v>
      </c>
      <c r="Z333">
        <v>1.657103E-2</v>
      </c>
      <c r="AA333">
        <v>0.93687389999999904</v>
      </c>
      <c r="AB333">
        <v>32</v>
      </c>
      <c r="AC333">
        <v>125.3062</v>
      </c>
      <c r="AD333">
        <v>9.9757470000000001</v>
      </c>
      <c r="AE333">
        <v>-41.3917</v>
      </c>
      <c r="AF333">
        <v>46.090030308901198</v>
      </c>
      <c r="AG333">
        <v>9.9757470000000001</v>
      </c>
      <c r="AH333">
        <v>122.85474244331201</v>
      </c>
      <c r="AI333">
        <v>85.652421963096302</v>
      </c>
      <c r="AJ333">
        <v>69.435981410469694</v>
      </c>
      <c r="AK333">
        <v>131.594430592241</v>
      </c>
    </row>
    <row r="334" spans="1:37" x14ac:dyDescent="0.2">
      <c r="A334" t="str">
        <f>"20200111160102088"</f>
        <v>20200111160102088</v>
      </c>
      <c r="B334" t="str">
        <f>"1578729662079223"</f>
        <v>1578729662079223</v>
      </c>
      <c r="C334" t="s">
        <v>37</v>
      </c>
      <c r="D334">
        <v>4.9764949999999999</v>
      </c>
      <c r="E334">
        <v>0.55610170000000003</v>
      </c>
      <c r="F334" t="s">
        <v>42</v>
      </c>
      <c r="G334">
        <v>-390.53620000000001</v>
      </c>
      <c r="H334">
        <v>1.031706</v>
      </c>
      <c r="I334">
        <v>368.81819999999999</v>
      </c>
      <c r="J334">
        <v>-390.97300000000001</v>
      </c>
      <c r="K334">
        <v>1.1019000000000001</v>
      </c>
      <c r="L334">
        <v>368.8775</v>
      </c>
      <c r="M334">
        <v>0.99919840000000004</v>
      </c>
      <c r="N334">
        <v>0</v>
      </c>
      <c r="O334">
        <v>3.892868E-2</v>
      </c>
      <c r="P334">
        <v>0.99651239999999996</v>
      </c>
      <c r="Q334">
        <v>-8.0534149999999995E-3</v>
      </c>
      <c r="R334">
        <v>8.3056560000000001E-2</v>
      </c>
      <c r="S334">
        <v>3.0243530000000001</v>
      </c>
      <c r="T334">
        <v>-0.28051559999999998</v>
      </c>
      <c r="U334">
        <v>-0.19039919999999999</v>
      </c>
      <c r="V334">
        <v>-4.4196300000000001E-2</v>
      </c>
      <c r="W334">
        <v>1.3650100000000001E-3</v>
      </c>
      <c r="X334">
        <v>0.99902190000000002</v>
      </c>
      <c r="Y334">
        <v>0.10103810000000001</v>
      </c>
      <c r="Z334">
        <v>-8.2711469999999995E-3</v>
      </c>
      <c r="AA334">
        <v>0.99484819999999996</v>
      </c>
      <c r="AB334">
        <v>32</v>
      </c>
      <c r="AC334">
        <v>0.43680000000000502</v>
      </c>
      <c r="AD334">
        <v>-7.0194000000000006E-2</v>
      </c>
      <c r="AE334">
        <v>-5.9300000000007402E-2</v>
      </c>
      <c r="AF334">
        <v>7.4373911892326505E-2</v>
      </c>
      <c r="AG334">
        <v>-7.0194000000000006E-2</v>
      </c>
      <c r="AH334">
        <v>0.42342342235347702</v>
      </c>
      <c r="AI334">
        <v>99.273292574556393</v>
      </c>
      <c r="AJ334">
        <v>80.037676995652802</v>
      </c>
      <c r="AK334">
        <v>0.43559852043332098</v>
      </c>
    </row>
    <row r="335" spans="1:37" x14ac:dyDescent="0.2">
      <c r="A335" t="str">
        <f>"20200111160102111"</f>
        <v>20200111160102111</v>
      </c>
      <c r="B335" t="str">
        <f>"1578729662099724"</f>
        <v>1578729662099724</v>
      </c>
      <c r="C335" t="s">
        <v>37</v>
      </c>
      <c r="D335">
        <v>8.3968910000000001</v>
      </c>
      <c r="E335">
        <v>0.55547550000000001</v>
      </c>
      <c r="F335" t="s">
        <v>42</v>
      </c>
      <c r="G335">
        <v>-390.24549999999999</v>
      </c>
      <c r="H335">
        <v>1.0348459999999999</v>
      </c>
      <c r="I335">
        <v>368.8322</v>
      </c>
      <c r="J335">
        <v>-390.65679999999998</v>
      </c>
      <c r="K335">
        <v>1.1020509999999999</v>
      </c>
      <c r="L335">
        <v>368.88869999999997</v>
      </c>
      <c r="M335">
        <v>0.99923519999999899</v>
      </c>
      <c r="N335">
        <v>0</v>
      </c>
      <c r="O335">
        <v>3.7888930000000001E-2</v>
      </c>
      <c r="P335">
        <v>0.99668690000000004</v>
      </c>
      <c r="Q335">
        <v>-6.6895540000000003E-3</v>
      </c>
      <c r="R335">
        <v>8.1059309999999996E-2</v>
      </c>
      <c r="S335">
        <v>3.0238339999999999</v>
      </c>
      <c r="T335">
        <v>-0.27885679999999902</v>
      </c>
      <c r="U335">
        <v>-0.18676760000000001</v>
      </c>
      <c r="V335">
        <v>-4.3229549999999999E-2</v>
      </c>
      <c r="W335">
        <v>3.077804E-3</v>
      </c>
      <c r="X335">
        <v>0.99906049999999902</v>
      </c>
      <c r="Y335">
        <v>9.8843749999999994E-2</v>
      </c>
      <c r="Z335">
        <v>-8.0276719999999996E-3</v>
      </c>
      <c r="AA335">
        <v>0.99507060000000003</v>
      </c>
      <c r="AB335">
        <v>32</v>
      </c>
      <c r="AC335">
        <v>0.41129999999998201</v>
      </c>
      <c r="AD335">
        <v>-6.7205000000000098E-2</v>
      </c>
      <c r="AE335">
        <v>-5.6499999999971302E-2</v>
      </c>
      <c r="AF335">
        <v>7.0204243033701694E-2</v>
      </c>
      <c r="AG335">
        <v>-6.7205000000000098E-2</v>
      </c>
      <c r="AH335">
        <v>0.39842354418695702</v>
      </c>
      <c r="AI335">
        <v>99.431741545858401</v>
      </c>
      <c r="AJ335">
        <v>80.006775249140901</v>
      </c>
      <c r="AK335">
        <v>0.41010543562287799</v>
      </c>
    </row>
    <row r="336" spans="1:37" x14ac:dyDescent="0.2">
      <c r="A336" t="str">
        <f>"20200111160102134"</f>
        <v>20200111160102134</v>
      </c>
      <c r="B336" t="str">
        <f>"1578729662129001"</f>
        <v>1578729662129001</v>
      </c>
      <c r="C336" t="s">
        <v>37</v>
      </c>
      <c r="D336">
        <v>4.970612</v>
      </c>
      <c r="E336">
        <v>0.55708690000000005</v>
      </c>
      <c r="F336" t="s">
        <v>42</v>
      </c>
      <c r="G336">
        <v>-389.67689999999999</v>
      </c>
      <c r="H336">
        <v>1.012656</v>
      </c>
      <c r="I336">
        <v>368.82749999999999</v>
      </c>
      <c r="J336">
        <v>-390.31990000000002</v>
      </c>
      <c r="K336">
        <v>1.102163</v>
      </c>
      <c r="L336">
        <v>368.90019999999998</v>
      </c>
      <c r="M336">
        <v>0.99927770000000005</v>
      </c>
      <c r="N336">
        <v>0</v>
      </c>
      <c r="O336">
        <v>3.6666459999999998E-2</v>
      </c>
      <c r="P336">
        <v>0.99683860000000002</v>
      </c>
      <c r="Q336">
        <v>-5.3411819999999999E-3</v>
      </c>
      <c r="R336">
        <v>7.9275449999999997E-2</v>
      </c>
      <c r="S336">
        <v>3.0234070000000002</v>
      </c>
      <c r="T336">
        <v>-0.27591129999999903</v>
      </c>
      <c r="U336">
        <v>-0.18737789999999999</v>
      </c>
      <c r="V336">
        <v>-4.2659030000000001E-2</v>
      </c>
      <c r="W336">
        <v>4.7510130000000001E-3</v>
      </c>
      <c r="X336">
        <v>0.99907839999999903</v>
      </c>
      <c r="Y336">
        <v>9.7856390000000001E-2</v>
      </c>
      <c r="Z336">
        <v>-7.7881599999999997E-3</v>
      </c>
      <c r="AA336">
        <v>0.99517009999999995</v>
      </c>
      <c r="AB336">
        <v>32</v>
      </c>
      <c r="AC336">
        <v>0.64300000000002899</v>
      </c>
      <c r="AD336">
        <v>-8.9507000000000003E-2</v>
      </c>
      <c r="AE336">
        <v>-7.2699999999997503E-2</v>
      </c>
      <c r="AF336">
        <v>9.4422267592642495E-2</v>
      </c>
      <c r="AG336">
        <v>-8.9507000000000003E-2</v>
      </c>
      <c r="AH336">
        <v>0.627888610366238</v>
      </c>
      <c r="AI336">
        <v>98.023961398049096</v>
      </c>
      <c r="AJ336">
        <v>81.447908518021904</v>
      </c>
      <c r="AK336">
        <v>0.64122630536650704</v>
      </c>
    </row>
    <row r="337" spans="1:37" x14ac:dyDescent="0.2">
      <c r="A337" t="str">
        <f>"20200111160102155"</f>
        <v>20200111160102155</v>
      </c>
      <c r="B337" t="str">
        <f>"1578729662149496"</f>
        <v>1578729662149496</v>
      </c>
      <c r="C337" t="s">
        <v>37</v>
      </c>
      <c r="D337">
        <v>4.9637310000000001</v>
      </c>
      <c r="E337">
        <v>0.56223789999999996</v>
      </c>
      <c r="F337" t="s">
        <v>42</v>
      </c>
      <c r="G337">
        <v>-389.38249999999999</v>
      </c>
      <c r="H337">
        <v>1.0234159999999899</v>
      </c>
      <c r="I337">
        <v>368.83589999999998</v>
      </c>
      <c r="J337">
        <v>-390.01389999999998</v>
      </c>
      <c r="K337">
        <v>1.102247</v>
      </c>
      <c r="L337">
        <v>368.91019999999997</v>
      </c>
      <c r="M337">
        <v>0.99931780000000003</v>
      </c>
      <c r="N337">
        <v>0</v>
      </c>
      <c r="O337">
        <v>3.5477999999999899E-2</v>
      </c>
      <c r="P337">
        <v>0.996977</v>
      </c>
      <c r="Q337">
        <v>-4.6315029999999899E-3</v>
      </c>
      <c r="R337">
        <v>7.7558530000000001E-2</v>
      </c>
      <c r="S337">
        <v>3.024597</v>
      </c>
      <c r="T337">
        <v>-0.25418170000000001</v>
      </c>
      <c r="U337">
        <v>-0.20660400000000001</v>
      </c>
      <c r="V337">
        <v>-4.2122859999999998E-2</v>
      </c>
      <c r="W337">
        <v>5.719933E-3</v>
      </c>
      <c r="X337">
        <v>0.99909599999999898</v>
      </c>
      <c r="Y337">
        <v>0.1030174</v>
      </c>
      <c r="Z337">
        <v>-7.2894850000000001E-3</v>
      </c>
      <c r="AA337">
        <v>0.99465289999999995</v>
      </c>
      <c r="AB337">
        <v>32</v>
      </c>
      <c r="AC337">
        <v>0.63139999999998497</v>
      </c>
      <c r="AD337">
        <v>-7.8831000000000095E-2</v>
      </c>
      <c r="AE337">
        <v>-7.4299999999993802E-2</v>
      </c>
      <c r="AF337">
        <v>9.5191646054463494E-2</v>
      </c>
      <c r="AG337">
        <v>-7.8831000000000095E-2</v>
      </c>
      <c r="AH337">
        <v>0.61885153008201099</v>
      </c>
      <c r="AI337">
        <v>97.175895662636805</v>
      </c>
      <c r="AJ337">
        <v>81.255310310701105</v>
      </c>
      <c r="AK337">
        <v>0.63107288986645904</v>
      </c>
    </row>
    <row r="338" spans="1:37" x14ac:dyDescent="0.2">
      <c r="A338" t="str">
        <f>"20200111160102178"</f>
        <v>20200111160102178</v>
      </c>
      <c r="B338" t="str">
        <f>"1578729662169992"</f>
        <v>1578729662169992</v>
      </c>
      <c r="C338" t="s">
        <v>37</v>
      </c>
      <c r="D338">
        <v>4.9788690000000004</v>
      </c>
      <c r="E338">
        <v>0.55957959999999995</v>
      </c>
      <c r="F338" t="s">
        <v>42</v>
      </c>
      <c r="G338">
        <v>-389.08679999999998</v>
      </c>
      <c r="H338">
        <v>1.0357719999999999</v>
      </c>
      <c r="I338">
        <v>368.83210000000003</v>
      </c>
      <c r="J338">
        <v>-389.671999999999</v>
      </c>
      <c r="K338">
        <v>1.1023350000000001</v>
      </c>
      <c r="L338">
        <v>368.92090000000002</v>
      </c>
      <c r="M338">
        <v>0.99936460000000005</v>
      </c>
      <c r="N338">
        <v>0</v>
      </c>
      <c r="O338">
        <v>3.4064480000000001E-2</v>
      </c>
      <c r="P338">
        <v>0.9970464</v>
      </c>
      <c r="Q338">
        <v>-1.989434E-3</v>
      </c>
      <c r="R338">
        <v>7.6777960000000006E-2</v>
      </c>
      <c r="S338">
        <v>3.0278320000000001</v>
      </c>
      <c r="T338">
        <v>-0.21721570000000001</v>
      </c>
      <c r="U338">
        <v>-0.2539978</v>
      </c>
      <c r="V338">
        <v>-4.2744629999999999E-2</v>
      </c>
      <c r="W338">
        <v>8.6175969999999994E-3</v>
      </c>
      <c r="X338">
        <v>0.99904889999999902</v>
      </c>
      <c r="Y338">
        <v>0.11710660000000001</v>
      </c>
      <c r="Z338">
        <v>-6.6249029999999997E-3</v>
      </c>
      <c r="AA338">
        <v>0.99309720000000001</v>
      </c>
      <c r="AB338">
        <v>32</v>
      </c>
      <c r="AC338">
        <v>0.58519999999998595</v>
      </c>
      <c r="AD338">
        <v>-6.6563000000000094E-2</v>
      </c>
      <c r="AE338">
        <v>-8.8799999999991996E-2</v>
      </c>
      <c r="AF338">
        <v>0.1073267797902</v>
      </c>
      <c r="AG338">
        <v>-6.6563000000000094E-2</v>
      </c>
      <c r="AH338">
        <v>0.57456895335439895</v>
      </c>
      <c r="AI338">
        <v>96.496790278602305</v>
      </c>
      <c r="AJ338">
        <v>79.419354782668606</v>
      </c>
      <c r="AK338">
        <v>0.58828492483481398</v>
      </c>
    </row>
    <row r="339" spans="1:37" x14ac:dyDescent="0.2">
      <c r="A339" t="str">
        <f>"20200111160102200"</f>
        <v>20200111160102200</v>
      </c>
      <c r="B339" t="str">
        <f>"1578729662189513"</f>
        <v>1578729662189513</v>
      </c>
      <c r="C339" t="s">
        <v>37</v>
      </c>
      <c r="D339">
        <v>4.9824299999999999</v>
      </c>
      <c r="E339">
        <v>0.55711730000000004</v>
      </c>
      <c r="F339" t="s">
        <v>42</v>
      </c>
      <c r="G339">
        <v>-388.79689999999999</v>
      </c>
      <c r="H339">
        <v>1.0387139999999999</v>
      </c>
      <c r="I339">
        <v>368.85320000000002</v>
      </c>
      <c r="J339">
        <v>-389.35840000000002</v>
      </c>
      <c r="K339">
        <v>1.10239</v>
      </c>
      <c r="L339">
        <v>368.93020000000001</v>
      </c>
      <c r="M339">
        <v>0.99940810000000002</v>
      </c>
      <c r="N339">
        <v>0</v>
      </c>
      <c r="O339">
        <v>3.2696429999999999E-2</v>
      </c>
      <c r="P339">
        <v>0.99709669999999895</v>
      </c>
      <c r="Q339">
        <v>-2.1912529999999999E-4</v>
      </c>
      <c r="R339">
        <v>7.6145450000000003E-2</v>
      </c>
      <c r="S339">
        <v>3.0265200000000001</v>
      </c>
      <c r="T339">
        <v>-0.2199614</v>
      </c>
      <c r="U339">
        <v>-0.23455809999999999</v>
      </c>
      <c r="V339">
        <v>-4.3471699999999898E-2</v>
      </c>
      <c r="W339">
        <v>1.059352E-2</v>
      </c>
      <c r="X339">
        <v>0.99899850000000001</v>
      </c>
      <c r="Y339">
        <v>0.1094555</v>
      </c>
      <c r="Z339">
        <v>-6.3365519999999996E-3</v>
      </c>
      <c r="AA339">
        <v>0.99397150000000001</v>
      </c>
      <c r="AB339">
        <v>32</v>
      </c>
      <c r="AC339">
        <v>0.56150000000002298</v>
      </c>
      <c r="AD339">
        <v>-6.3675999999999996E-2</v>
      </c>
      <c r="AE339">
        <v>-7.6999999999998098E-2</v>
      </c>
      <c r="AF339">
        <v>9.4130714085614894E-2</v>
      </c>
      <c r="AG339">
        <v>-6.3675999999999996E-2</v>
      </c>
      <c r="AH339">
        <v>0.55171767499831703</v>
      </c>
      <c r="AI339">
        <v>96.490638803341497</v>
      </c>
      <c r="AJ339">
        <v>80.317771254274703</v>
      </c>
      <c r="AK339">
        <v>0.56330064549564995</v>
      </c>
    </row>
    <row r="340" spans="1:37" x14ac:dyDescent="0.2">
      <c r="A340" t="str">
        <f>"20200111160102222"</f>
        <v>20200111160102222</v>
      </c>
      <c r="B340" t="str">
        <f>"1578729662219769"</f>
        <v>1578729662219769</v>
      </c>
      <c r="C340" t="s">
        <v>37</v>
      </c>
      <c r="D340">
        <v>8.4527280000000005</v>
      </c>
      <c r="E340">
        <v>0.55622320000000003</v>
      </c>
      <c r="F340" t="s">
        <v>42</v>
      </c>
      <c r="G340">
        <v>-388.50909999999999</v>
      </c>
      <c r="H340">
        <v>1.036845</v>
      </c>
      <c r="I340">
        <v>368.8691</v>
      </c>
      <c r="J340">
        <v>-389.05399999999997</v>
      </c>
      <c r="K340">
        <v>1.102425</v>
      </c>
      <c r="L340">
        <v>368.93880000000001</v>
      </c>
      <c r="M340">
        <v>0.99945069999999903</v>
      </c>
      <c r="N340">
        <v>0</v>
      </c>
      <c r="O340">
        <v>3.1310320000000003E-2</v>
      </c>
      <c r="P340">
        <v>0.99714040000000004</v>
      </c>
      <c r="Q340">
        <v>-4.2911809999999898E-4</v>
      </c>
      <c r="R340">
        <v>7.557179E-2</v>
      </c>
      <c r="S340">
        <v>3.0252379999999999</v>
      </c>
      <c r="T340">
        <v>-0.23360999999999901</v>
      </c>
      <c r="U340">
        <v>-0.21640010000000001</v>
      </c>
      <c r="V340">
        <v>-4.4281050000000002E-2</v>
      </c>
      <c r="W340">
        <v>1.0560140000000001E-2</v>
      </c>
      <c r="X340">
        <v>0.9989633</v>
      </c>
      <c r="Y340">
        <v>0.1021512</v>
      </c>
      <c r="Z340">
        <v>-6.3448630000000001E-3</v>
      </c>
      <c r="AA340">
        <v>0.99474869999999904</v>
      </c>
      <c r="AB340">
        <v>32</v>
      </c>
      <c r="AC340">
        <v>0.54490000000004102</v>
      </c>
      <c r="AD340">
        <v>-6.5579999999999902E-2</v>
      </c>
      <c r="AE340">
        <v>-6.97000000000116E-2</v>
      </c>
      <c r="AF340">
        <v>8.5509187623526106E-2</v>
      </c>
      <c r="AG340">
        <v>-6.5579999999999902E-2</v>
      </c>
      <c r="AH340">
        <v>0.53482824268188001</v>
      </c>
      <c r="AI340">
        <v>96.903824575039707</v>
      </c>
      <c r="AJ340">
        <v>80.916338478487404</v>
      </c>
      <c r="AK340">
        <v>0.54557658191882097</v>
      </c>
    </row>
    <row r="341" spans="1:37" x14ac:dyDescent="0.2">
      <c r="A341" t="str">
        <f>"20200111160102245"</f>
        <v>20200111160102245</v>
      </c>
      <c r="B341" t="str">
        <f>"1578729662239288"</f>
        <v>1578729662239288</v>
      </c>
      <c r="C341" t="s">
        <v>37</v>
      </c>
      <c r="D341">
        <v>4.7863110000000004</v>
      </c>
      <c r="E341">
        <v>0.55874999999999997</v>
      </c>
      <c r="F341" t="s">
        <v>42</v>
      </c>
      <c r="G341">
        <v>-388.2201</v>
      </c>
      <c r="H341">
        <v>1.0374859999999999</v>
      </c>
      <c r="I341">
        <v>368.88040000000001</v>
      </c>
      <c r="J341">
        <v>-388.7192</v>
      </c>
      <c r="K341">
        <v>1.102454</v>
      </c>
      <c r="L341">
        <v>368.9477</v>
      </c>
      <c r="M341">
        <v>0.99949679999999996</v>
      </c>
      <c r="N341">
        <v>0</v>
      </c>
      <c r="O341">
        <v>2.9732270000000002E-2</v>
      </c>
      <c r="P341">
        <v>0.99721009999999999</v>
      </c>
      <c r="Q341">
        <v>-3.7298349999999899E-4</v>
      </c>
      <c r="R341">
        <v>7.4646050000000005E-2</v>
      </c>
      <c r="S341">
        <v>3.0245060000000001</v>
      </c>
      <c r="T341">
        <v>-0.235602799999999</v>
      </c>
      <c r="U341">
        <v>-0.210693399999999</v>
      </c>
      <c r="V341">
        <v>-4.4929219999999999E-2</v>
      </c>
      <c r="W341">
        <v>1.0799980000000001E-2</v>
      </c>
      <c r="X341">
        <v>0.99893180000000004</v>
      </c>
      <c r="Y341">
        <v>9.8737630000000007E-2</v>
      </c>
      <c r="Z341">
        <v>-6.1455619999999898E-3</v>
      </c>
      <c r="AA341">
        <v>0.99509449999999999</v>
      </c>
      <c r="AB341">
        <v>32</v>
      </c>
      <c r="AC341">
        <v>0.49909999999999799</v>
      </c>
      <c r="AD341">
        <v>-6.4967999999999901E-2</v>
      </c>
      <c r="AE341">
        <v>-6.7299999999988799E-2</v>
      </c>
      <c r="AF341">
        <v>8.0766432860761794E-2</v>
      </c>
      <c r="AG341">
        <v>-6.4967999999999901E-2</v>
      </c>
      <c r="AH341">
        <v>0.48874466442218401</v>
      </c>
      <c r="AI341">
        <v>97.471676148607699</v>
      </c>
      <c r="AJ341">
        <v>80.616514009958294</v>
      </c>
      <c r="AK341">
        <v>0.49961525667477902</v>
      </c>
    </row>
    <row r="342" spans="1:37" x14ac:dyDescent="0.2">
      <c r="A342" t="str">
        <f>"20200111160102266"</f>
        <v>20200111160102266</v>
      </c>
      <c r="B342" t="str">
        <f>"1578729662259784"</f>
        <v>1578729662259784</v>
      </c>
      <c r="C342" t="s">
        <v>37</v>
      </c>
      <c r="D342">
        <v>4.9039659999999996</v>
      </c>
      <c r="E342">
        <v>0.55722179999999999</v>
      </c>
      <c r="F342" t="s">
        <v>42</v>
      </c>
      <c r="G342">
        <v>-387.92750000000001</v>
      </c>
      <c r="H342">
        <v>1.0444610000000001</v>
      </c>
      <c r="I342">
        <v>368.8861</v>
      </c>
      <c r="J342">
        <v>-388.40480000000002</v>
      </c>
      <c r="K342">
        <v>1.1023229999999999</v>
      </c>
      <c r="L342">
        <v>368.9556</v>
      </c>
      <c r="M342">
        <v>0.99954690000000002</v>
      </c>
      <c r="N342">
        <v>0</v>
      </c>
      <c r="O342">
        <v>2.8245719999999998E-2</v>
      </c>
      <c r="P342">
        <v>0.99732730000000003</v>
      </c>
      <c r="Q342">
        <v>2.61787299999999E-4</v>
      </c>
      <c r="R342">
        <v>7.3063180000000005E-2</v>
      </c>
      <c r="S342">
        <v>3.0257869999999998</v>
      </c>
      <c r="T342">
        <v>-0.22175320000000001</v>
      </c>
      <c r="U342">
        <v>-0.23400879999999899</v>
      </c>
      <c r="V342">
        <v>-4.4829670000000002E-2</v>
      </c>
      <c r="W342">
        <v>1.0784719999999999E-2</v>
      </c>
      <c r="X342">
        <v>0.99893639999999995</v>
      </c>
      <c r="Y342">
        <v>0.104885199999999</v>
      </c>
      <c r="Z342">
        <v>-5.8972440000000003E-3</v>
      </c>
      <c r="AA342">
        <v>0.99446679999999998</v>
      </c>
      <c r="AB342">
        <v>32</v>
      </c>
      <c r="AC342">
        <v>0.47730000000001299</v>
      </c>
      <c r="AD342">
        <v>-5.7861999999999802E-2</v>
      </c>
      <c r="AE342">
        <v>-6.9500000000005002E-2</v>
      </c>
      <c r="AF342">
        <v>8.1777810929075698E-2</v>
      </c>
      <c r="AG342">
        <v>-5.7861999999999802E-2</v>
      </c>
      <c r="AH342">
        <v>0.46840551571272598</v>
      </c>
      <c r="AI342">
        <v>96.938155582780695</v>
      </c>
      <c r="AJ342">
        <v>80.096680835697796</v>
      </c>
      <c r="AK342">
        <v>0.47899827614977503</v>
      </c>
    </row>
    <row r="343" spans="1:37" x14ac:dyDescent="0.2">
      <c r="A343" t="str">
        <f>"20200111160102291"</f>
        <v>20200111160102291</v>
      </c>
      <c r="B343" t="str">
        <f>"1578729662279303"</f>
        <v>1578729662279303</v>
      </c>
      <c r="C343" t="s">
        <v>37</v>
      </c>
      <c r="D343">
        <v>3.940483</v>
      </c>
      <c r="E343">
        <v>0.55664469999999899</v>
      </c>
      <c r="F343" t="s">
        <v>42</v>
      </c>
      <c r="G343">
        <v>-387.63589999999999</v>
      </c>
      <c r="H343">
        <v>1.0439339999999999</v>
      </c>
      <c r="I343">
        <v>368.89830000000001</v>
      </c>
      <c r="J343">
        <v>-388.05349999999999</v>
      </c>
      <c r="K343">
        <v>1.102112</v>
      </c>
      <c r="L343">
        <v>368.96409999999997</v>
      </c>
      <c r="M343">
        <v>0.99960329999999997</v>
      </c>
      <c r="N343">
        <v>0</v>
      </c>
      <c r="O343">
        <v>2.664323E-2</v>
      </c>
      <c r="P343">
        <v>0.99749750000000004</v>
      </c>
      <c r="Q343">
        <v>3.7655050000000003E-4</v>
      </c>
      <c r="R343">
        <v>7.0703539999999995E-2</v>
      </c>
      <c r="S343">
        <v>3.0246279999999999</v>
      </c>
      <c r="T343">
        <v>-0.22960320000000001</v>
      </c>
      <c r="U343">
        <v>-0.225769</v>
      </c>
      <c r="V343">
        <v>-4.4072809999999997E-2</v>
      </c>
      <c r="W343">
        <v>9.6484759999999996E-3</v>
      </c>
      <c r="X343">
        <v>0.99898169999999897</v>
      </c>
      <c r="Y343">
        <v>0.100616199999999</v>
      </c>
      <c r="Z343">
        <v>-5.8254179999999997E-3</v>
      </c>
      <c r="AA343">
        <v>0.99490829999999997</v>
      </c>
      <c r="AB343">
        <v>32</v>
      </c>
      <c r="AC343">
        <v>0.41759999999999298</v>
      </c>
      <c r="AD343">
        <v>-5.8178000000000001E-2</v>
      </c>
      <c r="AE343">
        <v>-6.5799999999967398E-2</v>
      </c>
      <c r="AF343">
        <v>7.5473951771230993E-2</v>
      </c>
      <c r="AG343">
        <v>-5.8178000000000001E-2</v>
      </c>
      <c r="AH343">
        <v>0.407972158535093</v>
      </c>
      <c r="AI343">
        <v>97.982171502969905</v>
      </c>
      <c r="AJ343">
        <v>79.518903737891506</v>
      </c>
      <c r="AK343">
        <v>0.41895379127028898</v>
      </c>
    </row>
    <row r="344" spans="1:37" x14ac:dyDescent="0.2">
      <c r="A344" t="str">
        <f>"20200111160102311"</f>
        <v>20200111160102311</v>
      </c>
      <c r="B344" t="str">
        <f>"1578729662309561"</f>
        <v>1578729662309561</v>
      </c>
      <c r="C344" t="s">
        <v>37</v>
      </c>
      <c r="D344">
        <v>3.970564</v>
      </c>
      <c r="E344">
        <v>0.46872059999999999</v>
      </c>
      <c r="F344" t="s">
        <v>42</v>
      </c>
      <c r="G344">
        <v>-387.05279999999999</v>
      </c>
      <c r="H344">
        <v>1.0256689999999999</v>
      </c>
      <c r="I344">
        <v>368.88850000000002</v>
      </c>
      <c r="J344">
        <v>-387.7355</v>
      </c>
      <c r="K344">
        <v>1.1019600000000001</v>
      </c>
      <c r="L344">
        <v>368.97140000000002</v>
      </c>
      <c r="M344">
        <v>0.99965009999999999</v>
      </c>
      <c r="N344">
        <v>0</v>
      </c>
      <c r="O344">
        <v>2.521928E-2</v>
      </c>
      <c r="P344">
        <v>0.99765439999999905</v>
      </c>
      <c r="Q344">
        <v>1.807136E-3</v>
      </c>
      <c r="R344">
        <v>6.8428359999999994E-2</v>
      </c>
      <c r="S344">
        <v>3.0238040000000002</v>
      </c>
      <c r="T344">
        <v>-0.23096159999999999</v>
      </c>
      <c r="U344">
        <v>-0.22827149999999999</v>
      </c>
      <c r="V344">
        <v>-4.3218590000000001E-2</v>
      </c>
      <c r="W344">
        <v>9.8921269999999902E-3</v>
      </c>
      <c r="X344">
        <v>0.99901659999999903</v>
      </c>
      <c r="Y344">
        <v>0.100039</v>
      </c>
      <c r="Z344">
        <v>-5.7307130000000001E-3</v>
      </c>
      <c r="AA344">
        <v>0.99496700000000005</v>
      </c>
      <c r="AB344">
        <v>33</v>
      </c>
      <c r="AC344">
        <v>0.68270000000001096</v>
      </c>
      <c r="AD344">
        <v>-7.6291000000000095E-2</v>
      </c>
      <c r="AE344">
        <v>-8.2899999999995005E-2</v>
      </c>
      <c r="AF344">
        <v>9.8874595033638907E-2</v>
      </c>
      <c r="AG344">
        <v>-7.6291000000000095E-2</v>
      </c>
      <c r="AH344">
        <v>0.67212074027992097</v>
      </c>
      <c r="AI344">
        <v>96.407428458403999</v>
      </c>
      <c r="AJ344">
        <v>81.631334477119395</v>
      </c>
      <c r="AK344">
        <v>0.68362474482605895</v>
      </c>
    </row>
    <row r="345" spans="1:37" x14ac:dyDescent="0.2">
      <c r="A345" t="str">
        <f>"20200111160102334"</f>
        <v>20200111160102334</v>
      </c>
      <c r="B345" t="str">
        <f>"1578729662329080"</f>
        <v>1578729662329080</v>
      </c>
      <c r="C345" t="s">
        <v>37</v>
      </c>
      <c r="D345">
        <v>3.9202680000000001</v>
      </c>
      <c r="E345">
        <v>0.46711130000000001</v>
      </c>
      <c r="F345" t="s">
        <v>38</v>
      </c>
      <c r="G345">
        <v>-385.62779999999998</v>
      </c>
      <c r="H345" s="1">
        <v>-1.905754E-6</v>
      </c>
      <c r="I345">
        <v>369.34690000000001</v>
      </c>
      <c r="J345">
        <v>-387.39010000000002</v>
      </c>
      <c r="K345">
        <v>1.1018030000000001</v>
      </c>
      <c r="L345">
        <v>368.97899999999998</v>
      </c>
      <c r="M345">
        <v>0.99969640000000004</v>
      </c>
      <c r="N345">
        <v>0</v>
      </c>
      <c r="O345">
        <v>2.370628E-2</v>
      </c>
      <c r="P345">
        <v>0.99781569999999997</v>
      </c>
      <c r="Q345">
        <v>3.27011599999999E-3</v>
      </c>
      <c r="R345">
        <v>6.5980070000000002E-2</v>
      </c>
      <c r="S345">
        <v>2.973541</v>
      </c>
      <c r="T345">
        <v>-1.5545959999999901</v>
      </c>
      <c r="U345">
        <v>0.52975459999999996</v>
      </c>
      <c r="V345">
        <v>-4.2280039999999998E-2</v>
      </c>
      <c r="W345">
        <v>1.0095730000000001E-2</v>
      </c>
      <c r="X345">
        <v>0.99905480000000002</v>
      </c>
      <c r="Y345">
        <v>-0.1377958</v>
      </c>
      <c r="Z345">
        <v>2.206255E-2</v>
      </c>
      <c r="AA345">
        <v>0.99021489999999901</v>
      </c>
      <c r="AB345">
        <v>33</v>
      </c>
      <c r="AC345">
        <v>1.76230000000003</v>
      </c>
      <c r="AD345">
        <v>-1.101804905754</v>
      </c>
      <c r="AE345">
        <v>0.36789999999996298</v>
      </c>
      <c r="AF345">
        <v>-0.23717965340752301</v>
      </c>
      <c r="AG345">
        <v>-1.101804905754</v>
      </c>
      <c r="AH345">
        <v>1.2880661260942099</v>
      </c>
      <c r="AI345">
        <v>130.07228316964</v>
      </c>
      <c r="AJ345">
        <v>100.433358698364</v>
      </c>
      <c r="AK345">
        <v>1.71153223268667</v>
      </c>
    </row>
    <row r="346" spans="1:37" x14ac:dyDescent="0.2">
      <c r="A346" t="str">
        <f>"20200111160102356"</f>
        <v>20200111160102356</v>
      </c>
      <c r="B346" t="str">
        <f>"1578729662349577"</f>
        <v>1578729662349577</v>
      </c>
      <c r="C346" t="s">
        <v>37</v>
      </c>
      <c r="D346">
        <v>3.9386999999999999</v>
      </c>
      <c r="E346">
        <v>0.46733770000000002</v>
      </c>
      <c r="F346" t="s">
        <v>38</v>
      </c>
      <c r="G346">
        <v>-385.25479999999999</v>
      </c>
      <c r="H346" s="1">
        <v>-2.062779E-6</v>
      </c>
      <c r="I346">
        <v>369.36369999999999</v>
      </c>
      <c r="J346">
        <v>-387.05810000000002</v>
      </c>
      <c r="K346">
        <v>1.1016509999999999</v>
      </c>
      <c r="L346">
        <v>368.98590000000002</v>
      </c>
      <c r="M346">
        <v>0.99973599999999996</v>
      </c>
      <c r="N346">
        <v>0</v>
      </c>
      <c r="O346">
        <v>2.2296710000000001E-2</v>
      </c>
      <c r="P346">
        <v>0.99798679999999995</v>
      </c>
      <c r="Q346">
        <v>5.7636349999999996E-3</v>
      </c>
      <c r="R346">
        <v>6.3160839999999996E-2</v>
      </c>
      <c r="S346">
        <v>2.97613499999999</v>
      </c>
      <c r="T346">
        <v>-1.53562</v>
      </c>
      <c r="U346">
        <v>0.53631589999999996</v>
      </c>
      <c r="V346">
        <v>-4.0862170000000003E-2</v>
      </c>
      <c r="W346">
        <v>1.1428890000000001E-2</v>
      </c>
      <c r="X346">
        <v>0.99909939999999997</v>
      </c>
      <c r="Y346">
        <v>-0.1409541</v>
      </c>
      <c r="Z346">
        <v>2.324348E-2</v>
      </c>
      <c r="AA346">
        <v>0.98974319999999905</v>
      </c>
      <c r="AB346">
        <v>33</v>
      </c>
      <c r="AC346">
        <v>1.8033000000000301</v>
      </c>
      <c r="AD346">
        <v>-1.101653062779</v>
      </c>
      <c r="AE346">
        <v>0.37779999999997899</v>
      </c>
      <c r="AF346">
        <v>-0.24861384589275901</v>
      </c>
      <c r="AG346">
        <v>-1.101653062779</v>
      </c>
      <c r="AH346">
        <v>1.33425513105881</v>
      </c>
      <c r="AI346">
        <v>129.06618091455601</v>
      </c>
      <c r="AJ346">
        <v>100.55496883767</v>
      </c>
      <c r="AK346">
        <v>1.7480517926699699</v>
      </c>
    </row>
    <row r="347" spans="1:37" x14ac:dyDescent="0.2">
      <c r="A347" t="str">
        <f>"20200111160102378"</f>
        <v>20200111160102378</v>
      </c>
      <c r="B347" t="str">
        <f>"1578729662369095"</f>
        <v>1578729662369095</v>
      </c>
      <c r="C347" t="s">
        <v>37</v>
      </c>
      <c r="D347">
        <v>3.9160439999999999</v>
      </c>
      <c r="E347">
        <v>0.46632020000000002</v>
      </c>
      <c r="F347" t="s">
        <v>38</v>
      </c>
      <c r="G347">
        <v>-384.89940000000001</v>
      </c>
      <c r="H347" s="1">
        <v>-2.214664E-6</v>
      </c>
      <c r="I347">
        <v>369.366999999999</v>
      </c>
      <c r="J347">
        <v>-386.71140000000003</v>
      </c>
      <c r="K347">
        <v>1.1014790000000001</v>
      </c>
      <c r="L347">
        <v>368.99259999999998</v>
      </c>
      <c r="M347">
        <v>0.99977249999999995</v>
      </c>
      <c r="N347">
        <v>0</v>
      </c>
      <c r="O347">
        <v>2.086619E-2</v>
      </c>
      <c r="P347">
        <v>0.99815419999999999</v>
      </c>
      <c r="Q347">
        <v>7.5546540000000001E-3</v>
      </c>
      <c r="R347">
        <v>6.0263419999999998E-2</v>
      </c>
      <c r="S347">
        <v>2.981506</v>
      </c>
      <c r="T347">
        <v>-1.5214939999999999</v>
      </c>
      <c r="U347">
        <v>0.52645869999999995</v>
      </c>
      <c r="V347">
        <v>-3.938875E-2</v>
      </c>
      <c r="W347">
        <v>1.211453E-2</v>
      </c>
      <c r="X347">
        <v>0.99915049999999905</v>
      </c>
      <c r="Y347">
        <v>-0.1392089</v>
      </c>
      <c r="Z347">
        <v>2.3287550000000001E-2</v>
      </c>
      <c r="AA347">
        <v>0.98998920000000001</v>
      </c>
      <c r="AB347">
        <v>34</v>
      </c>
      <c r="AC347">
        <v>1.81200000000001</v>
      </c>
      <c r="AD347">
        <v>-1.1014812146640001</v>
      </c>
      <c r="AE347">
        <v>0.37439999999998003</v>
      </c>
      <c r="AF347">
        <v>-0.24845767375729699</v>
      </c>
      <c r="AG347">
        <v>-1.1014812146640001</v>
      </c>
      <c r="AH347">
        <v>1.34334860670558</v>
      </c>
      <c r="AI347">
        <v>128.87844374201401</v>
      </c>
      <c r="AJ347">
        <v>100.47866872763601</v>
      </c>
      <c r="AK347">
        <v>1.75487251988411</v>
      </c>
    </row>
    <row r="348" spans="1:37" x14ac:dyDescent="0.2">
      <c r="A348" t="str">
        <f>"20200111160102402"</f>
        <v>20200111160102402</v>
      </c>
      <c r="B348" t="str">
        <f>"1578729662399353"</f>
        <v>1578729662399353</v>
      </c>
      <c r="C348" t="s">
        <v>37</v>
      </c>
      <c r="D348">
        <v>3.8759969999999999</v>
      </c>
      <c r="E348">
        <v>0.46580290000000002</v>
      </c>
      <c r="F348" t="s">
        <v>38</v>
      </c>
      <c r="G348">
        <v>-384.5335</v>
      </c>
      <c r="H348" s="1">
        <v>-2.370079E-6</v>
      </c>
      <c r="I348">
        <v>369.37569999999999</v>
      </c>
      <c r="J348">
        <v>-386.36939999999998</v>
      </c>
      <c r="K348">
        <v>1.101337</v>
      </c>
      <c r="L348">
        <v>368.99869999999999</v>
      </c>
      <c r="M348">
        <v>0.99980380000000002</v>
      </c>
      <c r="N348">
        <v>0</v>
      </c>
      <c r="O348">
        <v>1.9485590000000001E-2</v>
      </c>
      <c r="P348">
        <v>0.99835059999999998</v>
      </c>
      <c r="Q348">
        <v>7.0447869999999899E-3</v>
      </c>
      <c r="R348">
        <v>5.6977939999999998E-2</v>
      </c>
      <c r="S348">
        <v>2.9851990000000002</v>
      </c>
      <c r="T348">
        <v>-1.5097479999999901</v>
      </c>
      <c r="U348">
        <v>0.52511600000000003</v>
      </c>
      <c r="V348">
        <v>-3.7481649999999998E-2</v>
      </c>
      <c r="W348">
        <v>1.0700319999999999E-2</v>
      </c>
      <c r="X348">
        <v>0.99924000000000002</v>
      </c>
      <c r="Y348">
        <v>-0.13992189999999999</v>
      </c>
      <c r="Z348">
        <v>2.3925020000000002E-2</v>
      </c>
      <c r="AA348">
        <v>0.98987349999999996</v>
      </c>
      <c r="AB348">
        <v>34</v>
      </c>
      <c r="AC348">
        <v>1.8358999999999801</v>
      </c>
      <c r="AD348">
        <v>-1.101339370079</v>
      </c>
      <c r="AE348">
        <v>0.37700000000000899</v>
      </c>
      <c r="AF348">
        <v>-0.25358849505298398</v>
      </c>
      <c r="AG348">
        <v>-1.101339370079</v>
      </c>
      <c r="AH348">
        <v>1.36987047672536</v>
      </c>
      <c r="AI348">
        <v>128.32785010543199</v>
      </c>
      <c r="AJ348">
        <v>100.487788016484</v>
      </c>
      <c r="AK348">
        <v>1.77589432566046</v>
      </c>
    </row>
    <row r="349" spans="1:37" x14ac:dyDescent="0.2">
      <c r="A349" t="str">
        <f>"20200111160102422"</f>
        <v>20200111160102422</v>
      </c>
      <c r="B349" t="str">
        <f>"1578729662419847"</f>
        <v>1578729662419847</v>
      </c>
      <c r="C349" t="s">
        <v>37</v>
      </c>
      <c r="D349">
        <v>3.8632169999999899</v>
      </c>
      <c r="E349">
        <v>0.46472159999999901</v>
      </c>
      <c r="F349" t="s">
        <v>38</v>
      </c>
      <c r="G349">
        <v>-384.18360000000001</v>
      </c>
      <c r="H349" s="1">
        <v>-2.519432E-6</v>
      </c>
      <c r="I349">
        <v>369.38</v>
      </c>
      <c r="J349">
        <v>-386.03699999999998</v>
      </c>
      <c r="K349">
        <v>1.101245</v>
      </c>
      <c r="L349">
        <v>369.00409999999999</v>
      </c>
      <c r="M349">
        <v>0.99983069999999896</v>
      </c>
      <c r="N349">
        <v>0</v>
      </c>
      <c r="O349">
        <v>1.8171610000000001E-2</v>
      </c>
      <c r="P349">
        <v>0.99851800000000002</v>
      </c>
      <c r="Q349">
        <v>7.06882E-3</v>
      </c>
      <c r="R349">
        <v>5.396393E-2</v>
      </c>
      <c r="S349">
        <v>2.98584</v>
      </c>
      <c r="T349">
        <v>-1.5044109999999999</v>
      </c>
      <c r="U349">
        <v>0.52087399999999995</v>
      </c>
      <c r="V349">
        <v>-3.5777940000000001E-2</v>
      </c>
      <c r="W349">
        <v>1.0124340000000001E-2</v>
      </c>
      <c r="X349">
        <v>0.99930849999999904</v>
      </c>
      <c r="Y349">
        <v>-0.13977870000000001</v>
      </c>
      <c r="Z349">
        <v>2.4433549999999998E-2</v>
      </c>
      <c r="AA349">
        <v>0.98988129999999996</v>
      </c>
      <c r="AB349">
        <v>34</v>
      </c>
      <c r="AC349">
        <v>1.85339999999996</v>
      </c>
      <c r="AD349">
        <v>-1.1012475194319999</v>
      </c>
      <c r="AE349">
        <v>0.37590000000000101</v>
      </c>
      <c r="AF349">
        <v>-0.255514255965749</v>
      </c>
      <c r="AG349">
        <v>-1.1012475194319999</v>
      </c>
      <c r="AH349">
        <v>1.3889388601599699</v>
      </c>
      <c r="AI349">
        <v>127.946553309745</v>
      </c>
      <c r="AJ349">
        <v>100.42379375972099</v>
      </c>
      <c r="AK349">
        <v>1.7908614662556499</v>
      </c>
    </row>
    <row r="350" spans="1:37" x14ac:dyDescent="0.2">
      <c r="A350" t="str">
        <f>"20200111160102470"</f>
        <v>20200111160102470</v>
      </c>
      <c r="B350" t="str">
        <f>"1578729662459867"</f>
        <v>1578729662459867</v>
      </c>
      <c r="C350" t="s">
        <v>37</v>
      </c>
      <c r="D350">
        <v>3.8859809999999899</v>
      </c>
      <c r="E350">
        <v>0.46385799999999999</v>
      </c>
      <c r="F350" t="s">
        <v>38</v>
      </c>
      <c r="G350">
        <v>-383.84769999999997</v>
      </c>
      <c r="H350" s="1">
        <v>-2.66246199999999E-6</v>
      </c>
      <c r="I350">
        <v>369.38619999999997</v>
      </c>
      <c r="J350">
        <v>-385.30829999999997</v>
      </c>
      <c r="K350">
        <v>1.10128</v>
      </c>
      <c r="L350">
        <v>369.01389999999998</v>
      </c>
      <c r="M350">
        <v>0.99987969999999904</v>
      </c>
      <c r="N350">
        <v>0</v>
      </c>
      <c r="O350">
        <v>1.528328E-2</v>
      </c>
      <c r="P350">
        <v>0.99885139999999994</v>
      </c>
      <c r="Q350">
        <v>4.3149909999999998E-3</v>
      </c>
      <c r="R350">
        <v>4.7724370000000002E-2</v>
      </c>
      <c r="S350">
        <v>2.9869080000000001</v>
      </c>
      <c r="T350">
        <v>-1.5023839999999999</v>
      </c>
      <c r="U350">
        <v>0.52130129999999997</v>
      </c>
      <c r="V350">
        <v>-3.2427299999999999E-2</v>
      </c>
      <c r="W350">
        <v>7.1227590000000002E-3</v>
      </c>
      <c r="X350">
        <v>0.99944869999999997</v>
      </c>
      <c r="Y350">
        <v>-0.14214470000000001</v>
      </c>
      <c r="Z350">
        <v>2.631532E-2</v>
      </c>
      <c r="AA350">
        <v>0.98949609999999899</v>
      </c>
      <c r="AB350">
        <v>35</v>
      </c>
      <c r="AC350">
        <v>1.4605999999999899</v>
      </c>
      <c r="AD350">
        <v>-1.101282662462</v>
      </c>
      <c r="AE350">
        <v>0.37229999999999502</v>
      </c>
      <c r="AF350">
        <v>-0.22814481280819099</v>
      </c>
      <c r="AG350">
        <v>-1.101282662462</v>
      </c>
      <c r="AH350">
        <v>0.95585979199280202</v>
      </c>
      <c r="AI350">
        <v>138.25645360045101</v>
      </c>
      <c r="AJ350">
        <v>103.424211725974</v>
      </c>
      <c r="AK350">
        <v>1.4759883130293401</v>
      </c>
    </row>
    <row r="351" spans="1:37" x14ac:dyDescent="0.2">
      <c r="A351" t="str">
        <f>"20200111160102492"</f>
        <v>20200111160102492</v>
      </c>
      <c r="B351" t="str">
        <f>"1578729662479383"</f>
        <v>1578729662479383</v>
      </c>
      <c r="C351" t="s">
        <v>37</v>
      </c>
      <c r="D351">
        <v>3.8406440000000002</v>
      </c>
      <c r="E351">
        <v>0.46316479999999999</v>
      </c>
      <c r="F351" t="s">
        <v>38</v>
      </c>
      <c r="G351">
        <v>-383.13290000000001</v>
      </c>
      <c r="H351" s="1">
        <v>-2.9690929999999899E-6</v>
      </c>
      <c r="I351">
        <v>369.38619999999997</v>
      </c>
      <c r="J351">
        <v>-384.97019999999998</v>
      </c>
      <c r="K351">
        <v>1.1013709999999901</v>
      </c>
      <c r="L351">
        <v>369.01749999999998</v>
      </c>
      <c r="M351">
        <v>0.99990049999999997</v>
      </c>
      <c r="N351">
        <v>0</v>
      </c>
      <c r="O351">
        <v>1.381715E-2</v>
      </c>
      <c r="P351">
        <v>0.99893960000000004</v>
      </c>
      <c r="Q351">
        <v>2.0546129999999998E-3</v>
      </c>
      <c r="R351">
        <v>4.599512E-2</v>
      </c>
      <c r="S351">
        <v>2.985535</v>
      </c>
      <c r="T351">
        <v>-1.5113780000000001</v>
      </c>
      <c r="U351">
        <v>0.5109863</v>
      </c>
      <c r="V351">
        <v>-3.2169400000000001E-2</v>
      </c>
      <c r="W351">
        <v>5.0743050000000003E-3</v>
      </c>
      <c r="X351">
        <v>0.99946959999999996</v>
      </c>
      <c r="Y351">
        <v>-0.14021349999999999</v>
      </c>
      <c r="Z351">
        <v>2.6710480000000002E-2</v>
      </c>
      <c r="AA351">
        <v>0.98976090000000005</v>
      </c>
      <c r="AB351">
        <v>35</v>
      </c>
      <c r="AC351">
        <v>1.83729999999997</v>
      </c>
      <c r="AD351">
        <v>-1.10137396909299</v>
      </c>
      <c r="AE351">
        <v>0.36869999999998898</v>
      </c>
      <c r="AF351">
        <v>-0.25514356650409897</v>
      </c>
      <c r="AG351">
        <v>-1.10137396909299</v>
      </c>
      <c r="AH351">
        <v>1.3692392504305499</v>
      </c>
      <c r="AI351">
        <v>128.33546256087101</v>
      </c>
      <c r="AJ351">
        <v>100.555416716583</v>
      </c>
      <c r="AK351">
        <v>1.7756517069075599</v>
      </c>
    </row>
    <row r="352" spans="1:37" x14ac:dyDescent="0.2">
      <c r="A352" t="str">
        <f>"20200111160102513"</f>
        <v>20200111160102513</v>
      </c>
      <c r="B352" t="str">
        <f>"1578729662509640"</f>
        <v>1578729662509640</v>
      </c>
      <c r="C352" t="s">
        <v>37</v>
      </c>
      <c r="D352">
        <v>3.8780399999999999</v>
      </c>
      <c r="E352">
        <v>0.4621903</v>
      </c>
      <c r="F352" t="s">
        <v>38</v>
      </c>
      <c r="G352">
        <v>-382.80500000000001</v>
      </c>
      <c r="H352" s="1">
        <v>-3.1095259999999999E-6</v>
      </c>
      <c r="I352">
        <v>369.38740000000001</v>
      </c>
      <c r="J352">
        <v>-384.62860000000001</v>
      </c>
      <c r="K352">
        <v>1.101472</v>
      </c>
      <c r="L352">
        <v>369.0206</v>
      </c>
      <c r="M352">
        <v>0.99992009999999898</v>
      </c>
      <c r="N352">
        <v>0</v>
      </c>
      <c r="O352">
        <v>1.223663E-2</v>
      </c>
      <c r="P352">
        <v>0.99893299999999996</v>
      </c>
      <c r="Q352">
        <v>-1.714662E-3</v>
      </c>
      <c r="R352">
        <v>4.6153899999999998E-2</v>
      </c>
      <c r="S352">
        <v>2.9828489999999999</v>
      </c>
      <c r="T352">
        <v>-1.5172639999999999</v>
      </c>
      <c r="U352">
        <v>0.50967410000000002</v>
      </c>
      <c r="V352">
        <v>-3.3921189999999997E-2</v>
      </c>
      <c r="W352">
        <v>1.59103E-3</v>
      </c>
      <c r="X352">
        <v>0.99942330000000001</v>
      </c>
      <c r="Y352">
        <v>-0.14107349999999999</v>
      </c>
      <c r="Z352">
        <v>2.7783120000000001E-2</v>
      </c>
      <c r="AA352">
        <v>0.98960919999999897</v>
      </c>
      <c r="AB352">
        <v>35</v>
      </c>
      <c r="AC352">
        <v>1.8235999999999899</v>
      </c>
      <c r="AD352">
        <v>-1.101475109526</v>
      </c>
      <c r="AE352">
        <v>0.36680000000001201</v>
      </c>
      <c r="AF352">
        <v>-0.25503228321333699</v>
      </c>
      <c r="AG352">
        <v>-1.101475109526</v>
      </c>
      <c r="AH352">
        <v>1.3533932716438299</v>
      </c>
      <c r="AI352">
        <v>128.65232283497599</v>
      </c>
      <c r="AJ352">
        <v>100.671628489778</v>
      </c>
      <c r="AK352">
        <v>1.7635085001544799</v>
      </c>
    </row>
    <row r="353" spans="1:37" x14ac:dyDescent="0.2">
      <c r="A353" t="str">
        <f>"20200111160102535"</f>
        <v>20200111160102535</v>
      </c>
      <c r="B353" t="str">
        <f>"1578729662529160"</f>
        <v>1578729662529160</v>
      </c>
      <c r="C353" t="s">
        <v>37</v>
      </c>
      <c r="D353">
        <v>4.1215209999999898</v>
      </c>
      <c r="E353">
        <v>0.462143999999999</v>
      </c>
      <c r="F353" t="s">
        <v>38</v>
      </c>
      <c r="G353">
        <v>-382.48509999999999</v>
      </c>
      <c r="H353" s="1">
        <v>-3.2461339999999998E-6</v>
      </c>
      <c r="I353">
        <v>369.39109999999999</v>
      </c>
      <c r="J353">
        <v>-384.28590000000003</v>
      </c>
      <c r="K353">
        <v>1.1015600000000001</v>
      </c>
      <c r="L353">
        <v>369.02319999999997</v>
      </c>
      <c r="M353">
        <v>0.99993799999999899</v>
      </c>
      <c r="N353">
        <v>0</v>
      </c>
      <c r="O353">
        <v>1.0580590000000001E-2</v>
      </c>
      <c r="P353">
        <v>0.99881949999999997</v>
      </c>
      <c r="Q353">
        <v>-5.1084650000000004E-3</v>
      </c>
      <c r="R353">
        <v>4.8308690000000001E-2</v>
      </c>
      <c r="S353">
        <v>2.9767759999999899</v>
      </c>
      <c r="T353">
        <v>-1.5296239999999901</v>
      </c>
      <c r="U353">
        <v>0.51455689999999998</v>
      </c>
      <c r="V353">
        <v>-3.7743440000000003E-2</v>
      </c>
      <c r="W353">
        <v>-1.4809720000000001E-3</v>
      </c>
      <c r="X353">
        <v>0.99928639999999902</v>
      </c>
      <c r="Y353">
        <v>-0.14379909999999901</v>
      </c>
      <c r="Z353">
        <v>2.948305E-2</v>
      </c>
      <c r="AA353">
        <v>0.98916759999999904</v>
      </c>
      <c r="AB353">
        <v>35</v>
      </c>
      <c r="AC353">
        <v>1.8008000000000299</v>
      </c>
      <c r="AD353">
        <v>-1.1015632461339999</v>
      </c>
      <c r="AE353">
        <v>0.36790000000001999</v>
      </c>
      <c r="AF353">
        <v>-0.25664156044064601</v>
      </c>
      <c r="AG353">
        <v>-1.1015632461339999</v>
      </c>
      <c r="AH353">
        <v>1.3276922381396901</v>
      </c>
      <c r="AI353">
        <v>129.16638457222101</v>
      </c>
      <c r="AJ353">
        <v>100.94028822600001</v>
      </c>
      <c r="AK353">
        <v>1.74415399405989</v>
      </c>
    </row>
    <row r="354" spans="1:37" x14ac:dyDescent="0.2">
      <c r="A354" t="str">
        <f>"20200111160102558"</f>
        <v>20200111160102558</v>
      </c>
      <c r="B354" t="str">
        <f>"1578729662549215"</f>
        <v>1578729662549215</v>
      </c>
      <c r="C354" t="s">
        <v>37</v>
      </c>
      <c r="D354">
        <v>3.9428989999999899</v>
      </c>
      <c r="E354">
        <v>0.46186850000000002</v>
      </c>
      <c r="F354" t="s">
        <v>38</v>
      </c>
      <c r="G354">
        <v>-382.15600000000001</v>
      </c>
      <c r="H354" s="1">
        <v>-3.3866779999999999E-6</v>
      </c>
      <c r="I354">
        <v>369.3947</v>
      </c>
      <c r="J354">
        <v>-383.90789999999998</v>
      </c>
      <c r="K354">
        <v>1.101637</v>
      </c>
      <c r="L354">
        <v>369.02550000000002</v>
      </c>
      <c r="M354">
        <v>0.99995469999999897</v>
      </c>
      <c r="N354">
        <v>0</v>
      </c>
      <c r="O354">
        <v>8.7150430000000004E-3</v>
      </c>
      <c r="P354">
        <v>0.9986969</v>
      </c>
      <c r="Q354">
        <v>-6.2349199999999997E-3</v>
      </c>
      <c r="R354">
        <v>5.0652469999999998E-2</v>
      </c>
      <c r="S354">
        <v>2.970612</v>
      </c>
      <c r="T354">
        <v>-1.5362959999999899</v>
      </c>
      <c r="U354">
        <v>0.51815800000000001</v>
      </c>
      <c r="V354">
        <v>-4.1955270000000003E-2</v>
      </c>
      <c r="W354">
        <v>-2.243788E-3</v>
      </c>
      <c r="X354">
        <v>0.99911700000000003</v>
      </c>
      <c r="Y354">
        <v>-0.14640819999999999</v>
      </c>
      <c r="Z354">
        <v>3.118131E-2</v>
      </c>
      <c r="AA354">
        <v>0.98873269999999902</v>
      </c>
      <c r="AB354">
        <v>35</v>
      </c>
      <c r="AC354">
        <v>1.75189999999997</v>
      </c>
      <c r="AD354">
        <v>-1.101640386678</v>
      </c>
      <c r="AE354">
        <v>0.36919999999997699</v>
      </c>
      <c r="AF354">
        <v>-0.25672138283014001</v>
      </c>
      <c r="AG354">
        <v>-1.101640386678</v>
      </c>
      <c r="AH354">
        <v>1.2730608868204001</v>
      </c>
      <c r="AI354">
        <v>130.307006905734</v>
      </c>
      <c r="AJ354">
        <v>101.401179829817</v>
      </c>
      <c r="AK354">
        <v>1.7029977778946801</v>
      </c>
    </row>
    <row r="355" spans="1:37" x14ac:dyDescent="0.2">
      <c r="A355" t="str">
        <f>"20200111160102581"</f>
        <v>20200111160102581</v>
      </c>
      <c r="B355" t="str">
        <f>"1578729662569710"</f>
        <v>1578729662569710</v>
      </c>
      <c r="C355" t="s">
        <v>37</v>
      </c>
      <c r="D355">
        <v>4.0452079999999997</v>
      </c>
      <c r="E355">
        <v>0.46115499999999998</v>
      </c>
      <c r="F355" t="s">
        <v>38</v>
      </c>
      <c r="G355">
        <v>-381.78039999999999</v>
      </c>
      <c r="H355" s="1">
        <v>-3.5465499999999902E-6</v>
      </c>
      <c r="I355">
        <v>369.40170000000001</v>
      </c>
      <c r="J355">
        <v>-383.55650000000003</v>
      </c>
      <c r="K355">
        <v>1.1016809999999999</v>
      </c>
      <c r="L355">
        <v>369.02699999999999</v>
      </c>
      <c r="M355">
        <v>0.9999671</v>
      </c>
      <c r="N355">
        <v>0</v>
      </c>
      <c r="O355">
        <v>6.9733800000000004E-3</v>
      </c>
      <c r="P355">
        <v>0.99857389999999902</v>
      </c>
      <c r="Q355">
        <v>-6.4299439999999999E-3</v>
      </c>
      <c r="R355">
        <v>5.2998509999999999E-2</v>
      </c>
      <c r="S355">
        <v>2.967743</v>
      </c>
      <c r="T355">
        <v>-1.536656</v>
      </c>
      <c r="U355">
        <v>0.5248718</v>
      </c>
      <c r="V355">
        <v>-4.6042090000000001E-2</v>
      </c>
      <c r="W355">
        <v>-2.106377E-3</v>
      </c>
      <c r="X355">
        <v>0.99893729999999903</v>
      </c>
      <c r="Y355">
        <v>-0.14979709999999999</v>
      </c>
      <c r="Z355">
        <v>3.2871780000000003E-2</v>
      </c>
      <c r="AA355">
        <v>0.98817009999999905</v>
      </c>
      <c r="AB355">
        <v>35</v>
      </c>
      <c r="AC355">
        <v>1.77610000000004</v>
      </c>
      <c r="AD355">
        <v>-1.10168454654999</v>
      </c>
      <c r="AE355">
        <v>0.37470000000001802</v>
      </c>
      <c r="AF355">
        <v>-0.264774132039929</v>
      </c>
      <c r="AG355">
        <v>-1.10168454654999</v>
      </c>
      <c r="AH355">
        <v>1.29985860277406</v>
      </c>
      <c r="AI355">
        <v>129.70921956826101</v>
      </c>
      <c r="AJ355">
        <v>101.513328410074</v>
      </c>
      <c r="AK355">
        <v>1.7243684549162599</v>
      </c>
    </row>
    <row r="356" spans="1:37" x14ac:dyDescent="0.2">
      <c r="A356" t="str">
        <f>"20200111160102602"</f>
        <v>20200111160102602</v>
      </c>
      <c r="B356" t="str">
        <f>"1578729662598991"</f>
        <v>1578729662598991</v>
      </c>
      <c r="C356" t="s">
        <v>37</v>
      </c>
      <c r="D356">
        <v>3.9918010000000002</v>
      </c>
      <c r="E356">
        <v>0.4603218</v>
      </c>
      <c r="F356" t="s">
        <v>38</v>
      </c>
      <c r="G356">
        <v>-381.42759999999998</v>
      </c>
      <c r="H356" s="1">
        <v>-3.696314E-6</v>
      </c>
      <c r="I356">
        <v>369.41059999999999</v>
      </c>
      <c r="J356">
        <v>-383.2131</v>
      </c>
      <c r="K356">
        <v>1.101699</v>
      </c>
      <c r="L356">
        <v>369.02800000000002</v>
      </c>
      <c r="M356">
        <v>0.99997630000000004</v>
      </c>
      <c r="N356">
        <v>0</v>
      </c>
      <c r="O356">
        <v>5.2780309999999999E-3</v>
      </c>
      <c r="P356">
        <v>0.99848159999999897</v>
      </c>
      <c r="Q356">
        <v>-6.7953650000000003E-3</v>
      </c>
      <c r="R356">
        <v>5.4667380000000002E-2</v>
      </c>
      <c r="S356">
        <v>2.9660340000000001</v>
      </c>
      <c r="T356">
        <v>-1.534829</v>
      </c>
      <c r="U356">
        <v>0.53445430000000005</v>
      </c>
      <c r="V356">
        <v>-4.9405199999999899E-2</v>
      </c>
      <c r="W356">
        <v>-2.1636629999999902E-3</v>
      </c>
      <c r="X356">
        <v>0.99877649999999996</v>
      </c>
      <c r="Y356">
        <v>-0.15397159999999999</v>
      </c>
      <c r="Z356">
        <v>3.4674690000000001E-2</v>
      </c>
      <c r="AA356">
        <v>0.98746659999999997</v>
      </c>
      <c r="AB356">
        <v>35</v>
      </c>
      <c r="AC356">
        <v>1.7855000000000101</v>
      </c>
      <c r="AD356">
        <v>-1.101702696314</v>
      </c>
      <c r="AE356">
        <v>0.38259999999996802</v>
      </c>
      <c r="AF356">
        <v>-0.27358373256635798</v>
      </c>
      <c r="AG356">
        <v>-1.101702696314</v>
      </c>
      <c r="AH356">
        <v>1.3104712768464599</v>
      </c>
      <c r="AI356">
        <v>129.45265835664</v>
      </c>
      <c r="AJ356">
        <v>101.79212466969599</v>
      </c>
      <c r="AK356">
        <v>1.7337623416229999</v>
      </c>
    </row>
    <row r="357" spans="1:37" x14ac:dyDescent="0.2">
      <c r="A357" t="str">
        <f>"20200111160102624"</f>
        <v>20200111160102624</v>
      </c>
      <c r="B357" t="str">
        <f>"1578729662619487"</f>
        <v>1578729662619487</v>
      </c>
      <c r="C357" t="s">
        <v>37</v>
      </c>
      <c r="D357">
        <v>3.9618739999999999</v>
      </c>
      <c r="E357">
        <v>0.45999799999999902</v>
      </c>
      <c r="F357" t="s">
        <v>38</v>
      </c>
      <c r="G357">
        <v>-381.08940000000001</v>
      </c>
      <c r="H357" s="1">
        <v>-3.8399159999999999E-6</v>
      </c>
      <c r="I357">
        <v>369.41899999999998</v>
      </c>
      <c r="J357">
        <v>-382.8648</v>
      </c>
      <c r="K357">
        <v>1.101699</v>
      </c>
      <c r="L357">
        <v>369.02839999999998</v>
      </c>
      <c r="M357">
        <v>0.99998259999999894</v>
      </c>
      <c r="N357">
        <v>0</v>
      </c>
      <c r="O357">
        <v>3.5668420000000002E-3</v>
      </c>
      <c r="P357">
        <v>0.99848340000000002</v>
      </c>
      <c r="Q357">
        <v>-7.2090119999999999E-3</v>
      </c>
      <c r="R357">
        <v>5.4583420000000001E-2</v>
      </c>
      <c r="S357">
        <v>2.9642029999999999</v>
      </c>
      <c r="T357">
        <v>-1.537655</v>
      </c>
      <c r="U357">
        <v>0.54583740000000003</v>
      </c>
      <c r="V357">
        <v>-5.103104E-2</v>
      </c>
      <c r="W357">
        <v>-2.2912560000000002E-3</v>
      </c>
      <c r="X357">
        <v>0.99869439999999998</v>
      </c>
      <c r="Y357">
        <v>-0.1585848</v>
      </c>
      <c r="Z357">
        <v>3.6686709999999997E-2</v>
      </c>
      <c r="AA357">
        <v>0.98666350000000003</v>
      </c>
      <c r="AB357">
        <v>35</v>
      </c>
      <c r="AC357">
        <v>1.7753999999999901</v>
      </c>
      <c r="AD357">
        <v>-1.101702839916</v>
      </c>
      <c r="AE357">
        <v>0.39060000000006301</v>
      </c>
      <c r="AF357">
        <v>-0.281041384138777</v>
      </c>
      <c r="AG357">
        <v>-1.101702839916</v>
      </c>
      <c r="AH357">
        <v>1.29949232053196</v>
      </c>
      <c r="AI357">
        <v>129.646416859922</v>
      </c>
      <c r="AJ357">
        <v>102.203420230969</v>
      </c>
      <c r="AK357">
        <v>1.7266770683017501</v>
      </c>
    </row>
    <row r="358" spans="1:37" x14ac:dyDescent="0.2">
      <c r="A358" t="str">
        <f>"20200111160102646"</f>
        <v>20200111160102646</v>
      </c>
      <c r="B358" t="str">
        <f>"1578729662639984"</f>
        <v>1578729662639984</v>
      </c>
      <c r="C358" t="s">
        <v>37</v>
      </c>
      <c r="D358">
        <v>3.9837809999999898</v>
      </c>
      <c r="E358">
        <v>0.45997589999999999</v>
      </c>
      <c r="F358" t="s">
        <v>38</v>
      </c>
      <c r="G358">
        <v>-380.74040000000002</v>
      </c>
      <c r="H358" s="1">
        <v>-3.98925E-6</v>
      </c>
      <c r="I358">
        <v>369.4212</v>
      </c>
      <c r="J358">
        <v>-382.50540000000001</v>
      </c>
      <c r="K358">
        <v>1.1016859999999999</v>
      </c>
      <c r="L358">
        <v>369.02809999999999</v>
      </c>
      <c r="M358">
        <v>0.99998589999999998</v>
      </c>
      <c r="N358">
        <v>0</v>
      </c>
      <c r="O358">
        <v>1.8079019999999999E-3</v>
      </c>
      <c r="P358">
        <v>0.998542499999999</v>
      </c>
      <c r="Q358">
        <v>-8.0769840000000006E-3</v>
      </c>
      <c r="R358">
        <v>5.3365540000000003E-2</v>
      </c>
      <c r="S358">
        <v>2.9635310000000001</v>
      </c>
      <c r="T358">
        <v>-1.5368120000000001</v>
      </c>
      <c r="U358">
        <v>0.54809569999999996</v>
      </c>
      <c r="V358">
        <v>-5.1571939999999997E-2</v>
      </c>
      <c r="W358">
        <v>-2.8920980000000001E-3</v>
      </c>
      <c r="X358">
        <v>0.99866509999999997</v>
      </c>
      <c r="Y358">
        <v>-0.1606293</v>
      </c>
      <c r="Z358">
        <v>3.8020810000000002E-2</v>
      </c>
      <c r="AA358">
        <v>0.9862822</v>
      </c>
      <c r="AB358">
        <v>36</v>
      </c>
      <c r="AC358">
        <v>1.7649999999999799</v>
      </c>
      <c r="AD358">
        <v>-1.1016899892500001</v>
      </c>
      <c r="AE358">
        <v>0.393100000000004</v>
      </c>
      <c r="AF358">
        <v>-0.28435629859203398</v>
      </c>
      <c r="AG358">
        <v>-1.1016899892500001</v>
      </c>
      <c r="AH358">
        <v>1.28771315284148</v>
      </c>
      <c r="AI358">
        <v>129.87584895573201</v>
      </c>
      <c r="AJ358">
        <v>102.452372019503</v>
      </c>
      <c r="AK358">
        <v>1.7183668121107201</v>
      </c>
    </row>
    <row r="359" spans="1:37" x14ac:dyDescent="0.2">
      <c r="A359" t="str">
        <f>"20200111160102670"</f>
        <v>20200111160102670</v>
      </c>
      <c r="B359" t="str">
        <f>"1578729662659502"</f>
        <v>1578729662659502</v>
      </c>
      <c r="C359" t="s">
        <v>37</v>
      </c>
      <c r="D359">
        <v>3.996769</v>
      </c>
      <c r="E359">
        <v>0.46024849999999901</v>
      </c>
      <c r="F359" t="s">
        <v>38</v>
      </c>
      <c r="G359">
        <v>-380.38699999999898</v>
      </c>
      <c r="H359" s="1">
        <v>-4.1417329999999999E-6</v>
      </c>
      <c r="I359">
        <v>369.41640000000001</v>
      </c>
      <c r="J359">
        <v>-382.14049999999997</v>
      </c>
      <c r="K359">
        <v>1.101661</v>
      </c>
      <c r="L359">
        <v>369.02730000000003</v>
      </c>
      <c r="M359">
        <v>0.99998639999999905</v>
      </c>
      <c r="N359">
        <v>0</v>
      </c>
      <c r="O359" s="1">
        <v>2.2574799999999999E-5</v>
      </c>
      <c r="P359">
        <v>0.99862680000000004</v>
      </c>
      <c r="Q359">
        <v>-9.2671119999999992E-3</v>
      </c>
      <c r="R359">
        <v>5.156256E-2</v>
      </c>
      <c r="S359">
        <v>2.9628909999999999</v>
      </c>
      <c r="T359">
        <v>-1.540761</v>
      </c>
      <c r="U359">
        <v>0.54306030000000005</v>
      </c>
      <c r="V359">
        <v>-5.1556049999999999E-2</v>
      </c>
      <c r="W359">
        <v>-3.839131E-3</v>
      </c>
      <c r="X359">
        <v>0.99866270000000001</v>
      </c>
      <c r="Y359">
        <v>-0.16048870000000001</v>
      </c>
      <c r="Z359">
        <v>3.8952540000000001E-2</v>
      </c>
      <c r="AA359">
        <v>0.98626879999999995</v>
      </c>
      <c r="AB359">
        <v>36</v>
      </c>
      <c r="AC359">
        <v>1.75350000000003</v>
      </c>
      <c r="AD359">
        <v>-1.1016651417329999</v>
      </c>
      <c r="AE359">
        <v>0.38909999999998401</v>
      </c>
      <c r="AF359">
        <v>-0.28270730328779597</v>
      </c>
      <c r="AG359">
        <v>-1.1016651417329999</v>
      </c>
      <c r="AH359">
        <v>1.2741716223749</v>
      </c>
      <c r="AI359">
        <v>130.16723714943001</v>
      </c>
      <c r="AJ359">
        <v>102.50986849234199</v>
      </c>
      <c r="AK359">
        <v>1.70795281758816</v>
      </c>
    </row>
    <row r="360" spans="1:37" x14ac:dyDescent="0.2">
      <c r="A360" t="str">
        <f>"20200111160102693"</f>
        <v>20200111160102693</v>
      </c>
      <c r="B360" t="str">
        <f>"1578729662689760"</f>
        <v>1578729662689760</v>
      </c>
      <c r="C360" t="s">
        <v>37</v>
      </c>
      <c r="D360">
        <v>4.052162</v>
      </c>
      <c r="E360">
        <v>0.51984350000000001</v>
      </c>
      <c r="F360" t="s">
        <v>38</v>
      </c>
      <c r="G360">
        <v>-380.02679999999998</v>
      </c>
      <c r="H360" s="1">
        <v>-4.2977420000000003E-6</v>
      </c>
      <c r="I360">
        <v>369.40800000000002</v>
      </c>
      <c r="J360">
        <v>-381.76690000000002</v>
      </c>
      <c r="K360">
        <v>1.10164</v>
      </c>
      <c r="L360">
        <v>369.0256</v>
      </c>
      <c r="M360">
        <v>0.99998359999999997</v>
      </c>
      <c r="N360">
        <v>0</v>
      </c>
      <c r="O360">
        <v>-1.8061570000000001E-3</v>
      </c>
      <c r="P360">
        <v>0.99872159999999999</v>
      </c>
      <c r="Q360">
        <v>-9.8702400000000006E-3</v>
      </c>
      <c r="R360">
        <v>4.9578699999999899E-2</v>
      </c>
      <c r="S360">
        <v>2.96225</v>
      </c>
      <c r="T360">
        <v>-1.5438319999999901</v>
      </c>
      <c r="U360">
        <v>0.53359990000000002</v>
      </c>
      <c r="V360">
        <v>-5.1399790000000001E-2</v>
      </c>
      <c r="W360">
        <v>-4.2229360000000001E-3</v>
      </c>
      <c r="X360">
        <v>0.99866919999999904</v>
      </c>
      <c r="Y360">
        <v>-0.1591217</v>
      </c>
      <c r="Z360">
        <v>3.9595579999999998E-2</v>
      </c>
      <c r="AA360">
        <v>0.98646460000000002</v>
      </c>
      <c r="AB360">
        <v>36</v>
      </c>
      <c r="AC360">
        <v>1.7401000000000399</v>
      </c>
      <c r="AD360">
        <v>-1.101644297742</v>
      </c>
      <c r="AE360">
        <v>0.382400000000018</v>
      </c>
      <c r="AF360">
        <v>-0.27890524362750602</v>
      </c>
      <c r="AG360">
        <v>-1.101644297742</v>
      </c>
      <c r="AH360">
        <v>1.2583043845533</v>
      </c>
      <c r="AI360">
        <v>130.522299037051</v>
      </c>
      <c r="AJ360">
        <v>102.497651010864</v>
      </c>
      <c r="AK360">
        <v>1.6955052986813199</v>
      </c>
    </row>
    <row r="361" spans="1:37" x14ac:dyDescent="0.2">
      <c r="A361" t="str">
        <f>"20200111160102714"</f>
        <v>20200111160102714</v>
      </c>
      <c r="B361" t="str">
        <f>"1578729662709279"</f>
        <v>1578729662709279</v>
      </c>
      <c r="C361" t="s">
        <v>37</v>
      </c>
      <c r="D361">
        <v>4.0392570000000001</v>
      </c>
      <c r="E361">
        <v>0.52259579999999906</v>
      </c>
      <c r="F361" t="s">
        <v>38</v>
      </c>
      <c r="G361">
        <v>-379.24979999999999</v>
      </c>
      <c r="H361" s="1">
        <v>-4.0271710000000001E-7</v>
      </c>
      <c r="I361">
        <v>369.06049999999999</v>
      </c>
      <c r="J361">
        <v>-381.42860000000002</v>
      </c>
      <c r="K361">
        <v>1.1016239999999999</v>
      </c>
      <c r="L361">
        <v>369.02350000000001</v>
      </c>
      <c r="M361">
        <v>0.99997829999999999</v>
      </c>
      <c r="N361">
        <v>0</v>
      </c>
      <c r="O361">
        <v>-3.4639499999999999E-3</v>
      </c>
      <c r="P361">
        <v>0.99883690000000003</v>
      </c>
      <c r="Q361">
        <v>-1.009322E-2</v>
      </c>
      <c r="R361">
        <v>4.7152569999999998E-2</v>
      </c>
      <c r="S361">
        <v>2.9888309999999998</v>
      </c>
      <c r="T361">
        <v>-1.308076</v>
      </c>
      <c r="U361">
        <v>4.162598E-2</v>
      </c>
      <c r="V361">
        <v>-5.0630219999999997E-2</v>
      </c>
      <c r="W361">
        <v>-4.27036E-3</v>
      </c>
      <c r="X361">
        <v>0.99870840000000005</v>
      </c>
      <c r="Y361">
        <v>-1.56402E-2</v>
      </c>
      <c r="Z361">
        <v>4.7221199999999998E-3</v>
      </c>
      <c r="AA361">
        <v>0.99986649999999999</v>
      </c>
      <c r="AB361">
        <v>36</v>
      </c>
      <c r="AC361">
        <v>2.1788000000000198</v>
      </c>
      <c r="AD361">
        <v>-1.1016244027170901</v>
      </c>
      <c r="AE361">
        <v>3.6999999999977697E-2</v>
      </c>
      <c r="AF361">
        <v>-3.5479668903920701E-2</v>
      </c>
      <c r="AG361">
        <v>-1.1016244027170901</v>
      </c>
      <c r="AH361">
        <v>1.7351972037758401</v>
      </c>
      <c r="AI361">
        <v>122.404814963428</v>
      </c>
      <c r="AJ361">
        <v>91.171366606675406</v>
      </c>
      <c r="AK361">
        <v>2.0556615644504399</v>
      </c>
    </row>
    <row r="362" spans="1:37" x14ac:dyDescent="0.2">
      <c r="A362" t="str">
        <f>"20200111160102737"</f>
        <v>20200111160102737</v>
      </c>
      <c r="B362" t="str">
        <f>"1578729662729775"</f>
        <v>1578729662729775</v>
      </c>
      <c r="C362" t="s">
        <v>37</v>
      </c>
      <c r="D362">
        <v>4.1398129999999904</v>
      </c>
      <c r="E362">
        <v>0.45956019999999997</v>
      </c>
      <c r="F362" t="s">
        <v>38</v>
      </c>
      <c r="G362">
        <v>-378.91899999999998</v>
      </c>
      <c r="H362" s="1">
        <v>-5.4932590000000001E-7</v>
      </c>
      <c r="I362">
        <v>369.0342</v>
      </c>
      <c r="J362">
        <v>-381.05540000000002</v>
      </c>
      <c r="K362">
        <v>1.1015900000000001</v>
      </c>
      <c r="L362">
        <v>369.0206</v>
      </c>
      <c r="M362">
        <v>0.999969199999999</v>
      </c>
      <c r="N362">
        <v>0</v>
      </c>
      <c r="O362">
        <v>-5.2932789999999997E-3</v>
      </c>
      <c r="P362">
        <v>0.99894490000000002</v>
      </c>
      <c r="Q362">
        <v>-1.114062E-2</v>
      </c>
      <c r="R362">
        <v>4.4551710000000001E-2</v>
      </c>
      <c r="S362">
        <v>2.9895939999999999</v>
      </c>
      <c r="T362">
        <v>-1.3122389999999999</v>
      </c>
      <c r="U362">
        <v>1.287842E-2</v>
      </c>
      <c r="V362">
        <v>-4.9860420000000003E-2</v>
      </c>
      <c r="W362">
        <v>-5.1454980000000001E-3</v>
      </c>
      <c r="X362">
        <v>0.99874289999999999</v>
      </c>
      <c r="Y362">
        <v>-8.3450019999999903E-3</v>
      </c>
      <c r="Z362">
        <v>3.9719940000000004E-3</v>
      </c>
      <c r="AA362">
        <v>0.99995730000000005</v>
      </c>
      <c r="AB362">
        <v>36</v>
      </c>
      <c r="AC362">
        <v>2.1363999999999801</v>
      </c>
      <c r="AD362">
        <v>-1.1015905493258999</v>
      </c>
      <c r="AE362">
        <v>1.35999999999967E-2</v>
      </c>
      <c r="AF362">
        <v>-1.9677139972985199E-2</v>
      </c>
      <c r="AG362">
        <v>-1.1015905493258999</v>
      </c>
      <c r="AH362">
        <v>1.6876220593620701</v>
      </c>
      <c r="AI362">
        <v>123.13259794197999</v>
      </c>
      <c r="AJ362">
        <v>90.668020414365799</v>
      </c>
      <c r="AK362">
        <v>2.0154297664387002</v>
      </c>
    </row>
    <row r="363" spans="1:37" x14ac:dyDescent="0.2">
      <c r="A363" t="str">
        <f>"20200111160102760"</f>
        <v>20200111160102760</v>
      </c>
      <c r="B363" t="str">
        <f>"1578729662749295"</f>
        <v>1578729662749295</v>
      </c>
      <c r="C363" t="s">
        <v>37</v>
      </c>
      <c r="D363">
        <v>4.0461339999999897</v>
      </c>
      <c r="E363">
        <v>0.46004650000000002</v>
      </c>
      <c r="F363" t="s">
        <v>38</v>
      </c>
      <c r="G363">
        <v>-378.75990000000002</v>
      </c>
      <c r="H363" s="1">
        <v>-5.4986669999999897E-7</v>
      </c>
      <c r="I363">
        <v>369.41590000000002</v>
      </c>
      <c r="J363">
        <v>-380.68329999999997</v>
      </c>
      <c r="K363">
        <v>1.101553</v>
      </c>
      <c r="L363">
        <v>369.017</v>
      </c>
      <c r="M363">
        <v>0.99995710000000004</v>
      </c>
      <c r="N363">
        <v>0</v>
      </c>
      <c r="O363">
        <v>-7.1178489999999999E-3</v>
      </c>
      <c r="P363">
        <v>0.99901790000000001</v>
      </c>
      <c r="Q363">
        <v>-1.430232E-2</v>
      </c>
      <c r="R363">
        <v>4.1942069999999998E-2</v>
      </c>
      <c r="S363">
        <v>2.9645389999999998</v>
      </c>
      <c r="T363">
        <v>-1.4226019999999999</v>
      </c>
      <c r="U363">
        <v>0.5105286</v>
      </c>
      <c r="V363">
        <v>-4.9086490000000003E-2</v>
      </c>
      <c r="W363">
        <v>-8.1554680000000008E-3</v>
      </c>
      <c r="X363">
        <v>0.99876119999999902</v>
      </c>
      <c r="Y363">
        <v>-0.1590715</v>
      </c>
      <c r="Z363">
        <v>3.9183870000000003E-2</v>
      </c>
      <c r="AA363">
        <v>0.98648919999999996</v>
      </c>
      <c r="AB363">
        <v>36</v>
      </c>
      <c r="AC363">
        <v>1.92339999999995</v>
      </c>
      <c r="AD363">
        <v>-1.1015535498667</v>
      </c>
      <c r="AE363">
        <v>0.39890000000002601</v>
      </c>
      <c r="AF363">
        <v>-0.31387540810454601</v>
      </c>
      <c r="AG363">
        <v>-1.1015535498667</v>
      </c>
      <c r="AH363">
        <v>1.4610513734767501</v>
      </c>
      <c r="AI363">
        <v>126.39496540309401</v>
      </c>
      <c r="AJ363">
        <v>102.124485255172</v>
      </c>
      <c r="AK363">
        <v>1.8565045410596299</v>
      </c>
    </row>
    <row r="364" spans="1:37" x14ac:dyDescent="0.2">
      <c r="A364" t="str">
        <f>"20200111160102780"</f>
        <v>20200111160102780</v>
      </c>
      <c r="B364" t="str">
        <f>"1578729662769794"</f>
        <v>1578729662769794</v>
      </c>
      <c r="C364" t="s">
        <v>37</v>
      </c>
      <c r="D364">
        <v>4.0586449999999896</v>
      </c>
      <c r="E364">
        <v>0.46033689999999999</v>
      </c>
      <c r="F364" t="s">
        <v>38</v>
      </c>
      <c r="G364">
        <v>-378.50720000000001</v>
      </c>
      <c r="H364" s="1">
        <v>-6.6384720000000001E-7</v>
      </c>
      <c r="I364">
        <v>369.38459999999998</v>
      </c>
      <c r="J364">
        <v>-380.34750000000003</v>
      </c>
      <c r="K364">
        <v>1.1015219999999999</v>
      </c>
      <c r="L364">
        <v>369.01319999999998</v>
      </c>
      <c r="M364">
        <v>0.99994329999999998</v>
      </c>
      <c r="N364">
        <v>0</v>
      </c>
      <c r="O364">
        <v>-8.7611619999999994E-3</v>
      </c>
      <c r="P364">
        <v>0.99911099999999997</v>
      </c>
      <c r="Q364">
        <v>-1.530486E-2</v>
      </c>
      <c r="R364">
        <v>3.928218E-2</v>
      </c>
      <c r="S364">
        <v>2.96048</v>
      </c>
      <c r="T364">
        <v>-1.498543</v>
      </c>
      <c r="U364">
        <v>0.50009159999999997</v>
      </c>
      <c r="V364">
        <v>-4.807264E-2</v>
      </c>
      <c r="W364">
        <v>-9.0379669999999992E-3</v>
      </c>
      <c r="X364">
        <v>0.998803</v>
      </c>
      <c r="Y364">
        <v>-0.1558262</v>
      </c>
      <c r="Z364">
        <v>4.112905E-2</v>
      </c>
      <c r="AA364">
        <v>0.98692789999999997</v>
      </c>
      <c r="AB364">
        <v>36</v>
      </c>
      <c r="AC364">
        <v>1.84030000000001</v>
      </c>
      <c r="AD364">
        <v>-1.1015226638472</v>
      </c>
      <c r="AE364">
        <v>0.37139999999999401</v>
      </c>
      <c r="AF364">
        <v>-0.28827203663446999</v>
      </c>
      <c r="AG364">
        <v>-1.1015226638472</v>
      </c>
      <c r="AH364">
        <v>1.3665446746458201</v>
      </c>
      <c r="AI364">
        <v>128.26307524456701</v>
      </c>
      <c r="AJ364">
        <v>101.91187853935</v>
      </c>
      <c r="AK364">
        <v>1.77873474522686</v>
      </c>
    </row>
    <row r="365" spans="1:37" x14ac:dyDescent="0.2">
      <c r="A365" t="str">
        <f>"20200111160102802"</f>
        <v>20200111160102802</v>
      </c>
      <c r="B365" t="str">
        <f>"1578729662800047"</f>
        <v>1578729662800047</v>
      </c>
      <c r="C365" t="s">
        <v>37</v>
      </c>
      <c r="D365">
        <v>4.1119729999999999</v>
      </c>
      <c r="E365">
        <v>0.46020359999999999</v>
      </c>
      <c r="F365" t="s">
        <v>38</v>
      </c>
      <c r="G365">
        <v>-378.20780000000002</v>
      </c>
      <c r="H365" s="1">
        <v>-7.9534269999999897E-7</v>
      </c>
      <c r="I365">
        <v>369.3673</v>
      </c>
      <c r="J365">
        <v>-379.99189999999999</v>
      </c>
      <c r="K365">
        <v>1.1015079999999999</v>
      </c>
      <c r="L365">
        <v>369.0086</v>
      </c>
      <c r="M365">
        <v>0.99992579999999998</v>
      </c>
      <c r="N365">
        <v>0</v>
      </c>
      <c r="O365">
        <v>-1.049574E-2</v>
      </c>
      <c r="P365">
        <v>0.99921450000000001</v>
      </c>
      <c r="Q365">
        <v>-1.472764E-2</v>
      </c>
      <c r="R365">
        <v>3.678903E-2</v>
      </c>
      <c r="S365">
        <v>2.9600219999999999</v>
      </c>
      <c r="T365">
        <v>-1.5237240000000001</v>
      </c>
      <c r="U365">
        <v>0.48992920000000001</v>
      </c>
      <c r="V365">
        <v>-4.7309940000000002E-2</v>
      </c>
      <c r="W365">
        <v>-8.3468850000000001E-3</v>
      </c>
      <c r="X365">
        <v>0.99884539999999999</v>
      </c>
      <c r="Y365">
        <v>-0.1536727</v>
      </c>
      <c r="Z365">
        <v>4.20781E-2</v>
      </c>
      <c r="AA365">
        <v>0.98722549999999898</v>
      </c>
      <c r="AB365">
        <v>36</v>
      </c>
      <c r="AC365">
        <v>1.7840999999999601</v>
      </c>
      <c r="AD365">
        <v>-1.1015087953426901</v>
      </c>
      <c r="AE365">
        <v>0.35869999999999802</v>
      </c>
      <c r="AF365">
        <v>-0.276209384262113</v>
      </c>
      <c r="AG365">
        <v>-1.1015087953426901</v>
      </c>
      <c r="AH365">
        <v>1.30288881178913</v>
      </c>
      <c r="AI365">
        <v>129.59261443803899</v>
      </c>
      <c r="AJ365">
        <v>101.969358274615</v>
      </c>
      <c r="AK365">
        <v>1.7283322904051299</v>
      </c>
    </row>
    <row r="366" spans="1:37" x14ac:dyDescent="0.2">
      <c r="A366" t="str">
        <f>"20200111160102825"</f>
        <v>20200111160102825</v>
      </c>
      <c r="B366" t="str">
        <f>"1578729662819567"</f>
        <v>1578729662819567</v>
      </c>
      <c r="C366" t="s">
        <v>37</v>
      </c>
      <c r="D366">
        <v>4.1010309999999999</v>
      </c>
      <c r="E366">
        <v>0.45980379999999899</v>
      </c>
      <c r="F366" t="s">
        <v>38</v>
      </c>
      <c r="G366">
        <v>-377.86750000000001</v>
      </c>
      <c r="H366" s="1">
        <v>-9.4377200000000004E-7</v>
      </c>
      <c r="I366">
        <v>369.3535</v>
      </c>
      <c r="J366">
        <v>-379.61450000000002</v>
      </c>
      <c r="K366">
        <v>1.101488</v>
      </c>
      <c r="L366">
        <v>369.00310000000002</v>
      </c>
      <c r="M366">
        <v>0.99990419999999902</v>
      </c>
      <c r="N366">
        <v>0</v>
      </c>
      <c r="O366">
        <v>-1.2325239999999999E-2</v>
      </c>
      <c r="P366">
        <v>0.99933530000000004</v>
      </c>
      <c r="Q366">
        <v>-1.516614E-2</v>
      </c>
      <c r="R366">
        <v>3.3148619999999997E-2</v>
      </c>
      <c r="S366">
        <v>2.9620359999999999</v>
      </c>
      <c r="T366">
        <v>-1.535779</v>
      </c>
      <c r="U366">
        <v>0.48098750000000001</v>
      </c>
      <c r="V366">
        <v>-4.5500319999999997E-2</v>
      </c>
      <c r="W366">
        <v>-8.6832190000000007E-3</v>
      </c>
      <c r="X366">
        <v>0.9989266</v>
      </c>
      <c r="Y366">
        <v>-0.15214040000000001</v>
      </c>
      <c r="Z366">
        <v>4.2873719999999997E-2</v>
      </c>
      <c r="AA366">
        <v>0.98742849999999904</v>
      </c>
      <c r="AB366">
        <v>36</v>
      </c>
      <c r="AC366">
        <v>1.7470000000000101</v>
      </c>
      <c r="AD366">
        <v>-1.1014889437719999</v>
      </c>
      <c r="AE366">
        <v>0.35039999999997901</v>
      </c>
      <c r="AF366">
        <v>-0.26907591368664902</v>
      </c>
      <c r="AG366">
        <v>-1.1014889437719999</v>
      </c>
      <c r="AH366">
        <v>1.2607427934444599</v>
      </c>
      <c r="AI366">
        <v>130.51186873602401</v>
      </c>
      <c r="AJ366">
        <v>102.04768038405101</v>
      </c>
      <c r="AK366">
        <v>1.6956273564083599</v>
      </c>
    </row>
    <row r="367" spans="1:37" x14ac:dyDescent="0.2">
      <c r="A367" t="str">
        <f>"20200111160102848"</f>
        <v>20200111160102848</v>
      </c>
      <c r="B367" t="str">
        <f>"1578729662840062"</f>
        <v>1578729662840062</v>
      </c>
      <c r="C367" t="s">
        <v>37</v>
      </c>
      <c r="D367">
        <v>4.1135219999999997</v>
      </c>
      <c r="E367">
        <v>0.45915050000000002</v>
      </c>
      <c r="F367" t="s">
        <v>38</v>
      </c>
      <c r="G367">
        <v>-377.5009</v>
      </c>
      <c r="H367" s="1">
        <v>-1.1034750000000001E-6</v>
      </c>
      <c r="I367">
        <v>369.33980000000003</v>
      </c>
      <c r="J367">
        <v>-379.24299999999999</v>
      </c>
      <c r="K367">
        <v>1.101472</v>
      </c>
      <c r="L367">
        <v>368.99689999999998</v>
      </c>
      <c r="M367">
        <v>0.99987999999999899</v>
      </c>
      <c r="N367">
        <v>0</v>
      </c>
      <c r="O367">
        <v>-1.4107150000000001E-2</v>
      </c>
      <c r="P367">
        <v>0.99938780000000005</v>
      </c>
      <c r="Q367">
        <v>-1.8752069999999999E-2</v>
      </c>
      <c r="R367">
        <v>2.9538720000000001E-2</v>
      </c>
      <c r="S367">
        <v>2.9628909999999999</v>
      </c>
      <c r="T367">
        <v>-1.544028</v>
      </c>
      <c r="U367">
        <v>0.4721069</v>
      </c>
      <c r="V367">
        <v>-4.368623E-2</v>
      </c>
      <c r="W367">
        <v>-1.2182170000000001E-2</v>
      </c>
      <c r="X367">
        <v>0.99897099999999905</v>
      </c>
      <c r="Y367">
        <v>-0.1507134</v>
      </c>
      <c r="Z367">
        <v>4.3596990000000002E-2</v>
      </c>
      <c r="AA367">
        <v>0.98761569999999899</v>
      </c>
      <c r="AB367">
        <v>36</v>
      </c>
      <c r="AC367">
        <v>1.7421000000000499</v>
      </c>
      <c r="AD367">
        <v>-1.101473103475</v>
      </c>
      <c r="AE367">
        <v>0.342900000000042</v>
      </c>
      <c r="AF367">
        <v>-0.26532976816410297</v>
      </c>
      <c r="AG367">
        <v>-1.101473103475</v>
      </c>
      <c r="AH367">
        <v>1.2543501122015199</v>
      </c>
      <c r="AI367">
        <v>130.66629722244801</v>
      </c>
      <c r="AJ367">
        <v>101.94358586657</v>
      </c>
      <c r="AK367">
        <v>1.6902772220948901</v>
      </c>
    </row>
    <row r="368" spans="1:37" x14ac:dyDescent="0.2">
      <c r="A368" t="str">
        <f>"20200111160102871"</f>
        <v>20200111160102871</v>
      </c>
      <c r="B368" t="str">
        <f>"1578729662859601"</f>
        <v>1578729662859601</v>
      </c>
      <c r="C368" t="s">
        <v>37</v>
      </c>
      <c r="D368">
        <v>4.1451229999999999</v>
      </c>
      <c r="E368">
        <v>0.45875309999999903</v>
      </c>
      <c r="F368" t="s">
        <v>38</v>
      </c>
      <c r="G368">
        <v>-377.14769999999999</v>
      </c>
      <c r="H368" s="1">
        <v>-1.257032E-6</v>
      </c>
      <c r="I368">
        <v>369.32819999999998</v>
      </c>
      <c r="J368">
        <v>-378.87459999999999</v>
      </c>
      <c r="K368">
        <v>1.101478</v>
      </c>
      <c r="L368">
        <v>368.99020000000002</v>
      </c>
      <c r="M368">
        <v>0.99985360000000001</v>
      </c>
      <c r="N368">
        <v>0</v>
      </c>
      <c r="O368">
        <v>-1.5839039999999999E-2</v>
      </c>
      <c r="P368">
        <v>0.99947569999999997</v>
      </c>
      <c r="Q368">
        <v>-2.0638179999999999E-2</v>
      </c>
      <c r="R368">
        <v>2.4946579999999999E-2</v>
      </c>
      <c r="S368">
        <v>2.9588320000000001</v>
      </c>
      <c r="T368">
        <v>-1.555356</v>
      </c>
      <c r="U368">
        <v>0.46798709999999999</v>
      </c>
      <c r="V368">
        <v>-4.08332E-2</v>
      </c>
      <c r="W368">
        <v>-1.399826E-2</v>
      </c>
      <c r="X368">
        <v>0.99906790000000001</v>
      </c>
      <c r="Y368">
        <v>-0.15072269999999999</v>
      </c>
      <c r="Z368">
        <v>4.4790789999999997E-2</v>
      </c>
      <c r="AA368">
        <v>0.98756089999999996</v>
      </c>
      <c r="AB368">
        <v>36</v>
      </c>
      <c r="AC368">
        <v>1.7269000000000001</v>
      </c>
      <c r="AD368">
        <v>-1.101479257032</v>
      </c>
      <c r="AE368">
        <v>0.337999999999965</v>
      </c>
      <c r="AF368">
        <v>-0.26246885218494498</v>
      </c>
      <c r="AG368">
        <v>-1.101479257032</v>
      </c>
      <c r="AH368">
        <v>1.2367432174328901</v>
      </c>
      <c r="AI368">
        <v>131.06319700042701</v>
      </c>
      <c r="AJ368">
        <v>101.98186822765</v>
      </c>
      <c r="AK368">
        <v>1.67680655947706</v>
      </c>
    </row>
    <row r="369" spans="1:37" x14ac:dyDescent="0.2">
      <c r="A369" t="str">
        <f>"20200111160102903"</f>
        <v>20200111160102903</v>
      </c>
      <c r="B369" t="str">
        <f>"1578729662899599"</f>
        <v>1578729662899599</v>
      </c>
      <c r="C369" t="s">
        <v>37</v>
      </c>
      <c r="D369">
        <v>4.1327389999999999</v>
      </c>
      <c r="E369">
        <v>0.4576827</v>
      </c>
      <c r="F369" t="s">
        <v>38</v>
      </c>
      <c r="G369">
        <v>-376.78919999999999</v>
      </c>
      <c r="H369" s="1">
        <v>-1.4136680000000001E-6</v>
      </c>
      <c r="I369">
        <v>369.31220000000002</v>
      </c>
      <c r="J369">
        <v>-378.34249999999997</v>
      </c>
      <c r="K369">
        <v>1.1015090000000001</v>
      </c>
      <c r="L369">
        <v>368.9794</v>
      </c>
      <c r="M369">
        <v>0.99981169999999997</v>
      </c>
      <c r="N369">
        <v>0</v>
      </c>
      <c r="O369">
        <v>-1.825881E-2</v>
      </c>
      <c r="P369">
        <v>0.99956669999999903</v>
      </c>
      <c r="Q369">
        <v>-2.158697E-2</v>
      </c>
      <c r="R369">
        <v>2.0014420000000002E-2</v>
      </c>
      <c r="S369">
        <v>2.9579469999999999</v>
      </c>
      <c r="T369">
        <v>-1.5622769999999999</v>
      </c>
      <c r="U369">
        <v>0.45690920000000002</v>
      </c>
      <c r="V369">
        <v>-3.8322960000000003E-2</v>
      </c>
      <c r="W369">
        <v>-1.4857479999999999E-2</v>
      </c>
      <c r="X369">
        <v>0.99915489999999996</v>
      </c>
      <c r="Y369">
        <v>-0.1492193</v>
      </c>
      <c r="Z369">
        <v>4.5813399999999997E-2</v>
      </c>
      <c r="AA369">
        <v>0.98774219999999902</v>
      </c>
      <c r="AB369">
        <v>37</v>
      </c>
      <c r="AC369">
        <v>1.5532999999999699</v>
      </c>
      <c r="AD369">
        <v>-1.1015104136679901</v>
      </c>
      <c r="AE369">
        <v>0.33280000000002002</v>
      </c>
      <c r="AF369">
        <v>-0.24385726466986801</v>
      </c>
      <c r="AG369">
        <v>-1.1015104136679901</v>
      </c>
      <c r="AH369">
        <v>1.0446736932241001</v>
      </c>
      <c r="AI369">
        <v>135.757635213122</v>
      </c>
      <c r="AJ369">
        <v>103.139227191649</v>
      </c>
      <c r="AK369">
        <v>1.53757428512114</v>
      </c>
    </row>
    <row r="370" spans="1:37" x14ac:dyDescent="0.2">
      <c r="A370" t="str">
        <f>"20200111160102925"</f>
        <v>20200111160102925</v>
      </c>
      <c r="B370" t="str">
        <f>"1578729662920095"</f>
        <v>1578729662920095</v>
      </c>
      <c r="C370" t="s">
        <v>37</v>
      </c>
      <c r="D370">
        <v>4.1204859999999996</v>
      </c>
      <c r="E370">
        <v>0.45705099999999999</v>
      </c>
      <c r="F370" t="s">
        <v>38</v>
      </c>
      <c r="G370">
        <v>-376.25799999999998</v>
      </c>
      <c r="H370" s="1">
        <v>-1.64375999999999E-6</v>
      </c>
      <c r="I370">
        <v>369.29989999999998</v>
      </c>
      <c r="J370">
        <v>-377.96719999999999</v>
      </c>
      <c r="K370">
        <v>1.1015379999999999</v>
      </c>
      <c r="L370">
        <v>368.97109999999998</v>
      </c>
      <c r="M370">
        <v>0.9997798</v>
      </c>
      <c r="N370">
        <v>0</v>
      </c>
      <c r="O370">
        <v>-1.9910629999999999E-2</v>
      </c>
      <c r="P370">
        <v>0.99960859999999996</v>
      </c>
      <c r="Q370">
        <v>-2.1630569999999998E-2</v>
      </c>
      <c r="R370">
        <v>1.7745839999999999E-2</v>
      </c>
      <c r="S370">
        <v>2.9583740000000001</v>
      </c>
      <c r="T370">
        <v>-1.5632250000000001</v>
      </c>
      <c r="U370">
        <v>0.455047599999999</v>
      </c>
      <c r="V370">
        <v>-3.7705500000000003E-2</v>
      </c>
      <c r="W370">
        <v>-1.4842630000000001E-2</v>
      </c>
      <c r="X370">
        <v>0.99917860000000003</v>
      </c>
      <c r="Y370">
        <v>-0.14989710000000001</v>
      </c>
      <c r="Z370">
        <v>4.6816919999999998E-2</v>
      </c>
      <c r="AA370">
        <v>0.98759249999999899</v>
      </c>
      <c r="AB370">
        <v>37</v>
      </c>
      <c r="AC370">
        <v>1.7091999999999501</v>
      </c>
      <c r="AD370">
        <v>-1.10153964375999</v>
      </c>
      <c r="AE370">
        <v>0.32880000000000098</v>
      </c>
      <c r="AF370">
        <v>-0.25902144021632101</v>
      </c>
      <c r="AG370">
        <v>-1.10153964375999</v>
      </c>
      <c r="AH370">
        <v>1.21548033553238</v>
      </c>
      <c r="AI370">
        <v>131.55237849050201</v>
      </c>
      <c r="AJ370">
        <v>102.02990383871</v>
      </c>
      <c r="AK370">
        <v>1.6606848404596699</v>
      </c>
    </row>
    <row r="371" spans="1:37" x14ac:dyDescent="0.2">
      <c r="A371" t="str">
        <f>"20200111160102948"</f>
        <v>20200111160102948</v>
      </c>
      <c r="B371" t="str">
        <f>"1578729662939619"</f>
        <v>1578729662939619</v>
      </c>
      <c r="C371" t="s">
        <v>37</v>
      </c>
      <c r="D371">
        <v>4.2022329999999997</v>
      </c>
      <c r="E371">
        <v>0.45636279999999901</v>
      </c>
      <c r="F371" t="s">
        <v>38</v>
      </c>
      <c r="G371">
        <v>-375.88199999999898</v>
      </c>
      <c r="H371" s="1">
        <v>-1.8064179999999901E-6</v>
      </c>
      <c r="I371">
        <v>369.2921</v>
      </c>
      <c r="J371">
        <v>-377.59050000000002</v>
      </c>
      <c r="K371">
        <v>1.1015779999999999</v>
      </c>
      <c r="L371">
        <v>368.9622</v>
      </c>
      <c r="M371">
        <v>0.99974619999999903</v>
      </c>
      <c r="N371">
        <v>0</v>
      </c>
      <c r="O371">
        <v>-2.1508199999999901E-2</v>
      </c>
      <c r="P371">
        <v>0.9996408</v>
      </c>
      <c r="Q371">
        <v>-2.0640820000000001E-2</v>
      </c>
      <c r="R371">
        <v>1.7096989999999999E-2</v>
      </c>
      <c r="S371">
        <v>2.9592589999999999</v>
      </c>
      <c r="T371">
        <v>-1.563272</v>
      </c>
      <c r="U371">
        <v>0.45562740000000002</v>
      </c>
      <c r="V371">
        <v>-3.8648469999999997E-2</v>
      </c>
      <c r="W371">
        <v>-1.3795450000000001E-2</v>
      </c>
      <c r="X371">
        <v>0.99915759999999898</v>
      </c>
      <c r="Y371">
        <v>-0.15124799999999999</v>
      </c>
      <c r="Z371">
        <v>4.7927259999999999E-2</v>
      </c>
      <c r="AA371">
        <v>0.98733329999999997</v>
      </c>
      <c r="AB371">
        <v>37</v>
      </c>
      <c r="AC371">
        <v>1.7085000000000701</v>
      </c>
      <c r="AD371">
        <v>-1.101579806418</v>
      </c>
      <c r="AE371">
        <v>0.32990000000000902</v>
      </c>
      <c r="AF371">
        <v>-0.26169119771513299</v>
      </c>
      <c r="AG371">
        <v>-1.101579806418</v>
      </c>
      <c r="AH371">
        <v>1.21433165756169</v>
      </c>
      <c r="AI371">
        <v>131.566319985425</v>
      </c>
      <c r="AJ371">
        <v>102.16138239575901</v>
      </c>
      <c r="AK371">
        <v>1.6602896516650401</v>
      </c>
    </row>
    <row r="372" spans="1:37" x14ac:dyDescent="0.2">
      <c r="A372" t="str">
        <f>"20200111160102970"</f>
        <v>20200111160102970</v>
      </c>
      <c r="B372" t="str">
        <f>"1578729662959893"</f>
        <v>1578729662959893</v>
      </c>
      <c r="C372" t="s">
        <v>37</v>
      </c>
      <c r="D372">
        <v>4.1597499999999998</v>
      </c>
      <c r="E372">
        <v>0.45559830000000001</v>
      </c>
      <c r="F372" t="s">
        <v>38</v>
      </c>
      <c r="G372">
        <v>-375.49880000000002</v>
      </c>
      <c r="H372" s="1">
        <v>-1.9716579999999998E-6</v>
      </c>
      <c r="I372">
        <v>369.28750000000002</v>
      </c>
      <c r="J372">
        <v>-377.2328</v>
      </c>
      <c r="K372">
        <v>1.1016250000000001</v>
      </c>
      <c r="L372">
        <v>368.95339999999999</v>
      </c>
      <c r="M372">
        <v>0.99971369999999904</v>
      </c>
      <c r="N372">
        <v>0</v>
      </c>
      <c r="O372">
        <v>-2.2960970000000001E-2</v>
      </c>
      <c r="P372">
        <v>0.99966759999999999</v>
      </c>
      <c r="Q372">
        <v>-1.8747079999999999E-2</v>
      </c>
      <c r="R372">
        <v>1.7705249999999999E-2</v>
      </c>
      <c r="S372">
        <v>2.9609990000000002</v>
      </c>
      <c r="T372">
        <v>-1.5593109999999999</v>
      </c>
      <c r="U372">
        <v>0.46057129999999902</v>
      </c>
      <c r="V372">
        <v>-4.0699979999999997E-2</v>
      </c>
      <c r="W372">
        <v>-1.1849409999999999E-2</v>
      </c>
      <c r="X372">
        <v>0.99910119999999902</v>
      </c>
      <c r="Y372">
        <v>-0.15382279999999901</v>
      </c>
      <c r="Z372">
        <v>4.9138550000000003E-2</v>
      </c>
      <c r="AA372">
        <v>0.98687579999999997</v>
      </c>
      <c r="AB372">
        <v>37</v>
      </c>
      <c r="AC372">
        <v>1.73399999999998</v>
      </c>
      <c r="AD372">
        <v>-1.1016269716580001</v>
      </c>
      <c r="AE372">
        <v>0.33410000000003398</v>
      </c>
      <c r="AF372">
        <v>-0.26910091827435301</v>
      </c>
      <c r="AG372">
        <v>-1.1016269716580001</v>
      </c>
      <c r="AH372">
        <v>1.24237523134562</v>
      </c>
      <c r="AI372">
        <v>130.91266458859201</v>
      </c>
      <c r="AJ372">
        <v>102.221581805379</v>
      </c>
      <c r="AK372">
        <v>1.68210983718709</v>
      </c>
    </row>
    <row r="373" spans="1:37" x14ac:dyDescent="0.2">
      <c r="A373" t="str">
        <f>"20200111160102992"</f>
        <v>20200111160102992</v>
      </c>
      <c r="B373" t="str">
        <f>"1578729662990150"</f>
        <v>1578729662990150</v>
      </c>
      <c r="C373" t="s">
        <v>37</v>
      </c>
      <c r="D373">
        <v>4.1492000000000004</v>
      </c>
      <c r="E373">
        <v>0.45443699999999998</v>
      </c>
      <c r="F373" t="s">
        <v>38</v>
      </c>
      <c r="G373">
        <v>-375.12860000000001</v>
      </c>
      <c r="H373" s="1">
        <v>-2.1307030000000001E-6</v>
      </c>
      <c r="I373">
        <v>369.286</v>
      </c>
      <c r="J373">
        <v>-376.8648</v>
      </c>
      <c r="K373">
        <v>1.1016520000000001</v>
      </c>
      <c r="L373">
        <v>368.9436</v>
      </c>
      <c r="M373">
        <v>0.99967929999999905</v>
      </c>
      <c r="N373">
        <v>0</v>
      </c>
      <c r="O373">
        <v>-2.4398920000000001E-2</v>
      </c>
      <c r="P373">
        <v>0.99960539999999998</v>
      </c>
      <c r="Q373">
        <v>-2.0279700000000001E-2</v>
      </c>
      <c r="R373">
        <v>1.944624E-2</v>
      </c>
      <c r="S373">
        <v>2.9635929999999999</v>
      </c>
      <c r="T373">
        <v>-1.5514829999999999</v>
      </c>
      <c r="U373">
        <v>0.4685974</v>
      </c>
      <c r="V373">
        <v>-4.3880410000000002E-2</v>
      </c>
      <c r="W373">
        <v>-1.3330379999999999E-2</v>
      </c>
      <c r="X373">
        <v>0.998947899999999</v>
      </c>
      <c r="Y373">
        <v>-0.15734809999999999</v>
      </c>
      <c r="Z373">
        <v>5.0440279999999997E-2</v>
      </c>
      <c r="AA373">
        <v>0.98625419999999997</v>
      </c>
      <c r="AB373">
        <v>37</v>
      </c>
      <c r="AC373">
        <v>1.73619999999999</v>
      </c>
      <c r="AD373">
        <v>-1.1016541307029999</v>
      </c>
      <c r="AE373">
        <v>0.34239999999999698</v>
      </c>
      <c r="AF373">
        <v>-0.27722408107915802</v>
      </c>
      <c r="AG373">
        <v>-1.1016541307029999</v>
      </c>
      <c r="AH373">
        <v>1.24488267340232</v>
      </c>
      <c r="AI373">
        <v>130.82003232406399</v>
      </c>
      <c r="AJ373">
        <v>102.554396416477</v>
      </c>
      <c r="AK373">
        <v>1.68529756582108</v>
      </c>
    </row>
    <row r="374" spans="1:37" x14ac:dyDescent="0.2">
      <c r="A374" t="str">
        <f>"20200111160103015"</f>
        <v>20200111160103015</v>
      </c>
      <c r="B374" t="str">
        <f>"1578729663009671"</f>
        <v>1578729663009671</v>
      </c>
      <c r="C374" t="s">
        <v>37</v>
      </c>
      <c r="D374">
        <v>4.1761799999999996</v>
      </c>
      <c r="E374">
        <v>0.45387650000000002</v>
      </c>
      <c r="F374" t="s">
        <v>38</v>
      </c>
      <c r="G374">
        <v>-374.77089999999998</v>
      </c>
      <c r="H374" s="1">
        <v>-2.2843790000000002E-6</v>
      </c>
      <c r="I374">
        <v>369.28489999999999</v>
      </c>
      <c r="J374">
        <v>-376.4812</v>
      </c>
      <c r="K374">
        <v>1.1016629999999901</v>
      </c>
      <c r="L374">
        <v>368.93299999999999</v>
      </c>
      <c r="M374">
        <v>0.99964259999999905</v>
      </c>
      <c r="N374">
        <v>0</v>
      </c>
      <c r="O374">
        <v>-2.5850140000000001E-2</v>
      </c>
      <c r="P374">
        <v>0.99942569999999997</v>
      </c>
      <c r="Q374">
        <v>-2.641752E-2</v>
      </c>
      <c r="R374">
        <v>2.1229669999999999E-2</v>
      </c>
      <c r="S374">
        <v>2.960175</v>
      </c>
      <c r="T374">
        <v>-1.5573349999999999</v>
      </c>
      <c r="U374">
        <v>0.48257449999999902</v>
      </c>
      <c r="V374">
        <v>-4.7129329999999997E-2</v>
      </c>
      <c r="W374">
        <v>-1.9419530000000001E-2</v>
      </c>
      <c r="X374">
        <v>0.99870000000000003</v>
      </c>
      <c r="Y374">
        <v>-0.1624601</v>
      </c>
      <c r="Z374">
        <v>5.2613970000000003E-2</v>
      </c>
      <c r="AA374">
        <v>0.98531139999999995</v>
      </c>
      <c r="AB374">
        <v>37</v>
      </c>
      <c r="AC374">
        <v>1.7103000000000099</v>
      </c>
      <c r="AD374">
        <v>-1.10166528437899</v>
      </c>
      <c r="AE374">
        <v>0.35189999999994298</v>
      </c>
      <c r="AF374">
        <v>-0.28324617912065297</v>
      </c>
      <c r="AG374">
        <v>-1.10166528437899</v>
      </c>
      <c r="AH374">
        <v>1.2164231599115201</v>
      </c>
      <c r="AI374">
        <v>131.41430896693601</v>
      </c>
      <c r="AJ374">
        <v>103.107847846685</v>
      </c>
      <c r="AK374">
        <v>1.6654068874486601</v>
      </c>
    </row>
    <row r="375" spans="1:37" x14ac:dyDescent="0.2">
      <c r="A375" t="str">
        <f>"20200111160103038"</f>
        <v>20200111160103038</v>
      </c>
      <c r="B375" t="str">
        <f>"1578729663029200"</f>
        <v>1578729663029200</v>
      </c>
      <c r="C375" t="s">
        <v>37</v>
      </c>
      <c r="D375">
        <v>4.1748129999999897</v>
      </c>
      <c r="E375">
        <v>0.45346439999999999</v>
      </c>
      <c r="F375" t="s">
        <v>38</v>
      </c>
      <c r="G375">
        <v>-374.4171</v>
      </c>
      <c r="H375" s="1">
        <v>-2.4376120000000001E-6</v>
      </c>
      <c r="I375">
        <v>369.27679999999998</v>
      </c>
      <c r="J375">
        <v>-376.08980000000003</v>
      </c>
      <c r="K375">
        <v>1.101693</v>
      </c>
      <c r="L375">
        <v>368.92160000000001</v>
      </c>
      <c r="M375">
        <v>0.99960400000000005</v>
      </c>
      <c r="N375">
        <v>0</v>
      </c>
      <c r="O375">
        <v>-2.7289859999999999E-2</v>
      </c>
      <c r="P375">
        <v>0.9993088</v>
      </c>
      <c r="Q375">
        <v>-2.9033090000000001E-2</v>
      </c>
      <c r="R375">
        <v>2.3218860000000001E-2</v>
      </c>
      <c r="S375">
        <v>2.9497070000000001</v>
      </c>
      <c r="T375">
        <v>-1.5742579999999999</v>
      </c>
      <c r="U375">
        <v>0.491393999999999</v>
      </c>
      <c r="V375">
        <v>-5.0560359999999999E-2</v>
      </c>
      <c r="W375">
        <v>-2.1988250000000001E-2</v>
      </c>
      <c r="X375">
        <v>0.99847889999999995</v>
      </c>
      <c r="Y375">
        <v>-0.1660054</v>
      </c>
      <c r="Z375">
        <v>5.4872770000000001E-2</v>
      </c>
      <c r="AA375">
        <v>0.98459699999999895</v>
      </c>
      <c r="AB375">
        <v>37</v>
      </c>
      <c r="AC375">
        <v>1.6727000000000201</v>
      </c>
      <c r="AD375">
        <v>-1.1016954376120001</v>
      </c>
      <c r="AE375">
        <v>0.35519999999996799</v>
      </c>
      <c r="AF375">
        <v>-0.28317584202673302</v>
      </c>
      <c r="AG375">
        <v>-1.1016954376120001</v>
      </c>
      <c r="AH375">
        <v>1.1747626773761799</v>
      </c>
      <c r="AI375">
        <v>132.35510904663599</v>
      </c>
      <c r="AJ375">
        <v>103.552571430444</v>
      </c>
      <c r="AK375">
        <v>1.6352335438458601</v>
      </c>
    </row>
    <row r="376" spans="1:37" x14ac:dyDescent="0.2">
      <c r="A376" t="str">
        <f>"20200111160103081"</f>
        <v>20200111160103081</v>
      </c>
      <c r="B376" t="str">
        <f>"1578729663069947"</f>
        <v>1578729663069947</v>
      </c>
      <c r="C376" t="s">
        <v>37</v>
      </c>
      <c r="D376">
        <v>4.1425799999999997</v>
      </c>
      <c r="E376">
        <v>0.45289109999999999</v>
      </c>
      <c r="F376" t="s">
        <v>38</v>
      </c>
      <c r="G376">
        <v>-374.03949999999998</v>
      </c>
      <c r="H376" s="1">
        <v>-2.6008059999999999E-6</v>
      </c>
      <c r="I376">
        <v>369.26990000000001</v>
      </c>
      <c r="J376">
        <v>-375.36790000000002</v>
      </c>
      <c r="K376">
        <v>1.10175</v>
      </c>
      <c r="L376">
        <v>368.89929999999998</v>
      </c>
      <c r="M376">
        <v>0.99953029999999998</v>
      </c>
      <c r="N376">
        <v>0</v>
      </c>
      <c r="O376">
        <v>-2.9854599999999998E-2</v>
      </c>
      <c r="P376">
        <v>0.99925209999999998</v>
      </c>
      <c r="Q376">
        <v>-2.8308710000000001E-2</v>
      </c>
      <c r="R376">
        <v>2.635231E-2</v>
      </c>
      <c r="S376">
        <v>2.9444889999999999</v>
      </c>
      <c r="T376">
        <v>-1.5821339999999999</v>
      </c>
      <c r="U376">
        <v>0.50030520000000001</v>
      </c>
      <c r="V376">
        <v>-5.6246669999999999E-2</v>
      </c>
      <c r="W376">
        <v>-2.118656E-2</v>
      </c>
      <c r="X376">
        <v>0.99819210000000003</v>
      </c>
      <c r="Y376">
        <v>-0.17046529999999999</v>
      </c>
      <c r="Z376">
        <v>5.7589120000000001E-2</v>
      </c>
      <c r="AA376">
        <v>0.98367939999999998</v>
      </c>
      <c r="AB376">
        <v>37</v>
      </c>
      <c r="AC376">
        <v>1.32840000000004</v>
      </c>
      <c r="AD376">
        <v>-1.1017526008059999</v>
      </c>
      <c r="AE376">
        <v>0.37060000000002402</v>
      </c>
      <c r="AF376">
        <v>-0.25033177900213699</v>
      </c>
      <c r="AG376">
        <v>-1.1017526008059999</v>
      </c>
      <c r="AH376">
        <v>0.80377243324372805</v>
      </c>
      <c r="AI376">
        <v>142.61643558506799</v>
      </c>
      <c r="AJ376">
        <v>107.29899567423099</v>
      </c>
      <c r="AK376">
        <v>1.3865694780297499</v>
      </c>
    </row>
    <row r="377" spans="1:37" x14ac:dyDescent="0.2">
      <c r="A377" t="str">
        <f>"20200111160103105"</f>
        <v>20200111160103105</v>
      </c>
      <c r="B377" t="str">
        <f>"1578729663099225"</f>
        <v>1578729663099225</v>
      </c>
      <c r="C377" t="s">
        <v>37</v>
      </c>
      <c r="D377">
        <v>4.1389370000000003</v>
      </c>
      <c r="E377">
        <v>0.45230989999999999</v>
      </c>
      <c r="F377" t="s">
        <v>38</v>
      </c>
      <c r="G377">
        <v>-373.31420000000003</v>
      </c>
      <c r="H377" s="1">
        <v>-2.913834E-6</v>
      </c>
      <c r="I377">
        <v>369.25920000000002</v>
      </c>
      <c r="J377">
        <v>-374.98649999999998</v>
      </c>
      <c r="K377">
        <v>1.1017600000000001</v>
      </c>
      <c r="L377">
        <v>368.88670000000002</v>
      </c>
      <c r="M377">
        <v>0.99948969999999904</v>
      </c>
      <c r="N377">
        <v>0</v>
      </c>
      <c r="O377">
        <v>-3.1170420000000001E-2</v>
      </c>
      <c r="P377">
        <v>0.99916079999999996</v>
      </c>
      <c r="Q377">
        <v>-2.99651999999999E-2</v>
      </c>
      <c r="R377">
        <v>2.7917839999999999E-2</v>
      </c>
      <c r="S377">
        <v>2.94387799999999</v>
      </c>
      <c r="T377">
        <v>-1.579305</v>
      </c>
      <c r="U377">
        <v>0.51605219999999996</v>
      </c>
      <c r="V377">
        <v>-5.9126829999999998E-2</v>
      </c>
      <c r="W377">
        <v>-2.280693E-2</v>
      </c>
      <c r="X377">
        <v>0.99798989999999999</v>
      </c>
      <c r="Y377">
        <v>-0.1760882</v>
      </c>
      <c r="Z377">
        <v>5.954926E-2</v>
      </c>
      <c r="AA377">
        <v>0.98257150000000004</v>
      </c>
      <c r="AB377">
        <v>38</v>
      </c>
      <c r="AC377">
        <v>1.6722999999999499</v>
      </c>
      <c r="AD377">
        <v>-1.1017629138339999</v>
      </c>
      <c r="AE377">
        <v>0.372500000000002</v>
      </c>
      <c r="AF377">
        <v>-0.30027208102788799</v>
      </c>
      <c r="AG377">
        <v>-1.1017629138339999</v>
      </c>
      <c r="AH377">
        <v>1.1742690542821901</v>
      </c>
      <c r="AI377">
        <v>132.27102443677799</v>
      </c>
      <c r="AJ377">
        <v>104.34372978407001</v>
      </c>
      <c r="AK377">
        <v>1.6379721159988001</v>
      </c>
    </row>
    <row r="378" spans="1:37" x14ac:dyDescent="0.2">
      <c r="A378" t="str">
        <f>"20200111160103150"</f>
        <v>20200111160103150</v>
      </c>
      <c r="B378" t="str">
        <f>"1578729663139240"</f>
        <v>1578729663139240</v>
      </c>
      <c r="C378" t="s">
        <v>37</v>
      </c>
      <c r="D378">
        <v>4.1421809999999999</v>
      </c>
      <c r="E378">
        <v>0.45228869999999999</v>
      </c>
      <c r="F378" t="s">
        <v>38</v>
      </c>
      <c r="G378">
        <v>-372.94240000000002</v>
      </c>
      <c r="H378" s="1">
        <v>-3.0746059999999999E-6</v>
      </c>
      <c r="I378">
        <v>369.25209999999998</v>
      </c>
      <c r="J378">
        <v>-374.21429999999998</v>
      </c>
      <c r="K378">
        <v>1.101801</v>
      </c>
      <c r="L378">
        <v>368.86</v>
      </c>
      <c r="M378">
        <v>0.99940509999999905</v>
      </c>
      <c r="N378">
        <v>0</v>
      </c>
      <c r="O378">
        <v>-3.3764219999999998E-2</v>
      </c>
      <c r="P378">
        <v>0.99912860000000003</v>
      </c>
      <c r="Q378">
        <v>-3.062018E-2</v>
      </c>
      <c r="R378">
        <v>2.83618E-2</v>
      </c>
      <c r="S378">
        <v>2.9403079999999999</v>
      </c>
      <c r="T378">
        <v>-1.5847370000000001</v>
      </c>
      <c r="U378">
        <v>0.52560419999999997</v>
      </c>
      <c r="V378">
        <v>-6.2157999999999998E-2</v>
      </c>
      <c r="W378">
        <v>-2.340331E-2</v>
      </c>
      <c r="X378">
        <v>0.99779189999999995</v>
      </c>
      <c r="Y378">
        <v>-0.18074119999999999</v>
      </c>
      <c r="Z378">
        <v>6.2247589999999998E-2</v>
      </c>
      <c r="AA378">
        <v>0.98155890000000001</v>
      </c>
      <c r="AB378">
        <v>38</v>
      </c>
      <c r="AC378">
        <v>1.2718999999999501</v>
      </c>
      <c r="AD378">
        <v>-1.1018040746060001</v>
      </c>
      <c r="AE378">
        <v>0.39209999999996997</v>
      </c>
      <c r="AF378">
        <v>-0.25801029700589201</v>
      </c>
      <c r="AG378">
        <v>-1.1018040746060001</v>
      </c>
      <c r="AH378">
        <v>0.74642074393912905</v>
      </c>
      <c r="AI378">
        <v>144.36766362703901</v>
      </c>
      <c r="AJ378">
        <v>109.068392080707</v>
      </c>
      <c r="AK378">
        <v>1.3556125770890799</v>
      </c>
    </row>
    <row r="379" spans="1:37" x14ac:dyDescent="0.2">
      <c r="A379" t="str">
        <f>"20200111160103170"</f>
        <v>20200111160103170</v>
      </c>
      <c r="B379" t="str">
        <f>"1578729663159268"</f>
        <v>1578729663159268</v>
      </c>
      <c r="C379" t="s">
        <v>37</v>
      </c>
      <c r="D379">
        <v>4.1231249999999999</v>
      </c>
      <c r="E379">
        <v>0.45216669999999998</v>
      </c>
      <c r="F379" t="s">
        <v>38</v>
      </c>
      <c r="G379">
        <v>-372.17079999999999</v>
      </c>
      <c r="H379" s="1">
        <v>-3.41011599999999E-6</v>
      </c>
      <c r="I379">
        <v>369.22680000000003</v>
      </c>
      <c r="J379">
        <v>-373.85070000000002</v>
      </c>
      <c r="K379">
        <v>1.1018299999999901</v>
      </c>
      <c r="L379">
        <v>368.84660000000002</v>
      </c>
      <c r="M379">
        <v>0.99936440000000004</v>
      </c>
      <c r="N379">
        <v>0</v>
      </c>
      <c r="O379">
        <v>-3.4944199999999898E-2</v>
      </c>
      <c r="P379">
        <v>0.99921209999999905</v>
      </c>
      <c r="Q379">
        <v>-2.7970640000000001E-2</v>
      </c>
      <c r="R379">
        <v>2.8156750000000001E-2</v>
      </c>
      <c r="S379">
        <v>2.9390869999999998</v>
      </c>
      <c r="T379">
        <v>-1.584643</v>
      </c>
      <c r="U379">
        <v>0.52767940000000002</v>
      </c>
      <c r="V379">
        <v>-6.312421E-2</v>
      </c>
      <c r="W379">
        <v>-2.073003E-2</v>
      </c>
      <c r="X379">
        <v>0.99779030000000002</v>
      </c>
      <c r="Y379">
        <v>-0.1822637</v>
      </c>
      <c r="Z379">
        <v>6.3237810000000005E-2</v>
      </c>
      <c r="AA379">
        <v>0.98121399999999903</v>
      </c>
      <c r="AB379">
        <v>38</v>
      </c>
      <c r="AC379">
        <v>1.6799000000000299</v>
      </c>
      <c r="AD379">
        <v>-1.1018334101159999</v>
      </c>
      <c r="AE379">
        <v>0.38020000000000198</v>
      </c>
      <c r="AF379">
        <v>-0.31128425262278597</v>
      </c>
      <c r="AG379">
        <v>-1.1018334101159999</v>
      </c>
      <c r="AH379">
        <v>1.18191100307607</v>
      </c>
      <c r="AI379">
        <v>132.03481108486901</v>
      </c>
      <c r="AJ379">
        <v>104.75512516153999</v>
      </c>
      <c r="AK379">
        <v>1.6455541221032699</v>
      </c>
    </row>
    <row r="380" spans="1:37" x14ac:dyDescent="0.2">
      <c r="A380" t="str">
        <f>"20200111160103193"</f>
        <v>20200111160103193</v>
      </c>
      <c r="B380" t="str">
        <f>"1578729663189524"</f>
        <v>1578729663189524</v>
      </c>
      <c r="C380" t="s">
        <v>37</v>
      </c>
      <c r="D380">
        <v>4.2228649999999996</v>
      </c>
      <c r="E380">
        <v>0.4884715</v>
      </c>
      <c r="F380" t="s">
        <v>38</v>
      </c>
      <c r="G380">
        <v>-371.7928</v>
      </c>
      <c r="H380" s="1">
        <v>-3.5742309999999998E-6</v>
      </c>
      <c r="I380">
        <v>369.2158</v>
      </c>
      <c r="J380">
        <v>-373.47280000000001</v>
      </c>
      <c r="K380">
        <v>1.101853</v>
      </c>
      <c r="L380">
        <v>368.83240000000001</v>
      </c>
      <c r="M380">
        <v>0.99932149999999997</v>
      </c>
      <c r="N380">
        <v>0</v>
      </c>
      <c r="O380">
        <v>-3.6145860000000002E-2</v>
      </c>
      <c r="P380">
        <v>0.99926109999999901</v>
      </c>
      <c r="Q380">
        <v>-2.6885550000000001E-2</v>
      </c>
      <c r="R380">
        <v>2.747161E-2</v>
      </c>
      <c r="S380">
        <v>2.94339</v>
      </c>
      <c r="T380">
        <v>-1.575844</v>
      </c>
      <c r="U380">
        <v>0.52804569999999995</v>
      </c>
      <c r="V380">
        <v>-6.3635659999999997E-2</v>
      </c>
      <c r="W380">
        <v>-1.9623390000000001E-2</v>
      </c>
      <c r="X380">
        <v>0.99778029999999995</v>
      </c>
      <c r="Y380">
        <v>-0.18338089999999899</v>
      </c>
      <c r="Z380">
        <v>6.3724909999999996E-2</v>
      </c>
      <c r="AA380">
        <v>0.98097429999999997</v>
      </c>
      <c r="AB380">
        <v>38</v>
      </c>
      <c r="AC380">
        <v>1.68</v>
      </c>
      <c r="AD380">
        <v>-1.101856574231</v>
      </c>
      <c r="AE380">
        <v>0.38339999999999402</v>
      </c>
      <c r="AF380">
        <v>-0.31505883995688799</v>
      </c>
      <c r="AG380">
        <v>-1.101856574231</v>
      </c>
      <c r="AH380">
        <v>1.18183151098329</v>
      </c>
      <c r="AI380">
        <v>132.01466953853401</v>
      </c>
      <c r="AJ380">
        <v>104.927061555957</v>
      </c>
      <c r="AK380">
        <v>1.6462307563534599</v>
      </c>
    </row>
    <row r="381" spans="1:37" x14ac:dyDescent="0.2">
      <c r="A381" t="str">
        <f>"20200111160103216"</f>
        <v>20200111160103216</v>
      </c>
      <c r="B381" t="str">
        <f>"1578729663210020"</f>
        <v>1578729663210020</v>
      </c>
      <c r="C381" t="s">
        <v>37</v>
      </c>
      <c r="D381">
        <v>4.1801309999999896</v>
      </c>
      <c r="E381">
        <v>0.45694759999999901</v>
      </c>
      <c r="F381" t="s">
        <v>38</v>
      </c>
      <c r="G381">
        <v>-371.2079</v>
      </c>
      <c r="H381" s="1">
        <v>-3.8619240000000001E-6</v>
      </c>
      <c r="I381">
        <v>369.00850000000003</v>
      </c>
      <c r="J381">
        <v>-373.07960000000003</v>
      </c>
      <c r="K381">
        <v>1.1018709999999901</v>
      </c>
      <c r="L381">
        <v>368.81709999999998</v>
      </c>
      <c r="M381">
        <v>0.99927670000000002</v>
      </c>
      <c r="N381">
        <v>0</v>
      </c>
      <c r="O381">
        <v>-3.7359040000000003E-2</v>
      </c>
      <c r="P381">
        <v>0.99913039999999997</v>
      </c>
      <c r="Q381">
        <v>-3.2711499999999998E-2</v>
      </c>
      <c r="R381">
        <v>2.5861459999999999E-2</v>
      </c>
      <c r="S381">
        <v>2.9571839999999998</v>
      </c>
      <c r="T381">
        <v>-1.4385809999999899</v>
      </c>
      <c r="U381">
        <v>0.230071999999999</v>
      </c>
      <c r="V381">
        <v>-6.3249609999999998E-2</v>
      </c>
      <c r="W381">
        <v>-2.5432260000000002E-2</v>
      </c>
      <c r="X381">
        <v>0.99767359999999905</v>
      </c>
      <c r="Y381">
        <v>-9.9502149999999998E-2</v>
      </c>
      <c r="Z381">
        <v>4.0079879999999998E-2</v>
      </c>
      <c r="AA381">
        <v>0.99422980000000005</v>
      </c>
      <c r="AB381">
        <v>38</v>
      </c>
      <c r="AC381">
        <v>1.8717000000000299</v>
      </c>
      <c r="AD381">
        <v>-1.10187486192399</v>
      </c>
      <c r="AE381">
        <v>0.19140000000004401</v>
      </c>
      <c r="AF381">
        <v>-0.19448705615018899</v>
      </c>
      <c r="AG381">
        <v>-1.10187486192399</v>
      </c>
      <c r="AH381">
        <v>1.3873897639844399</v>
      </c>
      <c r="AI381">
        <v>128.18564603677601</v>
      </c>
      <c r="AJ381">
        <v>97.979836876264997</v>
      </c>
      <c r="AK381">
        <v>1.7823590501239599</v>
      </c>
    </row>
    <row r="382" spans="1:37" x14ac:dyDescent="0.2">
      <c r="A382" t="str">
        <f>"20200111160103239"</f>
        <v>20200111160103239</v>
      </c>
      <c r="B382" t="str">
        <f>"1578729663229540"</f>
        <v>1578729663229540</v>
      </c>
      <c r="C382" t="s">
        <v>37</v>
      </c>
      <c r="D382">
        <v>4.138827</v>
      </c>
      <c r="E382">
        <v>0.455099799999999</v>
      </c>
      <c r="F382" t="s">
        <v>38</v>
      </c>
      <c r="G382">
        <v>-370.9871</v>
      </c>
      <c r="H382" s="1">
        <v>-3.9300940000000001E-6</v>
      </c>
      <c r="I382">
        <v>369.15820000000002</v>
      </c>
      <c r="J382">
        <v>-372.6891</v>
      </c>
      <c r="K382">
        <v>1.101909</v>
      </c>
      <c r="L382">
        <v>368.80149999999998</v>
      </c>
      <c r="M382">
        <v>0.99923259999999903</v>
      </c>
      <c r="N382">
        <v>0</v>
      </c>
      <c r="O382">
        <v>-3.8514909999999999E-2</v>
      </c>
      <c r="P382">
        <v>0.99920629999999999</v>
      </c>
      <c r="Q382">
        <v>-3.1949640000000001E-2</v>
      </c>
      <c r="R382">
        <v>2.3793749999999999E-2</v>
      </c>
      <c r="S382">
        <v>2.9395449999999999</v>
      </c>
      <c r="T382">
        <v>-1.5478069999999999</v>
      </c>
      <c r="U382">
        <v>0.4792786</v>
      </c>
      <c r="V382">
        <v>-6.2335960000000003E-2</v>
      </c>
      <c r="W382">
        <v>-2.4655659999999999E-2</v>
      </c>
      <c r="X382">
        <v>0.99775059999999904</v>
      </c>
      <c r="Y382">
        <v>-0.172037299999999</v>
      </c>
      <c r="Z382">
        <v>6.1240469999999998E-2</v>
      </c>
      <c r="AA382">
        <v>0.98318510000000003</v>
      </c>
      <c r="AB382">
        <v>38</v>
      </c>
      <c r="AC382">
        <v>1.70199999999999</v>
      </c>
      <c r="AD382">
        <v>-1.101912930094</v>
      </c>
      <c r="AE382">
        <v>0.35670000000004598</v>
      </c>
      <c r="AF382">
        <v>-0.30109407327250198</v>
      </c>
      <c r="AG382">
        <v>-1.101912930094</v>
      </c>
      <c r="AH382">
        <v>1.2036920441890999</v>
      </c>
      <c r="AI382">
        <v>131.60769182511501</v>
      </c>
      <c r="AJ382">
        <v>104.043906804429</v>
      </c>
      <c r="AK382">
        <v>1.65944095517506</v>
      </c>
    </row>
    <row r="383" spans="1:37" x14ac:dyDescent="0.2">
      <c r="A383" t="str">
        <f>"20200111160103261"</f>
        <v>20200111160103261</v>
      </c>
      <c r="B383" t="str">
        <f>"1578729663249580"</f>
        <v>1578729663249580</v>
      </c>
      <c r="C383" t="s">
        <v>37</v>
      </c>
      <c r="D383">
        <v>4.1748419999999999</v>
      </c>
      <c r="E383">
        <v>0.45338099999999998</v>
      </c>
      <c r="F383" t="s">
        <v>38</v>
      </c>
      <c r="G383">
        <v>-370.60509999999999</v>
      </c>
      <c r="H383" s="1">
        <v>-4.0958349999999997E-6</v>
      </c>
      <c r="I383">
        <v>369.14760000000001</v>
      </c>
      <c r="J383">
        <v>-372.3141</v>
      </c>
      <c r="K383">
        <v>1.1019649999999901</v>
      </c>
      <c r="L383">
        <v>368.78620000000001</v>
      </c>
      <c r="M383">
        <v>0.99919159999999996</v>
      </c>
      <c r="N383">
        <v>0</v>
      </c>
      <c r="O383">
        <v>-3.9565169999999997E-2</v>
      </c>
      <c r="P383">
        <v>0.99931179999999997</v>
      </c>
      <c r="Q383">
        <v>-2.991723E-2</v>
      </c>
      <c r="R383">
        <v>2.1936089999999998E-2</v>
      </c>
      <c r="S383">
        <v>2.941071</v>
      </c>
      <c r="T383">
        <v>-1.5550170000000001</v>
      </c>
      <c r="U383">
        <v>0.48855589999999999</v>
      </c>
      <c r="V383">
        <v>-6.152345E-2</v>
      </c>
      <c r="W383">
        <v>-2.2610950000000001E-2</v>
      </c>
      <c r="X383">
        <v>0.99784949999999994</v>
      </c>
      <c r="Y383">
        <v>-0.17526120000000001</v>
      </c>
      <c r="Z383">
        <v>6.2766429999999998E-2</v>
      </c>
      <c r="AA383">
        <v>0.98251909999999898</v>
      </c>
      <c r="AB383">
        <v>38</v>
      </c>
      <c r="AC383">
        <v>1.7090000000000001</v>
      </c>
      <c r="AD383">
        <v>-1.1019690958349999</v>
      </c>
      <c r="AE383">
        <v>0.361400000000003</v>
      </c>
      <c r="AF383">
        <v>-0.30668342548440902</v>
      </c>
      <c r="AG383">
        <v>-1.1019690958349999</v>
      </c>
      <c r="AH383">
        <v>1.2112972006404501</v>
      </c>
      <c r="AI383">
        <v>131.40956173573301</v>
      </c>
      <c r="AJ383">
        <v>104.207917703788</v>
      </c>
      <c r="AK383">
        <v>1.6660226648883401</v>
      </c>
    </row>
    <row r="384" spans="1:37" x14ac:dyDescent="0.2">
      <c r="A384" t="str">
        <f>"20200111160103282"</f>
        <v>20200111160103282</v>
      </c>
      <c r="B384" t="str">
        <f>"1578729663279821"</f>
        <v>1578729663279821</v>
      </c>
      <c r="C384" t="s">
        <v>37</v>
      </c>
      <c r="D384">
        <v>4.1812839999999998</v>
      </c>
      <c r="E384">
        <v>0.4541963</v>
      </c>
      <c r="F384" t="s">
        <v>38</v>
      </c>
      <c r="G384">
        <v>-370.2226</v>
      </c>
      <c r="H384" s="1">
        <v>-4.2615190000000001E-6</v>
      </c>
      <c r="I384">
        <v>369.13869999999997</v>
      </c>
      <c r="J384">
        <v>-371.95080000000002</v>
      </c>
      <c r="K384">
        <v>1.102033</v>
      </c>
      <c r="L384">
        <v>368.77099999999899</v>
      </c>
      <c r="M384">
        <v>0.99915359999999998</v>
      </c>
      <c r="N384">
        <v>0</v>
      </c>
      <c r="O384">
        <v>-4.0509669999999998E-2</v>
      </c>
      <c r="P384">
        <v>0.99935409999999902</v>
      </c>
      <c r="Q384">
        <v>-2.9574699999999999E-2</v>
      </c>
      <c r="R384">
        <v>2.0421640000000001E-2</v>
      </c>
      <c r="S384">
        <v>2.9447329999999998</v>
      </c>
      <c r="T384">
        <v>-1.5514520000000001</v>
      </c>
      <c r="U384">
        <v>0.49646000000000001</v>
      </c>
      <c r="V384">
        <v>-6.095105E-2</v>
      </c>
      <c r="W384">
        <v>-2.2258859999999998E-2</v>
      </c>
      <c r="X384">
        <v>0.99789259999999902</v>
      </c>
      <c r="Y384">
        <v>-0.17824809999999999</v>
      </c>
      <c r="Z384">
        <v>6.3758789999999996E-2</v>
      </c>
      <c r="AA384">
        <v>0.9819177</v>
      </c>
      <c r="AB384">
        <v>38</v>
      </c>
      <c r="AC384">
        <v>1.72820000000001</v>
      </c>
      <c r="AD384">
        <v>-1.1020372615189999</v>
      </c>
      <c r="AE384">
        <v>0.36770000000001302</v>
      </c>
      <c r="AF384">
        <v>-0.31490363724632697</v>
      </c>
      <c r="AG384">
        <v>-1.1020372615189999</v>
      </c>
      <c r="AH384">
        <v>1.2324375704535799</v>
      </c>
      <c r="AI384">
        <v>130.90432682329799</v>
      </c>
      <c r="AJ384">
        <v>104.33313860285401</v>
      </c>
      <c r="AK384">
        <v>1.68301895164398</v>
      </c>
    </row>
    <row r="385" spans="1:37" x14ac:dyDescent="0.2">
      <c r="A385" t="str">
        <f>"20200111160103305"</f>
        <v>20200111160103305</v>
      </c>
      <c r="B385" t="str">
        <f>"1578729663299341"</f>
        <v>1578729663299341</v>
      </c>
      <c r="C385" t="s">
        <v>37</v>
      </c>
      <c r="D385">
        <v>5.2597370000000003</v>
      </c>
      <c r="E385">
        <v>0.4541963</v>
      </c>
      <c r="F385" t="s">
        <v>38</v>
      </c>
      <c r="G385">
        <v>-369.85860000000002</v>
      </c>
      <c r="H385" s="1">
        <v>-1.67552799999999E-7</v>
      </c>
      <c r="I385">
        <v>369.11509999999998</v>
      </c>
      <c r="J385">
        <v>-371.55720000000002</v>
      </c>
      <c r="K385">
        <v>1.1021069999999999</v>
      </c>
      <c r="L385">
        <v>368.75420000000003</v>
      </c>
      <c r="M385">
        <v>0.99911559999999899</v>
      </c>
      <c r="N385">
        <v>0</v>
      </c>
      <c r="O385">
        <v>-4.1433310000000001E-2</v>
      </c>
      <c r="P385">
        <v>0.99941589999999902</v>
      </c>
      <c r="Q385">
        <v>-2.83580999999999E-2</v>
      </c>
      <c r="R385">
        <v>1.9077340000000002E-2</v>
      </c>
      <c r="S385">
        <v>2.946075</v>
      </c>
      <c r="T385">
        <v>-1.5516859999999999</v>
      </c>
      <c r="U385">
        <v>0.48461909999999903</v>
      </c>
      <c r="V385">
        <v>-6.0525830000000003E-2</v>
      </c>
      <c r="W385">
        <v>-2.10345999999999E-2</v>
      </c>
      <c r="X385">
        <v>0.99794499999999997</v>
      </c>
      <c r="Y385">
        <v>-0.17546919999999999</v>
      </c>
      <c r="Z385">
        <v>6.3530299999999998E-2</v>
      </c>
      <c r="AA385">
        <v>0.98243289999999905</v>
      </c>
      <c r="AB385">
        <v>38</v>
      </c>
      <c r="AC385">
        <v>1.6985999999999899</v>
      </c>
      <c r="AD385">
        <v>-1.1021071675528</v>
      </c>
      <c r="AE385">
        <v>0.36089999999995798</v>
      </c>
      <c r="AF385">
        <v>-0.30722158611335298</v>
      </c>
      <c r="AG385">
        <v>-1.1021071675528</v>
      </c>
      <c r="AH385">
        <v>1.19916411085048</v>
      </c>
      <c r="AI385">
        <v>131.678951899688</v>
      </c>
      <c r="AJ385">
        <v>104.3698994219</v>
      </c>
      <c r="AK385">
        <v>1.6574136105683099</v>
      </c>
    </row>
    <row r="386" spans="1:37" x14ac:dyDescent="0.2">
      <c r="A386" t="str">
        <f>"20200111160103329"</f>
        <v>20200111160103329</v>
      </c>
      <c r="B386" t="str">
        <f>"1578729663319837"</f>
        <v>1578729663319837</v>
      </c>
      <c r="C386" t="s">
        <v>37</v>
      </c>
      <c r="D386">
        <v>5.1628249999999998</v>
      </c>
      <c r="E386">
        <v>0.55614919999999901</v>
      </c>
      <c r="F386" t="s">
        <v>38</v>
      </c>
      <c r="G386">
        <v>-369.45740000000001</v>
      </c>
      <c r="H386" s="1">
        <v>-3.086811E-7</v>
      </c>
      <c r="I386">
        <v>369.09769999999997</v>
      </c>
      <c r="J386">
        <v>-371.15109999999999</v>
      </c>
      <c r="K386">
        <v>1.1022099999999999</v>
      </c>
      <c r="L386">
        <v>368.73669999999998</v>
      </c>
      <c r="M386">
        <v>0.99908079999999999</v>
      </c>
      <c r="N386">
        <v>0</v>
      </c>
      <c r="O386">
        <v>-4.2259310000000001E-2</v>
      </c>
      <c r="P386">
        <v>0.99950490000000003</v>
      </c>
      <c r="Q386">
        <v>-2.6322580000000002E-2</v>
      </c>
      <c r="R386">
        <v>1.7236979999999999E-2</v>
      </c>
      <c r="S386">
        <v>2.948639</v>
      </c>
      <c r="T386">
        <v>-1.5475669999999999</v>
      </c>
      <c r="U386">
        <v>0.48251339999999998</v>
      </c>
      <c r="V386">
        <v>-5.9505620000000002E-2</v>
      </c>
      <c r="W386">
        <v>-1.8995250000000002E-2</v>
      </c>
      <c r="X386">
        <v>0.99804720000000002</v>
      </c>
      <c r="Y386">
        <v>-0.1755254</v>
      </c>
      <c r="Z386">
        <v>6.3754519999999995E-2</v>
      </c>
      <c r="AA386">
        <v>0.98240830000000001</v>
      </c>
      <c r="AB386">
        <v>38</v>
      </c>
      <c r="AC386">
        <v>1.69369999999997</v>
      </c>
      <c r="AD386">
        <v>-1.1022103086810999</v>
      </c>
      <c r="AE386">
        <v>0.36099999999999</v>
      </c>
      <c r="AF386">
        <v>-0.30763239395125902</v>
      </c>
      <c r="AG386">
        <v>-1.1022103086810999</v>
      </c>
      <c r="AH386">
        <v>1.1934611137738</v>
      </c>
      <c r="AI386">
        <v>131.80654083910801</v>
      </c>
      <c r="AJ386">
        <v>104.454198487361</v>
      </c>
      <c r="AK386">
        <v>1.6534372332995499</v>
      </c>
    </row>
    <row r="387" spans="1:37" x14ac:dyDescent="0.2">
      <c r="A387" t="str">
        <f>"20200111160103708"</f>
        <v>20200111160103708</v>
      </c>
      <c r="B387" t="str">
        <f>"1578729663700009"</f>
        <v>1578729663700009</v>
      </c>
      <c r="C387" t="s">
        <v>37</v>
      </c>
      <c r="D387">
        <v>4.2476129999999896</v>
      </c>
      <c r="E387">
        <v>0.55614919999999901</v>
      </c>
      <c r="F387" t="s">
        <v>38</v>
      </c>
      <c r="G387">
        <v>-349.07499999999999</v>
      </c>
      <c r="H387" s="1">
        <v>-1.342298E-6</v>
      </c>
      <c r="I387">
        <v>365.84730000000002</v>
      </c>
      <c r="J387">
        <v>-364.47890000000001</v>
      </c>
      <c r="K387">
        <v>1.1041190000000001</v>
      </c>
      <c r="L387">
        <v>368.4588</v>
      </c>
      <c r="M387">
        <v>0.9992375</v>
      </c>
      <c r="N387">
        <v>0</v>
      </c>
      <c r="O387">
        <v>-3.7890260000000002E-2</v>
      </c>
      <c r="P387">
        <v>0.99923739999999905</v>
      </c>
      <c r="Q387">
        <v>-3.4868410000000002E-2</v>
      </c>
      <c r="R387">
        <v>1.7586259999999999E-2</v>
      </c>
      <c r="S387">
        <v>3.00430299999999</v>
      </c>
      <c r="T387">
        <v>-0.14999789999999999</v>
      </c>
      <c r="U387">
        <v>-0.39321899999999999</v>
      </c>
      <c r="V387">
        <v>-5.539902E-2</v>
      </c>
      <c r="W387">
        <v>-2.554298E-2</v>
      </c>
      <c r="X387">
        <v>0.99813750000000001</v>
      </c>
      <c r="Y387">
        <v>9.204743E-2</v>
      </c>
      <c r="Z387">
        <v>-4.0552639999999999E-4</v>
      </c>
      <c r="AA387">
        <v>0.99575449999999999</v>
      </c>
      <c r="AB387">
        <v>40</v>
      </c>
      <c r="AC387">
        <v>15.4039</v>
      </c>
      <c r="AD387">
        <v>-1.1041203422979999</v>
      </c>
      <c r="AE387">
        <v>-2.6114999999999702</v>
      </c>
      <c r="AF387">
        <v>2.0158732044908598</v>
      </c>
      <c r="AG387">
        <v>-1.1041203422979999</v>
      </c>
      <c r="AH387">
        <v>15.4148079236897</v>
      </c>
      <c r="AI387">
        <v>94.062468564177095</v>
      </c>
      <c r="AJ387">
        <v>82.549419730402505</v>
      </c>
      <c r="AK387">
        <v>15.585221520116599</v>
      </c>
    </row>
    <row r="388" spans="1:37" x14ac:dyDescent="0.2">
      <c r="A388" t="str">
        <f>"20200111160103732"</f>
        <v>20200111160103732</v>
      </c>
      <c r="B388" t="str">
        <f>"1578729663719529"</f>
        <v>1578729663719529</v>
      </c>
      <c r="C388" t="s">
        <v>37</v>
      </c>
      <c r="D388">
        <v>5.0585339999999999</v>
      </c>
      <c r="E388">
        <v>0.54721359999999997</v>
      </c>
      <c r="F388" t="s">
        <v>38</v>
      </c>
      <c r="G388">
        <v>-345.93090000000001</v>
      </c>
      <c r="H388" s="1">
        <v>-2.5385610000000001E-6</v>
      </c>
      <c r="I388">
        <v>366.03890000000001</v>
      </c>
      <c r="J388">
        <v>-364.08600000000001</v>
      </c>
      <c r="K388">
        <v>1.1042239999999901</v>
      </c>
      <c r="L388">
        <v>368.44450000000001</v>
      </c>
      <c r="M388">
        <v>0.99925409999999903</v>
      </c>
      <c r="N388">
        <v>0</v>
      </c>
      <c r="O388">
        <v>-3.7296940000000001E-2</v>
      </c>
      <c r="P388">
        <v>0.99921779999999905</v>
      </c>
      <c r="Q388">
        <v>-3.5012469999999997E-2</v>
      </c>
      <c r="R388">
        <v>1.8375789999999999E-2</v>
      </c>
      <c r="S388">
        <v>3.0029599999999999</v>
      </c>
      <c r="T388">
        <v>-0.17875920000000001</v>
      </c>
      <c r="U388">
        <v>-0.39178469999999999</v>
      </c>
      <c r="V388">
        <v>-5.5595230000000002E-2</v>
      </c>
      <c r="W388">
        <v>-2.511327E-2</v>
      </c>
      <c r="X388">
        <v>0.99813750000000001</v>
      </c>
      <c r="Y388">
        <v>9.2198920000000004E-2</v>
      </c>
      <c r="Z388">
        <v>-5.2293649999999995E-4</v>
      </c>
      <c r="AA388">
        <v>0.99574050000000003</v>
      </c>
      <c r="AB388">
        <v>40</v>
      </c>
      <c r="AC388">
        <v>18.155100000000001</v>
      </c>
      <c r="AD388">
        <v>-1.1042265385609999</v>
      </c>
      <c r="AE388">
        <v>-2.40559999999999</v>
      </c>
      <c r="AF388">
        <v>1.72050763429616</v>
      </c>
      <c r="AG388">
        <v>-1.1042265385609999</v>
      </c>
      <c r="AH388">
        <v>18.1661504601282</v>
      </c>
      <c r="AI388">
        <v>93.462976303114402</v>
      </c>
      <c r="AJ388">
        <v>84.589681605379099</v>
      </c>
      <c r="AK388">
        <v>18.280822883780399</v>
      </c>
    </row>
    <row r="389" spans="1:37" x14ac:dyDescent="0.2">
      <c r="A389" t="str">
        <f>"20200111160103751"</f>
        <v>20200111160103751</v>
      </c>
      <c r="B389" t="str">
        <f>"1578729663749786"</f>
        <v>1578729663749786</v>
      </c>
      <c r="C389" t="s">
        <v>37</v>
      </c>
      <c r="D389">
        <v>5.1048390000000001</v>
      </c>
      <c r="E389">
        <v>0.5421975</v>
      </c>
      <c r="F389" t="s">
        <v>42</v>
      </c>
      <c r="G389">
        <v>-363.04509999999999</v>
      </c>
      <c r="H389">
        <v>1.0485850000000001</v>
      </c>
      <c r="I389">
        <v>368.3338</v>
      </c>
      <c r="J389">
        <v>-363.71870000000001</v>
      </c>
      <c r="K389">
        <v>1.1042909999999999</v>
      </c>
      <c r="L389">
        <v>368.43119999999999</v>
      </c>
      <c r="M389">
        <v>0.99926890000000002</v>
      </c>
      <c r="N389">
        <v>0</v>
      </c>
      <c r="O389">
        <v>-3.6755169999999997E-2</v>
      </c>
      <c r="P389">
        <v>0.9991913</v>
      </c>
      <c r="Q389">
        <v>-3.528659E-2</v>
      </c>
      <c r="R389">
        <v>1.928324E-2</v>
      </c>
      <c r="S389">
        <v>3.00259399999999</v>
      </c>
      <c r="T389">
        <v>-0.1605232</v>
      </c>
      <c r="U389">
        <v>-0.31893919999999998</v>
      </c>
      <c r="V389">
        <v>-5.5961110000000001E-2</v>
      </c>
      <c r="W389">
        <v>-2.4860810000000001E-2</v>
      </c>
      <c r="X389">
        <v>0.99812339999999999</v>
      </c>
      <c r="Y389">
        <v>6.8958610000000004E-2</v>
      </c>
      <c r="Z389">
        <v>1.200697E-4</v>
      </c>
      <c r="AA389">
        <v>0.99761949999999999</v>
      </c>
      <c r="AB389">
        <v>40</v>
      </c>
      <c r="AC389">
        <v>0.67360000000002096</v>
      </c>
      <c r="AD389">
        <v>-5.5705999999999797E-2</v>
      </c>
      <c r="AE389">
        <v>-9.73999999999932E-2</v>
      </c>
      <c r="AF389">
        <v>7.2091581251634104E-2</v>
      </c>
      <c r="AG389">
        <v>-5.5705999999999797E-2</v>
      </c>
      <c r="AH389">
        <v>0.67222170394527303</v>
      </c>
      <c r="AI389">
        <v>94.710303885754101</v>
      </c>
      <c r="AJ389">
        <v>83.878780955265199</v>
      </c>
      <c r="AK389">
        <v>0.67836743272244904</v>
      </c>
    </row>
    <row r="390" spans="1:37" x14ac:dyDescent="0.2">
      <c r="A390" t="str">
        <f>"20200111160103775"</f>
        <v>20200111160103775</v>
      </c>
      <c r="B390" t="str">
        <f>"1578729663769307"</f>
        <v>1578729663769307</v>
      </c>
      <c r="C390" t="s">
        <v>37</v>
      </c>
      <c r="D390">
        <v>5.0038220000000004</v>
      </c>
      <c r="E390">
        <v>0.54054979999999997</v>
      </c>
      <c r="F390" t="s">
        <v>42</v>
      </c>
      <c r="G390">
        <v>-362.68819999999999</v>
      </c>
      <c r="H390">
        <v>1.0526329999999999</v>
      </c>
      <c r="I390">
        <v>368.33600000000001</v>
      </c>
      <c r="J390">
        <v>-363.31670000000003</v>
      </c>
      <c r="K390">
        <v>1.1043430000000001</v>
      </c>
      <c r="L390">
        <v>368.41699999999997</v>
      </c>
      <c r="M390">
        <v>0.99928410000000001</v>
      </c>
      <c r="N390">
        <v>0</v>
      </c>
      <c r="O390">
        <v>-3.6180650000000002E-2</v>
      </c>
      <c r="P390">
        <v>0.99915520000000002</v>
      </c>
      <c r="Q390">
        <v>-3.5524599999999899E-2</v>
      </c>
      <c r="R390">
        <v>2.0671809999999999E-2</v>
      </c>
      <c r="S390">
        <v>3.0024410000000001</v>
      </c>
      <c r="T390">
        <v>-0.150703</v>
      </c>
      <c r="U390">
        <v>-0.27658080000000002</v>
      </c>
      <c r="V390">
        <v>-5.677538E-2</v>
      </c>
      <c r="W390">
        <v>-2.4561400000000001E-2</v>
      </c>
      <c r="X390">
        <v>0.99808479999999999</v>
      </c>
      <c r="Y390">
        <v>5.5615629999999999E-2</v>
      </c>
      <c r="Z390">
        <v>4.1817440000000003E-4</v>
      </c>
      <c r="AA390">
        <v>0.99845219999999901</v>
      </c>
      <c r="AB390">
        <v>39</v>
      </c>
      <c r="AC390">
        <v>0.62850000000003003</v>
      </c>
      <c r="AD390">
        <v>-5.1710000000000103E-2</v>
      </c>
      <c r="AE390">
        <v>-8.0999999999960395E-2</v>
      </c>
      <c r="AF390">
        <v>5.7821023187932398E-2</v>
      </c>
      <c r="AG390">
        <v>-5.1710000000000103E-2</v>
      </c>
      <c r="AH390">
        <v>0.62684533556346</v>
      </c>
      <c r="AI390">
        <v>94.695945308647893</v>
      </c>
      <c r="AJ390">
        <v>84.729876420818201</v>
      </c>
      <c r="AK390">
        <v>0.63162668526604104</v>
      </c>
    </row>
    <row r="391" spans="1:37" x14ac:dyDescent="0.2">
      <c r="A391" t="str">
        <f>"20200111160103797"</f>
        <v>20200111160103797</v>
      </c>
      <c r="B391" t="str">
        <f>"1578729663789802"</f>
        <v>1578729663789802</v>
      </c>
      <c r="C391" t="s">
        <v>37</v>
      </c>
      <c r="D391">
        <v>4.946091</v>
      </c>
      <c r="E391">
        <v>0.53977679999999995</v>
      </c>
      <c r="F391" t="s">
        <v>42</v>
      </c>
      <c r="G391">
        <v>-362.32389999999998</v>
      </c>
      <c r="H391">
        <v>1.054338</v>
      </c>
      <c r="I391">
        <v>368.3313</v>
      </c>
      <c r="J391">
        <v>-362.92110000000002</v>
      </c>
      <c r="K391">
        <v>1.1043750000000001</v>
      </c>
      <c r="L391">
        <v>368.40309999999999</v>
      </c>
      <c r="M391">
        <v>0.99929769999999896</v>
      </c>
      <c r="N391">
        <v>0</v>
      </c>
      <c r="O391">
        <v>-3.5649010000000002E-2</v>
      </c>
      <c r="P391">
        <v>0.99910589999999999</v>
      </c>
      <c r="Q391">
        <v>-3.5710079999999998E-2</v>
      </c>
      <c r="R391">
        <v>2.2632960000000001E-2</v>
      </c>
      <c r="S391">
        <v>3.0025330000000001</v>
      </c>
      <c r="T391">
        <v>-0.15118529999999999</v>
      </c>
      <c r="U391">
        <v>-0.259552</v>
      </c>
      <c r="V391">
        <v>-5.820446E-2</v>
      </c>
      <c r="W391">
        <v>-2.4264480000000001E-2</v>
      </c>
      <c r="X391">
        <v>0.9980097</v>
      </c>
      <c r="Y391">
        <v>5.0530770000000003E-2</v>
      </c>
      <c r="Z391">
        <v>5.2068769999999995E-4</v>
      </c>
      <c r="AA391">
        <v>0.99872240000000001</v>
      </c>
      <c r="AB391">
        <v>39</v>
      </c>
      <c r="AC391">
        <v>0.59720000000004303</v>
      </c>
      <c r="AD391">
        <v>-5.0037000000000102E-2</v>
      </c>
      <c r="AE391">
        <v>-7.1799999999996006E-2</v>
      </c>
      <c r="AF391">
        <v>5.0116538663567502E-2</v>
      </c>
      <c r="AG391">
        <v>-5.0037000000000102E-2</v>
      </c>
      <c r="AH391">
        <v>0.59526087699957697</v>
      </c>
      <c r="AI391">
        <v>94.788066148110204</v>
      </c>
      <c r="AJ391">
        <v>85.187471104234604</v>
      </c>
      <c r="AK391">
        <v>0.59945882302533704</v>
      </c>
    </row>
    <row r="392" spans="1:37" x14ac:dyDescent="0.2">
      <c r="A392" t="str">
        <f>"20200111160103820"</f>
        <v>20200111160103820</v>
      </c>
      <c r="B392" t="str">
        <f>"1578729663809321"</f>
        <v>1578729663809321</v>
      </c>
      <c r="C392" t="s">
        <v>37</v>
      </c>
      <c r="D392">
        <v>4.9160019999999998</v>
      </c>
      <c r="E392">
        <v>0.53923999999999905</v>
      </c>
      <c r="F392" t="s">
        <v>38</v>
      </c>
      <c r="G392">
        <v>-340.90309999999999</v>
      </c>
      <c r="H392" s="1">
        <v>-4.8179899999999996E-6</v>
      </c>
      <c r="I392">
        <v>366.58710000000002</v>
      </c>
      <c r="J392">
        <v>-362.52659999999997</v>
      </c>
      <c r="K392">
        <v>1.104382</v>
      </c>
      <c r="L392">
        <v>368.3895</v>
      </c>
      <c r="M392">
        <v>0.99930969999999997</v>
      </c>
      <c r="N392">
        <v>0</v>
      </c>
      <c r="O392">
        <v>-3.5165059999999998E-2</v>
      </c>
      <c r="P392">
        <v>0.99905440000000001</v>
      </c>
      <c r="Q392">
        <v>-3.5996229999999997E-2</v>
      </c>
      <c r="R392">
        <v>2.4383490000000001E-2</v>
      </c>
      <c r="S392">
        <v>3.002869</v>
      </c>
      <c r="T392">
        <v>-0.1506178</v>
      </c>
      <c r="U392">
        <v>-0.2476807</v>
      </c>
      <c r="V392">
        <v>-5.9470960000000003E-2</v>
      </c>
      <c r="W392">
        <v>-2.4114880000000002E-2</v>
      </c>
      <c r="X392">
        <v>0.99793869999999896</v>
      </c>
      <c r="Y392">
        <v>4.7087919999999998E-2</v>
      </c>
      <c r="Z392">
        <v>5.807567E-4</v>
      </c>
      <c r="AA392">
        <v>0.99889059999999896</v>
      </c>
      <c r="AB392">
        <v>39</v>
      </c>
      <c r="AC392">
        <v>21.6234999999999</v>
      </c>
      <c r="AD392">
        <v>-1.10438681799</v>
      </c>
      <c r="AE392">
        <v>-1.80239999999997</v>
      </c>
      <c r="AF392">
        <v>1.03814950760894</v>
      </c>
      <c r="AG392">
        <v>-1.10438681799</v>
      </c>
      <c r="AH392">
        <v>21.6175102440878</v>
      </c>
      <c r="AI392">
        <v>92.921200845163895</v>
      </c>
      <c r="AJ392">
        <v>87.250565809755699</v>
      </c>
      <c r="AK392">
        <v>21.670583143910601</v>
      </c>
    </row>
    <row r="393" spans="1:37" x14ac:dyDescent="0.2">
      <c r="A393" t="str">
        <f>"20200111160103840"</f>
        <v>20200111160103840</v>
      </c>
      <c r="B393" t="str">
        <f>"1578729663829817"</f>
        <v>1578729663829817</v>
      </c>
      <c r="C393" t="s">
        <v>37</v>
      </c>
      <c r="D393">
        <v>4.8900509999999997</v>
      </c>
      <c r="E393">
        <v>0.53859999999999997</v>
      </c>
      <c r="F393" t="s">
        <v>38</v>
      </c>
      <c r="G393">
        <v>-340.65370000000001</v>
      </c>
      <c r="H393" s="1">
        <v>-4.9235889999999997E-6</v>
      </c>
      <c r="I393">
        <v>366.65649999999999</v>
      </c>
      <c r="J393">
        <v>-362.15719999999999</v>
      </c>
      <c r="K393">
        <v>1.1043540000000001</v>
      </c>
      <c r="L393">
        <v>368.37699999999899</v>
      </c>
      <c r="M393">
        <v>0.99931930000000002</v>
      </c>
      <c r="N393">
        <v>0</v>
      </c>
      <c r="O393">
        <v>-3.4762960000000002E-2</v>
      </c>
      <c r="P393">
        <v>0.99896479999999999</v>
      </c>
      <c r="Q393">
        <v>-3.7279769999999997E-2</v>
      </c>
      <c r="R393">
        <v>2.606818E-2</v>
      </c>
      <c r="S393">
        <v>3.003174</v>
      </c>
      <c r="T393">
        <v>-0.15163360000000001</v>
      </c>
      <c r="U393">
        <v>-0.23794560000000001</v>
      </c>
      <c r="V393">
        <v>-6.0751020000000003E-2</v>
      </c>
      <c r="W393">
        <v>-2.5034730000000002E-2</v>
      </c>
      <c r="X393">
        <v>0.99783899999999903</v>
      </c>
      <c r="Y393">
        <v>4.4267059999999997E-2</v>
      </c>
      <c r="Z393">
        <v>6.3554019999999896E-4</v>
      </c>
      <c r="AA393">
        <v>0.99901949999999995</v>
      </c>
      <c r="AB393">
        <v>39</v>
      </c>
      <c r="AC393">
        <v>21.503499999999899</v>
      </c>
      <c r="AD393">
        <v>-1.1043589235889999</v>
      </c>
      <c r="AE393">
        <v>-1.72049999999995</v>
      </c>
      <c r="AF393">
        <v>0.96933721953893204</v>
      </c>
      <c r="AG393">
        <v>-1.1043589235889999</v>
      </c>
      <c r="AH393">
        <v>21.493984185731598</v>
      </c>
      <c r="AI393">
        <v>92.938284236921106</v>
      </c>
      <c r="AJ393">
        <v>87.417820509855503</v>
      </c>
      <c r="AK393">
        <v>21.544154182835101</v>
      </c>
    </row>
    <row r="394" spans="1:37" x14ac:dyDescent="0.2">
      <c r="A394" t="str">
        <f>"20200111160103863"</f>
        <v>20200111160103863</v>
      </c>
      <c r="B394" t="str">
        <f>"1578729663860074"</f>
        <v>1578729663860074</v>
      </c>
      <c r="C394" t="s">
        <v>37</v>
      </c>
      <c r="D394">
        <v>5.0306940000000004</v>
      </c>
      <c r="E394">
        <v>0.53698440000000003</v>
      </c>
      <c r="F394" t="s">
        <v>38</v>
      </c>
      <c r="G394">
        <v>-340.91019999999997</v>
      </c>
      <c r="H394" s="1">
        <v>-4.782969E-6</v>
      </c>
      <c r="I394">
        <v>366.76569999999998</v>
      </c>
      <c r="J394">
        <v>-361.77260000000001</v>
      </c>
      <c r="K394">
        <v>1.104317</v>
      </c>
      <c r="L394">
        <v>368.3639</v>
      </c>
      <c r="M394">
        <v>0.99932779999999999</v>
      </c>
      <c r="N394">
        <v>0</v>
      </c>
      <c r="O394">
        <v>-3.4401470000000003E-2</v>
      </c>
      <c r="P394">
        <v>0.99888659999999996</v>
      </c>
      <c r="Q394">
        <v>-3.8480970000000003E-2</v>
      </c>
      <c r="R394">
        <v>2.728879E-2</v>
      </c>
      <c r="S394">
        <v>3.0032349999999899</v>
      </c>
      <c r="T394">
        <v>-0.1560994</v>
      </c>
      <c r="U394">
        <v>-0.2277527</v>
      </c>
      <c r="V394">
        <v>-6.1609410000000003E-2</v>
      </c>
      <c r="W394">
        <v>-2.590516E-2</v>
      </c>
      <c r="X394">
        <v>0.99776409999999904</v>
      </c>
      <c r="Y394">
        <v>4.1258959999999997E-2</v>
      </c>
      <c r="Z394">
        <v>7.1362019999999995E-4</v>
      </c>
      <c r="AA394">
        <v>0.99914820000000004</v>
      </c>
      <c r="AB394">
        <v>39</v>
      </c>
      <c r="AC394">
        <v>20.862400000000001</v>
      </c>
      <c r="AD394">
        <v>-1.104321782969</v>
      </c>
      <c r="AE394">
        <v>-1.5982000000000101</v>
      </c>
      <c r="AF394">
        <v>0.87705589682089302</v>
      </c>
      <c r="AG394">
        <v>-1.104321782969</v>
      </c>
      <c r="AH394">
        <v>20.846962618959299</v>
      </c>
      <c r="AI394">
        <v>93.029608137477794</v>
      </c>
      <c r="AJ394">
        <v>87.590920773560697</v>
      </c>
      <c r="AK394">
        <v>20.894607057390999</v>
      </c>
    </row>
    <row r="395" spans="1:37" x14ac:dyDescent="0.2">
      <c r="A395" t="str">
        <f>"20200111160103885"</f>
        <v>20200111160103885</v>
      </c>
      <c r="B395" t="str">
        <f>"1578729663879595"</f>
        <v>1578729663879595</v>
      </c>
      <c r="C395" t="s">
        <v>37</v>
      </c>
      <c r="D395">
        <v>4.9916029999999996</v>
      </c>
      <c r="E395">
        <v>0.53735639999999996</v>
      </c>
      <c r="F395" t="s">
        <v>38</v>
      </c>
      <c r="G395">
        <v>-341.32659999999998</v>
      </c>
      <c r="H395" s="1">
        <v>-4.5577539999999998E-6</v>
      </c>
      <c r="I395">
        <v>366.92559999999997</v>
      </c>
      <c r="J395">
        <v>-361.37</v>
      </c>
      <c r="K395">
        <v>1.1042609999999999</v>
      </c>
      <c r="L395">
        <v>368.35039999999998</v>
      </c>
      <c r="M395">
        <v>0.99933490000000003</v>
      </c>
      <c r="N395">
        <v>0</v>
      </c>
      <c r="O395">
        <v>-3.4086850000000002E-2</v>
      </c>
      <c r="P395">
        <v>0.99881939999999902</v>
      </c>
      <c r="Q395">
        <v>-3.9674149999999998E-2</v>
      </c>
      <c r="R395">
        <v>2.8035190000000001E-2</v>
      </c>
      <c r="S395">
        <v>3.002869</v>
      </c>
      <c r="T395">
        <v>-0.16218940000000001</v>
      </c>
      <c r="U395">
        <v>-0.21124270000000001</v>
      </c>
      <c r="V395">
        <v>-6.2042310000000003E-2</v>
      </c>
      <c r="W395">
        <v>-2.6805590000000001E-2</v>
      </c>
      <c r="X395">
        <v>0.99771350000000003</v>
      </c>
      <c r="Y395">
        <v>3.6124120000000003E-2</v>
      </c>
      <c r="Z395">
        <v>8.6316470000000005E-4</v>
      </c>
      <c r="AA395">
        <v>0.99934690000000004</v>
      </c>
      <c r="AB395">
        <v>39</v>
      </c>
      <c r="AC395">
        <v>20.043399999999998</v>
      </c>
      <c r="AD395">
        <v>-1.1042655577539999</v>
      </c>
      <c r="AE395">
        <v>-1.4248000000000001</v>
      </c>
      <c r="AF395">
        <v>0.73846794411081396</v>
      </c>
      <c r="AG395">
        <v>-1.1042655577539999</v>
      </c>
      <c r="AH395">
        <v>20.019860202506301</v>
      </c>
      <c r="AI395">
        <v>93.155008958434806</v>
      </c>
      <c r="AJ395">
        <v>87.887501622938203</v>
      </c>
      <c r="AK395">
        <v>20.063886459368099</v>
      </c>
    </row>
    <row r="396" spans="1:37" x14ac:dyDescent="0.2">
      <c r="A396" t="str">
        <f>"20200111160103909"</f>
        <v>20200111160103909</v>
      </c>
      <c r="B396" t="str">
        <f>"1578729663900090"</f>
        <v>1578729663900090</v>
      </c>
      <c r="C396" t="s">
        <v>37</v>
      </c>
      <c r="D396">
        <v>4.9210479999999999</v>
      </c>
      <c r="E396">
        <v>0.53742389999999995</v>
      </c>
      <c r="F396" t="s">
        <v>38</v>
      </c>
      <c r="G396">
        <v>-340.82490000000001</v>
      </c>
      <c r="H396" s="1">
        <v>-4.7997129999999997E-6</v>
      </c>
      <c r="I396">
        <v>366.89850000000001</v>
      </c>
      <c r="J396">
        <v>-360.95690000000002</v>
      </c>
      <c r="K396">
        <v>1.10419</v>
      </c>
      <c r="L396">
        <v>368.33659999999998</v>
      </c>
      <c r="M396">
        <v>0.99934049999999996</v>
      </c>
      <c r="N396">
        <v>0</v>
      </c>
      <c r="O396">
        <v>-3.3831189999999997E-2</v>
      </c>
      <c r="P396">
        <v>0.99879439999999997</v>
      </c>
      <c r="Q396">
        <v>-4.031187E-2</v>
      </c>
      <c r="R396">
        <v>2.8015620000000001E-2</v>
      </c>
      <c r="S396">
        <v>3.0031129999999999</v>
      </c>
      <c r="T396">
        <v>-0.16141249999999999</v>
      </c>
      <c r="U396">
        <v>-0.2122192</v>
      </c>
      <c r="V396">
        <v>-6.1770480000000003E-2</v>
      </c>
      <c r="W396">
        <v>-2.7201969999999999E-2</v>
      </c>
      <c r="X396">
        <v>0.99771960000000004</v>
      </c>
      <c r="Y396">
        <v>3.6696180000000002E-2</v>
      </c>
      <c r="Z396">
        <v>8.2991520000000004E-4</v>
      </c>
      <c r="AA396">
        <v>0.99932609999999999</v>
      </c>
      <c r="AB396">
        <v>39</v>
      </c>
      <c r="AC396">
        <v>20.132000000000001</v>
      </c>
      <c r="AD396">
        <v>-1.1041947997129999</v>
      </c>
      <c r="AE396">
        <v>-1.43809999999996</v>
      </c>
      <c r="AF396">
        <v>0.75387150850511997</v>
      </c>
      <c r="AG396">
        <v>-1.1041947997129999</v>
      </c>
      <c r="AH396">
        <v>20.108944406467401</v>
      </c>
      <c r="AI396">
        <v>93.140789058006803</v>
      </c>
      <c r="AJ396">
        <v>87.853023193773197</v>
      </c>
      <c r="AK396">
        <v>20.153342490749399</v>
      </c>
    </row>
    <row r="397" spans="1:37" x14ac:dyDescent="0.2">
      <c r="A397" t="str">
        <f>"20200111160103941"</f>
        <v>20200111160103941</v>
      </c>
      <c r="B397" t="str">
        <f>"1578729663929369"</f>
        <v>1578729663929369</v>
      </c>
      <c r="C397" t="s">
        <v>37</v>
      </c>
      <c r="D397">
        <v>9.273142</v>
      </c>
      <c r="E397">
        <v>0.53749969999999903</v>
      </c>
      <c r="F397" t="s">
        <v>42</v>
      </c>
      <c r="G397">
        <v>-359.88470000000001</v>
      </c>
      <c r="H397">
        <v>1.04688</v>
      </c>
      <c r="I397">
        <v>368.2602</v>
      </c>
      <c r="J397">
        <v>-360.40120000000002</v>
      </c>
      <c r="K397">
        <v>1.1040989999999999</v>
      </c>
      <c r="L397">
        <v>368.31810000000002</v>
      </c>
      <c r="M397">
        <v>0.9993457</v>
      </c>
      <c r="N397">
        <v>0</v>
      </c>
      <c r="O397">
        <v>-3.3594110000000003E-2</v>
      </c>
      <c r="P397">
        <v>0.99882420000000005</v>
      </c>
      <c r="Q397">
        <v>-4.0567869999999999E-2</v>
      </c>
      <c r="R397">
        <v>2.6546230000000001E-2</v>
      </c>
      <c r="S397">
        <v>3.0031129999999999</v>
      </c>
      <c r="T397">
        <v>-0.1607432</v>
      </c>
      <c r="U397">
        <v>-0.21279909999999999</v>
      </c>
      <c r="V397">
        <v>-6.0071920000000001E-2</v>
      </c>
      <c r="W397">
        <v>-2.72255E-2</v>
      </c>
      <c r="X397">
        <v>0.99782269999999895</v>
      </c>
      <c r="Y397">
        <v>3.7124230000000001E-2</v>
      </c>
      <c r="Z397">
        <v>8.0239059999999895E-4</v>
      </c>
      <c r="AA397">
        <v>0.99931029999999998</v>
      </c>
      <c r="AB397">
        <v>39</v>
      </c>
      <c r="AC397">
        <v>0.51650000000000695</v>
      </c>
      <c r="AD397">
        <v>-5.7218999999999902E-2</v>
      </c>
      <c r="AE397">
        <v>-5.7900000000017798E-2</v>
      </c>
      <c r="AF397">
        <v>4.0029227217139501E-2</v>
      </c>
      <c r="AG397">
        <v>-5.7218999999999902E-2</v>
      </c>
      <c r="AH397">
        <v>0.51194867400272304</v>
      </c>
      <c r="AI397">
        <v>96.358067754741</v>
      </c>
      <c r="AJ397">
        <v>85.529143729936393</v>
      </c>
      <c r="AK397">
        <v>0.51668926619947098</v>
      </c>
    </row>
    <row r="398" spans="1:37" x14ac:dyDescent="0.2">
      <c r="A398" t="str">
        <f>"20200111160103963"</f>
        <v>20200111160103963</v>
      </c>
      <c r="B398" t="str">
        <f>"1578729663959626"</f>
        <v>1578729663959626</v>
      </c>
      <c r="C398" t="s">
        <v>37</v>
      </c>
      <c r="D398">
        <v>4.8173430000000002</v>
      </c>
      <c r="E398">
        <v>0.6338201</v>
      </c>
      <c r="F398" t="s">
        <v>38</v>
      </c>
      <c r="G398">
        <v>-339.69369999999998</v>
      </c>
      <c r="H398" s="1">
        <v>-8.3591619999999896E-7</v>
      </c>
      <c r="I398">
        <v>366.8141</v>
      </c>
      <c r="J398">
        <v>-360.0136</v>
      </c>
      <c r="K398">
        <v>1.104052</v>
      </c>
      <c r="L398">
        <v>368.30509999999998</v>
      </c>
      <c r="M398">
        <v>0.99934799999999901</v>
      </c>
      <c r="N398">
        <v>0</v>
      </c>
      <c r="O398">
        <v>-3.3477300000000002E-2</v>
      </c>
      <c r="P398">
        <v>0.99882969999999904</v>
      </c>
      <c r="Q398">
        <v>-4.0782800000000001E-2</v>
      </c>
      <c r="R398">
        <v>2.6003559999999998E-2</v>
      </c>
      <c r="S398">
        <v>3.0028079999999999</v>
      </c>
      <c r="T398">
        <v>-0.1601062</v>
      </c>
      <c r="U398">
        <v>-0.21807860000000001</v>
      </c>
      <c r="V398">
        <v>-5.9416110000000001E-2</v>
      </c>
      <c r="W398">
        <v>-2.731631E-2</v>
      </c>
      <c r="X398">
        <v>0.99785949999999901</v>
      </c>
      <c r="Y398">
        <v>3.8993319999999998E-2</v>
      </c>
      <c r="Z398">
        <v>7.4329769999999999E-4</v>
      </c>
      <c r="AA398">
        <v>0.99923919999999999</v>
      </c>
      <c r="AB398">
        <v>39</v>
      </c>
      <c r="AC398">
        <v>20.319900000000001</v>
      </c>
      <c r="AD398">
        <v>-1.1040528359162001</v>
      </c>
      <c r="AE398">
        <v>-1.4909999999999799</v>
      </c>
      <c r="AF398">
        <v>0.807475508429914</v>
      </c>
      <c r="AG398">
        <v>-1.1040528359162001</v>
      </c>
      <c r="AH398">
        <v>20.298823381121</v>
      </c>
      <c r="AI398">
        <v>93.110793993270605</v>
      </c>
      <c r="AJ398">
        <v>87.722007935373696</v>
      </c>
      <c r="AK398">
        <v>20.344856352875901</v>
      </c>
    </row>
    <row r="399" spans="1:37" x14ac:dyDescent="0.2">
      <c r="A399" t="str">
        <f>"20200111160103986"</f>
        <v>20200111160103986</v>
      </c>
      <c r="B399" t="str">
        <f>"1578729663980122"</f>
        <v>1578729663980122</v>
      </c>
      <c r="C399" t="s">
        <v>37</v>
      </c>
      <c r="D399">
        <v>4.8836510000000004</v>
      </c>
      <c r="E399">
        <v>0.57854969999999994</v>
      </c>
      <c r="F399" t="s">
        <v>40</v>
      </c>
      <c r="G399">
        <v>-253.48699999999999</v>
      </c>
      <c r="H399">
        <v>15.38866</v>
      </c>
      <c r="I399">
        <v>332.78769999999997</v>
      </c>
      <c r="J399">
        <v>-359.60660000000001</v>
      </c>
      <c r="K399">
        <v>1.1040099999999999</v>
      </c>
      <c r="L399">
        <v>368.29169999999999</v>
      </c>
      <c r="M399">
        <v>0.99934969999999901</v>
      </c>
      <c r="N399">
        <v>0</v>
      </c>
      <c r="O399">
        <v>-3.3390129999999997E-2</v>
      </c>
      <c r="P399">
        <v>0.99885299999999999</v>
      </c>
      <c r="Q399">
        <v>-4.0508620000000002E-2</v>
      </c>
      <c r="R399">
        <v>2.5534319999999999E-2</v>
      </c>
      <c r="S399">
        <v>3.0466000000000002</v>
      </c>
      <c r="T399">
        <v>0.4085319</v>
      </c>
      <c r="U399">
        <v>-1.0157780000000001</v>
      </c>
      <c r="V399">
        <v>-5.8863810000000003E-2</v>
      </c>
      <c r="W399">
        <v>-2.6935580000000001E-2</v>
      </c>
      <c r="X399">
        <v>0.99790259999999997</v>
      </c>
      <c r="Y399">
        <v>0.28243940000000001</v>
      </c>
      <c r="Z399">
        <v>1.4026459999999999E-2</v>
      </c>
      <c r="AA399">
        <v>0.959182599999999</v>
      </c>
      <c r="AB399">
        <v>39</v>
      </c>
      <c r="AC399">
        <v>106.11960000000001</v>
      </c>
      <c r="AD399">
        <v>14.284649999999999</v>
      </c>
      <c r="AE399">
        <v>-35.503999999999998</v>
      </c>
      <c r="AF399">
        <v>31.428381002733499</v>
      </c>
      <c r="AG399">
        <v>14.284649999999999</v>
      </c>
      <c r="AH399">
        <v>105.526399088769</v>
      </c>
      <c r="AI399">
        <v>82.608065000962597</v>
      </c>
      <c r="AJ399">
        <v>73.415162208040798</v>
      </c>
      <c r="AK399">
        <v>111.029794482011</v>
      </c>
    </row>
    <row r="400" spans="1:37" x14ac:dyDescent="0.2">
      <c r="A400" t="str">
        <f>"20200111160104009"</f>
        <v>20200111160104009</v>
      </c>
      <c r="B400" t="str">
        <f>"1578729663999646"</f>
        <v>1578729663999646</v>
      </c>
      <c r="C400" t="s">
        <v>37</v>
      </c>
      <c r="D400">
        <v>4.9675769999999897</v>
      </c>
      <c r="E400">
        <v>0.5765979</v>
      </c>
      <c r="F400" t="s">
        <v>44</v>
      </c>
      <c r="G400">
        <v>-245.3451</v>
      </c>
      <c r="H400">
        <v>2.1815739999999999</v>
      </c>
      <c r="I400">
        <v>347.18950000000001</v>
      </c>
      <c r="J400">
        <v>-359.20979999999997</v>
      </c>
      <c r="K400">
        <v>1.103972</v>
      </c>
      <c r="L400">
        <v>368.27850000000001</v>
      </c>
      <c r="M400">
        <v>0.99935019999999997</v>
      </c>
      <c r="N400">
        <v>0</v>
      </c>
      <c r="O400">
        <v>-3.333523E-2</v>
      </c>
      <c r="P400">
        <v>0.99886140000000001</v>
      </c>
      <c r="Q400">
        <v>-4.0474169999999997E-2</v>
      </c>
      <c r="R400">
        <v>2.5263819999999999E-2</v>
      </c>
      <c r="S400">
        <v>3.0188290000000002</v>
      </c>
      <c r="T400">
        <v>2.8471710000000001E-2</v>
      </c>
      <c r="U400">
        <v>-0.55752559999999995</v>
      </c>
      <c r="V400">
        <v>-5.8541379999999997E-2</v>
      </c>
      <c r="W400">
        <v>-2.6812240000000001E-2</v>
      </c>
      <c r="X400">
        <v>0.9979249</v>
      </c>
      <c r="Y400">
        <v>0.14872170000000001</v>
      </c>
      <c r="Z400">
        <v>3.8392699999999902E-4</v>
      </c>
      <c r="AA400">
        <v>0.98887899999999995</v>
      </c>
      <c r="AB400">
        <v>39</v>
      </c>
      <c r="AC400">
        <v>113.864699999999</v>
      </c>
      <c r="AD400">
        <v>1.0776019999999999</v>
      </c>
      <c r="AE400">
        <v>-21.088999999999999</v>
      </c>
      <c r="AF400">
        <v>17.279718068195901</v>
      </c>
      <c r="AG400">
        <v>1.0776019999999999</v>
      </c>
      <c r="AH400">
        <v>114.49456327732599</v>
      </c>
      <c r="AI400">
        <v>89.466796411459001</v>
      </c>
      <c r="AJ400">
        <v>81.417592007585299</v>
      </c>
      <c r="AK400">
        <v>115.796178273086</v>
      </c>
    </row>
    <row r="401" spans="1:37" x14ac:dyDescent="0.2">
      <c r="A401" t="str">
        <f>"20200111160104030"</f>
        <v>20200111160104030</v>
      </c>
      <c r="B401" t="str">
        <f>"1578729664020140"</f>
        <v>1578729664020140</v>
      </c>
      <c r="C401" t="s">
        <v>37</v>
      </c>
      <c r="D401">
        <v>4.2524259999999998</v>
      </c>
      <c r="E401">
        <v>0.57969839999999995</v>
      </c>
      <c r="F401" t="s">
        <v>44</v>
      </c>
      <c r="G401">
        <v>-245.3451</v>
      </c>
      <c r="H401">
        <v>1.794073</v>
      </c>
      <c r="I401">
        <v>347.8279</v>
      </c>
      <c r="J401">
        <v>-358.84050000000002</v>
      </c>
      <c r="K401">
        <v>1.1039509999999999</v>
      </c>
      <c r="L401">
        <v>368.26620000000003</v>
      </c>
      <c r="M401">
        <v>0.99935030000000002</v>
      </c>
      <c r="N401">
        <v>0</v>
      </c>
      <c r="O401">
        <v>-3.3303560000000003E-2</v>
      </c>
      <c r="P401">
        <v>0.99886609999999998</v>
      </c>
      <c r="Q401">
        <v>-4.0292889999999998E-2</v>
      </c>
      <c r="R401">
        <v>2.5360870000000001E-2</v>
      </c>
      <c r="S401">
        <v>3.0178829999999999</v>
      </c>
      <c r="T401">
        <v>1.8292550000000001E-2</v>
      </c>
      <c r="U401">
        <v>-0.54202269999999997</v>
      </c>
      <c r="V401">
        <v>-5.8608880000000002E-2</v>
      </c>
      <c r="W401">
        <v>-2.6554879999999999E-2</v>
      </c>
      <c r="X401">
        <v>0.99792780000000003</v>
      </c>
      <c r="Y401">
        <v>0.14389279999999999</v>
      </c>
      <c r="Z401">
        <v>2.3252519999999999E-4</v>
      </c>
      <c r="AA401">
        <v>0.98959330000000001</v>
      </c>
      <c r="AB401">
        <v>39</v>
      </c>
      <c r="AC401">
        <v>113.4954</v>
      </c>
      <c r="AD401">
        <v>0.69012199999999901</v>
      </c>
      <c r="AE401">
        <v>-20.438300000000002</v>
      </c>
      <c r="AF401">
        <v>16.646204509170001</v>
      </c>
      <c r="AG401">
        <v>0.69012199999999901</v>
      </c>
      <c r="AH401">
        <v>114.109076404578</v>
      </c>
      <c r="AI401">
        <v>89.657113391484799</v>
      </c>
      <c r="AJ401">
        <v>81.700250473426706</v>
      </c>
      <c r="AK401">
        <v>115.318921738116</v>
      </c>
    </row>
    <row r="402" spans="1:37" x14ac:dyDescent="0.2">
      <c r="A402" t="str">
        <f>"20200111160104053"</f>
        <v>20200111160104053</v>
      </c>
      <c r="B402" t="str">
        <f>"1578729664049417"</f>
        <v>1578729664049417</v>
      </c>
      <c r="C402" t="s">
        <v>37</v>
      </c>
      <c r="D402">
        <v>4.8427020000000001</v>
      </c>
      <c r="E402">
        <v>0.58090580000000003</v>
      </c>
      <c r="F402" t="s">
        <v>44</v>
      </c>
      <c r="G402">
        <v>-245.3451</v>
      </c>
      <c r="H402">
        <v>1.5026469999999901</v>
      </c>
      <c r="I402">
        <v>346.99009999999998</v>
      </c>
      <c r="J402">
        <v>-358.45870000000002</v>
      </c>
      <c r="K402">
        <v>1.1039330000000001</v>
      </c>
      <c r="L402">
        <v>368.25360000000001</v>
      </c>
      <c r="M402">
        <v>0.99935010000000002</v>
      </c>
      <c r="N402">
        <v>0</v>
      </c>
      <c r="O402">
        <v>-3.3281829999999998E-2</v>
      </c>
      <c r="P402">
        <v>0.99886049999999904</v>
      </c>
      <c r="Q402">
        <v>-3.9839380000000001E-2</v>
      </c>
      <c r="R402">
        <v>2.6281059999999998E-2</v>
      </c>
      <c r="S402">
        <v>3.0181879999999999</v>
      </c>
      <c r="T402">
        <v>1.060462E-2</v>
      </c>
      <c r="U402">
        <v>-0.56579590000000002</v>
      </c>
      <c r="V402">
        <v>-5.9509029999999997E-2</v>
      </c>
      <c r="W402">
        <v>-2.6028929999999999E-2</v>
      </c>
      <c r="X402">
        <v>0.99788829999999995</v>
      </c>
      <c r="Y402">
        <v>0.1514346</v>
      </c>
      <c r="Z402">
        <v>1.479067E-4</v>
      </c>
      <c r="AA402">
        <v>0.98846730000000005</v>
      </c>
      <c r="AB402">
        <v>39</v>
      </c>
      <c r="AC402">
        <v>113.11360000000001</v>
      </c>
      <c r="AD402">
        <v>0.39871399999999901</v>
      </c>
      <c r="AE402">
        <v>-21.263500000000001</v>
      </c>
      <c r="AF402">
        <v>17.486519553539601</v>
      </c>
      <c r="AG402">
        <v>0.39871399999999901</v>
      </c>
      <c r="AH402">
        <v>113.75731462692499</v>
      </c>
      <c r="AI402">
        <v>89.8015131559373</v>
      </c>
      <c r="AJ402">
        <v>81.2610242278041</v>
      </c>
      <c r="AK402">
        <v>115.094152632006</v>
      </c>
    </row>
    <row r="403" spans="1:37" x14ac:dyDescent="0.2">
      <c r="A403" t="str">
        <f>"20200111160104075"</f>
        <v>20200111160104075</v>
      </c>
      <c r="B403" t="str">
        <f>"1578729664069913"</f>
        <v>1578729664069913</v>
      </c>
      <c r="C403" t="s">
        <v>37</v>
      </c>
      <c r="D403">
        <v>4.7387949999999996</v>
      </c>
      <c r="E403">
        <v>0.58146750000000003</v>
      </c>
      <c r="F403" t="s">
        <v>44</v>
      </c>
      <c r="G403">
        <v>-245.3451</v>
      </c>
      <c r="H403">
        <v>1.543539</v>
      </c>
      <c r="I403">
        <v>346.7903</v>
      </c>
      <c r="J403">
        <v>-358.06279999999998</v>
      </c>
      <c r="K403">
        <v>1.103925</v>
      </c>
      <c r="L403">
        <v>368.24040000000002</v>
      </c>
      <c r="M403">
        <v>0.9993495</v>
      </c>
      <c r="N403">
        <v>0</v>
      </c>
      <c r="O403">
        <v>-3.3267079999999997E-2</v>
      </c>
      <c r="P403">
        <v>0.99885919999999895</v>
      </c>
      <c r="Q403">
        <v>-3.9036349999999997E-2</v>
      </c>
      <c r="R403">
        <v>2.7510239999999998E-2</v>
      </c>
      <c r="S403">
        <v>3.0189509999999999</v>
      </c>
      <c r="T403">
        <v>1.1734959999999999E-2</v>
      </c>
      <c r="U403">
        <v>-0.57284550000000001</v>
      </c>
      <c r="V403">
        <v>-6.0724189999999997E-2</v>
      </c>
      <c r="W403">
        <v>-2.5152919999999999E-2</v>
      </c>
      <c r="X403">
        <v>0.99783759999999999</v>
      </c>
      <c r="Y403">
        <v>0.1536323</v>
      </c>
      <c r="Z403">
        <v>1.678874E-4</v>
      </c>
      <c r="AA403">
        <v>0.98812809999999995</v>
      </c>
      <c r="AB403">
        <v>39</v>
      </c>
      <c r="AC403">
        <v>112.717699999999</v>
      </c>
      <c r="AD403">
        <v>0.439614</v>
      </c>
      <c r="AE403">
        <v>-21.450099999999999</v>
      </c>
      <c r="AF403">
        <v>17.687813068793499</v>
      </c>
      <c r="AG403">
        <v>0.439614</v>
      </c>
      <c r="AH403">
        <v>113.36728557972999</v>
      </c>
      <c r="AI403">
        <v>89.780476212381004</v>
      </c>
      <c r="AJ403">
        <v>81.132082329043499</v>
      </c>
      <c r="AK403">
        <v>114.73967679639701</v>
      </c>
    </row>
    <row r="404" spans="1:37" x14ac:dyDescent="0.2">
      <c r="A404" t="str">
        <f>"20200111160104099"</f>
        <v>20200111160104099</v>
      </c>
      <c r="B404" t="str">
        <f>"1578729664089433"</f>
        <v>1578729664089433</v>
      </c>
      <c r="C404" t="s">
        <v>37</v>
      </c>
      <c r="D404">
        <v>4.7063139999999999</v>
      </c>
      <c r="E404">
        <v>0.58149719999999905</v>
      </c>
      <c r="F404" t="s">
        <v>44</v>
      </c>
      <c r="G404">
        <v>-245.3451</v>
      </c>
      <c r="H404">
        <v>1.650631</v>
      </c>
      <c r="I404">
        <v>346.83330000000001</v>
      </c>
      <c r="J404">
        <v>-357.65460000000002</v>
      </c>
      <c r="K404">
        <v>1.1039209999999999</v>
      </c>
      <c r="L404">
        <v>368.2269</v>
      </c>
      <c r="M404">
        <v>0.99934859999999903</v>
      </c>
      <c r="N404">
        <v>0</v>
      </c>
      <c r="O404">
        <v>-3.3261020000000002E-2</v>
      </c>
      <c r="P404">
        <v>0.99882179999999998</v>
      </c>
      <c r="Q404">
        <v>-3.9187649999999997E-2</v>
      </c>
      <c r="R404">
        <v>2.8628859999999999E-2</v>
      </c>
      <c r="S404">
        <v>3.019806</v>
      </c>
      <c r="T404">
        <v>1.46488E-2</v>
      </c>
      <c r="U404">
        <v>-0.57351680000000005</v>
      </c>
      <c r="V404">
        <v>-6.1836000000000002E-2</v>
      </c>
      <c r="W404">
        <v>-2.5222910000000001E-2</v>
      </c>
      <c r="X404">
        <v>0.99776759999999998</v>
      </c>
      <c r="Y404">
        <v>0.15379860000000001</v>
      </c>
      <c r="Z404">
        <v>2.09940299999999E-4</v>
      </c>
      <c r="AA404">
        <v>0.98810219999999904</v>
      </c>
      <c r="AB404">
        <v>39</v>
      </c>
      <c r="AC404">
        <v>112.3095</v>
      </c>
      <c r="AD404">
        <v>0.54671000000000003</v>
      </c>
      <c r="AE404">
        <v>-21.3935999999999</v>
      </c>
      <c r="AF404">
        <v>17.645462279058801</v>
      </c>
      <c r="AG404">
        <v>0.54671000000000003</v>
      </c>
      <c r="AH404">
        <v>112.956406675422</v>
      </c>
      <c r="AI404">
        <v>89.726012949467801</v>
      </c>
      <c r="AJ404">
        <v>81.121309704660504</v>
      </c>
      <c r="AK404">
        <v>114.327647749305</v>
      </c>
    </row>
    <row r="405" spans="1:37" x14ac:dyDescent="0.2">
      <c r="A405" t="str">
        <f>"20200111160104209"</f>
        <v>20200111160104209</v>
      </c>
      <c r="B405" t="str">
        <f>"1578729664199726"</f>
        <v>1578729664199726</v>
      </c>
      <c r="C405" t="s">
        <v>37</v>
      </c>
      <c r="D405">
        <v>4.730283</v>
      </c>
      <c r="E405">
        <v>0.64777430000000003</v>
      </c>
      <c r="F405" t="s">
        <v>44</v>
      </c>
      <c r="G405">
        <v>-245.3451</v>
      </c>
      <c r="H405">
        <v>1.561218</v>
      </c>
      <c r="I405">
        <v>347.01710000000003</v>
      </c>
      <c r="J405">
        <v>-355.73919999999998</v>
      </c>
      <c r="K405">
        <v>1.1038920000000001</v>
      </c>
      <c r="L405">
        <v>368.1628</v>
      </c>
      <c r="M405">
        <v>0.99933249999999996</v>
      </c>
      <c r="N405">
        <v>0</v>
      </c>
      <c r="O405">
        <v>-3.3560819999999998E-2</v>
      </c>
      <c r="P405">
        <v>0.99883960000000005</v>
      </c>
      <c r="Q405">
        <v>-3.8333190000000003E-2</v>
      </c>
      <c r="R405">
        <v>2.915771E-2</v>
      </c>
      <c r="S405">
        <v>3.0203859999999998</v>
      </c>
      <c r="T405">
        <v>1.230037E-2</v>
      </c>
      <c r="U405">
        <v>-0.57040409999999997</v>
      </c>
      <c r="V405">
        <v>-6.2672480000000003E-2</v>
      </c>
      <c r="W405">
        <v>-2.3926739999999998E-2</v>
      </c>
      <c r="X405">
        <v>0.9977473</v>
      </c>
      <c r="Y405">
        <v>0.15248439999999999</v>
      </c>
      <c r="Z405">
        <v>1.724056E-4</v>
      </c>
      <c r="AA405">
        <v>0.98830589999999996</v>
      </c>
      <c r="AB405">
        <v>39</v>
      </c>
      <c r="AC405">
        <v>110.394099999999</v>
      </c>
      <c r="AD405">
        <v>0.45732599999999901</v>
      </c>
      <c r="AE405">
        <v>-21.145699999999898</v>
      </c>
      <c r="AF405">
        <v>17.428194838867199</v>
      </c>
      <c r="AG405">
        <v>0.45732599999999901</v>
      </c>
      <c r="AH405">
        <v>111.039802252185</v>
      </c>
      <c r="AI405">
        <v>89.766878184294001</v>
      </c>
      <c r="AJ405">
        <v>81.079943105594793</v>
      </c>
      <c r="AK405">
        <v>112.40012814323801</v>
      </c>
    </row>
    <row r="406" spans="1:37" x14ac:dyDescent="0.2">
      <c r="A406" t="str">
        <f>"20200111160104254"</f>
        <v>20200111160104254</v>
      </c>
      <c r="B406" t="str">
        <f>"1578729664249497"</f>
        <v>1578729664249497</v>
      </c>
      <c r="C406" t="s">
        <v>37</v>
      </c>
      <c r="D406">
        <v>3.7570610000000002</v>
      </c>
      <c r="E406">
        <v>0.64476809999999996</v>
      </c>
      <c r="F406" t="s">
        <v>42</v>
      </c>
      <c r="G406">
        <v>-354.89710000000002</v>
      </c>
      <c r="H406">
        <v>1.2099789999999999</v>
      </c>
      <c r="I406">
        <v>367.8553</v>
      </c>
      <c r="J406">
        <v>-354.98410000000001</v>
      </c>
      <c r="K406">
        <v>1.103861</v>
      </c>
      <c r="L406">
        <v>368.13709999999998</v>
      </c>
      <c r="M406">
        <v>0.99932069999999995</v>
      </c>
      <c r="N406">
        <v>0</v>
      </c>
      <c r="O406">
        <v>-3.3858300000000001E-2</v>
      </c>
      <c r="P406">
        <v>0.99884549999999905</v>
      </c>
      <c r="Q406">
        <v>-3.928864E-2</v>
      </c>
      <c r="R406">
        <v>2.7645360000000001E-2</v>
      </c>
      <c r="S406">
        <v>3.050751</v>
      </c>
      <c r="T406">
        <v>0.384266099999999</v>
      </c>
      <c r="U406">
        <v>-1.113281</v>
      </c>
      <c r="V406">
        <v>-6.1460870000000001E-2</v>
      </c>
      <c r="W406">
        <v>-2.4751840000000001E-2</v>
      </c>
      <c r="X406">
        <v>0.99780259999999998</v>
      </c>
      <c r="Y406">
        <v>0.30888880000000002</v>
      </c>
      <c r="Z406">
        <v>1.466775E-2</v>
      </c>
      <c r="AA406">
        <v>0.95098510000000003</v>
      </c>
      <c r="AB406">
        <v>39</v>
      </c>
      <c r="AC406">
        <v>8.6999999999989003E-2</v>
      </c>
      <c r="AD406">
        <v>0.106118</v>
      </c>
      <c r="AE406">
        <v>-0.28179999999997501</v>
      </c>
      <c r="AF406">
        <v>0.246746939586204</v>
      </c>
      <c r="AG406">
        <v>0.106118</v>
      </c>
      <c r="AH406">
        <v>8.5431824737181097E-2</v>
      </c>
      <c r="AI406">
        <v>67.883247750284596</v>
      </c>
      <c r="AJ406">
        <v>19.0975193364701</v>
      </c>
      <c r="AK406">
        <v>0.28185755054119499</v>
      </c>
    </row>
    <row r="407" spans="1:37" x14ac:dyDescent="0.2">
      <c r="A407" t="str">
        <f>"20200111160104277"</f>
        <v>20200111160104277</v>
      </c>
      <c r="B407" t="str">
        <f>"1578729664269993"</f>
        <v>1578729664269993</v>
      </c>
      <c r="C407" t="s">
        <v>37</v>
      </c>
      <c r="D407">
        <v>4.6460999999999997</v>
      </c>
      <c r="E407">
        <v>0.50415049999999995</v>
      </c>
      <c r="F407" t="s">
        <v>40</v>
      </c>
      <c r="G407">
        <v>-256.46280000000002</v>
      </c>
      <c r="H407">
        <v>13.352329999999901</v>
      </c>
      <c r="I407">
        <v>332.78769999999997</v>
      </c>
      <c r="J407">
        <v>-354.56880000000001</v>
      </c>
      <c r="K407">
        <v>1.1038600000000001</v>
      </c>
      <c r="L407">
        <v>368.12299999999999</v>
      </c>
      <c r="M407">
        <v>0.99931340000000002</v>
      </c>
      <c r="N407">
        <v>0</v>
      </c>
      <c r="O407">
        <v>-3.4049019999999999E-2</v>
      </c>
      <c r="P407">
        <v>0.99884949999999995</v>
      </c>
      <c r="Q407">
        <v>-3.9462379999999998E-2</v>
      </c>
      <c r="R407">
        <v>2.7253159999999998E-2</v>
      </c>
      <c r="S407">
        <v>3.0486149999999999</v>
      </c>
      <c r="T407">
        <v>0.3790134</v>
      </c>
      <c r="U407">
        <v>-1.093842</v>
      </c>
      <c r="V407">
        <v>-6.1260389999999998E-2</v>
      </c>
      <c r="W407">
        <v>-2.486731E-2</v>
      </c>
      <c r="X407">
        <v>0.99781200000000003</v>
      </c>
      <c r="Y407">
        <v>0.3036373</v>
      </c>
      <c r="Z407">
        <v>1.415481E-2</v>
      </c>
      <c r="AA407">
        <v>0.95268259999999905</v>
      </c>
      <c r="AB407">
        <v>39</v>
      </c>
      <c r="AC407">
        <v>98.105999999999995</v>
      </c>
      <c r="AD407">
        <v>12.2484699999999</v>
      </c>
      <c r="AE407">
        <v>-35.335299999999997</v>
      </c>
      <c r="AF407">
        <v>31.5388805315859</v>
      </c>
      <c r="AG407">
        <v>12.2484699999999</v>
      </c>
      <c r="AH407">
        <v>97.901569123068597</v>
      </c>
      <c r="AI407">
        <v>83.209008260340397</v>
      </c>
      <c r="AJ407">
        <v>72.143713112461796</v>
      </c>
      <c r="AK407">
        <v>103.583025826076</v>
      </c>
    </row>
    <row r="408" spans="1:37" x14ac:dyDescent="0.2">
      <c r="A408" t="str">
        <f>"20200111160104299"</f>
        <v>20200111160104299</v>
      </c>
      <c r="B408" t="str">
        <f>"1578729664289513"</f>
        <v>1578729664289513</v>
      </c>
      <c r="C408" t="s">
        <v>37</v>
      </c>
      <c r="D408">
        <v>4.6221990000000002</v>
      </c>
      <c r="E408">
        <v>0.50425819999999999</v>
      </c>
      <c r="F408" t="s">
        <v>38</v>
      </c>
      <c r="G408">
        <v>-340.1121</v>
      </c>
      <c r="H408" s="1">
        <v>-4.8737749999999998E-6</v>
      </c>
      <c r="I408">
        <v>368.38049999999998</v>
      </c>
      <c r="J408">
        <v>-354.1961</v>
      </c>
      <c r="K408">
        <v>1.1038539999999999</v>
      </c>
      <c r="L408">
        <v>368.11009999999999</v>
      </c>
      <c r="M408">
        <v>0.99930680000000005</v>
      </c>
      <c r="N408">
        <v>0</v>
      </c>
      <c r="O408">
        <v>-3.4228460000000002E-2</v>
      </c>
      <c r="P408">
        <v>0.99884850000000003</v>
      </c>
      <c r="Q408">
        <v>-3.9501380000000003E-2</v>
      </c>
      <c r="R408">
        <v>2.723244E-2</v>
      </c>
      <c r="S408">
        <v>2.9929809999999999</v>
      </c>
      <c r="T408">
        <v>-0.228534499999999</v>
      </c>
      <c r="U408">
        <v>5.3314210000000001E-2</v>
      </c>
      <c r="V408">
        <v>-6.1419309999999998E-2</v>
      </c>
      <c r="W408">
        <v>-2.4861290000000001E-2</v>
      </c>
      <c r="X408">
        <v>0.99780239999999998</v>
      </c>
      <c r="Y408">
        <v>-5.1776229999999999E-2</v>
      </c>
      <c r="Z408">
        <v>4.583373E-3</v>
      </c>
      <c r="AA408">
        <v>0.99864819999999999</v>
      </c>
      <c r="AB408">
        <v>38</v>
      </c>
      <c r="AC408">
        <v>14.084</v>
      </c>
      <c r="AD408">
        <v>-1.1038588737749999</v>
      </c>
      <c r="AE408">
        <v>0.27039999999999498</v>
      </c>
      <c r="AF408">
        <v>-0.74777499018796201</v>
      </c>
      <c r="AG408">
        <v>-1.1038588737749999</v>
      </c>
      <c r="AH408">
        <v>13.980638782699501</v>
      </c>
      <c r="AI408">
        <v>94.508077303017302</v>
      </c>
      <c r="AJ408">
        <v>93.061631532670802</v>
      </c>
      <c r="AK408">
        <v>14.0440710843218</v>
      </c>
    </row>
    <row r="409" spans="1:37" x14ac:dyDescent="0.2">
      <c r="A409" t="str">
        <f>"20200111160104321"</f>
        <v>20200111160104321</v>
      </c>
      <c r="B409" t="str">
        <f>"1578729664310009"</f>
        <v>1578729664310009</v>
      </c>
      <c r="C409" t="s">
        <v>37</v>
      </c>
      <c r="D409">
        <v>4.6439729999999999</v>
      </c>
      <c r="E409">
        <v>0.50507849999999999</v>
      </c>
      <c r="F409" t="s">
        <v>38</v>
      </c>
      <c r="G409">
        <v>-338.6832</v>
      </c>
      <c r="H409" s="1">
        <v>-7.6696609999999903E-7</v>
      </c>
      <c r="I409">
        <v>368.37759999999997</v>
      </c>
      <c r="J409">
        <v>-353.82510000000002</v>
      </c>
      <c r="K409">
        <v>1.1038539999999999</v>
      </c>
      <c r="L409">
        <v>368.09719999999999</v>
      </c>
      <c r="M409">
        <v>0.99929990000000002</v>
      </c>
      <c r="N409">
        <v>0</v>
      </c>
      <c r="O409">
        <v>-3.441044E-2</v>
      </c>
      <c r="P409">
        <v>0.99885449999999998</v>
      </c>
      <c r="Q409">
        <v>-3.9245049999999997E-2</v>
      </c>
      <c r="R409">
        <v>2.7383270000000001E-2</v>
      </c>
      <c r="S409">
        <v>2.993652</v>
      </c>
      <c r="T409">
        <v>-0.213019299999999</v>
      </c>
      <c r="U409">
        <v>5.1635739999999999E-2</v>
      </c>
      <c r="V409">
        <v>-6.1752330000000001E-2</v>
      </c>
      <c r="W409">
        <v>-2.4566009999999999E-2</v>
      </c>
      <c r="X409">
        <v>0.99778909999999998</v>
      </c>
      <c r="Y409">
        <v>-5.1427670000000002E-2</v>
      </c>
      <c r="Z409">
        <v>4.2726259999999999E-3</v>
      </c>
      <c r="AA409">
        <v>0.99866759999999999</v>
      </c>
      <c r="AB409">
        <v>38</v>
      </c>
      <c r="AC409">
        <v>15.1419</v>
      </c>
      <c r="AD409">
        <v>-1.1038547669661001</v>
      </c>
      <c r="AE409">
        <v>0.28039999999998599</v>
      </c>
      <c r="AF409">
        <v>-0.79709481876698496</v>
      </c>
      <c r="AG409">
        <v>-1.1038547669661001</v>
      </c>
      <c r="AH409">
        <v>15.0433604198354</v>
      </c>
      <c r="AI409">
        <v>94.190881938909499</v>
      </c>
      <c r="AJ409">
        <v>93.033065676129496</v>
      </c>
      <c r="AK409">
        <v>15.104851810518699</v>
      </c>
    </row>
    <row r="410" spans="1:37" x14ac:dyDescent="0.2">
      <c r="A410" t="str">
        <f>"20200111160104344"</f>
        <v>20200111160104344</v>
      </c>
      <c r="B410" t="str">
        <f>"1578729664339290"</f>
        <v>1578729664339290</v>
      </c>
      <c r="C410" t="s">
        <v>37</v>
      </c>
      <c r="D410">
        <v>4.6638190000000002</v>
      </c>
      <c r="E410">
        <v>0.50546590000000002</v>
      </c>
      <c r="F410" t="s">
        <v>38</v>
      </c>
      <c r="G410">
        <v>-337.77870000000001</v>
      </c>
      <c r="H410" s="1">
        <v>-1.1619499999999999E-6</v>
      </c>
      <c r="I410">
        <v>368.33839999999998</v>
      </c>
      <c r="J410">
        <v>-353.44529999999997</v>
      </c>
      <c r="K410">
        <v>1.1038559999999999</v>
      </c>
      <c r="L410">
        <v>368.084</v>
      </c>
      <c r="M410">
        <v>0.99929299999999999</v>
      </c>
      <c r="N410">
        <v>0</v>
      </c>
      <c r="O410">
        <v>-3.4597839999999998E-2</v>
      </c>
      <c r="P410">
        <v>0.99885809999999997</v>
      </c>
      <c r="Q410">
        <v>-3.8880659999999997E-2</v>
      </c>
      <c r="R410">
        <v>2.7769039999999998E-2</v>
      </c>
      <c r="S410">
        <v>2.99411</v>
      </c>
      <c r="T410">
        <v>-0.2059686</v>
      </c>
      <c r="U410">
        <v>4.501343E-2</v>
      </c>
      <c r="V410">
        <v>-6.23253E-2</v>
      </c>
      <c r="W410">
        <v>-2.4167330000000001E-2</v>
      </c>
      <c r="X410">
        <v>0.99776330000000002</v>
      </c>
      <c r="Y410">
        <v>-4.9422439999999998E-2</v>
      </c>
      <c r="Z410">
        <v>4.0749549999999999E-3</v>
      </c>
      <c r="AA410">
        <v>0.99876960000000004</v>
      </c>
      <c r="AB410">
        <v>38</v>
      </c>
      <c r="AC410">
        <v>15.666599999999899</v>
      </c>
      <c r="AD410">
        <v>-1.1038571619499999</v>
      </c>
      <c r="AE410">
        <v>0.25439999999997498</v>
      </c>
      <c r="AF410">
        <v>-0.79240400404774103</v>
      </c>
      <c r="AG410">
        <v>-1.1038571619499999</v>
      </c>
      <c r="AH410">
        <v>15.5711333309326</v>
      </c>
      <c r="AI410">
        <v>94.049762828525104</v>
      </c>
      <c r="AJ410">
        <v>92.913228768142105</v>
      </c>
      <c r="AK410">
        <v>15.630310232023501</v>
      </c>
    </row>
    <row r="411" spans="1:37" x14ac:dyDescent="0.2">
      <c r="A411" t="str">
        <f>"20200111160104366"</f>
        <v>20200111160104366</v>
      </c>
      <c r="B411" t="str">
        <f>"1578729664359786"</f>
        <v>1578729664359786</v>
      </c>
      <c r="C411" t="s">
        <v>37</v>
      </c>
      <c r="D411">
        <v>4.7065760000000001</v>
      </c>
      <c r="E411">
        <v>0.50547189999999997</v>
      </c>
      <c r="F411" t="s">
        <v>38</v>
      </c>
      <c r="G411">
        <v>-337.49869999999999</v>
      </c>
      <c r="H411" s="1">
        <v>-1.2863929999999899E-6</v>
      </c>
      <c r="I411">
        <v>368.31400000000002</v>
      </c>
      <c r="J411">
        <v>-353.05180000000001</v>
      </c>
      <c r="K411">
        <v>1.10386299999999</v>
      </c>
      <c r="L411">
        <v>368.0702</v>
      </c>
      <c r="M411">
        <v>0.9992858</v>
      </c>
      <c r="N411">
        <v>0</v>
      </c>
      <c r="O411">
        <v>-3.4791160000000002E-2</v>
      </c>
      <c r="P411">
        <v>0.99885959999999996</v>
      </c>
      <c r="Q411">
        <v>-3.8308200000000001E-2</v>
      </c>
      <c r="R411">
        <v>2.849898E-2</v>
      </c>
      <c r="S411">
        <v>2.9941409999999999</v>
      </c>
      <c r="T411">
        <v>-0.2072589</v>
      </c>
      <c r="U411">
        <v>4.3212889999999997E-2</v>
      </c>
      <c r="V411">
        <v>-6.3247739999999997E-2</v>
      </c>
      <c r="W411">
        <v>-2.356449E-2</v>
      </c>
      <c r="X411">
        <v>0.99771960000000004</v>
      </c>
      <c r="Y411">
        <v>-4.9013059999999997E-2</v>
      </c>
      <c r="Z411">
        <v>4.0996050000000001E-3</v>
      </c>
      <c r="AA411">
        <v>0.998789699999999</v>
      </c>
      <c r="AB411">
        <v>38</v>
      </c>
      <c r="AC411">
        <v>15.553100000000001</v>
      </c>
      <c r="AD411">
        <v>-1.1038642863929899</v>
      </c>
      <c r="AE411">
        <v>0.243800000000021</v>
      </c>
      <c r="AF411">
        <v>-0.78088900648139403</v>
      </c>
      <c r="AG411">
        <v>-1.1038642863929899</v>
      </c>
      <c r="AH411">
        <v>15.457355026000901</v>
      </c>
      <c r="AI411">
        <v>94.079574390690794</v>
      </c>
      <c r="AJ411">
        <v>92.892062697703395</v>
      </c>
      <c r="AK411">
        <v>15.516382581099601</v>
      </c>
    </row>
    <row r="412" spans="1:37" x14ac:dyDescent="0.2">
      <c r="A412" t="str">
        <f>"20200111160104389"</f>
        <v>20200111160104389</v>
      </c>
      <c r="B412" t="str">
        <f>"1578729664379305"</f>
        <v>1578729664379305</v>
      </c>
      <c r="C412" t="s">
        <v>37</v>
      </c>
      <c r="D412">
        <v>4.712669</v>
      </c>
      <c r="E412">
        <v>0.5051601</v>
      </c>
      <c r="F412" t="s">
        <v>38</v>
      </c>
      <c r="G412">
        <v>-336.80430000000001</v>
      </c>
      <c r="H412" s="1">
        <v>-1.583961E-6</v>
      </c>
      <c r="I412">
        <v>368.31580000000002</v>
      </c>
      <c r="J412">
        <v>-352.6705</v>
      </c>
      <c r="K412">
        <v>1.1038680000000001</v>
      </c>
      <c r="L412">
        <v>368.05669999999998</v>
      </c>
      <c r="M412">
        <v>0.99927900000000003</v>
      </c>
      <c r="N412">
        <v>0</v>
      </c>
      <c r="O412">
        <v>-3.4977620000000001E-2</v>
      </c>
      <c r="P412">
        <v>0.99888250000000001</v>
      </c>
      <c r="Q412">
        <v>-3.7483799999999998E-2</v>
      </c>
      <c r="R412">
        <v>2.8788919999999999E-2</v>
      </c>
      <c r="S412">
        <v>2.994354</v>
      </c>
      <c r="T412">
        <v>-0.20343789999999901</v>
      </c>
      <c r="U412">
        <v>4.5288090000000003E-2</v>
      </c>
      <c r="V412">
        <v>-6.3724260000000005E-2</v>
      </c>
      <c r="W412">
        <v>-2.271478E-2</v>
      </c>
      <c r="X412">
        <v>0.99770899999999996</v>
      </c>
      <c r="Y412">
        <v>-4.9895330000000002E-2</v>
      </c>
      <c r="Z412">
        <v>4.066488E-3</v>
      </c>
      <c r="AA412">
        <v>0.99874619999999903</v>
      </c>
      <c r="AB412">
        <v>38</v>
      </c>
      <c r="AC412">
        <v>15.8661999999999</v>
      </c>
      <c r="AD412">
        <v>-1.103869583961</v>
      </c>
      <c r="AE412">
        <v>0.25910000000004602</v>
      </c>
      <c r="AF412">
        <v>-0.81004388190111098</v>
      </c>
      <c r="AG412">
        <v>-1.103869583961</v>
      </c>
      <c r="AH412">
        <v>15.771106007609999</v>
      </c>
      <c r="AI412">
        <v>93.998529410666507</v>
      </c>
      <c r="AJ412">
        <v>92.9402723383714</v>
      </c>
      <c r="AK412">
        <v>15.8304290482687</v>
      </c>
    </row>
    <row r="413" spans="1:37" x14ac:dyDescent="0.2">
      <c r="A413" t="str">
        <f>"20200111160104410"</f>
        <v>20200111160104410</v>
      </c>
      <c r="B413" t="str">
        <f>"1578729664399801"</f>
        <v>1578729664399801</v>
      </c>
      <c r="C413" t="s">
        <v>37</v>
      </c>
      <c r="D413">
        <v>4.6487439999999998</v>
      </c>
      <c r="E413">
        <v>0.50502970000000003</v>
      </c>
      <c r="F413" t="s">
        <v>38</v>
      </c>
      <c r="G413">
        <v>-336.34309999999999</v>
      </c>
      <c r="H413" s="1">
        <v>-1.7807289999999999E-6</v>
      </c>
      <c r="I413">
        <v>368.32199999999898</v>
      </c>
      <c r="J413">
        <v>-352.3014</v>
      </c>
      <c r="K413">
        <v>1.1038760000000001</v>
      </c>
      <c r="L413">
        <v>368.04360000000003</v>
      </c>
      <c r="M413">
        <v>0.9992723</v>
      </c>
      <c r="N413">
        <v>0</v>
      </c>
      <c r="O413">
        <v>-3.5157109999999998E-2</v>
      </c>
      <c r="P413">
        <v>0.99890610000000002</v>
      </c>
      <c r="Q413">
        <v>-3.6810620000000002E-2</v>
      </c>
      <c r="R413">
        <v>2.8843299999999999E-2</v>
      </c>
      <c r="S413">
        <v>2.9943849999999999</v>
      </c>
      <c r="T413">
        <v>-0.20244409999999999</v>
      </c>
      <c r="U413">
        <v>4.8675540000000003E-2</v>
      </c>
      <c r="V413">
        <v>-6.3958849999999998E-2</v>
      </c>
      <c r="W413">
        <v>-2.2020970000000001E-2</v>
      </c>
      <c r="X413">
        <v>0.99770959999999997</v>
      </c>
      <c r="Y413">
        <v>-5.1202629999999999E-2</v>
      </c>
      <c r="Z413">
        <v>4.102858E-3</v>
      </c>
      <c r="AA413">
        <v>0.99867989999999995</v>
      </c>
      <c r="AB413">
        <v>38</v>
      </c>
      <c r="AC413">
        <v>15.958299999999999</v>
      </c>
      <c r="AD413">
        <v>-1.1038777807289999</v>
      </c>
      <c r="AE413">
        <v>0.27839999999991899</v>
      </c>
      <c r="AF413">
        <v>-0.83534119553226904</v>
      </c>
      <c r="AG413">
        <v>-1.1038777807289999</v>
      </c>
      <c r="AH413">
        <v>15.8627656397277</v>
      </c>
      <c r="AI413">
        <v>93.975261684584098</v>
      </c>
      <c r="AJ413">
        <v>93.0144400705029</v>
      </c>
      <c r="AK413">
        <v>15.9230548202494</v>
      </c>
    </row>
    <row r="414" spans="1:37" x14ac:dyDescent="0.2">
      <c r="A414" t="str">
        <f>"20200111160104432"</f>
        <v>20200111160104432</v>
      </c>
      <c r="B414" t="str">
        <f>"1578729664429081"</f>
        <v>1578729664429081</v>
      </c>
      <c r="C414" t="s">
        <v>37</v>
      </c>
      <c r="D414">
        <v>4.7130470000000004</v>
      </c>
      <c r="E414">
        <v>0.50360709999999997</v>
      </c>
      <c r="F414" t="s">
        <v>38</v>
      </c>
      <c r="G414">
        <v>-335.34350000000001</v>
      </c>
      <c r="H414" s="1">
        <v>-2.208749E-6</v>
      </c>
      <c r="I414">
        <v>368.32639999999998</v>
      </c>
      <c r="J414">
        <v>-351.9246</v>
      </c>
      <c r="K414">
        <v>1.1038859999999999</v>
      </c>
      <c r="L414">
        <v>368.03019999999998</v>
      </c>
      <c r="M414">
        <v>0.99926559999999898</v>
      </c>
      <c r="N414">
        <v>0</v>
      </c>
      <c r="O414">
        <v>-3.5340379999999998E-2</v>
      </c>
      <c r="P414">
        <v>0.99892029999999998</v>
      </c>
      <c r="Q414">
        <v>-3.6697069999999998E-2</v>
      </c>
      <c r="R414">
        <v>2.8488349999999999E-2</v>
      </c>
      <c r="S414">
        <v>2.994659</v>
      </c>
      <c r="T414">
        <v>-0.1949371</v>
      </c>
      <c r="U414">
        <v>4.995728E-2</v>
      </c>
      <c r="V414">
        <v>-6.3787269999999993E-2</v>
      </c>
      <c r="W414">
        <v>-2.1889849999999999E-2</v>
      </c>
      <c r="X414">
        <v>0.99772340000000004</v>
      </c>
      <c r="Y414">
        <v>-5.182428E-2</v>
      </c>
      <c r="Z414">
        <v>3.9827990000000004E-3</v>
      </c>
      <c r="AA414">
        <v>0.99864830000000004</v>
      </c>
      <c r="AB414">
        <v>38</v>
      </c>
      <c r="AC414">
        <v>16.5810999999999</v>
      </c>
      <c r="AD414">
        <v>-1.1038882087490001</v>
      </c>
      <c r="AE414">
        <v>0.29619999999999802</v>
      </c>
      <c r="AF414">
        <v>-0.87817055376015396</v>
      </c>
      <c r="AG414">
        <v>-1.1038882087490001</v>
      </c>
      <c r="AH414">
        <v>16.487219062691899</v>
      </c>
      <c r="AI414">
        <v>93.825068915425504</v>
      </c>
      <c r="AJ414">
        <v>93.048905034285696</v>
      </c>
      <c r="AK414">
        <v>16.547451317955201</v>
      </c>
    </row>
    <row r="415" spans="1:37" x14ac:dyDescent="0.2">
      <c r="A415" t="str">
        <f>"20200111160104455"</f>
        <v>20200111160104455</v>
      </c>
      <c r="B415" t="str">
        <f>"1578729664449579"</f>
        <v>1578729664449579</v>
      </c>
      <c r="C415" t="s">
        <v>37</v>
      </c>
      <c r="D415">
        <v>4.6524729999999996</v>
      </c>
      <c r="E415">
        <v>0.50271750000000004</v>
      </c>
      <c r="F415" t="s">
        <v>38</v>
      </c>
      <c r="G415">
        <v>-334.35250000000002</v>
      </c>
      <c r="H415" s="1">
        <v>-2.623902E-6</v>
      </c>
      <c r="I415">
        <v>368.3827</v>
      </c>
      <c r="J415">
        <v>-351.53840000000002</v>
      </c>
      <c r="K415">
        <v>1.1038889999999999</v>
      </c>
      <c r="L415">
        <v>368.01639999999998</v>
      </c>
      <c r="M415">
        <v>0.9992588</v>
      </c>
      <c r="N415">
        <v>0</v>
      </c>
      <c r="O415">
        <v>-3.5528270000000001E-2</v>
      </c>
      <c r="P415">
        <v>0.99894889999999903</v>
      </c>
      <c r="Q415">
        <v>-3.5975390000000003E-2</v>
      </c>
      <c r="R415">
        <v>2.8414559999999998E-2</v>
      </c>
      <c r="S415">
        <v>2.9946290000000002</v>
      </c>
      <c r="T415">
        <v>-0.18812329999999999</v>
      </c>
      <c r="U415">
        <v>6.0089110000000001E-2</v>
      </c>
      <c r="V415">
        <v>-6.3902009999999995E-2</v>
      </c>
      <c r="W415">
        <v>-2.1153040000000001E-2</v>
      </c>
      <c r="X415">
        <v>0.99773199999999995</v>
      </c>
      <c r="Y415">
        <v>-5.5394779999999998E-2</v>
      </c>
      <c r="Z415">
        <v>3.9676329999999999E-3</v>
      </c>
      <c r="AA415">
        <v>0.99845669999999898</v>
      </c>
      <c r="AB415">
        <v>38</v>
      </c>
      <c r="AC415">
        <v>17.1859</v>
      </c>
      <c r="AD415">
        <v>-1.10389162390199</v>
      </c>
      <c r="AE415">
        <v>0.366300000000023</v>
      </c>
      <c r="AF415">
        <v>-0.97270965559425804</v>
      </c>
      <c r="AG415">
        <v>-1.10389162390199</v>
      </c>
      <c r="AH415">
        <v>17.091547925447401</v>
      </c>
      <c r="AI415">
        <v>93.689475491346798</v>
      </c>
      <c r="AJ415">
        <v>93.257288556975993</v>
      </c>
      <c r="AK415">
        <v>17.1547588522624</v>
      </c>
    </row>
    <row r="416" spans="1:37" x14ac:dyDescent="0.2">
      <c r="A416" t="str">
        <f>"20200111160104478"</f>
        <v>20200111160104478</v>
      </c>
      <c r="B416" t="str">
        <f>"1578729664469097"</f>
        <v>1578729664469097</v>
      </c>
      <c r="C416" t="s">
        <v>37</v>
      </c>
      <c r="D416">
        <v>4.6800940000000004</v>
      </c>
      <c r="E416">
        <v>0.50284419999999996</v>
      </c>
      <c r="F416" t="s">
        <v>38</v>
      </c>
      <c r="G416">
        <v>-333.39780000000002</v>
      </c>
      <c r="H416" s="1">
        <v>-3.0270110000000001E-6</v>
      </c>
      <c r="I416">
        <v>368.41910000000001</v>
      </c>
      <c r="J416">
        <v>-351.1379</v>
      </c>
      <c r="K416">
        <v>1.1038969999999999</v>
      </c>
      <c r="L416">
        <v>368.00189999999998</v>
      </c>
      <c r="M416">
        <v>0.99925160000000002</v>
      </c>
      <c r="N416">
        <v>0</v>
      </c>
      <c r="O416">
        <v>-3.5724110000000003E-2</v>
      </c>
      <c r="P416">
        <v>0.99895719999999999</v>
      </c>
      <c r="Q416">
        <v>-3.563968E-2</v>
      </c>
      <c r="R416">
        <v>2.8538870000000001E-2</v>
      </c>
      <c r="S416">
        <v>2.994659</v>
      </c>
      <c r="T416">
        <v>-0.18223049999999999</v>
      </c>
      <c r="U416">
        <v>6.6497799999999996E-2</v>
      </c>
      <c r="V416">
        <v>-6.4221710000000001E-2</v>
      </c>
      <c r="W416">
        <v>-2.0804690000000001E-2</v>
      </c>
      <c r="X416">
        <v>0.99771880000000002</v>
      </c>
      <c r="Y416">
        <v>-5.7732249999999999E-2</v>
      </c>
      <c r="Z416">
        <v>3.9264269999999997E-3</v>
      </c>
      <c r="AA416">
        <v>0.9983244</v>
      </c>
      <c r="AB416">
        <v>38</v>
      </c>
      <c r="AC416">
        <v>17.740099999999899</v>
      </c>
      <c r="AD416">
        <v>-1.103900027011</v>
      </c>
      <c r="AE416">
        <v>0.41720000000003599</v>
      </c>
      <c r="AF416">
        <v>-1.0467019533616799</v>
      </c>
      <c r="AG416">
        <v>-1.103900027011</v>
      </c>
      <c r="AH416">
        <v>17.645580280929799</v>
      </c>
      <c r="AI416">
        <v>93.573469527286605</v>
      </c>
      <c r="AJ416">
        <v>93.394697829141705</v>
      </c>
      <c r="AK416">
        <v>17.711032824190202</v>
      </c>
    </row>
    <row r="417" spans="1:37" x14ac:dyDescent="0.2">
      <c r="A417" t="str">
        <f>"20200111160104500"</f>
        <v>20200111160104500</v>
      </c>
      <c r="B417" t="str">
        <f>"1578729664489608"</f>
        <v>1578729664489608</v>
      </c>
      <c r="C417" t="s">
        <v>37</v>
      </c>
      <c r="D417">
        <v>4.5925250000000002</v>
      </c>
      <c r="E417">
        <v>0.50279070000000003</v>
      </c>
      <c r="F417" t="s">
        <v>38</v>
      </c>
      <c r="G417">
        <v>-333.1653</v>
      </c>
      <c r="H417" s="1">
        <v>-3.13051699999999E-6</v>
      </c>
      <c r="I417">
        <v>368.39780000000002</v>
      </c>
      <c r="J417">
        <v>-350.77749999999997</v>
      </c>
      <c r="K417">
        <v>1.1039030000000001</v>
      </c>
      <c r="L417">
        <v>367.9889</v>
      </c>
      <c r="M417">
        <v>0.99924519999999994</v>
      </c>
      <c r="N417">
        <v>0</v>
      </c>
      <c r="O417">
        <v>-3.5900019999999998E-2</v>
      </c>
      <c r="P417">
        <v>0.99897119999999995</v>
      </c>
      <c r="Q417">
        <v>-3.5203440000000003E-2</v>
      </c>
      <c r="R417">
        <v>2.8594870000000001E-2</v>
      </c>
      <c r="S417">
        <v>2.9946899999999999</v>
      </c>
      <c r="T417">
        <v>-0.1839375</v>
      </c>
      <c r="U417">
        <v>6.5978999999999996E-2</v>
      </c>
      <c r="V417">
        <v>-6.4453969999999999E-2</v>
      </c>
      <c r="W417">
        <v>-2.0358950000000001E-2</v>
      </c>
      <c r="X417">
        <v>0.99771299999999996</v>
      </c>
      <c r="Y417">
        <v>-5.7731329999999997E-2</v>
      </c>
      <c r="Z417">
        <v>3.9738669999999999E-3</v>
      </c>
      <c r="AA417">
        <v>0.99832430000000005</v>
      </c>
      <c r="AB417">
        <v>38</v>
      </c>
      <c r="AC417">
        <v>17.612199999999898</v>
      </c>
      <c r="AD417">
        <v>-1.1039061305169999</v>
      </c>
      <c r="AE417">
        <v>0.40890000000001597</v>
      </c>
      <c r="AF417">
        <v>-1.03691290848019</v>
      </c>
      <c r="AG417">
        <v>-1.1039061305169999</v>
      </c>
      <c r="AH417">
        <v>17.517381708297901</v>
      </c>
      <c r="AI417">
        <v>93.599599254988505</v>
      </c>
      <c r="AJ417">
        <v>93.387577607587502</v>
      </c>
      <c r="AK417">
        <v>17.582731842321198</v>
      </c>
    </row>
    <row r="418" spans="1:37" x14ac:dyDescent="0.2">
      <c r="A418" t="str">
        <f>"20200111160104522"</f>
        <v>20200111160104522</v>
      </c>
      <c r="B418" t="str">
        <f>"1578729664519850"</f>
        <v>1578729664519850</v>
      </c>
      <c r="C418" t="s">
        <v>37</v>
      </c>
      <c r="D418">
        <v>4.6017429999999999</v>
      </c>
      <c r="E418">
        <v>0.50260660000000001</v>
      </c>
      <c r="F418" t="s">
        <v>38</v>
      </c>
      <c r="G418">
        <v>-332.75369999999998</v>
      </c>
      <c r="H418" s="1">
        <v>-3.308457E-6</v>
      </c>
      <c r="I418">
        <v>368.39030000000002</v>
      </c>
      <c r="J418">
        <v>-350.39949999999999</v>
      </c>
      <c r="K418">
        <v>1.1039099999999999</v>
      </c>
      <c r="L418">
        <v>367.9751</v>
      </c>
      <c r="M418">
        <v>0.99923850000000003</v>
      </c>
      <c r="N418">
        <v>0</v>
      </c>
      <c r="O418">
        <v>-3.6082320000000001E-2</v>
      </c>
      <c r="P418">
        <v>0.99898960000000003</v>
      </c>
      <c r="Q418">
        <v>-3.4990979999999998E-2</v>
      </c>
      <c r="R418">
        <v>2.8212899999999999E-2</v>
      </c>
      <c r="S418">
        <v>2.9947509999999999</v>
      </c>
      <c r="T418">
        <v>-0.183419</v>
      </c>
      <c r="U418">
        <v>6.6711430000000002E-2</v>
      </c>
      <c r="V418">
        <v>-6.4254459999999999E-2</v>
      </c>
      <c r="W418">
        <v>-2.0138659999999999E-2</v>
      </c>
      <c r="X418">
        <v>0.99773029999999996</v>
      </c>
      <c r="Y418">
        <v>-5.8156920000000001E-2</v>
      </c>
      <c r="Z418">
        <v>3.9867669999999996E-3</v>
      </c>
      <c r="AA418">
        <v>0.99829950000000001</v>
      </c>
      <c r="AB418">
        <v>38</v>
      </c>
      <c r="AC418">
        <v>17.645800000000001</v>
      </c>
      <c r="AD418">
        <v>-1.1039133084569901</v>
      </c>
      <c r="AE418">
        <v>0.41520000000002699</v>
      </c>
      <c r="AF418">
        <v>-1.0476034426231899</v>
      </c>
      <c r="AG418">
        <v>-1.1039133084569901</v>
      </c>
      <c r="AH418">
        <v>17.550673843779801</v>
      </c>
      <c r="AI418">
        <v>93.592706869010598</v>
      </c>
      <c r="AJ418">
        <v>93.415944160134103</v>
      </c>
      <c r="AK418">
        <v>17.616533425629498</v>
      </c>
    </row>
    <row r="419" spans="1:37" x14ac:dyDescent="0.2">
      <c r="A419" t="str">
        <f>"20200111160104545"</f>
        <v>20200111160104545</v>
      </c>
      <c r="B419" t="str">
        <f>"1578729664539370"</f>
        <v>1578729664539370</v>
      </c>
      <c r="C419" t="s">
        <v>37</v>
      </c>
      <c r="D419">
        <v>4.494205</v>
      </c>
      <c r="E419">
        <v>0.50250010000000001</v>
      </c>
      <c r="F419" t="s">
        <v>38</v>
      </c>
      <c r="G419">
        <v>-332.55770000000001</v>
      </c>
      <c r="H419" s="1">
        <v>-3.3950959999999998E-6</v>
      </c>
      <c r="I419">
        <v>368.3759</v>
      </c>
      <c r="J419">
        <v>-350.02339999999998</v>
      </c>
      <c r="K419">
        <v>1.1039099999999999</v>
      </c>
      <c r="L419">
        <v>367.96140000000003</v>
      </c>
      <c r="M419">
        <v>0.99923220000000001</v>
      </c>
      <c r="N419">
        <v>0</v>
      </c>
      <c r="O419">
        <v>-3.6256570000000002E-2</v>
      </c>
      <c r="P419">
        <v>0.99903059999999999</v>
      </c>
      <c r="Q419">
        <v>-3.4215799999999998E-2</v>
      </c>
      <c r="R419">
        <v>2.770272E-2</v>
      </c>
      <c r="S419">
        <v>2.994659</v>
      </c>
      <c r="T419">
        <v>-0.18528529999999899</v>
      </c>
      <c r="U419">
        <v>6.7291260000000006E-2</v>
      </c>
      <c r="V419">
        <v>-6.3919550000000006E-2</v>
      </c>
      <c r="W419">
        <v>-1.935769E-2</v>
      </c>
      <c r="X419">
        <v>0.99776730000000002</v>
      </c>
      <c r="Y419">
        <v>-5.8520219999999998E-2</v>
      </c>
      <c r="Z419">
        <v>4.0493669999999999E-3</v>
      </c>
      <c r="AA419">
        <v>0.998278</v>
      </c>
      <c r="AB419">
        <v>38</v>
      </c>
      <c r="AC419">
        <v>17.465699999999899</v>
      </c>
      <c r="AD419">
        <v>-1.1039133950959901</v>
      </c>
      <c r="AE419">
        <v>0.414499999999975</v>
      </c>
      <c r="AF419">
        <v>-1.04337783665579</v>
      </c>
      <c r="AG419">
        <v>-1.1039133950959901</v>
      </c>
      <c r="AH419">
        <v>17.369833589047499</v>
      </c>
      <c r="AI419">
        <v>93.629930241959997</v>
      </c>
      <c r="AJ419">
        <v>93.437534415041299</v>
      </c>
      <c r="AK419">
        <v>17.4361228776669</v>
      </c>
    </row>
    <row r="420" spans="1:37" x14ac:dyDescent="0.2">
      <c r="A420" t="str">
        <f>"20200111160104567"</f>
        <v>20200111160104567</v>
      </c>
      <c r="B420" t="str">
        <f>"1578729664559885"</f>
        <v>1578729664559885</v>
      </c>
      <c r="C420" t="s">
        <v>37</v>
      </c>
      <c r="D420">
        <v>4.4507149999999998</v>
      </c>
      <c r="E420">
        <v>0.50241880000000005</v>
      </c>
      <c r="F420" t="s">
        <v>38</v>
      </c>
      <c r="G420">
        <v>-332.00529999999998</v>
      </c>
      <c r="H420" s="1">
        <v>-3.634613E-6</v>
      </c>
      <c r="I420">
        <v>368.36149999999998</v>
      </c>
      <c r="J420">
        <v>-349.62970000000001</v>
      </c>
      <c r="K420">
        <v>1.1039289999999999</v>
      </c>
      <c r="L420">
        <v>367.94690000000003</v>
      </c>
      <c r="M420">
        <v>0.9992259</v>
      </c>
      <c r="N420">
        <v>0</v>
      </c>
      <c r="O420">
        <v>-3.6423919999999999E-2</v>
      </c>
      <c r="P420">
        <v>0.99907979999999996</v>
      </c>
      <c r="Q420">
        <v>-3.315063E-2</v>
      </c>
      <c r="R420">
        <v>2.7216310000000001E-2</v>
      </c>
      <c r="S420">
        <v>2.9947810000000001</v>
      </c>
      <c r="T420">
        <v>-0.18348010000000001</v>
      </c>
      <c r="U420">
        <v>6.6528320000000002E-2</v>
      </c>
      <c r="V420">
        <v>-6.3601110000000002E-2</v>
      </c>
      <c r="W420">
        <v>-1.8288579999999999E-2</v>
      </c>
      <c r="X420">
        <v>0.99780780000000002</v>
      </c>
      <c r="Y420">
        <v>-5.8435689999999998E-2</v>
      </c>
      <c r="Z420">
        <v>4.017489E-3</v>
      </c>
      <c r="AA420">
        <v>0.99828309999999998</v>
      </c>
      <c r="AB420">
        <v>38</v>
      </c>
      <c r="AC420">
        <v>17.624400000000001</v>
      </c>
      <c r="AD420">
        <v>-1.1039326346130001</v>
      </c>
      <c r="AE420">
        <v>0.41459999999995001</v>
      </c>
      <c r="AF420">
        <v>-1.05221953630635</v>
      </c>
      <c r="AG420">
        <v>-1.1039326346130001</v>
      </c>
      <c r="AH420">
        <v>17.528865601639701</v>
      </c>
      <c r="AI420">
        <v>93.597155510774996</v>
      </c>
      <c r="AJ420">
        <v>93.435218438618406</v>
      </c>
      <c r="AK420">
        <v>17.5950834750704</v>
      </c>
    </row>
    <row r="421" spans="1:37" x14ac:dyDescent="0.2">
      <c r="A421" t="str">
        <f>"20200111160104590"</f>
        <v>20200111160104590</v>
      </c>
      <c r="B421" t="str">
        <f>"1578729664579385"</f>
        <v>1578729664579385</v>
      </c>
      <c r="C421" t="s">
        <v>37</v>
      </c>
      <c r="D421">
        <v>4.4489539999999996</v>
      </c>
      <c r="E421">
        <v>0.50247749999999902</v>
      </c>
      <c r="F421" t="s">
        <v>38</v>
      </c>
      <c r="G421">
        <v>-331.24699999999899</v>
      </c>
      <c r="H421" s="1">
        <v>-3.9620200000000001E-6</v>
      </c>
      <c r="I421">
        <v>368.34969999999998</v>
      </c>
      <c r="J421">
        <v>-349.26179999999999</v>
      </c>
      <c r="K421">
        <v>1.1039559999999999</v>
      </c>
      <c r="L421">
        <v>367.93329999999997</v>
      </c>
      <c r="M421">
        <v>0.99922080000000002</v>
      </c>
      <c r="N421">
        <v>0</v>
      </c>
      <c r="O421">
        <v>-3.6561719999999999E-2</v>
      </c>
      <c r="P421">
        <v>0.99910159999999903</v>
      </c>
      <c r="Q421">
        <v>-3.2551419999999998E-2</v>
      </c>
      <c r="R421">
        <v>2.7141149999999999E-2</v>
      </c>
      <c r="S421">
        <v>2.9949949999999999</v>
      </c>
      <c r="T421">
        <v>-0.17985709999999999</v>
      </c>
      <c r="U421">
        <v>6.5643309999999996E-2</v>
      </c>
      <c r="V421">
        <v>-6.3663650000000002E-2</v>
      </c>
      <c r="W421">
        <v>-1.7688010000000001E-2</v>
      </c>
      <c r="X421">
        <v>0.99781469999999906</v>
      </c>
      <c r="Y421">
        <v>-5.8283920000000003E-2</v>
      </c>
      <c r="Z421">
        <v>3.941745E-3</v>
      </c>
      <c r="AA421">
        <v>0.99829230000000002</v>
      </c>
      <c r="AB421">
        <v>38</v>
      </c>
      <c r="AC421">
        <v>18.014800000000001</v>
      </c>
      <c r="AD421">
        <v>-1.10395996202</v>
      </c>
      <c r="AE421">
        <v>0.41640000000000998</v>
      </c>
      <c r="AF421">
        <v>-1.07082725053596</v>
      </c>
      <c r="AG421">
        <v>-1.10395996202</v>
      </c>
      <c r="AH421">
        <v>17.9202660772646</v>
      </c>
      <c r="AI421">
        <v>93.518932859713701</v>
      </c>
      <c r="AJ421">
        <v>93.419648624245994</v>
      </c>
      <c r="AK421">
        <v>17.986142857160701</v>
      </c>
    </row>
    <row r="422" spans="1:37" x14ac:dyDescent="0.2">
      <c r="A422" t="str">
        <f>"20200111160104611"</f>
        <v>20200111160104611</v>
      </c>
      <c r="B422" t="str">
        <f>"1578729664599881"</f>
        <v>1578729664599881</v>
      </c>
      <c r="C422" t="s">
        <v>37</v>
      </c>
      <c r="D422">
        <v>4.4454409999999998</v>
      </c>
      <c r="E422">
        <v>0.50221789999999999</v>
      </c>
      <c r="F422" t="s">
        <v>38</v>
      </c>
      <c r="G422">
        <v>-330.59160000000003</v>
      </c>
      <c r="H422" s="1">
        <v>-4.2451619999999998E-6</v>
      </c>
      <c r="I422">
        <v>368.33839999999998</v>
      </c>
      <c r="J422">
        <v>-348.8997</v>
      </c>
      <c r="K422">
        <v>1.103979</v>
      </c>
      <c r="L422">
        <v>367.91989999999998</v>
      </c>
      <c r="M422">
        <v>0.99921669999999996</v>
      </c>
      <c r="N422">
        <v>0</v>
      </c>
      <c r="O422">
        <v>-3.6672959999999998E-2</v>
      </c>
      <c r="P422">
        <v>0.99913479999999999</v>
      </c>
      <c r="Q422">
        <v>-3.1804390000000002E-2</v>
      </c>
      <c r="R422">
        <v>2.6800109999999999E-2</v>
      </c>
      <c r="S422">
        <v>2.9951479999999999</v>
      </c>
      <c r="T422">
        <v>-0.17710109999999901</v>
      </c>
      <c r="U422">
        <v>6.5002439999999995E-2</v>
      </c>
      <c r="V422">
        <v>-6.3433719999999999E-2</v>
      </c>
      <c r="W422">
        <v>-1.694124E-2</v>
      </c>
      <c r="X422">
        <v>0.99784229999999996</v>
      </c>
      <c r="Y422">
        <v>-5.8185630000000002E-2</v>
      </c>
      <c r="Z422">
        <v>3.8849269999999998E-3</v>
      </c>
      <c r="AA422">
        <v>0.99829820000000002</v>
      </c>
      <c r="AB422">
        <v>38</v>
      </c>
      <c r="AC422">
        <v>18.3080999999999</v>
      </c>
      <c r="AD422">
        <v>-1.103983245162</v>
      </c>
      <c r="AE422">
        <v>0.41849999999999399</v>
      </c>
      <c r="AF422">
        <v>-1.08575898080567</v>
      </c>
      <c r="AG422">
        <v>-1.103983245162</v>
      </c>
      <c r="AH422">
        <v>18.2142378685019</v>
      </c>
      <c r="AI422">
        <v>93.462380285705194</v>
      </c>
      <c r="AJ422">
        <v>93.411390540861106</v>
      </c>
      <c r="AK422">
        <v>18.2799374369927</v>
      </c>
    </row>
    <row r="423" spans="1:37" x14ac:dyDescent="0.2">
      <c r="A423" t="str">
        <f>"20200111160104626"</f>
        <v>20200111160104626</v>
      </c>
      <c r="B423" t="str">
        <f>"1578729664619401"</f>
        <v>1578729664619401</v>
      </c>
      <c r="C423" t="s">
        <v>37</v>
      </c>
      <c r="D423">
        <v>4.4886019999999904</v>
      </c>
      <c r="E423">
        <v>0.50206059999999997</v>
      </c>
      <c r="F423" t="s">
        <v>38</v>
      </c>
      <c r="G423">
        <v>-329.9502</v>
      </c>
      <c r="H423" s="1">
        <v>-3.4358249999999902E-7</v>
      </c>
      <c r="I423">
        <v>368.3365</v>
      </c>
      <c r="J423">
        <v>-348.64960000000002</v>
      </c>
      <c r="K423">
        <v>1.1039950000000001</v>
      </c>
      <c r="L423">
        <v>367.91070000000002</v>
      </c>
      <c r="M423">
        <v>0.99921439999999995</v>
      </c>
      <c r="N423">
        <v>0</v>
      </c>
      <c r="O423">
        <v>-3.6738750000000001E-2</v>
      </c>
      <c r="P423">
        <v>0.99914950000000002</v>
      </c>
      <c r="Q423">
        <v>-3.1527810000000003E-2</v>
      </c>
      <c r="R423">
        <v>2.657607E-2</v>
      </c>
      <c r="S423">
        <v>2.9952700000000001</v>
      </c>
      <c r="T423">
        <v>-0.17450099999999999</v>
      </c>
      <c r="U423">
        <v>6.5856929999999994E-2</v>
      </c>
      <c r="V423">
        <v>-6.3275559999999995E-2</v>
      </c>
      <c r="W423">
        <v>-1.6665579999999999E-2</v>
      </c>
      <c r="X423">
        <v>0.99785689999999905</v>
      </c>
      <c r="Y423">
        <v>-5.8539279999999999E-2</v>
      </c>
      <c r="Z423">
        <v>3.8419439999999999E-3</v>
      </c>
      <c r="AA423">
        <v>0.99827770000000005</v>
      </c>
      <c r="AB423">
        <v>38</v>
      </c>
      <c r="AC423">
        <v>18.699400000000001</v>
      </c>
      <c r="AD423">
        <v>-1.1039953435825001</v>
      </c>
      <c r="AE423">
        <v>0.42579999999998103</v>
      </c>
      <c r="AF423">
        <v>-1.10871837500834</v>
      </c>
      <c r="AG423">
        <v>-1.1039953435825001</v>
      </c>
      <c r="AH423">
        <v>18.606307464501899</v>
      </c>
      <c r="AI423">
        <v>93.389634918418693</v>
      </c>
      <c r="AJ423">
        <v>93.4101261690424</v>
      </c>
      <c r="AK423">
        <v>18.671977389053101</v>
      </c>
    </row>
    <row r="424" spans="1:37" x14ac:dyDescent="0.2">
      <c r="A424" t="str">
        <f>"20200111160104646"</f>
        <v>20200111160104646</v>
      </c>
      <c r="B424" t="str">
        <f>"1578729664639898"</f>
        <v>1578729664639898</v>
      </c>
      <c r="C424" t="s">
        <v>37</v>
      </c>
      <c r="D424">
        <v>4.3154190000000003</v>
      </c>
      <c r="E424">
        <v>0.50201090000000004</v>
      </c>
      <c r="F424" t="s">
        <v>38</v>
      </c>
      <c r="G424">
        <v>-329.5951</v>
      </c>
      <c r="H424" s="1">
        <v>-4.65234E-7</v>
      </c>
      <c r="I424">
        <v>368.33339999999998</v>
      </c>
      <c r="J424">
        <v>-348.31139999999999</v>
      </c>
      <c r="K424">
        <v>1.104028</v>
      </c>
      <c r="L424">
        <v>367.8981</v>
      </c>
      <c r="M424">
        <v>0.99921170000000004</v>
      </c>
      <c r="N424">
        <v>0</v>
      </c>
      <c r="O424">
        <v>-3.6808250000000001E-2</v>
      </c>
      <c r="P424">
        <v>0.99919530000000001</v>
      </c>
      <c r="Q424">
        <v>-3.1044490000000001E-2</v>
      </c>
      <c r="R424">
        <v>2.5394090000000001E-2</v>
      </c>
      <c r="S424">
        <v>2.9952999999999999</v>
      </c>
      <c r="T424">
        <v>-0.173543</v>
      </c>
      <c r="U424">
        <v>6.6467289999999998E-2</v>
      </c>
      <c r="V424">
        <v>-6.2164499999999998E-2</v>
      </c>
      <c r="W424">
        <v>-1.61835E-2</v>
      </c>
      <c r="X424">
        <v>0.99793469999999995</v>
      </c>
      <c r="Y424">
        <v>-5.8812999999999997E-2</v>
      </c>
      <c r="Z424">
        <v>3.832785E-3</v>
      </c>
      <c r="AA424">
        <v>0.99826159999999997</v>
      </c>
      <c r="AB424">
        <v>38</v>
      </c>
      <c r="AC424">
        <v>18.716299999999901</v>
      </c>
      <c r="AD424">
        <v>-1.104028465234</v>
      </c>
      <c r="AE424">
        <v>0.43529999999998298</v>
      </c>
      <c r="AF424">
        <v>-1.12010007027078</v>
      </c>
      <c r="AG424">
        <v>-1.104028465234</v>
      </c>
      <c r="AH424">
        <v>18.622825985758599</v>
      </c>
      <c r="AI424">
        <v>93.386624135395493</v>
      </c>
      <c r="AJ424">
        <v>93.442000961407302</v>
      </c>
      <c r="AK424">
        <v>18.6891185109227</v>
      </c>
    </row>
    <row r="425" spans="1:37" x14ac:dyDescent="0.2">
      <c r="A425" t="str">
        <f>"20200111160104669"</f>
        <v>20200111160104669</v>
      </c>
      <c r="B425" t="str">
        <f>"1578729664659924"</f>
        <v>1578729664659924</v>
      </c>
      <c r="C425" t="s">
        <v>37</v>
      </c>
      <c r="D425">
        <v>4.2555769999999997</v>
      </c>
      <c r="E425">
        <v>0.50187740000000003</v>
      </c>
      <c r="F425" t="s">
        <v>38</v>
      </c>
      <c r="G425">
        <v>-329.04079999999999</v>
      </c>
      <c r="H425" s="1">
        <v>-6.6099459999999905E-7</v>
      </c>
      <c r="I425">
        <v>368.3066</v>
      </c>
      <c r="J425">
        <v>-347.92419999999998</v>
      </c>
      <c r="K425">
        <v>1.1040540000000001</v>
      </c>
      <c r="L425">
        <v>367.88380000000001</v>
      </c>
      <c r="M425">
        <v>0.99920959999999903</v>
      </c>
      <c r="N425">
        <v>0</v>
      </c>
      <c r="O425">
        <v>-3.686325E-2</v>
      </c>
      <c r="P425">
        <v>0.99925119999999901</v>
      </c>
      <c r="Q425">
        <v>-3.0331819999999999E-2</v>
      </c>
      <c r="R425">
        <v>2.4023739999999998E-2</v>
      </c>
      <c r="S425">
        <v>2.9954830000000001</v>
      </c>
      <c r="T425">
        <v>-0.17161289999999901</v>
      </c>
      <c r="U425">
        <v>6.3507079999999994E-2</v>
      </c>
      <c r="V425">
        <v>-6.0850840000000003E-2</v>
      </c>
      <c r="W425">
        <v>-1.547281E-2</v>
      </c>
      <c r="X425">
        <v>0.998027</v>
      </c>
      <c r="Y425">
        <v>-5.7885510000000001E-2</v>
      </c>
      <c r="Z425">
        <v>3.7666309999999999E-3</v>
      </c>
      <c r="AA425">
        <v>0.99831610000000004</v>
      </c>
      <c r="AB425">
        <v>38</v>
      </c>
      <c r="AC425">
        <v>18.883399999999899</v>
      </c>
      <c r="AD425">
        <v>-1.1040546609946</v>
      </c>
      <c r="AE425">
        <v>0.42279999999999501</v>
      </c>
      <c r="AF425">
        <v>-1.1148838998106301</v>
      </c>
      <c r="AG425">
        <v>-1.1040546609946</v>
      </c>
      <c r="AH425">
        <v>18.7907730905535</v>
      </c>
      <c r="AI425">
        <v>93.356666830894</v>
      </c>
      <c r="AJ425">
        <v>93.395461413274205</v>
      </c>
      <c r="AK425">
        <v>18.856167589019599</v>
      </c>
    </row>
    <row r="426" spans="1:37" x14ac:dyDescent="0.2">
      <c r="A426" t="str">
        <f>"20200111160104691"</f>
        <v>20200111160104691</v>
      </c>
      <c r="B426" t="str">
        <f>"1578729664679444"</f>
        <v>1578729664679444</v>
      </c>
      <c r="C426" t="s">
        <v>37</v>
      </c>
      <c r="D426">
        <v>4.2352809999999996</v>
      </c>
      <c r="E426">
        <v>0.50166369999999905</v>
      </c>
      <c r="F426" t="s">
        <v>38</v>
      </c>
      <c r="G426">
        <v>-328.44619999999998</v>
      </c>
      <c r="H426" s="1">
        <v>-8.862829E-7</v>
      </c>
      <c r="I426">
        <v>368.27820000000003</v>
      </c>
      <c r="J426">
        <v>-347.56299999999999</v>
      </c>
      <c r="K426">
        <v>1.1040779999999999</v>
      </c>
      <c r="L426">
        <v>367.87040000000002</v>
      </c>
      <c r="M426">
        <v>0.99920880000000001</v>
      </c>
      <c r="N426">
        <v>0</v>
      </c>
      <c r="O426">
        <v>-3.6887059999999999E-2</v>
      </c>
      <c r="P426">
        <v>0.999304999999999</v>
      </c>
      <c r="Q426">
        <v>-2.9569410000000001E-2</v>
      </c>
      <c r="R426">
        <v>2.2700419999999999E-2</v>
      </c>
      <c r="S426">
        <v>2.9956360000000002</v>
      </c>
      <c r="T426">
        <v>-0.16979820000000001</v>
      </c>
      <c r="U426">
        <v>6.0668949999999999E-2</v>
      </c>
      <c r="V426">
        <v>-5.9553699999999897E-2</v>
      </c>
      <c r="W426">
        <v>-1.4712650000000001E-2</v>
      </c>
      <c r="X426">
        <v>0.99811669999999997</v>
      </c>
      <c r="Y426">
        <v>-5.6967490000000003E-2</v>
      </c>
      <c r="Z426">
        <v>3.7020590000000002E-3</v>
      </c>
      <c r="AA426">
        <v>0.99836919999999996</v>
      </c>
      <c r="AB426">
        <v>38</v>
      </c>
      <c r="AC426">
        <v>19.116800000000001</v>
      </c>
      <c r="AD426">
        <v>-1.1040788862829001</v>
      </c>
      <c r="AE426">
        <v>0.40780000000000799</v>
      </c>
      <c r="AF426">
        <v>-1.1090652503945699</v>
      </c>
      <c r="AG426">
        <v>-1.1040788862829001</v>
      </c>
      <c r="AH426">
        <v>19.0253114436168</v>
      </c>
      <c r="AI426">
        <v>93.315653424751105</v>
      </c>
      <c r="AJ426">
        <v>93.336235787625199</v>
      </c>
      <c r="AK426">
        <v>19.089564988322401</v>
      </c>
    </row>
    <row r="427" spans="1:37" x14ac:dyDescent="0.2">
      <c r="A427" t="str">
        <f>"20200111160104712"</f>
        <v>20200111160104712</v>
      </c>
      <c r="B427" t="str">
        <f>"1578729664709700"</f>
        <v>1578729664709700</v>
      </c>
      <c r="C427" t="s">
        <v>37</v>
      </c>
      <c r="D427">
        <v>4.231541</v>
      </c>
      <c r="E427">
        <v>0.50161869999999997</v>
      </c>
      <c r="F427" t="s">
        <v>38</v>
      </c>
      <c r="G427">
        <v>-327.82089999999999</v>
      </c>
      <c r="H427" s="1">
        <v>-1.158561E-6</v>
      </c>
      <c r="I427">
        <v>368.25549999999998</v>
      </c>
      <c r="J427">
        <v>-347.20170000000002</v>
      </c>
      <c r="K427">
        <v>1.104106</v>
      </c>
      <c r="L427">
        <v>367.8571</v>
      </c>
      <c r="M427">
        <v>0.99920900000000001</v>
      </c>
      <c r="N427">
        <v>0</v>
      </c>
      <c r="O427">
        <v>-3.6878389999999997E-2</v>
      </c>
      <c r="P427">
        <v>0.99935309999999899</v>
      </c>
      <c r="Q427">
        <v>-2.8860960000000001E-2</v>
      </c>
      <c r="R427">
        <v>2.145642E-2</v>
      </c>
      <c r="S427">
        <v>2.9957889999999998</v>
      </c>
      <c r="T427">
        <v>-0.16753850000000001</v>
      </c>
      <c r="U427">
        <v>5.8441159999999999E-2</v>
      </c>
      <c r="V427">
        <v>-5.8302519999999997E-2</v>
      </c>
      <c r="W427">
        <v>-1.400739E-2</v>
      </c>
      <c r="X427">
        <v>0.99820069999999905</v>
      </c>
      <c r="Y427">
        <v>-5.6220810000000003E-2</v>
      </c>
      <c r="Z427">
        <v>3.6313579999999999E-3</v>
      </c>
      <c r="AA427">
        <v>0.99841179999999996</v>
      </c>
      <c r="AB427">
        <v>38</v>
      </c>
      <c r="AC427">
        <v>19.380800000000001</v>
      </c>
      <c r="AD427">
        <v>-1.1041071585609901</v>
      </c>
      <c r="AE427">
        <v>0.39839999999998099</v>
      </c>
      <c r="AF427">
        <v>-1.10934192563509</v>
      </c>
      <c r="AG427">
        <v>-1.1041071585609901</v>
      </c>
      <c r="AH427">
        <v>19.290339539989098</v>
      </c>
      <c r="AI427">
        <v>93.270431216490294</v>
      </c>
      <c r="AJ427">
        <v>93.291320053852402</v>
      </c>
      <c r="AK427">
        <v>19.353730691875001</v>
      </c>
    </row>
    <row r="428" spans="1:37" x14ac:dyDescent="0.2">
      <c r="A428" t="str">
        <f>"20200111160104736"</f>
        <v>20200111160104736</v>
      </c>
      <c r="B428" t="str">
        <f>"1578729664729220"</f>
        <v>1578729664729220</v>
      </c>
      <c r="C428" t="s">
        <v>37</v>
      </c>
      <c r="D428">
        <v>4.1887270000000001</v>
      </c>
      <c r="E428">
        <v>0.50175919999999996</v>
      </c>
      <c r="F428" t="s">
        <v>38</v>
      </c>
      <c r="G428">
        <v>-327.08909999999997</v>
      </c>
      <c r="H428" s="1">
        <v>-1.477651E-6</v>
      </c>
      <c r="I428">
        <v>368.22660000000002</v>
      </c>
      <c r="J428">
        <v>-346.81369999999998</v>
      </c>
      <c r="K428">
        <v>1.1041399999999999</v>
      </c>
      <c r="L428">
        <v>367.84280000000001</v>
      </c>
      <c r="M428">
        <v>0.99921070000000001</v>
      </c>
      <c r="N428">
        <v>0</v>
      </c>
      <c r="O428">
        <v>-3.6835159999999999E-2</v>
      </c>
      <c r="P428">
        <v>0.99939239999999996</v>
      </c>
      <c r="Q428">
        <v>-2.8326469999999999E-2</v>
      </c>
      <c r="R428">
        <v>2.0308240000000002E-2</v>
      </c>
      <c r="S428">
        <v>2.9960019999999998</v>
      </c>
      <c r="T428">
        <v>-0.16446859999999999</v>
      </c>
      <c r="U428">
        <v>5.5053709999999999E-2</v>
      </c>
      <c r="V428">
        <v>-5.7112000000000003E-2</v>
      </c>
      <c r="W428">
        <v>-1.3477299999999999E-2</v>
      </c>
      <c r="X428">
        <v>0.99827679999999996</v>
      </c>
      <c r="Y428">
        <v>-5.5054850000000002E-2</v>
      </c>
      <c r="Z428">
        <v>3.5303449999999998E-3</v>
      </c>
      <c r="AA428">
        <v>0.99847710000000001</v>
      </c>
      <c r="AB428">
        <v>38</v>
      </c>
      <c r="AC428">
        <v>19.724599999999999</v>
      </c>
      <c r="AD428">
        <v>-1.1041414776509999</v>
      </c>
      <c r="AE428">
        <v>0.38380000000000702</v>
      </c>
      <c r="AF428">
        <v>-1.1067120309388101</v>
      </c>
      <c r="AG428">
        <v>-1.1041414776509999</v>
      </c>
      <c r="AH428">
        <v>19.635566907604801</v>
      </c>
      <c r="AI428">
        <v>93.213360930191499</v>
      </c>
      <c r="AJ428">
        <v>93.225927256043505</v>
      </c>
      <c r="AK428">
        <v>19.697701076651501</v>
      </c>
    </row>
    <row r="429" spans="1:37" x14ac:dyDescent="0.2">
      <c r="A429" t="str">
        <f>"20200111160104758"</f>
        <v>20200111160104758</v>
      </c>
      <c r="B429" t="str">
        <f>"1578729664749720"</f>
        <v>1578729664749720</v>
      </c>
      <c r="C429" t="s">
        <v>37</v>
      </c>
      <c r="D429">
        <v>4.2301510000000002</v>
      </c>
      <c r="E429">
        <v>0.50171189999999999</v>
      </c>
      <c r="F429" t="s">
        <v>38</v>
      </c>
      <c r="G429">
        <v>-326.3981</v>
      </c>
      <c r="H429" s="1">
        <v>-1.7812819999999999E-6</v>
      </c>
      <c r="I429">
        <v>368.18579999999997</v>
      </c>
      <c r="J429">
        <v>-346.42540000000002</v>
      </c>
      <c r="K429">
        <v>1.104177</v>
      </c>
      <c r="L429">
        <v>367.82850000000002</v>
      </c>
      <c r="M429">
        <v>0.99921399999999905</v>
      </c>
      <c r="N429">
        <v>0</v>
      </c>
      <c r="O429">
        <v>-3.6747960000000003E-2</v>
      </c>
      <c r="P429">
        <v>0.99940409999999902</v>
      </c>
      <c r="Q429">
        <v>-2.8264830000000001E-2</v>
      </c>
      <c r="R429">
        <v>1.9823339999999998E-2</v>
      </c>
      <c r="S429">
        <v>2.996216</v>
      </c>
      <c r="T429">
        <v>-0.16204489999999999</v>
      </c>
      <c r="U429">
        <v>5.0354000000000003E-2</v>
      </c>
      <c r="V429">
        <v>-5.6539859999999997E-2</v>
      </c>
      <c r="W429">
        <v>-1.3421829999999999E-2</v>
      </c>
      <c r="X429">
        <v>0.99831009999999998</v>
      </c>
      <c r="Y429">
        <v>-5.3407240000000002E-2</v>
      </c>
      <c r="Z429">
        <v>3.4289529999999898E-3</v>
      </c>
      <c r="AA429">
        <v>0.99856690000000004</v>
      </c>
      <c r="AB429">
        <v>37</v>
      </c>
      <c r="AC429">
        <v>20.0273</v>
      </c>
      <c r="AD429">
        <v>-1.1041787812819901</v>
      </c>
      <c r="AE429">
        <v>0.35729999999995199</v>
      </c>
      <c r="AF429">
        <v>-1.08979075160058</v>
      </c>
      <c r="AG429">
        <v>-1.1041787812819901</v>
      </c>
      <c r="AH429">
        <v>19.9400454594285</v>
      </c>
      <c r="AI429">
        <v>93.164799767978906</v>
      </c>
      <c r="AJ429">
        <v>93.128295383075098</v>
      </c>
      <c r="AK429">
        <v>20.000306687333101</v>
      </c>
    </row>
    <row r="430" spans="1:37" x14ac:dyDescent="0.2">
      <c r="A430" t="str">
        <f>"20200111160104779"</f>
        <v>20200111160104779</v>
      </c>
      <c r="B430" t="str">
        <f>"1578729664769235"</f>
        <v>1578729664769235</v>
      </c>
      <c r="C430" t="s">
        <v>37</v>
      </c>
      <c r="D430">
        <v>4.2411029999999998</v>
      </c>
      <c r="E430">
        <v>0.50163139999999995</v>
      </c>
      <c r="F430" t="s">
        <v>38</v>
      </c>
      <c r="G430">
        <v>-326.0213</v>
      </c>
      <c r="H430" s="1">
        <v>-1.9466299999999899E-6</v>
      </c>
      <c r="I430">
        <v>368.1651</v>
      </c>
      <c r="J430">
        <v>-346.06720000000001</v>
      </c>
      <c r="K430">
        <v>1.1042270000000001</v>
      </c>
      <c r="L430">
        <v>367.81549999999999</v>
      </c>
      <c r="M430">
        <v>0.99921879999999996</v>
      </c>
      <c r="N430">
        <v>0</v>
      </c>
      <c r="O430">
        <v>-3.6618820000000003E-2</v>
      </c>
      <c r="P430">
        <v>0.999412999999999</v>
      </c>
      <c r="Q430">
        <v>-2.758174E-2</v>
      </c>
      <c r="R430">
        <v>2.0323589999999999E-2</v>
      </c>
      <c r="S430">
        <v>2.99624599999999</v>
      </c>
      <c r="T430">
        <v>-0.16214249999999999</v>
      </c>
      <c r="U430">
        <v>4.943848E-2</v>
      </c>
      <c r="V430">
        <v>-5.6909290000000001E-2</v>
      </c>
      <c r="W430">
        <v>-1.274638E-2</v>
      </c>
      <c r="X430">
        <v>0.99829799999999902</v>
      </c>
      <c r="Y430">
        <v>-5.2973649999999997E-2</v>
      </c>
      <c r="Z430">
        <v>3.4122829999999999E-3</v>
      </c>
      <c r="AA430">
        <v>0.99859010000000004</v>
      </c>
      <c r="AB430">
        <v>37</v>
      </c>
      <c r="AC430">
        <v>20.0459</v>
      </c>
      <c r="AD430">
        <v>-1.1042289466299999</v>
      </c>
      <c r="AE430">
        <v>0.34960000000000901</v>
      </c>
      <c r="AF430">
        <v>-1.08022694873867</v>
      </c>
      <c r="AG430">
        <v>-1.1042289466299999</v>
      </c>
      <c r="AH430">
        <v>19.959104315417498</v>
      </c>
      <c r="AI430">
        <v>93.162018129893298</v>
      </c>
      <c r="AJ430">
        <v>93.097940591935298</v>
      </c>
      <c r="AK430">
        <v>20.0187925934876</v>
      </c>
    </row>
    <row r="431" spans="1:37" x14ac:dyDescent="0.2">
      <c r="A431" t="str">
        <f>"20200111160104801"</f>
        <v>20200111160104801</v>
      </c>
      <c r="B431" t="str">
        <f>"1578729664789735"</f>
        <v>1578729664789735</v>
      </c>
      <c r="C431" t="s">
        <v>37</v>
      </c>
      <c r="D431">
        <v>4.3640629999999998</v>
      </c>
      <c r="E431">
        <v>0.50135980000000002</v>
      </c>
      <c r="F431" t="s">
        <v>38</v>
      </c>
      <c r="G431">
        <v>-325.42829999999998</v>
      </c>
      <c r="H431" s="1">
        <v>-2.1999209999999998E-6</v>
      </c>
      <c r="I431">
        <v>368.17110000000002</v>
      </c>
      <c r="J431">
        <v>-345.71870000000001</v>
      </c>
      <c r="K431">
        <v>1.104282</v>
      </c>
      <c r="L431">
        <v>367.80279999999999</v>
      </c>
      <c r="M431">
        <v>0.99922509999999998</v>
      </c>
      <c r="N431">
        <v>0</v>
      </c>
      <c r="O431">
        <v>-3.644203E-2</v>
      </c>
      <c r="P431">
        <v>0.99941069999999999</v>
      </c>
      <c r="Q431">
        <v>-2.694643E-2</v>
      </c>
      <c r="R431">
        <v>2.1270339999999999E-2</v>
      </c>
      <c r="S431">
        <v>2.9962770000000001</v>
      </c>
      <c r="T431">
        <v>-0.16030739999999999</v>
      </c>
      <c r="U431">
        <v>5.1635739999999999E-2</v>
      </c>
      <c r="V431">
        <v>-5.7678029999999998E-2</v>
      </c>
      <c r="W431">
        <v>-1.2120199999999999E-2</v>
      </c>
      <c r="X431">
        <v>0.99826170000000003</v>
      </c>
      <c r="Y431">
        <v>-5.3531290000000002E-2</v>
      </c>
      <c r="Z431">
        <v>3.379127E-3</v>
      </c>
      <c r="AA431">
        <v>0.99856039999999902</v>
      </c>
      <c r="AB431">
        <v>37</v>
      </c>
      <c r="AC431">
        <v>20.290400000000002</v>
      </c>
      <c r="AD431">
        <v>-1.104284199921</v>
      </c>
      <c r="AE431">
        <v>0.36830000000003299</v>
      </c>
      <c r="AF431">
        <v>-1.1042906632844001</v>
      </c>
      <c r="AG431">
        <v>-1.104284199921</v>
      </c>
      <c r="AH431">
        <v>20.2036734698837</v>
      </c>
      <c r="AI431">
        <v>93.123882987035699</v>
      </c>
      <c r="AJ431">
        <v>93.128554807216503</v>
      </c>
      <c r="AK431">
        <v>20.263941451279798</v>
      </c>
    </row>
    <row r="432" spans="1:37" x14ac:dyDescent="0.2">
      <c r="A432" t="str">
        <f>"20200111160104823"</f>
        <v>20200111160104823</v>
      </c>
      <c r="B432" t="str">
        <f>"1578729664819988"</f>
        <v>1578729664819988</v>
      </c>
      <c r="C432" t="s">
        <v>37</v>
      </c>
      <c r="D432">
        <v>4.1717360000000001</v>
      </c>
      <c r="E432">
        <v>0.50108589999999997</v>
      </c>
      <c r="F432" t="s">
        <v>38</v>
      </c>
      <c r="G432">
        <v>-324.74740000000003</v>
      </c>
      <c r="H432" s="1">
        <v>-2.487203E-6</v>
      </c>
      <c r="I432">
        <v>368.19830000000002</v>
      </c>
      <c r="J432">
        <v>-345.33359999999999</v>
      </c>
      <c r="K432">
        <v>1.1043419999999999</v>
      </c>
      <c r="L432">
        <v>367.78899999999999</v>
      </c>
      <c r="M432">
        <v>0.99923459999999997</v>
      </c>
      <c r="N432">
        <v>0</v>
      </c>
      <c r="O432">
        <v>-3.6186990000000002E-2</v>
      </c>
      <c r="P432">
        <v>0.99939990000000001</v>
      </c>
      <c r="Q432">
        <v>-2.6249350000000001E-2</v>
      </c>
      <c r="R432">
        <v>2.260887E-2</v>
      </c>
      <c r="S432">
        <v>2.9963069999999998</v>
      </c>
      <c r="T432">
        <v>-0.1577761</v>
      </c>
      <c r="U432">
        <v>5.6518550000000001E-2</v>
      </c>
      <c r="V432">
        <v>-5.8758999999999999E-2</v>
      </c>
      <c r="W432">
        <v>-1.14346E-2</v>
      </c>
      <c r="X432">
        <v>0.998206699999999</v>
      </c>
      <c r="Y432">
        <v>-5.49054E-2</v>
      </c>
      <c r="Z432">
        <v>3.3485089999999999E-3</v>
      </c>
      <c r="AA432">
        <v>0.99848590000000004</v>
      </c>
      <c r="AB432">
        <v>37</v>
      </c>
      <c r="AC432">
        <v>20.586199999999899</v>
      </c>
      <c r="AD432">
        <v>-1.1043444872029999</v>
      </c>
      <c r="AE432">
        <v>0.40930000000002997</v>
      </c>
      <c r="AF432">
        <v>-1.15075639396647</v>
      </c>
      <c r="AG432">
        <v>-1.1043444872029999</v>
      </c>
      <c r="AH432">
        <v>20.498932844795501</v>
      </c>
      <c r="AI432">
        <v>93.078891560916006</v>
      </c>
      <c r="AJ432">
        <v>93.2130625891498</v>
      </c>
      <c r="AK432">
        <v>20.560886770762199</v>
      </c>
    </row>
    <row r="433" spans="1:37" x14ac:dyDescent="0.2">
      <c r="A433" t="str">
        <f>"20200111160104846"</f>
        <v>20200111160104846</v>
      </c>
      <c r="B433" t="str">
        <f>"1578729664839508"</f>
        <v>1578729664839508</v>
      </c>
      <c r="C433" t="s">
        <v>37</v>
      </c>
      <c r="D433">
        <v>4.1773119999999997</v>
      </c>
      <c r="E433">
        <v>0.50093449999999995</v>
      </c>
      <c r="F433" t="s">
        <v>38</v>
      </c>
      <c r="G433">
        <v>-324.02199999999999</v>
      </c>
      <c r="H433" s="1">
        <v>-2.7918459999999899E-6</v>
      </c>
      <c r="I433">
        <v>368.23520000000002</v>
      </c>
      <c r="J433">
        <v>-344.97109999999998</v>
      </c>
      <c r="K433">
        <v>1.1043969999999901</v>
      </c>
      <c r="L433">
        <v>367.77609999999999</v>
      </c>
      <c r="M433">
        <v>0.99924539999999995</v>
      </c>
      <c r="N433">
        <v>0</v>
      </c>
      <c r="O433">
        <v>-3.5888009999999998E-2</v>
      </c>
      <c r="P433">
        <v>0.99937450000000005</v>
      </c>
      <c r="Q433">
        <v>-2.6340450000000001E-2</v>
      </c>
      <c r="R433">
        <v>2.3604239999999999E-2</v>
      </c>
      <c r="S433">
        <v>2.9963069999999998</v>
      </c>
      <c r="T433">
        <v>-0.15526509999999999</v>
      </c>
      <c r="U433">
        <v>6.2744140000000004E-2</v>
      </c>
      <c r="V433">
        <v>-5.9452890000000001E-2</v>
      </c>
      <c r="W433">
        <v>-1.1536889999999999E-2</v>
      </c>
      <c r="X433">
        <v>0.99816439999999995</v>
      </c>
      <c r="Y433">
        <v>-5.6682360000000001E-2</v>
      </c>
      <c r="Z433">
        <v>3.3257650000000001E-3</v>
      </c>
      <c r="AA433">
        <v>0.99838669999999996</v>
      </c>
      <c r="AB433">
        <v>37</v>
      </c>
      <c r="AC433">
        <v>20.949099999999898</v>
      </c>
      <c r="AD433">
        <v>-1.10439979184599</v>
      </c>
      <c r="AE433">
        <v>0.45910000000003398</v>
      </c>
      <c r="AF433">
        <v>-1.20735478538057</v>
      </c>
      <c r="AG433">
        <v>-1.10439979184599</v>
      </c>
      <c r="AH433">
        <v>20.861174158064401</v>
      </c>
      <c r="AI433">
        <v>93.025381674961494</v>
      </c>
      <c r="AJ433">
        <v>93.312337567468106</v>
      </c>
      <c r="AK433">
        <v>20.9252477101492</v>
      </c>
    </row>
    <row r="434" spans="1:37" x14ac:dyDescent="0.2">
      <c r="A434" t="str">
        <f>"20200111160104868"</f>
        <v>20200111160104868</v>
      </c>
      <c r="B434" t="str">
        <f>"1578729664860003"</f>
        <v>1578729664860003</v>
      </c>
      <c r="C434" t="s">
        <v>37</v>
      </c>
      <c r="D434">
        <v>4.3363239999999896</v>
      </c>
      <c r="E434">
        <v>0.50084969999999995</v>
      </c>
      <c r="F434" t="s">
        <v>38</v>
      </c>
      <c r="G434">
        <v>-323.66309999999999</v>
      </c>
      <c r="H434" s="1">
        <v>-2.9428769999999998E-6</v>
      </c>
      <c r="I434">
        <v>368.2518</v>
      </c>
      <c r="J434">
        <v>-344.58269999999999</v>
      </c>
      <c r="K434">
        <v>1.104452</v>
      </c>
      <c r="L434">
        <v>367.76249999999999</v>
      </c>
      <c r="M434">
        <v>0.99925889999999995</v>
      </c>
      <c r="N434">
        <v>0</v>
      </c>
      <c r="O434">
        <v>-3.5507339999999998E-2</v>
      </c>
      <c r="P434">
        <v>0.99935719999999995</v>
      </c>
      <c r="Q434">
        <v>-2.6205030000000001E-2</v>
      </c>
      <c r="R434">
        <v>2.446986E-2</v>
      </c>
      <c r="S434">
        <v>2.99624599999999</v>
      </c>
      <c r="T434">
        <v>-0.15529599999999999</v>
      </c>
      <c r="U434">
        <v>6.6894529999999994E-2</v>
      </c>
      <c r="V434">
        <v>-5.9935599999999999E-2</v>
      </c>
      <c r="W434">
        <v>-1.1413370000000001E-2</v>
      </c>
      <c r="X434">
        <v>0.99813700000000005</v>
      </c>
      <c r="Y434">
        <v>-5.7683850000000002E-2</v>
      </c>
      <c r="Z434">
        <v>3.332677E-3</v>
      </c>
      <c r="AA434">
        <v>0.99832929999999998</v>
      </c>
      <c r="AB434">
        <v>37</v>
      </c>
      <c r="AC434">
        <v>20.919599999999999</v>
      </c>
      <c r="AD434">
        <v>-1.1044549428770001</v>
      </c>
      <c r="AE434">
        <v>0.489300000000014</v>
      </c>
      <c r="AF434">
        <v>-1.2284505532218399</v>
      </c>
      <c r="AG434">
        <v>-1.1044549428770001</v>
      </c>
      <c r="AH434">
        <v>20.830998614636101</v>
      </c>
      <c r="AI434">
        <v>93.029713982207696</v>
      </c>
      <c r="AJ434">
        <v>93.3749514328657</v>
      </c>
      <c r="AK434">
        <v>20.8963971718937</v>
      </c>
    </row>
    <row r="435" spans="1:37" x14ac:dyDescent="0.2">
      <c r="A435" t="str">
        <f>"20200111160104892"</f>
        <v>20200111160104892</v>
      </c>
      <c r="B435" t="str">
        <f>"1578729664879523"</f>
        <v>1578729664879523</v>
      </c>
      <c r="C435" t="s">
        <v>37</v>
      </c>
      <c r="D435">
        <v>4.2141539999999997</v>
      </c>
      <c r="E435">
        <v>0.50062099999999998</v>
      </c>
      <c r="F435" t="s">
        <v>38</v>
      </c>
      <c r="G435">
        <v>-323.2088</v>
      </c>
      <c r="H435" s="1">
        <v>-3.1356079999999999E-6</v>
      </c>
      <c r="I435">
        <v>368.26400000000001</v>
      </c>
      <c r="J435">
        <v>-344.21899999999999</v>
      </c>
      <c r="K435">
        <v>1.1044989999999999</v>
      </c>
      <c r="L435">
        <v>367.75</v>
      </c>
      <c r="M435">
        <v>0.99927369999999904</v>
      </c>
      <c r="N435">
        <v>0</v>
      </c>
      <c r="O435">
        <v>-3.5091169999999998E-2</v>
      </c>
      <c r="P435">
        <v>0.99935589999999996</v>
      </c>
      <c r="Q435">
        <v>-2.6202639999999999E-2</v>
      </c>
      <c r="R435">
        <v>2.4525419999999999E-2</v>
      </c>
      <c r="S435">
        <v>2.9961549999999999</v>
      </c>
      <c r="T435">
        <v>-0.15481979999999901</v>
      </c>
      <c r="U435">
        <v>7.03125E-2</v>
      </c>
      <c r="V435">
        <v>-5.9574349999999998E-2</v>
      </c>
      <c r="W435">
        <v>-1.1420390000000001E-2</v>
      </c>
      <c r="X435">
        <v>0.99815849999999995</v>
      </c>
      <c r="Y435">
        <v>-5.8407349999999997E-2</v>
      </c>
      <c r="Z435">
        <v>3.3197320000000002E-3</v>
      </c>
      <c r="AA435">
        <v>0.99828729999999999</v>
      </c>
      <c r="AB435">
        <v>37</v>
      </c>
      <c r="AC435">
        <v>21.010200000000001</v>
      </c>
      <c r="AD435">
        <v>-1.10450213560799</v>
      </c>
      <c r="AE435">
        <v>0.51400000000001</v>
      </c>
      <c r="AF435">
        <v>-1.24759146808721</v>
      </c>
      <c r="AG435">
        <v>-1.10450213560799</v>
      </c>
      <c r="AH435">
        <v>20.921434859625201</v>
      </c>
      <c r="AI435">
        <v>93.016653024888996</v>
      </c>
      <c r="AJ435">
        <v>93.412632870803193</v>
      </c>
      <c r="AK435">
        <v>20.987683198112801</v>
      </c>
    </row>
    <row r="436" spans="1:37" x14ac:dyDescent="0.2">
      <c r="A436" t="str">
        <f>"20200111160104913"</f>
        <v>20200111160104913</v>
      </c>
      <c r="B436" t="str">
        <f>"1578729664909783"</f>
        <v>1578729664909783</v>
      </c>
      <c r="C436" t="s">
        <v>37</v>
      </c>
      <c r="D436">
        <v>4.2331620000000001</v>
      </c>
      <c r="E436">
        <v>0.50062109999999904</v>
      </c>
      <c r="F436" t="s">
        <v>38</v>
      </c>
      <c r="G436">
        <v>-322.81380000000001</v>
      </c>
      <c r="H436" s="1">
        <v>-3.3045729999999898E-6</v>
      </c>
      <c r="I436">
        <v>368.26679999999999</v>
      </c>
      <c r="J436">
        <v>-343.846</v>
      </c>
      <c r="K436">
        <v>1.104549</v>
      </c>
      <c r="L436">
        <v>367.7373</v>
      </c>
      <c r="M436">
        <v>0.99929040000000002</v>
      </c>
      <c r="N436">
        <v>0</v>
      </c>
      <c r="O436">
        <v>-3.4617469999999997E-2</v>
      </c>
      <c r="P436">
        <v>0.99935669999999899</v>
      </c>
      <c r="Q436">
        <v>-2.6265859999999999E-2</v>
      </c>
      <c r="R436">
        <v>2.442391E-2</v>
      </c>
      <c r="S436">
        <v>2.9960629999999999</v>
      </c>
      <c r="T436">
        <v>-0.1545955</v>
      </c>
      <c r="U436">
        <v>7.2357179999999993E-2</v>
      </c>
      <c r="V436">
        <v>-5.8998380000000003E-2</v>
      </c>
      <c r="W436">
        <v>-1.1492219999999999E-2</v>
      </c>
      <c r="X436">
        <v>0.99819199999999997</v>
      </c>
      <c r="Y436">
        <v>-5.861645E-2</v>
      </c>
      <c r="Z436">
        <v>3.29598E-3</v>
      </c>
      <c r="AA436">
        <v>0.99827520000000003</v>
      </c>
      <c r="AB436">
        <v>37</v>
      </c>
      <c r="AC436">
        <v>21.0321999999999</v>
      </c>
      <c r="AD436">
        <v>-1.1045523045729999</v>
      </c>
      <c r="AE436">
        <v>0.52949999999998398</v>
      </c>
      <c r="AF436">
        <v>-1.2538882364359101</v>
      </c>
      <c r="AG436">
        <v>-1.1045523045729999</v>
      </c>
      <c r="AH436">
        <v>20.943532444029099</v>
      </c>
      <c r="AI436">
        <v>93.013570064111804</v>
      </c>
      <c r="AJ436">
        <v>93.426205706765103</v>
      </c>
      <c r="AK436">
        <v>21.010088594223198</v>
      </c>
    </row>
    <row r="437" spans="1:37" x14ac:dyDescent="0.2">
      <c r="A437" t="str">
        <f>"20200111160104937"</f>
        <v>20200111160104937</v>
      </c>
      <c r="B437" t="str">
        <f>"1578729664930276"</f>
        <v>1578729664930276</v>
      </c>
      <c r="C437" t="s">
        <v>37</v>
      </c>
      <c r="D437">
        <v>4.2830539999999999</v>
      </c>
      <c r="E437">
        <v>0.50077649999999996</v>
      </c>
      <c r="F437" t="s">
        <v>38</v>
      </c>
      <c r="G437">
        <v>-322.4658</v>
      </c>
      <c r="H437" s="1">
        <v>-3.456513E-6</v>
      </c>
      <c r="I437">
        <v>368.25189999999998</v>
      </c>
      <c r="J437">
        <v>-343.46230000000003</v>
      </c>
      <c r="K437">
        <v>1.10459</v>
      </c>
      <c r="L437">
        <v>367.72449999999998</v>
      </c>
      <c r="M437">
        <v>0.99930849999999904</v>
      </c>
      <c r="N437">
        <v>0</v>
      </c>
      <c r="O437">
        <v>-3.4091780000000002E-2</v>
      </c>
      <c r="P437">
        <v>0.99933249999999996</v>
      </c>
      <c r="Q437">
        <v>-2.7166849999999999E-2</v>
      </c>
      <c r="R437">
        <v>2.442298E-2</v>
      </c>
      <c r="S437">
        <v>2.9961549999999999</v>
      </c>
      <c r="T437">
        <v>-0.1547877</v>
      </c>
      <c r="U437">
        <v>7.2113040000000003E-2</v>
      </c>
      <c r="V437">
        <v>-5.8469399999999998E-2</v>
      </c>
      <c r="W437">
        <v>-1.240171E-2</v>
      </c>
      <c r="X437">
        <v>0.99821219999999999</v>
      </c>
      <c r="Y437">
        <v>-5.8010470000000001E-2</v>
      </c>
      <c r="Z437">
        <v>3.2572009999999999E-3</v>
      </c>
      <c r="AA437">
        <v>0.9983107</v>
      </c>
      <c r="AB437">
        <v>37</v>
      </c>
      <c r="AC437">
        <v>20.996500000000001</v>
      </c>
      <c r="AD437">
        <v>-1.104593456513</v>
      </c>
      <c r="AE437">
        <v>0.52739999999999998</v>
      </c>
      <c r="AF437">
        <v>-1.23955178435289</v>
      </c>
      <c r="AG437">
        <v>-1.104593456513</v>
      </c>
      <c r="AH437">
        <v>20.908479333259798</v>
      </c>
      <c r="AI437">
        <v>93.018829941311395</v>
      </c>
      <c r="AJ437">
        <v>93.392788849796304</v>
      </c>
      <c r="AK437">
        <v>20.974296730990002</v>
      </c>
    </row>
    <row r="438" spans="1:37" x14ac:dyDescent="0.2">
      <c r="A438" t="str">
        <f>"20200111160104970"</f>
        <v>20200111160104970</v>
      </c>
      <c r="B438" t="str">
        <f>"1578729664959308"</f>
        <v>1578729664959308</v>
      </c>
      <c r="C438" t="s">
        <v>37</v>
      </c>
      <c r="D438">
        <v>4.2737509999999999</v>
      </c>
      <c r="E438">
        <v>0.50068880000000004</v>
      </c>
      <c r="F438" t="s">
        <v>38</v>
      </c>
      <c r="G438">
        <v>-322.24400000000003</v>
      </c>
      <c r="H438" s="1">
        <v>-3.5563300000000001E-6</v>
      </c>
      <c r="I438">
        <v>368.22559999999999</v>
      </c>
      <c r="J438">
        <v>-342.9248</v>
      </c>
      <c r="K438">
        <v>1.1046370000000001</v>
      </c>
      <c r="L438">
        <v>367.70699999999999</v>
      </c>
      <c r="M438">
        <v>0.99933499999999997</v>
      </c>
      <c r="N438">
        <v>0</v>
      </c>
      <c r="O438">
        <v>-3.3305719999999997E-2</v>
      </c>
      <c r="P438">
        <v>0.99927909999999998</v>
      </c>
      <c r="Q438">
        <v>-2.9024640000000001E-2</v>
      </c>
      <c r="R438">
        <v>2.4477079999999998E-2</v>
      </c>
      <c r="S438">
        <v>2.9960629999999999</v>
      </c>
      <c r="T438">
        <v>-0.15597</v>
      </c>
      <c r="U438">
        <v>7.0770260000000001E-2</v>
      </c>
      <c r="V438">
        <v>-5.7733510000000002E-2</v>
      </c>
      <c r="W438">
        <v>-1.4270710000000001E-2</v>
      </c>
      <c r="X438">
        <v>0.99822999999999995</v>
      </c>
      <c r="Y438">
        <v>-5.6779570000000001E-2</v>
      </c>
      <c r="Z438">
        <v>3.2092650000000002E-3</v>
      </c>
      <c r="AA438">
        <v>0.99838159999999898</v>
      </c>
      <c r="AB438">
        <v>37</v>
      </c>
      <c r="AC438">
        <v>20.680799999999898</v>
      </c>
      <c r="AD438">
        <v>-1.1046405563299999</v>
      </c>
      <c r="AE438">
        <v>0.51859999999999196</v>
      </c>
      <c r="AF438">
        <v>-1.2037448655040499</v>
      </c>
      <c r="AG438">
        <v>-1.1046405563299999</v>
      </c>
      <c r="AH438">
        <v>20.5933331291229</v>
      </c>
      <c r="AI438">
        <v>93.065220294479403</v>
      </c>
      <c r="AJ438">
        <v>93.345311303723307</v>
      </c>
      <c r="AK438">
        <v>20.658039641431301</v>
      </c>
    </row>
    <row r="439" spans="1:37" x14ac:dyDescent="0.2">
      <c r="A439" t="str">
        <f>"20200111160104990"</f>
        <v>20200111160104990</v>
      </c>
      <c r="B439" t="str">
        <f>"1578729664979807"</f>
        <v>1578729664979807</v>
      </c>
      <c r="C439" t="s">
        <v>37</v>
      </c>
      <c r="D439">
        <v>4.3924399999999997</v>
      </c>
      <c r="E439">
        <v>0.5006564</v>
      </c>
      <c r="F439" t="s">
        <v>38</v>
      </c>
      <c r="G439">
        <v>-322.53890000000001</v>
      </c>
      <c r="H439" s="1">
        <v>-3.4352099999999898E-6</v>
      </c>
      <c r="I439">
        <v>368.1952</v>
      </c>
      <c r="J439">
        <v>-342.57749999999999</v>
      </c>
      <c r="K439">
        <v>1.104665</v>
      </c>
      <c r="L439">
        <v>367.69589999999999</v>
      </c>
      <c r="M439">
        <v>0.99935280000000004</v>
      </c>
      <c r="N439">
        <v>0</v>
      </c>
      <c r="O439">
        <v>-3.2766549999999998E-2</v>
      </c>
      <c r="P439">
        <v>0.99922819999999901</v>
      </c>
      <c r="Q439">
        <v>-3.08236E-2</v>
      </c>
      <c r="R439">
        <v>2.4350810000000001E-2</v>
      </c>
      <c r="S439">
        <v>2.9956969999999998</v>
      </c>
      <c r="T439">
        <v>-0.1623259</v>
      </c>
      <c r="U439">
        <v>7.1746829999999998E-2</v>
      </c>
      <c r="V439">
        <v>-5.70641E-2</v>
      </c>
      <c r="W439">
        <v>-1.607606E-2</v>
      </c>
      <c r="X439">
        <v>0.99824109999999999</v>
      </c>
      <c r="Y439">
        <v>-5.6560010000000001E-2</v>
      </c>
      <c r="Z439">
        <v>3.305124E-3</v>
      </c>
      <c r="AA439">
        <v>0.99839369999999905</v>
      </c>
      <c r="AB439">
        <v>37</v>
      </c>
      <c r="AC439">
        <v>20.038599999999899</v>
      </c>
      <c r="AD439">
        <v>-1.10466843521</v>
      </c>
      <c r="AE439">
        <v>0.49930000000000502</v>
      </c>
      <c r="AF439">
        <v>-1.15220061658591</v>
      </c>
      <c r="AG439">
        <v>-1.10466843521</v>
      </c>
      <c r="AH439">
        <v>19.950882514176001</v>
      </c>
      <c r="AI439">
        <v>93.163935845647899</v>
      </c>
      <c r="AJ439">
        <v>93.3052665618887</v>
      </c>
      <c r="AK439">
        <v>20.0146339388724</v>
      </c>
    </row>
    <row r="440" spans="1:37" x14ac:dyDescent="0.2">
      <c r="A440" t="str">
        <f>"20200111160105012"</f>
        <v>20200111160105012</v>
      </c>
      <c r="B440" t="str">
        <f>"1578729665010061"</f>
        <v>1578729665010061</v>
      </c>
      <c r="C440" t="s">
        <v>37</v>
      </c>
      <c r="D440">
        <v>4.3110269999999904</v>
      </c>
      <c r="E440">
        <v>0.50047730000000001</v>
      </c>
      <c r="F440" t="s">
        <v>38</v>
      </c>
      <c r="G440">
        <v>-322.87490000000003</v>
      </c>
      <c r="H440" s="1">
        <v>-3.2963160000000001E-6</v>
      </c>
      <c r="I440">
        <v>368.16559999999998</v>
      </c>
      <c r="J440">
        <v>-342.20920000000001</v>
      </c>
      <c r="K440">
        <v>1.1046929999999999</v>
      </c>
      <c r="L440">
        <v>367.68439999999998</v>
      </c>
      <c r="M440">
        <v>0.99937219999999904</v>
      </c>
      <c r="N440">
        <v>0</v>
      </c>
      <c r="O440">
        <v>-3.2175790000000003E-2</v>
      </c>
      <c r="P440">
        <v>0.9992181</v>
      </c>
      <c r="Q440">
        <v>-3.1329339999999997E-2</v>
      </c>
      <c r="R440">
        <v>2.4124159999999999E-2</v>
      </c>
      <c r="S440">
        <v>2.9953919999999998</v>
      </c>
      <c r="T440">
        <v>-0.16794229999999999</v>
      </c>
      <c r="U440">
        <v>7.1411130000000003E-2</v>
      </c>
      <c r="V440">
        <v>-5.6245370000000003E-2</v>
      </c>
      <c r="W440">
        <v>-1.6587379999999999E-2</v>
      </c>
      <c r="X440">
        <v>0.99827919999999903</v>
      </c>
      <c r="Y440">
        <v>-5.585321E-2</v>
      </c>
      <c r="Z440">
        <v>3.3667720000000001E-3</v>
      </c>
      <c r="AA440">
        <v>0.99843329999999997</v>
      </c>
      <c r="AB440">
        <v>37</v>
      </c>
      <c r="AC440">
        <v>19.334299999999899</v>
      </c>
      <c r="AD440">
        <v>-1.1046962963160001</v>
      </c>
      <c r="AE440">
        <v>0.48120000000000102</v>
      </c>
      <c r="AF440">
        <v>-1.0995282979097301</v>
      </c>
      <c r="AG440">
        <v>-1.1046962963160001</v>
      </c>
      <c r="AH440">
        <v>19.246010816862501</v>
      </c>
      <c r="AI440">
        <v>93.279763313876003</v>
      </c>
      <c r="AJ440">
        <v>93.269764639187798</v>
      </c>
      <c r="AK440">
        <v>19.3090198805581</v>
      </c>
    </row>
    <row r="441" spans="1:37" x14ac:dyDescent="0.2">
      <c r="A441" t="str">
        <f>"20200111160105036"</f>
        <v>20200111160105036</v>
      </c>
      <c r="B441" t="str">
        <f>"1578729665029580"</f>
        <v>1578729665029580</v>
      </c>
      <c r="C441" t="s">
        <v>37</v>
      </c>
      <c r="D441">
        <v>4.4309029999999998</v>
      </c>
      <c r="E441">
        <v>0.50037159999999903</v>
      </c>
      <c r="F441" t="s">
        <v>38</v>
      </c>
      <c r="G441">
        <v>-322.79719999999998</v>
      </c>
      <c r="H441" s="1">
        <v>-3.3319089999999998E-6</v>
      </c>
      <c r="I441">
        <v>368.15280000000001</v>
      </c>
      <c r="J441">
        <v>-341.82369999999997</v>
      </c>
      <c r="K441">
        <v>1.104716</v>
      </c>
      <c r="L441">
        <v>367.67259999999999</v>
      </c>
      <c r="M441">
        <v>0.99939279999999997</v>
      </c>
      <c r="N441">
        <v>0</v>
      </c>
      <c r="O441">
        <v>-3.1531360000000001E-2</v>
      </c>
      <c r="P441">
        <v>0.99920889999999996</v>
      </c>
      <c r="Q441">
        <v>-3.1737540000000002E-2</v>
      </c>
      <c r="R441">
        <v>2.397488E-2</v>
      </c>
      <c r="S441">
        <v>2.9952700000000001</v>
      </c>
      <c r="T441">
        <v>-0.17045350000000001</v>
      </c>
      <c r="U441">
        <v>7.2296139999999995E-2</v>
      </c>
      <c r="V441">
        <v>-5.54505E-2</v>
      </c>
      <c r="W441">
        <v>-1.7001519999999999E-2</v>
      </c>
      <c r="X441">
        <v>0.99831669999999995</v>
      </c>
      <c r="Y441">
        <v>-5.5502639999999999E-2</v>
      </c>
      <c r="Z441">
        <v>3.3705609999999898E-3</v>
      </c>
      <c r="AA441">
        <v>0.99845280000000003</v>
      </c>
      <c r="AB441">
        <v>37</v>
      </c>
      <c r="AC441">
        <v>19.026499999999999</v>
      </c>
      <c r="AD441">
        <v>-1.1047193319090001</v>
      </c>
      <c r="AE441">
        <v>0.480200000000024</v>
      </c>
      <c r="AF441">
        <v>-1.07633230525915</v>
      </c>
      <c r="AG441">
        <v>-1.1047193319090001</v>
      </c>
      <c r="AH441">
        <v>18.938090536031599</v>
      </c>
      <c r="AI441">
        <v>93.333095981097003</v>
      </c>
      <c r="AJ441">
        <v>93.252863677715496</v>
      </c>
      <c r="AK441">
        <v>19.000793909323001</v>
      </c>
    </row>
    <row r="442" spans="1:37" x14ac:dyDescent="0.2">
      <c r="A442" t="str">
        <f>"20200111160105058"</f>
        <v>20200111160105058</v>
      </c>
      <c r="B442" t="str">
        <f>"1578729665050079"</f>
        <v>1578729665050079</v>
      </c>
      <c r="C442" t="s">
        <v>37</v>
      </c>
      <c r="D442">
        <v>4.4004019999999997</v>
      </c>
      <c r="E442">
        <v>0.50027489999999997</v>
      </c>
      <c r="F442" t="s">
        <v>38</v>
      </c>
      <c r="G442">
        <v>-322.54640000000001</v>
      </c>
      <c r="H442" s="1">
        <v>-3.4416569999999999E-6</v>
      </c>
      <c r="I442">
        <v>368.14080000000001</v>
      </c>
      <c r="J442">
        <v>-341.44889999999998</v>
      </c>
      <c r="K442">
        <v>1.104746</v>
      </c>
      <c r="L442">
        <v>367.66140000000001</v>
      </c>
      <c r="M442">
        <v>0.99941340000000001</v>
      </c>
      <c r="N442">
        <v>0</v>
      </c>
      <c r="O442">
        <v>-3.087355E-2</v>
      </c>
      <c r="P442">
        <v>0.99920520000000002</v>
      </c>
      <c r="Q442">
        <v>-3.191538E-2</v>
      </c>
      <c r="R442">
        <v>2.3894229999999999E-2</v>
      </c>
      <c r="S442">
        <v>2.9951479999999999</v>
      </c>
      <c r="T442">
        <v>-0.17164089999999901</v>
      </c>
      <c r="U442">
        <v>7.2753910000000005E-2</v>
      </c>
      <c r="V442">
        <v>-5.4711990000000002E-2</v>
      </c>
      <c r="W442">
        <v>-1.71854E-2</v>
      </c>
      <c r="X442">
        <v>0.99835429999999903</v>
      </c>
      <c r="Y442">
        <v>-5.4998859999999997E-2</v>
      </c>
      <c r="Z442">
        <v>3.3420559999999999E-3</v>
      </c>
      <c r="AA442">
        <v>0.99848079999999995</v>
      </c>
      <c r="AB442">
        <v>37</v>
      </c>
      <c r="AC442">
        <v>18.9024999999999</v>
      </c>
      <c r="AD442">
        <v>-1.1047494416570001</v>
      </c>
      <c r="AE442">
        <v>0.47939999999999799</v>
      </c>
      <c r="AF442">
        <v>-1.05920712345913</v>
      </c>
      <c r="AG442">
        <v>-1.1047494416570001</v>
      </c>
      <c r="AH442">
        <v>18.814460133091799</v>
      </c>
      <c r="AI442">
        <v>93.355140534959006</v>
      </c>
      <c r="AJ442">
        <v>93.222208019439606</v>
      </c>
      <c r="AK442">
        <v>18.876607247037999</v>
      </c>
    </row>
    <row r="443" spans="1:37" x14ac:dyDescent="0.2">
      <c r="A443" t="str">
        <f>"20200111160105080"</f>
        <v>20200111160105080</v>
      </c>
      <c r="B443" t="str">
        <f>"1578729665069359"</f>
        <v>1578729665069359</v>
      </c>
      <c r="C443" t="s">
        <v>37</v>
      </c>
      <c r="D443">
        <v>4.5670970000000004</v>
      </c>
      <c r="E443">
        <v>0.50024899999999906</v>
      </c>
      <c r="F443" t="s">
        <v>38</v>
      </c>
      <c r="G443">
        <v>-322.28629999999998</v>
      </c>
      <c r="H443" s="1">
        <v>-3.555204E-6</v>
      </c>
      <c r="I443">
        <v>368.12970000000001</v>
      </c>
      <c r="J443">
        <v>-341.10340000000002</v>
      </c>
      <c r="K443">
        <v>1.104773</v>
      </c>
      <c r="L443">
        <v>367.65129999999999</v>
      </c>
      <c r="M443">
        <v>0.99943289999999996</v>
      </c>
      <c r="N443">
        <v>0</v>
      </c>
      <c r="O443">
        <v>-3.023325E-2</v>
      </c>
      <c r="P443">
        <v>0.99920030000000004</v>
      </c>
      <c r="Q443">
        <v>-3.1813250000000001E-2</v>
      </c>
      <c r="R443">
        <v>2.4223310000000001E-2</v>
      </c>
      <c r="S443">
        <v>2.9950869999999998</v>
      </c>
      <c r="T443">
        <v>-0.17266979999999901</v>
      </c>
      <c r="U443">
        <v>7.3211670000000006E-2</v>
      </c>
      <c r="V443">
        <v>-5.4399780000000002E-2</v>
      </c>
      <c r="W443">
        <v>-1.7089699999999999E-2</v>
      </c>
      <c r="X443">
        <v>0.99837299999999995</v>
      </c>
      <c r="Y443">
        <v>-5.4512339999999999E-2</v>
      </c>
      <c r="Z443">
        <v>3.3112329999999998E-3</v>
      </c>
      <c r="AA443">
        <v>0.99850759999999905</v>
      </c>
      <c r="AB443">
        <v>37</v>
      </c>
      <c r="AC443">
        <v>18.8171</v>
      </c>
      <c r="AD443">
        <v>-1.1047765552040001</v>
      </c>
      <c r="AE443">
        <v>0.47840000000002098</v>
      </c>
      <c r="AF443">
        <v>-1.0435510753088399</v>
      </c>
      <c r="AG443">
        <v>-1.1047765552040001</v>
      </c>
      <c r="AH443">
        <v>18.729511829973099</v>
      </c>
      <c r="AI443">
        <v>93.370514407453598</v>
      </c>
      <c r="AJ443">
        <v>93.189048198487001</v>
      </c>
      <c r="AK443">
        <v>18.791065522551101</v>
      </c>
    </row>
    <row r="444" spans="1:37" x14ac:dyDescent="0.2">
      <c r="A444" t="str">
        <f>"20200111160105102"</f>
        <v>20200111160105102</v>
      </c>
      <c r="B444" t="str">
        <f>"1578729665099615"</f>
        <v>1578729665099615</v>
      </c>
      <c r="C444" t="s">
        <v>37</v>
      </c>
      <c r="D444">
        <v>4.6132879999999998</v>
      </c>
      <c r="E444">
        <v>0.50020699999999996</v>
      </c>
      <c r="F444" t="s">
        <v>38</v>
      </c>
      <c r="G444">
        <v>-321.89710000000002</v>
      </c>
      <c r="H444" s="1">
        <v>-3.7221069999999999E-6</v>
      </c>
      <c r="I444">
        <v>368.12990000000002</v>
      </c>
      <c r="J444">
        <v>-340.73770000000002</v>
      </c>
      <c r="K444">
        <v>1.1048089999999999</v>
      </c>
      <c r="L444">
        <v>367.64089999999999</v>
      </c>
      <c r="M444">
        <v>0.99945439999999997</v>
      </c>
      <c r="N444">
        <v>0</v>
      </c>
      <c r="O444">
        <v>-2.9514039999999998E-2</v>
      </c>
      <c r="P444">
        <v>0.99918969999999896</v>
      </c>
      <c r="Q444">
        <v>-3.1736029999999998E-2</v>
      </c>
      <c r="R444">
        <v>2.4753270000000001E-2</v>
      </c>
      <c r="S444">
        <v>2.9951479999999999</v>
      </c>
      <c r="T444">
        <v>-0.1722851</v>
      </c>
      <c r="U444">
        <v>7.4646000000000004E-2</v>
      </c>
      <c r="V444">
        <v>-5.4209420000000001E-2</v>
      </c>
      <c r="W444">
        <v>-1.702012E-2</v>
      </c>
      <c r="X444">
        <v>0.99838449999999901</v>
      </c>
      <c r="Y444">
        <v>-5.4273399999999999E-2</v>
      </c>
      <c r="Z444">
        <v>3.2555929999999898E-3</v>
      </c>
      <c r="AA444">
        <v>0.99852079999999999</v>
      </c>
      <c r="AB444">
        <v>37</v>
      </c>
      <c r="AC444">
        <v>18.840599999999899</v>
      </c>
      <c r="AD444">
        <v>-1.1048127221070001</v>
      </c>
      <c r="AE444">
        <v>0.48900000000003202</v>
      </c>
      <c r="AF444">
        <v>-1.04133191335683</v>
      </c>
      <c r="AG444">
        <v>-1.1048127221070001</v>
      </c>
      <c r="AH444">
        <v>18.753513291681699</v>
      </c>
      <c r="AI444">
        <v>93.366355884394693</v>
      </c>
      <c r="AJ444">
        <v>93.178216036756893</v>
      </c>
      <c r="AK444">
        <v>18.814867634027799</v>
      </c>
    </row>
    <row r="445" spans="1:37" x14ac:dyDescent="0.2">
      <c r="A445" t="str">
        <f>"20200111160105125"</f>
        <v>20200111160105125</v>
      </c>
      <c r="B445" t="str">
        <f>"1578729665120111"</f>
        <v>1578729665120111</v>
      </c>
      <c r="C445" t="s">
        <v>37</v>
      </c>
      <c r="D445">
        <v>4.5044570000000004</v>
      </c>
      <c r="E445">
        <v>0.50019899999999995</v>
      </c>
      <c r="F445" t="s">
        <v>38</v>
      </c>
      <c r="G445">
        <v>-321.48700000000002</v>
      </c>
      <c r="H445" s="1">
        <v>-3.8975199999999899E-6</v>
      </c>
      <c r="I445">
        <v>368.13299999999998</v>
      </c>
      <c r="J445">
        <v>-340.35809999999998</v>
      </c>
      <c r="K445">
        <v>1.104854</v>
      </c>
      <c r="L445">
        <v>367.63049999999998</v>
      </c>
      <c r="M445">
        <v>0.99947779999999997</v>
      </c>
      <c r="N445">
        <v>0</v>
      </c>
      <c r="O445">
        <v>-2.871462E-2</v>
      </c>
      <c r="P445">
        <v>0.99916849999999902</v>
      </c>
      <c r="Q445">
        <v>-3.1555599999999899E-2</v>
      </c>
      <c r="R445">
        <v>2.58216E-2</v>
      </c>
      <c r="S445">
        <v>2.9950559999999999</v>
      </c>
      <c r="T445">
        <v>-0.1718875</v>
      </c>
      <c r="U445">
        <v>7.6568600000000001E-2</v>
      </c>
      <c r="V445">
        <v>-5.4477119999999997E-2</v>
      </c>
      <c r="W445">
        <v>-1.684973E-2</v>
      </c>
      <c r="X445">
        <v>0.99837289999999901</v>
      </c>
      <c r="Y445">
        <v>-5.4118279999999998E-2</v>
      </c>
      <c r="Z445">
        <v>3.1978890000000002E-3</v>
      </c>
      <c r="AA445">
        <v>0.99852940000000001</v>
      </c>
      <c r="AB445">
        <v>37</v>
      </c>
      <c r="AC445">
        <v>18.871099999999899</v>
      </c>
      <c r="AD445">
        <v>-1.1048578975200001</v>
      </c>
      <c r="AE445">
        <v>0.50250000000005401</v>
      </c>
      <c r="AF445">
        <v>-1.0406640366898401</v>
      </c>
      <c r="AG445">
        <v>-1.1048578975200001</v>
      </c>
      <c r="AH445">
        <v>18.784541652043799</v>
      </c>
      <c r="AI445">
        <v>93.3609687900816</v>
      </c>
      <c r="AJ445">
        <v>93.1709460952124</v>
      </c>
      <c r="AK445">
        <v>18.845760735198201</v>
      </c>
    </row>
    <row r="446" spans="1:37" x14ac:dyDescent="0.2">
      <c r="A446" t="str">
        <f>"20200111160105148"</f>
        <v>20200111160105148</v>
      </c>
      <c r="B446" t="str">
        <f>"1578729665139631"</f>
        <v>1578729665139631</v>
      </c>
      <c r="C446" t="s">
        <v>37</v>
      </c>
      <c r="D446">
        <v>4.5681599999999998</v>
      </c>
      <c r="E446">
        <v>0.50018099999999999</v>
      </c>
      <c r="F446" t="s">
        <v>38</v>
      </c>
      <c r="G446">
        <v>-321.04300000000001</v>
      </c>
      <c r="H446" s="1">
        <v>-4.0857029999999902E-6</v>
      </c>
      <c r="I446">
        <v>368.14580000000001</v>
      </c>
      <c r="J446">
        <v>-339.98450000000003</v>
      </c>
      <c r="K446">
        <v>1.1049040000000001</v>
      </c>
      <c r="L446">
        <v>367.62049999999999</v>
      </c>
      <c r="M446">
        <v>0.99950190000000005</v>
      </c>
      <c r="N446">
        <v>0</v>
      </c>
      <c r="O446">
        <v>-2.7868670000000002E-2</v>
      </c>
      <c r="P446">
        <v>0.99911329999999998</v>
      </c>
      <c r="Q446">
        <v>-3.221889E-2</v>
      </c>
      <c r="R446">
        <v>2.7115360000000002E-2</v>
      </c>
      <c r="S446">
        <v>2.9949949999999999</v>
      </c>
      <c r="T446">
        <v>-0.1713182</v>
      </c>
      <c r="U446">
        <v>7.9925540000000003E-2</v>
      </c>
      <c r="V446">
        <v>-5.4921129999999999E-2</v>
      </c>
      <c r="W446">
        <v>-1.7524319999999999E-2</v>
      </c>
      <c r="X446">
        <v>0.99833689999999997</v>
      </c>
      <c r="Y446">
        <v>-5.4393909999999997E-2</v>
      </c>
      <c r="Z446">
        <v>3.1468720000000002E-3</v>
      </c>
      <c r="AA446">
        <v>0.99851460000000003</v>
      </c>
      <c r="AB446">
        <v>37</v>
      </c>
      <c r="AC446">
        <v>18.941500000000001</v>
      </c>
      <c r="AD446">
        <v>-1.104908085703</v>
      </c>
      <c r="AE446">
        <v>0.52530000000001498</v>
      </c>
      <c r="AF446">
        <v>-1.0494599737124</v>
      </c>
      <c r="AG446">
        <v>-1.104908085703</v>
      </c>
      <c r="AH446">
        <v>18.855390444774599</v>
      </c>
      <c r="AI446">
        <v>93.348472774330503</v>
      </c>
      <c r="AJ446">
        <v>93.185701812526801</v>
      </c>
      <c r="AK446">
        <v>18.916869110377998</v>
      </c>
    </row>
    <row r="447" spans="1:37" x14ac:dyDescent="0.2">
      <c r="A447" t="str">
        <f>"20200111160105438"</f>
        <v>20200111160105438</v>
      </c>
      <c r="B447" t="str">
        <f>"1578729665429898"</f>
        <v>1578729665429898</v>
      </c>
      <c r="C447" t="s">
        <v>37</v>
      </c>
      <c r="D447">
        <v>4.7456379999999996</v>
      </c>
      <c r="E447">
        <v>0.50007760000000001</v>
      </c>
      <c r="F447" t="s">
        <v>38</v>
      </c>
      <c r="G447">
        <v>-320.93549999999999</v>
      </c>
      <c r="H447" s="1">
        <v>-4.1305419999999902E-6</v>
      </c>
      <c r="I447">
        <v>368.15300000000002</v>
      </c>
      <c r="J447">
        <v>-335.2919</v>
      </c>
      <c r="K447">
        <v>1.1052299999999999</v>
      </c>
      <c r="L447">
        <v>367.53149999999999</v>
      </c>
      <c r="M447">
        <v>0.99978799999999901</v>
      </c>
      <c r="N447">
        <v>0</v>
      </c>
      <c r="O447">
        <v>-1.433424E-2</v>
      </c>
      <c r="P447">
        <v>0.99877969999999905</v>
      </c>
      <c r="Q447">
        <v>-2.9547839999999999E-2</v>
      </c>
      <c r="R447">
        <v>3.9574970000000001E-2</v>
      </c>
      <c r="S447">
        <v>2.9947509999999999</v>
      </c>
      <c r="T447">
        <v>-0.17370579999999999</v>
      </c>
      <c r="U447">
        <v>8.3709720000000001E-2</v>
      </c>
      <c r="V447">
        <v>-5.3852249999999997E-2</v>
      </c>
      <c r="W447">
        <v>-1.49347E-2</v>
      </c>
      <c r="X447">
        <v>0.99843719999999903</v>
      </c>
      <c r="Y447">
        <v>-4.217365E-2</v>
      </c>
      <c r="Z447">
        <v>2.052529E-3</v>
      </c>
      <c r="AA447">
        <v>0.9991082</v>
      </c>
      <c r="AB447">
        <v>36</v>
      </c>
      <c r="AC447">
        <v>14.356400000000001</v>
      </c>
      <c r="AD447">
        <v>-1.1052341305419999</v>
      </c>
      <c r="AE447">
        <v>0.62150000000002503</v>
      </c>
      <c r="AF447">
        <v>-0.82238175696319404</v>
      </c>
      <c r="AG447">
        <v>-1.1052341305419999</v>
      </c>
      <c r="AH447">
        <v>14.2616477132984</v>
      </c>
      <c r="AI447">
        <v>94.424070797370902</v>
      </c>
      <c r="AJ447">
        <v>93.300241545979006</v>
      </c>
      <c r="AK447">
        <v>14.3280302112931</v>
      </c>
    </row>
    <row r="448" spans="1:37" x14ac:dyDescent="0.2">
      <c r="A448" t="str">
        <f>"20200111160105460"</f>
        <v>20200111160105460</v>
      </c>
      <c r="B448" t="str">
        <f>"1578729665449414"</f>
        <v>1578729665449414</v>
      </c>
      <c r="C448" t="s">
        <v>37</v>
      </c>
      <c r="D448">
        <v>4.7042129999999904</v>
      </c>
      <c r="E448">
        <v>0.58494889999999999</v>
      </c>
      <c r="F448" t="s">
        <v>39</v>
      </c>
      <c r="G448">
        <v>-314.5308</v>
      </c>
      <c r="H448">
        <v>-0.05</v>
      </c>
      <c r="I448">
        <v>368.3777</v>
      </c>
      <c r="J448">
        <v>-334.9409</v>
      </c>
      <c r="K448">
        <v>1.1052299999999999</v>
      </c>
      <c r="L448">
        <v>367.52749999999997</v>
      </c>
      <c r="M448">
        <v>0.99980279999999999</v>
      </c>
      <c r="N448">
        <v>0</v>
      </c>
      <c r="O448">
        <v>-1.328069E-2</v>
      </c>
      <c r="P448">
        <v>0.99872709999999998</v>
      </c>
      <c r="Q448">
        <v>-2.972766E-2</v>
      </c>
      <c r="R448">
        <v>4.0747600000000002E-2</v>
      </c>
      <c r="S448">
        <v>2.9938959999999999</v>
      </c>
      <c r="T448">
        <v>-0.16659170000000001</v>
      </c>
      <c r="U448">
        <v>0.1220398</v>
      </c>
      <c r="V448">
        <v>-5.3971610000000003E-2</v>
      </c>
      <c r="W448">
        <v>-1.511856E-2</v>
      </c>
      <c r="X448">
        <v>0.99842799999999998</v>
      </c>
      <c r="Y448">
        <v>-5.3892809999999999E-2</v>
      </c>
      <c r="Z448">
        <v>2.2358450000000002E-3</v>
      </c>
      <c r="AA448">
        <v>0.99854419999999899</v>
      </c>
      <c r="AB448">
        <v>36</v>
      </c>
      <c r="AC448">
        <v>20.4101</v>
      </c>
      <c r="AD448">
        <v>-1.15523</v>
      </c>
      <c r="AE448">
        <v>0.85020000000002904</v>
      </c>
      <c r="AF448">
        <v>-1.11764042223616</v>
      </c>
      <c r="AG448">
        <v>-1.15523</v>
      </c>
      <c r="AH448">
        <v>20.331983155428201</v>
      </c>
      <c r="AI448">
        <v>93.247064410309804</v>
      </c>
      <c r="AJ448">
        <v>93.146357987408706</v>
      </c>
      <c r="AK448">
        <v>20.395421434697901</v>
      </c>
    </row>
    <row r="449" spans="1:37" x14ac:dyDescent="0.2">
      <c r="A449" t="str">
        <f>"20200111160105482"</f>
        <v>20200111160105482</v>
      </c>
      <c r="B449" t="str">
        <f>"1578729665479671"</f>
        <v>1578729665479671</v>
      </c>
      <c r="C449" t="s">
        <v>37</v>
      </c>
      <c r="D449">
        <v>8.3490000000000002</v>
      </c>
      <c r="E449">
        <v>0.66552840000000002</v>
      </c>
      <c r="F449" t="s">
        <v>39</v>
      </c>
      <c r="G449">
        <v>-297.2706</v>
      </c>
      <c r="H449">
        <v>-0.05</v>
      </c>
      <c r="I449">
        <v>360.60820000000001</v>
      </c>
      <c r="J449">
        <v>-334.59030000000001</v>
      </c>
      <c r="K449">
        <v>1.1052309999999901</v>
      </c>
      <c r="L449">
        <v>367.52390000000003</v>
      </c>
      <c r="M449">
        <v>0.99981629999999999</v>
      </c>
      <c r="N449">
        <v>0</v>
      </c>
      <c r="O449">
        <v>-1.222763E-2</v>
      </c>
      <c r="P449">
        <v>0.99867649999999997</v>
      </c>
      <c r="Q449">
        <v>-2.9862909999999999E-2</v>
      </c>
      <c r="R449">
        <v>4.1878850000000002E-2</v>
      </c>
      <c r="S449">
        <v>3.02371199999999</v>
      </c>
      <c r="T449">
        <v>-9.2727779999999996E-2</v>
      </c>
      <c r="U449">
        <v>-0.55538940000000003</v>
      </c>
      <c r="V449">
        <v>-5.4050519999999998E-2</v>
      </c>
      <c r="W449">
        <v>-1.525759E-2</v>
      </c>
      <c r="X449">
        <v>0.99842160000000002</v>
      </c>
      <c r="Y449">
        <v>0.16854359999999999</v>
      </c>
      <c r="Z449">
        <v>-2.190609E-3</v>
      </c>
      <c r="AA449">
        <v>0.98569180000000001</v>
      </c>
      <c r="AB449">
        <v>36</v>
      </c>
      <c r="AC449">
        <v>37.319699999999997</v>
      </c>
      <c r="AD449">
        <v>-1.1552309999999999</v>
      </c>
      <c r="AE449">
        <v>-6.91570000000001</v>
      </c>
      <c r="AF449">
        <v>6.4528237789242899</v>
      </c>
      <c r="AG449">
        <v>-1.1552309999999999</v>
      </c>
      <c r="AH449">
        <v>37.3668645588291</v>
      </c>
      <c r="AI449">
        <v>91.744976462597407</v>
      </c>
      <c r="AJ449">
        <v>80.202314473436999</v>
      </c>
      <c r="AK449">
        <v>37.937528390013597</v>
      </c>
    </row>
    <row r="450" spans="1:37" x14ac:dyDescent="0.2">
      <c r="A450" t="str">
        <f>"20200111160105505"</f>
        <v>20200111160105505</v>
      </c>
      <c r="B450" t="str">
        <f>"1578729665500167"</f>
        <v>1578729665500167</v>
      </c>
      <c r="C450" t="s">
        <v>37</v>
      </c>
      <c r="D450">
        <v>4.279426</v>
      </c>
      <c r="E450">
        <v>0.65991899999999903</v>
      </c>
      <c r="F450" t="s">
        <v>48</v>
      </c>
      <c r="G450">
        <v>-284.68490000000003</v>
      </c>
      <c r="H450">
        <v>5.0562440000000004</v>
      </c>
      <c r="I450">
        <v>347.77679999999998</v>
      </c>
      <c r="J450">
        <v>-334.22399999999999</v>
      </c>
      <c r="K450">
        <v>1.105229</v>
      </c>
      <c r="L450">
        <v>367.52050000000003</v>
      </c>
      <c r="M450">
        <v>0.99982919999999997</v>
      </c>
      <c r="N450">
        <v>0</v>
      </c>
      <c r="O450">
        <v>-1.112702E-2</v>
      </c>
      <c r="P450">
        <v>0.99863639999999998</v>
      </c>
      <c r="Q450">
        <v>-2.9823079999999998E-2</v>
      </c>
      <c r="R450">
        <v>4.2850760000000002E-2</v>
      </c>
      <c r="S450">
        <v>3.0620729999999998</v>
      </c>
      <c r="T450">
        <v>0.24242449999999999</v>
      </c>
      <c r="U450">
        <v>-1.2116389999999999</v>
      </c>
      <c r="V450">
        <v>-5.3923440000000003E-2</v>
      </c>
      <c r="W450">
        <v>-1.5220910000000001E-2</v>
      </c>
      <c r="X450">
        <v>0.99842909999999996</v>
      </c>
      <c r="Y450">
        <v>0.35663099999999998</v>
      </c>
      <c r="Z450">
        <v>1.2737699999999999E-2</v>
      </c>
      <c r="AA450">
        <v>0.934158499999999</v>
      </c>
      <c r="AB450">
        <v>36</v>
      </c>
      <c r="AC450">
        <v>49.539099999999898</v>
      </c>
      <c r="AD450">
        <v>3.9510149999999999</v>
      </c>
      <c r="AE450">
        <v>-19.7437</v>
      </c>
      <c r="AF450">
        <v>19.086428432670701</v>
      </c>
      <c r="AG450">
        <v>3.9510149999999999</v>
      </c>
      <c r="AH450">
        <v>49.484123934349597</v>
      </c>
      <c r="AI450">
        <v>85.739630217937105</v>
      </c>
      <c r="AJ450">
        <v>68.907967992769599</v>
      </c>
      <c r="AK450">
        <v>53.184403648022197</v>
      </c>
    </row>
    <row r="451" spans="1:37" x14ac:dyDescent="0.2">
      <c r="A451" t="str">
        <f>"20200111160105528"</f>
        <v>20200111160105528</v>
      </c>
      <c r="B451" t="str">
        <f>"1578729665519690"</f>
        <v>1578729665519690</v>
      </c>
      <c r="C451" t="s">
        <v>37</v>
      </c>
      <c r="D451">
        <v>4.8924640000000004</v>
      </c>
      <c r="E451">
        <v>0.58973750000000003</v>
      </c>
      <c r="F451" t="s">
        <v>40</v>
      </c>
      <c r="G451">
        <v>-244.1003</v>
      </c>
      <c r="H451">
        <v>8.6445919999999994</v>
      </c>
      <c r="I451">
        <v>333.24279999999999</v>
      </c>
      <c r="J451">
        <v>-333.85039999999998</v>
      </c>
      <c r="K451">
        <v>1.105235</v>
      </c>
      <c r="L451">
        <v>367.51749999999998</v>
      </c>
      <c r="M451">
        <v>0.99984110000000004</v>
      </c>
      <c r="N451">
        <v>0</v>
      </c>
      <c r="O451">
        <v>-1.000448E-2</v>
      </c>
      <c r="P451">
        <v>0.99857369999999901</v>
      </c>
      <c r="Q451">
        <v>-2.9617770000000002E-2</v>
      </c>
      <c r="R451">
        <v>4.442397E-2</v>
      </c>
      <c r="S451">
        <v>3.0617070000000002</v>
      </c>
      <c r="T451">
        <v>0.25612960000000001</v>
      </c>
      <c r="U451">
        <v>-1.16449</v>
      </c>
      <c r="V451">
        <v>-5.4375409999999999E-2</v>
      </c>
      <c r="W451">
        <v>-1.502095E-2</v>
      </c>
      <c r="X451">
        <v>0.99840759999999995</v>
      </c>
      <c r="Y451">
        <v>0.34510390000000002</v>
      </c>
      <c r="Z451">
        <v>1.311852E-2</v>
      </c>
      <c r="AA451">
        <v>0.9384728</v>
      </c>
      <c r="AB451">
        <v>36</v>
      </c>
      <c r="AC451">
        <v>89.750099999999904</v>
      </c>
      <c r="AD451">
        <v>7.5393569999999901</v>
      </c>
      <c r="AE451">
        <v>-34.274700000000003</v>
      </c>
      <c r="AF451">
        <v>33.170701855501903</v>
      </c>
      <c r="AG451">
        <v>7.5393569999999901</v>
      </c>
      <c r="AH451">
        <v>89.5371312080634</v>
      </c>
      <c r="AI451">
        <v>85.485327625880799</v>
      </c>
      <c r="AJ451">
        <v>69.671910599373703</v>
      </c>
      <c r="AK451">
        <v>95.781184115305294</v>
      </c>
    </row>
    <row r="452" spans="1:37" x14ac:dyDescent="0.2">
      <c r="A452" t="str">
        <f>"20200111160105550"</f>
        <v>20200111160105550</v>
      </c>
      <c r="B452" t="str">
        <f>"1578729665540186"</f>
        <v>1578729665540186</v>
      </c>
      <c r="C452" t="s">
        <v>37</v>
      </c>
      <c r="D452">
        <v>8.7901009999999999</v>
      </c>
      <c r="E452">
        <v>0.59637949999999995</v>
      </c>
      <c r="F452" t="s">
        <v>44</v>
      </c>
      <c r="G452">
        <v>-236.09010000000001</v>
      </c>
      <c r="H452">
        <v>2.7917209999999999</v>
      </c>
      <c r="I452">
        <v>348.51170000000002</v>
      </c>
      <c r="J452">
        <v>-333.5052</v>
      </c>
      <c r="K452">
        <v>1.105234</v>
      </c>
      <c r="L452">
        <v>367.51499999999999</v>
      </c>
      <c r="M452">
        <v>0.99985100000000005</v>
      </c>
      <c r="N452">
        <v>0</v>
      </c>
      <c r="O452">
        <v>-8.9665779999999994E-3</v>
      </c>
      <c r="P452">
        <v>0.99851659999999998</v>
      </c>
      <c r="Q452">
        <v>-2.887462E-2</v>
      </c>
      <c r="R452">
        <v>4.6161580000000001E-2</v>
      </c>
      <c r="S452">
        <v>3.0321039999999999</v>
      </c>
      <c r="T452">
        <v>5.2309990000000001E-2</v>
      </c>
      <c r="U452">
        <v>-0.58947749999999999</v>
      </c>
      <c r="V452">
        <v>-5.5078670000000003E-2</v>
      </c>
      <c r="W452">
        <v>-1.428337E-2</v>
      </c>
      <c r="X452">
        <v>0.99837980000000004</v>
      </c>
      <c r="Y452">
        <v>0.18200379999999899</v>
      </c>
      <c r="Z452">
        <v>1.4020669999999999E-3</v>
      </c>
      <c r="AA452">
        <v>0.98329679999999997</v>
      </c>
      <c r="AB452">
        <v>36</v>
      </c>
      <c r="AC452">
        <v>97.415099999999995</v>
      </c>
      <c r="AD452">
        <v>1.6864869999999901</v>
      </c>
      <c r="AE452">
        <v>-19.0032999999999</v>
      </c>
      <c r="AF452">
        <v>18.123727876425601</v>
      </c>
      <c r="AG452">
        <v>1.6864869999999901</v>
      </c>
      <c r="AH452">
        <v>97.553429425466902</v>
      </c>
      <c r="AI452">
        <v>89.026237959428599</v>
      </c>
      <c r="AJ452">
        <v>79.475433176685897</v>
      </c>
      <c r="AK452">
        <v>99.237015993073101</v>
      </c>
    </row>
    <row r="453" spans="1:37" x14ac:dyDescent="0.2">
      <c r="A453" t="str">
        <f>"20200111160105572"</f>
        <v>20200111160105572</v>
      </c>
      <c r="B453" t="str">
        <f>"1578729665569971"</f>
        <v>1578729665569971</v>
      </c>
      <c r="C453" t="s">
        <v>37</v>
      </c>
      <c r="D453">
        <v>4.3333430000000002</v>
      </c>
      <c r="E453">
        <v>0.59408309999999998</v>
      </c>
      <c r="F453" t="s">
        <v>52</v>
      </c>
      <c r="G453">
        <v>-238.1224</v>
      </c>
      <c r="H453">
        <v>3.2974519999999998</v>
      </c>
      <c r="I453">
        <v>347.48480000000001</v>
      </c>
      <c r="J453">
        <v>-333.1542</v>
      </c>
      <c r="K453">
        <v>1.105235</v>
      </c>
      <c r="L453">
        <v>367.51299999999998</v>
      </c>
      <c r="M453">
        <v>0.99985999999999997</v>
      </c>
      <c r="N453">
        <v>0</v>
      </c>
      <c r="O453">
        <v>-7.9108000000000008E-3</v>
      </c>
      <c r="P453">
        <v>0.99843769999999998</v>
      </c>
      <c r="Q453">
        <v>-2.8596899999999901E-2</v>
      </c>
      <c r="R453">
        <v>4.8003169999999998E-2</v>
      </c>
      <c r="S453">
        <v>3.0359500000000001</v>
      </c>
      <c r="T453">
        <v>6.9778679999999996E-2</v>
      </c>
      <c r="U453">
        <v>-0.63754270000000002</v>
      </c>
      <c r="V453">
        <v>-5.5866279999999997E-2</v>
      </c>
      <c r="W453">
        <v>-1.401167E-2</v>
      </c>
      <c r="X453">
        <v>0.99834000000000001</v>
      </c>
      <c r="Y453">
        <v>0.197718</v>
      </c>
      <c r="Z453">
        <v>2.067569E-3</v>
      </c>
      <c r="AA453">
        <v>0.98025669999999898</v>
      </c>
      <c r="AB453">
        <v>36</v>
      </c>
      <c r="AC453">
        <v>95.031800000000004</v>
      </c>
      <c r="AD453">
        <v>2.1922169999999999</v>
      </c>
      <c r="AE453">
        <v>-20.028199999999998</v>
      </c>
      <c r="AF453">
        <v>19.265897641310399</v>
      </c>
      <c r="AG453">
        <v>2.1922169999999999</v>
      </c>
      <c r="AH453">
        <v>95.138807563975703</v>
      </c>
      <c r="AI453">
        <v>88.706257854340294</v>
      </c>
      <c r="AJ453">
        <v>78.552236483337694</v>
      </c>
      <c r="AK453">
        <v>97.0946617069947</v>
      </c>
    </row>
    <row r="454" spans="1:37" x14ac:dyDescent="0.2">
      <c r="A454" t="str">
        <f>"20200111160105593"</f>
        <v>20200111160105593</v>
      </c>
      <c r="B454" t="str">
        <f>"1578729665589493"</f>
        <v>1578729665589493</v>
      </c>
      <c r="C454" t="s">
        <v>37</v>
      </c>
      <c r="D454">
        <v>5.0914580000000003</v>
      </c>
      <c r="E454">
        <v>0.59021689999999905</v>
      </c>
      <c r="F454" t="s">
        <v>44</v>
      </c>
      <c r="G454">
        <v>-238.8965</v>
      </c>
      <c r="H454">
        <v>1.993465</v>
      </c>
      <c r="I454">
        <v>348.51170000000002</v>
      </c>
      <c r="J454">
        <v>-332.80779999999999</v>
      </c>
      <c r="K454">
        <v>1.105235</v>
      </c>
      <c r="L454">
        <v>367.51130000000001</v>
      </c>
      <c r="M454">
        <v>0.99986769999999903</v>
      </c>
      <c r="N454">
        <v>0</v>
      </c>
      <c r="O454">
        <v>-6.8683759999999998E-3</v>
      </c>
      <c r="P454">
        <v>0.99837260000000005</v>
      </c>
      <c r="Q454">
        <v>-2.8597919999999999E-2</v>
      </c>
      <c r="R454">
        <v>4.9340929999999998E-2</v>
      </c>
      <c r="S454">
        <v>3.0349729999999999</v>
      </c>
      <c r="T454">
        <v>2.860236E-2</v>
      </c>
      <c r="U454">
        <v>-0.61181640000000004</v>
      </c>
      <c r="V454">
        <v>-5.6162860000000002E-2</v>
      </c>
      <c r="W454">
        <v>-1.4017109999999999E-2</v>
      </c>
      <c r="X454">
        <v>0.99832319999999997</v>
      </c>
      <c r="Y454">
        <v>0.19086719999999999</v>
      </c>
      <c r="Z454">
        <v>8.2633619999999996E-4</v>
      </c>
      <c r="AA454">
        <v>0.98161549999999997</v>
      </c>
      <c r="AB454">
        <v>36</v>
      </c>
      <c r="AC454">
        <v>93.911299999999898</v>
      </c>
      <c r="AD454">
        <v>0.88822999999999996</v>
      </c>
      <c r="AE454">
        <v>-18.999599999999901</v>
      </c>
      <c r="AF454">
        <v>18.352486296752801</v>
      </c>
      <c r="AG454">
        <v>0.88822999999999996</v>
      </c>
      <c r="AH454">
        <v>94.031513934930999</v>
      </c>
      <c r="AI454">
        <v>89.468817072577295</v>
      </c>
      <c r="AJ454">
        <v>78.956199023695703</v>
      </c>
      <c r="AK454">
        <v>95.809855018680196</v>
      </c>
    </row>
    <row r="455" spans="1:37" x14ac:dyDescent="0.2">
      <c r="A455" t="str">
        <f>"20200111160105616"</f>
        <v>20200111160105616</v>
      </c>
      <c r="B455" t="str">
        <f>"1578729665609987"</f>
        <v>1578729665609987</v>
      </c>
      <c r="C455" t="s">
        <v>37</v>
      </c>
      <c r="D455">
        <v>4.9531390000000002</v>
      </c>
      <c r="E455">
        <v>0.52093120000000004</v>
      </c>
      <c r="F455" t="s">
        <v>44</v>
      </c>
      <c r="G455">
        <v>-232.78270000000001</v>
      </c>
      <c r="H455">
        <v>1.5548819999999901</v>
      </c>
      <c r="I455">
        <v>348.51170000000002</v>
      </c>
      <c r="J455">
        <v>-332.44709999999998</v>
      </c>
      <c r="K455">
        <v>1.105234</v>
      </c>
      <c r="L455">
        <v>367.50990000000002</v>
      </c>
      <c r="M455">
        <v>0.99987469999999901</v>
      </c>
      <c r="N455">
        <v>0</v>
      </c>
      <c r="O455">
        <v>-5.7822050000000003E-3</v>
      </c>
      <c r="P455">
        <v>0.99833349999999899</v>
      </c>
      <c r="Q455">
        <v>-2.8681519999999999E-2</v>
      </c>
      <c r="R455">
        <v>5.0079789999999999E-2</v>
      </c>
      <c r="S455">
        <v>3.0337830000000001</v>
      </c>
      <c r="T455">
        <v>1.3640279999999999E-2</v>
      </c>
      <c r="U455">
        <v>-0.57626339999999998</v>
      </c>
      <c r="V455">
        <v>-5.5817180000000001E-2</v>
      </c>
      <c r="W455">
        <v>-1.410319E-2</v>
      </c>
      <c r="X455">
        <v>0.99834140000000005</v>
      </c>
      <c r="Y455">
        <v>0.180926</v>
      </c>
      <c r="Z455">
        <v>3.7736129999999999E-4</v>
      </c>
      <c r="AA455">
        <v>0.98349660000000005</v>
      </c>
      <c r="AB455">
        <v>36</v>
      </c>
      <c r="AC455">
        <v>99.664399999999901</v>
      </c>
      <c r="AD455">
        <v>0.44964799999999899</v>
      </c>
      <c r="AE455">
        <v>-18.998200000000001</v>
      </c>
      <c r="AF455">
        <v>18.4211779535472</v>
      </c>
      <c r="AG455">
        <v>0.44964799999999899</v>
      </c>
      <c r="AH455">
        <v>99.770637357234904</v>
      </c>
      <c r="AI455">
        <v>89.746072053064395</v>
      </c>
      <c r="AJ455">
        <v>79.538989455129297</v>
      </c>
      <c r="AK455">
        <v>101.45798174214301</v>
      </c>
    </row>
    <row r="456" spans="1:37" x14ac:dyDescent="0.2">
      <c r="A456" t="str">
        <f>"20200111160105638"</f>
        <v>20200111160105638</v>
      </c>
      <c r="B456" t="str">
        <f>"1578729665629520"</f>
        <v>1578729665629520</v>
      </c>
      <c r="C456" t="s">
        <v>37</v>
      </c>
      <c r="D456">
        <v>4.8829180000000001</v>
      </c>
      <c r="E456">
        <v>0.51903739999999998</v>
      </c>
      <c r="F456" t="s">
        <v>42</v>
      </c>
      <c r="G456">
        <v>-331.51479999999998</v>
      </c>
      <c r="H456">
        <v>1.038225</v>
      </c>
      <c r="I456">
        <v>367.50659999999999</v>
      </c>
      <c r="J456">
        <v>-332.0917</v>
      </c>
      <c r="K456">
        <v>1.1052299999999999</v>
      </c>
      <c r="L456">
        <v>367.50900000000001</v>
      </c>
      <c r="M456">
        <v>0.99988029999999894</v>
      </c>
      <c r="N456">
        <v>0</v>
      </c>
      <c r="O456">
        <v>-4.7117670000000004E-3</v>
      </c>
      <c r="P456">
        <v>0.99827350000000004</v>
      </c>
      <c r="Q456">
        <v>-2.922611E-2</v>
      </c>
      <c r="R456">
        <v>5.094887E-2</v>
      </c>
      <c r="S456">
        <v>2.9993590000000001</v>
      </c>
      <c r="T456">
        <v>-0.21572739999999899</v>
      </c>
      <c r="U456">
        <v>-1.025391E-2</v>
      </c>
      <c r="V456">
        <v>-5.5616319999999997E-2</v>
      </c>
      <c r="W456">
        <v>-1.465088E-2</v>
      </c>
      <c r="X456">
        <v>0.99834469999999997</v>
      </c>
      <c r="Y456">
        <v>-1.278136E-3</v>
      </c>
      <c r="Z456">
        <v>3.8439379999999899E-4</v>
      </c>
      <c r="AA456">
        <v>0.99999910000000003</v>
      </c>
      <c r="AB456">
        <v>36</v>
      </c>
      <c r="AC456">
        <v>0.57690000000002295</v>
      </c>
      <c r="AD456">
        <v>-6.7004999999999898E-2</v>
      </c>
      <c r="AE456">
        <v>-2.4000000000228201E-3</v>
      </c>
      <c r="AF456">
        <v>-3.1430040255117799E-4</v>
      </c>
      <c r="AG456">
        <v>-6.7004999999999898E-2</v>
      </c>
      <c r="AH456">
        <v>0.56922615167288104</v>
      </c>
      <c r="AI456">
        <v>96.713530767235895</v>
      </c>
      <c r="AJ456">
        <v>90.031636081164606</v>
      </c>
      <c r="AK456">
        <v>0.57315633169150304</v>
      </c>
    </row>
    <row r="457" spans="1:37" x14ac:dyDescent="0.2">
      <c r="A457" t="str">
        <f>"20200111160105661"</f>
        <v>20200111160105661</v>
      </c>
      <c r="B457" t="str">
        <f>"1578729665650006"</f>
        <v>1578729665650006</v>
      </c>
      <c r="C457" t="s">
        <v>37</v>
      </c>
      <c r="D457">
        <v>4.97567</v>
      </c>
      <c r="E457">
        <v>0.5184105</v>
      </c>
      <c r="F457" t="s">
        <v>42</v>
      </c>
      <c r="G457">
        <v>-331.19229999999999</v>
      </c>
      <c r="H457">
        <v>1.038543</v>
      </c>
      <c r="I457">
        <v>367.51089999999999</v>
      </c>
      <c r="J457">
        <v>-331.74029999999999</v>
      </c>
      <c r="K457">
        <v>1.105224</v>
      </c>
      <c r="L457">
        <v>367.50839999999999</v>
      </c>
      <c r="M457">
        <v>0.99988480000000002</v>
      </c>
      <c r="N457">
        <v>0</v>
      </c>
      <c r="O457">
        <v>-3.653604E-3</v>
      </c>
      <c r="P457">
        <v>0.99822310000000003</v>
      </c>
      <c r="Q457">
        <v>-3.0131580000000002E-2</v>
      </c>
      <c r="R457">
        <v>5.1409419999999997E-2</v>
      </c>
      <c r="S457">
        <v>2.998291</v>
      </c>
      <c r="T457">
        <v>-0.2226011</v>
      </c>
      <c r="U457">
        <v>7.3547359999999997E-3</v>
      </c>
      <c r="V457">
        <v>-5.5018600000000001E-2</v>
      </c>
      <c r="W457">
        <v>-1.5558249999999999E-2</v>
      </c>
      <c r="X457">
        <v>0.99836409999999998</v>
      </c>
      <c r="Y457">
        <v>-6.0801529999999996E-3</v>
      </c>
      <c r="Z457">
        <v>4.9630210000000004E-4</v>
      </c>
      <c r="AA457">
        <v>0.99998140000000002</v>
      </c>
      <c r="AB457">
        <v>36</v>
      </c>
      <c r="AC457">
        <v>0.54800000000000104</v>
      </c>
      <c r="AD457">
        <v>-6.6680999999999893E-2</v>
      </c>
      <c r="AE457">
        <v>2.4999999999977202E-3</v>
      </c>
      <c r="AF457">
        <v>-4.4366865884246896E-3</v>
      </c>
      <c r="AG457">
        <v>-6.6680999999999893E-2</v>
      </c>
      <c r="AH457">
        <v>0.53999215080000496</v>
      </c>
      <c r="AI457">
        <v>97.039304827665404</v>
      </c>
      <c r="AJ457">
        <v>90.470743317853305</v>
      </c>
      <c r="AK457">
        <v>0.54411171911152501</v>
      </c>
    </row>
    <row r="458" spans="1:37" x14ac:dyDescent="0.2">
      <c r="A458" t="str">
        <f>"20200111160105674"</f>
        <v>20200111160105674</v>
      </c>
      <c r="B458" t="str">
        <f>"1578729665670030"</f>
        <v>1578729665670030</v>
      </c>
      <c r="C458" t="s">
        <v>37</v>
      </c>
      <c r="D458">
        <v>4.9321960000000002</v>
      </c>
      <c r="E458">
        <v>0.51934769999999997</v>
      </c>
      <c r="F458" t="s">
        <v>42</v>
      </c>
      <c r="G458">
        <v>-330.87259999999998</v>
      </c>
      <c r="H458">
        <v>1.038351</v>
      </c>
      <c r="I458">
        <v>367.51209999999998</v>
      </c>
      <c r="J458">
        <v>-331.52370000000002</v>
      </c>
      <c r="K458">
        <v>1.105221</v>
      </c>
      <c r="L458">
        <v>367.50810000000001</v>
      </c>
      <c r="M458">
        <v>0.99988709999999903</v>
      </c>
      <c r="N458">
        <v>0</v>
      </c>
      <c r="O458">
        <v>-3.0013269999999998E-3</v>
      </c>
      <c r="P458">
        <v>0.99821000000000004</v>
      </c>
      <c r="Q458">
        <v>-3.0533279999999999E-2</v>
      </c>
      <c r="R458">
        <v>5.1427199999999902E-2</v>
      </c>
      <c r="S458">
        <v>2.9975589999999999</v>
      </c>
      <c r="T458">
        <v>-0.23127519999999999</v>
      </c>
      <c r="U458">
        <v>1.409912E-2</v>
      </c>
      <c r="V458">
        <v>-5.4384130000000003E-2</v>
      </c>
      <c r="W458">
        <v>-1.5960240000000001E-2</v>
      </c>
      <c r="X458">
        <v>0.99839249999999902</v>
      </c>
      <c r="Y458">
        <v>-7.6733560000000001E-3</v>
      </c>
      <c r="Z458">
        <v>5.2682249999999999E-4</v>
      </c>
      <c r="AA458">
        <v>0.99997039999999904</v>
      </c>
      <c r="AB458">
        <v>36</v>
      </c>
      <c r="AC458">
        <v>0.65110000000004198</v>
      </c>
      <c r="AD458">
        <v>-6.6869999999999902E-2</v>
      </c>
      <c r="AE458">
        <v>3.9999999999622499E-3</v>
      </c>
      <c r="AF458">
        <v>-5.8922095645485397E-3</v>
      </c>
      <c r="AG458">
        <v>-6.6869999999999902E-2</v>
      </c>
      <c r="AH458">
        <v>0.64428939696674103</v>
      </c>
      <c r="AI458">
        <v>95.925196385369901</v>
      </c>
      <c r="AJ458">
        <v>90.523971572850996</v>
      </c>
      <c r="AK458">
        <v>0.64777707745590896</v>
      </c>
    </row>
    <row r="459" spans="1:37" x14ac:dyDescent="0.2">
      <c r="A459" t="str">
        <f>"20200111160105695"</f>
        <v>20200111160105695</v>
      </c>
      <c r="B459" t="str">
        <f>"1578729665689551"</f>
        <v>1578729665689551</v>
      </c>
      <c r="C459" t="s">
        <v>37</v>
      </c>
      <c r="D459">
        <v>4.6426639999999999</v>
      </c>
      <c r="E459">
        <v>0.63824519999999996</v>
      </c>
      <c r="F459" t="s">
        <v>42</v>
      </c>
      <c r="G459">
        <v>-330.5677</v>
      </c>
      <c r="H459">
        <v>1.032486</v>
      </c>
      <c r="I459">
        <v>367.51010000000002</v>
      </c>
      <c r="J459">
        <v>-331.18939999999998</v>
      </c>
      <c r="K459">
        <v>1.105219</v>
      </c>
      <c r="L459">
        <v>367.50810000000001</v>
      </c>
      <c r="M459">
        <v>0.99988960000000005</v>
      </c>
      <c r="N459">
        <v>0</v>
      </c>
      <c r="O459">
        <v>-1.9943059999999999E-3</v>
      </c>
      <c r="P459">
        <v>0.99819829999999998</v>
      </c>
      <c r="Q459">
        <v>-3.079018E-2</v>
      </c>
      <c r="R459">
        <v>5.1500369999999997E-2</v>
      </c>
      <c r="S459">
        <v>2.9980470000000001</v>
      </c>
      <c r="T459">
        <v>-0.2282382</v>
      </c>
      <c r="U459">
        <v>6.6833500000000002E-3</v>
      </c>
      <c r="V459">
        <v>-5.3451749999999999E-2</v>
      </c>
      <c r="W459">
        <v>-1.6217639999999998E-2</v>
      </c>
      <c r="X459">
        <v>0.99843869999999901</v>
      </c>
      <c r="Y459">
        <v>-4.2058E-3</v>
      </c>
      <c r="Z459">
        <v>3.1148150000000002E-4</v>
      </c>
      <c r="AA459">
        <v>0.99999110000000002</v>
      </c>
      <c r="AB459">
        <v>36</v>
      </c>
      <c r="AC459">
        <v>0.62169999999997505</v>
      </c>
      <c r="AD459">
        <v>-7.2732999999999895E-2</v>
      </c>
      <c r="AE459">
        <v>2.0000000000095402E-3</v>
      </c>
      <c r="AF459">
        <v>-3.1962446486143402E-3</v>
      </c>
      <c r="AG459">
        <v>-7.2732999999999895E-2</v>
      </c>
      <c r="AH459">
        <v>0.61330074916314103</v>
      </c>
      <c r="AI459">
        <v>96.763182267446297</v>
      </c>
      <c r="AJ459">
        <v>90.298596848238503</v>
      </c>
      <c r="AK459">
        <v>0.61760676339635701</v>
      </c>
    </row>
    <row r="460" spans="1:37" x14ac:dyDescent="0.2">
      <c r="A460" t="str">
        <f>"20200111160105717"</f>
        <v>20200111160105717</v>
      </c>
      <c r="B460" t="str">
        <f>"1578729665710046"</f>
        <v>1578729665710046</v>
      </c>
      <c r="C460" t="s">
        <v>37</v>
      </c>
      <c r="D460">
        <v>4.9067970000000001</v>
      </c>
      <c r="E460">
        <v>0.63824519999999996</v>
      </c>
      <c r="F460" t="s">
        <v>51</v>
      </c>
      <c r="G460">
        <v>-168.98830000000001</v>
      </c>
      <c r="H460">
        <v>19.508129999999898</v>
      </c>
      <c r="I460">
        <v>316.2389</v>
      </c>
      <c r="J460">
        <v>-330.82990000000001</v>
      </c>
      <c r="K460">
        <v>1.105219</v>
      </c>
      <c r="L460">
        <v>367.50850000000003</v>
      </c>
      <c r="M460">
        <v>0.99989130000000004</v>
      </c>
      <c r="N460">
        <v>0</v>
      </c>
      <c r="O460">
        <v>-9.1147099999999996E-4</v>
      </c>
      <c r="P460">
        <v>0.99821939999999998</v>
      </c>
      <c r="Q460">
        <v>-3.0138849999999998E-2</v>
      </c>
      <c r="R460">
        <v>5.1477750000000003E-2</v>
      </c>
      <c r="S460">
        <v>3.06610099999999</v>
      </c>
      <c r="T460">
        <v>0.34787199999999902</v>
      </c>
      <c r="U460">
        <v>-0.96914669999999903</v>
      </c>
      <c r="V460">
        <v>-5.2349140000000002E-2</v>
      </c>
      <c r="W460">
        <v>-1.556601E-2</v>
      </c>
      <c r="X460">
        <v>0.99850749999999999</v>
      </c>
      <c r="Y460">
        <v>0.29877999999999999</v>
      </c>
      <c r="Z460">
        <v>1.6396040000000001E-2</v>
      </c>
      <c r="AA460">
        <v>0.95418119999999995</v>
      </c>
      <c r="AB460">
        <v>35</v>
      </c>
      <c r="AC460">
        <v>161.8416</v>
      </c>
      <c r="AD460">
        <v>18.402911</v>
      </c>
      <c r="AE460">
        <v>-51.269599999999997</v>
      </c>
      <c r="AF460">
        <v>50.528311080591997</v>
      </c>
      <c r="AG460">
        <v>18.402911</v>
      </c>
      <c r="AH460">
        <v>160.00807845158999</v>
      </c>
      <c r="AI460">
        <v>83.741161376277603</v>
      </c>
      <c r="AJ460">
        <v>72.474612599991701</v>
      </c>
      <c r="AK460">
        <v>168.802732571783</v>
      </c>
    </row>
    <row r="461" spans="1:37" x14ac:dyDescent="0.2">
      <c r="A461" t="str">
        <f>"20200111160105740"</f>
        <v>20200111160105740</v>
      </c>
      <c r="B461" t="str">
        <f>"1578729665729566"</f>
        <v>1578729665729566</v>
      </c>
      <c r="C461" t="s">
        <v>37</v>
      </c>
      <c r="D461">
        <v>4.9479389999999999</v>
      </c>
      <c r="E461">
        <v>0.52391799999999999</v>
      </c>
      <c r="F461" t="s">
        <v>51</v>
      </c>
      <c r="G461">
        <v>-168.98830000000001</v>
      </c>
      <c r="H461">
        <v>19.557539999999999</v>
      </c>
      <c r="I461">
        <v>316.3306</v>
      </c>
      <c r="J461">
        <v>-330.47789999999998</v>
      </c>
      <c r="K461">
        <v>1.105224</v>
      </c>
      <c r="L461">
        <v>367.5093</v>
      </c>
      <c r="M461">
        <v>0.99989159999999899</v>
      </c>
      <c r="N461">
        <v>0</v>
      </c>
      <c r="O461">
        <v>1.493683E-4</v>
      </c>
      <c r="P461">
        <v>0.99820149999999996</v>
      </c>
      <c r="Q461">
        <v>-2.9136039999999998E-2</v>
      </c>
      <c r="R461">
        <v>5.2390699999999901E-2</v>
      </c>
      <c r="S461">
        <v>3.0658259999999999</v>
      </c>
      <c r="T461">
        <v>0.34954930000000001</v>
      </c>
      <c r="U461">
        <v>-0.96948239999999997</v>
      </c>
      <c r="V461">
        <v>-5.2206139999999998E-2</v>
      </c>
      <c r="W461">
        <v>-1.4566010000000001E-2</v>
      </c>
      <c r="X461">
        <v>0.99853009999999998</v>
      </c>
      <c r="Y461">
        <v>0.29988140000000002</v>
      </c>
      <c r="Z461">
        <v>1.665459E-2</v>
      </c>
      <c r="AA461">
        <v>0.95383109999999904</v>
      </c>
      <c r="AB461">
        <v>35</v>
      </c>
      <c r="AC461">
        <v>161.489599999999</v>
      </c>
      <c r="AD461">
        <v>18.452316</v>
      </c>
      <c r="AE461">
        <v>-51.1786999999999</v>
      </c>
      <c r="AF461">
        <v>50.602452851431401</v>
      </c>
      <c r="AG461">
        <v>18.452316</v>
      </c>
      <c r="AH461">
        <v>159.58852176082499</v>
      </c>
      <c r="AI461">
        <v>83.710450500333295</v>
      </c>
      <c r="AJ461">
        <v>72.4071793220769</v>
      </c>
      <c r="AK461">
        <v>168.43275357883999</v>
      </c>
    </row>
    <row r="462" spans="1:37" x14ac:dyDescent="0.2">
      <c r="A462" t="str">
        <f>"20200111160105761"</f>
        <v>20200111160105761</v>
      </c>
      <c r="B462" t="str">
        <f>"1578729665750062"</f>
        <v>1578729665750062</v>
      </c>
      <c r="C462" t="s">
        <v>37</v>
      </c>
      <c r="D462">
        <v>4.9392500000000004</v>
      </c>
      <c r="E462">
        <v>0.52472949999999996</v>
      </c>
      <c r="F462" t="s">
        <v>39</v>
      </c>
      <c r="G462">
        <v>-312.80529999999999</v>
      </c>
      <c r="H462">
        <v>-0.05</v>
      </c>
      <c r="I462">
        <v>367.34300000000002</v>
      </c>
      <c r="J462">
        <v>-330.154</v>
      </c>
      <c r="K462">
        <v>1.105226</v>
      </c>
      <c r="L462">
        <v>367.51029999999997</v>
      </c>
      <c r="M462">
        <v>0.99989119999999998</v>
      </c>
      <c r="N462">
        <v>0</v>
      </c>
      <c r="O462">
        <v>1.1264630000000001E-3</v>
      </c>
      <c r="P462">
        <v>0.99818200000000001</v>
      </c>
      <c r="Q462">
        <v>-2.833894E-2</v>
      </c>
      <c r="R462">
        <v>5.3196149999999998E-2</v>
      </c>
      <c r="S462">
        <v>3.00116</v>
      </c>
      <c r="T462">
        <v>-0.19617960000000001</v>
      </c>
      <c r="U462">
        <v>-2.8228759999999999E-2</v>
      </c>
      <c r="V462">
        <v>-5.2038170000000002E-2</v>
      </c>
      <c r="W462">
        <v>-1.3771530000000001E-2</v>
      </c>
      <c r="X462">
        <v>0.9985501</v>
      </c>
      <c r="Y462">
        <v>1.0507239999999999E-2</v>
      </c>
      <c r="Z462">
        <v>-4.1660699999999999E-4</v>
      </c>
      <c r="AA462">
        <v>0.99994470000000002</v>
      </c>
      <c r="AB462">
        <v>35</v>
      </c>
      <c r="AC462">
        <v>17.348700000000001</v>
      </c>
      <c r="AD462">
        <v>-1.1552260000000001</v>
      </c>
      <c r="AE462">
        <v>-0.16729999999995401</v>
      </c>
      <c r="AF462">
        <v>0.18601993261130201</v>
      </c>
      <c r="AG462">
        <v>-1.1552260000000001</v>
      </c>
      <c r="AH462">
        <v>17.271923160445599</v>
      </c>
      <c r="AI462">
        <v>93.826285899136394</v>
      </c>
      <c r="AJ462">
        <v>89.382943932903103</v>
      </c>
      <c r="AK462">
        <v>17.3115129375437</v>
      </c>
    </row>
    <row r="463" spans="1:37" x14ac:dyDescent="0.2">
      <c r="A463" t="str">
        <f>"20200111160105784"</f>
        <v>20200111160105784</v>
      </c>
      <c r="B463" t="str">
        <f>"1578729665779850"</f>
        <v>1578729665779850</v>
      </c>
      <c r="C463" t="s">
        <v>37</v>
      </c>
      <c r="D463">
        <v>8.2063220000000001</v>
      </c>
      <c r="E463">
        <v>0.5243099</v>
      </c>
      <c r="F463" t="s">
        <v>39</v>
      </c>
      <c r="G463">
        <v>-312.69069999999999</v>
      </c>
      <c r="H463">
        <v>-0.05</v>
      </c>
      <c r="I463">
        <v>367.32330000000002</v>
      </c>
      <c r="J463">
        <v>-329.78879999999998</v>
      </c>
      <c r="K463">
        <v>1.1052249999999999</v>
      </c>
      <c r="L463">
        <v>367.51190000000003</v>
      </c>
      <c r="M463">
        <v>0.99988929999999998</v>
      </c>
      <c r="N463">
        <v>0</v>
      </c>
      <c r="O463">
        <v>2.2288389999999998E-3</v>
      </c>
      <c r="P463">
        <v>0.99810710000000002</v>
      </c>
      <c r="Q463">
        <v>-2.80748E-2</v>
      </c>
      <c r="R463">
        <v>5.4719049999999998E-2</v>
      </c>
      <c r="S463">
        <v>3.0015259999999899</v>
      </c>
      <c r="T463">
        <v>-0.19855639999999999</v>
      </c>
      <c r="U463">
        <v>-3.2135009999999999E-2</v>
      </c>
      <c r="V463">
        <v>-5.2461170000000001E-2</v>
      </c>
      <c r="W463">
        <v>-1.351257E-2</v>
      </c>
      <c r="X463">
        <v>0.99853150000000002</v>
      </c>
      <c r="Y463">
        <v>1.290147E-2</v>
      </c>
      <c r="Z463">
        <v>-5.7354269999999896E-4</v>
      </c>
      <c r="AA463">
        <v>0.99991659999999905</v>
      </c>
      <c r="AB463">
        <v>35</v>
      </c>
      <c r="AC463">
        <v>17.098099999999899</v>
      </c>
      <c r="AD463">
        <v>-1.1552249999999999</v>
      </c>
      <c r="AE463">
        <v>-0.18860000000000801</v>
      </c>
      <c r="AF463">
        <v>0.22568246078270501</v>
      </c>
      <c r="AG463">
        <v>-1.1552249999999999</v>
      </c>
      <c r="AH463">
        <v>17.019951088045001</v>
      </c>
      <c r="AI463">
        <v>93.882641056234306</v>
      </c>
      <c r="AJ463">
        <v>89.240309523519201</v>
      </c>
      <c r="AK463">
        <v>17.0606041045789</v>
      </c>
    </row>
    <row r="464" spans="1:37" x14ac:dyDescent="0.2">
      <c r="A464" t="str">
        <f>"20200111160105806"</f>
        <v>20200111160105806</v>
      </c>
      <c r="B464" t="str">
        <f>"1578729665799370"</f>
        <v>1578729665799370</v>
      </c>
      <c r="C464" t="s">
        <v>37</v>
      </c>
      <c r="D464">
        <v>4.9528509999999999</v>
      </c>
      <c r="E464">
        <v>0.64829209999999904</v>
      </c>
      <c r="F464" t="s">
        <v>39</v>
      </c>
      <c r="G464">
        <v>-311.75170000000003</v>
      </c>
      <c r="H464">
        <v>-0.05</v>
      </c>
      <c r="I464">
        <v>367.36360000000002</v>
      </c>
      <c r="J464">
        <v>-329.4393</v>
      </c>
      <c r="K464">
        <v>1.1052219999999999</v>
      </c>
      <c r="L464">
        <v>367.5136</v>
      </c>
      <c r="M464">
        <v>0.99988650000000001</v>
      </c>
      <c r="N464">
        <v>0</v>
      </c>
      <c r="O464">
        <v>3.2840120000000002E-3</v>
      </c>
      <c r="P464">
        <v>0.99802979999999997</v>
      </c>
      <c r="Q464">
        <v>-2.7906810000000001E-2</v>
      </c>
      <c r="R464">
        <v>5.6196030000000001E-2</v>
      </c>
      <c r="S464">
        <v>3.0016479999999999</v>
      </c>
      <c r="T464">
        <v>-0.19224720000000001</v>
      </c>
      <c r="U464">
        <v>-2.4658199999999901E-2</v>
      </c>
      <c r="V464">
        <v>-5.2885519999999998E-2</v>
      </c>
      <c r="W464">
        <v>-1.334959E-2</v>
      </c>
      <c r="X464">
        <v>0.99851139999999905</v>
      </c>
      <c r="Y464">
        <v>1.1468600000000001E-2</v>
      </c>
      <c r="Z464">
        <v>-5.7701989999999999E-4</v>
      </c>
      <c r="AA464">
        <v>0.99993410000000005</v>
      </c>
      <c r="AB464">
        <v>35</v>
      </c>
      <c r="AC464">
        <v>17.6875999999999</v>
      </c>
      <c r="AD464">
        <v>-1.155222</v>
      </c>
      <c r="AE464">
        <v>-0.14999999999997701</v>
      </c>
      <c r="AF464">
        <v>0.207207932868612</v>
      </c>
      <c r="AG464">
        <v>-1.155222</v>
      </c>
      <c r="AH464">
        <v>17.611889829982299</v>
      </c>
      <c r="AI464">
        <v>93.752584357100005</v>
      </c>
      <c r="AJ464">
        <v>89.325933082023397</v>
      </c>
      <c r="AK464">
        <v>17.650952846239299</v>
      </c>
    </row>
    <row r="465" spans="1:37" x14ac:dyDescent="0.2">
      <c r="A465" t="str">
        <f>"20200111160105828"</f>
        <v>20200111160105828</v>
      </c>
      <c r="B465" t="str">
        <f>"1578729665819869"</f>
        <v>1578729665819869</v>
      </c>
      <c r="C465" t="s">
        <v>37</v>
      </c>
      <c r="D465">
        <v>4.8270249999999999</v>
      </c>
      <c r="E465">
        <v>0.52137270000000002</v>
      </c>
      <c r="F465" t="s">
        <v>49</v>
      </c>
      <c r="G465">
        <v>-135.44710000000001</v>
      </c>
      <c r="H465">
        <v>17.290240000000001</v>
      </c>
      <c r="I465">
        <v>302.45499999999998</v>
      </c>
      <c r="J465">
        <v>-329.08800000000002</v>
      </c>
      <c r="K465">
        <v>1.105227</v>
      </c>
      <c r="L465">
        <v>367.51589999999999</v>
      </c>
      <c r="M465">
        <v>0.99988250000000001</v>
      </c>
      <c r="N465">
        <v>0</v>
      </c>
      <c r="O465">
        <v>4.3449669999999999E-3</v>
      </c>
      <c r="P465">
        <v>0.99795630000000002</v>
      </c>
      <c r="Q465">
        <v>-2.7497919999999999E-2</v>
      </c>
      <c r="R465">
        <v>5.7680830000000002E-2</v>
      </c>
      <c r="S465">
        <v>3.071075</v>
      </c>
      <c r="T465">
        <v>0.25622489999999998</v>
      </c>
      <c r="U465">
        <v>-1.029938</v>
      </c>
      <c r="V465">
        <v>-5.3312409999999998E-2</v>
      </c>
      <c r="W465">
        <v>-1.294554E-2</v>
      </c>
      <c r="X465">
        <v>0.99849399999999999</v>
      </c>
      <c r="Y465">
        <v>0.32106279999999998</v>
      </c>
      <c r="Z465">
        <v>1.3368120000000001E-2</v>
      </c>
      <c r="AA465">
        <v>0.94696349999999996</v>
      </c>
      <c r="AB465">
        <v>35</v>
      </c>
      <c r="AC465">
        <v>193.64089999999999</v>
      </c>
      <c r="AD465">
        <v>16.185013000000001</v>
      </c>
      <c r="AE465">
        <v>-65.060900000000004</v>
      </c>
      <c r="AF465">
        <v>65.490628309641494</v>
      </c>
      <c r="AG465">
        <v>16.185013000000001</v>
      </c>
      <c r="AH465">
        <v>192.150148053029</v>
      </c>
      <c r="AI465">
        <v>85.441593920235505</v>
      </c>
      <c r="AJ465">
        <v>71.1793248964415</v>
      </c>
      <c r="AK465">
        <v>203.64836468531399</v>
      </c>
    </row>
    <row r="466" spans="1:37" x14ac:dyDescent="0.2">
      <c r="A466" t="str">
        <f>"20200111160105842"</f>
        <v>20200111160105842</v>
      </c>
      <c r="B466" t="str">
        <f>"1578729665839387"</f>
        <v>1578729665839387</v>
      </c>
      <c r="C466" t="s">
        <v>37</v>
      </c>
      <c r="D466">
        <v>4.5503359999999997</v>
      </c>
      <c r="E466">
        <v>0.65224989999999905</v>
      </c>
      <c r="F466" t="s">
        <v>39</v>
      </c>
      <c r="G466">
        <v>-313.12869999999998</v>
      </c>
      <c r="H466">
        <v>-0.05</v>
      </c>
      <c r="I466">
        <v>367.56439999999998</v>
      </c>
      <c r="J466">
        <v>-328.87130000000002</v>
      </c>
      <c r="K466">
        <v>1.1052299999999999</v>
      </c>
      <c r="L466">
        <v>367.51749999999998</v>
      </c>
      <c r="M466">
        <v>0.99987950000000003</v>
      </c>
      <c r="N466">
        <v>0</v>
      </c>
      <c r="O466">
        <v>4.9990310000000001E-3</v>
      </c>
      <c r="P466">
        <v>0.99793399999999999</v>
      </c>
      <c r="Q466">
        <v>-2.7019069999999999E-2</v>
      </c>
      <c r="R466">
        <v>5.8292379999999998E-2</v>
      </c>
      <c r="S466">
        <v>2.9996640000000001</v>
      </c>
      <c r="T466">
        <v>-0.21713389999999999</v>
      </c>
      <c r="U466">
        <v>9.1247559999999995E-3</v>
      </c>
      <c r="V466">
        <v>-5.3272260000000002E-2</v>
      </c>
      <c r="W466">
        <v>-1.2468720000000001E-2</v>
      </c>
      <c r="X466">
        <v>0.99850219999999901</v>
      </c>
      <c r="Y466">
        <v>1.9395179999999899E-3</v>
      </c>
      <c r="Z466">
        <v>-4.3152899999999999E-4</v>
      </c>
      <c r="AA466">
        <v>0.99999799999999905</v>
      </c>
      <c r="AB466">
        <v>35</v>
      </c>
      <c r="AC466">
        <v>15.742599999999999</v>
      </c>
      <c r="AD466">
        <v>-1.15523</v>
      </c>
      <c r="AE466">
        <v>4.6899999999993697E-2</v>
      </c>
      <c r="AF466">
        <v>3.1636471899590998E-2</v>
      </c>
      <c r="AG466">
        <v>-1.15523</v>
      </c>
      <c r="AH466">
        <v>15.6583187641442</v>
      </c>
      <c r="AI466">
        <v>94.219480265806396</v>
      </c>
      <c r="AJ466">
        <v>89.884238283855794</v>
      </c>
      <c r="AK466">
        <v>15.700907736140801</v>
      </c>
    </row>
    <row r="467" spans="1:37" x14ac:dyDescent="0.2">
      <c r="A467" t="str">
        <f>"20200111160105861"</f>
        <v>20200111160105861</v>
      </c>
      <c r="B467" t="str">
        <f>"1578729665850122"</f>
        <v>1578729665850122</v>
      </c>
      <c r="C467" t="s">
        <v>37</v>
      </c>
      <c r="D467">
        <v>4.5770400000000002</v>
      </c>
      <c r="E467">
        <v>0.6527501</v>
      </c>
      <c r="F467" t="s">
        <v>49</v>
      </c>
      <c r="G467">
        <v>-141.0635</v>
      </c>
      <c r="H467">
        <v>19.601099999999999</v>
      </c>
      <c r="I467">
        <v>302.97469999999998</v>
      </c>
      <c r="J467">
        <v>-328.57659999999998</v>
      </c>
      <c r="K467">
        <v>1.1052360000000001</v>
      </c>
      <c r="L467">
        <v>367.51990000000001</v>
      </c>
      <c r="M467">
        <v>0.99987469999999901</v>
      </c>
      <c r="N467">
        <v>0</v>
      </c>
      <c r="O467">
        <v>5.8888739999999997E-3</v>
      </c>
      <c r="P467">
        <v>0.99790699999999999</v>
      </c>
      <c r="Q467">
        <v>-2.5837450000000001E-2</v>
      </c>
      <c r="R467">
        <v>5.9280859999999998E-2</v>
      </c>
      <c r="S467">
        <v>3.0762330000000002</v>
      </c>
      <c r="T467">
        <v>0.3029578</v>
      </c>
      <c r="U467">
        <v>-1.0571900000000001</v>
      </c>
      <c r="V467">
        <v>-5.3375859999999997E-2</v>
      </c>
      <c r="W467">
        <v>-1.1290150000000001E-2</v>
      </c>
      <c r="X467">
        <v>0.99851069999999997</v>
      </c>
      <c r="Y467">
        <v>0.32912049999999998</v>
      </c>
      <c r="Z467">
        <v>1.628201E-2</v>
      </c>
      <c r="AA467">
        <v>0.94414759999999998</v>
      </c>
      <c r="AB467">
        <v>35</v>
      </c>
      <c r="AC467">
        <v>187.51310000000001</v>
      </c>
      <c r="AD467">
        <v>18.495864000000001</v>
      </c>
      <c r="AE467">
        <v>-64.545199999999994</v>
      </c>
      <c r="AF467">
        <v>65.082307569643405</v>
      </c>
      <c r="AG467">
        <v>18.495864000000001</v>
      </c>
      <c r="AH467">
        <v>185.51595560023901</v>
      </c>
      <c r="AI467">
        <v>84.625530799509505</v>
      </c>
      <c r="AJ467">
        <v>70.6682192112075</v>
      </c>
      <c r="AK467">
        <v>197.46891787308201</v>
      </c>
    </row>
    <row r="468" spans="1:37" x14ac:dyDescent="0.2">
      <c r="A468" t="str">
        <f>"20200111160105885"</f>
        <v>20200111160105885</v>
      </c>
      <c r="B468" t="str">
        <f>"1578729665879910"</f>
        <v>1578729665879910</v>
      </c>
      <c r="C468" t="s">
        <v>37</v>
      </c>
      <c r="D468">
        <v>4.8682889999999999</v>
      </c>
      <c r="E468">
        <v>0.65256939999999997</v>
      </c>
      <c r="F468" t="s">
        <v>49</v>
      </c>
      <c r="G468">
        <v>-140.87389999999999</v>
      </c>
      <c r="H468">
        <v>19.958379999999998</v>
      </c>
      <c r="I468">
        <v>302.97469999999998</v>
      </c>
      <c r="J468">
        <v>-328.20870000000002</v>
      </c>
      <c r="K468">
        <v>1.105237</v>
      </c>
      <c r="L468">
        <v>367.52319999999997</v>
      </c>
      <c r="M468">
        <v>0.99986759999999997</v>
      </c>
      <c r="N468">
        <v>0</v>
      </c>
      <c r="O468">
        <v>7.0005469999999898E-3</v>
      </c>
      <c r="P468">
        <v>0.99783630000000001</v>
      </c>
      <c r="Q468">
        <v>-2.512083E-2</v>
      </c>
      <c r="R468">
        <v>6.0761839999999998E-2</v>
      </c>
      <c r="S468">
        <v>3.07714799999999</v>
      </c>
      <c r="T468">
        <v>0.30907449999999997</v>
      </c>
      <c r="U468">
        <v>-1.058136</v>
      </c>
      <c r="V468">
        <v>-5.3749079999999998E-2</v>
      </c>
      <c r="W468">
        <v>-1.0578260000000001E-2</v>
      </c>
      <c r="X468">
        <v>0.99849840000000001</v>
      </c>
      <c r="Y468">
        <v>0.33027440000000002</v>
      </c>
      <c r="Z468">
        <v>1.676836E-2</v>
      </c>
      <c r="AA468">
        <v>0.94373600000000002</v>
      </c>
      <c r="AB468">
        <v>35</v>
      </c>
      <c r="AC468">
        <v>187.3348</v>
      </c>
      <c r="AD468">
        <v>18.853142999999999</v>
      </c>
      <c r="AE468">
        <v>-64.548499999999905</v>
      </c>
      <c r="AF468">
        <v>65.267616770986393</v>
      </c>
      <c r="AG468">
        <v>18.853142999999999</v>
      </c>
      <c r="AH468">
        <v>185.20159524463801</v>
      </c>
      <c r="AI468">
        <v>84.515821293891193</v>
      </c>
      <c r="AJ468">
        <v>70.586833830953694</v>
      </c>
      <c r="AK468">
        <v>197.26868398481599</v>
      </c>
    </row>
    <row r="469" spans="1:37" x14ac:dyDescent="0.2">
      <c r="A469" t="str">
        <f>"20200111160105908"</f>
        <v>20200111160105908</v>
      </c>
      <c r="B469" t="str">
        <f>"1578729665899429"</f>
        <v>1578729665899429</v>
      </c>
      <c r="C469" t="s">
        <v>37</v>
      </c>
      <c r="D469">
        <v>4.876754</v>
      </c>
      <c r="E469">
        <v>0.52699739999999995</v>
      </c>
      <c r="F469" t="s">
        <v>49</v>
      </c>
      <c r="G469">
        <v>-139.31569999999999</v>
      </c>
      <c r="H469">
        <v>20.678379999999901</v>
      </c>
      <c r="I469">
        <v>302.97469999999998</v>
      </c>
      <c r="J469">
        <v>-327.85050000000001</v>
      </c>
      <c r="K469">
        <v>1.105232</v>
      </c>
      <c r="L469">
        <v>367.52679999999998</v>
      </c>
      <c r="M469">
        <v>0.99985949999999901</v>
      </c>
      <c r="N469">
        <v>0</v>
      </c>
      <c r="O469">
        <v>8.082723E-3</v>
      </c>
      <c r="P469">
        <v>0.99773619999999996</v>
      </c>
      <c r="Q469">
        <v>-2.5565359999999999E-2</v>
      </c>
      <c r="R469">
        <v>6.2201319999999997E-2</v>
      </c>
      <c r="S469">
        <v>3.0786439999999899</v>
      </c>
      <c r="T469">
        <v>0.31901099999999999</v>
      </c>
      <c r="U469">
        <v>-1.0520320000000001</v>
      </c>
      <c r="V469">
        <v>-5.4107799999999998E-2</v>
      </c>
      <c r="W469">
        <v>-1.102792E-2</v>
      </c>
      <c r="X469">
        <v>0.99847419999999998</v>
      </c>
      <c r="Y469">
        <v>0.32938010000000001</v>
      </c>
      <c r="Z469">
        <v>1.7366199999999998E-2</v>
      </c>
      <c r="AA469">
        <v>0.94403769999999998</v>
      </c>
      <c r="AB469">
        <v>35</v>
      </c>
      <c r="AC469">
        <v>188.53479999999999</v>
      </c>
      <c r="AD469">
        <v>19.573148</v>
      </c>
      <c r="AE469">
        <v>-64.552099999999996</v>
      </c>
      <c r="AF469">
        <v>65.442698921315198</v>
      </c>
      <c r="AG469">
        <v>19.573148</v>
      </c>
      <c r="AH469">
        <v>186.21044021098899</v>
      </c>
      <c r="AI469">
        <v>84.336661248773098</v>
      </c>
      <c r="AJ469">
        <v>70.636237895361504</v>
      </c>
      <c r="AK469">
        <v>198.34359835473899</v>
      </c>
    </row>
    <row r="470" spans="1:37" x14ac:dyDescent="0.2">
      <c r="A470" t="str">
        <f>"20200111160105929"</f>
        <v>20200111160105929</v>
      </c>
      <c r="B470" t="str">
        <f>"1578729665919926"</f>
        <v>1578729665919926</v>
      </c>
      <c r="C470" t="s">
        <v>37</v>
      </c>
      <c r="D470">
        <v>4.8109970000000004</v>
      </c>
      <c r="E470">
        <v>0.52632699999999999</v>
      </c>
      <c r="F470" t="s">
        <v>39</v>
      </c>
      <c r="G470">
        <v>-307.98140000000001</v>
      </c>
      <c r="H470">
        <v>-0.05</v>
      </c>
      <c r="I470">
        <v>367.36900000000003</v>
      </c>
      <c r="J470">
        <v>-327.51159999999999</v>
      </c>
      <c r="K470">
        <v>1.1052280000000001</v>
      </c>
      <c r="L470">
        <v>367.53059999999999</v>
      </c>
      <c r="M470">
        <v>0.99985069999999998</v>
      </c>
      <c r="N470">
        <v>0</v>
      </c>
      <c r="O470">
        <v>9.1077940000000007E-3</v>
      </c>
      <c r="P470">
        <v>0.99761160000000004</v>
      </c>
      <c r="Q470">
        <v>-2.6437530000000001E-2</v>
      </c>
      <c r="R470">
        <v>6.3814540000000003E-2</v>
      </c>
      <c r="S470">
        <v>3.0038149999999999</v>
      </c>
      <c r="T470">
        <v>-0.17464849999999901</v>
      </c>
      <c r="U470">
        <v>-2.3864750000000001E-2</v>
      </c>
      <c r="V470">
        <v>-5.4696189999999999E-2</v>
      </c>
      <c r="W470">
        <v>-1.190568E-2</v>
      </c>
      <c r="X470">
        <v>0.99843199999999999</v>
      </c>
      <c r="Y470">
        <v>1.7008619999999999E-2</v>
      </c>
      <c r="Z470">
        <v>-1.0231839999999999E-3</v>
      </c>
      <c r="AA470">
        <v>0.99985480000000004</v>
      </c>
      <c r="AB470">
        <v>35</v>
      </c>
      <c r="AC470">
        <v>19.530199999999901</v>
      </c>
      <c r="AD470">
        <v>-1.1552279999999999</v>
      </c>
      <c r="AE470">
        <v>-0.16159999999996399</v>
      </c>
      <c r="AF470">
        <v>0.33830592314965202</v>
      </c>
      <c r="AG470">
        <v>-1.1552279999999999</v>
      </c>
      <c r="AH470">
        <v>19.459835927021601</v>
      </c>
      <c r="AI470">
        <v>93.396849462744996</v>
      </c>
      <c r="AJ470">
        <v>89.004022992066794</v>
      </c>
      <c r="AK470">
        <v>19.497030977464799</v>
      </c>
    </row>
    <row r="471" spans="1:37" x14ac:dyDescent="0.2">
      <c r="A471" t="str">
        <f>"20200111160105951"</f>
        <v>20200111160105951</v>
      </c>
      <c r="B471" t="str">
        <f>"1578729665939446"</f>
        <v>1578729665939446</v>
      </c>
      <c r="C471" t="s">
        <v>37</v>
      </c>
      <c r="D471">
        <v>4.828227</v>
      </c>
      <c r="E471">
        <v>0.52606989999999998</v>
      </c>
      <c r="F471" t="s">
        <v>42</v>
      </c>
      <c r="G471">
        <v>-326.4753</v>
      </c>
      <c r="H471">
        <v>1.0426469999999901</v>
      </c>
      <c r="I471">
        <v>367.52569999999997</v>
      </c>
      <c r="J471">
        <v>-327.17779999999999</v>
      </c>
      <c r="K471">
        <v>1.105221</v>
      </c>
      <c r="L471">
        <v>367.53469999999999</v>
      </c>
      <c r="M471">
        <v>0.99984110000000004</v>
      </c>
      <c r="N471">
        <v>0</v>
      </c>
      <c r="O471">
        <v>1.011449E-2</v>
      </c>
      <c r="P471">
        <v>0.99749859999999901</v>
      </c>
      <c r="Q471">
        <v>-2.7529789999999998E-2</v>
      </c>
      <c r="R471">
        <v>6.5104830000000002E-2</v>
      </c>
      <c r="S471">
        <v>3.0032349999999899</v>
      </c>
      <c r="T471">
        <v>-0.18143789999999901</v>
      </c>
      <c r="U471">
        <v>-1.382446E-2</v>
      </c>
      <c r="V471">
        <v>-5.4980139999999997E-2</v>
      </c>
      <c r="W471">
        <v>-1.300246E-2</v>
      </c>
      <c r="X471">
        <v>0.99840280000000003</v>
      </c>
      <c r="Y471">
        <v>1.4673189999999999E-2</v>
      </c>
      <c r="Z471">
        <v>-1.0533879999999999E-3</v>
      </c>
      <c r="AA471">
        <v>0.9998918</v>
      </c>
      <c r="AB471">
        <v>35</v>
      </c>
      <c r="AC471">
        <v>0.70249999999998602</v>
      </c>
      <c r="AD471">
        <v>-6.2574000000000102E-2</v>
      </c>
      <c r="AE471">
        <v>-9.0000000000145502E-3</v>
      </c>
      <c r="AF471">
        <v>1.5978977114474699E-2</v>
      </c>
      <c r="AG471">
        <v>-6.2574000000000102E-2</v>
      </c>
      <c r="AH471">
        <v>0.69684511739546195</v>
      </c>
      <c r="AI471">
        <v>95.129836465409895</v>
      </c>
      <c r="AJ471">
        <v>88.686411780713399</v>
      </c>
      <c r="AK471">
        <v>0.69983137313464305</v>
      </c>
    </row>
    <row r="472" spans="1:37" x14ac:dyDescent="0.2">
      <c r="A472" t="str">
        <f>"20200111160105985"</f>
        <v>20200111160105985</v>
      </c>
      <c r="B472" t="str">
        <f>"1578729665979462"</f>
        <v>1578729665979462</v>
      </c>
      <c r="C472" t="s">
        <v>37</v>
      </c>
      <c r="D472">
        <v>4.8345719999999996</v>
      </c>
      <c r="E472">
        <v>0.52613589999999999</v>
      </c>
      <c r="F472" t="s">
        <v>42</v>
      </c>
      <c r="G472">
        <v>-326.16340000000002</v>
      </c>
      <c r="H472">
        <v>1.042627</v>
      </c>
      <c r="I472">
        <v>367.53179999999998</v>
      </c>
      <c r="J472">
        <v>-326.64269999999999</v>
      </c>
      <c r="K472">
        <v>1.105216</v>
      </c>
      <c r="L472">
        <v>367.5419</v>
      </c>
      <c r="M472">
        <v>0.99982369999999898</v>
      </c>
      <c r="N472">
        <v>0</v>
      </c>
      <c r="O472">
        <v>1.172103E-2</v>
      </c>
      <c r="P472">
        <v>0.997424599999999</v>
      </c>
      <c r="Q472">
        <v>-2.795164E-2</v>
      </c>
      <c r="R472">
        <v>6.6054799999999997E-2</v>
      </c>
      <c r="S472">
        <v>3.0028990000000002</v>
      </c>
      <c r="T472">
        <v>-0.1855078</v>
      </c>
      <c r="U472">
        <v>-7.7514649999999999E-3</v>
      </c>
      <c r="V472">
        <v>-5.432617E-2</v>
      </c>
      <c r="W472">
        <v>-1.342724E-2</v>
      </c>
      <c r="X472">
        <v>0.99843289999999996</v>
      </c>
      <c r="Y472">
        <v>1.425388E-2</v>
      </c>
      <c r="Z472">
        <v>-1.1633139999999999E-3</v>
      </c>
      <c r="AA472">
        <v>0.999897699999999</v>
      </c>
      <c r="AB472">
        <v>35</v>
      </c>
      <c r="AC472">
        <v>0.47929999999996598</v>
      </c>
      <c r="AD472">
        <v>-6.2588999999999895E-2</v>
      </c>
      <c r="AE472">
        <v>-1.01000000000226E-2</v>
      </c>
      <c r="AF472">
        <v>1.54543855088902E-2</v>
      </c>
      <c r="AG472">
        <v>-6.2588999999999895E-2</v>
      </c>
      <c r="AH472">
        <v>0.47111861589457399</v>
      </c>
      <c r="AI472">
        <v>97.563517764561198</v>
      </c>
      <c r="AJ472">
        <v>88.121166032758893</v>
      </c>
      <c r="AK472">
        <v>0.475509170463491</v>
      </c>
    </row>
    <row r="473" spans="1:37" x14ac:dyDescent="0.2">
      <c r="A473" t="str">
        <f>"20200111160106007"</f>
        <v>20200111160106007</v>
      </c>
      <c r="B473" t="str">
        <f>"1578729665999961"</f>
        <v>1578729665999961</v>
      </c>
      <c r="C473" t="s">
        <v>37</v>
      </c>
      <c r="D473">
        <v>4.7866039999999996</v>
      </c>
      <c r="E473">
        <v>0.52632769999999995</v>
      </c>
      <c r="F473" t="s">
        <v>39</v>
      </c>
      <c r="G473">
        <v>-308.57670000000002</v>
      </c>
      <c r="H473">
        <v>-0.05</v>
      </c>
      <c r="I473">
        <v>367.51170000000002</v>
      </c>
      <c r="J473">
        <v>-326.28820000000002</v>
      </c>
      <c r="K473">
        <v>1.1052120000000001</v>
      </c>
      <c r="L473">
        <v>367.5471</v>
      </c>
      <c r="M473">
        <v>0.9998108</v>
      </c>
      <c r="N473">
        <v>0</v>
      </c>
      <c r="O473">
        <v>1.277612E-2</v>
      </c>
      <c r="P473">
        <v>0.9974208</v>
      </c>
      <c r="Q473">
        <v>-2.7731019999999999E-2</v>
      </c>
      <c r="R473">
        <v>6.6203199999999907E-2</v>
      </c>
      <c r="S473">
        <v>3.0026549999999999</v>
      </c>
      <c r="T473">
        <v>-0.19200210000000001</v>
      </c>
      <c r="U473">
        <v>-5.0048829999999999E-3</v>
      </c>
      <c r="V473">
        <v>-5.3422209999999998E-2</v>
      </c>
      <c r="W473">
        <v>-1.320642E-2</v>
      </c>
      <c r="X473">
        <v>0.9984847</v>
      </c>
      <c r="Y473">
        <v>1.4388669999999999E-2</v>
      </c>
      <c r="Z473">
        <v>-1.2757619999999999E-3</v>
      </c>
      <c r="AA473">
        <v>0.99989570000000005</v>
      </c>
      <c r="AB473">
        <v>35</v>
      </c>
      <c r="AC473">
        <v>17.711500000000001</v>
      </c>
      <c r="AD473">
        <v>-1.1552119999999999</v>
      </c>
      <c r="AE473">
        <v>-3.5399999999981398E-2</v>
      </c>
      <c r="AF473">
        <v>0.26059708981871599</v>
      </c>
      <c r="AG473">
        <v>-1.1552119999999999</v>
      </c>
      <c r="AH473">
        <v>17.634581949896901</v>
      </c>
      <c r="AI473">
        <v>93.747587592643299</v>
      </c>
      <c r="AJ473">
        <v>89.153366566358201</v>
      </c>
      <c r="AK473">
        <v>17.674300726076702</v>
      </c>
    </row>
    <row r="474" spans="1:37" x14ac:dyDescent="0.2">
      <c r="A474" t="str">
        <f>"20200111160106029"</f>
        <v>20200111160106029</v>
      </c>
      <c r="B474" t="str">
        <f>"1578729666019478"</f>
        <v>1578729666019478</v>
      </c>
      <c r="C474" t="s">
        <v>37</v>
      </c>
      <c r="D474">
        <v>4.7553390000000002</v>
      </c>
      <c r="E474">
        <v>0.52601409999999904</v>
      </c>
      <c r="F474" t="s">
        <v>39</v>
      </c>
      <c r="G474">
        <v>-308.33069999999998</v>
      </c>
      <c r="H474">
        <v>-0.05</v>
      </c>
      <c r="I474">
        <v>367.5104</v>
      </c>
      <c r="J474">
        <v>-325.95749999999998</v>
      </c>
      <c r="K474">
        <v>1.1052010000000001</v>
      </c>
      <c r="L474">
        <v>367.5523</v>
      </c>
      <c r="M474">
        <v>0.99979789999999902</v>
      </c>
      <c r="N474">
        <v>0</v>
      </c>
      <c r="O474">
        <v>1.3747840000000001E-2</v>
      </c>
      <c r="P474">
        <v>0.99744200000000005</v>
      </c>
      <c r="Q474">
        <v>-2.7087170000000001E-2</v>
      </c>
      <c r="R474">
        <v>6.6151219999999997E-2</v>
      </c>
      <c r="S474">
        <v>3.0028079999999999</v>
      </c>
      <c r="T474">
        <v>-0.19317219999999999</v>
      </c>
      <c r="U474">
        <v>-6.1340329999999997E-3</v>
      </c>
      <c r="V474">
        <v>-5.2402310000000001E-2</v>
      </c>
      <c r="W474">
        <v>-1.25615E-2</v>
      </c>
      <c r="X474">
        <v>0.99854709999999902</v>
      </c>
      <c r="Y474">
        <v>1.5730919999999999E-2</v>
      </c>
      <c r="Z474">
        <v>-1.389036E-3</v>
      </c>
      <c r="AA474">
        <v>0.99987530000000002</v>
      </c>
      <c r="AB474">
        <v>35</v>
      </c>
      <c r="AC474">
        <v>17.626799999999999</v>
      </c>
      <c r="AD474">
        <v>-1.1552009999999999</v>
      </c>
      <c r="AE474">
        <v>-4.1899999999998203E-2</v>
      </c>
      <c r="AF474">
        <v>0.28303688855759701</v>
      </c>
      <c r="AG474">
        <v>-1.1552009999999999</v>
      </c>
      <c r="AH474">
        <v>17.549183522887599</v>
      </c>
      <c r="AI474">
        <v>93.765657780134902</v>
      </c>
      <c r="AJ474">
        <v>89.076001840334499</v>
      </c>
      <c r="AK474">
        <v>17.589441194951998</v>
      </c>
    </row>
    <row r="475" spans="1:37" x14ac:dyDescent="0.2">
      <c r="A475" t="str">
        <f>"20200111160106051"</f>
        <v>20200111160106051</v>
      </c>
      <c r="B475" t="str">
        <f>"1578729666039975"</f>
        <v>1578729666039975</v>
      </c>
      <c r="C475" t="s">
        <v>37</v>
      </c>
      <c r="D475">
        <v>8.6531009999999995</v>
      </c>
      <c r="E475">
        <v>0.52601430000000005</v>
      </c>
      <c r="F475" t="s">
        <v>39</v>
      </c>
      <c r="G475">
        <v>-307.99369999999999</v>
      </c>
      <c r="H475">
        <v>-0.05</v>
      </c>
      <c r="I475">
        <v>367.53089999999997</v>
      </c>
      <c r="J475">
        <v>-325.61720000000003</v>
      </c>
      <c r="K475">
        <v>1.1051869999999999</v>
      </c>
      <c r="L475">
        <v>367.55799999999999</v>
      </c>
      <c r="M475">
        <v>0.99978400000000001</v>
      </c>
      <c r="N475">
        <v>0</v>
      </c>
      <c r="O475">
        <v>1.472556E-2</v>
      </c>
      <c r="P475">
        <v>0.99740680000000004</v>
      </c>
      <c r="Q475">
        <v>-2.7253030000000001E-2</v>
      </c>
      <c r="R475">
        <v>6.6611069999999994E-2</v>
      </c>
      <c r="S475">
        <v>3.0026860000000002</v>
      </c>
      <c r="T475">
        <v>-0.19309489999999899</v>
      </c>
      <c r="U475">
        <v>-3.5705569999999998E-3</v>
      </c>
      <c r="V475">
        <v>-5.1886050000000003E-2</v>
      </c>
      <c r="W475">
        <v>-1.272761E-2</v>
      </c>
      <c r="X475">
        <v>0.99857189999999996</v>
      </c>
      <c r="Y475">
        <v>1.5852959999999999E-2</v>
      </c>
      <c r="Z475">
        <v>-1.4552689999999999E-3</v>
      </c>
      <c r="AA475">
        <v>0.99987329999999996</v>
      </c>
      <c r="AB475">
        <v>35</v>
      </c>
      <c r="AC475">
        <v>17.6235</v>
      </c>
      <c r="AD475">
        <v>-1.155187</v>
      </c>
      <c r="AE475">
        <v>-2.7100000000075401E-2</v>
      </c>
      <c r="AF475">
        <v>0.28541458830372501</v>
      </c>
      <c r="AG475">
        <v>-1.155187</v>
      </c>
      <c r="AH475">
        <v>17.545803310478799</v>
      </c>
      <c r="AI475">
        <v>93.766327205261604</v>
      </c>
      <c r="AJ475">
        <v>89.068061526242104</v>
      </c>
      <c r="AK475">
        <v>17.5861062291285</v>
      </c>
    </row>
    <row r="476" spans="1:37" x14ac:dyDescent="0.2">
      <c r="A476" t="str">
        <f>"20200111160106074"</f>
        <v>20200111160106074</v>
      </c>
      <c r="B476" t="str">
        <f>"1578729666070230"</f>
        <v>1578729666070230</v>
      </c>
      <c r="C476" t="s">
        <v>37</v>
      </c>
      <c r="D476">
        <v>4.4696860000000003</v>
      </c>
      <c r="E476">
        <v>0.64257659999999905</v>
      </c>
      <c r="F476" t="s">
        <v>42</v>
      </c>
      <c r="G476">
        <v>-324.61189999999999</v>
      </c>
      <c r="H476">
        <v>1.040422</v>
      </c>
      <c r="I476">
        <v>367.55699999999899</v>
      </c>
      <c r="J476">
        <v>-325.25920000000002</v>
      </c>
      <c r="K476">
        <v>1.1051569999999999</v>
      </c>
      <c r="L476">
        <v>367.56439999999998</v>
      </c>
      <c r="M476">
        <v>0.99976889999999996</v>
      </c>
      <c r="N476">
        <v>0</v>
      </c>
      <c r="O476">
        <v>1.5725639999999999E-2</v>
      </c>
      <c r="P476">
        <v>0.99729780000000001</v>
      </c>
      <c r="Q476">
        <v>-2.8005149999999999E-2</v>
      </c>
      <c r="R476">
        <v>6.7920739999999993E-2</v>
      </c>
      <c r="S476">
        <v>3.0026860000000002</v>
      </c>
      <c r="T476">
        <v>-0.19358829999999999</v>
      </c>
      <c r="U476">
        <v>-2.6855469999999999E-3</v>
      </c>
      <c r="V476">
        <v>-5.2197880000000002E-2</v>
      </c>
      <c r="W476">
        <v>-1.348224E-2</v>
      </c>
      <c r="X476">
        <v>0.99854580000000004</v>
      </c>
      <c r="Y476">
        <v>1.6554570000000001E-2</v>
      </c>
      <c r="Z476">
        <v>-1.545984E-3</v>
      </c>
      <c r="AA476">
        <v>0.99986180000000002</v>
      </c>
      <c r="AB476">
        <v>35</v>
      </c>
      <c r="AC476">
        <v>0.64730000000002896</v>
      </c>
      <c r="AD476">
        <v>-6.4734999999999904E-2</v>
      </c>
      <c r="AE476">
        <v>-7.40000000001828E-3</v>
      </c>
      <c r="AF476">
        <v>1.74053277863566E-2</v>
      </c>
      <c r="AG476">
        <v>-6.4734999999999904E-2</v>
      </c>
      <c r="AH476">
        <v>0.64069644145369098</v>
      </c>
      <c r="AI476">
        <v>95.767385508748106</v>
      </c>
      <c r="AJ476">
        <v>88.443870542456693</v>
      </c>
      <c r="AK476">
        <v>0.64419367875800604</v>
      </c>
    </row>
    <row r="477" spans="1:37" x14ac:dyDescent="0.2">
      <c r="A477" t="str">
        <f>"20200111160106097"</f>
        <v>20200111160106097</v>
      </c>
      <c r="B477" t="str">
        <f>"1578729666089753"</f>
        <v>1578729666089753</v>
      </c>
      <c r="C477" t="s">
        <v>37</v>
      </c>
      <c r="D477">
        <v>4.4864819999999996</v>
      </c>
      <c r="E477">
        <v>0.64351809999999998</v>
      </c>
      <c r="F477" t="s">
        <v>50</v>
      </c>
      <c r="G477">
        <v>-241.85149999999999</v>
      </c>
      <c r="H477">
        <v>9.6110570000000006</v>
      </c>
      <c r="I477">
        <v>341.88659999999999</v>
      </c>
      <c r="J477">
        <v>-324.90320000000003</v>
      </c>
      <c r="K477">
        <v>1.105129</v>
      </c>
      <c r="L477">
        <v>367.570999999999</v>
      </c>
      <c r="M477">
        <v>0.99975329999999996</v>
      </c>
      <c r="N477">
        <v>0</v>
      </c>
      <c r="O477">
        <v>1.6691999999999999E-2</v>
      </c>
      <c r="P477">
        <v>0.99719880000000005</v>
      </c>
      <c r="Q477">
        <v>-2.8557720000000002E-2</v>
      </c>
      <c r="R477">
        <v>6.9131970000000001E-2</v>
      </c>
      <c r="S477">
        <v>3.081604</v>
      </c>
      <c r="T477">
        <v>0.31426129999999902</v>
      </c>
      <c r="U477">
        <v>-0.94869999999999999</v>
      </c>
      <c r="V477">
        <v>-5.2445079999999998E-2</v>
      </c>
      <c r="W477">
        <v>-1.403651E-2</v>
      </c>
      <c r="X477">
        <v>0.99852510000000005</v>
      </c>
      <c r="Y477">
        <v>0.30860189999999998</v>
      </c>
      <c r="Z477">
        <v>1.7003109999999998E-2</v>
      </c>
      <c r="AA477">
        <v>0.95103930000000003</v>
      </c>
      <c r="AB477">
        <v>35</v>
      </c>
      <c r="AC477">
        <v>83.051699999999997</v>
      </c>
      <c r="AD477">
        <v>8.5059279999999902</v>
      </c>
      <c r="AE477">
        <v>-25.684399999999901</v>
      </c>
      <c r="AF477">
        <v>26.810593016399</v>
      </c>
      <c r="AG477">
        <v>8.5059279999999902</v>
      </c>
      <c r="AH477">
        <v>81.827963020904903</v>
      </c>
      <c r="AI477">
        <v>84.358519016368106</v>
      </c>
      <c r="AJ477">
        <v>71.858831452567401</v>
      </c>
      <c r="AK477">
        <v>86.527303443379907</v>
      </c>
    </row>
    <row r="478" spans="1:37" x14ac:dyDescent="0.2">
      <c r="A478" t="str">
        <f>"20200111160106120"</f>
        <v>20200111160106120</v>
      </c>
      <c r="B478" t="str">
        <f>"1578729666110245"</f>
        <v>1578729666110245</v>
      </c>
      <c r="C478" t="s">
        <v>37</v>
      </c>
      <c r="D478">
        <v>4.660876</v>
      </c>
      <c r="E478">
        <v>0.53495899999999996</v>
      </c>
      <c r="F478" t="s">
        <v>50</v>
      </c>
      <c r="G478">
        <v>-241.89099999999999</v>
      </c>
      <c r="H478">
        <v>9.7727029999999999</v>
      </c>
      <c r="I478">
        <v>341.92340000000002</v>
      </c>
      <c r="J478">
        <v>-324.55520000000001</v>
      </c>
      <c r="K478">
        <v>1.1050990000000001</v>
      </c>
      <c r="L478">
        <v>367.57780000000002</v>
      </c>
      <c r="M478">
        <v>0.99973780000000001</v>
      </c>
      <c r="N478">
        <v>0</v>
      </c>
      <c r="O478">
        <v>1.7598760000000001E-2</v>
      </c>
      <c r="P478">
        <v>0.99708030000000003</v>
      </c>
      <c r="Q478">
        <v>-2.9143860000000001E-2</v>
      </c>
      <c r="R478">
        <v>7.0580450000000003E-2</v>
      </c>
      <c r="S478">
        <v>3.0836489999999999</v>
      </c>
      <c r="T478">
        <v>0.32197369999999997</v>
      </c>
      <c r="U478">
        <v>-0.95272829999999997</v>
      </c>
      <c r="V478">
        <v>-5.2989799999999997E-2</v>
      </c>
      <c r="W478">
        <v>-1.462464E-2</v>
      </c>
      <c r="X478">
        <v>0.99848789999999998</v>
      </c>
      <c r="Y478">
        <v>0.3103339</v>
      </c>
      <c r="Z478">
        <v>1.7584610000000001E-2</v>
      </c>
      <c r="AA478">
        <v>0.950465</v>
      </c>
      <c r="AB478">
        <v>35</v>
      </c>
      <c r="AC478">
        <v>82.664199999999994</v>
      </c>
      <c r="AD478">
        <v>8.6676039999999901</v>
      </c>
      <c r="AE478">
        <v>-25.654399999999999</v>
      </c>
      <c r="AF478">
        <v>26.836247061756801</v>
      </c>
      <c r="AG478">
        <v>8.6676039999999901</v>
      </c>
      <c r="AH478">
        <v>81.383718786233302</v>
      </c>
      <c r="AI478">
        <v>84.2244168659537</v>
      </c>
      <c r="AJ478">
        <v>71.750049995670906</v>
      </c>
      <c r="AK478">
        <v>86.131418187193304</v>
      </c>
    </row>
    <row r="479" spans="1:37" x14ac:dyDescent="0.2">
      <c r="A479" t="str">
        <f>"20200111160106140"</f>
        <v>20200111160106140</v>
      </c>
      <c r="B479" t="str">
        <f>"1578729666129766"</f>
        <v>1578729666129766</v>
      </c>
      <c r="C479" t="s">
        <v>37</v>
      </c>
      <c r="D479">
        <v>4.4432999999999998</v>
      </c>
      <c r="E479">
        <v>0.63584069999999904</v>
      </c>
      <c r="F479" t="s">
        <v>39</v>
      </c>
      <c r="G479">
        <v>-295.4622</v>
      </c>
      <c r="H479">
        <v>-0.05</v>
      </c>
      <c r="I479">
        <v>366.94650000000001</v>
      </c>
      <c r="J479">
        <v>-324.23419999999999</v>
      </c>
      <c r="K479">
        <v>1.105067</v>
      </c>
      <c r="L479">
        <v>367.58420000000001</v>
      </c>
      <c r="M479">
        <v>0.99972359999999905</v>
      </c>
      <c r="N479">
        <v>0</v>
      </c>
      <c r="O479">
        <v>1.8388749999999999E-2</v>
      </c>
      <c r="P479">
        <v>0.99700409999999995</v>
      </c>
      <c r="Q479">
        <v>-2.8746600000000001E-2</v>
      </c>
      <c r="R479">
        <v>7.1808830000000004E-2</v>
      </c>
      <c r="S479">
        <v>3.0099179999999999</v>
      </c>
      <c r="T479">
        <v>-0.11950470000000001</v>
      </c>
      <c r="U479">
        <v>-6.5307619999999997E-2</v>
      </c>
      <c r="V479">
        <v>-5.3432889999999997E-2</v>
      </c>
      <c r="W479">
        <v>-1.422787E-2</v>
      </c>
      <c r="X479">
        <v>0.99847009999999903</v>
      </c>
      <c r="Y479">
        <v>4.0029080000000002E-2</v>
      </c>
      <c r="Z479">
        <v>-1.5240550000000001E-3</v>
      </c>
      <c r="AA479">
        <v>0.99919740000000001</v>
      </c>
      <c r="AB479">
        <v>35</v>
      </c>
      <c r="AC479">
        <v>28.771999999999899</v>
      </c>
      <c r="AD479">
        <v>-1.1550670000000001</v>
      </c>
      <c r="AE479">
        <v>-0.63769999999999505</v>
      </c>
      <c r="AF479">
        <v>1.1648536086836101</v>
      </c>
      <c r="AG479">
        <v>-1.1550670000000001</v>
      </c>
      <c r="AH479">
        <v>28.709159436812701</v>
      </c>
      <c r="AI479">
        <v>92.302069103658098</v>
      </c>
      <c r="AJ479">
        <v>87.676539186886103</v>
      </c>
      <c r="AK479">
        <v>28.755988928786302</v>
      </c>
    </row>
    <row r="480" spans="1:37" x14ac:dyDescent="0.2">
      <c r="A480" t="str">
        <f>"20200111160106163"</f>
        <v>20200111160106163</v>
      </c>
      <c r="B480" t="str">
        <f>"1578729666160022"</f>
        <v>1578729666160022</v>
      </c>
      <c r="C480" t="s">
        <v>37</v>
      </c>
      <c r="D480">
        <v>8.6051020000000005</v>
      </c>
      <c r="E480">
        <v>0.63995340000000001</v>
      </c>
      <c r="F480" t="s">
        <v>50</v>
      </c>
      <c r="G480">
        <v>-242.21209999999999</v>
      </c>
      <c r="H480">
        <v>10.271269999999999</v>
      </c>
      <c r="I480">
        <v>344.06110000000001</v>
      </c>
      <c r="J480">
        <v>-323.87599999999998</v>
      </c>
      <c r="K480">
        <v>1.1050199999999999</v>
      </c>
      <c r="L480">
        <v>367.5917</v>
      </c>
      <c r="M480">
        <v>0.99970840000000005</v>
      </c>
      <c r="N480">
        <v>0</v>
      </c>
      <c r="O480">
        <v>1.9206689999999998E-2</v>
      </c>
      <c r="P480">
        <v>0.99693109999999996</v>
      </c>
      <c r="Q480">
        <v>-2.841316E-2</v>
      </c>
      <c r="R480">
        <v>7.2947189999999995E-2</v>
      </c>
      <c r="S480">
        <v>3.082611</v>
      </c>
      <c r="T480">
        <v>0.34449089999999999</v>
      </c>
      <c r="U480">
        <v>-0.88406369999999901</v>
      </c>
      <c r="V480">
        <v>-5.3757840000000001E-2</v>
      </c>
      <c r="W480">
        <v>-1.38932E-2</v>
      </c>
      <c r="X480">
        <v>0.99845740000000005</v>
      </c>
      <c r="Y480">
        <v>0.29229640000000001</v>
      </c>
      <c r="Z480">
        <v>1.806236E-2</v>
      </c>
      <c r="AA480">
        <v>0.95615720000000004</v>
      </c>
      <c r="AB480">
        <v>35</v>
      </c>
      <c r="AC480">
        <v>81.663899999999899</v>
      </c>
      <c r="AD480">
        <v>9.1662499999999998</v>
      </c>
      <c r="AE480">
        <v>-23.5306</v>
      </c>
      <c r="AF480">
        <v>24.8063519560632</v>
      </c>
      <c r="AG480">
        <v>9.1662499999999998</v>
      </c>
      <c r="AH480">
        <v>80.263152628758505</v>
      </c>
      <c r="AI480">
        <v>83.773078398442394</v>
      </c>
      <c r="AJ480">
        <v>72.825568260769302</v>
      </c>
      <c r="AK480">
        <v>84.507685486812207</v>
      </c>
    </row>
    <row r="481" spans="1:37" x14ac:dyDescent="0.2">
      <c r="A481" t="str">
        <f>"20200111160106187"</f>
        <v>20200111160106187</v>
      </c>
      <c r="B481" t="str">
        <f>"1578729666179541"</f>
        <v>1578729666179541</v>
      </c>
      <c r="C481" t="s">
        <v>37</v>
      </c>
      <c r="D481">
        <v>4.9160909999999998</v>
      </c>
      <c r="E481">
        <v>0.64219559999999998</v>
      </c>
      <c r="F481" t="s">
        <v>50</v>
      </c>
      <c r="G481">
        <v>-241.32509999999999</v>
      </c>
      <c r="H481">
        <v>10.473549999999999</v>
      </c>
      <c r="I481">
        <v>343.16460000000001</v>
      </c>
      <c r="J481">
        <v>-323.51929999999999</v>
      </c>
      <c r="K481">
        <v>1.104959</v>
      </c>
      <c r="L481">
        <v>367.5994</v>
      </c>
      <c r="M481">
        <v>0.99969379999999997</v>
      </c>
      <c r="N481">
        <v>0</v>
      </c>
      <c r="O481">
        <v>1.9945709999999998E-2</v>
      </c>
      <c r="P481">
        <v>0.99690129999999999</v>
      </c>
      <c r="Q481">
        <v>-2.8524290000000001E-2</v>
      </c>
      <c r="R481">
        <v>7.3310349999999996E-2</v>
      </c>
      <c r="S481">
        <v>3.0860599999999998</v>
      </c>
      <c r="T481">
        <v>0.3502305</v>
      </c>
      <c r="U481">
        <v>-0.91317749999999998</v>
      </c>
      <c r="V481">
        <v>-5.3385439999999999E-2</v>
      </c>
      <c r="W481">
        <v>-1.399977E-2</v>
      </c>
      <c r="X481">
        <v>0.99847580000000002</v>
      </c>
      <c r="Y481">
        <v>0.30091689999999999</v>
      </c>
      <c r="Z481">
        <v>1.88779E-2</v>
      </c>
      <c r="AA481">
        <v>0.95346350000000002</v>
      </c>
      <c r="AB481">
        <v>35</v>
      </c>
      <c r="AC481">
        <v>82.194199999999995</v>
      </c>
      <c r="AD481">
        <v>9.3685910000000003</v>
      </c>
      <c r="AE481">
        <v>-24.434799999999999</v>
      </c>
      <c r="AF481">
        <v>25.762019960377501</v>
      </c>
      <c r="AG481">
        <v>9.3685910000000003</v>
      </c>
      <c r="AH481">
        <v>80.726805339097695</v>
      </c>
      <c r="AI481">
        <v>83.691016626672095</v>
      </c>
      <c r="AJ481">
        <v>72.300766508238198</v>
      </c>
      <c r="AK481">
        <v>85.254145177936905</v>
      </c>
    </row>
    <row r="482" spans="1:37" x14ac:dyDescent="0.2">
      <c r="A482" t="str">
        <f>"20200111160106231"</f>
        <v>20200111160106231</v>
      </c>
      <c r="B482" t="str">
        <f>"1578729666221509"</f>
        <v>1578729666221509</v>
      </c>
      <c r="C482" t="s">
        <v>37</v>
      </c>
      <c r="D482">
        <v>4.6295979999999997</v>
      </c>
      <c r="E482">
        <v>0.55332550000000003</v>
      </c>
      <c r="F482" t="s">
        <v>50</v>
      </c>
      <c r="G482">
        <v>-240.97909999999999</v>
      </c>
      <c r="H482">
        <v>9.9384179999999898</v>
      </c>
      <c r="I482">
        <v>342.75599999999997</v>
      </c>
      <c r="J482">
        <v>-322.8485</v>
      </c>
      <c r="K482">
        <v>1.1048100000000001</v>
      </c>
      <c r="L482">
        <v>367.61419999999998</v>
      </c>
      <c r="M482">
        <v>0.99967099999999898</v>
      </c>
      <c r="N482">
        <v>0</v>
      </c>
      <c r="O482">
        <v>2.1071289999999999E-2</v>
      </c>
      <c r="P482">
        <v>0.99693359999999998</v>
      </c>
      <c r="Q482">
        <v>-2.9111290000000001E-2</v>
      </c>
      <c r="R482">
        <v>7.2638519999999998E-2</v>
      </c>
      <c r="S482">
        <v>3.087097</v>
      </c>
      <c r="T482">
        <v>0.33038149999999999</v>
      </c>
      <c r="U482">
        <v>-0.92916869999999996</v>
      </c>
      <c r="V482">
        <v>-5.1593340000000001E-2</v>
      </c>
      <c r="W482">
        <v>-1.4572699999999999E-2</v>
      </c>
      <c r="X482">
        <v>0.9985619</v>
      </c>
      <c r="Y482">
        <v>0.30660920000000003</v>
      </c>
      <c r="Z482">
        <v>1.821031E-2</v>
      </c>
      <c r="AA482">
        <v>0.95166130000000004</v>
      </c>
      <c r="AB482">
        <v>34</v>
      </c>
      <c r="AC482">
        <v>81.869399999999999</v>
      </c>
      <c r="AD482">
        <v>8.8336079999999892</v>
      </c>
      <c r="AE482">
        <v>-24.8582</v>
      </c>
      <c r="AF482">
        <v>26.2976403509325</v>
      </c>
      <c r="AG482">
        <v>8.8336079999999892</v>
      </c>
      <c r="AH482">
        <v>80.469608954236804</v>
      </c>
      <c r="AI482">
        <v>84.043027912006593</v>
      </c>
      <c r="AJ482">
        <v>71.902497331419795</v>
      </c>
      <c r="AK482">
        <v>85.117310128859501</v>
      </c>
    </row>
    <row r="483" spans="1:37" x14ac:dyDescent="0.2">
      <c r="A483" t="str">
        <f>"20200111160106252"</f>
        <v>20200111160106252</v>
      </c>
      <c r="B483" t="str">
        <f>"1578729666241030"</f>
        <v>1578729666241030</v>
      </c>
      <c r="C483" t="s">
        <v>37</v>
      </c>
      <c r="D483">
        <v>4.6164500000000004</v>
      </c>
      <c r="E483">
        <v>0.55571990000000004</v>
      </c>
      <c r="F483" t="s">
        <v>42</v>
      </c>
      <c r="G483">
        <v>-321.84739999999999</v>
      </c>
      <c r="H483">
        <v>1.019547</v>
      </c>
      <c r="I483">
        <v>367.54750000000001</v>
      </c>
      <c r="J483">
        <v>-322.51799999999997</v>
      </c>
      <c r="K483">
        <v>1.1047309999999999</v>
      </c>
      <c r="L483">
        <v>367.6216</v>
      </c>
      <c r="M483">
        <v>0.9996623</v>
      </c>
      <c r="N483">
        <v>0</v>
      </c>
      <c r="O483">
        <v>2.1483869999999999E-2</v>
      </c>
      <c r="P483">
        <v>0.99693739999999997</v>
      </c>
      <c r="Q483">
        <v>-2.810323E-2</v>
      </c>
      <c r="R483">
        <v>7.2981980000000002E-2</v>
      </c>
      <c r="S483">
        <v>3.0162659999999999</v>
      </c>
      <c r="T483">
        <v>-0.257187</v>
      </c>
      <c r="U483">
        <v>-0.19958499999999901</v>
      </c>
      <c r="V483">
        <v>-5.1528839999999999E-2</v>
      </c>
      <c r="W483">
        <v>-1.355811E-2</v>
      </c>
      <c r="X483">
        <v>0.99857940000000001</v>
      </c>
      <c r="Y483">
        <v>8.7056930000000005E-2</v>
      </c>
      <c r="Z483">
        <v>-5.527751E-3</v>
      </c>
      <c r="AA483">
        <v>0.99618799999999996</v>
      </c>
      <c r="AB483">
        <v>34</v>
      </c>
      <c r="AC483">
        <v>0.67059999999997899</v>
      </c>
      <c r="AD483">
        <v>-8.5183999999999899E-2</v>
      </c>
      <c r="AE483">
        <v>-7.4099999999987107E-2</v>
      </c>
      <c r="AF483">
        <v>8.7102998750536106E-2</v>
      </c>
      <c r="AG483">
        <v>-8.5183999999999899E-2</v>
      </c>
      <c r="AH483">
        <v>0.65835810864869404</v>
      </c>
      <c r="AI483">
        <v>97.309460301439103</v>
      </c>
      <c r="AJ483">
        <v>82.463346003710001</v>
      </c>
      <c r="AK483">
        <v>0.66953614201984801</v>
      </c>
    </row>
    <row r="484" spans="1:37" x14ac:dyDescent="0.2">
      <c r="A484" t="str">
        <f>"20200111160106275"</f>
        <v>20200111160106275</v>
      </c>
      <c r="B484" t="str">
        <f>"1578729666271286"</f>
        <v>1578729666271286</v>
      </c>
      <c r="C484" t="s">
        <v>37</v>
      </c>
      <c r="D484">
        <v>4.6463769999999904</v>
      </c>
      <c r="E484">
        <v>0.55874849999999998</v>
      </c>
      <c r="F484" t="s">
        <v>42</v>
      </c>
      <c r="G484">
        <v>-321.5378</v>
      </c>
      <c r="H484">
        <v>1.0250410000000001</v>
      </c>
      <c r="I484">
        <v>367.55040000000002</v>
      </c>
      <c r="J484">
        <v>-322.166</v>
      </c>
      <c r="K484">
        <v>1.1046549999999999</v>
      </c>
      <c r="L484">
        <v>367.62959999999998</v>
      </c>
      <c r="M484">
        <v>0.99965479999999995</v>
      </c>
      <c r="N484">
        <v>0</v>
      </c>
      <c r="O484">
        <v>2.1834559999999999E-2</v>
      </c>
      <c r="P484">
        <v>0.99692479999999895</v>
      </c>
      <c r="Q484">
        <v>-2.7950530000000001E-2</v>
      </c>
      <c r="R484">
        <v>7.3212299999999994E-2</v>
      </c>
      <c r="S484">
        <v>3.0182500000000001</v>
      </c>
      <c r="T484">
        <v>-0.24559699999999901</v>
      </c>
      <c r="U484">
        <v>-0.21829219999999999</v>
      </c>
      <c r="V484">
        <v>-5.1411819999999997E-2</v>
      </c>
      <c r="W484">
        <v>-1.339926E-2</v>
      </c>
      <c r="X484">
        <v>0.99858769999999997</v>
      </c>
      <c r="Y484">
        <v>9.3519080000000004E-2</v>
      </c>
      <c r="Z484">
        <v>-5.5655399999999999E-3</v>
      </c>
      <c r="AA484">
        <v>0.99560199999999999</v>
      </c>
      <c r="AB484">
        <v>34</v>
      </c>
      <c r="AC484">
        <v>0.62819999999999199</v>
      </c>
      <c r="AD484">
        <v>-7.9613999999999796E-2</v>
      </c>
      <c r="AE484">
        <v>-7.9199999999957499E-2</v>
      </c>
      <c r="AF484">
        <v>9.1453167129236304E-2</v>
      </c>
      <c r="AG484">
        <v>-7.9613999999999796E-2</v>
      </c>
      <c r="AH484">
        <v>0.61657265367709502</v>
      </c>
      <c r="AI484">
        <v>97.278755739078605</v>
      </c>
      <c r="AJ484">
        <v>81.563113415967095</v>
      </c>
      <c r="AK484">
        <v>0.62838197621859204</v>
      </c>
    </row>
    <row r="485" spans="1:37" x14ac:dyDescent="0.2">
      <c r="A485" t="str">
        <f>"20200111160106298"</f>
        <v>20200111160106298</v>
      </c>
      <c r="B485" t="str">
        <f>"1578729666291782"</f>
        <v>1578729666291782</v>
      </c>
      <c r="C485" t="s">
        <v>37</v>
      </c>
      <c r="D485">
        <v>4.624981</v>
      </c>
      <c r="E485">
        <v>0.56058269999999899</v>
      </c>
      <c r="F485" t="s">
        <v>42</v>
      </c>
      <c r="G485">
        <v>-321.2278</v>
      </c>
      <c r="H485">
        <v>1.0320639999999901</v>
      </c>
      <c r="I485">
        <v>367.55419999999998</v>
      </c>
      <c r="J485">
        <v>-321.81029999999998</v>
      </c>
      <c r="K485">
        <v>1.1045719999999899</v>
      </c>
      <c r="L485">
        <v>367.6377</v>
      </c>
      <c r="M485">
        <v>0.99964900000000001</v>
      </c>
      <c r="N485">
        <v>0</v>
      </c>
      <c r="O485">
        <v>2.209467E-2</v>
      </c>
      <c r="P485">
        <v>0.99683169999999899</v>
      </c>
      <c r="Q485">
        <v>-2.8682639999999999E-2</v>
      </c>
      <c r="R485">
        <v>7.4190800000000001E-2</v>
      </c>
      <c r="S485">
        <v>3.0204770000000001</v>
      </c>
      <c r="T485">
        <v>-0.23388829999999999</v>
      </c>
      <c r="U485">
        <v>-0.242095899999999</v>
      </c>
      <c r="V485">
        <v>-5.2134569999999998E-2</v>
      </c>
      <c r="W485">
        <v>-1.412709E-2</v>
      </c>
      <c r="X485">
        <v>0.99854019999999999</v>
      </c>
      <c r="Y485">
        <v>0.10153429999999999</v>
      </c>
      <c r="Z485">
        <v>-5.6250429999999997E-3</v>
      </c>
      <c r="AA485">
        <v>0.99481609999999998</v>
      </c>
      <c r="AB485">
        <v>34</v>
      </c>
      <c r="AC485">
        <v>0.58249999999998103</v>
      </c>
      <c r="AD485">
        <v>-7.2508000000000003E-2</v>
      </c>
      <c r="AE485">
        <v>-8.3500000000015007E-2</v>
      </c>
      <c r="AF485">
        <v>9.4910149148391201E-2</v>
      </c>
      <c r="AG485">
        <v>-7.2508000000000003E-2</v>
      </c>
      <c r="AH485">
        <v>0.57183078772997997</v>
      </c>
      <c r="AI485">
        <v>97.130008077130697</v>
      </c>
      <c r="AJ485">
        <v>80.576188536609294</v>
      </c>
      <c r="AK485">
        <v>0.58417103340653498</v>
      </c>
    </row>
    <row r="486" spans="1:37" x14ac:dyDescent="0.2">
      <c r="A486" t="str">
        <f>"20200111160106320"</f>
        <v>20200111160106320</v>
      </c>
      <c r="B486" t="str">
        <f>"1578729666311301"</f>
        <v>1578729666311301</v>
      </c>
      <c r="C486" t="s">
        <v>37</v>
      </c>
      <c r="D486">
        <v>4.6327730000000003</v>
      </c>
      <c r="E486">
        <v>0.56223610000000002</v>
      </c>
      <c r="F486" t="s">
        <v>42</v>
      </c>
      <c r="G486">
        <v>-320.91950000000003</v>
      </c>
      <c r="H486">
        <v>1.0367090000000001</v>
      </c>
      <c r="I486">
        <v>367.56270000000001</v>
      </c>
      <c r="J486">
        <v>-321.4846</v>
      </c>
      <c r="K486">
        <v>1.1045020000000001</v>
      </c>
      <c r="L486">
        <v>367.64510000000001</v>
      </c>
      <c r="M486">
        <v>0.99964560000000002</v>
      </c>
      <c r="N486">
        <v>0</v>
      </c>
      <c r="O486">
        <v>2.2252319999999999E-2</v>
      </c>
      <c r="P486">
        <v>0.99683299999999997</v>
      </c>
      <c r="Q486">
        <v>-2.79012999999999E-2</v>
      </c>
      <c r="R486">
        <v>7.4470330000000001E-2</v>
      </c>
      <c r="S486">
        <v>3.02182</v>
      </c>
      <c r="T486">
        <v>-0.23032900000000001</v>
      </c>
      <c r="U486">
        <v>-0.25393680000000002</v>
      </c>
      <c r="V486">
        <v>-5.2259409999999999E-2</v>
      </c>
      <c r="W486">
        <v>-1.3340609999999999E-2</v>
      </c>
      <c r="X486">
        <v>0.99854449999999995</v>
      </c>
      <c r="Y486">
        <v>0.1055268</v>
      </c>
      <c r="Z486">
        <v>-5.7000330000000002E-3</v>
      </c>
      <c r="AA486">
        <v>0.99440010000000001</v>
      </c>
      <c r="AB486">
        <v>34</v>
      </c>
      <c r="AC486">
        <v>0.56509999999997196</v>
      </c>
      <c r="AD486">
        <v>-6.7792999999999895E-2</v>
      </c>
      <c r="AE486">
        <v>-8.2400000000006898E-2</v>
      </c>
      <c r="AF486">
        <v>9.3636171786997402E-2</v>
      </c>
      <c r="AG486">
        <v>-6.7792999999999895E-2</v>
      </c>
      <c r="AH486">
        <v>0.55530079062414395</v>
      </c>
      <c r="AI486">
        <v>96.864456650243099</v>
      </c>
      <c r="AJ486">
        <v>80.428683763249893</v>
      </c>
      <c r="AK486">
        <v>0.56720595164695098</v>
      </c>
    </row>
    <row r="487" spans="1:37" x14ac:dyDescent="0.2">
      <c r="A487" t="str">
        <f>"20200111160106342"</f>
        <v>20200111160106342</v>
      </c>
      <c r="B487" t="str">
        <f>"1578729666330822"</f>
        <v>1578729666330822</v>
      </c>
      <c r="C487" t="s">
        <v>37</v>
      </c>
      <c r="D487">
        <v>4.6642199999999896</v>
      </c>
      <c r="E487">
        <v>0.56374999999999997</v>
      </c>
      <c r="F487" t="s">
        <v>42</v>
      </c>
      <c r="G487">
        <v>-320.61189999999999</v>
      </c>
      <c r="H487">
        <v>1.040305</v>
      </c>
      <c r="I487">
        <v>367.56779999999998</v>
      </c>
      <c r="J487">
        <v>-321.13889999999998</v>
      </c>
      <c r="K487">
        <v>1.104303</v>
      </c>
      <c r="L487">
        <v>367.65300000000002</v>
      </c>
      <c r="M487">
        <v>0.99965099999999996</v>
      </c>
      <c r="N487">
        <v>0</v>
      </c>
      <c r="O487">
        <v>2.2352E-2</v>
      </c>
      <c r="P487">
        <v>0.99683709999999903</v>
      </c>
      <c r="Q487">
        <v>-2.591185E-2</v>
      </c>
      <c r="R487">
        <v>7.5129329999999994E-2</v>
      </c>
      <c r="S487">
        <v>3.0232239999999999</v>
      </c>
      <c r="T487">
        <v>-0.22280829999999999</v>
      </c>
      <c r="U487">
        <v>-0.26635740000000002</v>
      </c>
      <c r="V487">
        <v>-5.2821750000000001E-2</v>
      </c>
      <c r="W487">
        <v>-1.1872890000000001E-2</v>
      </c>
      <c r="X487">
        <v>0.99853340000000002</v>
      </c>
      <c r="Y487">
        <v>0.109654399999999</v>
      </c>
      <c r="Z487">
        <v>-5.6698490000000002E-3</v>
      </c>
      <c r="AA487">
        <v>0.99395359999999999</v>
      </c>
      <c r="AB487">
        <v>34</v>
      </c>
      <c r="AC487">
        <v>0.52699999999998604</v>
      </c>
      <c r="AD487">
        <v>-6.3997999999999999E-2</v>
      </c>
      <c r="AE487">
        <v>-8.5200000000043005E-2</v>
      </c>
      <c r="AF487">
        <v>9.5585659386186794E-2</v>
      </c>
      <c r="AG487">
        <v>-6.3997999999999999E-2</v>
      </c>
      <c r="AH487">
        <v>0.517526035360102</v>
      </c>
      <c r="AI487">
        <v>96.933390656286207</v>
      </c>
      <c r="AJ487">
        <v>79.535552476632603</v>
      </c>
      <c r="AK487">
        <v>0.53015616525683995</v>
      </c>
    </row>
    <row r="488" spans="1:37" x14ac:dyDescent="0.2">
      <c r="A488" t="str">
        <f>"20200111160106364"</f>
        <v>20200111160106364</v>
      </c>
      <c r="B488" t="str">
        <f>"1578729666361078"</f>
        <v>1578729666361078</v>
      </c>
      <c r="C488" t="s">
        <v>37</v>
      </c>
      <c r="D488">
        <v>4.6444179999999999</v>
      </c>
      <c r="E488">
        <v>0.56588570000000005</v>
      </c>
      <c r="F488" t="s">
        <v>42</v>
      </c>
      <c r="G488">
        <v>-320.2998</v>
      </c>
      <c r="H488">
        <v>1.0455159999999999</v>
      </c>
      <c r="I488">
        <v>367.575999999999</v>
      </c>
      <c r="J488">
        <v>-320.79649999999998</v>
      </c>
      <c r="K488">
        <v>1.1039859999999999</v>
      </c>
      <c r="L488">
        <v>367.66070000000002</v>
      </c>
      <c r="M488">
        <v>0.99965999999999999</v>
      </c>
      <c r="N488">
        <v>0</v>
      </c>
      <c r="O488">
        <v>2.240317E-2</v>
      </c>
      <c r="P488">
        <v>0.99686260000000004</v>
      </c>
      <c r="Q488">
        <v>-2.4764749999999999E-2</v>
      </c>
      <c r="R488">
        <v>7.5178410000000001E-2</v>
      </c>
      <c r="S488">
        <v>3.0248409999999999</v>
      </c>
      <c r="T488">
        <v>-0.21210290000000001</v>
      </c>
      <c r="U488">
        <v>-0.2764587</v>
      </c>
      <c r="V488">
        <v>-5.2821529999999998E-2</v>
      </c>
      <c r="W488">
        <v>-1.1459250000000001E-2</v>
      </c>
      <c r="X488">
        <v>0.99853819999999904</v>
      </c>
      <c r="Y488">
        <v>0.112976299999999</v>
      </c>
      <c r="Z488">
        <v>-5.5140939999999998E-3</v>
      </c>
      <c r="AA488">
        <v>0.99358239999999998</v>
      </c>
      <c r="AB488">
        <v>34</v>
      </c>
      <c r="AC488">
        <v>0.49669999999997499</v>
      </c>
      <c r="AD488">
        <v>-5.8470000000000202E-2</v>
      </c>
      <c r="AE488">
        <v>-8.4700000000054801E-2</v>
      </c>
      <c r="AF488">
        <v>9.4534410206955105E-2</v>
      </c>
      <c r="AG488">
        <v>-5.8470000000000202E-2</v>
      </c>
      <c r="AH488">
        <v>0.48810491929421501</v>
      </c>
      <c r="AI488">
        <v>96.707427174121804</v>
      </c>
      <c r="AJ488">
        <v>79.038867017974297</v>
      </c>
      <c r="AK488">
        <v>0.500601545994805</v>
      </c>
    </row>
    <row r="489" spans="1:37" x14ac:dyDescent="0.2">
      <c r="A489" t="str">
        <f>"20200111160106388"</f>
        <v>20200111160106388</v>
      </c>
      <c r="B489" t="str">
        <f>"1578729666381575"</f>
        <v>1578729666381575</v>
      </c>
      <c r="C489" t="s">
        <v>37</v>
      </c>
      <c r="D489">
        <v>4.6592169999999999</v>
      </c>
      <c r="E489">
        <v>0.56724540000000001</v>
      </c>
      <c r="F489" t="s">
        <v>42</v>
      </c>
      <c r="G489">
        <v>-319.98680000000002</v>
      </c>
      <c r="H489">
        <v>1.0499419999999999</v>
      </c>
      <c r="I489">
        <v>367.58210000000003</v>
      </c>
      <c r="J489">
        <v>-320.42419999999998</v>
      </c>
      <c r="K489">
        <v>1.103626</v>
      </c>
      <c r="L489">
        <v>367.66910000000001</v>
      </c>
      <c r="M489">
        <v>0.99966129999999997</v>
      </c>
      <c r="N489">
        <v>0</v>
      </c>
      <c r="O489">
        <v>2.2414750000000001E-2</v>
      </c>
      <c r="P489">
        <v>0.99689130000000004</v>
      </c>
      <c r="Q489">
        <v>-2.479812E-2</v>
      </c>
      <c r="R489">
        <v>7.4787859999999998E-2</v>
      </c>
      <c r="S489">
        <v>3.0265200000000001</v>
      </c>
      <c r="T489">
        <v>-0.20214360000000001</v>
      </c>
      <c r="U489">
        <v>-0.29345700000000002</v>
      </c>
      <c r="V489">
        <v>-5.2420050000000003E-2</v>
      </c>
      <c r="W489">
        <v>-1.1597140000000001E-2</v>
      </c>
      <c r="X489">
        <v>0.99855780000000005</v>
      </c>
      <c r="Y489">
        <v>0.11848589999999901</v>
      </c>
      <c r="Z489">
        <v>-5.4356509999999997E-3</v>
      </c>
      <c r="AA489">
        <v>0.99294079999999996</v>
      </c>
      <c r="AB489">
        <v>35</v>
      </c>
      <c r="AC489">
        <v>0.43739999999996798</v>
      </c>
      <c r="AD489">
        <v>-5.3684000000000003E-2</v>
      </c>
      <c r="AE489">
        <v>-8.6999999999989003E-2</v>
      </c>
      <c r="AF489">
        <v>9.5400807074056904E-2</v>
      </c>
      <c r="AG489">
        <v>-5.3684000000000003E-2</v>
      </c>
      <c r="AH489">
        <v>0.42912167038978399</v>
      </c>
      <c r="AI489">
        <v>96.962517787672098</v>
      </c>
      <c r="AJ489">
        <v>77.466047514840895</v>
      </c>
      <c r="AK489">
        <v>0.44286419345494599</v>
      </c>
    </row>
    <row r="490" spans="1:37" x14ac:dyDescent="0.2">
      <c r="A490" t="str">
        <f>"20200111160106409"</f>
        <v>20200111160106409</v>
      </c>
      <c r="B490" t="str">
        <f>"1578729666401094"</f>
        <v>1578729666401094</v>
      </c>
      <c r="C490" t="s">
        <v>37</v>
      </c>
      <c r="D490">
        <v>4.7047739999999996</v>
      </c>
      <c r="E490">
        <v>0.56853980000000004</v>
      </c>
      <c r="F490" t="s">
        <v>39</v>
      </c>
      <c r="G490">
        <v>-302.90769999999998</v>
      </c>
      <c r="H490">
        <v>-0.05</v>
      </c>
      <c r="I490">
        <v>365.8997</v>
      </c>
      <c r="J490">
        <v>-320.1003</v>
      </c>
      <c r="K490">
        <v>1.103192</v>
      </c>
      <c r="L490">
        <v>367.6764</v>
      </c>
      <c r="M490">
        <v>0.99965579999999998</v>
      </c>
      <c r="N490">
        <v>0</v>
      </c>
      <c r="O490">
        <v>2.2374350000000001E-2</v>
      </c>
      <c r="P490">
        <v>0.99693129999999996</v>
      </c>
      <c r="Q490">
        <v>-2.5419540000000001E-2</v>
      </c>
      <c r="R490">
        <v>7.4040949999999994E-2</v>
      </c>
      <c r="S490">
        <v>3.027374</v>
      </c>
      <c r="T490">
        <v>-0.1993818</v>
      </c>
      <c r="U490">
        <v>-0.3058167</v>
      </c>
      <c r="V490">
        <v>-5.1714309999999999E-2</v>
      </c>
      <c r="W490">
        <v>-1.1736069999999999E-2</v>
      </c>
      <c r="X490">
        <v>0.99859299999999995</v>
      </c>
      <c r="Y490">
        <v>0.1224329</v>
      </c>
      <c r="Z490">
        <v>-5.4858490000000001E-3</v>
      </c>
      <c r="AA490">
        <v>0.99246159999999894</v>
      </c>
      <c r="AB490">
        <v>35</v>
      </c>
      <c r="AC490">
        <v>17.192599999999999</v>
      </c>
      <c r="AD490">
        <v>-1.153192</v>
      </c>
      <c r="AE490">
        <v>-1.7766999999999999</v>
      </c>
      <c r="AF490">
        <v>2.1513875837113798</v>
      </c>
      <c r="AG490">
        <v>-1.153192</v>
      </c>
      <c r="AH490">
        <v>17.072540532435202</v>
      </c>
      <c r="AI490">
        <v>93.834034888865304</v>
      </c>
      <c r="AJ490">
        <v>82.817758750401197</v>
      </c>
      <c r="AK490">
        <v>17.246157849093599</v>
      </c>
    </row>
    <row r="491" spans="1:37" x14ac:dyDescent="0.2">
      <c r="A491" t="str">
        <f>"20200111160106431"</f>
        <v>20200111160106431</v>
      </c>
      <c r="B491" t="str">
        <f>"1578729666421590"</f>
        <v>1578729666421590</v>
      </c>
      <c r="C491" t="s">
        <v>37</v>
      </c>
      <c r="D491">
        <v>4.8202089999999904</v>
      </c>
      <c r="E491">
        <v>0.56966049999999901</v>
      </c>
      <c r="F491" t="s">
        <v>42</v>
      </c>
      <c r="G491">
        <v>-319.06920000000002</v>
      </c>
      <c r="H491">
        <v>1.0353030000000001</v>
      </c>
      <c r="I491">
        <v>367.56779999999998</v>
      </c>
      <c r="J491">
        <v>-319.76909999999998</v>
      </c>
      <c r="K491">
        <v>1.1025020000000001</v>
      </c>
      <c r="L491">
        <v>367.68369999999999</v>
      </c>
      <c r="M491">
        <v>0.99964649999999999</v>
      </c>
      <c r="N491">
        <v>0</v>
      </c>
      <c r="O491">
        <v>2.2278470000000002E-2</v>
      </c>
      <c r="P491">
        <v>0.99701450000000003</v>
      </c>
      <c r="Q491">
        <v>-2.5897429999999999E-2</v>
      </c>
      <c r="R491">
        <v>7.2744059999999999E-2</v>
      </c>
      <c r="S491">
        <v>3.0278320000000001</v>
      </c>
      <c r="T491">
        <v>-0.1994213</v>
      </c>
      <c r="U491">
        <v>-0.31826779999999999</v>
      </c>
      <c r="V491">
        <v>-5.0512620000000001E-2</v>
      </c>
      <c r="W491">
        <v>-1.1403689999999999E-2</v>
      </c>
      <c r="X491">
        <v>0.9986583</v>
      </c>
      <c r="Y491">
        <v>0.1263523</v>
      </c>
      <c r="Z491">
        <v>-5.6072769999999999E-3</v>
      </c>
      <c r="AA491">
        <v>0.99196960000000001</v>
      </c>
      <c r="AB491">
        <v>34</v>
      </c>
      <c r="AC491">
        <v>0.699899999999956</v>
      </c>
      <c r="AD491">
        <v>-6.7198999999999995E-2</v>
      </c>
      <c r="AE491">
        <v>-0.11590000000001</v>
      </c>
      <c r="AF491">
        <v>0.13029650860473399</v>
      </c>
      <c r="AG491">
        <v>-6.7198999999999995E-2</v>
      </c>
      <c r="AH491">
        <v>0.69094452727989997</v>
      </c>
      <c r="AI491">
        <v>95.459303564785301</v>
      </c>
      <c r="AJ491">
        <v>79.320723527116499</v>
      </c>
      <c r="AK491">
        <v>0.70632657144809996</v>
      </c>
    </row>
    <row r="492" spans="1:37" x14ac:dyDescent="0.2">
      <c r="A492" t="str">
        <f>"20200111160106453"</f>
        <v>20200111160106453</v>
      </c>
      <c r="B492" t="str">
        <f>"1578729666450869"</f>
        <v>1578729666450869</v>
      </c>
      <c r="C492" t="s">
        <v>37</v>
      </c>
      <c r="D492">
        <v>4.6286189999999996</v>
      </c>
      <c r="E492">
        <v>0.57143859999999902</v>
      </c>
      <c r="F492" t="s">
        <v>42</v>
      </c>
      <c r="G492">
        <v>-318.75920000000002</v>
      </c>
      <c r="H492">
        <v>1.0365409999999999</v>
      </c>
      <c r="I492">
        <v>367.57299999999998</v>
      </c>
      <c r="J492">
        <v>-319.42469999999997</v>
      </c>
      <c r="K492">
        <v>1.101553</v>
      </c>
      <c r="L492">
        <v>367.69130000000001</v>
      </c>
      <c r="M492">
        <v>0.9996294</v>
      </c>
      <c r="N492">
        <v>0</v>
      </c>
      <c r="O492">
        <v>2.2148230000000001E-2</v>
      </c>
      <c r="P492">
        <v>0.99710569999999898</v>
      </c>
      <c r="Q492">
        <v>-2.7135099999999999E-2</v>
      </c>
      <c r="R492">
        <v>7.1021249999999994E-2</v>
      </c>
      <c r="S492">
        <v>3.0280149999999999</v>
      </c>
      <c r="T492">
        <v>-0.1978927</v>
      </c>
      <c r="U492">
        <v>-0.33123779999999903</v>
      </c>
      <c r="V492">
        <v>-4.891877E-2</v>
      </c>
      <c r="W492">
        <v>-1.1322479999999999E-2</v>
      </c>
      <c r="X492">
        <v>0.99873860000000003</v>
      </c>
      <c r="Y492">
        <v>0.13041349999999999</v>
      </c>
      <c r="Z492">
        <v>-5.6865290000000001E-3</v>
      </c>
      <c r="AA492">
        <v>0.99144339999999997</v>
      </c>
      <c r="AB492">
        <v>34</v>
      </c>
      <c r="AC492">
        <v>0.66549999999995102</v>
      </c>
      <c r="AD492">
        <v>-6.5012E-2</v>
      </c>
      <c r="AE492">
        <v>-0.11829999999997599</v>
      </c>
      <c r="AF492">
        <v>0.13179327192928</v>
      </c>
      <c r="AG492">
        <v>-6.5012E-2</v>
      </c>
      <c r="AH492">
        <v>0.65664177473083196</v>
      </c>
      <c r="AI492">
        <v>95.544382765836801</v>
      </c>
      <c r="AJ492">
        <v>78.651066413086397</v>
      </c>
      <c r="AK492">
        <v>0.67288516627392103</v>
      </c>
    </row>
    <row r="493" spans="1:37" x14ac:dyDescent="0.2">
      <c r="A493" t="str">
        <f>"20200111160106477"</f>
        <v>20200111160106477</v>
      </c>
      <c r="B493" t="str">
        <f>"1578729666471366"</f>
        <v>1578729666471366</v>
      </c>
      <c r="C493" t="s">
        <v>37</v>
      </c>
      <c r="D493">
        <v>4.6365600000000002</v>
      </c>
      <c r="E493">
        <v>0.57240100000000005</v>
      </c>
      <c r="F493" t="s">
        <v>39</v>
      </c>
      <c r="G493">
        <v>-301.84750000000003</v>
      </c>
      <c r="H493">
        <v>-0.05</v>
      </c>
      <c r="I493">
        <v>365.65440000000001</v>
      </c>
      <c r="J493">
        <v>-319.06990000000002</v>
      </c>
      <c r="K493">
        <v>1.1003780000000001</v>
      </c>
      <c r="L493">
        <v>367.69900000000001</v>
      </c>
      <c r="M493">
        <v>0.99960110000000002</v>
      </c>
      <c r="N493">
        <v>0</v>
      </c>
      <c r="O493">
        <v>2.1985890000000001E-2</v>
      </c>
      <c r="P493">
        <v>0.99709499999999995</v>
      </c>
      <c r="Q493">
        <v>-2.8572940000000002E-2</v>
      </c>
      <c r="R493">
        <v>7.0608409999999996E-2</v>
      </c>
      <c r="S493">
        <v>3.0282900000000001</v>
      </c>
      <c r="T493">
        <v>-0.19839579999999901</v>
      </c>
      <c r="U493">
        <v>-0.3509216</v>
      </c>
      <c r="V493">
        <v>-4.8668999999999997E-2</v>
      </c>
      <c r="W493">
        <v>-1.085742E-2</v>
      </c>
      <c r="X493">
        <v>0.99875590000000003</v>
      </c>
      <c r="Y493">
        <v>0.1365905</v>
      </c>
      <c r="Z493">
        <v>-5.88931099999999E-3</v>
      </c>
      <c r="AA493">
        <v>0.99061010000000005</v>
      </c>
      <c r="AB493">
        <v>34</v>
      </c>
      <c r="AC493">
        <v>17.222399999999901</v>
      </c>
      <c r="AD493">
        <v>-1.1503779999999999</v>
      </c>
      <c r="AE493">
        <v>-2.0446</v>
      </c>
      <c r="AF493">
        <v>2.4122021451542599</v>
      </c>
      <c r="AG493">
        <v>-1.1503779999999999</v>
      </c>
      <c r="AH493">
        <v>17.098051284576702</v>
      </c>
      <c r="AI493">
        <v>93.811498054064998</v>
      </c>
      <c r="AJ493">
        <v>81.969678907196993</v>
      </c>
      <c r="AK493">
        <v>17.305647819772201</v>
      </c>
    </row>
    <row r="494" spans="1:37" x14ac:dyDescent="0.2">
      <c r="A494" t="str">
        <f>"20200111160106498"</f>
        <v>20200111160106498</v>
      </c>
      <c r="B494" t="str">
        <f>"1578729666490885"</f>
        <v>1578729666490885</v>
      </c>
      <c r="C494" t="s">
        <v>37</v>
      </c>
      <c r="D494">
        <v>4.5667619999999998</v>
      </c>
      <c r="E494">
        <v>0.57207339999999995</v>
      </c>
      <c r="F494" t="s">
        <v>39</v>
      </c>
      <c r="G494">
        <v>-301.73469999999998</v>
      </c>
      <c r="H494">
        <v>-0.05</v>
      </c>
      <c r="I494">
        <v>365.6413</v>
      </c>
      <c r="J494">
        <v>-318.73849999999999</v>
      </c>
      <c r="K494">
        <v>1.0990949999999999</v>
      </c>
      <c r="L494">
        <v>367.70609999999999</v>
      </c>
      <c r="M494">
        <v>0.99956809999999996</v>
      </c>
      <c r="N494">
        <v>0</v>
      </c>
      <c r="O494">
        <v>2.1803590000000001E-2</v>
      </c>
      <c r="P494">
        <v>0.99710710000000002</v>
      </c>
      <c r="Q494">
        <v>-2.9898190000000002E-2</v>
      </c>
      <c r="R494">
        <v>6.9884680000000005E-2</v>
      </c>
      <c r="S494">
        <v>3.0284419999999899</v>
      </c>
      <c r="T494">
        <v>-0.2009706</v>
      </c>
      <c r="U494">
        <v>-0.35946659999999903</v>
      </c>
      <c r="V494">
        <v>-4.8126879999999997E-2</v>
      </c>
      <c r="W494">
        <v>-1.020092E-2</v>
      </c>
      <c r="X494">
        <v>0.99878909999999999</v>
      </c>
      <c r="Y494">
        <v>0.13914789999999999</v>
      </c>
      <c r="Z494">
        <v>-6.0367889999999999E-3</v>
      </c>
      <c r="AA494">
        <v>0.99025319999999994</v>
      </c>
      <c r="AB494">
        <v>34</v>
      </c>
      <c r="AC494">
        <v>17.003799999999998</v>
      </c>
      <c r="AD494">
        <v>-1.149095</v>
      </c>
      <c r="AE494">
        <v>-2.0647999999999902</v>
      </c>
      <c r="AF494">
        <v>2.42421459452282</v>
      </c>
      <c r="AG494">
        <v>-1.149095</v>
      </c>
      <c r="AH494">
        <v>16.878764166316898</v>
      </c>
      <c r="AI494">
        <v>93.855210009527894</v>
      </c>
      <c r="AJ494">
        <v>81.826780259276205</v>
      </c>
      <c r="AK494">
        <v>17.090638241489501</v>
      </c>
    </row>
    <row r="495" spans="1:37" x14ac:dyDescent="0.2">
      <c r="A495" t="str">
        <f>"20200111160106520"</f>
        <v>20200111160106520</v>
      </c>
      <c r="B495" t="str">
        <f>"1578729666511381"</f>
        <v>1578729666511381</v>
      </c>
      <c r="C495" t="s">
        <v>37</v>
      </c>
      <c r="D495">
        <v>4.6235549999999996</v>
      </c>
      <c r="E495">
        <v>0.57121880000000003</v>
      </c>
      <c r="F495" t="s">
        <v>39</v>
      </c>
      <c r="G495">
        <v>-301.59629999999999</v>
      </c>
      <c r="H495">
        <v>-0.05</v>
      </c>
      <c r="I495">
        <v>365.67129999999997</v>
      </c>
      <c r="J495">
        <v>-318.40870000000001</v>
      </c>
      <c r="K495">
        <v>1.0976090000000001</v>
      </c>
      <c r="L495">
        <v>367.7131</v>
      </c>
      <c r="M495">
        <v>0.99953740000000002</v>
      </c>
      <c r="N495">
        <v>0</v>
      </c>
      <c r="O495">
        <v>2.1585010000000002E-2</v>
      </c>
      <c r="P495">
        <v>0.9971082</v>
      </c>
      <c r="Q495">
        <v>-3.1196439999999999E-2</v>
      </c>
      <c r="R495">
        <v>6.9299319999999998E-2</v>
      </c>
      <c r="S495">
        <v>3.0278019999999999</v>
      </c>
      <c r="T495">
        <v>-0.20296339999999999</v>
      </c>
      <c r="U495">
        <v>-0.35940549999999999</v>
      </c>
      <c r="V495">
        <v>-4.7759889999999999E-2</v>
      </c>
      <c r="W495">
        <v>-9.7735779999999998E-3</v>
      </c>
      <c r="X495">
        <v>0.998811</v>
      </c>
      <c r="Y495">
        <v>0.13893079999999999</v>
      </c>
      <c r="Z495">
        <v>-6.0760160000000001E-3</v>
      </c>
      <c r="AA495">
        <v>0.99028340000000004</v>
      </c>
      <c r="AB495">
        <v>34</v>
      </c>
      <c r="AC495">
        <v>16.8124</v>
      </c>
      <c r="AD495">
        <v>-1.1476090000000001</v>
      </c>
      <c r="AE495">
        <v>-2.0418000000000198</v>
      </c>
      <c r="AF495">
        <v>2.3933139395479199</v>
      </c>
      <c r="AG495">
        <v>-1.1476090000000001</v>
      </c>
      <c r="AH495">
        <v>16.687774203239201</v>
      </c>
      <c r="AI495">
        <v>93.894283803555297</v>
      </c>
      <c r="AJ495">
        <v>81.838452682446899</v>
      </c>
      <c r="AK495">
        <v>16.897537272881198</v>
      </c>
    </row>
    <row r="496" spans="1:37" x14ac:dyDescent="0.2">
      <c r="A496" t="str">
        <f>"20200111160106543"</f>
        <v>20200111160106543</v>
      </c>
      <c r="B496" t="str">
        <f>"1578729666530901"</f>
        <v>1578729666530901</v>
      </c>
      <c r="C496" t="s">
        <v>37</v>
      </c>
      <c r="D496">
        <v>4.519717</v>
      </c>
      <c r="E496">
        <v>0.57043730000000004</v>
      </c>
      <c r="F496" t="s">
        <v>39</v>
      </c>
      <c r="G496">
        <v>-301.589</v>
      </c>
      <c r="H496">
        <v>-0.05</v>
      </c>
      <c r="I496">
        <v>365.745</v>
      </c>
      <c r="J496">
        <v>-318.05680000000001</v>
      </c>
      <c r="K496">
        <v>1.0957729999999899</v>
      </c>
      <c r="L496">
        <v>367.72050000000002</v>
      </c>
      <c r="M496">
        <v>0.99951389999999996</v>
      </c>
      <c r="N496">
        <v>0</v>
      </c>
      <c r="O496">
        <v>2.1320769999999999E-2</v>
      </c>
      <c r="P496">
        <v>0.9971042</v>
      </c>
      <c r="Q496">
        <v>-3.2355059999999998E-2</v>
      </c>
      <c r="R496">
        <v>6.8824449999999995E-2</v>
      </c>
      <c r="S496">
        <v>3.0268860000000002</v>
      </c>
      <c r="T496">
        <v>-0.20652470000000001</v>
      </c>
      <c r="U496">
        <v>-0.35418699999999997</v>
      </c>
      <c r="V496">
        <v>-4.7548970000000003E-2</v>
      </c>
      <c r="W496">
        <v>-9.6111349999999998E-3</v>
      </c>
      <c r="X496">
        <v>0.99882269999999895</v>
      </c>
      <c r="Y496">
        <v>0.13701259999999901</v>
      </c>
      <c r="Z496">
        <v>-6.1017959999999996E-3</v>
      </c>
      <c r="AA496">
        <v>0.990550499999999</v>
      </c>
      <c r="AB496">
        <v>34</v>
      </c>
      <c r="AC496">
        <v>16.4678</v>
      </c>
      <c r="AD496">
        <v>-1.1457729999999999</v>
      </c>
      <c r="AE496">
        <v>-1.97550000000001</v>
      </c>
      <c r="AF496">
        <v>2.3151991040447499</v>
      </c>
      <c r="AG496">
        <v>-1.1457729999999999</v>
      </c>
      <c r="AH496">
        <v>16.3439277606162</v>
      </c>
      <c r="AI496">
        <v>93.9705860165964</v>
      </c>
      <c r="AJ496">
        <v>81.937409075815694</v>
      </c>
      <c r="AK496">
        <v>16.546809882969601</v>
      </c>
    </row>
    <row r="497" spans="1:37" x14ac:dyDescent="0.2">
      <c r="A497" t="str">
        <f>"20200111160106566"</f>
        <v>20200111160106566</v>
      </c>
      <c r="B497" t="str">
        <f>"1578729666561157"</f>
        <v>1578729666561157</v>
      </c>
      <c r="C497" t="s">
        <v>37</v>
      </c>
      <c r="D497">
        <v>4.5431939999999997</v>
      </c>
      <c r="E497">
        <v>0.56941600000000003</v>
      </c>
      <c r="F497" t="s">
        <v>39</v>
      </c>
      <c r="G497">
        <v>-301.51729999999998</v>
      </c>
      <c r="H497">
        <v>-0.05</v>
      </c>
      <c r="I497">
        <v>365.81009999999998</v>
      </c>
      <c r="J497">
        <v>-317.71069999999997</v>
      </c>
      <c r="K497">
        <v>1.0937809999999999</v>
      </c>
      <c r="L497">
        <v>367.72770000000003</v>
      </c>
      <c r="M497">
        <v>0.99949679999999996</v>
      </c>
      <c r="N497">
        <v>0</v>
      </c>
      <c r="O497">
        <v>2.1058830000000001E-2</v>
      </c>
      <c r="P497">
        <v>0.99711539999999999</v>
      </c>
      <c r="Q497">
        <v>-3.3203299999999998E-2</v>
      </c>
      <c r="R497">
        <v>6.8255689999999994E-2</v>
      </c>
      <c r="S497">
        <v>3.0260310000000001</v>
      </c>
      <c r="T497">
        <v>-0.20962749999999999</v>
      </c>
      <c r="U497">
        <v>-0.34951779999999999</v>
      </c>
      <c r="V497">
        <v>-4.7241829999999999E-2</v>
      </c>
      <c r="W497">
        <v>-9.4835490000000008E-3</v>
      </c>
      <c r="X497">
        <v>0.99883849999999996</v>
      </c>
      <c r="Y497">
        <v>0.13527110000000001</v>
      </c>
      <c r="Z497">
        <v>-6.1174330000000002E-3</v>
      </c>
      <c r="AA497">
        <v>0.990789699999999</v>
      </c>
      <c r="AB497">
        <v>34</v>
      </c>
      <c r="AC497">
        <v>16.193399999999901</v>
      </c>
      <c r="AD497">
        <v>-1.1437809999999999</v>
      </c>
      <c r="AE497">
        <v>-1.9176000000000499</v>
      </c>
      <c r="AF497">
        <v>2.2472282671351498</v>
      </c>
      <c r="AG497">
        <v>-1.1437809999999999</v>
      </c>
      <c r="AH497">
        <v>16.070347600283501</v>
      </c>
      <c r="AI497">
        <v>94.031970306304899</v>
      </c>
      <c r="AJ497">
        <v>82.039552745903094</v>
      </c>
      <c r="AK497">
        <v>16.266970887491901</v>
      </c>
    </row>
    <row r="498" spans="1:37" x14ac:dyDescent="0.2">
      <c r="A498" t="str">
        <f>"20200111160106589"</f>
        <v>20200111160106589</v>
      </c>
      <c r="B498" t="str">
        <f>"1578729666580677"</f>
        <v>1578729666580677</v>
      </c>
      <c r="C498" t="s">
        <v>37</v>
      </c>
      <c r="D498">
        <v>4.6017650000000003</v>
      </c>
      <c r="E498">
        <v>0.56878009999999901</v>
      </c>
      <c r="F498" t="s">
        <v>39</v>
      </c>
      <c r="G498">
        <v>-301.25880000000001</v>
      </c>
      <c r="H498">
        <v>-0.05</v>
      </c>
      <c r="I498">
        <v>365.86169999999998</v>
      </c>
      <c r="J498">
        <v>-317.36180000000002</v>
      </c>
      <c r="K498">
        <v>1.091607</v>
      </c>
      <c r="L498">
        <v>367.73480000000001</v>
      </c>
      <c r="M498">
        <v>0.99948349999999897</v>
      </c>
      <c r="N498">
        <v>0</v>
      </c>
      <c r="O498">
        <v>2.0801630000000002E-2</v>
      </c>
      <c r="P498">
        <v>0.99714849999999999</v>
      </c>
      <c r="Q498">
        <v>-3.3675179999999999E-2</v>
      </c>
      <c r="R498">
        <v>6.7536589999999994E-2</v>
      </c>
      <c r="S498">
        <v>3.0251459999999999</v>
      </c>
      <c r="T498">
        <v>-0.21031620000000001</v>
      </c>
      <c r="U498">
        <v>-0.3431091</v>
      </c>
      <c r="V498">
        <v>-4.6779000000000001E-2</v>
      </c>
      <c r="W498">
        <v>-9.1728959999999998E-3</v>
      </c>
      <c r="X498">
        <v>0.99886319999999995</v>
      </c>
      <c r="Y498">
        <v>0.13298070000000001</v>
      </c>
      <c r="Z498">
        <v>-6.0429309999999996E-3</v>
      </c>
      <c r="AA498">
        <v>0.99110019999999999</v>
      </c>
      <c r="AB498">
        <v>34</v>
      </c>
      <c r="AC498">
        <v>16.103000000000002</v>
      </c>
      <c r="AD498">
        <v>-1.141607</v>
      </c>
      <c r="AE498">
        <v>-1.87310000000002</v>
      </c>
      <c r="AF498">
        <v>2.196869652543</v>
      </c>
      <c r="AG498">
        <v>-1.141607</v>
      </c>
      <c r="AH498">
        <v>15.981289186100501</v>
      </c>
      <c r="AI498">
        <v>94.047985403214099</v>
      </c>
      <c r="AJ498">
        <v>82.172885537902303</v>
      </c>
      <c r="AK498">
        <v>16.171923412584199</v>
      </c>
    </row>
    <row r="499" spans="1:37" x14ac:dyDescent="0.2">
      <c r="A499" t="str">
        <f>"20200111160106609"</f>
        <v>20200111160106609</v>
      </c>
      <c r="B499" t="str">
        <f>"1578729666601174"</f>
        <v>1578729666601174</v>
      </c>
      <c r="C499" t="s">
        <v>37</v>
      </c>
      <c r="D499">
        <v>4.5371069999999998</v>
      </c>
      <c r="E499">
        <v>0.56811919999999905</v>
      </c>
      <c r="F499" t="s">
        <v>39</v>
      </c>
      <c r="G499">
        <v>-300.96949999999998</v>
      </c>
      <c r="H499">
        <v>-0.05</v>
      </c>
      <c r="I499">
        <v>365.89010000000002</v>
      </c>
      <c r="J499">
        <v>-317.041</v>
      </c>
      <c r="K499">
        <v>1.0894469999999901</v>
      </c>
      <c r="L499">
        <v>367.74119999999999</v>
      </c>
      <c r="M499">
        <v>0.99947609999999998</v>
      </c>
      <c r="N499">
        <v>0</v>
      </c>
      <c r="O499">
        <v>2.0561670000000001E-2</v>
      </c>
      <c r="P499">
        <v>0.99718759999999995</v>
      </c>
      <c r="Q499">
        <v>-3.3751490000000002E-2</v>
      </c>
      <c r="R499">
        <v>6.6915619999999995E-2</v>
      </c>
      <c r="S499">
        <v>3.0245359999999999</v>
      </c>
      <c r="T499">
        <v>-0.21063750000000001</v>
      </c>
      <c r="U499">
        <v>-0.34036250000000001</v>
      </c>
      <c r="V499">
        <v>-4.6397189999999998E-2</v>
      </c>
      <c r="W499">
        <v>-8.7581240000000008E-3</v>
      </c>
      <c r="X499">
        <v>0.99888469999999996</v>
      </c>
      <c r="Y499">
        <v>0.13187860000000001</v>
      </c>
      <c r="Z499">
        <v>-5.9988089999999999E-3</v>
      </c>
      <c r="AA499">
        <v>0.99124769999999895</v>
      </c>
      <c r="AB499">
        <v>34</v>
      </c>
      <c r="AC499">
        <v>16.0715</v>
      </c>
      <c r="AD499">
        <v>-1.1394469999999901</v>
      </c>
      <c r="AE499">
        <v>-1.85109999999997</v>
      </c>
      <c r="AF499">
        <v>2.1705011351321701</v>
      </c>
      <c r="AG499">
        <v>-1.1394469999999901</v>
      </c>
      <c r="AH499">
        <v>15.9508973022366</v>
      </c>
      <c r="AI499">
        <v>94.048778036952697</v>
      </c>
      <c r="AJ499">
        <v>82.251131062937006</v>
      </c>
      <c r="AK499">
        <v>16.138170261523399</v>
      </c>
    </row>
    <row r="500" spans="1:37" x14ac:dyDescent="0.2">
      <c r="A500" t="str">
        <f>"20200111160106632"</f>
        <v>20200111160106632</v>
      </c>
      <c r="B500" t="str">
        <f>"1578729666620694"</f>
        <v>1578729666620694</v>
      </c>
      <c r="C500" t="s">
        <v>37</v>
      </c>
      <c r="D500">
        <v>4.5269469999999998</v>
      </c>
      <c r="E500">
        <v>0.56734839999999997</v>
      </c>
      <c r="F500" t="s">
        <v>39</v>
      </c>
      <c r="G500">
        <v>-300.56540000000001</v>
      </c>
      <c r="H500">
        <v>-0.05</v>
      </c>
      <c r="I500">
        <v>365.90530000000001</v>
      </c>
      <c r="J500">
        <v>-316.70400000000001</v>
      </c>
      <c r="K500">
        <v>1.08701</v>
      </c>
      <c r="L500">
        <v>367.74790000000002</v>
      </c>
      <c r="M500">
        <v>0.99947619999999904</v>
      </c>
      <c r="N500">
        <v>0</v>
      </c>
      <c r="O500">
        <v>2.029224E-2</v>
      </c>
      <c r="P500">
        <v>0.99724609999999902</v>
      </c>
      <c r="Q500">
        <v>-3.3074520000000003E-2</v>
      </c>
      <c r="R500">
        <v>6.6380250000000002E-2</v>
      </c>
      <c r="S500">
        <v>3.023987</v>
      </c>
      <c r="T500">
        <v>-0.20913909999999999</v>
      </c>
      <c r="U500">
        <v>-0.33697509999999897</v>
      </c>
      <c r="V500">
        <v>-4.6129379999999998E-2</v>
      </c>
      <c r="W500">
        <v>-7.8569680000000006E-3</v>
      </c>
      <c r="X500">
        <v>0.99890460000000003</v>
      </c>
      <c r="Y500">
        <v>0.13054350000000001</v>
      </c>
      <c r="Z500">
        <v>-5.8931449999999998E-3</v>
      </c>
      <c r="AA500">
        <v>0.99142509999999995</v>
      </c>
      <c r="AB500">
        <v>34</v>
      </c>
      <c r="AC500">
        <v>16.138599999999901</v>
      </c>
      <c r="AD500">
        <v>-1.1370100000000001</v>
      </c>
      <c r="AE500">
        <v>-1.8426</v>
      </c>
      <c r="AF500">
        <v>2.1592331535464502</v>
      </c>
      <c r="AG500">
        <v>-1.1370100000000001</v>
      </c>
      <c r="AH500">
        <v>16.019381793000701</v>
      </c>
      <c r="AI500">
        <v>94.023617547320896</v>
      </c>
      <c r="AJ500">
        <v>82.323437174367001</v>
      </c>
      <c r="AK500">
        <v>16.204186884302299</v>
      </c>
    </row>
    <row r="501" spans="1:37" x14ac:dyDescent="0.2">
      <c r="A501" t="str">
        <f>"20200111160106655"</f>
        <v>20200111160106655</v>
      </c>
      <c r="B501" t="str">
        <f>"1578729666650950"</f>
        <v>1578729666650950</v>
      </c>
      <c r="C501" t="s">
        <v>37</v>
      </c>
      <c r="D501">
        <v>4.5658500000000002</v>
      </c>
      <c r="E501">
        <v>0.56652819999999904</v>
      </c>
      <c r="F501" t="s">
        <v>39</v>
      </c>
      <c r="G501">
        <v>-299.8408</v>
      </c>
      <c r="H501">
        <v>-0.05</v>
      </c>
      <c r="I501">
        <v>365.89389999999997</v>
      </c>
      <c r="J501">
        <v>-316.35199999999998</v>
      </c>
      <c r="K501">
        <v>1.084308</v>
      </c>
      <c r="L501">
        <v>367.75470000000001</v>
      </c>
      <c r="M501">
        <v>0.99948359999999903</v>
      </c>
      <c r="N501">
        <v>0</v>
      </c>
      <c r="O501">
        <v>2.000298E-2</v>
      </c>
      <c r="P501">
        <v>0.99726130000000002</v>
      </c>
      <c r="Q501">
        <v>-3.2915519999999997E-2</v>
      </c>
      <c r="R501">
        <v>6.6233E-2</v>
      </c>
      <c r="S501">
        <v>3.0236509999999899</v>
      </c>
      <c r="T501">
        <v>-0.203871</v>
      </c>
      <c r="U501">
        <v>-0.332428</v>
      </c>
      <c r="V501">
        <v>-4.627183E-2</v>
      </c>
      <c r="W501">
        <v>-7.756359E-3</v>
      </c>
      <c r="X501">
        <v>0.99889869999999903</v>
      </c>
      <c r="Y501">
        <v>0.1288176</v>
      </c>
      <c r="Z501">
        <v>-5.6687559999999996E-3</v>
      </c>
      <c r="AA501">
        <v>0.99165210000000004</v>
      </c>
      <c r="AB501">
        <v>34</v>
      </c>
      <c r="AC501">
        <v>16.511199999999999</v>
      </c>
      <c r="AD501">
        <v>-1.1343080000000001</v>
      </c>
      <c r="AE501">
        <v>-1.86080000000004</v>
      </c>
      <c r="AF501">
        <v>2.1806424723372801</v>
      </c>
      <c r="AG501">
        <v>-1.1343080000000001</v>
      </c>
      <c r="AH501">
        <v>16.394257197621801</v>
      </c>
      <c r="AI501">
        <v>93.923503530274402</v>
      </c>
      <c r="AJ501">
        <v>82.423414105158201</v>
      </c>
      <c r="AK501">
        <v>16.577500574356801</v>
      </c>
    </row>
    <row r="502" spans="1:37" x14ac:dyDescent="0.2">
      <c r="A502" t="str">
        <f>"20200111160106677"</f>
        <v>20200111160106677</v>
      </c>
      <c r="B502" t="str">
        <f>"1578729666671446"</f>
        <v>1578729666671446</v>
      </c>
      <c r="C502" t="s">
        <v>37</v>
      </c>
      <c r="D502">
        <v>4.5871919999999999</v>
      </c>
      <c r="E502">
        <v>0.56600760000000006</v>
      </c>
      <c r="F502" t="s">
        <v>39</v>
      </c>
      <c r="G502">
        <v>-299.28059999999999</v>
      </c>
      <c r="H502">
        <v>-0.05</v>
      </c>
      <c r="I502">
        <v>365.90980000000002</v>
      </c>
      <c r="J502">
        <v>-316.01429999999999</v>
      </c>
      <c r="K502">
        <v>1.0816219999999901</v>
      </c>
      <c r="L502">
        <v>367.7611</v>
      </c>
      <c r="M502">
        <v>0.99949409999999905</v>
      </c>
      <c r="N502">
        <v>0</v>
      </c>
      <c r="O502">
        <v>1.973111E-2</v>
      </c>
      <c r="P502">
        <v>0.99730269999999999</v>
      </c>
      <c r="Q502">
        <v>-3.2338369999999998E-2</v>
      </c>
      <c r="R502">
        <v>6.5893229999999997E-2</v>
      </c>
      <c r="S502">
        <v>3.0233460000000001</v>
      </c>
      <c r="T502">
        <v>-0.20088610000000001</v>
      </c>
      <c r="U502">
        <v>-0.32672119999999999</v>
      </c>
      <c r="V502">
        <v>-4.6202899999999998E-2</v>
      </c>
      <c r="W502">
        <v>-7.380045E-3</v>
      </c>
      <c r="X502">
        <v>0.99890480000000004</v>
      </c>
      <c r="Y502">
        <v>0.12672320000000001</v>
      </c>
      <c r="Z502">
        <v>-5.4997450000000003E-3</v>
      </c>
      <c r="AA502">
        <v>0.99192289999999905</v>
      </c>
      <c r="AB502">
        <v>34</v>
      </c>
      <c r="AC502">
        <v>16.733699999999999</v>
      </c>
      <c r="AD502">
        <v>-1.1316219999999999</v>
      </c>
      <c r="AE502">
        <v>-1.85129999999998</v>
      </c>
      <c r="AF502">
        <v>2.1714064436943499</v>
      </c>
      <c r="AG502">
        <v>-1.1316219999999999</v>
      </c>
      <c r="AH502">
        <v>16.6188187655547</v>
      </c>
      <c r="AI502">
        <v>93.862685773131801</v>
      </c>
      <c r="AJ502">
        <v>82.5559327848582</v>
      </c>
      <c r="AK502">
        <v>16.798235367352</v>
      </c>
    </row>
    <row r="503" spans="1:37" x14ac:dyDescent="0.2">
      <c r="A503" t="str">
        <f>"20200111160106700"</f>
        <v>20200111160106700</v>
      </c>
      <c r="B503" t="str">
        <f>"1578729666690966"</f>
        <v>1578729666690966</v>
      </c>
      <c r="C503" t="s">
        <v>37</v>
      </c>
      <c r="D503">
        <v>4.5718139999999998</v>
      </c>
      <c r="E503">
        <v>0.56550230000000001</v>
      </c>
      <c r="F503" t="s">
        <v>39</v>
      </c>
      <c r="G503">
        <v>-298.7097</v>
      </c>
      <c r="H503">
        <v>-0.05</v>
      </c>
      <c r="I503">
        <v>365.90910000000002</v>
      </c>
      <c r="J503">
        <v>-315.67349999999999</v>
      </c>
      <c r="K503">
        <v>1.0788789999999999</v>
      </c>
      <c r="L503">
        <v>367.76749999999998</v>
      </c>
      <c r="M503">
        <v>0.99950729999999999</v>
      </c>
      <c r="N503">
        <v>0</v>
      </c>
      <c r="O503">
        <v>1.9415229999999999E-2</v>
      </c>
      <c r="P503">
        <v>0.99732969999999899</v>
      </c>
      <c r="Q503">
        <v>-3.1687760000000002E-2</v>
      </c>
      <c r="R503">
        <v>6.5801219999999994E-2</v>
      </c>
      <c r="S503">
        <v>3.0230709999999998</v>
      </c>
      <c r="T503">
        <v>-0.1976926</v>
      </c>
      <c r="U503">
        <v>-0.32354739999999999</v>
      </c>
      <c r="V503">
        <v>-4.6425929999999997E-2</v>
      </c>
      <c r="W503">
        <v>-7.0086069999999896E-3</v>
      </c>
      <c r="X503">
        <v>0.99889709999999998</v>
      </c>
      <c r="Y503">
        <v>0.12540309999999999</v>
      </c>
      <c r="Z503">
        <v>-5.3496940000000003E-3</v>
      </c>
      <c r="AA503">
        <v>0.99209150000000002</v>
      </c>
      <c r="AB503">
        <v>34</v>
      </c>
      <c r="AC503">
        <v>16.9637999999999</v>
      </c>
      <c r="AD503">
        <v>-1.128879</v>
      </c>
      <c r="AE503">
        <v>-1.8583999999999601</v>
      </c>
      <c r="AF503">
        <v>2.1779751718573501</v>
      </c>
      <c r="AG503">
        <v>-1.128879</v>
      </c>
      <c r="AH503">
        <v>16.850770961522102</v>
      </c>
      <c r="AI503">
        <v>93.801148135321398</v>
      </c>
      <c r="AJ503">
        <v>82.635306035708794</v>
      </c>
      <c r="AK503">
        <v>17.0284005603446</v>
      </c>
    </row>
    <row r="504" spans="1:37" x14ac:dyDescent="0.2">
      <c r="A504" t="str">
        <f>"20200111160106723"</f>
        <v>20200111160106723</v>
      </c>
      <c r="B504" t="str">
        <f>"1578729666711463"</f>
        <v>1578729666711463</v>
      </c>
      <c r="C504" t="s">
        <v>37</v>
      </c>
      <c r="D504">
        <v>4.5986330000000004</v>
      </c>
      <c r="E504">
        <v>0.5650018</v>
      </c>
      <c r="F504" t="s">
        <v>39</v>
      </c>
      <c r="G504">
        <v>-298.101</v>
      </c>
      <c r="H504">
        <v>-0.05</v>
      </c>
      <c r="I504">
        <v>365.90710000000001</v>
      </c>
      <c r="J504">
        <v>-315.34820000000002</v>
      </c>
      <c r="K504">
        <v>1.076282</v>
      </c>
      <c r="L504">
        <v>367.77350000000001</v>
      </c>
      <c r="M504">
        <v>0.9995233</v>
      </c>
      <c r="N504">
        <v>0</v>
      </c>
      <c r="O504">
        <v>1.9056500000000001E-2</v>
      </c>
      <c r="P504">
        <v>0.99736539999999996</v>
      </c>
      <c r="Q504">
        <v>-3.1434169999999997E-2</v>
      </c>
      <c r="R504">
        <v>6.5378560000000002E-2</v>
      </c>
      <c r="S504">
        <v>3.02298</v>
      </c>
      <c r="T504">
        <v>-0.19419990000000001</v>
      </c>
      <c r="U504">
        <v>-0.32003779999999998</v>
      </c>
      <c r="V504">
        <v>-4.6361590000000001E-2</v>
      </c>
      <c r="W504">
        <v>-7.1334190000000002E-3</v>
      </c>
      <c r="X504">
        <v>0.99889930000000005</v>
      </c>
      <c r="Y504">
        <v>0.12392539999999901</v>
      </c>
      <c r="Z504">
        <v>-5.1855820000000002E-3</v>
      </c>
      <c r="AA504">
        <v>0.99227799999999999</v>
      </c>
      <c r="AB504">
        <v>34</v>
      </c>
      <c r="AC504">
        <v>17.247199999999999</v>
      </c>
      <c r="AD504">
        <v>-1.126282</v>
      </c>
      <c r="AE504">
        <v>-1.8663999999999901</v>
      </c>
      <c r="AF504">
        <v>2.18561670465717</v>
      </c>
      <c r="AG504">
        <v>-1.126282</v>
      </c>
      <c r="AH504">
        <v>17.136258777887701</v>
      </c>
      <c r="AI504">
        <v>93.730229663439005</v>
      </c>
      <c r="AJ504">
        <v>82.731544716644805</v>
      </c>
      <c r="AK504">
        <v>17.311753129765101</v>
      </c>
    </row>
    <row r="505" spans="1:37" x14ac:dyDescent="0.2">
      <c r="A505" t="str">
        <f>"20200111160106744"</f>
        <v>20200111160106744</v>
      </c>
      <c r="B505" t="str">
        <f>"1578729666740742"</f>
        <v>1578729666740742</v>
      </c>
      <c r="C505" t="s">
        <v>37</v>
      </c>
      <c r="D505">
        <v>4.7209089999999998</v>
      </c>
      <c r="E505">
        <v>0.56433919999999904</v>
      </c>
      <c r="F505" t="s">
        <v>39</v>
      </c>
      <c r="G505">
        <v>-297.6078</v>
      </c>
      <c r="H505">
        <v>-0.05</v>
      </c>
      <c r="I505">
        <v>365.91</v>
      </c>
      <c r="J505">
        <v>-315.01769999999999</v>
      </c>
      <c r="K505">
        <v>1.073709</v>
      </c>
      <c r="L505">
        <v>367.77929999999998</v>
      </c>
      <c r="M505">
        <v>0.99954349999999903</v>
      </c>
      <c r="N505">
        <v>0</v>
      </c>
      <c r="O505">
        <v>1.8643860000000002E-2</v>
      </c>
      <c r="P505">
        <v>0.99738199999999999</v>
      </c>
      <c r="Q505">
        <v>-3.1305079999999999E-2</v>
      </c>
      <c r="R505">
        <v>6.5186090000000002E-2</v>
      </c>
      <c r="S505">
        <v>3.022675</v>
      </c>
      <c r="T505">
        <v>-0.19189999999999999</v>
      </c>
      <c r="U505">
        <v>-0.31750489999999998</v>
      </c>
      <c r="V505">
        <v>-4.6581989999999997E-2</v>
      </c>
      <c r="W505">
        <v>-7.5150569999999899E-3</v>
      </c>
      <c r="X505">
        <v>0.99888619999999995</v>
      </c>
      <c r="Y505">
        <v>0.12271359999999901</v>
      </c>
      <c r="Z505">
        <v>-5.0605729999999996E-3</v>
      </c>
      <c r="AA505">
        <v>0.99242919999999901</v>
      </c>
      <c r="AB505">
        <v>34</v>
      </c>
      <c r="AC505">
        <v>17.409899999999901</v>
      </c>
      <c r="AD505">
        <v>-1.1237090000000001</v>
      </c>
      <c r="AE505">
        <v>-1.86929999999995</v>
      </c>
      <c r="AF505">
        <v>2.1846569456925802</v>
      </c>
      <c r="AG505">
        <v>-1.1237090000000001</v>
      </c>
      <c r="AH505">
        <v>17.300758565835299</v>
      </c>
      <c r="AI505">
        <v>93.687025169574</v>
      </c>
      <c r="AJ505">
        <v>82.803054810604905</v>
      </c>
      <c r="AK505">
        <v>17.474315289600501</v>
      </c>
    </row>
    <row r="506" spans="1:37" x14ac:dyDescent="0.2">
      <c r="A506" t="str">
        <f>"20200111160106767"</f>
        <v>20200111160106767</v>
      </c>
      <c r="B506" t="str">
        <f>"1578729666761238"</f>
        <v>1578729666761238</v>
      </c>
      <c r="C506" t="s">
        <v>37</v>
      </c>
      <c r="D506">
        <v>4.6788759999999998</v>
      </c>
      <c r="E506">
        <v>0.56390289999999998</v>
      </c>
      <c r="F506" t="s">
        <v>39</v>
      </c>
      <c r="G506">
        <v>-297.05739999999997</v>
      </c>
      <c r="H506">
        <v>-0.05</v>
      </c>
      <c r="I506">
        <v>365.9196</v>
      </c>
      <c r="J506">
        <v>-314.67399999999998</v>
      </c>
      <c r="K506">
        <v>1.071159</v>
      </c>
      <c r="L506">
        <v>367.78530000000001</v>
      </c>
      <c r="M506">
        <v>0.99956719999999899</v>
      </c>
      <c r="N506">
        <v>0</v>
      </c>
      <c r="O506">
        <v>1.8178989999999999E-2</v>
      </c>
      <c r="P506">
        <v>0.99742909999999996</v>
      </c>
      <c r="Q506">
        <v>-3.0284490000000001E-2</v>
      </c>
      <c r="R506">
        <v>6.4948679999999995E-2</v>
      </c>
      <c r="S506">
        <v>3.0224000000000002</v>
      </c>
      <c r="T506">
        <v>-0.1891005</v>
      </c>
      <c r="U506">
        <v>-0.31295780000000001</v>
      </c>
      <c r="V506">
        <v>-4.6808849999999999E-2</v>
      </c>
      <c r="W506">
        <v>-7.13001E-3</v>
      </c>
      <c r="X506">
        <v>0.99887839999999894</v>
      </c>
      <c r="Y506">
        <v>0.1207966</v>
      </c>
      <c r="Z506">
        <v>-4.8989559999999899E-3</v>
      </c>
      <c r="AA506">
        <v>0.99266520000000003</v>
      </c>
      <c r="AB506">
        <v>33</v>
      </c>
      <c r="AC506">
        <v>17.616599999999998</v>
      </c>
      <c r="AD506">
        <v>-1.121159</v>
      </c>
      <c r="AE506">
        <v>-1.8656999999999999</v>
      </c>
      <c r="AF506">
        <v>2.17700941095051</v>
      </c>
      <c r="AG506">
        <v>-1.121159</v>
      </c>
      <c r="AH506">
        <v>17.509628526941999</v>
      </c>
      <c r="AI506">
        <v>93.635786281956399</v>
      </c>
      <c r="AJ506">
        <v>82.912664163303702</v>
      </c>
      <c r="AK506">
        <v>17.680029938610101</v>
      </c>
    </row>
    <row r="507" spans="1:37" x14ac:dyDescent="0.2">
      <c r="A507" t="str">
        <f>"20200111160106790"</f>
        <v>20200111160106790</v>
      </c>
      <c r="B507" t="str">
        <f>"1578729666780757"</f>
        <v>1578729666780757</v>
      </c>
      <c r="C507" t="s">
        <v>37</v>
      </c>
      <c r="D507">
        <v>4.6621040000000002</v>
      </c>
      <c r="E507">
        <v>0.5634846</v>
      </c>
      <c r="F507" t="s">
        <v>39</v>
      </c>
      <c r="G507">
        <v>-296.3356</v>
      </c>
      <c r="H507">
        <v>-0.05</v>
      </c>
      <c r="I507">
        <v>365.90379999999999</v>
      </c>
      <c r="J507">
        <v>-314.3417</v>
      </c>
      <c r="K507">
        <v>1.0688679999999999</v>
      </c>
      <c r="L507">
        <v>367.79079999999999</v>
      </c>
      <c r="M507">
        <v>0.99959129999999996</v>
      </c>
      <c r="N507">
        <v>0</v>
      </c>
      <c r="O507">
        <v>1.770037E-2</v>
      </c>
      <c r="P507">
        <v>0.99746979999999996</v>
      </c>
      <c r="Q507">
        <v>-2.893561E-2</v>
      </c>
      <c r="R507">
        <v>6.4938490000000001E-2</v>
      </c>
      <c r="S507">
        <v>3.0223080000000002</v>
      </c>
      <c r="T507">
        <v>-0.18477560000000001</v>
      </c>
      <c r="U507">
        <v>-0.31008909999999901</v>
      </c>
      <c r="V507">
        <v>-4.7275829999999998E-2</v>
      </c>
      <c r="W507">
        <v>-6.4562380000000004E-3</v>
      </c>
      <c r="X507">
        <v>0.998861</v>
      </c>
      <c r="Y507">
        <v>0.11940719999999901</v>
      </c>
      <c r="Z507">
        <v>-4.7159840000000003E-3</v>
      </c>
      <c r="AA507">
        <v>0.992834199999999</v>
      </c>
      <c r="AB507">
        <v>33</v>
      </c>
      <c r="AC507">
        <v>18.0061</v>
      </c>
      <c r="AD507">
        <v>-1.118868</v>
      </c>
      <c r="AE507">
        <v>-1.887</v>
      </c>
      <c r="AF507">
        <v>2.1971079544055798</v>
      </c>
      <c r="AG507">
        <v>-1.118868</v>
      </c>
      <c r="AH507">
        <v>17.901498887011101</v>
      </c>
      <c r="AI507">
        <v>93.549844299028905</v>
      </c>
      <c r="AJ507">
        <v>83.002899985258907</v>
      </c>
      <c r="AK507">
        <v>18.070495603784501</v>
      </c>
    </row>
    <row r="508" spans="1:37" x14ac:dyDescent="0.2">
      <c r="A508" t="str">
        <f>"20200111160106811"</f>
        <v>20200111160106811</v>
      </c>
      <c r="B508" t="str">
        <f>"1578729666801253"</f>
        <v>1578729666801253</v>
      </c>
      <c r="C508" t="s">
        <v>37</v>
      </c>
      <c r="D508">
        <v>4.6906049999999997</v>
      </c>
      <c r="E508">
        <v>0.56308910000000001</v>
      </c>
      <c r="F508" t="s">
        <v>39</v>
      </c>
      <c r="G508">
        <v>-295.4787</v>
      </c>
      <c r="H508">
        <v>-0.05</v>
      </c>
      <c r="I508">
        <v>365.87549999999999</v>
      </c>
      <c r="J508">
        <v>-314.02229999999997</v>
      </c>
      <c r="K508">
        <v>1.0668610000000001</v>
      </c>
      <c r="L508">
        <v>367.79599999999999</v>
      </c>
      <c r="M508">
        <v>0.99961480000000003</v>
      </c>
      <c r="N508">
        <v>0</v>
      </c>
      <c r="O508">
        <v>1.7211480000000001E-2</v>
      </c>
      <c r="P508">
        <v>0.99747999999999903</v>
      </c>
      <c r="Q508">
        <v>-2.8320379999999999E-2</v>
      </c>
      <c r="R508">
        <v>6.5052029999999997E-2</v>
      </c>
      <c r="S508">
        <v>3.0223689999999999</v>
      </c>
      <c r="T508">
        <v>-0.17927360000000001</v>
      </c>
      <c r="U508">
        <v>-0.30688480000000001</v>
      </c>
      <c r="V508">
        <v>-4.787831E-2</v>
      </c>
      <c r="W508">
        <v>-6.5090699999999996E-3</v>
      </c>
      <c r="X508">
        <v>0.99883199999999905</v>
      </c>
      <c r="Y508">
        <v>0.1178958</v>
      </c>
      <c r="Z508">
        <v>-4.5023529999999997E-3</v>
      </c>
      <c r="AA508">
        <v>0.9930158</v>
      </c>
      <c r="AB508">
        <v>33</v>
      </c>
      <c r="AC508">
        <v>18.543599999999898</v>
      </c>
      <c r="AD508">
        <v>-1.1168610000000001</v>
      </c>
      <c r="AE508">
        <v>-1.9205000000000001</v>
      </c>
      <c r="AF508">
        <v>2.2314451398772199</v>
      </c>
      <c r="AG508">
        <v>-1.1168610000000001</v>
      </c>
      <c r="AH508">
        <v>18.441601976283799</v>
      </c>
      <c r="AI508">
        <v>93.440680890192994</v>
      </c>
      <c r="AJ508">
        <v>83.100716250665499</v>
      </c>
      <c r="AK508">
        <v>18.609659033880099</v>
      </c>
    </row>
    <row r="509" spans="1:37" x14ac:dyDescent="0.2">
      <c r="A509" t="str">
        <f>"20200111160106833"</f>
        <v>20200111160106833</v>
      </c>
      <c r="B509" t="str">
        <f>"1578729666820773"</f>
        <v>1578729666820773</v>
      </c>
      <c r="C509" t="s">
        <v>37</v>
      </c>
      <c r="D509">
        <v>4.6850550000000002</v>
      </c>
      <c r="E509">
        <v>0.56267270000000003</v>
      </c>
      <c r="F509" t="s">
        <v>39</v>
      </c>
      <c r="G509">
        <v>-294.88670000000002</v>
      </c>
      <c r="H509">
        <v>-0.05</v>
      </c>
      <c r="I509">
        <v>365.875</v>
      </c>
      <c r="J509">
        <v>-313.69749999999999</v>
      </c>
      <c r="K509">
        <v>1.065034</v>
      </c>
      <c r="L509">
        <v>367.80090000000001</v>
      </c>
      <c r="M509">
        <v>0.99963799999999903</v>
      </c>
      <c r="N509">
        <v>0</v>
      </c>
      <c r="O509">
        <v>1.6684810000000001E-2</v>
      </c>
      <c r="P509">
        <v>0.99753740000000002</v>
      </c>
      <c r="Q509">
        <v>-2.764691E-2</v>
      </c>
      <c r="R509">
        <v>6.44565E-2</v>
      </c>
      <c r="S509">
        <v>3.0223689999999999</v>
      </c>
      <c r="T509">
        <v>-0.17640239999999999</v>
      </c>
      <c r="U509">
        <v>-0.3034058</v>
      </c>
      <c r="V509">
        <v>-4.7808299999999998E-2</v>
      </c>
      <c r="W509">
        <v>-6.5063689999999997E-3</v>
      </c>
      <c r="X509">
        <v>0.99883529999999998</v>
      </c>
      <c r="Y509">
        <v>0.1162518</v>
      </c>
      <c r="Z509">
        <v>-4.35213599999999E-3</v>
      </c>
      <c r="AA509">
        <v>0.99321029999999999</v>
      </c>
      <c r="AB509">
        <v>33</v>
      </c>
      <c r="AC509">
        <v>18.810799999999901</v>
      </c>
      <c r="AD509">
        <v>-1.1150340000000001</v>
      </c>
      <c r="AE509">
        <v>-1.9259000000000099</v>
      </c>
      <c r="AF509">
        <v>2.23179588886314</v>
      </c>
      <c r="AG509">
        <v>-1.1150340000000001</v>
      </c>
      <c r="AH509">
        <v>18.710977600425501</v>
      </c>
      <c r="AI509">
        <v>93.386417827155398</v>
      </c>
      <c r="AJ509">
        <v>83.198046904352694</v>
      </c>
      <c r="AK509">
        <v>18.876570039981502</v>
      </c>
    </row>
    <row r="510" spans="1:37" x14ac:dyDescent="0.2">
      <c r="A510" t="str">
        <f>"20200111160106847"</f>
        <v>20200111160106847</v>
      </c>
      <c r="B510" t="str">
        <f>"1578729666841270"</f>
        <v>1578729666841270</v>
      </c>
      <c r="C510" t="s">
        <v>37</v>
      </c>
      <c r="D510">
        <v>4.958323</v>
      </c>
      <c r="E510">
        <v>0.56226299999999996</v>
      </c>
      <c r="F510" t="s">
        <v>39</v>
      </c>
      <c r="G510">
        <v>-294.32889999999998</v>
      </c>
      <c r="H510">
        <v>-0.05</v>
      </c>
      <c r="I510">
        <v>365.86689999999999</v>
      </c>
      <c r="J510">
        <v>-313.48480000000001</v>
      </c>
      <c r="K510">
        <v>1.0639459999999901</v>
      </c>
      <c r="L510">
        <v>367.80410000000001</v>
      </c>
      <c r="M510">
        <v>0.99965319999999902</v>
      </c>
      <c r="N510">
        <v>0</v>
      </c>
      <c r="O510">
        <v>1.631991E-2</v>
      </c>
      <c r="P510">
        <v>0.99755569999999905</v>
      </c>
      <c r="Q510">
        <v>-2.7964679999999999E-2</v>
      </c>
      <c r="R510">
        <v>6.4040470000000002E-2</v>
      </c>
      <c r="S510">
        <v>3.022125</v>
      </c>
      <c r="T510">
        <v>-0.17398079999999999</v>
      </c>
      <c r="U510">
        <v>-0.30175780000000002</v>
      </c>
      <c r="V510">
        <v>-4.7758050000000003E-2</v>
      </c>
      <c r="W510">
        <v>-7.2526279999999997E-3</v>
      </c>
      <c r="X510">
        <v>0.99883259999999996</v>
      </c>
      <c r="Y510">
        <v>0.115368899999999</v>
      </c>
      <c r="Z510">
        <v>-4.2466629999999899E-3</v>
      </c>
      <c r="AA510">
        <v>0.99331360000000002</v>
      </c>
      <c r="AB510">
        <v>33</v>
      </c>
      <c r="AC510">
        <v>19.155899999999999</v>
      </c>
      <c r="AD510">
        <v>-1.1139459999999901</v>
      </c>
      <c r="AE510">
        <v>-1.93720000000001</v>
      </c>
      <c r="AF510">
        <v>2.2421260142319399</v>
      </c>
      <c r="AG510">
        <v>-1.1139459999999901</v>
      </c>
      <c r="AH510">
        <v>19.057932045355901</v>
      </c>
      <c r="AI510">
        <v>93.322300747722295</v>
      </c>
      <c r="AJ510">
        <v>83.290114673548999</v>
      </c>
      <c r="AK510">
        <v>19.2216747085163</v>
      </c>
    </row>
    <row r="511" spans="1:37" x14ac:dyDescent="0.2">
      <c r="A511" t="str">
        <f>"20200111160106867"</f>
        <v>20200111160106867</v>
      </c>
      <c r="B511" t="str">
        <f>"1578729666861770"</f>
        <v>1578729666861770</v>
      </c>
      <c r="C511" t="s">
        <v>37</v>
      </c>
      <c r="D511">
        <v>4.7091529999999997</v>
      </c>
      <c r="E511">
        <v>0.56189609999999901</v>
      </c>
      <c r="F511" t="s">
        <v>39</v>
      </c>
      <c r="G511">
        <v>-294.16680000000002</v>
      </c>
      <c r="H511">
        <v>-0.05</v>
      </c>
      <c r="I511">
        <v>365.885999999999</v>
      </c>
      <c r="J511">
        <v>-313.18040000000002</v>
      </c>
      <c r="K511">
        <v>1.0625420000000001</v>
      </c>
      <c r="L511">
        <v>367.80849999999998</v>
      </c>
      <c r="M511">
        <v>0.99967399999999995</v>
      </c>
      <c r="N511">
        <v>0</v>
      </c>
      <c r="O511">
        <v>1.577054E-2</v>
      </c>
      <c r="P511">
        <v>0.99763009999999996</v>
      </c>
      <c r="Q511">
        <v>-2.711409E-2</v>
      </c>
      <c r="R511">
        <v>6.3238249999999996E-2</v>
      </c>
      <c r="S511">
        <v>3.0217290000000001</v>
      </c>
      <c r="T511">
        <v>-0.1742436</v>
      </c>
      <c r="U511">
        <v>-0.30001830000000002</v>
      </c>
      <c r="V511">
        <v>-4.7503330000000003E-2</v>
      </c>
      <c r="W511">
        <v>-6.9875529999999996E-3</v>
      </c>
      <c r="X511">
        <v>0.99884669999999898</v>
      </c>
      <c r="Y511">
        <v>0.1142714</v>
      </c>
      <c r="Z511">
        <v>-4.1906000000000001E-3</v>
      </c>
      <c r="AA511">
        <v>0.99344069999999995</v>
      </c>
      <c r="AB511">
        <v>33</v>
      </c>
      <c r="AC511">
        <v>19.0136</v>
      </c>
      <c r="AD511">
        <v>-1.1125419999999999</v>
      </c>
      <c r="AE511">
        <v>-1.9225000000000101</v>
      </c>
      <c r="AF511">
        <v>2.2146702447317401</v>
      </c>
      <c r="AG511">
        <v>-1.1125419999999999</v>
      </c>
      <c r="AH511">
        <v>18.916798236564698</v>
      </c>
      <c r="AI511">
        <v>93.343044039566294</v>
      </c>
      <c r="AJ511">
        <v>83.322535987567093</v>
      </c>
      <c r="AK511">
        <v>19.078463499914299</v>
      </c>
    </row>
    <row r="512" spans="1:37" x14ac:dyDescent="0.2">
      <c r="A512" t="str">
        <f>"20200111160106889"</f>
        <v>20200111160106889</v>
      </c>
      <c r="B512" t="str">
        <f>"1578729666881286"</f>
        <v>1578729666881286</v>
      </c>
      <c r="C512" t="s">
        <v>37</v>
      </c>
      <c r="D512">
        <v>4.7741579999999999</v>
      </c>
      <c r="E512">
        <v>0.56154599999999999</v>
      </c>
      <c r="F512" t="s">
        <v>39</v>
      </c>
      <c r="G512">
        <v>-293.48450000000003</v>
      </c>
      <c r="H512">
        <v>-0.05</v>
      </c>
      <c r="I512">
        <v>365.85750000000002</v>
      </c>
      <c r="J512">
        <v>-312.87</v>
      </c>
      <c r="K512">
        <v>1.061275</v>
      </c>
      <c r="L512">
        <v>367.81279999999998</v>
      </c>
      <c r="M512">
        <v>0.99969399999999997</v>
      </c>
      <c r="N512">
        <v>0</v>
      </c>
      <c r="O512">
        <v>1.518625E-2</v>
      </c>
      <c r="P512">
        <v>0.99769660000000004</v>
      </c>
      <c r="Q512">
        <v>-2.6762999999999999E-2</v>
      </c>
      <c r="R512">
        <v>6.2333220000000002E-2</v>
      </c>
      <c r="S512">
        <v>3.0214539999999999</v>
      </c>
      <c r="T512">
        <v>-0.17066909999999999</v>
      </c>
      <c r="U512">
        <v>-0.29928589999999999</v>
      </c>
      <c r="V512">
        <v>-4.7181760000000003E-2</v>
      </c>
      <c r="W512">
        <v>-7.1961489999999998E-3</v>
      </c>
      <c r="X512">
        <v>0.99886039999999998</v>
      </c>
      <c r="Y512">
        <v>0.1134719</v>
      </c>
      <c r="Z512">
        <v>-4.0497570000000002E-3</v>
      </c>
      <c r="AA512">
        <v>0.993533</v>
      </c>
      <c r="AB512">
        <v>33</v>
      </c>
      <c r="AC512">
        <v>19.385499999999901</v>
      </c>
      <c r="AD512">
        <v>-1.111275</v>
      </c>
      <c r="AE512">
        <v>-1.9552999999999601</v>
      </c>
      <c r="AF512">
        <v>2.24222949836301</v>
      </c>
      <c r="AG512">
        <v>-1.111275</v>
      </c>
      <c r="AH512">
        <v>19.290810010352999</v>
      </c>
      <c r="AI512">
        <v>93.274962569598102</v>
      </c>
      <c r="AJ512">
        <v>83.370087507172002</v>
      </c>
      <c r="AK512">
        <v>19.452451673362201</v>
      </c>
    </row>
    <row r="513" spans="1:37" x14ac:dyDescent="0.2">
      <c r="A513" t="str">
        <f>"20200111160106911"</f>
        <v>20200111160106911</v>
      </c>
      <c r="B513" t="str">
        <f>"1578729666900806"</f>
        <v>1578729666900806</v>
      </c>
      <c r="C513" t="s">
        <v>37</v>
      </c>
      <c r="D513">
        <v>4.7792879999999904</v>
      </c>
      <c r="E513">
        <v>0.56123230000000002</v>
      </c>
      <c r="F513" t="s">
        <v>39</v>
      </c>
      <c r="G513">
        <v>-292.96409999999997</v>
      </c>
      <c r="H513">
        <v>-0.05</v>
      </c>
      <c r="I513">
        <v>365.83879999999999</v>
      </c>
      <c r="J513">
        <v>-312.54219999999998</v>
      </c>
      <c r="K513">
        <v>1.060111</v>
      </c>
      <c r="L513">
        <v>367.81709999999998</v>
      </c>
      <c r="M513">
        <v>0.99971399999999999</v>
      </c>
      <c r="N513">
        <v>0</v>
      </c>
      <c r="O513">
        <v>1.45557999999999E-2</v>
      </c>
      <c r="P513">
        <v>0.99775840000000005</v>
      </c>
      <c r="Q513">
        <v>-2.6830360000000001E-2</v>
      </c>
      <c r="R513">
        <v>6.1309229999999999E-2</v>
      </c>
      <c r="S513">
        <v>3.021118</v>
      </c>
      <c r="T513">
        <v>-0.1686578</v>
      </c>
      <c r="U513">
        <v>-0.299591099999999</v>
      </c>
      <c r="V513">
        <v>-4.678765E-2</v>
      </c>
      <c r="W513">
        <v>-7.8073359999999998E-3</v>
      </c>
      <c r="X513">
        <v>0.99887440000000005</v>
      </c>
      <c r="Y513">
        <v>0.112961799999999</v>
      </c>
      <c r="Z513">
        <v>-3.9532300000000003E-3</v>
      </c>
      <c r="AA513">
        <v>0.99359149999999996</v>
      </c>
      <c r="AB513">
        <v>33</v>
      </c>
      <c r="AC513">
        <v>19.578099999999999</v>
      </c>
      <c r="AD513">
        <v>-1.1101110000000001</v>
      </c>
      <c r="AE513">
        <v>-1.97829999999999</v>
      </c>
      <c r="AF513">
        <v>2.2559368561531099</v>
      </c>
      <c r="AG513">
        <v>-1.1101110000000001</v>
      </c>
      <c r="AH513">
        <v>19.485210877579899</v>
      </c>
      <c r="AI513">
        <v>93.239138654206499</v>
      </c>
      <c r="AJ513">
        <v>83.395876712794006</v>
      </c>
      <c r="AK513">
        <v>19.646756487395798</v>
      </c>
    </row>
    <row r="514" spans="1:37" x14ac:dyDescent="0.2">
      <c r="A514" t="str">
        <f>"20200111160106933"</f>
        <v>20200111160106933</v>
      </c>
      <c r="B514" t="str">
        <f>"1578729666921302"</f>
        <v>1578729666921302</v>
      </c>
      <c r="C514" t="s">
        <v>37</v>
      </c>
      <c r="D514">
        <v>4.822165</v>
      </c>
      <c r="E514">
        <v>0.56091899999999995</v>
      </c>
      <c r="F514" t="s">
        <v>39</v>
      </c>
      <c r="G514">
        <v>-292.6146</v>
      </c>
      <c r="H514">
        <v>-0.05</v>
      </c>
      <c r="I514">
        <v>365.83800000000002</v>
      </c>
      <c r="J514">
        <v>-312.21109999999999</v>
      </c>
      <c r="K514">
        <v>1.0590999999999999</v>
      </c>
      <c r="L514">
        <v>367.82119999999998</v>
      </c>
      <c r="M514">
        <v>0.99973239999999997</v>
      </c>
      <c r="N514">
        <v>0</v>
      </c>
      <c r="O514">
        <v>1.391535E-2</v>
      </c>
      <c r="P514">
        <v>0.99779580000000001</v>
      </c>
      <c r="Q514">
        <v>-2.6753519999999999E-2</v>
      </c>
      <c r="R514">
        <v>6.0727469999999999E-2</v>
      </c>
      <c r="S514">
        <v>3.0206599999999999</v>
      </c>
      <c r="T514">
        <v>-0.16827239999999999</v>
      </c>
      <c r="U514">
        <v>-0.29998779999999903</v>
      </c>
      <c r="V514">
        <v>-4.6846079999999998E-2</v>
      </c>
      <c r="W514">
        <v>-8.2309510000000002E-3</v>
      </c>
      <c r="X514">
        <v>0.99886819999999898</v>
      </c>
      <c r="Y514">
        <v>0.11247169999999999</v>
      </c>
      <c r="Z514">
        <v>-3.8955840000000001E-3</v>
      </c>
      <c r="AA514">
        <v>0.99364730000000001</v>
      </c>
      <c r="AB514">
        <v>33</v>
      </c>
      <c r="AC514">
        <v>19.596499999999899</v>
      </c>
      <c r="AD514">
        <v>-1.1091</v>
      </c>
      <c r="AE514">
        <v>-1.9831999999999499</v>
      </c>
      <c r="AF514">
        <v>2.2486168902588002</v>
      </c>
      <c r="AG514">
        <v>-1.1091</v>
      </c>
      <c r="AH514">
        <v>19.505154771106199</v>
      </c>
      <c r="AI514">
        <v>93.233074586234594</v>
      </c>
      <c r="AJ514">
        <v>83.423789068093598</v>
      </c>
      <c r="AK514">
        <v>19.665641188986601</v>
      </c>
    </row>
    <row r="515" spans="1:37" x14ac:dyDescent="0.2">
      <c r="A515" t="str">
        <f>"20200111160106946"</f>
        <v>20200111160106946</v>
      </c>
      <c r="B515" t="str">
        <f>"1578729666941798"</f>
        <v>1578729666941798</v>
      </c>
      <c r="C515" t="s">
        <v>37</v>
      </c>
      <c r="D515">
        <v>4.8173500000000002</v>
      </c>
      <c r="E515">
        <v>0.56062869999999998</v>
      </c>
      <c r="F515" t="s">
        <v>39</v>
      </c>
      <c r="G515">
        <v>-292.22919999999999</v>
      </c>
      <c r="H515">
        <v>-0.05</v>
      </c>
      <c r="I515">
        <v>365.84120000000001</v>
      </c>
      <c r="J515">
        <v>-312.0027</v>
      </c>
      <c r="K515">
        <v>1.0585329999999999</v>
      </c>
      <c r="L515">
        <v>367.82380000000001</v>
      </c>
      <c r="M515">
        <v>0.9997433</v>
      </c>
      <c r="N515">
        <v>0</v>
      </c>
      <c r="O515">
        <v>1.3511520000000001E-2</v>
      </c>
      <c r="P515">
        <v>0.9977992</v>
      </c>
      <c r="Q515">
        <v>-2.6849250000000002E-2</v>
      </c>
      <c r="R515">
        <v>6.0631610000000002E-2</v>
      </c>
      <c r="S515">
        <v>3.0203859999999998</v>
      </c>
      <c r="T515">
        <v>-0.16764770000000001</v>
      </c>
      <c r="U515">
        <v>-0.29928589999999999</v>
      </c>
      <c r="V515">
        <v>-4.7154559999999998E-2</v>
      </c>
      <c r="W515">
        <v>-8.6200679999999998E-3</v>
      </c>
      <c r="X515">
        <v>0.99885040000000003</v>
      </c>
      <c r="Y515">
        <v>0.11185349999999999</v>
      </c>
      <c r="Z515">
        <v>-3.8420799999999999E-3</v>
      </c>
      <c r="AA515">
        <v>0.99371730000000003</v>
      </c>
      <c r="AB515">
        <v>33</v>
      </c>
      <c r="AC515">
        <v>19.773499999999999</v>
      </c>
      <c r="AD515">
        <v>-1.108533</v>
      </c>
      <c r="AE515">
        <v>-1.9825999999999899</v>
      </c>
      <c r="AF515">
        <v>2.2426549172683199</v>
      </c>
      <c r="AG515">
        <v>-1.108533</v>
      </c>
      <c r="AH515">
        <v>19.683654050605899</v>
      </c>
      <c r="AI515">
        <v>93.202670098000297</v>
      </c>
      <c r="AJ515">
        <v>83.500040748319506</v>
      </c>
      <c r="AK515">
        <v>19.841990406054801</v>
      </c>
    </row>
    <row r="516" spans="1:37" x14ac:dyDescent="0.2">
      <c r="A516" t="str">
        <f>"20200111160106960"</f>
        <v>20200111160106960</v>
      </c>
      <c r="B516" t="str">
        <f>"1578729666951558"</f>
        <v>1578729666951558</v>
      </c>
      <c r="C516" t="s">
        <v>37</v>
      </c>
      <c r="D516">
        <v>4.881297</v>
      </c>
      <c r="E516">
        <v>0.56048640000000005</v>
      </c>
      <c r="F516" t="s">
        <v>39</v>
      </c>
      <c r="G516">
        <v>-292.00459999999998</v>
      </c>
      <c r="H516">
        <v>-0.05</v>
      </c>
      <c r="I516">
        <v>365.8553</v>
      </c>
      <c r="J516">
        <v>-311.81279999999998</v>
      </c>
      <c r="K516">
        <v>1.0580750000000001</v>
      </c>
      <c r="L516">
        <v>367.825999999999</v>
      </c>
      <c r="M516">
        <v>0.9997528</v>
      </c>
      <c r="N516">
        <v>0</v>
      </c>
      <c r="O516">
        <v>1.314306E-2</v>
      </c>
      <c r="P516">
        <v>0.99781350000000002</v>
      </c>
      <c r="Q516">
        <v>-2.6847380000000001E-2</v>
      </c>
      <c r="R516">
        <v>6.0394660000000003E-2</v>
      </c>
      <c r="S516">
        <v>3.0201720000000001</v>
      </c>
      <c r="T516">
        <v>-0.16741439999999999</v>
      </c>
      <c r="U516">
        <v>-0.29727170000000003</v>
      </c>
      <c r="V516">
        <v>-4.728591E-2</v>
      </c>
      <c r="W516">
        <v>-8.8649550000000008E-3</v>
      </c>
      <c r="X516">
        <v>0.99884209999999995</v>
      </c>
      <c r="Y516">
        <v>0.1108403</v>
      </c>
      <c r="Z516">
        <v>-3.7887709999999998E-3</v>
      </c>
      <c r="AA516">
        <v>0.99383099999999902</v>
      </c>
      <c r="AB516">
        <v>33</v>
      </c>
      <c r="AC516">
        <v>19.808199999999999</v>
      </c>
      <c r="AD516">
        <v>-1.1080749999999999</v>
      </c>
      <c r="AE516">
        <v>-1.9706999999999599</v>
      </c>
      <c r="AF516">
        <v>2.22402052935576</v>
      </c>
      <c r="AG516">
        <v>-1.1080749999999999</v>
      </c>
      <c r="AH516">
        <v>19.7194798316477</v>
      </c>
      <c r="AI516">
        <v>93.195956755754295</v>
      </c>
      <c r="AJ516">
        <v>83.565206209135496</v>
      </c>
      <c r="AK516">
        <v>19.875411501435199</v>
      </c>
    </row>
    <row r="517" spans="1:37" x14ac:dyDescent="0.2">
      <c r="A517" t="str">
        <f>"20200111160106978"</f>
        <v>20200111160106978</v>
      </c>
      <c r="B517" t="str">
        <f>"1578729666971077"</f>
        <v>1578729666971077</v>
      </c>
      <c r="C517" t="s">
        <v>37</v>
      </c>
      <c r="D517">
        <v>4.9017980000000003</v>
      </c>
      <c r="E517">
        <v>0.56019240000000003</v>
      </c>
      <c r="F517" t="s">
        <v>39</v>
      </c>
      <c r="G517">
        <v>-291.77080000000001</v>
      </c>
      <c r="H517">
        <v>-0.05</v>
      </c>
      <c r="I517">
        <v>365.85559999999998</v>
      </c>
      <c r="J517">
        <v>-311.54500000000002</v>
      </c>
      <c r="K517">
        <v>1.057488</v>
      </c>
      <c r="L517">
        <v>367.82889999999998</v>
      </c>
      <c r="M517">
        <v>0.99976540000000003</v>
      </c>
      <c r="N517">
        <v>0</v>
      </c>
      <c r="O517">
        <v>1.262247E-2</v>
      </c>
      <c r="P517">
        <v>0.9977779</v>
      </c>
      <c r="Q517">
        <v>-2.6946680000000001E-2</v>
      </c>
      <c r="R517">
        <v>6.0935969999999999E-2</v>
      </c>
      <c r="S517">
        <v>3.0200499999999999</v>
      </c>
      <c r="T517">
        <v>-0.16697139999999999</v>
      </c>
      <c r="U517">
        <v>-0.29690549999999999</v>
      </c>
      <c r="V517">
        <v>-4.8347809999999998E-2</v>
      </c>
      <c r="W517">
        <v>-9.2915999999999901E-3</v>
      </c>
      <c r="X517">
        <v>0.99878729999999905</v>
      </c>
      <c r="Y517">
        <v>0.110209999999999</v>
      </c>
      <c r="Z517">
        <v>-3.7328579999999999E-3</v>
      </c>
      <c r="AA517">
        <v>0.99390129999999999</v>
      </c>
      <c r="AB517">
        <v>33</v>
      </c>
      <c r="AC517">
        <v>19.7742</v>
      </c>
      <c r="AD517">
        <v>-1.107488</v>
      </c>
      <c r="AE517">
        <v>-1.9732999999999901</v>
      </c>
      <c r="AF517">
        <v>2.2158984766815601</v>
      </c>
      <c r="AG517">
        <v>-1.107488</v>
      </c>
      <c r="AH517">
        <v>19.686569384782999</v>
      </c>
      <c r="AI517">
        <v>93.199675634530806</v>
      </c>
      <c r="AJ517">
        <v>83.577881086921494</v>
      </c>
      <c r="AK517">
        <v>19.841818209805702</v>
      </c>
    </row>
    <row r="518" spans="1:37" x14ac:dyDescent="0.2">
      <c r="A518" t="str">
        <f>"20200111160107013"</f>
        <v>20200111160107013</v>
      </c>
      <c r="B518" t="str">
        <f>"1578729667001334"</f>
        <v>1578729667001334</v>
      </c>
      <c r="C518" t="s">
        <v>37</v>
      </c>
      <c r="D518">
        <v>4.8796019999999896</v>
      </c>
      <c r="E518">
        <v>0.55979209999999902</v>
      </c>
      <c r="F518" t="s">
        <v>39</v>
      </c>
      <c r="G518">
        <v>-291.48180000000002</v>
      </c>
      <c r="H518">
        <v>-0.05</v>
      </c>
      <c r="I518">
        <v>365.88290000000001</v>
      </c>
      <c r="J518">
        <v>-311.05439999999999</v>
      </c>
      <c r="K518">
        <v>1.056603</v>
      </c>
      <c r="L518">
        <v>367.83409999999998</v>
      </c>
      <c r="M518">
        <v>0.99978630000000002</v>
      </c>
      <c r="N518">
        <v>0</v>
      </c>
      <c r="O518">
        <v>1.166614E-2</v>
      </c>
      <c r="P518">
        <v>0.99779949999999995</v>
      </c>
      <c r="Q518">
        <v>-2.6261429999999999E-2</v>
      </c>
      <c r="R518">
        <v>6.0883890000000003E-2</v>
      </c>
      <c r="S518">
        <v>3.0200809999999998</v>
      </c>
      <c r="T518">
        <v>-0.16670850000000001</v>
      </c>
      <c r="U518">
        <v>-0.29293819999999998</v>
      </c>
      <c r="V518">
        <v>-4.9250849999999999E-2</v>
      </c>
      <c r="W518">
        <v>-9.1383880000000008E-3</v>
      </c>
      <c r="X518">
        <v>0.99874459999999998</v>
      </c>
      <c r="Y518">
        <v>0.10797</v>
      </c>
      <c r="Z518">
        <v>-3.6129029999999898E-3</v>
      </c>
      <c r="AA518">
        <v>0.99414760000000002</v>
      </c>
      <c r="AB518">
        <v>33</v>
      </c>
      <c r="AC518">
        <v>19.572599999999898</v>
      </c>
      <c r="AD518">
        <v>-1.106603</v>
      </c>
      <c r="AE518">
        <v>-1.9511999999999701</v>
      </c>
      <c r="AF518">
        <v>2.1725606881269099</v>
      </c>
      <c r="AG518">
        <v>-1.106603</v>
      </c>
      <c r="AH518">
        <v>19.486823003227599</v>
      </c>
      <c r="AI518">
        <v>93.230208236546503</v>
      </c>
      <c r="AJ518">
        <v>83.638438362102605</v>
      </c>
      <c r="AK518">
        <v>19.6387591487427</v>
      </c>
    </row>
    <row r="519" spans="1:37" x14ac:dyDescent="0.2">
      <c r="A519" t="str">
        <f>"20200111160107236"</f>
        <v>20200111160107236</v>
      </c>
      <c r="B519" t="str">
        <f>"1578729667231200"</f>
        <v>1578729667231200</v>
      </c>
      <c r="C519" t="s">
        <v>37</v>
      </c>
      <c r="D519">
        <v>4.9444660000000002</v>
      </c>
      <c r="E519">
        <v>0.55965319999999996</v>
      </c>
      <c r="F519" t="s">
        <v>39</v>
      </c>
      <c r="G519">
        <v>-290.64060000000001</v>
      </c>
      <c r="H519">
        <v>-0.05</v>
      </c>
      <c r="I519">
        <v>365.87400000000002</v>
      </c>
      <c r="J519">
        <v>-307.79610000000002</v>
      </c>
      <c r="K519">
        <v>1.054189</v>
      </c>
      <c r="L519">
        <v>367.85610000000003</v>
      </c>
      <c r="M519">
        <v>0.99987079999999995</v>
      </c>
      <c r="N519">
        <v>0</v>
      </c>
      <c r="O519">
        <v>5.3378669999999996E-3</v>
      </c>
      <c r="P519">
        <v>0.99824729999999995</v>
      </c>
      <c r="Q519">
        <v>-2.5268099999999901E-2</v>
      </c>
      <c r="R519">
        <v>5.3517499999999898E-2</v>
      </c>
      <c r="S519">
        <v>3.0200200000000001</v>
      </c>
      <c r="T519">
        <v>-0.16371140000000001</v>
      </c>
      <c r="U519">
        <v>-0.28997800000000001</v>
      </c>
      <c r="V519">
        <v>-4.8201729999999998E-2</v>
      </c>
      <c r="W519">
        <v>-1.0057109999999999E-2</v>
      </c>
      <c r="X519">
        <v>0.99878699999999998</v>
      </c>
      <c r="Y519">
        <v>0.1007373</v>
      </c>
      <c r="Z519">
        <v>-3.010708E-3</v>
      </c>
      <c r="AA519">
        <v>0.99490849999999897</v>
      </c>
      <c r="AB519">
        <v>32</v>
      </c>
      <c r="AC519">
        <v>17.1555</v>
      </c>
      <c r="AD519">
        <v>-1.1041890000000001</v>
      </c>
      <c r="AE519">
        <v>-1.9821</v>
      </c>
      <c r="AF519">
        <v>2.0652132704665198</v>
      </c>
      <c r="AG519">
        <v>-1.1041890000000001</v>
      </c>
      <c r="AH519">
        <v>17.0748704255574</v>
      </c>
      <c r="AI519">
        <v>93.673325349434805</v>
      </c>
      <c r="AJ519">
        <v>83.103548881250205</v>
      </c>
      <c r="AK519">
        <v>17.234719006987302</v>
      </c>
    </row>
    <row r="520" spans="1:37" x14ac:dyDescent="0.2">
      <c r="A520" t="str">
        <f>"20200111160107258"</f>
        <v>20200111160107258</v>
      </c>
      <c r="B520" t="str">
        <f>"1578729667250720"</f>
        <v>1578729667250720</v>
      </c>
      <c r="C520" t="s">
        <v>37</v>
      </c>
      <c r="D520">
        <v>4.9550130000000001</v>
      </c>
      <c r="E520">
        <v>0.49587209999999998</v>
      </c>
      <c r="F520" t="s">
        <v>39</v>
      </c>
      <c r="G520">
        <v>-287.0804</v>
      </c>
      <c r="H520">
        <v>-0.05</v>
      </c>
      <c r="I520">
        <v>365.72120000000001</v>
      </c>
      <c r="J520">
        <v>-307.4624</v>
      </c>
      <c r="K520">
        <v>1.054114</v>
      </c>
      <c r="L520">
        <v>367.85719999999998</v>
      </c>
      <c r="M520">
        <v>0.99987559999999998</v>
      </c>
      <c r="N520">
        <v>0</v>
      </c>
      <c r="O520">
        <v>4.6902799999999998E-3</v>
      </c>
      <c r="P520">
        <v>0.99828680000000003</v>
      </c>
      <c r="Q520">
        <v>-2.5061239999999999E-2</v>
      </c>
      <c r="R520">
        <v>5.2877809999999997E-2</v>
      </c>
      <c r="S520">
        <v>3.0178529999999899</v>
      </c>
      <c r="T520">
        <v>-0.160858</v>
      </c>
      <c r="U520">
        <v>-0.31100459999999902</v>
      </c>
      <c r="V520">
        <v>-4.8208439999999998E-2</v>
      </c>
      <c r="W520">
        <v>-9.9445179999999994E-3</v>
      </c>
      <c r="X520">
        <v>0.9987878</v>
      </c>
      <c r="Y520">
        <v>0.10702010000000001</v>
      </c>
      <c r="Z520">
        <v>-3.0918740000000001E-3</v>
      </c>
      <c r="AA520">
        <v>0.99425200000000002</v>
      </c>
      <c r="AB520">
        <v>32</v>
      </c>
      <c r="AC520">
        <v>20.382000000000001</v>
      </c>
      <c r="AD520">
        <v>-1.104114</v>
      </c>
      <c r="AE520">
        <v>-2.1359999999999602</v>
      </c>
      <c r="AF520">
        <v>2.2251259287695602</v>
      </c>
      <c r="AG520">
        <v>-1.104114</v>
      </c>
      <c r="AH520">
        <v>20.3127958118836</v>
      </c>
      <c r="AI520">
        <v>93.092819330827297</v>
      </c>
      <c r="AJ520">
        <v>83.748570197320802</v>
      </c>
      <c r="AK520">
        <v>20.464113145190399</v>
      </c>
    </row>
    <row r="521" spans="1:37" x14ac:dyDescent="0.2">
      <c r="A521" t="str">
        <f>"20200111160107280"</f>
        <v>20200111160107280</v>
      </c>
      <c r="B521" t="str">
        <f>"1578729667271216"</f>
        <v>1578729667271216</v>
      </c>
      <c r="C521" t="s">
        <v>37</v>
      </c>
      <c r="D521">
        <v>4.991422</v>
      </c>
      <c r="E521">
        <v>0.49549129999999902</v>
      </c>
      <c r="F521" t="s">
        <v>39</v>
      </c>
      <c r="G521">
        <v>-292.02620000000002</v>
      </c>
      <c r="H521">
        <v>-0.05</v>
      </c>
      <c r="I521">
        <v>368.8777</v>
      </c>
      <c r="J521">
        <v>-307.15140000000002</v>
      </c>
      <c r="K521">
        <v>1.0540559999999899</v>
      </c>
      <c r="L521">
        <v>367.858</v>
      </c>
      <c r="M521">
        <v>0.99987929999999903</v>
      </c>
      <c r="N521">
        <v>0</v>
      </c>
      <c r="O521">
        <v>4.0871290000000001E-3</v>
      </c>
      <c r="P521">
        <v>0.99830289999999999</v>
      </c>
      <c r="Q521">
        <v>-2.4937770000000001E-2</v>
      </c>
      <c r="R521">
        <v>5.2623429999999999E-2</v>
      </c>
      <c r="S521">
        <v>2.9893489999999998</v>
      </c>
      <c r="T521">
        <v>-0.2138205</v>
      </c>
      <c r="U521">
        <v>0.1976318</v>
      </c>
      <c r="V521">
        <v>-4.8556130000000003E-2</v>
      </c>
      <c r="W521">
        <v>-9.8985510000000002E-3</v>
      </c>
      <c r="X521">
        <v>0.99877139999999998</v>
      </c>
      <c r="Y521">
        <v>-6.1742089999999999E-2</v>
      </c>
      <c r="Z521">
        <v>1.91124E-3</v>
      </c>
      <c r="AA521">
        <v>0.99809029999999999</v>
      </c>
      <c r="AB521">
        <v>32</v>
      </c>
      <c r="AC521">
        <v>15.1252</v>
      </c>
      <c r="AD521">
        <v>-1.1040559999999999</v>
      </c>
      <c r="AE521">
        <v>1.0197000000000001</v>
      </c>
      <c r="AF521">
        <v>-0.95281209492105001</v>
      </c>
      <c r="AG521">
        <v>-1.1040559999999999</v>
      </c>
      <c r="AH521">
        <v>15.0494183526251</v>
      </c>
      <c r="AI521">
        <v>94.187464352356898</v>
      </c>
      <c r="AJ521">
        <v>93.622687757343101</v>
      </c>
      <c r="AK521">
        <v>15.119913468393101</v>
      </c>
    </row>
    <row r="522" spans="1:37" x14ac:dyDescent="0.2">
      <c r="A522" t="str">
        <f>"20200111160107302"</f>
        <v>20200111160107302</v>
      </c>
      <c r="B522" t="str">
        <f>"1578729667290736"</f>
        <v>1578729667290736</v>
      </c>
      <c r="C522" t="s">
        <v>37</v>
      </c>
      <c r="D522">
        <v>5.0121659999999997</v>
      </c>
      <c r="E522">
        <v>0.494870799999999</v>
      </c>
      <c r="F522" t="s">
        <v>39</v>
      </c>
      <c r="G522">
        <v>-291.64599999999899</v>
      </c>
      <c r="H522">
        <v>-0.05</v>
      </c>
      <c r="I522">
        <v>368.8963</v>
      </c>
      <c r="J522">
        <v>-306.83390000000003</v>
      </c>
      <c r="K522">
        <v>1.054006</v>
      </c>
      <c r="L522">
        <v>367.85860000000002</v>
      </c>
      <c r="M522">
        <v>0.99988269999999901</v>
      </c>
      <c r="N522">
        <v>0</v>
      </c>
      <c r="O522">
        <v>3.4707459999999998E-3</v>
      </c>
      <c r="P522">
        <v>0.99833830000000001</v>
      </c>
      <c r="Q522">
        <v>-2.4521970000000001E-2</v>
      </c>
      <c r="R522">
        <v>5.2145999999999998E-2</v>
      </c>
      <c r="S522">
        <v>2.9891969999999999</v>
      </c>
      <c r="T522">
        <v>-0.2128437</v>
      </c>
      <c r="U522">
        <v>0.2001648</v>
      </c>
      <c r="V522">
        <v>-4.8693460000000001E-2</v>
      </c>
      <c r="W522">
        <v>-9.5530790000000008E-3</v>
      </c>
      <c r="X522">
        <v>0.99876810000000005</v>
      </c>
      <c r="Y522">
        <v>-6.3198809999999994E-2</v>
      </c>
      <c r="Z522">
        <v>1.998101E-3</v>
      </c>
      <c r="AA522">
        <v>0.99799899999999997</v>
      </c>
      <c r="AB522">
        <v>32</v>
      </c>
      <c r="AC522">
        <v>15.187900000000001</v>
      </c>
      <c r="AD522">
        <v>-1.104006</v>
      </c>
      <c r="AE522">
        <v>1.0376999999999701</v>
      </c>
      <c r="AF522">
        <v>-0.97982140200707701</v>
      </c>
      <c r="AG522">
        <v>-1.104006</v>
      </c>
      <c r="AH522">
        <v>15.1119328902547</v>
      </c>
      <c r="AI522">
        <v>94.169610384629195</v>
      </c>
      <c r="AJ522">
        <v>93.709727969951601</v>
      </c>
      <c r="AK522">
        <v>15.1838530981905</v>
      </c>
    </row>
    <row r="523" spans="1:37" x14ac:dyDescent="0.2">
      <c r="A523" t="str">
        <f>"20200111160107592"</f>
        <v>20200111160107592</v>
      </c>
      <c r="B523" t="str">
        <f>"1578729667581198"</f>
        <v>1578729667581198</v>
      </c>
      <c r="C523" t="s">
        <v>37</v>
      </c>
      <c r="D523">
        <v>5.0269750000000002</v>
      </c>
      <c r="E523">
        <v>0.47084819999999999</v>
      </c>
      <c r="F523" t="s">
        <v>39</v>
      </c>
      <c r="G523">
        <v>-291.22269999999997</v>
      </c>
      <c r="H523">
        <v>-0.05</v>
      </c>
      <c r="I523">
        <v>368.92219999999998</v>
      </c>
      <c r="J523">
        <v>-302.66969999999998</v>
      </c>
      <c r="K523">
        <v>1.0538270000000001</v>
      </c>
      <c r="L523">
        <v>367.85050000000001</v>
      </c>
      <c r="M523">
        <v>0.99989399999999995</v>
      </c>
      <c r="N523">
        <v>0</v>
      </c>
      <c r="O523">
        <v>-3.7469669999999999E-3</v>
      </c>
      <c r="P523">
        <v>0.99878999999999996</v>
      </c>
      <c r="Q523">
        <v>-1.9950840000000001E-2</v>
      </c>
      <c r="R523">
        <v>4.4955009999999997E-2</v>
      </c>
      <c r="S523">
        <v>2.989166</v>
      </c>
      <c r="T523">
        <v>-0.21138999999999999</v>
      </c>
      <c r="U523">
        <v>0.20364379999999899</v>
      </c>
      <c r="V523">
        <v>-4.870389E-2</v>
      </c>
      <c r="W523">
        <v>-5.8398399999999998E-3</v>
      </c>
      <c r="X523">
        <v>0.99879619999999902</v>
      </c>
      <c r="Y523">
        <v>-7.1520810000000004E-2</v>
      </c>
      <c r="Z523">
        <v>2.7872420000000001E-3</v>
      </c>
      <c r="AA523">
        <v>0.99743519999999897</v>
      </c>
      <c r="AB523">
        <v>32</v>
      </c>
      <c r="AC523">
        <v>11.446999999999999</v>
      </c>
      <c r="AD523">
        <v>-1.1038269999999999</v>
      </c>
      <c r="AE523">
        <v>1.0716999999999599</v>
      </c>
      <c r="AF523">
        <v>-1.10440801024727</v>
      </c>
      <c r="AG523">
        <v>-1.1038269999999999</v>
      </c>
      <c r="AH523">
        <v>11.338388302319499</v>
      </c>
      <c r="AI523">
        <v>95.534370005767599</v>
      </c>
      <c r="AJ523">
        <v>95.563306629582897</v>
      </c>
      <c r="AK523">
        <v>11.445400840215401</v>
      </c>
    </row>
    <row r="524" spans="1:37" x14ac:dyDescent="0.2">
      <c r="A524" t="str">
        <f>"20200111160107616"</f>
        <v>20200111160107616</v>
      </c>
      <c r="B524" t="str">
        <f>"1578729667611454"</f>
        <v>1578729667611454</v>
      </c>
      <c r="C524" t="s">
        <v>37</v>
      </c>
      <c r="D524">
        <v>4.8332680000000003</v>
      </c>
      <c r="E524">
        <v>0.46957650000000001</v>
      </c>
      <c r="F524" t="s">
        <v>53</v>
      </c>
      <c r="G524">
        <v>-169.2955</v>
      </c>
      <c r="H524">
        <v>5.9431699999999896</v>
      </c>
      <c r="I524">
        <v>383.88420000000002</v>
      </c>
      <c r="J524">
        <v>-302.33249999999998</v>
      </c>
      <c r="K524">
        <v>1.0538049999999901</v>
      </c>
      <c r="L524">
        <v>367.84859999999998</v>
      </c>
      <c r="M524">
        <v>0.99989479999999997</v>
      </c>
      <c r="N524">
        <v>0</v>
      </c>
      <c r="O524">
        <v>-4.2431659999999996E-3</v>
      </c>
      <c r="P524">
        <v>0.99884830000000002</v>
      </c>
      <c r="Q524">
        <v>-1.9022420000000002E-2</v>
      </c>
      <c r="R524">
        <v>4.4051189999999997E-2</v>
      </c>
      <c r="S524">
        <v>2.989655</v>
      </c>
      <c r="T524">
        <v>0.1095991</v>
      </c>
      <c r="U524">
        <v>0.35940549999999999</v>
      </c>
      <c r="V524">
        <v>-4.8294980000000001E-2</v>
      </c>
      <c r="W524">
        <v>-5.1040620000000004E-3</v>
      </c>
      <c r="X524">
        <v>0.99882009999999899</v>
      </c>
      <c r="Y524">
        <v>-0.1234846</v>
      </c>
      <c r="Z524">
        <v>-2.4095379999999902E-3</v>
      </c>
      <c r="AA524">
        <v>0.99234349999999905</v>
      </c>
      <c r="AB524">
        <v>32</v>
      </c>
      <c r="AC524">
        <v>133.03699999999901</v>
      </c>
      <c r="AD524">
        <v>4.8893649999999997</v>
      </c>
      <c r="AE524">
        <v>16.035599999999999</v>
      </c>
      <c r="AF524">
        <v>-16.577936786240102</v>
      </c>
      <c r="AG524">
        <v>4.8893649999999997</v>
      </c>
      <c r="AH524">
        <v>132.79096121700101</v>
      </c>
      <c r="AI524">
        <v>87.907549606296499</v>
      </c>
      <c r="AJ524">
        <v>97.116122940788202</v>
      </c>
      <c r="AK524">
        <v>133.91106473748499</v>
      </c>
    </row>
    <row r="525" spans="1:37" x14ac:dyDescent="0.2">
      <c r="A525" t="str">
        <f>"20200111160107638"</f>
        <v>20200111160107638</v>
      </c>
      <c r="B525" t="str">
        <f>"1578729667630974"</f>
        <v>1578729667630974</v>
      </c>
      <c r="C525" t="s">
        <v>37</v>
      </c>
      <c r="D525">
        <v>4.9675699999999896</v>
      </c>
      <c r="E525">
        <v>0.47134319999999902</v>
      </c>
      <c r="F525" t="s">
        <v>53</v>
      </c>
      <c r="G525">
        <v>-169.2955</v>
      </c>
      <c r="H525">
        <v>5.3987470000000002</v>
      </c>
      <c r="I525">
        <v>384.19810000000001</v>
      </c>
      <c r="J525">
        <v>-302.01299999999998</v>
      </c>
      <c r="K525">
        <v>1.0537840000000001</v>
      </c>
      <c r="L525">
        <v>367.8467</v>
      </c>
      <c r="M525">
        <v>0.99989519999999998</v>
      </c>
      <c r="N525">
        <v>0</v>
      </c>
      <c r="O525">
        <v>-4.7139749999999996E-3</v>
      </c>
      <c r="P525">
        <v>0.99888369999999904</v>
      </c>
      <c r="Q525">
        <v>-1.859711E-2</v>
      </c>
      <c r="R525">
        <v>4.3425599999999898E-2</v>
      </c>
      <c r="S525">
        <v>2.9890750000000001</v>
      </c>
      <c r="T525">
        <v>9.7623940000000006E-2</v>
      </c>
      <c r="U525">
        <v>0.3673401</v>
      </c>
      <c r="V525">
        <v>-4.8139290000000001E-2</v>
      </c>
      <c r="W525">
        <v>-4.8698420000000001E-3</v>
      </c>
      <c r="X525">
        <v>0.99882879999999996</v>
      </c>
      <c r="Y525">
        <v>-0.12658549999999999</v>
      </c>
      <c r="Z525">
        <v>-2.2122349999999999E-3</v>
      </c>
      <c r="AA525">
        <v>0.99195330000000004</v>
      </c>
      <c r="AB525">
        <v>32</v>
      </c>
      <c r="AC525">
        <v>132.71749999999901</v>
      </c>
      <c r="AD525">
        <v>4.3449629999999999</v>
      </c>
      <c r="AE525">
        <v>16.351400000000002</v>
      </c>
      <c r="AF525">
        <v>-16.958998930348699</v>
      </c>
      <c r="AG525">
        <v>4.3449629999999999</v>
      </c>
      <c r="AH525">
        <v>132.49904810110101</v>
      </c>
      <c r="AI525">
        <v>88.136993726379998</v>
      </c>
      <c r="AJ525">
        <v>97.293822238237098</v>
      </c>
      <c r="AK525">
        <v>133.650604547412</v>
      </c>
    </row>
    <row r="526" spans="1:37" x14ac:dyDescent="0.2">
      <c r="A526" t="str">
        <f>"20200111160107652"</f>
        <v>20200111160107652</v>
      </c>
      <c r="B526" t="str">
        <f>"1578729667641710"</f>
        <v>1578729667641710</v>
      </c>
      <c r="C526" t="s">
        <v>37</v>
      </c>
      <c r="D526">
        <v>6.1182989999999897</v>
      </c>
      <c r="E526">
        <v>0.47134319999999902</v>
      </c>
      <c r="F526" t="s">
        <v>53</v>
      </c>
      <c r="G526">
        <v>-169.2955</v>
      </c>
      <c r="H526">
        <v>5.0952250000000001</v>
      </c>
      <c r="I526">
        <v>383.4665</v>
      </c>
      <c r="J526">
        <v>-301.81479999999999</v>
      </c>
      <c r="K526">
        <v>1.0537719999999999</v>
      </c>
      <c r="L526">
        <v>367.84550000000002</v>
      </c>
      <c r="M526">
        <v>0.99989550000000005</v>
      </c>
      <c r="N526">
        <v>0</v>
      </c>
      <c r="O526">
        <v>-5.0054720000000004E-3</v>
      </c>
      <c r="P526">
        <v>0.99890970000000001</v>
      </c>
      <c r="Q526">
        <v>-1.8396260000000001E-2</v>
      </c>
      <c r="R526">
        <v>4.2906960000000001E-2</v>
      </c>
      <c r="S526">
        <v>2.9897459999999998</v>
      </c>
      <c r="T526">
        <v>9.1044070000000005E-2</v>
      </c>
      <c r="U526">
        <v>0.35186770000000001</v>
      </c>
      <c r="V526">
        <v>-4.7912120000000002E-2</v>
      </c>
      <c r="W526">
        <v>-4.7944959999999997E-3</v>
      </c>
      <c r="X526">
        <v>0.99883999999999995</v>
      </c>
      <c r="Y526">
        <v>-0.1217969</v>
      </c>
      <c r="Z526">
        <v>-1.9995779999999901E-3</v>
      </c>
      <c r="AA526">
        <v>0.99255309999999897</v>
      </c>
      <c r="AB526">
        <v>32</v>
      </c>
      <c r="AC526">
        <v>132.51929999999999</v>
      </c>
      <c r="AD526">
        <v>4.0414529999999997</v>
      </c>
      <c r="AE526">
        <v>15.620999999999899</v>
      </c>
      <c r="AF526">
        <v>-16.269262709269299</v>
      </c>
      <c r="AG526">
        <v>4.0414529999999997</v>
      </c>
      <c r="AH526">
        <v>132.318063066913</v>
      </c>
      <c r="AI526">
        <v>88.263600088457693</v>
      </c>
      <c r="AJ526">
        <v>97.009660841662495</v>
      </c>
      <c r="AK526">
        <v>133.37575516275001</v>
      </c>
    </row>
    <row r="527" spans="1:37" x14ac:dyDescent="0.2">
      <c r="A527" t="str">
        <f>"20200111160107670"</f>
        <v>20200111160107670</v>
      </c>
      <c r="B527" t="str">
        <f>"1578729667661230"</f>
        <v>1578729667661230</v>
      </c>
      <c r="C527" t="s">
        <v>37</v>
      </c>
      <c r="D527">
        <v>4.8567669999999996</v>
      </c>
      <c r="E527">
        <v>0.47028109999999901</v>
      </c>
      <c r="F527" t="s">
        <v>53</v>
      </c>
      <c r="G527">
        <v>-169.2955</v>
      </c>
      <c r="H527">
        <v>5.1167230000000004</v>
      </c>
      <c r="I527">
        <v>383.36380000000003</v>
      </c>
      <c r="J527">
        <v>-301.54910000000001</v>
      </c>
      <c r="K527">
        <v>1.0537559999999999</v>
      </c>
      <c r="L527">
        <v>367.84379999999999</v>
      </c>
      <c r="M527">
        <v>0.99989589999999995</v>
      </c>
      <c r="N527">
        <v>0</v>
      </c>
      <c r="O527">
        <v>-5.3946710000000002E-3</v>
      </c>
      <c r="P527">
        <v>0.99895750000000005</v>
      </c>
      <c r="Q527">
        <v>-1.8435839999999998E-2</v>
      </c>
      <c r="R527">
        <v>4.1762199999999902E-2</v>
      </c>
      <c r="S527">
        <v>2.9899290000000001</v>
      </c>
      <c r="T527">
        <v>9.167111E-2</v>
      </c>
      <c r="U527">
        <v>0.3501282</v>
      </c>
      <c r="V527">
        <v>-4.7156190000000001E-2</v>
      </c>
      <c r="W527">
        <v>-5.0142989999999998E-3</v>
      </c>
      <c r="X527">
        <v>0.99887499999999996</v>
      </c>
      <c r="Y527">
        <v>-0.1216057</v>
      </c>
      <c r="Z527">
        <v>-2.0222600000000001E-3</v>
      </c>
      <c r="AA527">
        <v>0.99257640000000003</v>
      </c>
      <c r="AB527">
        <v>32</v>
      </c>
      <c r="AC527">
        <v>132.25360000000001</v>
      </c>
      <c r="AD527">
        <v>4.0629670000000004</v>
      </c>
      <c r="AE527">
        <v>15.52</v>
      </c>
      <c r="AF527">
        <v>-16.218204155578501</v>
      </c>
      <c r="AG527">
        <v>4.0629670000000004</v>
      </c>
      <c r="AH527">
        <v>132.04501358316301</v>
      </c>
      <c r="AI527">
        <v>88.250726853247897</v>
      </c>
      <c r="AJ527">
        <v>97.002186541983406</v>
      </c>
      <c r="AK527">
        <v>133.09929924328199</v>
      </c>
    </row>
    <row r="528" spans="1:37" x14ac:dyDescent="0.2">
      <c r="A528" t="str">
        <f>"20200111160107705"</f>
        <v>20200111160107705</v>
      </c>
      <c r="B528" t="str">
        <f>"1578729667700973"</f>
        <v>1578729667700973</v>
      </c>
      <c r="C528" t="s">
        <v>37</v>
      </c>
      <c r="D528">
        <v>4.7953769999999896</v>
      </c>
      <c r="E528">
        <v>0.56585059999999998</v>
      </c>
      <c r="F528" t="s">
        <v>53</v>
      </c>
      <c r="G528">
        <v>-169.2955</v>
      </c>
      <c r="H528">
        <v>5.211595</v>
      </c>
      <c r="I528">
        <v>383.55599999999998</v>
      </c>
      <c r="J528">
        <v>-301.0609</v>
      </c>
      <c r="K528">
        <v>1.0537159999999901</v>
      </c>
      <c r="L528">
        <v>367.84030000000001</v>
      </c>
      <c r="M528">
        <v>0.99989629999999996</v>
      </c>
      <c r="N528">
        <v>0</v>
      </c>
      <c r="O528">
        <v>-6.1019250000000002E-3</v>
      </c>
      <c r="P528">
        <v>0.99900650000000002</v>
      </c>
      <c r="Q528">
        <v>-1.850313E-2</v>
      </c>
      <c r="R528">
        <v>4.0543549999999998E-2</v>
      </c>
      <c r="S528">
        <v>2.990021</v>
      </c>
      <c r="T528">
        <v>9.4003320000000001E-2</v>
      </c>
      <c r="U528">
        <v>0.355224599999999</v>
      </c>
      <c r="V528">
        <v>-4.6644539999999998E-2</v>
      </c>
      <c r="W528">
        <v>-5.4268550000000004E-3</v>
      </c>
      <c r="X528">
        <v>0.99889680000000003</v>
      </c>
      <c r="Y528">
        <v>-0.12396799999999999</v>
      </c>
      <c r="Z528">
        <v>-2.1325659999999998E-3</v>
      </c>
      <c r="AA528">
        <v>0.9922839</v>
      </c>
      <c r="AB528">
        <v>32</v>
      </c>
      <c r="AC528">
        <v>131.7654</v>
      </c>
      <c r="AD528">
        <v>4.1578790000000003</v>
      </c>
      <c r="AE528">
        <v>15.715699999999901</v>
      </c>
      <c r="AF528">
        <v>-16.503296056831601</v>
      </c>
      <c r="AG528">
        <v>4.1578790000000003</v>
      </c>
      <c r="AH528">
        <v>131.537903354083</v>
      </c>
      <c r="AI528">
        <v>88.203572589107196</v>
      </c>
      <c r="AJ528">
        <v>97.151201618315994</v>
      </c>
      <c r="AK528">
        <v>132.63433476029601</v>
      </c>
    </row>
    <row r="529" spans="1:37" x14ac:dyDescent="0.2">
      <c r="A529" t="str">
        <f>"20200111160107728"</f>
        <v>20200111160107728</v>
      </c>
      <c r="B529" t="str">
        <f>"1578729667721469"</f>
        <v>1578729667721469</v>
      </c>
      <c r="C529" t="s">
        <v>37</v>
      </c>
      <c r="D529">
        <v>4.7844139999999999</v>
      </c>
      <c r="E529">
        <v>0.56990980000000002</v>
      </c>
      <c r="F529" t="s">
        <v>43</v>
      </c>
      <c r="G529">
        <v>0</v>
      </c>
      <c r="H529">
        <v>0</v>
      </c>
      <c r="I529">
        <v>0</v>
      </c>
      <c r="J529">
        <v>-300.73140000000001</v>
      </c>
      <c r="K529">
        <v>1.053688</v>
      </c>
      <c r="L529">
        <v>367.83780000000002</v>
      </c>
      <c r="M529">
        <v>0.99989649999999997</v>
      </c>
      <c r="N529">
        <v>0</v>
      </c>
      <c r="O529">
        <v>-6.5671369999999998E-3</v>
      </c>
      <c r="P529">
        <v>0.99899289999999996</v>
      </c>
      <c r="Q529">
        <v>-1.8726039999999999E-2</v>
      </c>
      <c r="R529">
        <v>4.0783350000000003E-2</v>
      </c>
      <c r="S529">
        <v>3.0231629999999998</v>
      </c>
      <c r="T529">
        <v>0.179253</v>
      </c>
      <c r="U529">
        <v>-0.41516110000000001</v>
      </c>
      <c r="V529">
        <v>-4.7349349999999998E-2</v>
      </c>
      <c r="W529">
        <v>-5.8821250000000002E-3</v>
      </c>
      <c r="X529">
        <v>0.99886109999999995</v>
      </c>
      <c r="Y529">
        <v>0.12932879999999999</v>
      </c>
      <c r="Z529">
        <v>3.4257290000000002E-3</v>
      </c>
      <c r="AA529">
        <v>0.99159589999999997</v>
      </c>
      <c r="AB529">
        <v>32</v>
      </c>
      <c r="AC529">
        <v>3.0231629999999998</v>
      </c>
      <c r="AD529">
        <v>0.179253</v>
      </c>
      <c r="AE529">
        <v>-0.41516110000000001</v>
      </c>
      <c r="AF529">
        <v>0.39393766858915302</v>
      </c>
      <c r="AG529">
        <v>0.179253</v>
      </c>
      <c r="AH529">
        <v>3.0154194066860698</v>
      </c>
      <c r="AI529">
        <v>86.626627396450104</v>
      </c>
      <c r="AJ529">
        <v>82.556969712749805</v>
      </c>
      <c r="AK529">
        <v>3.0463211785630002</v>
      </c>
    </row>
    <row r="530" spans="1:37" x14ac:dyDescent="0.2">
      <c r="A530" t="str">
        <f>"20200111160107750"</f>
        <v>20200111160107750</v>
      </c>
      <c r="B530" t="str">
        <f>"1578729667740989"</f>
        <v>1578729667740989</v>
      </c>
      <c r="C530" t="s">
        <v>37</v>
      </c>
      <c r="D530">
        <v>4.7999309999999999</v>
      </c>
      <c r="E530">
        <v>0.57079609999999903</v>
      </c>
      <c r="F530" t="s">
        <v>43</v>
      </c>
      <c r="G530">
        <v>0</v>
      </c>
      <c r="H530">
        <v>0</v>
      </c>
      <c r="I530">
        <v>0</v>
      </c>
      <c r="J530">
        <v>-300.41410000000002</v>
      </c>
      <c r="K530">
        <v>1.0536700000000001</v>
      </c>
      <c r="L530">
        <v>367.83530000000002</v>
      </c>
      <c r="M530">
        <v>0.99989619999999901</v>
      </c>
      <c r="N530">
        <v>0</v>
      </c>
      <c r="O530">
        <v>-6.9942919999999896E-3</v>
      </c>
      <c r="P530">
        <v>0.99897719999999901</v>
      </c>
      <c r="Q530">
        <v>-1.8353810000000002E-2</v>
      </c>
      <c r="R530">
        <v>4.1327309999999999E-2</v>
      </c>
      <c r="S530">
        <v>3.0226139999999999</v>
      </c>
      <c r="T530">
        <v>8.0999260000000003E-2</v>
      </c>
      <c r="U530">
        <v>-0.44201659999999998</v>
      </c>
      <c r="V530">
        <v>-4.8319580000000001E-2</v>
      </c>
      <c r="W530">
        <v>-5.7256199999999998E-3</v>
      </c>
      <c r="X530">
        <v>0.99881549999999997</v>
      </c>
      <c r="Y530">
        <v>0.13772690000000001</v>
      </c>
      <c r="Z530">
        <v>1.648902E-3</v>
      </c>
      <c r="AA530">
        <v>0.99046889999999999</v>
      </c>
      <c r="AB530">
        <v>32</v>
      </c>
      <c r="AC530">
        <v>3.0226139999999999</v>
      </c>
      <c r="AD530">
        <v>8.0999260000000003E-2</v>
      </c>
      <c r="AE530">
        <v>-0.44201659999999998</v>
      </c>
      <c r="AF530">
        <v>0.420567369889919</v>
      </c>
      <c r="AG530">
        <v>8.0999260000000003E-2</v>
      </c>
      <c r="AH530">
        <v>3.0235061138356798</v>
      </c>
      <c r="AI530">
        <v>88.480049046513102</v>
      </c>
      <c r="AJ530">
        <v>82.081014101914903</v>
      </c>
      <c r="AK530">
        <v>3.05369071995485</v>
      </c>
    </row>
    <row r="531" spans="1:37" x14ac:dyDescent="0.2">
      <c r="A531" t="str">
        <f>"20200111160107771"</f>
        <v>20200111160107771</v>
      </c>
      <c r="B531" t="str">
        <f>"1578729667761485"</f>
        <v>1578729667761485</v>
      </c>
      <c r="C531" t="s">
        <v>37</v>
      </c>
      <c r="D531">
        <v>4.7873890000000001</v>
      </c>
      <c r="E531">
        <v>0.57134569999999996</v>
      </c>
      <c r="F531" t="s">
        <v>43</v>
      </c>
      <c r="G531">
        <v>0</v>
      </c>
      <c r="H531">
        <v>0</v>
      </c>
      <c r="I531">
        <v>0</v>
      </c>
      <c r="J531">
        <v>-300.11160000000001</v>
      </c>
      <c r="K531">
        <v>1.0536719999999999</v>
      </c>
      <c r="L531">
        <v>367.83269999999999</v>
      </c>
      <c r="M531">
        <v>0.9998958</v>
      </c>
      <c r="N531">
        <v>0</v>
      </c>
      <c r="O531">
        <v>-7.3761249999999999E-3</v>
      </c>
      <c r="P531">
        <v>0.9989654</v>
      </c>
      <c r="Q531">
        <v>-1.7823430000000001E-2</v>
      </c>
      <c r="R531">
        <v>4.1836440000000003E-2</v>
      </c>
      <c r="S531">
        <v>3.022583</v>
      </c>
      <c r="T531">
        <v>5.5511709999999999E-2</v>
      </c>
      <c r="U531">
        <v>-0.44613649999999999</v>
      </c>
      <c r="V531">
        <v>-4.920981E-2</v>
      </c>
      <c r="W531">
        <v>-5.3860480000000001E-3</v>
      </c>
      <c r="X531">
        <v>0.99877389999999999</v>
      </c>
      <c r="Y531">
        <v>0.13869579999999901</v>
      </c>
      <c r="Z531">
        <v>1.131934E-3</v>
      </c>
      <c r="AA531">
        <v>0.99033439999999995</v>
      </c>
      <c r="AB531">
        <v>32</v>
      </c>
      <c r="AC531">
        <v>3.022583</v>
      </c>
      <c r="AD531">
        <v>5.5511709999999999E-2</v>
      </c>
      <c r="AE531">
        <v>-0.44613649999999999</v>
      </c>
      <c r="AF531">
        <v>0.42368783301986002</v>
      </c>
      <c r="AG531">
        <v>5.5511709999999999E-2</v>
      </c>
      <c r="AH531">
        <v>3.0247932721336599</v>
      </c>
      <c r="AI531">
        <v>88.958775114575204</v>
      </c>
      <c r="AJ531">
        <v>82.026362417996495</v>
      </c>
      <c r="AK531">
        <v>3.0548268803552898</v>
      </c>
    </row>
    <row r="532" spans="1:37" x14ac:dyDescent="0.2">
      <c r="A532" t="str">
        <f>"20200111160107793"</f>
        <v>20200111160107793</v>
      </c>
      <c r="B532" t="str">
        <f>"1578729667781156"</f>
        <v>1578729667781156</v>
      </c>
      <c r="C532" t="s">
        <v>37</v>
      </c>
      <c r="D532">
        <v>4.8224660000000004</v>
      </c>
      <c r="E532">
        <v>0.57201040000000003</v>
      </c>
      <c r="F532" t="s">
        <v>43</v>
      </c>
      <c r="G532">
        <v>0</v>
      </c>
      <c r="H532">
        <v>0</v>
      </c>
      <c r="I532">
        <v>0</v>
      </c>
      <c r="J532">
        <v>-299.79340000000002</v>
      </c>
      <c r="K532">
        <v>1.053679</v>
      </c>
      <c r="L532">
        <v>367.83</v>
      </c>
      <c r="M532">
        <v>0.99989530000000004</v>
      </c>
      <c r="N532">
        <v>0</v>
      </c>
      <c r="O532">
        <v>-7.7518830000000002E-3</v>
      </c>
      <c r="P532">
        <v>0.99897999999999998</v>
      </c>
      <c r="Q532">
        <v>-1.7421820000000001E-2</v>
      </c>
      <c r="R532">
        <v>4.166243E-2</v>
      </c>
      <c r="S532">
        <v>3.022583</v>
      </c>
      <c r="T532">
        <v>3.9944649999999998E-2</v>
      </c>
      <c r="U532">
        <v>-0.44842529999999903</v>
      </c>
      <c r="V532">
        <v>-4.9410370000000002E-2</v>
      </c>
      <c r="W532">
        <v>-5.1683950000000001E-3</v>
      </c>
      <c r="X532">
        <v>0.99876520000000002</v>
      </c>
      <c r="Y532">
        <v>0.13906789999999999</v>
      </c>
      <c r="Z532">
        <v>8.1200409999999999E-4</v>
      </c>
      <c r="AA532">
        <v>0.99028249999999995</v>
      </c>
      <c r="AB532">
        <v>32</v>
      </c>
      <c r="AC532">
        <v>3.022583</v>
      </c>
      <c r="AD532">
        <v>3.9944649999999998E-2</v>
      </c>
      <c r="AE532">
        <v>-0.44842529999999903</v>
      </c>
      <c r="AF532">
        <v>0.424906754968914</v>
      </c>
      <c r="AG532">
        <v>3.9944649999999998E-2</v>
      </c>
      <c r="AH532">
        <v>3.0254515627951801</v>
      </c>
      <c r="AI532">
        <v>89.250925749876302</v>
      </c>
      <c r="AJ532">
        <v>82.005436451014404</v>
      </c>
      <c r="AK532">
        <v>3.0554047987626198</v>
      </c>
    </row>
    <row r="533" spans="1:37" x14ac:dyDescent="0.2">
      <c r="A533" t="str">
        <f>"20200111160107817"</f>
        <v>20200111160107817</v>
      </c>
      <c r="B533" t="str">
        <f>"1578729667811412"</f>
        <v>1578729667811412</v>
      </c>
      <c r="C533" t="s">
        <v>37</v>
      </c>
      <c r="D533">
        <v>4.8954469999999999</v>
      </c>
      <c r="E533">
        <v>0.57308709999999996</v>
      </c>
      <c r="F533" t="s">
        <v>43</v>
      </c>
      <c r="G533">
        <v>0</v>
      </c>
      <c r="H533">
        <v>0</v>
      </c>
      <c r="I533">
        <v>0</v>
      </c>
      <c r="J533">
        <v>-299.45639999999997</v>
      </c>
      <c r="K533">
        <v>1.0536920000000001</v>
      </c>
      <c r="L533">
        <v>367.827</v>
      </c>
      <c r="M533">
        <v>0.99989470000000003</v>
      </c>
      <c r="N533">
        <v>0</v>
      </c>
      <c r="O533">
        <v>-8.1065970000000001E-3</v>
      </c>
      <c r="P533">
        <v>0.99901130000000005</v>
      </c>
      <c r="Q533">
        <v>-1.703905E-2</v>
      </c>
      <c r="R533">
        <v>4.1063660000000002E-2</v>
      </c>
      <c r="S533">
        <v>3.0225520000000001</v>
      </c>
      <c r="T533">
        <v>3.1731130000000003E-2</v>
      </c>
      <c r="U533">
        <v>-0.45373540000000001</v>
      </c>
      <c r="V533">
        <v>-4.916562E-2</v>
      </c>
      <c r="W533">
        <v>-4.966748E-3</v>
      </c>
      <c r="X533">
        <v>0.99877830000000001</v>
      </c>
      <c r="Y533">
        <v>0.14042389999999999</v>
      </c>
      <c r="Z533">
        <v>6.4834720000000003E-4</v>
      </c>
      <c r="AA533">
        <v>0.99009130000000001</v>
      </c>
      <c r="AB533">
        <v>32</v>
      </c>
      <c r="AC533">
        <v>3.0225520000000001</v>
      </c>
      <c r="AD533">
        <v>3.1731130000000003E-2</v>
      </c>
      <c r="AE533">
        <v>-0.45373540000000001</v>
      </c>
      <c r="AF533">
        <v>0.429169845822573</v>
      </c>
      <c r="AG533">
        <v>3.1731130000000003E-2</v>
      </c>
      <c r="AH533">
        <v>3.0258050574433599</v>
      </c>
      <c r="AI533">
        <v>89.40512393262</v>
      </c>
      <c r="AJ533">
        <v>81.9272101932807</v>
      </c>
      <c r="AK533">
        <v>3.0562542215634201</v>
      </c>
    </row>
    <row r="534" spans="1:37" x14ac:dyDescent="0.2">
      <c r="A534" t="str">
        <f>"20200111160107839"</f>
        <v>20200111160107839</v>
      </c>
      <c r="B534" t="str">
        <f>"1578729667830931"</f>
        <v>1578729667830931</v>
      </c>
      <c r="C534" t="s">
        <v>37</v>
      </c>
      <c r="D534">
        <v>5.0164619999999998</v>
      </c>
      <c r="E534">
        <v>0.5732043</v>
      </c>
      <c r="F534" t="s">
        <v>43</v>
      </c>
      <c r="G534">
        <v>0</v>
      </c>
      <c r="H534">
        <v>0</v>
      </c>
      <c r="I534">
        <v>0</v>
      </c>
      <c r="J534">
        <v>-299.13619999999997</v>
      </c>
      <c r="K534">
        <v>1.0537239999999899</v>
      </c>
      <c r="L534">
        <v>367.82400000000001</v>
      </c>
      <c r="M534">
        <v>0.99989409999999901</v>
      </c>
      <c r="N534">
        <v>0</v>
      </c>
      <c r="O534">
        <v>-8.386381E-3</v>
      </c>
      <c r="P534">
        <v>0.99908439999999998</v>
      </c>
      <c r="Q534">
        <v>-1.6189240000000001E-2</v>
      </c>
      <c r="R534">
        <v>3.9602619999999998E-2</v>
      </c>
      <c r="S534">
        <v>3.0224000000000002</v>
      </c>
      <c r="T534">
        <v>2.3525480000000001E-2</v>
      </c>
      <c r="U534">
        <v>-0.46343990000000002</v>
      </c>
      <c r="V534">
        <v>-4.7983669999999999E-2</v>
      </c>
      <c r="W534">
        <v>-4.2749620000000002E-3</v>
      </c>
      <c r="X534">
        <v>0.99883899999999903</v>
      </c>
      <c r="Y534">
        <v>0.14326420000000001</v>
      </c>
      <c r="Z534">
        <v>4.8942530000000003E-4</v>
      </c>
      <c r="AA534">
        <v>0.98968429999999996</v>
      </c>
      <c r="AB534">
        <v>32</v>
      </c>
      <c r="AC534">
        <v>3.0224000000000002</v>
      </c>
      <c r="AD534">
        <v>2.3525480000000001E-2</v>
      </c>
      <c r="AE534">
        <v>-0.46343990000000002</v>
      </c>
      <c r="AF534">
        <v>0.43804887931513697</v>
      </c>
      <c r="AG534">
        <v>2.3525480000000001E-2</v>
      </c>
      <c r="AH534">
        <v>3.0260014345831898</v>
      </c>
      <c r="AI534">
        <v>89.559161081187</v>
      </c>
      <c r="AJ534">
        <v>81.762989965331201</v>
      </c>
      <c r="AK534">
        <v>3.0576338811208301</v>
      </c>
    </row>
    <row r="535" spans="1:37" x14ac:dyDescent="0.2">
      <c r="A535" t="str">
        <f>"20200111160107860"</f>
        <v>20200111160107860</v>
      </c>
      <c r="B535" t="str">
        <f>"1578729667851427"</f>
        <v>1578729667851427</v>
      </c>
      <c r="C535" t="s">
        <v>37</v>
      </c>
      <c r="D535">
        <v>4.8602790000000002</v>
      </c>
      <c r="E535">
        <v>0.57349689999999998</v>
      </c>
      <c r="F535" t="s">
        <v>43</v>
      </c>
      <c r="G535">
        <v>0</v>
      </c>
      <c r="H535">
        <v>0</v>
      </c>
      <c r="I535">
        <v>0</v>
      </c>
      <c r="J535">
        <v>-298.83370000000002</v>
      </c>
      <c r="K535">
        <v>1.0537669999999999</v>
      </c>
      <c r="L535">
        <v>367.82130000000001</v>
      </c>
      <c r="M535">
        <v>0.99989399999999995</v>
      </c>
      <c r="N535">
        <v>0</v>
      </c>
      <c r="O535">
        <v>-8.5854940000000008E-3</v>
      </c>
      <c r="P535">
        <v>0.99914389999999997</v>
      </c>
      <c r="Q535">
        <v>-1.5393159999999999E-2</v>
      </c>
      <c r="R535">
        <v>3.84018E-2</v>
      </c>
      <c r="S535">
        <v>3.02169799999999</v>
      </c>
      <c r="T535">
        <v>2.3501749999999998E-2</v>
      </c>
      <c r="U535">
        <v>-0.46868900000000002</v>
      </c>
      <c r="V535">
        <v>-4.6981199999999897E-2</v>
      </c>
      <c r="W535">
        <v>-3.6140579999999999E-3</v>
      </c>
      <c r="X535">
        <v>0.99888920000000003</v>
      </c>
      <c r="Y535">
        <v>0.14478070000000001</v>
      </c>
      <c r="Z535">
        <v>4.9330309999999998E-4</v>
      </c>
      <c r="AA535">
        <v>0.9894636</v>
      </c>
      <c r="AB535">
        <v>32</v>
      </c>
      <c r="AC535">
        <v>3.02169799999999</v>
      </c>
      <c r="AD535">
        <v>2.3501749999999998E-2</v>
      </c>
      <c r="AE535">
        <v>-0.46868900000000002</v>
      </c>
      <c r="AF535">
        <v>0.44270100895632603</v>
      </c>
      <c r="AG535">
        <v>2.3501749999999998E-2</v>
      </c>
      <c r="AH535">
        <v>3.0254321066519498</v>
      </c>
      <c r="AI535">
        <v>89.559621093550803</v>
      </c>
      <c r="AJ535">
        <v>81.675186852009503</v>
      </c>
      <c r="AK535">
        <v>3.0577403335706101</v>
      </c>
    </row>
    <row r="536" spans="1:37" x14ac:dyDescent="0.2">
      <c r="A536" t="str">
        <f>"20200111160107883"</f>
        <v>20200111160107883</v>
      </c>
      <c r="B536" t="str">
        <f>"1578729667870947"</f>
        <v>1578729667870947</v>
      </c>
      <c r="C536" t="s">
        <v>37</v>
      </c>
      <c r="D536">
        <v>4.8687680000000002</v>
      </c>
      <c r="E536">
        <v>0.57388660000000002</v>
      </c>
      <c r="F536" t="s">
        <v>43</v>
      </c>
      <c r="G536">
        <v>0</v>
      </c>
      <c r="H536">
        <v>0</v>
      </c>
      <c r="I536">
        <v>0</v>
      </c>
      <c r="J536">
        <v>-298.512</v>
      </c>
      <c r="K536">
        <v>1.0538190000000001</v>
      </c>
      <c r="L536">
        <v>367.81830000000002</v>
      </c>
      <c r="M536">
        <v>0.99989430000000001</v>
      </c>
      <c r="N536">
        <v>0</v>
      </c>
      <c r="O536">
        <v>-8.727673E-3</v>
      </c>
      <c r="P536">
        <v>0.99920900000000001</v>
      </c>
      <c r="Q536">
        <v>-1.4527780000000001E-2</v>
      </c>
      <c r="R536">
        <v>3.7023069999999998E-2</v>
      </c>
      <c r="S536">
        <v>3.021118</v>
      </c>
      <c r="T536">
        <v>2.092743E-2</v>
      </c>
      <c r="U536">
        <v>-0.47457890000000003</v>
      </c>
      <c r="V536">
        <v>-4.5744300000000002E-2</v>
      </c>
      <c r="W536">
        <v>-2.8774759999999999E-3</v>
      </c>
      <c r="X536">
        <v>0.99894910000000003</v>
      </c>
      <c r="Y536">
        <v>0.1465525</v>
      </c>
      <c r="Z536">
        <v>4.444076E-4</v>
      </c>
      <c r="AA536">
        <v>0.98920280000000005</v>
      </c>
      <c r="AB536">
        <v>32</v>
      </c>
      <c r="AC536">
        <v>3.021118</v>
      </c>
      <c r="AD536">
        <v>2.092743E-2</v>
      </c>
      <c r="AE536">
        <v>-0.47457890000000003</v>
      </c>
      <c r="AF536">
        <v>0.44817072236901401</v>
      </c>
      <c r="AG536">
        <v>2.092743E-2</v>
      </c>
      <c r="AH536">
        <v>3.02500351284595</v>
      </c>
      <c r="AI536">
        <v>89.607905241973199</v>
      </c>
      <c r="AJ536">
        <v>81.572622234922207</v>
      </c>
      <c r="AK536">
        <v>3.0580943750063598</v>
      </c>
    </row>
    <row r="537" spans="1:37" x14ac:dyDescent="0.2">
      <c r="A537" t="str">
        <f>"20200111160107906"</f>
        <v>20200111160107906</v>
      </c>
      <c r="B537" t="str">
        <f>"1578729667901204"</f>
        <v>1578729667901204</v>
      </c>
      <c r="C537" t="s">
        <v>37</v>
      </c>
      <c r="D537">
        <v>4.8914519999999904</v>
      </c>
      <c r="E537">
        <v>0.57440619999999998</v>
      </c>
      <c r="F537" t="s">
        <v>43</v>
      </c>
      <c r="G537">
        <v>0</v>
      </c>
      <c r="H537">
        <v>0</v>
      </c>
      <c r="I537">
        <v>0</v>
      </c>
      <c r="J537">
        <v>-298.18520000000001</v>
      </c>
      <c r="K537">
        <v>1.053876</v>
      </c>
      <c r="L537">
        <v>367.81540000000001</v>
      </c>
      <c r="M537">
        <v>0.99989490000000003</v>
      </c>
      <c r="N537">
        <v>0</v>
      </c>
      <c r="O537">
        <v>-8.8023449999999996E-3</v>
      </c>
      <c r="P537">
        <v>0.99925730000000001</v>
      </c>
      <c r="Q537">
        <v>-1.3503299999999999E-2</v>
      </c>
      <c r="R537">
        <v>3.6095349999999998E-2</v>
      </c>
      <c r="S537">
        <v>3.020508</v>
      </c>
      <c r="T537">
        <v>2.0302529999999999E-2</v>
      </c>
      <c r="U537">
        <v>-0.48193359999999902</v>
      </c>
      <c r="V537">
        <v>-4.4891260000000002E-2</v>
      </c>
      <c r="W537">
        <v>-1.9686259999999998E-3</v>
      </c>
      <c r="X537">
        <v>0.99898989999999999</v>
      </c>
      <c r="Y537">
        <v>0.14885870000000001</v>
      </c>
      <c r="Z537">
        <v>4.3834609999999997E-4</v>
      </c>
      <c r="AA537">
        <v>0.98885840000000003</v>
      </c>
      <c r="AB537">
        <v>32</v>
      </c>
      <c r="AC537">
        <v>3.020508</v>
      </c>
      <c r="AD537">
        <v>2.0302529999999999E-2</v>
      </c>
      <c r="AE537">
        <v>-0.48193359999999902</v>
      </c>
      <c r="AF537">
        <v>0.45530554913535598</v>
      </c>
      <c r="AG537">
        <v>2.0302529999999999E-2</v>
      </c>
      <c r="AH537">
        <v>3.0245001403253999</v>
      </c>
      <c r="AI537">
        <v>89.619682121613195</v>
      </c>
      <c r="AJ537">
        <v>81.439027945816207</v>
      </c>
      <c r="AK537">
        <v>3.0586461767628901</v>
      </c>
    </row>
    <row r="538" spans="1:37" x14ac:dyDescent="0.2">
      <c r="A538" t="str">
        <f>"20200111160107928"</f>
        <v>20200111160107928</v>
      </c>
      <c r="B538" t="str">
        <f>"1578729667921699"</f>
        <v>1578729667921699</v>
      </c>
      <c r="C538" t="s">
        <v>37</v>
      </c>
      <c r="D538">
        <v>4.9324339999999998</v>
      </c>
      <c r="E538">
        <v>0.5745422</v>
      </c>
      <c r="F538" t="s">
        <v>51</v>
      </c>
      <c r="G538">
        <v>-142.6319</v>
      </c>
      <c r="H538">
        <v>2.0852750000000002</v>
      </c>
      <c r="I538">
        <v>342.64400000000001</v>
      </c>
      <c r="J538">
        <v>-297.8546</v>
      </c>
      <c r="K538">
        <v>1.053931</v>
      </c>
      <c r="L538">
        <v>367.8125</v>
      </c>
      <c r="M538">
        <v>0.99989599999999901</v>
      </c>
      <c r="N538">
        <v>0</v>
      </c>
      <c r="O538">
        <v>-8.7969829999999995E-3</v>
      </c>
      <c r="P538">
        <v>0.99928799999999995</v>
      </c>
      <c r="Q538">
        <v>-1.2894350000000001E-2</v>
      </c>
      <c r="R538">
        <v>3.5465139999999999E-2</v>
      </c>
      <c r="S538">
        <v>3.020111</v>
      </c>
      <c r="T538">
        <v>2.0025009999999999E-2</v>
      </c>
      <c r="U538">
        <v>-0.48870849999999999</v>
      </c>
      <c r="V538">
        <v>-4.4255360000000001E-2</v>
      </c>
      <c r="W538">
        <v>-1.4627609999999999E-3</v>
      </c>
      <c r="X538">
        <v>0.999019199999999</v>
      </c>
      <c r="Y538">
        <v>0.1510464</v>
      </c>
      <c r="Z538">
        <v>4.3957510000000003E-4</v>
      </c>
      <c r="AA538">
        <v>0.98852659999999903</v>
      </c>
      <c r="AB538">
        <v>32</v>
      </c>
      <c r="AC538">
        <v>155.2227</v>
      </c>
      <c r="AD538">
        <v>1.031344</v>
      </c>
      <c r="AE538">
        <v>-25.168499999999899</v>
      </c>
      <c r="AF538">
        <v>23.8009215563536</v>
      </c>
      <c r="AG538">
        <v>1.031344</v>
      </c>
      <c r="AH538">
        <v>155.431428343726</v>
      </c>
      <c r="AI538">
        <v>89.624207441559605</v>
      </c>
      <c r="AJ538">
        <v>81.294031464038596</v>
      </c>
      <c r="AK538">
        <v>157.24654671676899</v>
      </c>
    </row>
    <row r="539" spans="1:37" x14ac:dyDescent="0.2">
      <c r="A539" t="str">
        <f>"20200111160107950"</f>
        <v>20200111160107950</v>
      </c>
      <c r="B539" t="str">
        <f>"1578729667941219"</f>
        <v>1578729667941219</v>
      </c>
      <c r="C539" t="s">
        <v>37</v>
      </c>
      <c r="D539">
        <v>5.133229</v>
      </c>
      <c r="E539">
        <v>0.57439929999999995</v>
      </c>
      <c r="F539" t="s">
        <v>51</v>
      </c>
      <c r="G539">
        <v>-143.14500000000001</v>
      </c>
      <c r="H539">
        <v>2.0448879999999998</v>
      </c>
      <c r="I539">
        <v>342.64400000000001</v>
      </c>
      <c r="J539">
        <v>-297.54719999999998</v>
      </c>
      <c r="K539">
        <v>1.053987</v>
      </c>
      <c r="L539">
        <v>367.8098</v>
      </c>
      <c r="M539">
        <v>0.99989779999999995</v>
      </c>
      <c r="N539">
        <v>0</v>
      </c>
      <c r="O539">
        <v>-8.7048590000000006E-3</v>
      </c>
      <c r="P539">
        <v>0.999304999999999</v>
      </c>
      <c r="Q539">
        <v>-1.246765E-2</v>
      </c>
      <c r="R539">
        <v>3.5133789999999998E-2</v>
      </c>
      <c r="S539">
        <v>3.0198360000000002</v>
      </c>
      <c r="T539">
        <v>1.9343019999999999E-2</v>
      </c>
      <c r="U539">
        <v>-0.49127199999999999</v>
      </c>
      <c r="V539">
        <v>-4.3831879999999997E-2</v>
      </c>
      <c r="W539">
        <v>-1.1202409999999999E-3</v>
      </c>
      <c r="X539">
        <v>0.99903829999999905</v>
      </c>
      <c r="Y539">
        <v>0.1519694</v>
      </c>
      <c r="Z539">
        <v>4.2813699999999998E-4</v>
      </c>
      <c r="AA539">
        <v>0.98838510000000002</v>
      </c>
      <c r="AB539">
        <v>32</v>
      </c>
      <c r="AC539">
        <v>154.402199999999</v>
      </c>
      <c r="AD539">
        <v>0.99090100000000003</v>
      </c>
      <c r="AE539">
        <v>-25.165799999999901</v>
      </c>
      <c r="AF539">
        <v>23.8197549124584</v>
      </c>
      <c r="AG539">
        <v>0.99090100000000003</v>
      </c>
      <c r="AH539">
        <v>154.60922507723001</v>
      </c>
      <c r="AI539">
        <v>89.637074283368094</v>
      </c>
      <c r="AJ539">
        <v>81.241630853155499</v>
      </c>
      <c r="AK539">
        <v>156.43648899110099</v>
      </c>
    </row>
    <row r="540" spans="1:37" x14ac:dyDescent="0.2">
      <c r="A540" t="str">
        <f>"20200111160107972"</f>
        <v>20200111160107972</v>
      </c>
      <c r="B540" t="str">
        <f>"1578729667961715"</f>
        <v>1578729667961715</v>
      </c>
      <c r="C540" t="s">
        <v>37</v>
      </c>
      <c r="D540">
        <v>4.9756429999999998</v>
      </c>
      <c r="E540">
        <v>0.54136399999999996</v>
      </c>
      <c r="F540" t="s">
        <v>51</v>
      </c>
      <c r="G540">
        <v>-142.88570000000001</v>
      </c>
      <c r="H540">
        <v>1.93806899999999</v>
      </c>
      <c r="I540">
        <v>342.64400000000001</v>
      </c>
      <c r="J540">
        <v>-297.22680000000003</v>
      </c>
      <c r="K540">
        <v>1.054052</v>
      </c>
      <c r="L540">
        <v>367.80720000000002</v>
      </c>
      <c r="M540">
        <v>0.99990000000000001</v>
      </c>
      <c r="N540">
        <v>0</v>
      </c>
      <c r="O540">
        <v>-8.5252269999999998E-3</v>
      </c>
      <c r="P540">
        <v>0.99930909999999995</v>
      </c>
      <c r="Q540">
        <v>-1.229273E-2</v>
      </c>
      <c r="R540">
        <v>3.5076349999999999E-2</v>
      </c>
      <c r="S540">
        <v>3.0195919999999998</v>
      </c>
      <c r="T540">
        <v>1.7260790000000002E-2</v>
      </c>
      <c r="U540">
        <v>-0.49133300000000002</v>
      </c>
      <c r="V540">
        <v>-4.3595120000000001E-2</v>
      </c>
      <c r="W540">
        <v>-1.0221589999999999E-3</v>
      </c>
      <c r="X540">
        <v>0.99904879999999996</v>
      </c>
      <c r="Y540">
        <v>0.1521796</v>
      </c>
      <c r="Z540">
        <v>3.8369659999999998E-4</v>
      </c>
      <c r="AA540">
        <v>0.98835280000000003</v>
      </c>
      <c r="AB540">
        <v>32</v>
      </c>
      <c r="AC540">
        <v>154.34110000000001</v>
      </c>
      <c r="AD540">
        <v>0.88401699999999905</v>
      </c>
      <c r="AE540">
        <v>-25.1632</v>
      </c>
      <c r="AF540">
        <v>23.8456467311537</v>
      </c>
      <c r="AG540">
        <v>0.88401699999999905</v>
      </c>
      <c r="AH540">
        <v>154.54508733126599</v>
      </c>
      <c r="AI540">
        <v>89.676097474174995</v>
      </c>
      <c r="AJ540">
        <v>81.228676324381695</v>
      </c>
      <c r="AK540">
        <v>156.37640606022401</v>
      </c>
    </row>
    <row r="541" spans="1:37" x14ac:dyDescent="0.2">
      <c r="A541" t="str">
        <f>"20200111160107995"</f>
        <v>20200111160107995</v>
      </c>
      <c r="B541" t="str">
        <f>"1578729667990996"</f>
        <v>1578729667990996</v>
      </c>
      <c r="C541" t="s">
        <v>37</v>
      </c>
      <c r="D541">
        <v>4.9497819999999999</v>
      </c>
      <c r="E541">
        <v>0.53543629999999998</v>
      </c>
      <c r="F541" t="s">
        <v>42</v>
      </c>
      <c r="G541">
        <v>-296.25020000000001</v>
      </c>
      <c r="H541">
        <v>1.002726</v>
      </c>
      <c r="I541">
        <v>367.7362</v>
      </c>
      <c r="J541">
        <v>-296.89769999999999</v>
      </c>
      <c r="K541">
        <v>1.054108</v>
      </c>
      <c r="L541">
        <v>367.80459999999999</v>
      </c>
      <c r="M541">
        <v>0.99990270000000003</v>
      </c>
      <c r="N541">
        <v>0</v>
      </c>
      <c r="O541">
        <v>-8.2745490000000008E-3</v>
      </c>
      <c r="P541">
        <v>0.99930010000000002</v>
      </c>
      <c r="Q541">
        <v>-1.260695E-2</v>
      </c>
      <c r="R541">
        <v>3.5220509999999997E-2</v>
      </c>
      <c r="S541">
        <v>3.0078130000000001</v>
      </c>
      <c r="T541">
        <v>-0.15817609999999999</v>
      </c>
      <c r="U541">
        <v>-0.21856689999999901</v>
      </c>
      <c r="V541">
        <v>-4.3487909999999998E-2</v>
      </c>
      <c r="W541">
        <v>-1.4052470000000001E-3</v>
      </c>
      <c r="X541">
        <v>0.99905290000000002</v>
      </c>
      <c r="Y541">
        <v>6.4142729999999995E-2</v>
      </c>
      <c r="Z541">
        <v>-1.2489389999999999E-3</v>
      </c>
      <c r="AA541">
        <v>0.99793989999999999</v>
      </c>
      <c r="AB541">
        <v>32</v>
      </c>
      <c r="AC541">
        <v>0.64749999999997898</v>
      </c>
      <c r="AD541">
        <v>-5.1381999999999997E-2</v>
      </c>
      <c r="AE541">
        <v>-6.8399999999996894E-2</v>
      </c>
      <c r="AF541">
        <v>6.26493923257323E-2</v>
      </c>
      <c r="AG541">
        <v>-5.1381999999999997E-2</v>
      </c>
      <c r="AH541">
        <v>0.64403304440536002</v>
      </c>
      <c r="AI541">
        <v>94.5401480566629</v>
      </c>
      <c r="AJ541">
        <v>84.443938355255597</v>
      </c>
      <c r="AK541">
        <v>0.64910986633143997</v>
      </c>
    </row>
    <row r="542" spans="1:37" x14ac:dyDescent="0.2">
      <c r="A542" t="str">
        <f>"20200111160108009"</f>
        <v>20200111160108009</v>
      </c>
      <c r="B542" t="str">
        <f>"1578729668001732"</f>
        <v>1578729668001732</v>
      </c>
      <c r="C542" t="s">
        <v>37</v>
      </c>
      <c r="D542">
        <v>5.148765</v>
      </c>
      <c r="E542">
        <v>0.53395939999999997</v>
      </c>
      <c r="F542" t="s">
        <v>42</v>
      </c>
      <c r="G542">
        <v>-295.97039999999998</v>
      </c>
      <c r="H542">
        <v>0.99026369999999897</v>
      </c>
      <c r="I542">
        <v>367.75229999999999</v>
      </c>
      <c r="J542">
        <v>-296.6866</v>
      </c>
      <c r="K542">
        <v>1.054141</v>
      </c>
      <c r="L542">
        <v>367.803</v>
      </c>
      <c r="M542">
        <v>0.99990460000000003</v>
      </c>
      <c r="N542">
        <v>0</v>
      </c>
      <c r="O542">
        <v>-8.087314E-3</v>
      </c>
      <c r="P542">
        <v>0.99927949999999999</v>
      </c>
      <c r="Q542">
        <v>-1.34860999999999E-2</v>
      </c>
      <c r="R542">
        <v>3.5478139999999998E-2</v>
      </c>
      <c r="S542">
        <v>3.0054319999999999</v>
      </c>
      <c r="T542">
        <v>-0.2073063</v>
      </c>
      <c r="U542">
        <v>-0.16848750000000001</v>
      </c>
      <c r="V542">
        <v>-4.3558350000000003E-2</v>
      </c>
      <c r="W542">
        <v>-2.324521E-3</v>
      </c>
      <c r="X542">
        <v>0.99904819999999905</v>
      </c>
      <c r="Y542">
        <v>4.7802079999999997E-2</v>
      </c>
      <c r="Z542">
        <v>-1.0886419999999999E-3</v>
      </c>
      <c r="AA542">
        <v>0.99885619999999997</v>
      </c>
      <c r="AB542">
        <v>32</v>
      </c>
      <c r="AC542">
        <v>0.71620000000001405</v>
      </c>
      <c r="AD542">
        <v>-6.3877300000000095E-2</v>
      </c>
      <c r="AE542">
        <v>-5.0700000000063E-2</v>
      </c>
      <c r="AF542">
        <v>4.4553203575657702E-2</v>
      </c>
      <c r="AG542">
        <v>-6.3877300000000095E-2</v>
      </c>
      <c r="AH542">
        <v>0.71095935059722404</v>
      </c>
      <c r="AI542">
        <v>95.124049733475402</v>
      </c>
      <c r="AJ542">
        <v>86.414173577219302</v>
      </c>
      <c r="AK542">
        <v>0.71521220319970102</v>
      </c>
    </row>
    <row r="543" spans="1:37" x14ac:dyDescent="0.2">
      <c r="A543" t="str">
        <f>"20200111160108028"</f>
        <v>20200111160108028</v>
      </c>
      <c r="B543" t="str">
        <f>"1578729668021251"</f>
        <v>1578729668021251</v>
      </c>
      <c r="C543" t="s">
        <v>37</v>
      </c>
      <c r="D543">
        <v>4.9266350000000001</v>
      </c>
      <c r="E543">
        <v>0.53332190000000002</v>
      </c>
      <c r="F543" t="s">
        <v>42</v>
      </c>
      <c r="G543">
        <v>-295.6857</v>
      </c>
      <c r="H543">
        <v>0.98224449999999996</v>
      </c>
      <c r="I543">
        <v>367.7509</v>
      </c>
      <c r="J543">
        <v>-296.40940000000001</v>
      </c>
      <c r="K543">
        <v>1.0541750000000001</v>
      </c>
      <c r="L543">
        <v>367.80110000000002</v>
      </c>
      <c r="M543">
        <v>0.9999074</v>
      </c>
      <c r="N543">
        <v>0</v>
      </c>
      <c r="O543">
        <v>-7.8054750000000001E-3</v>
      </c>
      <c r="P543">
        <v>0.99923909999999905</v>
      </c>
      <c r="Q543">
        <v>-1.443534E-2</v>
      </c>
      <c r="R543">
        <v>3.6230279999999997E-2</v>
      </c>
      <c r="S543">
        <v>3.004791</v>
      </c>
      <c r="T543">
        <v>-0.2160686</v>
      </c>
      <c r="U543">
        <v>-0.1556091</v>
      </c>
      <c r="V543">
        <v>-4.4027459999999997E-2</v>
      </c>
      <c r="W543">
        <v>-3.3200209999999998E-3</v>
      </c>
      <c r="X543">
        <v>0.99902479999999905</v>
      </c>
      <c r="Y543">
        <v>4.3827860000000003E-2</v>
      </c>
      <c r="Z543">
        <v>-1.012525E-3</v>
      </c>
      <c r="AA543">
        <v>0.9990386</v>
      </c>
      <c r="AB543">
        <v>32</v>
      </c>
      <c r="AC543">
        <v>0.723700000000007</v>
      </c>
      <c r="AD543">
        <v>-7.1930500000000105E-2</v>
      </c>
      <c r="AE543">
        <v>-5.0200000000018001E-2</v>
      </c>
      <c r="AF543">
        <v>4.4115570478831002E-2</v>
      </c>
      <c r="AG543">
        <v>-7.1930500000000105E-2</v>
      </c>
      <c r="AH543">
        <v>0.71702035023894695</v>
      </c>
      <c r="AI543">
        <v>95.7179275525489</v>
      </c>
      <c r="AJ543">
        <v>86.479243880060594</v>
      </c>
      <c r="AK543">
        <v>0.721968394769262</v>
      </c>
    </row>
    <row r="544" spans="1:37" x14ac:dyDescent="0.2">
      <c r="A544" t="str">
        <f>"20200111160108050"</f>
        <v>20200111160108050</v>
      </c>
      <c r="B544" t="str">
        <f>"1578729668040771"</f>
        <v>1578729668040771</v>
      </c>
      <c r="C544" t="s">
        <v>37</v>
      </c>
      <c r="D544">
        <v>4.8992769999999997</v>
      </c>
      <c r="E544">
        <v>0.53314849999999903</v>
      </c>
      <c r="F544" t="s">
        <v>42</v>
      </c>
      <c r="G544">
        <v>-295.67469999999997</v>
      </c>
      <c r="H544">
        <v>0.99891459999999999</v>
      </c>
      <c r="I544">
        <v>367.76459999999997</v>
      </c>
      <c r="J544">
        <v>-296.1035</v>
      </c>
      <c r="K544">
        <v>1.054203</v>
      </c>
      <c r="L544">
        <v>367.79899999999998</v>
      </c>
      <c r="M544">
        <v>0.99991049999999904</v>
      </c>
      <c r="N544">
        <v>0</v>
      </c>
      <c r="O544">
        <v>-7.4629350000000004E-3</v>
      </c>
      <c r="P544">
        <v>0.99917639999999996</v>
      </c>
      <c r="Q544">
        <v>-1.515914E-2</v>
      </c>
      <c r="R544">
        <v>3.7643570000000001E-2</v>
      </c>
      <c r="S544">
        <v>3.0043950000000001</v>
      </c>
      <c r="T544">
        <v>-0.22625990000000001</v>
      </c>
      <c r="U544">
        <v>-0.14816279999999901</v>
      </c>
      <c r="V544">
        <v>-4.5097239999999997E-2</v>
      </c>
      <c r="W544">
        <v>-4.0887969999999999E-3</v>
      </c>
      <c r="X544">
        <v>0.99897429999999998</v>
      </c>
      <c r="Y544">
        <v>4.17031E-2</v>
      </c>
      <c r="Z544">
        <v>-1.0062529999999999E-3</v>
      </c>
      <c r="AA544">
        <v>0.9991295</v>
      </c>
      <c r="AB544">
        <v>32</v>
      </c>
      <c r="AC544">
        <v>0.428800000000023</v>
      </c>
      <c r="AD544">
        <v>-5.5288399999999897E-2</v>
      </c>
      <c r="AE544">
        <v>-3.4400000000061902E-2</v>
      </c>
      <c r="AF544">
        <v>3.0691754264748201E-2</v>
      </c>
      <c r="AG544">
        <v>-5.5288399999999897E-2</v>
      </c>
      <c r="AH544">
        <v>0.42207276065774102</v>
      </c>
      <c r="AI544">
        <v>97.4433984092543</v>
      </c>
      <c r="AJ544">
        <v>85.840958138392295</v>
      </c>
      <c r="AK544">
        <v>0.426783559012826</v>
      </c>
    </row>
    <row r="545" spans="1:37" x14ac:dyDescent="0.2">
      <c r="A545" t="str">
        <f>"20200111160108072"</f>
        <v>20200111160108072</v>
      </c>
      <c r="B545" t="str">
        <f>"1578729668061267"</f>
        <v>1578729668061267</v>
      </c>
      <c r="C545" t="s">
        <v>37</v>
      </c>
      <c r="D545">
        <v>4.9482229999999996</v>
      </c>
      <c r="E545">
        <v>0.53310109999999999</v>
      </c>
      <c r="F545" t="s">
        <v>42</v>
      </c>
      <c r="G545">
        <v>-295.11070000000001</v>
      </c>
      <c r="H545">
        <v>0.9767884</v>
      </c>
      <c r="I545">
        <v>367.75170000000003</v>
      </c>
      <c r="J545">
        <v>-295.77730000000003</v>
      </c>
      <c r="K545">
        <v>1.054219</v>
      </c>
      <c r="L545">
        <v>367.796999999999</v>
      </c>
      <c r="M545">
        <v>0.99991379999999996</v>
      </c>
      <c r="N545">
        <v>0</v>
      </c>
      <c r="O545">
        <v>-7.075825E-3</v>
      </c>
      <c r="P545">
        <v>0.99914009999999998</v>
      </c>
      <c r="Q545">
        <v>-1.5734040000000001E-2</v>
      </c>
      <c r="R545">
        <v>3.8365349999999999E-2</v>
      </c>
      <c r="S545">
        <v>3.0042719999999998</v>
      </c>
      <c r="T545">
        <v>-0.2344347</v>
      </c>
      <c r="U545">
        <v>-0.1427002</v>
      </c>
      <c r="V545">
        <v>-4.5431989999999998E-2</v>
      </c>
      <c r="W545">
        <v>-4.703624E-3</v>
      </c>
      <c r="X545">
        <v>0.99895639999999997</v>
      </c>
      <c r="Y545">
        <v>4.0275419999999999E-2</v>
      </c>
      <c r="Z545">
        <v>-1.017144E-3</v>
      </c>
      <c r="AA545">
        <v>0.99918809999999902</v>
      </c>
      <c r="AB545">
        <v>32</v>
      </c>
      <c r="AC545">
        <v>0.66660000000001596</v>
      </c>
      <c r="AD545">
        <v>-7.7430600000000002E-2</v>
      </c>
      <c r="AE545">
        <v>-4.5299999999940603E-2</v>
      </c>
      <c r="AF545">
        <v>4.0044019377734101E-2</v>
      </c>
      <c r="AG545">
        <v>-7.7430600000000002E-2</v>
      </c>
      <c r="AH545">
        <v>0.65806568432876</v>
      </c>
      <c r="AI545">
        <v>96.698513266404206</v>
      </c>
      <c r="AJ545">
        <v>86.517782725977696</v>
      </c>
      <c r="AK545">
        <v>0.66381433111628696</v>
      </c>
    </row>
    <row r="546" spans="1:37" x14ac:dyDescent="0.2">
      <c r="A546" t="str">
        <f>"20200111160108095"</f>
        <v>20200111160108095</v>
      </c>
      <c r="B546" t="str">
        <f>"1578729668091524"</f>
        <v>1578729668091524</v>
      </c>
      <c r="C546" t="s">
        <v>37</v>
      </c>
      <c r="D546">
        <v>4.9017730000000004</v>
      </c>
      <c r="E546">
        <v>0.53308809999999995</v>
      </c>
      <c r="F546" t="s">
        <v>42</v>
      </c>
      <c r="G546">
        <v>-294.82089999999999</v>
      </c>
      <c r="H546">
        <v>0.97799249999999904</v>
      </c>
      <c r="I546">
        <v>367.75209999999998</v>
      </c>
      <c r="J546">
        <v>-295.4502</v>
      </c>
      <c r="K546">
        <v>1.0542260000000001</v>
      </c>
      <c r="L546">
        <v>367.79500000000002</v>
      </c>
      <c r="M546">
        <v>0.9999169</v>
      </c>
      <c r="N546">
        <v>0</v>
      </c>
      <c r="O546">
        <v>-6.6765740000000002E-3</v>
      </c>
      <c r="P546">
        <v>0.9991099</v>
      </c>
      <c r="Q546">
        <v>-1.6632499999999901E-2</v>
      </c>
      <c r="R546">
        <v>3.8766349999999998E-2</v>
      </c>
      <c r="S546">
        <v>3.004181</v>
      </c>
      <c r="T546">
        <v>-0.2398092</v>
      </c>
      <c r="U546">
        <v>-0.1398315</v>
      </c>
      <c r="V546">
        <v>-4.5432720000000003E-2</v>
      </c>
      <c r="W546">
        <v>-5.6354580000000003E-3</v>
      </c>
      <c r="X546">
        <v>0.99895149999999999</v>
      </c>
      <c r="Y546">
        <v>3.9719640000000001E-2</v>
      </c>
      <c r="Z546">
        <v>-1.050109E-3</v>
      </c>
      <c r="AA546">
        <v>0.9992103</v>
      </c>
      <c r="AB546">
        <v>32</v>
      </c>
      <c r="AC546">
        <v>0.62929999999999997</v>
      </c>
      <c r="AD546">
        <v>-7.6233500000000107E-2</v>
      </c>
      <c r="AE546">
        <v>-4.2900000000031399E-2</v>
      </c>
      <c r="AF546">
        <v>3.8140105582713399E-2</v>
      </c>
      <c r="AG546">
        <v>-7.6233500000000107E-2</v>
      </c>
      <c r="AH546">
        <v>0.62050861161022697</v>
      </c>
      <c r="AI546">
        <v>96.990996272758906</v>
      </c>
      <c r="AJ546">
        <v>86.482689777644595</v>
      </c>
      <c r="AK546">
        <v>0.62633629246480804</v>
      </c>
    </row>
    <row r="547" spans="1:37" x14ac:dyDescent="0.2">
      <c r="A547" t="str">
        <f>"20200111160108118"</f>
        <v>20200111160108118</v>
      </c>
      <c r="B547" t="str">
        <f>"1578729668111044"</f>
        <v>1578729668111044</v>
      </c>
      <c r="C547" t="s">
        <v>37</v>
      </c>
      <c r="D547">
        <v>4.882091</v>
      </c>
      <c r="E547">
        <v>0.53320140000000005</v>
      </c>
      <c r="F547" t="s">
        <v>42</v>
      </c>
      <c r="G547">
        <v>-294.53129999999999</v>
      </c>
      <c r="H547">
        <v>0.97850979999999999</v>
      </c>
      <c r="I547">
        <v>367.75279999999998</v>
      </c>
      <c r="J547">
        <v>-295.11320000000001</v>
      </c>
      <c r="K547">
        <v>1.0542290000000001</v>
      </c>
      <c r="L547">
        <v>367.79320000000001</v>
      </c>
      <c r="M547">
        <v>0.99991989999999997</v>
      </c>
      <c r="N547">
        <v>0</v>
      </c>
      <c r="O547">
        <v>-6.2620359999999899E-3</v>
      </c>
      <c r="P547">
        <v>0.99906989999999996</v>
      </c>
      <c r="Q547">
        <v>-1.8941340000000001E-2</v>
      </c>
      <c r="R547">
        <v>3.8738090000000003E-2</v>
      </c>
      <c r="S547">
        <v>3.0039060000000002</v>
      </c>
      <c r="T547">
        <v>-0.24753169999999999</v>
      </c>
      <c r="U547">
        <v>-0.13787839999999901</v>
      </c>
      <c r="V547">
        <v>-4.4988050000000002E-2</v>
      </c>
      <c r="W547">
        <v>-7.9728630000000002E-3</v>
      </c>
      <c r="X547">
        <v>0.998955699999999</v>
      </c>
      <c r="Y547">
        <v>3.9482360000000001E-2</v>
      </c>
      <c r="Z547">
        <v>-1.108256E-3</v>
      </c>
      <c r="AA547">
        <v>0.99921970000000004</v>
      </c>
      <c r="AB547">
        <v>32</v>
      </c>
      <c r="AC547">
        <v>0.58190000000001796</v>
      </c>
      <c r="AD547">
        <v>-7.5719200000000098E-2</v>
      </c>
      <c r="AE547">
        <v>-4.0400000000033701E-2</v>
      </c>
      <c r="AF547">
        <v>3.6146010389573401E-2</v>
      </c>
      <c r="AG547">
        <v>-7.5719200000000098E-2</v>
      </c>
      <c r="AH547">
        <v>0.57249445848679203</v>
      </c>
      <c r="AI547">
        <v>97.519517073619596</v>
      </c>
      <c r="AJ547">
        <v>86.387269032267696</v>
      </c>
      <c r="AK547">
        <v>0.57861026288323703</v>
      </c>
    </row>
    <row r="548" spans="1:37" x14ac:dyDescent="0.2">
      <c r="A548" t="str">
        <f>"20200111160108139"</f>
        <v>20200111160108139</v>
      </c>
      <c r="B548" t="str">
        <f>"1578729668131539"</f>
        <v>1578729668131539</v>
      </c>
      <c r="C548" t="s">
        <v>37</v>
      </c>
      <c r="D548">
        <v>4.932372</v>
      </c>
      <c r="E548">
        <v>0.53318259999999995</v>
      </c>
      <c r="F548" t="s">
        <v>42</v>
      </c>
      <c r="G548">
        <v>-294.24079999999998</v>
      </c>
      <c r="H548">
        <v>0.98031190000000001</v>
      </c>
      <c r="I548">
        <v>367.75259999999997</v>
      </c>
      <c r="J548">
        <v>-294.8107</v>
      </c>
      <c r="K548">
        <v>1.054219</v>
      </c>
      <c r="L548">
        <v>367.79169999999999</v>
      </c>
      <c r="M548">
        <v>0.99992230000000004</v>
      </c>
      <c r="N548">
        <v>0</v>
      </c>
      <c r="O548">
        <v>-5.8910990000000003E-3</v>
      </c>
      <c r="P548">
        <v>0.99899669999999896</v>
      </c>
      <c r="Q548">
        <v>-2.1260129999999999E-2</v>
      </c>
      <c r="R548">
        <v>3.9419669999999997E-2</v>
      </c>
      <c r="S548">
        <v>3.0033569999999998</v>
      </c>
      <c r="T548">
        <v>-0.25475679999999901</v>
      </c>
      <c r="U548">
        <v>-0.1388855</v>
      </c>
      <c r="V548">
        <v>-4.5297650000000002E-2</v>
      </c>
      <c r="W548">
        <v>-1.031426E-2</v>
      </c>
      <c r="X548">
        <v>0.99892029999999998</v>
      </c>
      <c r="Y548">
        <v>4.0185209999999999E-2</v>
      </c>
      <c r="Z548">
        <v>-1.2018199999999999E-3</v>
      </c>
      <c r="AA548">
        <v>0.99919150000000001</v>
      </c>
      <c r="AB548">
        <v>32</v>
      </c>
      <c r="AC548">
        <v>0.56990000000001795</v>
      </c>
      <c r="AD548">
        <v>-7.3907100000000003E-2</v>
      </c>
      <c r="AE548">
        <v>-3.9100000000019002E-2</v>
      </c>
      <c r="AF548">
        <v>3.5153341558516002E-2</v>
      </c>
      <c r="AG548">
        <v>-7.3907100000000003E-2</v>
      </c>
      <c r="AH548">
        <v>0.56073420551296305</v>
      </c>
      <c r="AI548">
        <v>97.493996847804596</v>
      </c>
      <c r="AJ548">
        <v>86.412728865322904</v>
      </c>
      <c r="AK548">
        <v>0.56667527393154604</v>
      </c>
    </row>
    <row r="549" spans="1:37" x14ac:dyDescent="0.2">
      <c r="A549" t="str">
        <f>"20200111160108161"</f>
        <v>20200111160108161</v>
      </c>
      <c r="B549" t="str">
        <f>"1578729668151059"</f>
        <v>1578729668151059</v>
      </c>
      <c r="C549" t="s">
        <v>37</v>
      </c>
      <c r="D549">
        <v>4.8819249999999998</v>
      </c>
      <c r="E549">
        <v>0.53320990000000001</v>
      </c>
      <c r="F549" t="s">
        <v>42</v>
      </c>
      <c r="G549">
        <v>-293.95159999999998</v>
      </c>
      <c r="H549">
        <v>0.97912339999999998</v>
      </c>
      <c r="I549">
        <v>367.7525</v>
      </c>
      <c r="J549">
        <v>-294.48579999999998</v>
      </c>
      <c r="K549">
        <v>1.054216</v>
      </c>
      <c r="L549">
        <v>367.79020000000003</v>
      </c>
      <c r="M549">
        <v>0.99992479999999995</v>
      </c>
      <c r="N549">
        <v>0</v>
      </c>
      <c r="O549">
        <v>-5.4951610000000001E-3</v>
      </c>
      <c r="P549">
        <v>0.99896059999999998</v>
      </c>
      <c r="Q549">
        <v>-2.2198900000000001E-2</v>
      </c>
      <c r="R549">
        <v>3.9811079999999999E-2</v>
      </c>
      <c r="S549">
        <v>3.0028380000000001</v>
      </c>
      <c r="T549">
        <v>-0.26252959999999997</v>
      </c>
      <c r="U549">
        <v>-0.13677979999999901</v>
      </c>
      <c r="V549">
        <v>-4.529147E-2</v>
      </c>
      <c r="W549">
        <v>-1.1273099999999999E-2</v>
      </c>
      <c r="X549">
        <v>0.99891019999999897</v>
      </c>
      <c r="Y549">
        <v>3.988162E-2</v>
      </c>
      <c r="Z549">
        <v>-1.259877E-3</v>
      </c>
      <c r="AA549">
        <v>0.99920359999999997</v>
      </c>
      <c r="AB549">
        <v>32</v>
      </c>
      <c r="AC549">
        <v>0.53419999999999801</v>
      </c>
      <c r="AD549">
        <v>-7.5092599999999898E-2</v>
      </c>
      <c r="AE549">
        <v>-3.77000000000293E-2</v>
      </c>
      <c r="AF549">
        <v>3.4093393158555703E-2</v>
      </c>
      <c r="AG549">
        <v>-7.5092599999999898E-2</v>
      </c>
      <c r="AH549">
        <v>0.52409434248853604</v>
      </c>
      <c r="AI549">
        <v>98.136915616969006</v>
      </c>
      <c r="AJ549">
        <v>86.278038321297203</v>
      </c>
      <c r="AK549">
        <v>0.53054324786987395</v>
      </c>
    </row>
    <row r="550" spans="1:37" x14ac:dyDescent="0.2">
      <c r="A550" t="str">
        <f>"20200111160108184"</f>
        <v>20200111160108184</v>
      </c>
      <c r="B550" t="str">
        <f>"1578729668181316"</f>
        <v>1578729668181316</v>
      </c>
      <c r="C550" t="s">
        <v>37</v>
      </c>
      <c r="D550">
        <v>4.8758549999999996</v>
      </c>
      <c r="E550">
        <v>0.53345509999999996</v>
      </c>
      <c r="F550" t="s">
        <v>42</v>
      </c>
      <c r="G550">
        <v>-293.66070000000002</v>
      </c>
      <c r="H550">
        <v>0.98119100000000004</v>
      </c>
      <c r="I550">
        <v>367.75259999999997</v>
      </c>
      <c r="J550">
        <v>-294.16210000000001</v>
      </c>
      <c r="K550">
        <v>1.054216</v>
      </c>
      <c r="L550">
        <v>367.78879999999998</v>
      </c>
      <c r="M550">
        <v>0.99992700000000001</v>
      </c>
      <c r="N550">
        <v>0</v>
      </c>
      <c r="O550">
        <v>-5.1037849999999996E-3</v>
      </c>
      <c r="P550">
        <v>0.99893929999999997</v>
      </c>
      <c r="Q550">
        <v>-2.204588E-2</v>
      </c>
      <c r="R550">
        <v>4.0430790000000001E-2</v>
      </c>
      <c r="S550">
        <v>3.0026250000000001</v>
      </c>
      <c r="T550">
        <v>-0.266055599999999</v>
      </c>
      <c r="U550">
        <v>-0.13571169999999999</v>
      </c>
      <c r="V550">
        <v>-4.5520650000000003E-2</v>
      </c>
      <c r="W550">
        <v>-1.11371E-2</v>
      </c>
      <c r="X550">
        <v>0.99890129999999999</v>
      </c>
      <c r="Y550">
        <v>3.9916010000000002E-2</v>
      </c>
      <c r="Z550">
        <v>-1.3129459999999999E-3</v>
      </c>
      <c r="AA550">
        <v>0.99920219999999904</v>
      </c>
      <c r="AB550">
        <v>32</v>
      </c>
      <c r="AC550">
        <v>0.50139999999998897</v>
      </c>
      <c r="AD550">
        <v>-7.3025000000000007E-2</v>
      </c>
      <c r="AE550">
        <v>-3.6200000000007997E-2</v>
      </c>
      <c r="AF550">
        <v>3.2945140096787298E-2</v>
      </c>
      <c r="AG550">
        <v>-7.3025000000000007E-2</v>
      </c>
      <c r="AH550">
        <v>0.49121283172646202</v>
      </c>
      <c r="AI550">
        <v>98.437131279138896</v>
      </c>
      <c r="AJ550">
        <v>86.162977323859906</v>
      </c>
      <c r="AK550">
        <v>0.497702801814221</v>
      </c>
    </row>
    <row r="551" spans="1:37" x14ac:dyDescent="0.2">
      <c r="A551" t="str">
        <f>"20200111160108207"</f>
        <v>20200111160108207</v>
      </c>
      <c r="B551" t="str">
        <f>"1578729668201812"</f>
        <v>1578729668201812</v>
      </c>
      <c r="C551" t="s">
        <v>37</v>
      </c>
      <c r="D551">
        <v>4.8670879999999999</v>
      </c>
      <c r="E551">
        <v>0.53369639999999996</v>
      </c>
      <c r="F551" t="s">
        <v>42</v>
      </c>
      <c r="G551">
        <v>-293.36900000000003</v>
      </c>
      <c r="H551">
        <v>0.98431499999999905</v>
      </c>
      <c r="I551">
        <v>367.7527</v>
      </c>
      <c r="J551">
        <v>-293.82369999999997</v>
      </c>
      <c r="K551">
        <v>1.0542199999999999</v>
      </c>
      <c r="L551">
        <v>367.78739999999999</v>
      </c>
      <c r="M551">
        <v>0.99992909999999902</v>
      </c>
      <c r="N551">
        <v>0</v>
      </c>
      <c r="O551">
        <v>-4.6969339999999998E-3</v>
      </c>
      <c r="P551">
        <v>0.99890409999999996</v>
      </c>
      <c r="Q551">
        <v>-2.1356739999999999E-2</v>
      </c>
      <c r="R551">
        <v>4.1646799999999998E-2</v>
      </c>
      <c r="S551">
        <v>3.0028380000000001</v>
      </c>
      <c r="T551">
        <v>-0.26484730000000001</v>
      </c>
      <c r="U551">
        <v>-0.13589479999999901</v>
      </c>
      <c r="V551">
        <v>-4.6330699999999898E-2</v>
      </c>
      <c r="W551">
        <v>-1.046357E-2</v>
      </c>
      <c r="X551">
        <v>0.99887130000000002</v>
      </c>
      <c r="Y551">
        <v>4.0378039999999997E-2</v>
      </c>
      <c r="Z551">
        <v>-1.3630329999999901E-3</v>
      </c>
      <c r="AA551">
        <v>0.999183499999999</v>
      </c>
      <c r="AB551">
        <v>32</v>
      </c>
      <c r="AC551">
        <v>0.45469999999994498</v>
      </c>
      <c r="AD551">
        <v>-6.9905000000000203E-2</v>
      </c>
      <c r="AE551">
        <v>-3.4699999999986603E-2</v>
      </c>
      <c r="AF551">
        <v>3.1816153780736302E-2</v>
      </c>
      <c r="AG551">
        <v>-6.9905000000000203E-2</v>
      </c>
      <c r="AH551">
        <v>0.44441478782514998</v>
      </c>
      <c r="AI551">
        <v>98.916741443871302</v>
      </c>
      <c r="AJ551">
        <v>85.905117079442505</v>
      </c>
      <c r="AK551">
        <v>0.45100274977440302</v>
      </c>
    </row>
    <row r="552" spans="1:37" x14ac:dyDescent="0.2">
      <c r="A552" t="str">
        <f>"20200111160108229"</f>
        <v>20200111160108229</v>
      </c>
      <c r="B552" t="str">
        <f>"1578729668221331"</f>
        <v>1578729668221331</v>
      </c>
      <c r="C552" t="s">
        <v>37</v>
      </c>
      <c r="D552">
        <v>4.8433549999999999</v>
      </c>
      <c r="E552">
        <v>0.53379600000000005</v>
      </c>
      <c r="F552" t="s">
        <v>42</v>
      </c>
      <c r="G552">
        <v>-293.07619999999997</v>
      </c>
      <c r="H552">
        <v>0.98927449999999995</v>
      </c>
      <c r="I552">
        <v>367.75369999999998</v>
      </c>
      <c r="J552">
        <v>-293.51029999999997</v>
      </c>
      <c r="K552">
        <v>1.054216</v>
      </c>
      <c r="L552">
        <v>367.78629999999998</v>
      </c>
      <c r="M552">
        <v>0.99993099999999902</v>
      </c>
      <c r="N552">
        <v>0</v>
      </c>
      <c r="O552">
        <v>-4.3215879999999899E-3</v>
      </c>
      <c r="P552">
        <v>0.99887000000000004</v>
      </c>
      <c r="Q552">
        <v>-2.102528E-2</v>
      </c>
      <c r="R552">
        <v>4.2627030000000003E-2</v>
      </c>
      <c r="S552">
        <v>3.00329599999999</v>
      </c>
      <c r="T552">
        <v>-0.26138129999999998</v>
      </c>
      <c r="U552">
        <v>-0.13427729999999999</v>
      </c>
      <c r="V552">
        <v>-4.6935749999999998E-2</v>
      </c>
      <c r="W552">
        <v>-1.0144149999999999E-2</v>
      </c>
      <c r="X552">
        <v>0.99884640000000002</v>
      </c>
      <c r="Y552">
        <v>4.0212039999999998E-2</v>
      </c>
      <c r="Z552">
        <v>-1.3704570000000001E-3</v>
      </c>
      <c r="AA552">
        <v>0.99919020000000003</v>
      </c>
      <c r="AB552">
        <v>32</v>
      </c>
      <c r="AC552">
        <v>0.43409999999999999</v>
      </c>
      <c r="AD552">
        <v>-6.4941499999999902E-2</v>
      </c>
      <c r="AE552">
        <v>-3.26000000000021E-2</v>
      </c>
      <c r="AF552">
        <v>3.0054722038871499E-2</v>
      </c>
      <c r="AG552">
        <v>-6.4941499999999902E-2</v>
      </c>
      <c r="AH552">
        <v>0.42478339132464399</v>
      </c>
      <c r="AI552">
        <v>98.670813604026606</v>
      </c>
      <c r="AJ552">
        <v>85.952892917002202</v>
      </c>
      <c r="AK552">
        <v>0.43076863196424803</v>
      </c>
    </row>
    <row r="553" spans="1:37" x14ac:dyDescent="0.2">
      <c r="A553" t="str">
        <f>"20200111160108251"</f>
        <v>20200111160108251</v>
      </c>
      <c r="B553" t="str">
        <f>"1578729668240851"</f>
        <v>1578729668240851</v>
      </c>
      <c r="C553" t="s">
        <v>37</v>
      </c>
      <c r="D553">
        <v>4.8280409999999998</v>
      </c>
      <c r="E553">
        <v>0.53395199999999998</v>
      </c>
      <c r="F553" t="s">
        <v>42</v>
      </c>
      <c r="G553">
        <v>-292.78460000000001</v>
      </c>
      <c r="H553">
        <v>0.99155149999999903</v>
      </c>
      <c r="I553">
        <v>367.75409999999999</v>
      </c>
      <c r="J553">
        <v>-293.19189999999998</v>
      </c>
      <c r="K553">
        <v>1.0542149999999999</v>
      </c>
      <c r="L553">
        <v>367.78539999999998</v>
      </c>
      <c r="M553">
        <v>0.99993269999999901</v>
      </c>
      <c r="N553">
        <v>0</v>
      </c>
      <c r="O553">
        <v>-3.9406600000000003E-3</v>
      </c>
      <c r="P553">
        <v>0.99882059999999995</v>
      </c>
      <c r="Q553">
        <v>-2.1193170000000001E-2</v>
      </c>
      <c r="R553">
        <v>4.3686280000000001E-2</v>
      </c>
      <c r="S553">
        <v>3.00360099999999</v>
      </c>
      <c r="T553">
        <v>-0.25961269999999997</v>
      </c>
      <c r="U553">
        <v>-0.13253779999999901</v>
      </c>
      <c r="V553">
        <v>-4.7613879999999997E-2</v>
      </c>
      <c r="W553">
        <v>-1.0322059999999999E-2</v>
      </c>
      <c r="X553">
        <v>0.99881249999999999</v>
      </c>
      <c r="Y553">
        <v>4.00118E-2</v>
      </c>
      <c r="Z553">
        <v>-1.3853139999999999E-3</v>
      </c>
      <c r="AA553">
        <v>0.99919829999999998</v>
      </c>
      <c r="AB553">
        <v>32</v>
      </c>
      <c r="AC553">
        <v>0.40729999999996302</v>
      </c>
      <c r="AD553">
        <v>-6.26634999999999E-2</v>
      </c>
      <c r="AE553">
        <v>-3.12999999999874E-2</v>
      </c>
      <c r="AF553">
        <v>2.9011945920943E-2</v>
      </c>
      <c r="AG553">
        <v>-6.26634999999999E-2</v>
      </c>
      <c r="AH553">
        <v>0.39805352726899401</v>
      </c>
      <c r="AI553">
        <v>98.923068068168106</v>
      </c>
      <c r="AJ553">
        <v>85.831394797429596</v>
      </c>
      <c r="AK553">
        <v>0.40399878441606402</v>
      </c>
    </row>
    <row r="554" spans="1:37" x14ac:dyDescent="0.2">
      <c r="A554" t="str">
        <f>"20200111160108274"</f>
        <v>20200111160108274</v>
      </c>
      <c r="B554" t="str">
        <f>"1578729668261348"</f>
        <v>1578729668261348</v>
      </c>
      <c r="C554" t="s">
        <v>37</v>
      </c>
      <c r="D554">
        <v>4.8308169999999997</v>
      </c>
      <c r="E554">
        <v>0.53408999999999995</v>
      </c>
      <c r="F554" t="s">
        <v>42</v>
      </c>
      <c r="G554">
        <v>-292.21370000000002</v>
      </c>
      <c r="H554">
        <v>0.96992969999999901</v>
      </c>
      <c r="I554">
        <v>367.74279999999999</v>
      </c>
      <c r="J554">
        <v>-292.85969999999998</v>
      </c>
      <c r="K554">
        <v>1.054225</v>
      </c>
      <c r="L554">
        <v>367.78449999999998</v>
      </c>
      <c r="M554">
        <v>0.99993430000000005</v>
      </c>
      <c r="N554">
        <v>0</v>
      </c>
      <c r="O554">
        <v>-3.5429620000000002E-3</v>
      </c>
      <c r="P554">
        <v>0.99878279999999997</v>
      </c>
      <c r="Q554">
        <v>-2.153205E-2</v>
      </c>
      <c r="R554">
        <v>4.4382699999999997E-2</v>
      </c>
      <c r="S554">
        <v>3.0037539999999998</v>
      </c>
      <c r="T554">
        <v>-0.2589419</v>
      </c>
      <c r="U554">
        <v>-0.13046259999999901</v>
      </c>
      <c r="V554">
        <v>-4.7913280000000003E-2</v>
      </c>
      <c r="W554">
        <v>-1.066375E-2</v>
      </c>
      <c r="X554">
        <v>0.99879459999999998</v>
      </c>
      <c r="Y554">
        <v>3.9718280000000002E-2</v>
      </c>
      <c r="Z554">
        <v>-1.4032809999999999E-3</v>
      </c>
      <c r="AA554">
        <v>0.99920989999999998</v>
      </c>
      <c r="AB554">
        <v>33</v>
      </c>
      <c r="AC554">
        <v>0.64599999999995805</v>
      </c>
      <c r="AD554">
        <v>-8.4295300000000004E-2</v>
      </c>
      <c r="AE554">
        <v>-4.1699999999991598E-2</v>
      </c>
      <c r="AF554">
        <v>3.8753721909882702E-2</v>
      </c>
      <c r="AG554">
        <v>-8.4295300000000004E-2</v>
      </c>
      <c r="AH554">
        <v>0.63537005308007899</v>
      </c>
      <c r="AI554">
        <v>97.543507708970694</v>
      </c>
      <c r="AJ554">
        <v>86.509628828668994</v>
      </c>
      <c r="AK554">
        <v>0.64210797605616299</v>
      </c>
    </row>
    <row r="555" spans="1:37" x14ac:dyDescent="0.2">
      <c r="A555" t="str">
        <f>"20200111160108296"</f>
        <v>20200111160108296</v>
      </c>
      <c r="B555" t="str">
        <f>"1578729668291605"</f>
        <v>1578729668291605</v>
      </c>
      <c r="C555" t="s">
        <v>37</v>
      </c>
      <c r="D555">
        <v>4.7284249999999997</v>
      </c>
      <c r="E555">
        <v>0.53432599999999997</v>
      </c>
      <c r="F555" t="s">
        <v>42</v>
      </c>
      <c r="G555">
        <v>-291.92099999999999</v>
      </c>
      <c r="H555">
        <v>0.97346139999999903</v>
      </c>
      <c r="I555">
        <v>367.74369999999999</v>
      </c>
      <c r="J555">
        <v>-292.52760000000001</v>
      </c>
      <c r="K555">
        <v>1.0542279999999999</v>
      </c>
      <c r="L555">
        <v>367.78370000000001</v>
      </c>
      <c r="M555">
        <v>0.99993549999999998</v>
      </c>
      <c r="N555">
        <v>0</v>
      </c>
      <c r="O555">
        <v>-3.14553099999999E-3</v>
      </c>
      <c r="P555">
        <v>0.99876169999999997</v>
      </c>
      <c r="Q555">
        <v>-2.145451E-2</v>
      </c>
      <c r="R555">
        <v>4.4890819999999998E-2</v>
      </c>
      <c r="S555">
        <v>3.0038450000000001</v>
      </c>
      <c r="T555">
        <v>-0.25862030000000003</v>
      </c>
      <c r="U555">
        <v>-0.1296997</v>
      </c>
      <c r="V555">
        <v>-4.8024289999999997E-2</v>
      </c>
      <c r="W555">
        <v>-1.058391E-2</v>
      </c>
      <c r="X555">
        <v>0.99879010000000001</v>
      </c>
      <c r="Y555">
        <v>3.9859150000000003E-2</v>
      </c>
      <c r="Z555">
        <v>-1.4416979999999999E-3</v>
      </c>
      <c r="AA555">
        <v>0.99920429999999905</v>
      </c>
      <c r="AB555">
        <v>33</v>
      </c>
      <c r="AC555">
        <v>0.60660000000001402</v>
      </c>
      <c r="AD555">
        <v>-8.0766600000000202E-2</v>
      </c>
      <c r="AE555">
        <v>-4.0000000000020401E-2</v>
      </c>
      <c r="AF555">
        <v>3.7430908552493702E-2</v>
      </c>
      <c r="AG555">
        <v>-8.0766600000000202E-2</v>
      </c>
      <c r="AH555">
        <v>0.59619919082147199</v>
      </c>
      <c r="AI555">
        <v>97.699867778022593</v>
      </c>
      <c r="AJ555">
        <v>86.407539687043794</v>
      </c>
      <c r="AK555">
        <v>0.60280825452775899</v>
      </c>
    </row>
    <row r="556" spans="1:37" x14ac:dyDescent="0.2">
      <c r="A556" t="str">
        <f>"20200111160108318"</f>
        <v>20200111160108318</v>
      </c>
      <c r="B556" t="str">
        <f>"1578729668311123"</f>
        <v>1578729668311123</v>
      </c>
      <c r="C556" t="s">
        <v>37</v>
      </c>
      <c r="D556">
        <v>4.6630549999999999</v>
      </c>
      <c r="E556">
        <v>0.53442199999999995</v>
      </c>
      <c r="F556" t="s">
        <v>42</v>
      </c>
      <c r="G556">
        <v>-291.62790000000001</v>
      </c>
      <c r="H556">
        <v>0.97712189999999999</v>
      </c>
      <c r="I556">
        <v>367.74450000000002</v>
      </c>
      <c r="J556">
        <v>-292.20569999999998</v>
      </c>
      <c r="K556">
        <v>1.054227</v>
      </c>
      <c r="L556">
        <v>367.78309999999999</v>
      </c>
      <c r="M556">
        <v>0.99993639999999995</v>
      </c>
      <c r="N556">
        <v>0</v>
      </c>
      <c r="O556">
        <v>-2.7602669999999998E-3</v>
      </c>
      <c r="P556">
        <v>0.99873389999999995</v>
      </c>
      <c r="Q556">
        <v>-2.2137560000000001E-2</v>
      </c>
      <c r="R556">
        <v>4.5173779999999997E-2</v>
      </c>
      <c r="S556">
        <v>3.0040589999999998</v>
      </c>
      <c r="T556">
        <v>-0.25769219999999998</v>
      </c>
      <c r="U556">
        <v>-0.130249</v>
      </c>
      <c r="V556">
        <v>-4.7922020000000003E-2</v>
      </c>
      <c r="W556">
        <v>-1.1262990000000001E-2</v>
      </c>
      <c r="X556">
        <v>0.9987876</v>
      </c>
      <c r="Y556">
        <v>4.0420930000000001E-2</v>
      </c>
      <c r="Z556">
        <v>-1.4934499999999999E-3</v>
      </c>
      <c r="AA556">
        <v>0.999181599999999</v>
      </c>
      <c r="AB556">
        <v>33</v>
      </c>
      <c r="AC556">
        <v>0.57779999999996701</v>
      </c>
      <c r="AD556">
        <v>-7.7105099999999899E-2</v>
      </c>
      <c r="AE556">
        <v>-3.8599999999973898E-2</v>
      </c>
      <c r="AF556">
        <v>3.6360254755728599E-2</v>
      </c>
      <c r="AG556">
        <v>-7.7105099999999899E-2</v>
      </c>
      <c r="AH556">
        <v>0.56783732595782699</v>
      </c>
      <c r="AI556">
        <v>97.7171312620506</v>
      </c>
      <c r="AJ556">
        <v>86.336188690035101</v>
      </c>
      <c r="AK556">
        <v>0.57420074305320001</v>
      </c>
    </row>
    <row r="557" spans="1:37" x14ac:dyDescent="0.2">
      <c r="A557" t="str">
        <f>"20200111160108341"</f>
        <v>20200111160108341</v>
      </c>
      <c r="B557" t="str">
        <f>"1578729668331619"</f>
        <v>1578729668331619</v>
      </c>
      <c r="C557" t="s">
        <v>37</v>
      </c>
      <c r="D557">
        <v>4.5923290000000003</v>
      </c>
      <c r="E557">
        <v>0.53452719999999998</v>
      </c>
      <c r="F557" t="s">
        <v>42</v>
      </c>
      <c r="G557">
        <v>-291.33530000000002</v>
      </c>
      <c r="H557">
        <v>0.97953489999999999</v>
      </c>
      <c r="I557">
        <v>367.74520000000001</v>
      </c>
      <c r="J557">
        <v>-291.8836</v>
      </c>
      <c r="K557">
        <v>1.054222</v>
      </c>
      <c r="L557">
        <v>367.7826</v>
      </c>
      <c r="M557">
        <v>0.99993750000000003</v>
      </c>
      <c r="N557">
        <v>0</v>
      </c>
      <c r="O557">
        <v>-2.375009E-3</v>
      </c>
      <c r="P557">
        <v>0.99873500000000004</v>
      </c>
      <c r="Q557">
        <v>-2.2757360000000001E-2</v>
      </c>
      <c r="R557">
        <v>4.4837830000000002E-2</v>
      </c>
      <c r="S557">
        <v>3.0039980000000002</v>
      </c>
      <c r="T557">
        <v>-0.25810070000000002</v>
      </c>
      <c r="U557">
        <v>-0.13006589999999901</v>
      </c>
      <c r="V557">
        <v>-4.720013E-2</v>
      </c>
      <c r="W557">
        <v>-1.187737E-2</v>
      </c>
      <c r="X557">
        <v>0.9988148</v>
      </c>
      <c r="Y557">
        <v>4.074295E-2</v>
      </c>
      <c r="Z557">
        <v>-1.542669E-3</v>
      </c>
      <c r="AA557">
        <v>0.99916849999999902</v>
      </c>
      <c r="AB557">
        <v>33</v>
      </c>
      <c r="AC557">
        <v>0.54829999999998302</v>
      </c>
      <c r="AD557">
        <v>-7.4687100000000006E-2</v>
      </c>
      <c r="AE557">
        <v>-3.7399999999990899E-2</v>
      </c>
      <c r="AF557">
        <v>3.5443009409341003E-2</v>
      </c>
      <c r="AG557">
        <v>-7.4687100000000006E-2</v>
      </c>
      <c r="AH557">
        <v>0.53844288866913204</v>
      </c>
      <c r="AI557">
        <v>97.880235292641203</v>
      </c>
      <c r="AJ557">
        <v>86.233937740544803</v>
      </c>
      <c r="AK557">
        <v>0.54475234206083001</v>
      </c>
    </row>
    <row r="558" spans="1:37" x14ac:dyDescent="0.2">
      <c r="A558" t="str">
        <f>"20200111160108362"</f>
        <v>20200111160108362</v>
      </c>
      <c r="B558" t="str">
        <f>"1578729668351139"</f>
        <v>1578729668351139</v>
      </c>
      <c r="C558" t="s">
        <v>37</v>
      </c>
      <c r="D558">
        <v>4.5026659999999996</v>
      </c>
      <c r="E558">
        <v>0.53466919999999996</v>
      </c>
      <c r="F558" t="s">
        <v>42</v>
      </c>
      <c r="G558">
        <v>-291.04259999999999</v>
      </c>
      <c r="H558">
        <v>0.98187349999999995</v>
      </c>
      <c r="I558">
        <v>367.74549999999999</v>
      </c>
      <c r="J558">
        <v>-291.5641</v>
      </c>
      <c r="K558">
        <v>1.054216</v>
      </c>
      <c r="L558">
        <v>367.78219999999999</v>
      </c>
      <c r="M558">
        <v>0.9999382</v>
      </c>
      <c r="N558">
        <v>0</v>
      </c>
      <c r="O558">
        <v>-1.9928529999999902E-3</v>
      </c>
      <c r="P558">
        <v>0.99874030000000003</v>
      </c>
      <c r="Q558">
        <v>-2.2592330000000001E-2</v>
      </c>
      <c r="R558">
        <v>4.4805730000000002E-2</v>
      </c>
      <c r="S558">
        <v>3.0038450000000001</v>
      </c>
      <c r="T558">
        <v>-0.25853569999999998</v>
      </c>
      <c r="U558">
        <v>-0.1319275</v>
      </c>
      <c r="V558">
        <v>-4.678682E-2</v>
      </c>
      <c r="W558">
        <v>-1.170678E-2</v>
      </c>
      <c r="X558">
        <v>0.99883630000000001</v>
      </c>
      <c r="Y558">
        <v>4.1739449999999997E-2</v>
      </c>
      <c r="Z558">
        <v>-1.620916E-3</v>
      </c>
      <c r="AA558">
        <v>0.99912719999999899</v>
      </c>
      <c r="AB558">
        <v>33</v>
      </c>
      <c r="AC558">
        <v>0.52150000000000296</v>
      </c>
      <c r="AD558">
        <v>-7.2342499999999907E-2</v>
      </c>
      <c r="AE558">
        <v>-3.6699999999996097E-2</v>
      </c>
      <c r="AF558">
        <v>3.4990577940718699E-2</v>
      </c>
      <c r="AG558">
        <v>-7.2342499999999907E-2</v>
      </c>
      <c r="AH558">
        <v>0.51177247380166302</v>
      </c>
      <c r="AI558">
        <v>98.027343076935395</v>
      </c>
      <c r="AJ558">
        <v>86.088696936672406</v>
      </c>
      <c r="AK558">
        <v>0.51804328273991695</v>
      </c>
    </row>
    <row r="559" spans="1:37" x14ac:dyDescent="0.2">
      <c r="A559" t="str">
        <f>"20200111160108386"</f>
        <v>20200111160108386</v>
      </c>
      <c r="B559" t="str">
        <f>"1578729668381397"</f>
        <v>1578729668381397</v>
      </c>
      <c r="C559" t="s">
        <v>37</v>
      </c>
      <c r="D559">
        <v>4.5211379999999997</v>
      </c>
      <c r="E559">
        <v>0.53495009999999998</v>
      </c>
      <c r="F559" t="s">
        <v>42</v>
      </c>
      <c r="G559">
        <v>-290.74950000000001</v>
      </c>
      <c r="H559">
        <v>0.98469980000000001</v>
      </c>
      <c r="I559">
        <v>367.74579999999997</v>
      </c>
      <c r="J559">
        <v>-291.2253</v>
      </c>
      <c r="K559">
        <v>1.054214</v>
      </c>
      <c r="L559">
        <v>367.78199999999998</v>
      </c>
      <c r="M559">
        <v>0.99993899999999902</v>
      </c>
      <c r="N559">
        <v>0</v>
      </c>
      <c r="O559">
        <v>-1.587338E-3</v>
      </c>
      <c r="P559">
        <v>0.9987511</v>
      </c>
      <c r="Q559">
        <v>-2.2795300000000001E-2</v>
      </c>
      <c r="R559">
        <v>4.4463799999999998E-2</v>
      </c>
      <c r="S559">
        <v>3.0039669999999998</v>
      </c>
      <c r="T559">
        <v>-0.25668960000000002</v>
      </c>
      <c r="U559">
        <v>-0.13333129999999899</v>
      </c>
      <c r="V559">
        <v>-4.603989E-2</v>
      </c>
      <c r="W559">
        <v>-1.1903230000000001E-2</v>
      </c>
      <c r="X559">
        <v>0.99886869999999905</v>
      </c>
      <c r="Y559">
        <v>4.26063E-2</v>
      </c>
      <c r="Z559">
        <v>-1.6808260000000001E-3</v>
      </c>
      <c r="AA559">
        <v>0.99909059999999905</v>
      </c>
      <c r="AB559">
        <v>33</v>
      </c>
      <c r="AC559">
        <v>0.47579999999999201</v>
      </c>
      <c r="AD559">
        <v>-6.9514199999999901E-2</v>
      </c>
      <c r="AE559">
        <v>-3.6200000000007997E-2</v>
      </c>
      <c r="AF559">
        <v>3.4708070368217603E-2</v>
      </c>
      <c r="AG559">
        <v>-6.9514199999999901E-2</v>
      </c>
      <c r="AH559">
        <v>0.46596797494151099</v>
      </c>
      <c r="AI559">
        <v>98.4618428223514</v>
      </c>
      <c r="AJ559">
        <v>85.740135563885801</v>
      </c>
      <c r="AK559">
        <v>0.47240134189205901</v>
      </c>
    </row>
    <row r="560" spans="1:37" x14ac:dyDescent="0.2">
      <c r="A560" t="str">
        <f>"20200111160108409"</f>
        <v>20200111160108409</v>
      </c>
      <c r="B560" t="str">
        <f>"1578729668400916"</f>
        <v>1578729668400916</v>
      </c>
      <c r="C560" t="s">
        <v>37</v>
      </c>
      <c r="D560">
        <v>4.4302619999999999</v>
      </c>
      <c r="E560">
        <v>0.5351186</v>
      </c>
      <c r="F560" t="s">
        <v>42</v>
      </c>
      <c r="G560">
        <v>-290.4554</v>
      </c>
      <c r="H560">
        <v>0.98901099999999997</v>
      </c>
      <c r="I560">
        <v>367.74669999999998</v>
      </c>
      <c r="J560">
        <v>-290.88560000000001</v>
      </c>
      <c r="K560">
        <v>1.054206</v>
      </c>
      <c r="L560">
        <v>367.78179999999998</v>
      </c>
      <c r="M560">
        <v>0.99993960000000004</v>
      </c>
      <c r="N560">
        <v>0</v>
      </c>
      <c r="O560">
        <v>-1.180632E-3</v>
      </c>
      <c r="P560">
        <v>0.99875800000000003</v>
      </c>
      <c r="Q560">
        <v>-2.2551769999999999E-2</v>
      </c>
      <c r="R560">
        <v>4.4433439999999998E-2</v>
      </c>
      <c r="S560">
        <v>3.0039669999999998</v>
      </c>
      <c r="T560">
        <v>-0.2546426</v>
      </c>
      <c r="U560">
        <v>-0.1364136</v>
      </c>
      <c r="V560">
        <v>-4.5603730000000002E-2</v>
      </c>
      <c r="W560">
        <v>-1.16534999999999E-2</v>
      </c>
      <c r="X560">
        <v>0.99889169999999905</v>
      </c>
      <c r="Y560">
        <v>4.4031500000000001E-2</v>
      </c>
      <c r="Z560">
        <v>-1.762097E-3</v>
      </c>
      <c r="AA560">
        <v>0.99902860000000004</v>
      </c>
      <c r="AB560">
        <v>33</v>
      </c>
      <c r="AC560">
        <v>0.43020000000001302</v>
      </c>
      <c r="AD560">
        <v>-6.5194999999999795E-2</v>
      </c>
      <c r="AE560">
        <v>-3.5099999999999902E-2</v>
      </c>
      <c r="AF560">
        <v>3.38204489893515E-2</v>
      </c>
      <c r="AG560">
        <v>-6.5194999999999795E-2</v>
      </c>
      <c r="AH560">
        <v>0.42064445315567001</v>
      </c>
      <c r="AI560">
        <v>98.782186350921293</v>
      </c>
      <c r="AJ560">
        <v>85.403220966471494</v>
      </c>
      <c r="AK560">
        <v>0.42700815772707901</v>
      </c>
    </row>
    <row r="561" spans="1:37" x14ac:dyDescent="0.2">
      <c r="A561" t="str">
        <f>"20200111160108431"</f>
        <v>20200111160108431</v>
      </c>
      <c r="B561" t="str">
        <f>"1578729668421411"</f>
        <v>1578729668421411</v>
      </c>
      <c r="C561" t="s">
        <v>37</v>
      </c>
      <c r="D561">
        <v>4.4559439999999997</v>
      </c>
      <c r="E561">
        <v>0.53531070000000003</v>
      </c>
      <c r="F561" t="s">
        <v>42</v>
      </c>
      <c r="G561">
        <v>-290.161</v>
      </c>
      <c r="H561">
        <v>0.99336279999999999</v>
      </c>
      <c r="I561">
        <v>367.7484</v>
      </c>
      <c r="J561">
        <v>-290.57569999999998</v>
      </c>
      <c r="K561">
        <v>1.0542009999999999</v>
      </c>
      <c r="L561">
        <v>367.78179999999998</v>
      </c>
      <c r="M561">
        <v>0.99993969999999899</v>
      </c>
      <c r="N561">
        <v>0</v>
      </c>
      <c r="O561">
        <v>-8.1015759999999895E-4</v>
      </c>
      <c r="P561">
        <v>0.99872929999999904</v>
      </c>
      <c r="Q561">
        <v>-2.300634E-2</v>
      </c>
      <c r="R561">
        <v>4.4837540000000002E-2</v>
      </c>
      <c r="S561">
        <v>3.0041500000000001</v>
      </c>
      <c r="T561">
        <v>-0.25249250000000001</v>
      </c>
      <c r="U561">
        <v>-0.13778689999999999</v>
      </c>
      <c r="V561">
        <v>-4.5636830000000003E-2</v>
      </c>
      <c r="W561">
        <v>-1.2103259999999999E-2</v>
      </c>
      <c r="X561">
        <v>0.99888480000000002</v>
      </c>
      <c r="Y561">
        <v>4.4853009999999999E-2</v>
      </c>
      <c r="Z561">
        <v>-1.8126609999999999E-3</v>
      </c>
      <c r="AA561">
        <v>0.99899199999999999</v>
      </c>
      <c r="AB561">
        <v>33</v>
      </c>
      <c r="AC561">
        <v>0.41469999999998203</v>
      </c>
      <c r="AD561">
        <v>-6.0838199999999801E-2</v>
      </c>
      <c r="AE561">
        <v>-3.3399999999971897E-2</v>
      </c>
      <c r="AF561">
        <v>3.2371778114179801E-2</v>
      </c>
      <c r="AG561">
        <v>-6.0838199999999801E-2</v>
      </c>
      <c r="AH561">
        <v>0.406044319969595</v>
      </c>
      <c r="AI561">
        <v>98.494760768582196</v>
      </c>
      <c r="AJ561">
        <v>85.441749986128997</v>
      </c>
      <c r="AK561">
        <v>0.41185095408057998</v>
      </c>
    </row>
    <row r="562" spans="1:37" x14ac:dyDescent="0.2">
      <c r="A562" t="str">
        <f>"20200111160108452"</f>
        <v>20200111160108452</v>
      </c>
      <c r="B562" t="str">
        <f>"1578729668440932"</f>
        <v>1578729668440932</v>
      </c>
      <c r="C562" t="s">
        <v>37</v>
      </c>
      <c r="D562">
        <v>4.4386769999999904</v>
      </c>
      <c r="E562">
        <v>0.53537579999999996</v>
      </c>
      <c r="F562" t="s">
        <v>42</v>
      </c>
      <c r="G562">
        <v>-289.58749999999998</v>
      </c>
      <c r="H562">
        <v>0.97122299999999995</v>
      </c>
      <c r="I562">
        <v>367.73610000000002</v>
      </c>
      <c r="J562">
        <v>-290.25369999999998</v>
      </c>
      <c r="K562">
        <v>1.054206</v>
      </c>
      <c r="L562">
        <v>367.78199999999998</v>
      </c>
      <c r="M562">
        <v>0.99993989999999999</v>
      </c>
      <c r="N562">
        <v>0</v>
      </c>
      <c r="O562">
        <v>-4.2466960000000001E-4</v>
      </c>
      <c r="P562">
        <v>0.99874940000000001</v>
      </c>
      <c r="Q562">
        <v>-2.170279E-2</v>
      </c>
      <c r="R562">
        <v>4.50423E-2</v>
      </c>
      <c r="S562">
        <v>3.0042419999999899</v>
      </c>
      <c r="T562">
        <v>-0.25248120000000002</v>
      </c>
      <c r="U562">
        <v>-0.13818359999999999</v>
      </c>
      <c r="V562">
        <v>-4.5457940000000002E-2</v>
      </c>
      <c r="W562">
        <v>-1.079427E-2</v>
      </c>
      <c r="X562">
        <v>0.99890789999999996</v>
      </c>
      <c r="Y562">
        <v>4.5365240000000001E-2</v>
      </c>
      <c r="Z562">
        <v>-1.8663179999999901E-3</v>
      </c>
      <c r="AA562">
        <v>0.99896870000000004</v>
      </c>
      <c r="AB562">
        <v>33</v>
      </c>
      <c r="AC562">
        <v>0.66620000000000301</v>
      </c>
      <c r="AD562">
        <v>-8.2983000000000001E-2</v>
      </c>
      <c r="AE562">
        <v>-4.58999999999605E-2</v>
      </c>
      <c r="AF562">
        <v>4.4923343736468897E-2</v>
      </c>
      <c r="AG562">
        <v>-8.2983000000000001E-2</v>
      </c>
      <c r="AH562">
        <v>0.65608791954153001</v>
      </c>
      <c r="AI562">
        <v>97.191917740339207</v>
      </c>
      <c r="AJ562">
        <v>86.082984121241196</v>
      </c>
      <c r="AK562">
        <v>0.66283907795919705</v>
      </c>
    </row>
    <row r="563" spans="1:37" x14ac:dyDescent="0.2">
      <c r="A563" t="str">
        <f>"20200111160108476"</f>
        <v>20200111160108476</v>
      </c>
      <c r="B563" t="str">
        <f>"1578729668471188"</f>
        <v>1578729668471188</v>
      </c>
      <c r="C563" t="s">
        <v>37</v>
      </c>
      <c r="D563">
        <v>4.3333719999999998</v>
      </c>
      <c r="E563">
        <v>0.57291919999999996</v>
      </c>
      <c r="F563" t="s">
        <v>42</v>
      </c>
      <c r="G563">
        <v>-289.29309999999998</v>
      </c>
      <c r="H563">
        <v>0.97494349999999996</v>
      </c>
      <c r="I563">
        <v>367.73759999999999</v>
      </c>
      <c r="J563">
        <v>-289.91629999999998</v>
      </c>
      <c r="K563">
        <v>1.0541969999999901</v>
      </c>
      <c r="L563">
        <v>367.78219999999999</v>
      </c>
      <c r="M563">
        <v>0.99993989999999999</v>
      </c>
      <c r="N563">
        <v>0</v>
      </c>
      <c r="O563" s="1">
        <v>-2.1236879999999999E-5</v>
      </c>
      <c r="P563">
        <v>0.99875609999999904</v>
      </c>
      <c r="Q563">
        <v>-2.1198829999999998E-2</v>
      </c>
      <c r="R563">
        <v>4.5129790000000003E-2</v>
      </c>
      <c r="S563">
        <v>3.004578</v>
      </c>
      <c r="T563">
        <v>-0.248091899999999</v>
      </c>
      <c r="U563">
        <v>-0.13803099999999999</v>
      </c>
      <c r="V563">
        <v>-4.5142389999999998E-2</v>
      </c>
      <c r="W563">
        <v>-1.028489E-2</v>
      </c>
      <c r="X563">
        <v>0.99892760000000003</v>
      </c>
      <c r="Y563">
        <v>4.5715440000000003E-2</v>
      </c>
      <c r="Z563">
        <v>-1.881448E-3</v>
      </c>
      <c r="AA563">
        <v>0.99895270000000003</v>
      </c>
      <c r="AB563">
        <v>33</v>
      </c>
      <c r="AC563">
        <v>0.62319999999999698</v>
      </c>
      <c r="AD563">
        <v>-7.9253499999999796E-2</v>
      </c>
      <c r="AE563">
        <v>-4.4600000000002603E-2</v>
      </c>
      <c r="AF563">
        <v>4.3880711825178803E-2</v>
      </c>
      <c r="AG563">
        <v>-7.9253499999999796E-2</v>
      </c>
      <c r="AH563">
        <v>0.613332264718357</v>
      </c>
      <c r="AI563">
        <v>97.344274080926695</v>
      </c>
      <c r="AJ563">
        <v>85.907759753013906</v>
      </c>
      <c r="AK563">
        <v>0.619986371686575</v>
      </c>
    </row>
    <row r="564" spans="1:37" x14ac:dyDescent="0.2">
      <c r="A564" t="str">
        <f>"20200111160108497"</f>
        <v>20200111160108497</v>
      </c>
      <c r="B564" t="str">
        <f>"1578729668491683"</f>
        <v>1578729668491683</v>
      </c>
      <c r="C564" t="s">
        <v>37</v>
      </c>
      <c r="D564">
        <v>4.339906</v>
      </c>
      <c r="E564">
        <v>0.58194919999999895</v>
      </c>
      <c r="F564" t="s">
        <v>38</v>
      </c>
      <c r="G564">
        <v>-271.79820000000001</v>
      </c>
      <c r="H564" s="1">
        <v>-4.2952229999999902E-6</v>
      </c>
      <c r="I564">
        <v>365.13819999999998</v>
      </c>
      <c r="J564">
        <v>-289.59399999999999</v>
      </c>
      <c r="K564">
        <v>1.054198</v>
      </c>
      <c r="L564">
        <v>367.7826</v>
      </c>
      <c r="M564">
        <v>0.99993969999999899</v>
      </c>
      <c r="N564">
        <v>0</v>
      </c>
      <c r="O564">
        <v>3.640796E-4</v>
      </c>
      <c r="P564">
        <v>0.99873230000000002</v>
      </c>
      <c r="Q564">
        <v>-2.20442E-2</v>
      </c>
      <c r="R564">
        <v>4.5252960000000002E-2</v>
      </c>
      <c r="S564">
        <v>3.0199579999999999</v>
      </c>
      <c r="T564">
        <v>-0.17571529999999999</v>
      </c>
      <c r="U564">
        <v>-0.44070429999999999</v>
      </c>
      <c r="V564">
        <v>-4.488048E-2</v>
      </c>
      <c r="W564">
        <v>-1.1125609999999999E-2</v>
      </c>
      <c r="X564">
        <v>0.9989304</v>
      </c>
      <c r="Y564">
        <v>0.14452139999999999</v>
      </c>
      <c r="Z564">
        <v>-4.1998959999999998E-3</v>
      </c>
      <c r="AA564">
        <v>0.98949279999999995</v>
      </c>
      <c r="AB564">
        <v>33</v>
      </c>
      <c r="AC564">
        <v>17.7957999999999</v>
      </c>
      <c r="AD564">
        <v>-1.0542022952229999</v>
      </c>
      <c r="AE564">
        <v>-2.6444000000000099</v>
      </c>
      <c r="AF564">
        <v>2.6418088503827302</v>
      </c>
      <c r="AG564">
        <v>-1.0542022952229999</v>
      </c>
      <c r="AH564">
        <v>17.733947811826901</v>
      </c>
      <c r="AI564">
        <v>93.364924032615207</v>
      </c>
      <c r="AJ564">
        <v>81.527013989296705</v>
      </c>
      <c r="AK564">
        <v>17.960606935006801</v>
      </c>
    </row>
    <row r="565" spans="1:37" x14ac:dyDescent="0.2">
      <c r="A565" t="str">
        <f>"20200111160108519"</f>
        <v>20200111160108519</v>
      </c>
      <c r="B565" t="str">
        <f>"1578729668511203"</f>
        <v>1578729668511203</v>
      </c>
      <c r="C565" t="s">
        <v>37</v>
      </c>
      <c r="D565">
        <v>4.4030180000000003</v>
      </c>
      <c r="E565">
        <v>0.58646200000000004</v>
      </c>
      <c r="F565" t="s">
        <v>38</v>
      </c>
      <c r="G565">
        <v>-270.2269</v>
      </c>
      <c r="H565" s="1">
        <v>-5.0829729999999998E-6</v>
      </c>
      <c r="I565">
        <v>364.49720000000002</v>
      </c>
      <c r="J565">
        <v>-289.27370000000002</v>
      </c>
      <c r="K565">
        <v>1.0541989999999899</v>
      </c>
      <c r="L565">
        <v>367.78309999999999</v>
      </c>
      <c r="M565">
        <v>0.99993960000000004</v>
      </c>
      <c r="N565">
        <v>0</v>
      </c>
      <c r="O565">
        <v>7.4712859999999999E-4</v>
      </c>
      <c r="P565">
        <v>0.99876699999999996</v>
      </c>
      <c r="Q565">
        <v>-2.2198320000000001E-2</v>
      </c>
      <c r="R565">
        <v>4.4405519999999997E-2</v>
      </c>
      <c r="S565">
        <v>3.0234070000000002</v>
      </c>
      <c r="T565">
        <v>-0.16457189999999999</v>
      </c>
      <c r="U565">
        <v>-0.51287839999999996</v>
      </c>
      <c r="V565">
        <v>-4.3650019999999998E-2</v>
      </c>
      <c r="W565">
        <v>-1.127396E-2</v>
      </c>
      <c r="X565">
        <v>0.99898330000000002</v>
      </c>
      <c r="Y565">
        <v>0.1677408</v>
      </c>
      <c r="Z565">
        <v>-4.5699779999999997E-3</v>
      </c>
      <c r="AA565">
        <v>0.98582049999999999</v>
      </c>
      <c r="AB565">
        <v>33</v>
      </c>
      <c r="AC565">
        <v>19.046800000000001</v>
      </c>
      <c r="AD565">
        <v>-1.0542040829729999</v>
      </c>
      <c r="AE565">
        <v>-3.2858999999999599</v>
      </c>
      <c r="AF565">
        <v>3.2903419982853301</v>
      </c>
      <c r="AG565">
        <v>-1.0542040829729999</v>
      </c>
      <c r="AH565">
        <v>18.9878530970011</v>
      </c>
      <c r="AI565">
        <v>93.131224656379999</v>
      </c>
      <c r="AJ565">
        <v>80.169031201667295</v>
      </c>
      <c r="AK565">
        <v>19.2996440886233</v>
      </c>
    </row>
    <row r="566" spans="1:37" x14ac:dyDescent="0.2">
      <c r="A566" t="str">
        <f>"20200111160108541"</f>
        <v>20200111160108541</v>
      </c>
      <c r="B566" t="str">
        <f>"1578729668531700"</f>
        <v>1578729668531700</v>
      </c>
      <c r="C566" t="s">
        <v>37</v>
      </c>
      <c r="D566">
        <v>4.2883100000000001</v>
      </c>
      <c r="E566">
        <v>0.58899309999999905</v>
      </c>
      <c r="F566" t="s">
        <v>38</v>
      </c>
      <c r="G566">
        <v>-269.19779999999997</v>
      </c>
      <c r="H566" s="1">
        <v>-1.720987E-6</v>
      </c>
      <c r="I566">
        <v>364.12180000000001</v>
      </c>
      <c r="J566">
        <v>-288.95089999999999</v>
      </c>
      <c r="K566">
        <v>1.0542039999999999</v>
      </c>
      <c r="L566">
        <v>367.78370000000001</v>
      </c>
      <c r="M566">
        <v>0.99993909999999997</v>
      </c>
      <c r="N566">
        <v>0</v>
      </c>
      <c r="O566">
        <v>1.1331480000000001E-3</v>
      </c>
      <c r="P566">
        <v>0.99880899999999995</v>
      </c>
      <c r="Q566">
        <v>-2.246486E-2</v>
      </c>
      <c r="R566">
        <v>4.3312820000000002E-2</v>
      </c>
      <c r="S566">
        <v>3.024689</v>
      </c>
      <c r="T566">
        <v>-0.158828</v>
      </c>
      <c r="U566">
        <v>-0.55160520000000002</v>
      </c>
      <c r="V566">
        <v>-4.2171720000000003E-2</v>
      </c>
      <c r="W566">
        <v>-1.153203E-2</v>
      </c>
      <c r="X566">
        <v>0.99904380000000004</v>
      </c>
      <c r="Y566">
        <v>0.18028139999999901</v>
      </c>
      <c r="Z566">
        <v>-4.7504499999999998E-3</v>
      </c>
      <c r="AA566">
        <v>0.98360360000000002</v>
      </c>
      <c r="AB566">
        <v>33</v>
      </c>
      <c r="AC566">
        <v>19.7531</v>
      </c>
      <c r="AD566">
        <v>-1.0542057209869999</v>
      </c>
      <c r="AE566">
        <v>-3.6619000000000002</v>
      </c>
      <c r="AF566">
        <v>3.6741648939487401</v>
      </c>
      <c r="AG566">
        <v>-1.0542057209869999</v>
      </c>
      <c r="AH566">
        <v>19.6947056665676</v>
      </c>
      <c r="AI566">
        <v>93.012099352050299</v>
      </c>
      <c r="AJ566">
        <v>79.432605669508902</v>
      </c>
      <c r="AK566">
        <v>20.062209964578098</v>
      </c>
    </row>
    <row r="567" spans="1:37" x14ac:dyDescent="0.2">
      <c r="A567" t="str">
        <f>"20200111160108564"</f>
        <v>20200111160108564</v>
      </c>
      <c r="B567" t="str">
        <f>"1578729668560979"</f>
        <v>1578729668560979</v>
      </c>
      <c r="C567" t="s">
        <v>37</v>
      </c>
      <c r="D567">
        <v>4.305796</v>
      </c>
      <c r="E567">
        <v>0.59108149999999904</v>
      </c>
      <c r="F567" t="s">
        <v>38</v>
      </c>
      <c r="G567">
        <v>-268.42989999999998</v>
      </c>
      <c r="H567" s="1">
        <v>-2.0465950000000001E-6</v>
      </c>
      <c r="I567">
        <v>363.8802</v>
      </c>
      <c r="J567">
        <v>-288.61610000000002</v>
      </c>
      <c r="K567">
        <v>1.0542069999999999</v>
      </c>
      <c r="L567">
        <v>367.78449999999998</v>
      </c>
      <c r="M567">
        <v>0.99993849999999995</v>
      </c>
      <c r="N567">
        <v>0</v>
      </c>
      <c r="O567">
        <v>1.5330319999999999E-3</v>
      </c>
      <c r="P567">
        <v>0.9988264</v>
      </c>
      <c r="Q567">
        <v>-2.1925170000000001E-2</v>
      </c>
      <c r="R567">
        <v>4.3192010000000003E-2</v>
      </c>
      <c r="S567">
        <v>3.0250240000000002</v>
      </c>
      <c r="T567">
        <v>-0.1554016</v>
      </c>
      <c r="U567">
        <v>-0.5754089</v>
      </c>
      <c r="V567">
        <v>-4.1651769999999998E-2</v>
      </c>
      <c r="W567">
        <v>-1.0980230000000001E-2</v>
      </c>
      <c r="X567">
        <v>0.99907179999999995</v>
      </c>
      <c r="Y567">
        <v>0.1881302</v>
      </c>
      <c r="Z567">
        <v>-4.8643159999999996E-3</v>
      </c>
      <c r="AA567">
        <v>0.98213209999999995</v>
      </c>
      <c r="AB567">
        <v>33</v>
      </c>
      <c r="AC567">
        <v>20.186199999999999</v>
      </c>
      <c r="AD567">
        <v>-1.05420904659499</v>
      </c>
      <c r="AE567">
        <v>-3.9042999999999699</v>
      </c>
      <c r="AF567">
        <v>3.9249246542824801</v>
      </c>
      <c r="AG567">
        <v>-1.05420904659499</v>
      </c>
      <c r="AH567">
        <v>20.12727544106</v>
      </c>
      <c r="AI567">
        <v>92.942916153670296</v>
      </c>
      <c r="AJ567">
        <v>78.965500458847103</v>
      </c>
      <c r="AK567">
        <v>20.533475276630899</v>
      </c>
    </row>
    <row r="568" spans="1:37" x14ac:dyDescent="0.2">
      <c r="A568" t="str">
        <f>"20200111160108587"</f>
        <v>20200111160108587</v>
      </c>
      <c r="B568" t="str">
        <f>"1578729668581477"</f>
        <v>1578729668581477</v>
      </c>
      <c r="C568" t="s">
        <v>37</v>
      </c>
      <c r="D568">
        <v>4.6391710000000002</v>
      </c>
      <c r="E568">
        <v>0.59273540000000002</v>
      </c>
      <c r="F568" t="s">
        <v>38</v>
      </c>
      <c r="G568">
        <v>-267.50310000000002</v>
      </c>
      <c r="H568" s="1">
        <v>-2.423234E-6</v>
      </c>
      <c r="I568">
        <v>363.65</v>
      </c>
      <c r="J568">
        <v>-288.27569999999997</v>
      </c>
      <c r="K568">
        <v>1.0542119999999999</v>
      </c>
      <c r="L568">
        <v>367.78539999999998</v>
      </c>
      <c r="M568">
        <v>0.99993759999999998</v>
      </c>
      <c r="N568">
        <v>0</v>
      </c>
      <c r="O568">
        <v>1.9400589999999901E-3</v>
      </c>
      <c r="P568">
        <v>0.99881969999999998</v>
      </c>
      <c r="Q568">
        <v>-2.0797909999999999E-2</v>
      </c>
      <c r="R568">
        <v>4.3893139999999997E-2</v>
      </c>
      <c r="S568">
        <v>3.0258180000000001</v>
      </c>
      <c r="T568">
        <v>-0.151084</v>
      </c>
      <c r="U568">
        <v>-0.59252930000000004</v>
      </c>
      <c r="V568">
        <v>-4.194763E-2</v>
      </c>
      <c r="W568">
        <v>-9.8397620000000002E-3</v>
      </c>
      <c r="X568">
        <v>0.99907139999999905</v>
      </c>
      <c r="Y568">
        <v>0.19384319999999999</v>
      </c>
      <c r="Z568">
        <v>-4.88693799999999E-3</v>
      </c>
      <c r="AA568">
        <v>0.98102029999999996</v>
      </c>
      <c r="AB568">
        <v>33</v>
      </c>
      <c r="AC568">
        <v>20.772599999999901</v>
      </c>
      <c r="AD568">
        <v>-1.0542144232340001</v>
      </c>
      <c r="AE568">
        <v>-4.1353999999999997</v>
      </c>
      <c r="AF568">
        <v>4.1653754208217197</v>
      </c>
      <c r="AG568">
        <v>-1.0542144232340001</v>
      </c>
      <c r="AH568">
        <v>20.713222543478299</v>
      </c>
      <c r="AI568">
        <v>92.856507232617602</v>
      </c>
      <c r="AJ568">
        <v>78.6296216494475</v>
      </c>
      <c r="AK568">
        <v>21.154179458967398</v>
      </c>
    </row>
    <row r="569" spans="1:37" x14ac:dyDescent="0.2">
      <c r="A569" t="str">
        <f>"20200111160108609"</f>
        <v>20200111160108609</v>
      </c>
      <c r="B569" t="str">
        <f>"1578729668600995"</f>
        <v>1578729668600995</v>
      </c>
      <c r="C569" t="s">
        <v>37</v>
      </c>
      <c r="D569">
        <v>4.3355769999999998</v>
      </c>
      <c r="E569">
        <v>0.59334619999999905</v>
      </c>
      <c r="F569" t="s">
        <v>38</v>
      </c>
      <c r="G569">
        <v>-266.29559999999998</v>
      </c>
      <c r="H569" s="1">
        <v>-2.900392E-6</v>
      </c>
      <c r="I569">
        <v>363.40109999999999</v>
      </c>
      <c r="J569">
        <v>-287.95030000000003</v>
      </c>
      <c r="K569">
        <v>1.0542119999999999</v>
      </c>
      <c r="L569">
        <v>367.78640000000001</v>
      </c>
      <c r="M569">
        <v>0.99993679999999996</v>
      </c>
      <c r="N569">
        <v>0</v>
      </c>
      <c r="O569">
        <v>2.3293860000000001E-3</v>
      </c>
      <c r="P569">
        <v>0.99880709999999995</v>
      </c>
      <c r="Q569">
        <v>-1.9895179999999998E-2</v>
      </c>
      <c r="R569">
        <v>4.4595919999999997E-2</v>
      </c>
      <c r="S569">
        <v>3.0270079999999999</v>
      </c>
      <c r="T569">
        <v>-0.14518200000000001</v>
      </c>
      <c r="U569">
        <v>-0.6037903</v>
      </c>
      <c r="V569">
        <v>-4.2261939999999998E-2</v>
      </c>
      <c r="W569">
        <v>-8.9247779999999995E-3</v>
      </c>
      <c r="X569">
        <v>0.99906669999999997</v>
      </c>
      <c r="Y569">
        <v>0.19767699999999999</v>
      </c>
      <c r="Z569">
        <v>-4.8022409999999996E-3</v>
      </c>
      <c r="AA569">
        <v>0.9802554</v>
      </c>
      <c r="AB569">
        <v>33</v>
      </c>
      <c r="AC569">
        <v>21.654699999999998</v>
      </c>
      <c r="AD569">
        <v>-1.0542149003919901</v>
      </c>
      <c r="AE569">
        <v>-4.3853000000000204</v>
      </c>
      <c r="AF569">
        <v>4.4256575735771797</v>
      </c>
      <c r="AG569">
        <v>-1.0542149003919901</v>
      </c>
      <c r="AH569">
        <v>21.595260423836599</v>
      </c>
      <c r="AI569">
        <v>92.737971573764796</v>
      </c>
      <c r="AJ569">
        <v>78.418364131613302</v>
      </c>
      <c r="AK569">
        <v>22.069279253933299</v>
      </c>
    </row>
    <row r="570" spans="1:37" x14ac:dyDescent="0.2">
      <c r="A570" t="str">
        <f>"20200111160108631"</f>
        <v>20200111160108631</v>
      </c>
      <c r="B570" t="str">
        <f>"1578729668621492"</f>
        <v>1578729668621492</v>
      </c>
      <c r="C570" t="s">
        <v>37</v>
      </c>
      <c r="D570">
        <v>4.3414549999999998</v>
      </c>
      <c r="E570">
        <v>0.59394780000000003</v>
      </c>
      <c r="F570" t="s">
        <v>38</v>
      </c>
      <c r="G570">
        <v>-265.5761</v>
      </c>
      <c r="H570" s="1">
        <v>-3.1709039999999899E-6</v>
      </c>
      <c r="I570">
        <v>363.30459999999999</v>
      </c>
      <c r="J570">
        <v>-287.63010000000003</v>
      </c>
      <c r="K570">
        <v>1.054211</v>
      </c>
      <c r="L570">
        <v>367.7876</v>
      </c>
      <c r="M570">
        <v>0.99993559999999904</v>
      </c>
      <c r="N570">
        <v>0</v>
      </c>
      <c r="O570">
        <v>2.7179119999999998E-3</v>
      </c>
      <c r="P570">
        <v>0.99879709999999999</v>
      </c>
      <c r="Q570">
        <v>-2.051147E-2</v>
      </c>
      <c r="R570">
        <v>4.4542949999999998E-2</v>
      </c>
      <c r="S570">
        <v>3.0278320000000001</v>
      </c>
      <c r="T570">
        <v>-0.1426637</v>
      </c>
      <c r="U570">
        <v>-0.60650630000000005</v>
      </c>
      <c r="V570">
        <v>-4.182056E-2</v>
      </c>
      <c r="W570">
        <v>-9.5291839999999996E-3</v>
      </c>
      <c r="X570">
        <v>0.99907969999999902</v>
      </c>
      <c r="Y570">
        <v>0.19885820000000001</v>
      </c>
      <c r="Z570">
        <v>-4.7630229999999999E-3</v>
      </c>
      <c r="AA570">
        <v>0.98001669999999996</v>
      </c>
      <c r="AB570">
        <v>33</v>
      </c>
      <c r="AC570">
        <v>22.053999999999998</v>
      </c>
      <c r="AD570">
        <v>-1.054214170904</v>
      </c>
      <c r="AE570">
        <v>-4.4829999999999997</v>
      </c>
      <c r="AF570">
        <v>4.5329811289618496</v>
      </c>
      <c r="AG570">
        <v>-1.054214170904</v>
      </c>
      <c r="AH570">
        <v>21.993472821899999</v>
      </c>
      <c r="AI570">
        <v>92.687850704977606</v>
      </c>
      <c r="AJ570">
        <v>78.354087525639997</v>
      </c>
      <c r="AK570">
        <v>22.480483362270299</v>
      </c>
    </row>
    <row r="571" spans="1:37" x14ac:dyDescent="0.2">
      <c r="A571" t="str">
        <f>"20200111160108644"</f>
        <v>20200111160108644</v>
      </c>
      <c r="B571" t="str">
        <f>"1578729668641011"</f>
        <v>1578729668641011</v>
      </c>
      <c r="C571" t="s">
        <v>37</v>
      </c>
      <c r="D571">
        <v>4.3770910000000001</v>
      </c>
      <c r="E571">
        <v>0.59453449999999997</v>
      </c>
      <c r="F571" t="s">
        <v>38</v>
      </c>
      <c r="G571">
        <v>-265.45920000000001</v>
      </c>
      <c r="H571" s="1">
        <v>-3.209026E-6</v>
      </c>
      <c r="I571">
        <v>363.3109</v>
      </c>
      <c r="J571">
        <v>-287.42219999999998</v>
      </c>
      <c r="K571">
        <v>1.054209</v>
      </c>
      <c r="L571">
        <v>367.78840000000002</v>
      </c>
      <c r="M571">
        <v>0.99993469999999995</v>
      </c>
      <c r="N571">
        <v>0</v>
      </c>
      <c r="O571">
        <v>2.973308E-3</v>
      </c>
      <c r="P571">
        <v>0.99878909999999999</v>
      </c>
      <c r="Q571">
        <v>-2.1229169999999999E-2</v>
      </c>
      <c r="R571">
        <v>4.4382829999999998E-2</v>
      </c>
      <c r="S571">
        <v>3.0279240000000001</v>
      </c>
      <c r="T571">
        <v>-0.1439762</v>
      </c>
      <c r="U571">
        <v>-0.61138919999999997</v>
      </c>
      <c r="V571">
        <v>-4.1404370000000003E-2</v>
      </c>
      <c r="W571">
        <v>-1.0239460000000001E-2</v>
      </c>
      <c r="X571">
        <v>0.99908999999999903</v>
      </c>
      <c r="Y571">
        <v>0.200615299999999</v>
      </c>
      <c r="Z571">
        <v>-4.8592510000000002E-3</v>
      </c>
      <c r="AA571">
        <v>0.97965809999999998</v>
      </c>
      <c r="AB571">
        <v>33</v>
      </c>
      <c r="AC571">
        <v>21.962999999999901</v>
      </c>
      <c r="AD571">
        <v>-1.054212209026</v>
      </c>
      <c r="AE571">
        <v>-4.4775000000000196</v>
      </c>
      <c r="AF571">
        <v>4.5327604132932402</v>
      </c>
      <c r="AG571">
        <v>-1.054212209026</v>
      </c>
      <c r="AH571">
        <v>21.901143460708699</v>
      </c>
      <c r="AI571">
        <v>92.698701769802796</v>
      </c>
      <c r="AJ571">
        <v>78.306894506227295</v>
      </c>
      <c r="AK571">
        <v>22.390117579694</v>
      </c>
    </row>
    <row r="572" spans="1:37" x14ac:dyDescent="0.2">
      <c r="A572" t="str">
        <f>"20200111160108665"</f>
        <v>20200111160108665</v>
      </c>
      <c r="B572" t="str">
        <f>"1578729668661508"</f>
        <v>1578729668661508</v>
      </c>
      <c r="C572" t="s">
        <v>37</v>
      </c>
      <c r="D572">
        <v>4.4265140000000001</v>
      </c>
      <c r="E572">
        <v>0.59522679999999994</v>
      </c>
      <c r="F572" t="s">
        <v>38</v>
      </c>
      <c r="G572">
        <v>-265.37700000000001</v>
      </c>
      <c r="H572" s="1">
        <v>-3.2402060000000001E-6</v>
      </c>
      <c r="I572">
        <v>363.29880000000003</v>
      </c>
      <c r="J572">
        <v>-287.13170000000002</v>
      </c>
      <c r="K572">
        <v>1.0542049999999901</v>
      </c>
      <c r="L572">
        <v>367.78960000000001</v>
      </c>
      <c r="M572">
        <v>0.99993349999999903</v>
      </c>
      <c r="N572">
        <v>0</v>
      </c>
      <c r="O572">
        <v>3.3353509999999999E-3</v>
      </c>
      <c r="P572">
        <v>0.99880409999999997</v>
      </c>
      <c r="Q572">
        <v>-2.2304049999999999E-2</v>
      </c>
      <c r="R572">
        <v>4.3510449999999999E-2</v>
      </c>
      <c r="S572">
        <v>3.0279539999999998</v>
      </c>
      <c r="T572">
        <v>-0.14479810000000001</v>
      </c>
      <c r="U572">
        <v>-0.61663819999999903</v>
      </c>
      <c r="V572">
        <v>-4.016952E-2</v>
      </c>
      <c r="W572">
        <v>-1.130373E-2</v>
      </c>
      <c r="X572">
        <v>0.99912889999999999</v>
      </c>
      <c r="Y572">
        <v>0.20259389999999999</v>
      </c>
      <c r="Z572">
        <v>-4.9500129999999996E-3</v>
      </c>
      <c r="AA572">
        <v>0.97925030000000002</v>
      </c>
      <c r="AB572">
        <v>33</v>
      </c>
      <c r="AC572">
        <v>21.7547</v>
      </c>
      <c r="AD572">
        <v>-1.05420824020599</v>
      </c>
      <c r="AE572">
        <v>-4.4907999999999699</v>
      </c>
      <c r="AF572">
        <v>4.5530841528519597</v>
      </c>
      <c r="AG572">
        <v>-1.05420824020599</v>
      </c>
      <c r="AH572">
        <v>21.690745911099601</v>
      </c>
      <c r="AI572">
        <v>92.723229508184701</v>
      </c>
      <c r="AJ572">
        <v>78.145211199878204</v>
      </c>
      <c r="AK572">
        <v>22.188519294818999</v>
      </c>
    </row>
    <row r="573" spans="1:37" x14ac:dyDescent="0.2">
      <c r="A573" t="str">
        <f>"20200111160108687"</f>
        <v>20200111160108687</v>
      </c>
      <c r="B573" t="str">
        <f>"1578729668681027"</f>
        <v>1578729668681027</v>
      </c>
      <c r="C573" t="s">
        <v>37</v>
      </c>
      <c r="D573">
        <v>4.4150830000000001</v>
      </c>
      <c r="E573">
        <v>0.59576689999999999</v>
      </c>
      <c r="F573" t="s">
        <v>38</v>
      </c>
      <c r="G573">
        <v>-265.41399999999999</v>
      </c>
      <c r="H573" s="1">
        <v>-3.2255989999999998E-6</v>
      </c>
      <c r="I573">
        <v>363.3064</v>
      </c>
      <c r="J573">
        <v>-286.79829999999998</v>
      </c>
      <c r="K573">
        <v>1.054211</v>
      </c>
      <c r="L573">
        <v>367.79109999999997</v>
      </c>
      <c r="M573">
        <v>0.99993199999999904</v>
      </c>
      <c r="N573">
        <v>0</v>
      </c>
      <c r="O573">
        <v>3.7627030000000001E-3</v>
      </c>
      <c r="P573">
        <v>0.99884589999999995</v>
      </c>
      <c r="Q573">
        <v>-2.30500999999999E-2</v>
      </c>
      <c r="R573">
        <v>4.2139940000000001E-2</v>
      </c>
      <c r="S573">
        <v>3.0275270000000001</v>
      </c>
      <c r="T573">
        <v>-0.14696049999999999</v>
      </c>
      <c r="U573">
        <v>-0.62496949999999996</v>
      </c>
      <c r="V573">
        <v>-3.837111E-2</v>
      </c>
      <c r="W573">
        <v>-1.203802E-2</v>
      </c>
      <c r="X573">
        <v>0.99919099999999905</v>
      </c>
      <c r="Y573">
        <v>0.20561379999999899</v>
      </c>
      <c r="Z573">
        <v>-5.1161829999999998E-3</v>
      </c>
      <c r="AA573">
        <v>0.97861980000000004</v>
      </c>
      <c r="AB573">
        <v>33</v>
      </c>
      <c r="AC573">
        <v>21.3843</v>
      </c>
      <c r="AD573">
        <v>-1.0542142255989999</v>
      </c>
      <c r="AE573">
        <v>-4.4846999999999699</v>
      </c>
      <c r="AF573">
        <v>4.5545331725453302</v>
      </c>
      <c r="AG573">
        <v>-1.0542142255989999</v>
      </c>
      <c r="AH573">
        <v>21.317646458112399</v>
      </c>
      <c r="AI573">
        <v>92.7687359065241</v>
      </c>
      <c r="AJ573">
        <v>77.940025824903699</v>
      </c>
      <c r="AK573">
        <v>21.8242340201516</v>
      </c>
    </row>
    <row r="574" spans="1:37" x14ac:dyDescent="0.2">
      <c r="A574" t="str">
        <f>"20200111160108710"</f>
        <v>20200111160108710</v>
      </c>
      <c r="B574" t="str">
        <f>"1578729668701524"</f>
        <v>1578729668701524</v>
      </c>
      <c r="C574" t="s">
        <v>37</v>
      </c>
      <c r="D574">
        <v>4.4844710000000001</v>
      </c>
      <c r="E574">
        <v>0.59613539999999998</v>
      </c>
      <c r="F574" t="s">
        <v>38</v>
      </c>
      <c r="G574">
        <v>-265.38549999999998</v>
      </c>
      <c r="H574" s="1">
        <v>-3.2340580000000002E-6</v>
      </c>
      <c r="I574">
        <v>363.31110000000001</v>
      </c>
      <c r="J574">
        <v>-286.47309999999999</v>
      </c>
      <c r="K574">
        <v>1.054225</v>
      </c>
      <c r="L574">
        <v>367.79270000000002</v>
      </c>
      <c r="M574">
        <v>0.99992999999999899</v>
      </c>
      <c r="N574">
        <v>0</v>
      </c>
      <c r="O574">
        <v>4.1945009999999998E-3</v>
      </c>
      <c r="P574">
        <v>0.99887499999999996</v>
      </c>
      <c r="Q574">
        <v>-2.3366629999999999E-2</v>
      </c>
      <c r="R574">
        <v>4.1269319999999998E-2</v>
      </c>
      <c r="S574">
        <v>3.0267029999999999</v>
      </c>
      <c r="T574">
        <v>-0.1490129</v>
      </c>
      <c r="U574">
        <v>-0.63323969999999996</v>
      </c>
      <c r="V574">
        <v>-3.706831E-2</v>
      </c>
      <c r="W574">
        <v>-1.234465E-2</v>
      </c>
      <c r="X574">
        <v>0.99923649999999997</v>
      </c>
      <c r="Y574">
        <v>0.20864079999999999</v>
      </c>
      <c r="Z574">
        <v>-5.2822069999999997E-3</v>
      </c>
      <c r="AA574">
        <v>0.97797809999999896</v>
      </c>
      <c r="AB574">
        <v>33</v>
      </c>
      <c r="AC574">
        <v>21.087599999999998</v>
      </c>
      <c r="AD574">
        <v>-1.054228234058</v>
      </c>
      <c r="AE574">
        <v>-4.48160000000001</v>
      </c>
      <c r="AF574">
        <v>4.5591158398571601</v>
      </c>
      <c r="AG574">
        <v>-1.054228234058</v>
      </c>
      <c r="AH574">
        <v>21.018354558972799</v>
      </c>
      <c r="AI574">
        <v>92.806256008534106</v>
      </c>
      <c r="AJ574">
        <v>77.761497250701396</v>
      </c>
      <c r="AK574">
        <v>21.532955272730501</v>
      </c>
    </row>
    <row r="575" spans="1:37" x14ac:dyDescent="0.2">
      <c r="A575" t="str">
        <f>"20200111160108732"</f>
        <v>20200111160108732</v>
      </c>
      <c r="B575" t="str">
        <f>"1578729668721043"</f>
        <v>1578729668721043</v>
      </c>
      <c r="C575" t="s">
        <v>37</v>
      </c>
      <c r="D575">
        <v>4.4784369999999996</v>
      </c>
      <c r="E575">
        <v>0.59645530000000002</v>
      </c>
      <c r="F575" t="s">
        <v>38</v>
      </c>
      <c r="G575">
        <v>-265.27949999999998</v>
      </c>
      <c r="H575" s="1">
        <v>-3.2683099999999898E-6</v>
      </c>
      <c r="I575">
        <v>363.31790000000001</v>
      </c>
      <c r="J575">
        <v>-286.14909999999998</v>
      </c>
      <c r="K575">
        <v>1.054243</v>
      </c>
      <c r="L575">
        <v>367.7946</v>
      </c>
      <c r="M575">
        <v>0.99992789999999998</v>
      </c>
      <c r="N575">
        <v>0</v>
      </c>
      <c r="O575">
        <v>4.6376220000000001E-3</v>
      </c>
      <c r="P575">
        <v>0.99886540000000001</v>
      </c>
      <c r="Q575">
        <v>-2.3198030000000001E-2</v>
      </c>
      <c r="R575">
        <v>4.158543E-2</v>
      </c>
      <c r="S575">
        <v>3.0262150000000001</v>
      </c>
      <c r="T575">
        <v>-0.15053159999999999</v>
      </c>
      <c r="U575">
        <v>-0.63894649999999997</v>
      </c>
      <c r="V575">
        <v>-3.6941179999999997E-2</v>
      </c>
      <c r="W575">
        <v>-1.216834E-2</v>
      </c>
      <c r="X575">
        <v>0.9992434</v>
      </c>
      <c r="Y575">
        <v>0.210863299999999</v>
      </c>
      <c r="Z575">
        <v>-5.4122349999999996E-3</v>
      </c>
      <c r="AA575">
        <v>0.97750059999999905</v>
      </c>
      <c r="AB575">
        <v>33</v>
      </c>
      <c r="AC575">
        <v>20.869599999999899</v>
      </c>
      <c r="AD575">
        <v>-1.05424626831</v>
      </c>
      <c r="AE575">
        <v>-4.4766999999999904</v>
      </c>
      <c r="AF575">
        <v>4.5623128909943</v>
      </c>
      <c r="AG575">
        <v>-1.05424626831</v>
      </c>
      <c r="AH575">
        <v>20.797874548536299</v>
      </c>
      <c r="AI575">
        <v>92.834559501297704</v>
      </c>
      <c r="AJ575">
        <v>77.627323078560593</v>
      </c>
      <c r="AK575">
        <v>21.3184830568742</v>
      </c>
    </row>
    <row r="576" spans="1:37" x14ac:dyDescent="0.2">
      <c r="A576" t="str">
        <f>"20200111160108754"</f>
        <v>20200111160108754</v>
      </c>
      <c r="B576" t="str">
        <f>"1578729668751300"</f>
        <v>1578729668751300</v>
      </c>
      <c r="C576" t="s">
        <v>37</v>
      </c>
      <c r="D576">
        <v>4.5489269999999999</v>
      </c>
      <c r="E576">
        <v>0.59649189999999996</v>
      </c>
      <c r="F576" t="s">
        <v>38</v>
      </c>
      <c r="G576">
        <v>-264.79320000000001</v>
      </c>
      <c r="H576" s="1">
        <v>-3.445276E-6</v>
      </c>
      <c r="I576">
        <v>363.2747</v>
      </c>
      <c r="J576">
        <v>-285.82229999999998</v>
      </c>
      <c r="K576">
        <v>1.0542590000000001</v>
      </c>
      <c r="L576">
        <v>367.79660000000001</v>
      </c>
      <c r="M576">
        <v>0.99992569999999903</v>
      </c>
      <c r="N576">
        <v>0</v>
      </c>
      <c r="O576">
        <v>5.0932989999999999E-3</v>
      </c>
      <c r="P576">
        <v>0.99885020000000002</v>
      </c>
      <c r="Q576">
        <v>-2.2604530000000001E-2</v>
      </c>
      <c r="R576">
        <v>4.2277490000000001E-2</v>
      </c>
      <c r="S576">
        <v>3.0266109999999999</v>
      </c>
      <c r="T576">
        <v>-0.1494105</v>
      </c>
      <c r="U576">
        <v>-0.64056400000000002</v>
      </c>
      <c r="V576">
        <v>-3.7178240000000001E-2</v>
      </c>
      <c r="W576">
        <v>-1.156803E-2</v>
      </c>
      <c r="X576">
        <v>0.99924169999999901</v>
      </c>
      <c r="Y576">
        <v>0.211785</v>
      </c>
      <c r="Z576">
        <v>-5.41572199999999E-3</v>
      </c>
      <c r="AA576">
        <v>0.97730119999999898</v>
      </c>
      <c r="AB576">
        <v>33</v>
      </c>
      <c r="AC576">
        <v>21.0290999999999</v>
      </c>
      <c r="AD576">
        <v>-1.0542624452760001</v>
      </c>
      <c r="AE576">
        <v>-4.5219000000000102</v>
      </c>
      <c r="AF576">
        <v>4.6178619562342904</v>
      </c>
      <c r="AG576">
        <v>-1.0542624452760001</v>
      </c>
      <c r="AH576">
        <v>20.955453309404099</v>
      </c>
      <c r="AI576">
        <v>92.812732167713406</v>
      </c>
      <c r="AJ576">
        <v>77.5726003308136</v>
      </c>
      <c r="AK576">
        <v>21.484113706480201</v>
      </c>
    </row>
    <row r="577" spans="1:37" x14ac:dyDescent="0.2">
      <c r="A577" t="str">
        <f>"20200111160108777"</f>
        <v>20200111160108777</v>
      </c>
      <c r="B577" t="str">
        <f>"1578729668771797"</f>
        <v>1578729668771797</v>
      </c>
      <c r="C577" t="s">
        <v>37</v>
      </c>
      <c r="D577">
        <v>4.5910250000000001</v>
      </c>
      <c r="E577">
        <v>0.59643749999999995</v>
      </c>
      <c r="F577" t="s">
        <v>38</v>
      </c>
      <c r="G577">
        <v>-264.22219999999999</v>
      </c>
      <c r="H577" s="1">
        <v>-3.6493500000000001E-6</v>
      </c>
      <c r="I577">
        <v>363.23809999999997</v>
      </c>
      <c r="J577">
        <v>-285.48050000000001</v>
      </c>
      <c r="K577">
        <v>1.054263</v>
      </c>
      <c r="L577">
        <v>367.79880000000003</v>
      </c>
      <c r="M577">
        <v>0.99992309999999995</v>
      </c>
      <c r="N577">
        <v>0</v>
      </c>
      <c r="O577">
        <v>5.5777319999999898E-3</v>
      </c>
      <c r="P577">
        <v>0.99880919999999895</v>
      </c>
      <c r="Q577">
        <v>-2.1919910000000001E-2</v>
      </c>
      <c r="R577">
        <v>4.3586729999999997E-2</v>
      </c>
      <c r="S577">
        <v>3.0271910000000002</v>
      </c>
      <c r="T577">
        <v>-0.14775189999999999</v>
      </c>
      <c r="U577">
        <v>-0.63885499999999995</v>
      </c>
      <c r="V577">
        <v>-3.800427E-2</v>
      </c>
      <c r="W577">
        <v>-1.087754E-2</v>
      </c>
      <c r="X577">
        <v>0.9992183</v>
      </c>
      <c r="Y577">
        <v>0.21169760000000001</v>
      </c>
      <c r="Z577">
        <v>-5.37625E-3</v>
      </c>
      <c r="AA577">
        <v>0.97732039999999998</v>
      </c>
      <c r="AB577">
        <v>33</v>
      </c>
      <c r="AC577">
        <v>21.258299999999998</v>
      </c>
      <c r="AD577">
        <v>-1.0542666493499999</v>
      </c>
      <c r="AE577">
        <v>-4.5607000000000504</v>
      </c>
      <c r="AF577">
        <v>4.6682331752804904</v>
      </c>
      <c r="AG577">
        <v>-1.0542666493499999</v>
      </c>
      <c r="AH577">
        <v>21.1827231887703</v>
      </c>
      <c r="AI577">
        <v>92.782605111274407</v>
      </c>
      <c r="AJ577">
        <v>77.571855493258298</v>
      </c>
      <c r="AK577">
        <v>21.716621303480601</v>
      </c>
    </row>
    <row r="578" spans="1:37" x14ac:dyDescent="0.2">
      <c r="A578" t="str">
        <f>"20200111160108799"</f>
        <v>20200111160108799</v>
      </c>
      <c r="B578" t="str">
        <f>"1578729668791315"</f>
        <v>1578729668791315</v>
      </c>
      <c r="C578" t="s">
        <v>37</v>
      </c>
      <c r="D578">
        <v>4.5746630000000001</v>
      </c>
      <c r="E578">
        <v>0.59640660000000001</v>
      </c>
      <c r="F578" t="s">
        <v>38</v>
      </c>
      <c r="G578">
        <v>-263.57569999999998</v>
      </c>
      <c r="H578" s="1">
        <v>-3.8766600000000003E-6</v>
      </c>
      <c r="I578">
        <v>363.2106</v>
      </c>
      <c r="J578">
        <v>-285.15839999999997</v>
      </c>
      <c r="K578">
        <v>1.054271</v>
      </c>
      <c r="L578">
        <v>367.80099999999999</v>
      </c>
      <c r="M578">
        <v>0.99992029999999998</v>
      </c>
      <c r="N578">
        <v>0</v>
      </c>
      <c r="O578">
        <v>6.0383009999999899E-3</v>
      </c>
      <c r="P578">
        <v>0.99875849999999899</v>
      </c>
      <c r="Q578">
        <v>-2.15497999999999E-2</v>
      </c>
      <c r="R578">
        <v>4.4911640000000003E-2</v>
      </c>
      <c r="S578">
        <v>3.0280149999999999</v>
      </c>
      <c r="T578">
        <v>-0.14573699999999901</v>
      </c>
      <c r="U578">
        <v>-0.6342468</v>
      </c>
      <c r="V578">
        <v>-3.886966E-2</v>
      </c>
      <c r="W578">
        <v>-1.0502549999999999E-2</v>
      </c>
      <c r="X578">
        <v>0.99918909999999905</v>
      </c>
      <c r="Y578">
        <v>0.210676899999999</v>
      </c>
      <c r="Z578">
        <v>-5.3000629999999998E-3</v>
      </c>
      <c r="AA578">
        <v>0.9775414</v>
      </c>
      <c r="AB578">
        <v>33</v>
      </c>
      <c r="AC578">
        <v>21.5826999999999</v>
      </c>
      <c r="AD578">
        <v>-1.0542748766600001</v>
      </c>
      <c r="AE578">
        <v>-4.5903999999999803</v>
      </c>
      <c r="AF578">
        <v>4.7098950657108203</v>
      </c>
      <c r="AG578">
        <v>-1.0542748766600001</v>
      </c>
      <c r="AH578">
        <v>21.505492275016799</v>
      </c>
      <c r="AI578">
        <v>92.741713491280805</v>
      </c>
      <c r="AJ578">
        <v>77.646754836037502</v>
      </c>
      <c r="AK578">
        <v>22.040435681636801</v>
      </c>
    </row>
    <row r="579" spans="1:37" x14ac:dyDescent="0.2">
      <c r="A579" t="str">
        <f>"20200111160108820"</f>
        <v>20200111160108820</v>
      </c>
      <c r="B579" t="str">
        <f>"1578729668810835"</f>
        <v>1578729668810835</v>
      </c>
      <c r="C579" t="s">
        <v>37</v>
      </c>
      <c r="D579">
        <v>4.5980650000000001</v>
      </c>
      <c r="E579">
        <v>0.59643169999999901</v>
      </c>
      <c r="F579" t="s">
        <v>38</v>
      </c>
      <c r="G579">
        <v>-263.1585</v>
      </c>
      <c r="H579" s="1">
        <v>-4.0505980000000002E-6</v>
      </c>
      <c r="I579">
        <v>363.22730000000001</v>
      </c>
      <c r="J579">
        <v>-284.83920000000001</v>
      </c>
      <c r="K579">
        <v>1.054276</v>
      </c>
      <c r="L579">
        <v>367.80340000000001</v>
      </c>
      <c r="M579">
        <v>0.99991739999999996</v>
      </c>
      <c r="N579">
        <v>0</v>
      </c>
      <c r="O579">
        <v>6.4964139999999998E-3</v>
      </c>
      <c r="P579">
        <v>0.99874399999999997</v>
      </c>
      <c r="Q579">
        <v>-2.076484E-2</v>
      </c>
      <c r="R579">
        <v>4.560206E-2</v>
      </c>
      <c r="S579">
        <v>3.0289000000000001</v>
      </c>
      <c r="T579">
        <v>-0.14515020000000001</v>
      </c>
      <c r="U579">
        <v>-0.62969969999999997</v>
      </c>
      <c r="V579">
        <v>-3.9102959999999999E-2</v>
      </c>
      <c r="W579">
        <v>-9.7122440000000001E-3</v>
      </c>
      <c r="X579">
        <v>0.99918799999999997</v>
      </c>
      <c r="Y579">
        <v>0.20966360000000001</v>
      </c>
      <c r="Z579">
        <v>-5.2757439999999997E-3</v>
      </c>
      <c r="AA579">
        <v>0.97775939999999995</v>
      </c>
      <c r="AB579">
        <v>33</v>
      </c>
      <c r="AC579">
        <v>21.680700000000002</v>
      </c>
      <c r="AD579">
        <v>-1.0542800505979999</v>
      </c>
      <c r="AE579">
        <v>-4.5760999999999896</v>
      </c>
      <c r="AF579">
        <v>4.70620502530367</v>
      </c>
      <c r="AG579">
        <v>-1.0542800505979999</v>
      </c>
      <c r="AH579">
        <v>21.601610843710599</v>
      </c>
      <c r="AI579">
        <v>92.730196694964803</v>
      </c>
      <c r="AJ579">
        <v>77.709388590116603</v>
      </c>
      <c r="AK579">
        <v>22.133446708734699</v>
      </c>
    </row>
    <row r="580" spans="1:37" x14ac:dyDescent="0.2">
      <c r="A580" t="str">
        <f>"20200111160108836"</f>
        <v>20200111160108836</v>
      </c>
      <c r="B580" t="str">
        <f>"1578729668831331"</f>
        <v>1578729668831331</v>
      </c>
      <c r="C580" t="s">
        <v>37</v>
      </c>
      <c r="D580">
        <v>4.6721620000000001</v>
      </c>
      <c r="E580">
        <v>0.59649459999999999</v>
      </c>
      <c r="F580" t="s">
        <v>38</v>
      </c>
      <c r="G580">
        <v>-262.72640000000001</v>
      </c>
      <c r="H580" s="1">
        <v>-4.2374929999999997E-6</v>
      </c>
      <c r="I580">
        <v>363.21859999999998</v>
      </c>
      <c r="J580">
        <v>-284.61559999999997</v>
      </c>
      <c r="K580">
        <v>1.054278</v>
      </c>
      <c r="L580">
        <v>367.80520000000001</v>
      </c>
      <c r="M580">
        <v>0.9999152</v>
      </c>
      <c r="N580">
        <v>0</v>
      </c>
      <c r="O580">
        <v>6.8174949999999998E-3</v>
      </c>
      <c r="P580">
        <v>0.99873809999999996</v>
      </c>
      <c r="Q580">
        <v>-2.0218549999999998E-2</v>
      </c>
      <c r="R580">
        <v>4.5975729999999999E-2</v>
      </c>
      <c r="S580">
        <v>3.0294189999999999</v>
      </c>
      <c r="T580">
        <v>-0.14443449999999999</v>
      </c>
      <c r="U580">
        <v>-0.62811280000000003</v>
      </c>
      <c r="V580">
        <v>-3.9156530000000002E-2</v>
      </c>
      <c r="W580">
        <v>-9.1622860000000004E-3</v>
      </c>
      <c r="X580">
        <v>0.9991911</v>
      </c>
      <c r="Y580">
        <v>0.20945540000000001</v>
      </c>
      <c r="Z580">
        <v>-5.259395E-3</v>
      </c>
      <c r="AA580">
        <v>0.97780409999999995</v>
      </c>
      <c r="AB580">
        <v>33</v>
      </c>
      <c r="AC580">
        <v>21.889199999999899</v>
      </c>
      <c r="AD580">
        <v>-1.0542822374930001</v>
      </c>
      <c r="AE580">
        <v>-4.58660000000003</v>
      </c>
      <c r="AF580">
        <v>4.7252314555586601</v>
      </c>
      <c r="AG580">
        <v>-1.0542822374930001</v>
      </c>
      <c r="AH580">
        <v>21.8089552726777</v>
      </c>
      <c r="AI580">
        <v>92.704955924649198</v>
      </c>
      <c r="AJ580">
        <v>77.774983186596103</v>
      </c>
      <c r="AK580">
        <v>22.339871383482699</v>
      </c>
    </row>
    <row r="581" spans="1:37" x14ac:dyDescent="0.2">
      <c r="A581" t="str">
        <f>"20200111160108855"</f>
        <v>20200111160108855</v>
      </c>
      <c r="B581" t="str">
        <f>"1578729668850851"</f>
        <v>1578729668850851</v>
      </c>
      <c r="C581" t="s">
        <v>37</v>
      </c>
      <c r="D581">
        <v>4.968464</v>
      </c>
      <c r="E581">
        <v>0.59658469999999997</v>
      </c>
      <c r="F581" t="s">
        <v>38</v>
      </c>
      <c r="G581">
        <v>-262.34190000000001</v>
      </c>
      <c r="H581" s="1">
        <v>-4.4068949999999998E-6</v>
      </c>
      <c r="I581">
        <v>363.19349999999997</v>
      </c>
      <c r="J581">
        <v>-284.33109999999999</v>
      </c>
      <c r="K581">
        <v>1.054281</v>
      </c>
      <c r="L581">
        <v>367.80759999999998</v>
      </c>
      <c r="M581">
        <v>0.99991229999999998</v>
      </c>
      <c r="N581">
        <v>0</v>
      </c>
      <c r="O581">
        <v>7.2257110000000001E-3</v>
      </c>
      <c r="P581">
        <v>0.99871480000000001</v>
      </c>
      <c r="Q581">
        <v>-2.0520389999999999E-2</v>
      </c>
      <c r="R581">
        <v>4.6346470000000001E-2</v>
      </c>
      <c r="S581">
        <v>3.0297239999999999</v>
      </c>
      <c r="T581">
        <v>-0.1434058</v>
      </c>
      <c r="U581">
        <v>-0.62728879999999998</v>
      </c>
      <c r="V581">
        <v>-3.9119260000000003E-2</v>
      </c>
      <c r="W581">
        <v>-9.4597559999999997E-3</v>
      </c>
      <c r="X581">
        <v>0.99918980000000002</v>
      </c>
      <c r="Y581">
        <v>0.20958279999999899</v>
      </c>
      <c r="Z581">
        <v>-5.2437019999999899E-3</v>
      </c>
      <c r="AA581">
        <v>0.9777768</v>
      </c>
      <c r="AB581">
        <v>33</v>
      </c>
      <c r="AC581">
        <v>21.989199999999901</v>
      </c>
      <c r="AD581">
        <v>-1.0542854068950001</v>
      </c>
      <c r="AE581">
        <v>-4.6140999999999996</v>
      </c>
      <c r="AF581">
        <v>4.7623909344444302</v>
      </c>
      <c r="AG581">
        <v>-1.0542854068950001</v>
      </c>
      <c r="AH581">
        <v>21.907048026400702</v>
      </c>
      <c r="AI581">
        <v>92.692465323444594</v>
      </c>
      <c r="AJ581">
        <v>77.735253269853303</v>
      </c>
      <c r="AK581">
        <v>22.443498799489699</v>
      </c>
    </row>
    <row r="582" spans="1:37" x14ac:dyDescent="0.2">
      <c r="A582" t="str">
        <f>"20200111160108877"</f>
        <v>20200111160108877</v>
      </c>
      <c r="B582" t="str">
        <f>"1578729668871347"</f>
        <v>1578729668871347</v>
      </c>
      <c r="C582" t="s">
        <v>37</v>
      </c>
      <c r="D582">
        <v>4.755166</v>
      </c>
      <c r="E582">
        <v>0.59664039999999996</v>
      </c>
      <c r="F582" t="s">
        <v>38</v>
      </c>
      <c r="G582">
        <v>-262.1825</v>
      </c>
      <c r="H582" s="1">
        <v>-4.4698300000000004E-6</v>
      </c>
      <c r="I582">
        <v>363.2244</v>
      </c>
      <c r="J582">
        <v>-284.00349999999997</v>
      </c>
      <c r="K582">
        <v>1.0542879999999999</v>
      </c>
      <c r="L582">
        <v>367.81040000000002</v>
      </c>
      <c r="M582">
        <v>0.99990859999999904</v>
      </c>
      <c r="N582">
        <v>0</v>
      </c>
      <c r="O582">
        <v>7.69478099999999E-3</v>
      </c>
      <c r="P582">
        <v>0.99871149999999997</v>
      </c>
      <c r="Q582">
        <v>-2.0458549999999999E-2</v>
      </c>
      <c r="R582">
        <v>4.6441940000000001E-2</v>
      </c>
      <c r="S582">
        <v>3.0299990000000001</v>
      </c>
      <c r="T582">
        <v>-0.14422889999999999</v>
      </c>
      <c r="U582">
        <v>-0.62698359999999997</v>
      </c>
      <c r="V582">
        <v>-3.8746219999999998E-2</v>
      </c>
      <c r="W582">
        <v>-9.3927239999999999E-3</v>
      </c>
      <c r="X582">
        <v>0.99920489999999995</v>
      </c>
      <c r="Y582">
        <v>0.2099259</v>
      </c>
      <c r="Z582">
        <v>-5.3035189999999996E-3</v>
      </c>
      <c r="AA582">
        <v>0.97770290000000004</v>
      </c>
      <c r="AB582">
        <v>33</v>
      </c>
      <c r="AC582">
        <v>21.820999999999898</v>
      </c>
      <c r="AD582">
        <v>-1.05429246982999</v>
      </c>
      <c r="AE582">
        <v>-4.5860000000000101</v>
      </c>
      <c r="AF582">
        <v>4.7431783618747696</v>
      </c>
      <c r="AG582">
        <v>-1.05429246982999</v>
      </c>
      <c r="AH582">
        <v>21.736468517377102</v>
      </c>
      <c r="AI582">
        <v>92.713118306536302</v>
      </c>
      <c r="AJ582">
        <v>77.690282923170898</v>
      </c>
      <c r="AK582">
        <v>22.272928347916501</v>
      </c>
    </row>
    <row r="583" spans="1:37" x14ac:dyDescent="0.2">
      <c r="A583" t="str">
        <f>"20200111160108899"</f>
        <v>20200111160108899</v>
      </c>
      <c r="B583" t="str">
        <f>"1578729668890867"</f>
        <v>1578729668890867</v>
      </c>
      <c r="C583" t="s">
        <v>37</v>
      </c>
      <c r="D583">
        <v>4.7211099999999897</v>
      </c>
      <c r="E583">
        <v>0.59673679999999996</v>
      </c>
      <c r="F583" t="s">
        <v>38</v>
      </c>
      <c r="G583">
        <v>-261.90089999999998</v>
      </c>
      <c r="H583" s="1">
        <v>-4.5883289999999999E-6</v>
      </c>
      <c r="I583">
        <v>363.2373</v>
      </c>
      <c r="J583">
        <v>-283.67720000000003</v>
      </c>
      <c r="K583">
        <v>1.0542819999999999</v>
      </c>
      <c r="L583">
        <v>367.8134</v>
      </c>
      <c r="M583">
        <v>0.99990499999999904</v>
      </c>
      <c r="N583">
        <v>0</v>
      </c>
      <c r="O583">
        <v>8.1610480000000006E-3</v>
      </c>
      <c r="P583">
        <v>0.99873299999999998</v>
      </c>
      <c r="Q583">
        <v>-1.9924109999999998E-2</v>
      </c>
      <c r="R583">
        <v>4.6210229999999998E-2</v>
      </c>
      <c r="S583">
        <v>3.03005999999999</v>
      </c>
      <c r="T583">
        <v>-0.1445332</v>
      </c>
      <c r="U583">
        <v>-0.6269226</v>
      </c>
      <c r="V583">
        <v>-3.804838E-2</v>
      </c>
      <c r="W583">
        <v>-8.8529000000000004E-3</v>
      </c>
      <c r="X583">
        <v>0.99923669999999998</v>
      </c>
      <c r="Y583">
        <v>0.21035699999999999</v>
      </c>
      <c r="Z583">
        <v>-5.3467740000000003E-3</v>
      </c>
      <c r="AA583">
        <v>0.97760999999999998</v>
      </c>
      <c r="AB583">
        <v>33</v>
      </c>
      <c r="AC583">
        <v>21.776299999999999</v>
      </c>
      <c r="AD583">
        <v>-1.054286588329</v>
      </c>
      <c r="AE583">
        <v>-4.5760999999999896</v>
      </c>
      <c r="AF583">
        <v>4.7430287159783298</v>
      </c>
      <c r="AG583">
        <v>-1.054286588329</v>
      </c>
      <c r="AH583">
        <v>21.689537437206599</v>
      </c>
      <c r="AI583">
        <v>92.718701567620997</v>
      </c>
      <c r="AJ583">
        <v>77.664839483700405</v>
      </c>
      <c r="AK583">
        <v>22.227097782907101</v>
      </c>
    </row>
    <row r="584" spans="1:37" x14ac:dyDescent="0.2">
      <c r="A584" t="str">
        <f>"20200111160108921"</f>
        <v>20200111160108921</v>
      </c>
      <c r="B584" t="str">
        <f>"1578729668911363"</f>
        <v>1578729668911363</v>
      </c>
      <c r="C584" t="s">
        <v>37</v>
      </c>
      <c r="D584">
        <v>4.8223549999999999</v>
      </c>
      <c r="E584">
        <v>0.59659099999999998</v>
      </c>
      <c r="F584" t="s">
        <v>38</v>
      </c>
      <c r="G584">
        <v>-261.63929999999999</v>
      </c>
      <c r="H584" s="1">
        <v>-4.6996279999999998E-6</v>
      </c>
      <c r="I584">
        <v>363.24239999999998</v>
      </c>
      <c r="J584">
        <v>-283.35379999999998</v>
      </c>
      <c r="K584">
        <v>1.054281</v>
      </c>
      <c r="L584">
        <v>367.81650000000002</v>
      </c>
      <c r="M584">
        <v>0.99990100000000004</v>
      </c>
      <c r="N584">
        <v>0</v>
      </c>
      <c r="O584">
        <v>8.6230230000000005E-3</v>
      </c>
      <c r="P584">
        <v>0.99876209999999899</v>
      </c>
      <c r="Q584">
        <v>-2.0224550000000001E-2</v>
      </c>
      <c r="R584">
        <v>4.5445699999999999E-2</v>
      </c>
      <c r="S584">
        <v>3.0299990000000001</v>
      </c>
      <c r="T584">
        <v>-0.1449541</v>
      </c>
      <c r="U584">
        <v>-0.62844849999999997</v>
      </c>
      <c r="V584">
        <v>-3.6822290000000001E-2</v>
      </c>
      <c r="W584">
        <v>-9.1476839999999997E-3</v>
      </c>
      <c r="X584">
        <v>0.99927999999999995</v>
      </c>
      <c r="Y584">
        <v>0.21128169999999999</v>
      </c>
      <c r="Z584">
        <v>-5.4059030000000001E-3</v>
      </c>
      <c r="AA584">
        <v>0.97741029999999995</v>
      </c>
      <c r="AB584">
        <v>33</v>
      </c>
      <c r="AC584">
        <v>21.714499999999902</v>
      </c>
      <c r="AD584">
        <v>-1.0542856996279999</v>
      </c>
      <c r="AE584">
        <v>-4.5741000000000396</v>
      </c>
      <c r="AF584">
        <v>4.7504635888071096</v>
      </c>
      <c r="AG584">
        <v>-1.0542856996279999</v>
      </c>
      <c r="AH584">
        <v>21.6254355817969</v>
      </c>
      <c r="AI584">
        <v>92.726181101857193</v>
      </c>
      <c r="AJ584">
        <v>77.610606946816404</v>
      </c>
      <c r="AK584">
        <v>22.16614280265</v>
      </c>
    </row>
    <row r="585" spans="1:37" x14ac:dyDescent="0.2">
      <c r="A585" t="str">
        <f>"20200111160108943"</f>
        <v>20200111160108943</v>
      </c>
      <c r="B585" t="str">
        <f>"1578729668941620"</f>
        <v>1578729668941620</v>
      </c>
      <c r="C585" t="s">
        <v>37</v>
      </c>
      <c r="D585">
        <v>4.8546180000000003</v>
      </c>
      <c r="E585">
        <v>0.59639390000000003</v>
      </c>
      <c r="F585" t="s">
        <v>38</v>
      </c>
      <c r="G585">
        <v>-262.00540000000001</v>
      </c>
      <c r="H585" s="1">
        <v>-4.5180429999999999E-6</v>
      </c>
      <c r="I585">
        <v>363.38069999999999</v>
      </c>
      <c r="J585">
        <v>-283.02359999999999</v>
      </c>
      <c r="K585">
        <v>1.0542830000000001</v>
      </c>
      <c r="L585">
        <v>367.81979999999999</v>
      </c>
      <c r="M585">
        <v>0.99989689999999998</v>
      </c>
      <c r="N585">
        <v>0</v>
      </c>
      <c r="O585">
        <v>9.0941140000000004E-3</v>
      </c>
      <c r="P585">
        <v>0.99877399999999905</v>
      </c>
      <c r="Q585">
        <v>-2.0760399999999998E-2</v>
      </c>
      <c r="R585">
        <v>4.4944369999999997E-2</v>
      </c>
      <c r="S585">
        <v>3.0293269999999999</v>
      </c>
      <c r="T585">
        <v>-0.14960270000000001</v>
      </c>
      <c r="U585">
        <v>-0.62942500000000001</v>
      </c>
      <c r="V585">
        <v>-3.5849569999999997E-2</v>
      </c>
      <c r="W585">
        <v>-9.6784560000000002E-3</v>
      </c>
      <c r="X585">
        <v>0.99931029999999998</v>
      </c>
      <c r="Y585">
        <v>0.21206990000000001</v>
      </c>
      <c r="Z585">
        <v>-5.6223590000000004E-3</v>
      </c>
      <c r="AA585">
        <v>0.9772383</v>
      </c>
      <c r="AB585">
        <v>33</v>
      </c>
      <c r="AC585">
        <v>21.018199999999901</v>
      </c>
      <c r="AD585">
        <v>-1.054287518043</v>
      </c>
      <c r="AE585">
        <v>-4.4390999999999901</v>
      </c>
      <c r="AF585">
        <v>4.6189446824913798</v>
      </c>
      <c r="AG585">
        <v>-1.054287518043</v>
      </c>
      <c r="AH585">
        <v>20.926553749413401</v>
      </c>
      <c r="AI585">
        <v>92.816466595977502</v>
      </c>
      <c r="AJ585">
        <v>77.553145623201402</v>
      </c>
      <c r="AK585">
        <v>21.456160513421398</v>
      </c>
    </row>
    <row r="586" spans="1:37" x14ac:dyDescent="0.2">
      <c r="A586" t="str">
        <f>"20200111160108958"</f>
        <v>20200111160108958</v>
      </c>
      <c r="B586" t="str">
        <f>"1578729668951379"</f>
        <v>1578729668951379</v>
      </c>
      <c r="C586" t="s">
        <v>37</v>
      </c>
      <c r="D586">
        <v>4.8589390000000003</v>
      </c>
      <c r="E586">
        <v>0.5963522</v>
      </c>
      <c r="F586" t="s">
        <v>38</v>
      </c>
      <c r="G586">
        <v>-262.4905</v>
      </c>
      <c r="H586" s="1">
        <v>-4.2787479999999998E-6</v>
      </c>
      <c r="I586">
        <v>363.55669999999998</v>
      </c>
      <c r="J586">
        <v>-282.80160000000001</v>
      </c>
      <c r="K586">
        <v>1.054284</v>
      </c>
      <c r="L586">
        <v>367.82209999999998</v>
      </c>
      <c r="M586">
        <v>0.99989380000000005</v>
      </c>
      <c r="N586">
        <v>0</v>
      </c>
      <c r="O586">
        <v>9.4110749999999996E-3</v>
      </c>
      <c r="P586">
        <v>0.99875970000000003</v>
      </c>
      <c r="Q586">
        <v>-2.1190009999999999E-2</v>
      </c>
      <c r="R586">
        <v>4.5054360000000002E-2</v>
      </c>
      <c r="S586">
        <v>3.0287169999999999</v>
      </c>
      <c r="T586">
        <v>-0.15551139999999999</v>
      </c>
      <c r="U586">
        <v>-0.62881469999999995</v>
      </c>
      <c r="V586">
        <v>-3.5642609999999998E-2</v>
      </c>
      <c r="W586">
        <v>-1.010544E-2</v>
      </c>
      <c r="X586">
        <v>0.99931349999999997</v>
      </c>
      <c r="Y586">
        <v>0.2122086</v>
      </c>
      <c r="Z586">
        <v>-5.8650350000000002E-3</v>
      </c>
      <c r="AA586">
        <v>0.97720680000000004</v>
      </c>
      <c r="AB586">
        <v>33</v>
      </c>
      <c r="AC586">
        <v>20.3111</v>
      </c>
      <c r="AD586">
        <v>-1.0542882787479999</v>
      </c>
      <c r="AE586">
        <v>-4.2653999999999996</v>
      </c>
      <c r="AF586">
        <v>4.4449019933954901</v>
      </c>
      <c r="AG586">
        <v>-1.0542882787479999</v>
      </c>
      <c r="AH586">
        <v>20.217883038150401</v>
      </c>
      <c r="AI586">
        <v>92.915556147058496</v>
      </c>
      <c r="AJ586">
        <v>77.600778232064201</v>
      </c>
      <c r="AK586">
        <v>20.727553450658998</v>
      </c>
    </row>
    <row r="587" spans="1:37" x14ac:dyDescent="0.2">
      <c r="A587" t="str">
        <f>"20200111160108978"</f>
        <v>20200111160108978</v>
      </c>
      <c r="B587" t="str">
        <f>"1578729668970900"</f>
        <v>1578729668970900</v>
      </c>
      <c r="C587" t="s">
        <v>37</v>
      </c>
      <c r="D587">
        <v>4.7950559999999998</v>
      </c>
      <c r="E587">
        <v>0.59634739999999997</v>
      </c>
      <c r="F587" t="s">
        <v>38</v>
      </c>
      <c r="G587">
        <v>-262.59710000000001</v>
      </c>
      <c r="H587" s="1">
        <v>-4.2196729999999999E-6</v>
      </c>
      <c r="I587">
        <v>363.63189999999997</v>
      </c>
      <c r="J587">
        <v>-282.51010000000002</v>
      </c>
      <c r="K587">
        <v>1.0542830000000001</v>
      </c>
      <c r="L587">
        <v>367.82530000000003</v>
      </c>
      <c r="M587">
        <v>0.9998899</v>
      </c>
      <c r="N587">
        <v>0</v>
      </c>
      <c r="O587">
        <v>9.8269749999999999E-3</v>
      </c>
      <c r="P587">
        <v>0.99872879999999997</v>
      </c>
      <c r="Q587">
        <v>-2.1372869999999999E-2</v>
      </c>
      <c r="R587">
        <v>4.5652489999999997E-2</v>
      </c>
      <c r="S587">
        <v>3.0287169999999999</v>
      </c>
      <c r="T587">
        <v>-0.1580406</v>
      </c>
      <c r="U587">
        <v>-0.62811280000000003</v>
      </c>
      <c r="V587">
        <v>-3.5825059999999999E-2</v>
      </c>
      <c r="W587">
        <v>-1.0285559999999999E-2</v>
      </c>
      <c r="X587">
        <v>0.99930509999999995</v>
      </c>
      <c r="Y587">
        <v>0.21238799999999999</v>
      </c>
      <c r="Z587">
        <v>-5.986534E-3</v>
      </c>
      <c r="AA587">
        <v>0.97716709999999996</v>
      </c>
      <c r="AB587">
        <v>33</v>
      </c>
      <c r="AC587">
        <v>19.913</v>
      </c>
      <c r="AD587">
        <v>-1.054287219673</v>
      </c>
      <c r="AE587">
        <v>-4.1934000000000502</v>
      </c>
      <c r="AF587">
        <v>4.3771454140022401</v>
      </c>
      <c r="AG587">
        <v>-1.054287219673</v>
      </c>
      <c r="AH587">
        <v>19.817634720286001</v>
      </c>
      <c r="AI587">
        <v>92.973695601775702</v>
      </c>
      <c r="AJ587">
        <v>77.544976710403105</v>
      </c>
      <c r="AK587">
        <v>20.322636871813</v>
      </c>
    </row>
    <row r="588" spans="1:37" x14ac:dyDescent="0.2">
      <c r="A588" t="str">
        <f>"20200111160108999"</f>
        <v>20200111160108999</v>
      </c>
      <c r="B588" t="str">
        <f>"1578729668991395"</f>
        <v>1578729668991395</v>
      </c>
      <c r="C588" t="s">
        <v>37</v>
      </c>
      <c r="D588">
        <v>4.9979389999999997</v>
      </c>
      <c r="E588">
        <v>0.55588130000000002</v>
      </c>
      <c r="F588" t="s">
        <v>38</v>
      </c>
      <c r="G588">
        <v>-262.58730000000003</v>
      </c>
      <c r="H588" s="1">
        <v>-4.2104049999999999E-6</v>
      </c>
      <c r="I588">
        <v>363.70780000000002</v>
      </c>
      <c r="J588">
        <v>-282.1961</v>
      </c>
      <c r="K588">
        <v>1.0542899999999999</v>
      </c>
      <c r="L588">
        <v>367.82889999999998</v>
      </c>
      <c r="M588">
        <v>0.99988529999999998</v>
      </c>
      <c r="N588">
        <v>0</v>
      </c>
      <c r="O588">
        <v>1.0274999999999999E-2</v>
      </c>
      <c r="P588">
        <v>0.99866029999999995</v>
      </c>
      <c r="Q588">
        <v>-2.0926429999999999E-2</v>
      </c>
      <c r="R588">
        <v>4.7330270000000001E-2</v>
      </c>
      <c r="S588">
        <v>3.0289919999999899</v>
      </c>
      <c r="T588">
        <v>-0.1602895</v>
      </c>
      <c r="U588">
        <v>-0.62600710000000004</v>
      </c>
      <c r="V588">
        <v>-3.705601E-2</v>
      </c>
      <c r="W588">
        <v>-9.8377289999999999E-3</v>
      </c>
      <c r="X588">
        <v>0.99926479999999995</v>
      </c>
      <c r="Y588">
        <v>0.21214820000000001</v>
      </c>
      <c r="Z588">
        <v>-6.0886730000000002E-3</v>
      </c>
      <c r="AA588">
        <v>0.97721859999999905</v>
      </c>
      <c r="AB588">
        <v>33</v>
      </c>
      <c r="AC588">
        <v>19.608799999999899</v>
      </c>
      <c r="AD588">
        <v>-1.0542942104049999</v>
      </c>
      <c r="AE588">
        <v>-4.1210999999999496</v>
      </c>
      <c r="AF588">
        <v>4.3104416946253199</v>
      </c>
      <c r="AG588">
        <v>-1.0542942104049999</v>
      </c>
      <c r="AH588">
        <v>19.511399757934999</v>
      </c>
      <c r="AI588">
        <v>93.020272116579093</v>
      </c>
      <c r="AJ588">
        <v>77.542359428515496</v>
      </c>
      <c r="AK588">
        <v>20.009651781048099</v>
      </c>
    </row>
    <row r="589" spans="1:37" x14ac:dyDescent="0.2">
      <c r="A589" t="str">
        <f>"20200111160109021"</f>
        <v>20200111160109021</v>
      </c>
      <c r="B589" t="str">
        <f>"1578729669010915"</f>
        <v>1578729669010915</v>
      </c>
      <c r="C589" t="s">
        <v>37</v>
      </c>
      <c r="D589">
        <v>4.9163169999999896</v>
      </c>
      <c r="E589">
        <v>0.53419499999999998</v>
      </c>
      <c r="F589" t="s">
        <v>42</v>
      </c>
      <c r="G589">
        <v>-281.32690000000002</v>
      </c>
      <c r="H589">
        <v>0.98955740000000003</v>
      </c>
      <c r="I589">
        <v>367.74369999999999</v>
      </c>
      <c r="J589">
        <v>-281.86649999999997</v>
      </c>
      <c r="K589">
        <v>1.054289</v>
      </c>
      <c r="L589">
        <v>367.83269999999999</v>
      </c>
      <c r="M589">
        <v>0.9998802</v>
      </c>
      <c r="N589">
        <v>0</v>
      </c>
      <c r="O589">
        <v>1.0745670000000001E-2</v>
      </c>
      <c r="P589">
        <v>0.99855640000000001</v>
      </c>
      <c r="Q589">
        <v>-2.024979E-2</v>
      </c>
      <c r="R589">
        <v>4.9750410000000002E-2</v>
      </c>
      <c r="S589">
        <v>3.0132750000000001</v>
      </c>
      <c r="T589">
        <v>-0.22462960000000001</v>
      </c>
      <c r="U589">
        <v>-0.2941589</v>
      </c>
      <c r="V589">
        <v>-3.900787E-2</v>
      </c>
      <c r="W589">
        <v>-9.1607779999999996E-3</v>
      </c>
      <c r="X589">
        <v>0.99919690000000005</v>
      </c>
      <c r="Y589">
        <v>0.10752390000000001</v>
      </c>
      <c r="Z589">
        <v>-4.7909679999999996E-3</v>
      </c>
      <c r="AA589">
        <v>0.99419089999999999</v>
      </c>
      <c r="AB589">
        <v>33</v>
      </c>
      <c r="AC589">
        <v>0.53959999999995001</v>
      </c>
      <c r="AD589">
        <v>-6.47316E-2</v>
      </c>
      <c r="AE589">
        <v>-8.8999999999998594E-2</v>
      </c>
      <c r="AF589">
        <v>9.3483893349826097E-2</v>
      </c>
      <c r="AG589">
        <v>-6.47316E-2</v>
      </c>
      <c r="AH589">
        <v>0.53117081936462296</v>
      </c>
      <c r="AI589">
        <v>96.843973865430499</v>
      </c>
      <c r="AJ589">
        <v>80.018397840779699</v>
      </c>
      <c r="AK589">
        <v>0.54320517090588005</v>
      </c>
    </row>
    <row r="590" spans="1:37" x14ac:dyDescent="0.2">
      <c r="A590" t="str">
        <f>"20200111160109045"</f>
        <v>20200111160109045</v>
      </c>
      <c r="B590" t="str">
        <f>"1578729669041172"</f>
        <v>1578729669041172</v>
      </c>
      <c r="C590" t="s">
        <v>37</v>
      </c>
      <c r="D590">
        <v>4.9154879999999999</v>
      </c>
      <c r="E590">
        <v>0.52228269999999999</v>
      </c>
      <c r="F590" t="s">
        <v>42</v>
      </c>
      <c r="G590">
        <v>-281.03109999999998</v>
      </c>
      <c r="H590">
        <v>0.98866019999999899</v>
      </c>
      <c r="I590">
        <v>367.80130000000003</v>
      </c>
      <c r="J590">
        <v>-281.5274</v>
      </c>
      <c r="K590">
        <v>1.054289</v>
      </c>
      <c r="L590">
        <v>367.83690000000001</v>
      </c>
      <c r="M590">
        <v>0.99987490000000001</v>
      </c>
      <c r="N590">
        <v>0</v>
      </c>
      <c r="O590">
        <v>1.12297E-2</v>
      </c>
      <c r="P590">
        <v>0.99844650000000001</v>
      </c>
      <c r="Q590">
        <v>-1.9412619999999998E-2</v>
      </c>
      <c r="R590">
        <v>5.2228810000000001E-2</v>
      </c>
      <c r="S590">
        <v>3.0052189999999999</v>
      </c>
      <c r="T590">
        <v>-0.2360014</v>
      </c>
      <c r="U590">
        <v>-0.1131287</v>
      </c>
      <c r="V590">
        <v>-4.1004440000000003E-2</v>
      </c>
      <c r="W590">
        <v>-8.3235159999999996E-3</v>
      </c>
      <c r="X590">
        <v>0.99912429999999997</v>
      </c>
      <c r="Y590">
        <v>4.8653380000000003E-2</v>
      </c>
      <c r="Z590">
        <v>-2.787075E-3</v>
      </c>
      <c r="AA590">
        <v>0.99881180000000003</v>
      </c>
      <c r="AB590">
        <v>33</v>
      </c>
      <c r="AC590">
        <v>0.496300000000019</v>
      </c>
      <c r="AD590">
        <v>-6.5628800000000098E-2</v>
      </c>
      <c r="AE590">
        <v>-3.5599999999988002E-2</v>
      </c>
      <c r="AF590">
        <v>4.0467394207690202E-2</v>
      </c>
      <c r="AG590">
        <v>-6.5628800000000098E-2</v>
      </c>
      <c r="AH590">
        <v>0.48738983420740201</v>
      </c>
      <c r="AI590">
        <v>97.642968572415398</v>
      </c>
      <c r="AJ590">
        <v>85.253686752643304</v>
      </c>
      <c r="AK590">
        <v>0.49345070662845197</v>
      </c>
    </row>
    <row r="591" spans="1:37" x14ac:dyDescent="0.2">
      <c r="A591" t="str">
        <f>"20200111160109067"</f>
        <v>20200111160109067</v>
      </c>
      <c r="B591" t="str">
        <f>"1578729669061667"</f>
        <v>1578729669061667</v>
      </c>
      <c r="C591" t="s">
        <v>37</v>
      </c>
      <c r="D591">
        <v>4.8909330000000004</v>
      </c>
      <c r="E591">
        <v>0.51919669999999996</v>
      </c>
      <c r="F591" t="s">
        <v>42</v>
      </c>
      <c r="G591">
        <v>-280.73430000000002</v>
      </c>
      <c r="H591">
        <v>0.98736829999999998</v>
      </c>
      <c r="I591">
        <v>367.83420000000001</v>
      </c>
      <c r="J591">
        <v>-281.18299999999999</v>
      </c>
      <c r="K591">
        <v>1.0542910000000001</v>
      </c>
      <c r="L591">
        <v>367.84120000000001</v>
      </c>
      <c r="M591">
        <v>0.99986929999999996</v>
      </c>
      <c r="N591">
        <v>0</v>
      </c>
      <c r="O591">
        <v>1.1722130000000001E-2</v>
      </c>
      <c r="P591">
        <v>0.99837279999999995</v>
      </c>
      <c r="Q591">
        <v>-1.8931190000000001E-2</v>
      </c>
      <c r="R591">
        <v>5.3793559999999997E-2</v>
      </c>
      <c r="S591">
        <v>3.0002439999999999</v>
      </c>
      <c r="T591">
        <v>-0.25343480000000002</v>
      </c>
      <c r="U591">
        <v>-9.2773439999999999E-3</v>
      </c>
      <c r="V591">
        <v>-4.207843E-2</v>
      </c>
      <c r="W591">
        <v>-7.8409410000000006E-3</v>
      </c>
      <c r="X591">
        <v>0.99908349999999901</v>
      </c>
      <c r="Y591">
        <v>1.47206E-2</v>
      </c>
      <c r="Z591">
        <v>-1.6090999999999901E-3</v>
      </c>
      <c r="AA591">
        <v>0.99989030000000001</v>
      </c>
      <c r="AB591">
        <v>33</v>
      </c>
      <c r="AC591">
        <v>0.44869999999997301</v>
      </c>
      <c r="AD591">
        <v>-6.6922700000000002E-2</v>
      </c>
      <c r="AE591">
        <v>-7.0000000000049996E-3</v>
      </c>
      <c r="AF591">
        <v>1.1992847366320799E-2</v>
      </c>
      <c r="AG591">
        <v>-6.6922700000000002E-2</v>
      </c>
      <c r="AH591">
        <v>0.43882770741546201</v>
      </c>
      <c r="AI591">
        <v>98.667802449422396</v>
      </c>
      <c r="AJ591">
        <v>88.434536992665798</v>
      </c>
      <c r="AK591">
        <v>0.44406332088875899</v>
      </c>
    </row>
    <row r="592" spans="1:37" x14ac:dyDescent="0.2">
      <c r="A592" t="str">
        <f>"20200111160109088"</f>
        <v>20200111160109088</v>
      </c>
      <c r="B592" t="str">
        <f>"1578729669081187"</f>
        <v>1578729669081187</v>
      </c>
      <c r="C592" t="s">
        <v>37</v>
      </c>
      <c r="D592">
        <v>4.8621160000000003</v>
      </c>
      <c r="E592">
        <v>0.51744469999999998</v>
      </c>
      <c r="F592" t="s">
        <v>42</v>
      </c>
      <c r="G592">
        <v>-280.43389999999999</v>
      </c>
      <c r="H592">
        <v>0.98997819999999903</v>
      </c>
      <c r="I592">
        <v>367.84620000000001</v>
      </c>
      <c r="J592">
        <v>-280.87</v>
      </c>
      <c r="K592">
        <v>1.054541</v>
      </c>
      <c r="L592">
        <v>367.84530000000001</v>
      </c>
      <c r="M592">
        <v>0.99985279999999999</v>
      </c>
      <c r="N592">
        <v>0</v>
      </c>
      <c r="O592">
        <v>1.2110249999999999E-2</v>
      </c>
      <c r="P592">
        <v>0.99834020000000001</v>
      </c>
      <c r="Q592">
        <v>-2.028574E-2</v>
      </c>
      <c r="R592">
        <v>5.3903590000000001E-2</v>
      </c>
      <c r="S592">
        <v>2.9989319999999999</v>
      </c>
      <c r="T592">
        <v>-0.25773040000000003</v>
      </c>
      <c r="U592">
        <v>2.0324709999999999E-2</v>
      </c>
      <c r="V592">
        <v>-4.1800570000000002E-2</v>
      </c>
      <c r="W592">
        <v>-8.1731229999999992E-3</v>
      </c>
      <c r="X592">
        <v>0.99909249999999905</v>
      </c>
      <c r="Y592">
        <v>5.2701419999999898E-3</v>
      </c>
      <c r="Z592">
        <v>-1.2649250000000001E-3</v>
      </c>
      <c r="AA592">
        <v>0.99998529999999997</v>
      </c>
      <c r="AB592">
        <v>33</v>
      </c>
      <c r="AC592">
        <v>0.43610000000000998</v>
      </c>
      <c r="AD592">
        <v>-6.4562800000000004E-2</v>
      </c>
      <c r="AE592">
        <v>9.0000000000145497E-4</v>
      </c>
      <c r="AF592">
        <v>4.2877592590294797E-3</v>
      </c>
      <c r="AG592">
        <v>-6.4562800000000004E-2</v>
      </c>
      <c r="AH592">
        <v>0.42672615187631702</v>
      </c>
      <c r="AI592">
        <v>98.603055608866697</v>
      </c>
      <c r="AJ592">
        <v>89.424309382835901</v>
      </c>
      <c r="AK592">
        <v>0.43160392574497403</v>
      </c>
    </row>
    <row r="593" spans="1:37" x14ac:dyDescent="0.2">
      <c r="A593" t="str">
        <f>"20200111160109111"</f>
        <v>20200111160109111</v>
      </c>
      <c r="B593" t="str">
        <f>"1578729669101683"</f>
        <v>1578729669101683</v>
      </c>
      <c r="C593" t="s">
        <v>37</v>
      </c>
      <c r="D593">
        <v>4.8954949999999897</v>
      </c>
      <c r="E593">
        <v>0.51623960000000002</v>
      </c>
      <c r="F593" t="s">
        <v>42</v>
      </c>
      <c r="G593">
        <v>-280.1395</v>
      </c>
      <c r="H593">
        <v>0.99000719999999998</v>
      </c>
      <c r="I593">
        <v>367.8537</v>
      </c>
      <c r="J593">
        <v>-280.548</v>
      </c>
      <c r="K593">
        <v>1.0551979999999901</v>
      </c>
      <c r="L593">
        <v>367.84969999999998</v>
      </c>
      <c r="M593">
        <v>0.99983169999999899</v>
      </c>
      <c r="N593">
        <v>0</v>
      </c>
      <c r="O593">
        <v>1.2512850000000001E-2</v>
      </c>
      <c r="P593">
        <v>0.99834480000000003</v>
      </c>
      <c r="Q593">
        <v>-2.1607479999999998E-2</v>
      </c>
      <c r="R593">
        <v>5.329793E-2</v>
      </c>
      <c r="S593">
        <v>2.9977109999999998</v>
      </c>
      <c r="T593">
        <v>-0.2649106</v>
      </c>
      <c r="U593">
        <v>3.4698489999999999E-2</v>
      </c>
      <c r="V593">
        <v>-4.0793410000000002E-2</v>
      </c>
      <c r="W593">
        <v>-8.2344469999999902E-3</v>
      </c>
      <c r="X593">
        <v>0.99913359999999996</v>
      </c>
      <c r="Y593">
        <v>8.8760869999999895E-4</v>
      </c>
      <c r="Z593">
        <v>-1.1427849999999999E-3</v>
      </c>
      <c r="AA593">
        <v>0.99999889999999902</v>
      </c>
      <c r="AB593">
        <v>33</v>
      </c>
      <c r="AC593">
        <v>0.40850000000000303</v>
      </c>
      <c r="AD593">
        <v>-6.5190799999999799E-2</v>
      </c>
      <c r="AE593">
        <v>4.0000000000190898E-3</v>
      </c>
      <c r="AF593">
        <v>1.0846516769581901E-3</v>
      </c>
      <c r="AG593">
        <v>-6.5190799999999799E-2</v>
      </c>
      <c r="AH593">
        <v>0.398373415867249</v>
      </c>
      <c r="AI593">
        <v>99.293614131316204</v>
      </c>
      <c r="AJ593">
        <v>89.844001112292702</v>
      </c>
      <c r="AK593">
        <v>0.40367362478076302</v>
      </c>
    </row>
    <row r="594" spans="1:37" x14ac:dyDescent="0.2">
      <c r="A594" t="str">
        <f>"20200111160109134"</f>
        <v>20200111160109134</v>
      </c>
      <c r="B594" t="str">
        <f>"1578729669130963"</f>
        <v>1578729669130963</v>
      </c>
      <c r="C594" t="s">
        <v>37</v>
      </c>
      <c r="D594">
        <v>4.9482710000000001</v>
      </c>
      <c r="E594">
        <v>0.51550839999999998</v>
      </c>
      <c r="F594" t="s">
        <v>42</v>
      </c>
      <c r="G594">
        <v>-279.57260000000002</v>
      </c>
      <c r="H594">
        <v>0.96695089999999995</v>
      </c>
      <c r="I594">
        <v>367.86320000000001</v>
      </c>
      <c r="J594">
        <v>-280.2131</v>
      </c>
      <c r="K594">
        <v>1.055887</v>
      </c>
      <c r="L594">
        <v>367.8544</v>
      </c>
      <c r="M594">
        <v>0.99983449999999996</v>
      </c>
      <c r="N594">
        <v>0</v>
      </c>
      <c r="O594">
        <v>1.297473E-2</v>
      </c>
      <c r="P594">
        <v>0.99838859999999996</v>
      </c>
      <c r="Q594">
        <v>-2.1767140000000001E-2</v>
      </c>
      <c r="R594">
        <v>5.2406630000000003E-2</v>
      </c>
      <c r="S594">
        <v>2.996826</v>
      </c>
      <c r="T594">
        <v>-0.27145089999999999</v>
      </c>
      <c r="U594">
        <v>4.2602540000000001E-2</v>
      </c>
      <c r="V594">
        <v>-3.9438620000000001E-2</v>
      </c>
      <c r="W594">
        <v>-9.058979E-3</v>
      </c>
      <c r="X594">
        <v>0.99918090000000004</v>
      </c>
      <c r="Y594">
        <v>-1.2866209999999999E-3</v>
      </c>
      <c r="Z594">
        <v>-1.1146789999999999E-3</v>
      </c>
      <c r="AA594">
        <v>0.99999859999999896</v>
      </c>
      <c r="AB594">
        <v>32</v>
      </c>
      <c r="AC594">
        <v>0.64049999999997398</v>
      </c>
      <c r="AD594">
        <v>-8.8936100000000004E-2</v>
      </c>
      <c r="AE594">
        <v>8.8000000000079091E-3</v>
      </c>
      <c r="AF594">
        <v>-4.7903446750200302E-4</v>
      </c>
      <c r="AG594">
        <v>-8.8936100000000004E-2</v>
      </c>
      <c r="AH594">
        <v>0.62844581227385399</v>
      </c>
      <c r="AI594">
        <v>98.054866979914095</v>
      </c>
      <c r="AJ594">
        <v>90.043673849642005</v>
      </c>
      <c r="AK594">
        <v>0.63470780546782002</v>
      </c>
    </row>
    <row r="595" spans="1:37" x14ac:dyDescent="0.2">
      <c r="A595" t="str">
        <f>"20200111160109157"</f>
        <v>20200111160109157</v>
      </c>
      <c r="B595" t="str">
        <f>"1578729669151462"</f>
        <v>1578729669151462</v>
      </c>
      <c r="C595" t="s">
        <v>37</v>
      </c>
      <c r="D595">
        <v>4.8846989999999897</v>
      </c>
      <c r="E595">
        <v>0.51492099999999996</v>
      </c>
      <c r="F595" t="s">
        <v>42</v>
      </c>
      <c r="G595">
        <v>-279.27690000000001</v>
      </c>
      <c r="H595">
        <v>0.97086229999999996</v>
      </c>
      <c r="I595">
        <v>367.86860000000001</v>
      </c>
      <c r="J595">
        <v>-279.87900000000002</v>
      </c>
      <c r="K595">
        <v>1.0567089999999999</v>
      </c>
      <c r="L595">
        <v>367.85939999999999</v>
      </c>
      <c r="M595">
        <v>0.9998513</v>
      </c>
      <c r="N595">
        <v>0</v>
      </c>
      <c r="O595">
        <v>1.343243E-2</v>
      </c>
      <c r="P595">
        <v>0.99846859999999904</v>
      </c>
      <c r="Q595">
        <v>-1.9570919999999999E-2</v>
      </c>
      <c r="R595">
        <v>5.1747830000000002E-2</v>
      </c>
      <c r="S595">
        <v>2.9964599999999999</v>
      </c>
      <c r="T595">
        <v>-0.27218399999999998</v>
      </c>
      <c r="U595">
        <v>4.5471190000000002E-2</v>
      </c>
      <c r="V595">
        <v>-3.8320939999999998E-2</v>
      </c>
      <c r="W595">
        <v>-8.7966659999999999E-3</v>
      </c>
      <c r="X595">
        <v>0.99922670000000002</v>
      </c>
      <c r="Y595">
        <v>-1.7881139999999999E-3</v>
      </c>
      <c r="Z595">
        <v>-1.1365329999999999E-3</v>
      </c>
      <c r="AA595">
        <v>0.99999769999999899</v>
      </c>
      <c r="AB595">
        <v>33</v>
      </c>
      <c r="AC595">
        <v>0.60210000000000696</v>
      </c>
      <c r="AD595">
        <v>-8.5846700000000095E-2</v>
      </c>
      <c r="AE595">
        <v>9.2000000000211895E-3</v>
      </c>
      <c r="AF595">
        <v>-1.0889000518484601E-3</v>
      </c>
      <c r="AG595">
        <v>-8.5846700000000095E-2</v>
      </c>
      <c r="AH595">
        <v>0.59017456734525897</v>
      </c>
      <c r="AI595">
        <v>98.276176182118704</v>
      </c>
      <c r="AJ595">
        <v>90.105713309145003</v>
      </c>
      <c r="AK595">
        <v>0.59638650349029199</v>
      </c>
    </row>
    <row r="596" spans="1:37" x14ac:dyDescent="0.2">
      <c r="A596" t="str">
        <f>"20200111160109178"</f>
        <v>20200111160109178</v>
      </c>
      <c r="B596" t="str">
        <f>"1578729669170979"</f>
        <v>1578729669170979</v>
      </c>
      <c r="C596" t="s">
        <v>37</v>
      </c>
      <c r="D596">
        <v>4.7805540000000004</v>
      </c>
      <c r="E596">
        <v>0.51457249999999999</v>
      </c>
      <c r="F596" t="s">
        <v>42</v>
      </c>
      <c r="G596">
        <v>-278.97910000000002</v>
      </c>
      <c r="H596">
        <v>0.97725239999999902</v>
      </c>
      <c r="I596">
        <v>367.87360000000001</v>
      </c>
      <c r="J596">
        <v>-279.55610000000001</v>
      </c>
      <c r="K596">
        <v>1.057812</v>
      </c>
      <c r="L596">
        <v>367.86430000000001</v>
      </c>
      <c r="M596">
        <v>0.99986430000000004</v>
      </c>
      <c r="N596">
        <v>0</v>
      </c>
      <c r="O596">
        <v>1.390779E-2</v>
      </c>
      <c r="P596">
        <v>0.99853069999999899</v>
      </c>
      <c r="Q596">
        <v>-1.718047E-2</v>
      </c>
      <c r="R596">
        <v>5.1394380000000003E-2</v>
      </c>
      <c r="S596">
        <v>2.9969480000000002</v>
      </c>
      <c r="T596">
        <v>-0.26486890000000002</v>
      </c>
      <c r="U596">
        <v>4.8187260000000003E-2</v>
      </c>
      <c r="V596">
        <v>-3.7492480000000002E-2</v>
      </c>
      <c r="W596">
        <v>-8.3952430000000001E-3</v>
      </c>
      <c r="X596">
        <v>0.99926159999999997</v>
      </c>
      <c r="Y596">
        <v>-2.2141739999999902E-3</v>
      </c>
      <c r="Z596">
        <v>-1.129031E-3</v>
      </c>
      <c r="AA596">
        <v>0.99999689999999997</v>
      </c>
      <c r="AB596">
        <v>33</v>
      </c>
      <c r="AC596">
        <v>0.57699999999999796</v>
      </c>
      <c r="AD596">
        <v>-8.0559599999999995E-2</v>
      </c>
      <c r="AE596">
        <v>9.2999999999960892E-3</v>
      </c>
      <c r="AF596">
        <v>-1.2496396775399099E-3</v>
      </c>
      <c r="AG596">
        <v>-8.0559599999999995E-2</v>
      </c>
      <c r="AH596">
        <v>0.56604242844267605</v>
      </c>
      <c r="AI596">
        <v>98.099963923863498</v>
      </c>
      <c r="AJ596">
        <v>90.126490452864999</v>
      </c>
      <c r="AK596">
        <v>0.57174770795234997</v>
      </c>
    </row>
    <row r="597" spans="1:37" x14ac:dyDescent="0.2">
      <c r="A597" t="str">
        <f>"20200111160109200"</f>
        <v>20200111160109200</v>
      </c>
      <c r="B597" t="str">
        <f>"1578729669191475"</f>
        <v>1578729669191475</v>
      </c>
      <c r="C597" t="s">
        <v>37</v>
      </c>
      <c r="D597">
        <v>4.742216</v>
      </c>
      <c r="E597">
        <v>0.51442219999999905</v>
      </c>
      <c r="F597" t="s">
        <v>42</v>
      </c>
      <c r="G597">
        <v>-278.6816</v>
      </c>
      <c r="H597">
        <v>0.98254799999999998</v>
      </c>
      <c r="I597">
        <v>367.87860000000001</v>
      </c>
      <c r="J597">
        <v>-279.23590000000002</v>
      </c>
      <c r="K597">
        <v>1.0591839999999999</v>
      </c>
      <c r="L597">
        <v>367.86939999999998</v>
      </c>
      <c r="M597">
        <v>0.99987130000000002</v>
      </c>
      <c r="N597">
        <v>0</v>
      </c>
      <c r="O597">
        <v>1.4429030000000001E-2</v>
      </c>
      <c r="P597">
        <v>0.99853930000000002</v>
      </c>
      <c r="Q597">
        <v>-1.549677E-2</v>
      </c>
      <c r="R597">
        <v>5.1762919999999997E-2</v>
      </c>
      <c r="S597">
        <v>2.9974669999999999</v>
      </c>
      <c r="T597">
        <v>-0.25815640000000001</v>
      </c>
      <c r="U597">
        <v>4.9530030000000003E-2</v>
      </c>
      <c r="V597">
        <v>-3.734092E-2</v>
      </c>
      <c r="W597">
        <v>-8.5207359999999992E-3</v>
      </c>
      <c r="X597">
        <v>0.99926630000000005</v>
      </c>
      <c r="Y597">
        <v>-2.1380520000000001E-3</v>
      </c>
      <c r="Z597">
        <v>-1.1483859999999999E-3</v>
      </c>
      <c r="AA597">
        <v>0.99999709999999997</v>
      </c>
      <c r="AB597">
        <v>33</v>
      </c>
      <c r="AC597">
        <v>0.55430000000001201</v>
      </c>
      <c r="AD597">
        <v>-7.6636000000000107E-2</v>
      </c>
      <c r="AE597">
        <v>9.2000000000211895E-3</v>
      </c>
      <c r="AF597">
        <v>-1.1783167591266699E-3</v>
      </c>
      <c r="AG597">
        <v>-7.6636000000000107E-2</v>
      </c>
      <c r="AH597">
        <v>0.54397969625485498</v>
      </c>
      <c r="AI597">
        <v>98.019051384271705</v>
      </c>
      <c r="AJ597">
        <v>90.124108440264806</v>
      </c>
      <c r="AK597">
        <v>0.54935268713633201</v>
      </c>
    </row>
    <row r="598" spans="1:37" x14ac:dyDescent="0.2">
      <c r="A598" t="str">
        <f>"20200111160109222"</f>
        <v>20200111160109222</v>
      </c>
      <c r="B598" t="str">
        <f>"1578729669210995"</f>
        <v>1578729669210995</v>
      </c>
      <c r="C598" t="s">
        <v>37</v>
      </c>
      <c r="D598">
        <v>4.735125</v>
      </c>
      <c r="E598">
        <v>0.51419369999999998</v>
      </c>
      <c r="F598" t="s">
        <v>42</v>
      </c>
      <c r="G598">
        <v>-278.38440000000003</v>
      </c>
      <c r="H598">
        <v>0.98737540000000001</v>
      </c>
      <c r="I598">
        <v>367.88389999999998</v>
      </c>
      <c r="J598">
        <v>-278.90210000000002</v>
      </c>
      <c r="K598">
        <v>1.0607709999999999</v>
      </c>
      <c r="L598">
        <v>367.87479999999999</v>
      </c>
      <c r="M598">
        <v>0.99987349999999997</v>
      </c>
      <c r="N598">
        <v>0</v>
      </c>
      <c r="O598">
        <v>1.5017539999999999E-2</v>
      </c>
      <c r="P598">
        <v>0.99851889999999999</v>
      </c>
      <c r="Q598">
        <v>-1.397262E-2</v>
      </c>
      <c r="R598">
        <v>5.2581299999999997E-2</v>
      </c>
      <c r="S598">
        <v>2.99780299999999</v>
      </c>
      <c r="T598">
        <v>-0.25305630000000001</v>
      </c>
      <c r="U598">
        <v>5.1757810000000001E-2</v>
      </c>
      <c r="V598">
        <v>-3.7571460000000001E-2</v>
      </c>
      <c r="W598">
        <v>-8.7636090000000003E-3</v>
      </c>
      <c r="X598">
        <v>0.99925549999999996</v>
      </c>
      <c r="Y598">
        <v>-2.2904710000000001E-3</v>
      </c>
      <c r="Z598">
        <v>-1.168791E-3</v>
      </c>
      <c r="AA598">
        <v>0.99999669999999896</v>
      </c>
      <c r="AB598">
        <v>33</v>
      </c>
      <c r="AC598">
        <v>0.51769999999998995</v>
      </c>
      <c r="AD598">
        <v>-7.33955999999997E-2</v>
      </c>
      <c r="AE598">
        <v>9.0999999999894499E-3</v>
      </c>
      <c r="AF598">
        <v>-1.2982015232206501E-3</v>
      </c>
      <c r="AG598">
        <v>-7.33955999999997E-2</v>
      </c>
      <c r="AH598">
        <v>0.50757937467346703</v>
      </c>
      <c r="AI598">
        <v>98.227871287190297</v>
      </c>
      <c r="AJ598">
        <v>90.146541230321006</v>
      </c>
      <c r="AK598">
        <v>0.51286004038183997</v>
      </c>
    </row>
    <row r="599" spans="1:37" x14ac:dyDescent="0.2">
      <c r="A599" t="str">
        <f>"20200111160109246"</f>
        <v>20200111160109246</v>
      </c>
      <c r="B599" t="str">
        <f>"1578729669241252"</f>
        <v>1578729669241252</v>
      </c>
      <c r="C599" t="s">
        <v>37</v>
      </c>
      <c r="D599">
        <v>4.7146089999999896</v>
      </c>
      <c r="E599">
        <v>0.51396540000000002</v>
      </c>
      <c r="F599" t="s">
        <v>42</v>
      </c>
      <c r="G599">
        <v>-278.0865</v>
      </c>
      <c r="H599">
        <v>0.99282479999999995</v>
      </c>
      <c r="I599">
        <v>367.89</v>
      </c>
      <c r="J599">
        <v>-278.56380000000001</v>
      </c>
      <c r="K599">
        <v>1.062549</v>
      </c>
      <c r="L599">
        <v>367.88069999999999</v>
      </c>
      <c r="M599">
        <v>0.99988060000000001</v>
      </c>
      <c r="N599">
        <v>0</v>
      </c>
      <c r="O599">
        <v>1.497953E-2</v>
      </c>
      <c r="P599">
        <v>0.99849359999999998</v>
      </c>
      <c r="Q599">
        <v>-1.227576E-2</v>
      </c>
      <c r="R599">
        <v>5.3483169999999997E-2</v>
      </c>
      <c r="S599">
        <v>2.9980159999999998</v>
      </c>
      <c r="T599">
        <v>-0.24985199999999999</v>
      </c>
      <c r="U599">
        <v>5.5816650000000002E-2</v>
      </c>
      <c r="V599">
        <v>-3.8511160000000003E-2</v>
      </c>
      <c r="W599">
        <v>-8.4878169999999999E-3</v>
      </c>
      <c r="X599">
        <v>0.9992221</v>
      </c>
      <c r="Y599">
        <v>-3.6746750000000001E-3</v>
      </c>
      <c r="Z599">
        <v>-1.0931999999999999E-3</v>
      </c>
      <c r="AA599">
        <v>0.99999269999999996</v>
      </c>
      <c r="AB599">
        <v>33</v>
      </c>
      <c r="AC599">
        <v>0.47730000000001299</v>
      </c>
      <c r="AD599">
        <v>-6.97242E-2</v>
      </c>
      <c r="AE599">
        <v>9.2999999999960892E-3</v>
      </c>
      <c r="AF599">
        <v>-2.1042879756423701E-3</v>
      </c>
      <c r="AG599">
        <v>-6.97242E-2</v>
      </c>
      <c r="AH599">
        <v>0.46741513771943299</v>
      </c>
      <c r="AI599">
        <v>98.484152266552499</v>
      </c>
      <c r="AJ599">
        <v>90.257942021186096</v>
      </c>
      <c r="AK599">
        <v>0.47259158166729998</v>
      </c>
    </row>
    <row r="600" spans="1:37" x14ac:dyDescent="0.2">
      <c r="A600" t="str">
        <f>"20200111160109268"</f>
        <v>20200111160109268</v>
      </c>
      <c r="B600" t="str">
        <f>"1578729669260771"</f>
        <v>1578729669260771</v>
      </c>
      <c r="C600" t="s">
        <v>37</v>
      </c>
      <c r="D600">
        <v>4.6744329999999996</v>
      </c>
      <c r="E600">
        <v>0.51390219999999998</v>
      </c>
      <c r="F600" t="s">
        <v>42</v>
      </c>
      <c r="G600">
        <v>-277.78730000000002</v>
      </c>
      <c r="H600">
        <v>0.99908779999999997</v>
      </c>
      <c r="I600">
        <v>367.89620000000002</v>
      </c>
      <c r="J600">
        <v>-278.23039999999997</v>
      </c>
      <c r="K600">
        <v>1.064457</v>
      </c>
      <c r="L600">
        <v>367.88679999999999</v>
      </c>
      <c r="M600">
        <v>0.99988500000000002</v>
      </c>
      <c r="N600">
        <v>0</v>
      </c>
      <c r="O600">
        <v>1.480128E-2</v>
      </c>
      <c r="P600">
        <v>0.99843760000000004</v>
      </c>
      <c r="Q600">
        <v>-1.1127649999999999E-2</v>
      </c>
      <c r="R600">
        <v>5.4761129999999998E-2</v>
      </c>
      <c r="S600">
        <v>2.99823</v>
      </c>
      <c r="T600">
        <v>-0.24524760000000001</v>
      </c>
      <c r="U600">
        <v>6.063843E-2</v>
      </c>
      <c r="V600">
        <v>-3.9971689999999997E-2</v>
      </c>
      <c r="W600">
        <v>-7.8398140000000005E-3</v>
      </c>
      <c r="X600">
        <v>0.99917009999999995</v>
      </c>
      <c r="Y600">
        <v>-5.4512669999999897E-3</v>
      </c>
      <c r="Z600">
        <v>-9.8593859999999999E-4</v>
      </c>
      <c r="AA600">
        <v>0.99998469999999995</v>
      </c>
      <c r="AB600">
        <v>33</v>
      </c>
      <c r="AC600">
        <v>0.44309999999995803</v>
      </c>
      <c r="AD600">
        <v>-6.5369199999999905E-2</v>
      </c>
      <c r="AE600">
        <v>9.4000000000278305E-3</v>
      </c>
      <c r="AF600">
        <v>-2.7800098343029301E-3</v>
      </c>
      <c r="AG600">
        <v>-6.5369199999999905E-2</v>
      </c>
      <c r="AH600">
        <v>0.43375451660288999</v>
      </c>
      <c r="AI600">
        <v>98.570121918748896</v>
      </c>
      <c r="AJ600">
        <v>90.367213812154006</v>
      </c>
      <c r="AK600">
        <v>0.43866142004594599</v>
      </c>
    </row>
    <row r="601" spans="1:37" x14ac:dyDescent="0.2">
      <c r="A601" t="str">
        <f>"20200111160109290"</f>
        <v>20200111160109290</v>
      </c>
      <c r="B601" t="str">
        <f>"1578729669281271"</f>
        <v>1578729669281271</v>
      </c>
      <c r="C601" t="s">
        <v>37</v>
      </c>
      <c r="D601">
        <v>4.7118929999999999</v>
      </c>
      <c r="E601">
        <v>0.51375969999999904</v>
      </c>
      <c r="F601" t="s">
        <v>42</v>
      </c>
      <c r="G601">
        <v>-277.49009999999998</v>
      </c>
      <c r="H601">
        <v>1.004724</v>
      </c>
      <c r="I601">
        <v>367.90260000000001</v>
      </c>
      <c r="J601">
        <v>-277.91550000000001</v>
      </c>
      <c r="K601">
        <v>1.066424</v>
      </c>
      <c r="L601">
        <v>367.89280000000002</v>
      </c>
      <c r="M601">
        <v>0.99987409999999999</v>
      </c>
      <c r="N601">
        <v>0</v>
      </c>
      <c r="O601">
        <v>1.5501300000000001E-2</v>
      </c>
      <c r="P601">
        <v>0.99834259999999997</v>
      </c>
      <c r="Q601">
        <v>-1.0927070000000001E-2</v>
      </c>
      <c r="R601">
        <v>5.6501429999999998E-2</v>
      </c>
      <c r="S601">
        <v>2.9984439999999899</v>
      </c>
      <c r="T601">
        <v>-0.2420255</v>
      </c>
      <c r="U601">
        <v>6.4331050000000001E-2</v>
      </c>
      <c r="V601">
        <v>-4.1021849999999999E-2</v>
      </c>
      <c r="W601">
        <v>-7.5167209999999996E-3</v>
      </c>
      <c r="X601">
        <v>0.99912999999999996</v>
      </c>
      <c r="Y601">
        <v>-5.9804230000000003E-3</v>
      </c>
      <c r="Z601">
        <v>-1.008021E-3</v>
      </c>
      <c r="AA601">
        <v>0.99998159999999903</v>
      </c>
      <c r="AB601">
        <v>33</v>
      </c>
      <c r="AC601">
        <v>0.42540000000002398</v>
      </c>
      <c r="AD601">
        <v>-6.1699999999999998E-2</v>
      </c>
      <c r="AE601">
        <v>9.7999999999842605E-3</v>
      </c>
      <c r="AF601">
        <v>-3.1385423662411301E-3</v>
      </c>
      <c r="AG601">
        <v>-6.1699999999999998E-2</v>
      </c>
      <c r="AH601">
        <v>0.41673868911918499</v>
      </c>
      <c r="AI601">
        <v>98.421477995680902</v>
      </c>
      <c r="AJ601">
        <v>90.431497809983298</v>
      </c>
      <c r="AK601">
        <v>0.42129309922779601</v>
      </c>
    </row>
    <row r="602" spans="1:37" x14ac:dyDescent="0.2">
      <c r="A602" t="str">
        <f>"20200111160109311"</f>
        <v>20200111160109311</v>
      </c>
      <c r="B602" t="str">
        <f>"1578729669300791"</f>
        <v>1578729669300791</v>
      </c>
      <c r="C602" t="s">
        <v>37</v>
      </c>
      <c r="D602">
        <v>4.6764769999999896</v>
      </c>
      <c r="E602">
        <v>0.51363499999999995</v>
      </c>
      <c r="F602" t="s">
        <v>42</v>
      </c>
      <c r="G602">
        <v>-276.9171</v>
      </c>
      <c r="H602">
        <v>0.98624409999999896</v>
      </c>
      <c r="I602">
        <v>367.9162</v>
      </c>
      <c r="J602">
        <v>-277.59070000000003</v>
      </c>
      <c r="K602">
        <v>1.068808</v>
      </c>
      <c r="L602">
        <v>367.89870000000002</v>
      </c>
      <c r="M602">
        <v>0.99984689999999998</v>
      </c>
      <c r="N602">
        <v>0</v>
      </c>
      <c r="O602">
        <v>1.7168260000000001E-2</v>
      </c>
      <c r="P602">
        <v>0.99824299999999999</v>
      </c>
      <c r="Q602">
        <v>-1.1373640000000001E-2</v>
      </c>
      <c r="R602">
        <v>5.8153690000000001E-2</v>
      </c>
      <c r="S602">
        <v>2.9983219999999999</v>
      </c>
      <c r="T602">
        <v>-0.240910399999999</v>
      </c>
      <c r="U602">
        <v>7.0861820000000006E-2</v>
      </c>
      <c r="V602">
        <v>-4.1016480000000001E-2</v>
      </c>
      <c r="W602">
        <v>-7.9439309999999996E-3</v>
      </c>
      <c r="X602">
        <v>0.99912690000000004</v>
      </c>
      <c r="Y602">
        <v>-6.4945489999999996E-3</v>
      </c>
      <c r="Z602">
        <v>-1.1164619999999999E-3</v>
      </c>
      <c r="AA602">
        <v>0.99997829999999999</v>
      </c>
      <c r="AB602">
        <v>33</v>
      </c>
      <c r="AC602">
        <v>0.67360000000002096</v>
      </c>
      <c r="AD602">
        <v>-8.2563900000000107E-2</v>
      </c>
      <c r="AE602">
        <v>1.7499999999984001E-2</v>
      </c>
      <c r="AF602">
        <v>-5.8450596537839798E-3</v>
      </c>
      <c r="AG602">
        <v>-8.2563900000000107E-2</v>
      </c>
      <c r="AH602">
        <v>0.66383465567721001</v>
      </c>
      <c r="AI602">
        <v>97.089437188799295</v>
      </c>
      <c r="AJ602">
        <v>90.5044759144089</v>
      </c>
      <c r="AK602">
        <v>0.66897489667673304</v>
      </c>
    </row>
    <row r="603" spans="1:37" x14ac:dyDescent="0.2">
      <c r="A603" t="str">
        <f>"20200111160109334"</f>
        <v>20200111160109334</v>
      </c>
      <c r="B603" t="str">
        <f>"1578729669331047"</f>
        <v>1578729669331047</v>
      </c>
      <c r="C603" t="s">
        <v>37</v>
      </c>
      <c r="D603">
        <v>4.2575129999999897</v>
      </c>
      <c r="E603">
        <v>0.49976779999999998</v>
      </c>
      <c r="F603" t="s">
        <v>42</v>
      </c>
      <c r="G603">
        <v>-276.62079999999997</v>
      </c>
      <c r="H603">
        <v>0.99081989999999998</v>
      </c>
      <c r="I603">
        <v>367.92320000000001</v>
      </c>
      <c r="J603">
        <v>-277.25400000000002</v>
      </c>
      <c r="K603">
        <v>1.0717319999999999</v>
      </c>
      <c r="L603">
        <v>367.90469999999999</v>
      </c>
      <c r="M603">
        <v>0.99982190000000004</v>
      </c>
      <c r="N603">
        <v>0</v>
      </c>
      <c r="O603">
        <v>1.859266E-2</v>
      </c>
      <c r="P603">
        <v>0.99816949999999904</v>
      </c>
      <c r="Q603">
        <v>-1.168405E-2</v>
      </c>
      <c r="R603">
        <v>5.9338540000000002E-2</v>
      </c>
      <c r="S603">
        <v>2.9981080000000002</v>
      </c>
      <c r="T603">
        <v>-0.24133179999999901</v>
      </c>
      <c r="U603">
        <v>7.6629639999999999E-2</v>
      </c>
      <c r="V603">
        <v>-4.0780499999999997E-2</v>
      </c>
      <c r="W603">
        <v>-8.3889629999999993E-3</v>
      </c>
      <c r="X603">
        <v>0.99913289999999999</v>
      </c>
      <c r="Y603">
        <v>-6.9973569999999896E-3</v>
      </c>
      <c r="Z603">
        <v>-1.2126819999999901E-3</v>
      </c>
      <c r="AA603">
        <v>0.99997479999999905</v>
      </c>
      <c r="AB603">
        <v>33</v>
      </c>
      <c r="AC603">
        <v>0.63320000000004395</v>
      </c>
      <c r="AD603">
        <v>-8.0912099999999806E-2</v>
      </c>
      <c r="AE603">
        <v>1.8500000000017201E-2</v>
      </c>
      <c r="AF603">
        <v>-6.6159322490578999E-3</v>
      </c>
      <c r="AG603">
        <v>-8.0912099999999806E-2</v>
      </c>
      <c r="AH603">
        <v>0.62326621541222804</v>
      </c>
      <c r="AI603">
        <v>97.396329043058103</v>
      </c>
      <c r="AJ603">
        <v>90.608168307079694</v>
      </c>
      <c r="AK603">
        <v>0.62853107620881898</v>
      </c>
    </row>
    <row r="604" spans="1:37" x14ac:dyDescent="0.2">
      <c r="A604" t="str">
        <f>"20200111160109424"</f>
        <v>20200111160109424</v>
      </c>
      <c r="B604" t="str">
        <f>"1578729669421403"</f>
        <v>1578729669421403</v>
      </c>
      <c r="C604" t="s">
        <v>37</v>
      </c>
      <c r="D604">
        <v>4.4574720000000001</v>
      </c>
      <c r="E604">
        <v>0.47157709999999903</v>
      </c>
      <c r="F604" t="s">
        <v>38</v>
      </c>
      <c r="G604">
        <v>-232.0128</v>
      </c>
      <c r="H604" s="1">
        <v>-3.68367599999999E-6</v>
      </c>
      <c r="I604">
        <v>370.64949999999999</v>
      </c>
      <c r="J604">
        <v>-275.91919999999999</v>
      </c>
      <c r="K604">
        <v>1.0843039999999999</v>
      </c>
      <c r="L604">
        <v>367.93180000000001</v>
      </c>
      <c r="M604">
        <v>0.99977899999999997</v>
      </c>
      <c r="N604">
        <v>0</v>
      </c>
      <c r="O604">
        <v>2.0578550000000001E-2</v>
      </c>
      <c r="P604">
        <v>0.99829669999999904</v>
      </c>
      <c r="Q604">
        <v>-1.3886030000000001E-2</v>
      </c>
      <c r="R604">
        <v>5.6666040000000001E-2</v>
      </c>
      <c r="S604">
        <v>2.9938660000000001</v>
      </c>
      <c r="T604">
        <v>-7.0922730000000003E-2</v>
      </c>
      <c r="U604">
        <v>0.18164059999999899</v>
      </c>
      <c r="V604">
        <v>-3.610501E-2</v>
      </c>
      <c r="W604">
        <v>-9.5675069999999994E-3</v>
      </c>
      <c r="X604">
        <v>0.99930219999999903</v>
      </c>
      <c r="Y604">
        <v>-4.0000349999999997E-2</v>
      </c>
      <c r="Z604" s="1">
        <v>-1.35896799999999E-5</v>
      </c>
      <c r="AA604">
        <v>0.99919969999999902</v>
      </c>
      <c r="AB604">
        <v>33</v>
      </c>
      <c r="AC604">
        <v>43.906399999999898</v>
      </c>
      <c r="AD604">
        <v>-1.0843076836759999</v>
      </c>
      <c r="AE604">
        <v>2.7176999999999798</v>
      </c>
      <c r="AF604">
        <v>-1.8124849010908499</v>
      </c>
      <c r="AG604">
        <v>-1.0843076836759999</v>
      </c>
      <c r="AH604">
        <v>43.926341159462801</v>
      </c>
      <c r="AI604">
        <v>91.412839120941499</v>
      </c>
      <c r="AJ604">
        <v>92.362793200825195</v>
      </c>
      <c r="AK604">
        <v>43.977088038284997</v>
      </c>
    </row>
    <row r="605" spans="1:37" x14ac:dyDescent="0.2">
      <c r="A605" t="str">
        <f>"20200111160109446"</f>
        <v>20200111160109446</v>
      </c>
      <c r="B605" t="str">
        <f>"1578729669440921"</f>
        <v>1578729669440921</v>
      </c>
      <c r="C605" t="s">
        <v>37</v>
      </c>
      <c r="D605">
        <v>6.3710370000000003</v>
      </c>
      <c r="E605">
        <v>0.46673369999999997</v>
      </c>
      <c r="F605" t="s">
        <v>53</v>
      </c>
      <c r="G605">
        <v>-169.2955</v>
      </c>
      <c r="H605">
        <v>1.8290789999999999</v>
      </c>
      <c r="I605">
        <v>381.98759999999999</v>
      </c>
      <c r="J605">
        <v>-275.57339999999999</v>
      </c>
      <c r="K605">
        <v>1.087051</v>
      </c>
      <c r="L605">
        <v>367.93950000000001</v>
      </c>
      <c r="M605">
        <v>0.99976520000000002</v>
      </c>
      <c r="N605">
        <v>0</v>
      </c>
      <c r="O605">
        <v>2.1112860000000001E-2</v>
      </c>
      <c r="P605">
        <v>0.99824089999999999</v>
      </c>
      <c r="Q605">
        <v>-1.480067E-2</v>
      </c>
      <c r="R605">
        <v>5.7415229999999998E-2</v>
      </c>
      <c r="S605">
        <v>2.9830930000000002</v>
      </c>
      <c r="T605">
        <v>2.0839570000000002E-2</v>
      </c>
      <c r="U605">
        <v>0.39324949999999997</v>
      </c>
      <c r="V605">
        <v>-3.6320270000000002E-2</v>
      </c>
      <c r="W605">
        <v>-9.9349079999999992E-3</v>
      </c>
      <c r="X605">
        <v>0.99929080000000003</v>
      </c>
      <c r="Y605">
        <v>-0.1097321</v>
      </c>
      <c r="Z605">
        <v>-2.3483489999999999E-4</v>
      </c>
      <c r="AA605">
        <v>0.99396119999999899</v>
      </c>
      <c r="AB605">
        <v>33</v>
      </c>
      <c r="AC605">
        <v>106.2779</v>
      </c>
      <c r="AD605">
        <v>0.74202800000000002</v>
      </c>
      <c r="AE605">
        <v>14.0480999999999</v>
      </c>
      <c r="AF605">
        <v>-11.8005460973983</v>
      </c>
      <c r="AG605">
        <v>0.74202800000000002</v>
      </c>
      <c r="AH605">
        <v>106.54570438010199</v>
      </c>
      <c r="AI605">
        <v>89.603400153511402</v>
      </c>
      <c r="AJ605">
        <v>96.320076818151193</v>
      </c>
      <c r="AK605">
        <v>107.199769662074</v>
      </c>
    </row>
    <row r="606" spans="1:37" x14ac:dyDescent="0.2">
      <c r="A606" t="str">
        <f>"20200111160109514"</f>
        <v>20200111160109514</v>
      </c>
      <c r="B606" t="str">
        <f>"1578729669501434"</f>
        <v>1578729669501434</v>
      </c>
      <c r="C606" t="s">
        <v>37</v>
      </c>
      <c r="D606">
        <v>3.1282169999999998</v>
      </c>
      <c r="E606">
        <v>0.465610999999999</v>
      </c>
      <c r="F606" t="s">
        <v>53</v>
      </c>
      <c r="G606">
        <v>-169.2955</v>
      </c>
      <c r="H606">
        <v>2.5213109999999999</v>
      </c>
      <c r="I606">
        <v>383.36430000000001</v>
      </c>
      <c r="J606">
        <v>-274.58589999999998</v>
      </c>
      <c r="K606">
        <v>1.0933280000000001</v>
      </c>
      <c r="L606">
        <v>367.96260000000001</v>
      </c>
      <c r="M606">
        <v>0.99971739999999998</v>
      </c>
      <c r="N606">
        <v>0</v>
      </c>
      <c r="O606">
        <v>2.2874390000000001E-2</v>
      </c>
      <c r="P606">
        <v>0.99804780000000004</v>
      </c>
      <c r="Q606">
        <v>-1.460491E-2</v>
      </c>
      <c r="R606">
        <v>6.0725149999999999E-2</v>
      </c>
      <c r="S606">
        <v>2.980988</v>
      </c>
      <c r="T606">
        <v>4.0231940000000001E-2</v>
      </c>
      <c r="U606">
        <v>0.43264769999999902</v>
      </c>
      <c r="V606">
        <v>-3.7872309999999999E-2</v>
      </c>
      <c r="W606">
        <v>-8.1670040000000003E-3</v>
      </c>
      <c r="X606">
        <v>0.99924919999999995</v>
      </c>
      <c r="Y606">
        <v>-0.1209469</v>
      </c>
      <c r="Z606">
        <v>-5.0491670000000002E-4</v>
      </c>
      <c r="AA606">
        <v>0.99265890000000001</v>
      </c>
      <c r="AB606">
        <v>34</v>
      </c>
      <c r="AC606">
        <v>105.290399999999</v>
      </c>
      <c r="AD606">
        <v>1.42798299999999</v>
      </c>
      <c r="AE606">
        <v>15.4017</v>
      </c>
      <c r="AF606">
        <v>-12.986827105792599</v>
      </c>
      <c r="AG606">
        <v>1.42798299999999</v>
      </c>
      <c r="AH606">
        <v>105.59614503975401</v>
      </c>
      <c r="AI606">
        <v>89.231025996238202</v>
      </c>
      <c r="AJ606">
        <v>97.011359017728196</v>
      </c>
      <c r="AK606">
        <v>106.401328285792</v>
      </c>
    </row>
    <row r="607" spans="1:37" x14ac:dyDescent="0.2">
      <c r="A607" t="str">
        <f>"20200111160109535"</f>
        <v>20200111160109535</v>
      </c>
      <c r="B607" t="str">
        <f>"1578729669531690"</f>
        <v>1578729669531690</v>
      </c>
      <c r="C607" t="s">
        <v>37</v>
      </c>
      <c r="D607">
        <v>3.039472</v>
      </c>
      <c r="E607">
        <v>0.54589799999999999</v>
      </c>
      <c r="F607" t="s">
        <v>53</v>
      </c>
      <c r="G607">
        <v>-169.2955</v>
      </c>
      <c r="H607">
        <v>2.441608</v>
      </c>
      <c r="I607">
        <v>383.92759999999998</v>
      </c>
      <c r="J607">
        <v>-274.24770000000001</v>
      </c>
      <c r="K607">
        <v>1.094994</v>
      </c>
      <c r="L607">
        <v>367.97089999999997</v>
      </c>
      <c r="M607">
        <v>0.99970049999999899</v>
      </c>
      <c r="N607">
        <v>0</v>
      </c>
      <c r="O607">
        <v>2.3463319999999999E-2</v>
      </c>
      <c r="P607">
        <v>0.997995999999999</v>
      </c>
      <c r="Q607">
        <v>-1.4737510000000001E-2</v>
      </c>
      <c r="R607">
        <v>6.1537010000000003E-2</v>
      </c>
      <c r="S607">
        <v>2.9789430000000001</v>
      </c>
      <c r="T607">
        <v>3.8148880000000003E-2</v>
      </c>
      <c r="U607">
        <v>0.4516907</v>
      </c>
      <c r="V607">
        <v>-3.8095879999999999E-2</v>
      </c>
      <c r="W607">
        <v>-7.8148239999999997E-3</v>
      </c>
      <c r="X607">
        <v>0.99924360000000001</v>
      </c>
      <c r="Y607">
        <v>-0.126666</v>
      </c>
      <c r="Z607">
        <v>-5.0780200000000001E-4</v>
      </c>
      <c r="AA607">
        <v>0.99194530000000003</v>
      </c>
      <c r="AB607">
        <v>34</v>
      </c>
      <c r="AC607">
        <v>104.9522</v>
      </c>
      <c r="AD607">
        <v>1.346614</v>
      </c>
      <c r="AE607">
        <v>15.9567</v>
      </c>
      <c r="AF607">
        <v>-13.4875499959842</v>
      </c>
      <c r="AG607">
        <v>1.346614</v>
      </c>
      <c r="AH607">
        <v>105.28077075837</v>
      </c>
      <c r="AI607">
        <v>89.2731271328921</v>
      </c>
      <c r="AJ607">
        <v>97.300413468260899</v>
      </c>
      <c r="AK607">
        <v>106.14974359665599</v>
      </c>
    </row>
    <row r="608" spans="1:37" x14ac:dyDescent="0.2">
      <c r="A608" t="str">
        <f>"20200111160109559"</f>
        <v>20200111160109559</v>
      </c>
      <c r="B608" t="str">
        <f>"1578729669551209"</f>
        <v>1578729669551209</v>
      </c>
      <c r="C608" t="s">
        <v>37</v>
      </c>
      <c r="D608">
        <v>3.2080660000000001</v>
      </c>
      <c r="E608">
        <v>0.54397109999999904</v>
      </c>
      <c r="F608" t="s">
        <v>43</v>
      </c>
      <c r="G608">
        <v>0</v>
      </c>
      <c r="H608">
        <v>0</v>
      </c>
      <c r="I608">
        <v>0</v>
      </c>
      <c r="J608">
        <v>-273.904</v>
      </c>
      <c r="K608">
        <v>1.096473</v>
      </c>
      <c r="L608">
        <v>367.9796</v>
      </c>
      <c r="M608">
        <v>0.99968319999999999</v>
      </c>
      <c r="N608">
        <v>0</v>
      </c>
      <c r="O608">
        <v>2.4053209999999998E-2</v>
      </c>
      <c r="P608">
        <v>0.99795180000000006</v>
      </c>
      <c r="Q608">
        <v>-1.522255E-2</v>
      </c>
      <c r="R608">
        <v>6.2134130000000003E-2</v>
      </c>
      <c r="S608">
        <v>3.057312</v>
      </c>
      <c r="T608">
        <v>2.200691</v>
      </c>
      <c r="U608">
        <v>-0.30407709999999999</v>
      </c>
      <c r="V608">
        <v>-3.8103970000000001E-2</v>
      </c>
      <c r="W608">
        <v>-7.8451770000000001E-3</v>
      </c>
      <c r="X608">
        <v>0.99924299999999999</v>
      </c>
      <c r="Y608">
        <v>9.5382640000000005E-2</v>
      </c>
      <c r="Z608">
        <v>4.6192560000000001E-2</v>
      </c>
      <c r="AA608">
        <v>0.99436829999999998</v>
      </c>
      <c r="AB608">
        <v>34</v>
      </c>
      <c r="AC608">
        <v>3.057312</v>
      </c>
      <c r="AD608">
        <v>2.200691</v>
      </c>
      <c r="AE608">
        <v>-0.30407709999999999</v>
      </c>
      <c r="AF608">
        <v>0.249514650863013</v>
      </c>
      <c r="AG608">
        <v>2.200691</v>
      </c>
      <c r="AH608">
        <v>2.0152035754253199</v>
      </c>
      <c r="AI608">
        <v>42.697926980533502</v>
      </c>
      <c r="AJ608">
        <v>82.941782154418803</v>
      </c>
      <c r="AK608">
        <v>2.9943853941807901</v>
      </c>
    </row>
    <row r="609" spans="1:37" x14ac:dyDescent="0.2">
      <c r="A609" t="str">
        <f>"20200111160109602"</f>
        <v>20200111160109602</v>
      </c>
      <c r="B609" t="str">
        <f>"1578729669591226"</f>
        <v>1578729669591226</v>
      </c>
      <c r="C609" t="s">
        <v>37</v>
      </c>
      <c r="D609">
        <v>4.7760049999999996</v>
      </c>
      <c r="E609">
        <v>0.54381969999999902</v>
      </c>
      <c r="F609" t="s">
        <v>53</v>
      </c>
      <c r="G609">
        <v>-159.53809999999999</v>
      </c>
      <c r="H609">
        <v>83.026730000000001</v>
      </c>
      <c r="I609">
        <v>357.3263</v>
      </c>
      <c r="J609">
        <v>-273.2491</v>
      </c>
      <c r="K609">
        <v>1.0987370000000001</v>
      </c>
      <c r="L609">
        <v>367.9966</v>
      </c>
      <c r="M609">
        <v>0.99964959999999903</v>
      </c>
      <c r="N609">
        <v>0</v>
      </c>
      <c r="O609">
        <v>2.517923E-2</v>
      </c>
      <c r="P609">
        <v>0.99785480000000004</v>
      </c>
      <c r="Q609">
        <v>-1.5433250000000001E-2</v>
      </c>
      <c r="R609">
        <v>6.362487E-2</v>
      </c>
      <c r="S609">
        <v>3.057312</v>
      </c>
      <c r="T609">
        <v>2.19022099999999</v>
      </c>
      <c r="U609">
        <v>-0.28478999999999999</v>
      </c>
      <c r="V609">
        <v>-3.8470549999999999E-2</v>
      </c>
      <c r="W609">
        <v>-7.2976269999999897E-3</v>
      </c>
      <c r="X609">
        <v>0.99923309999999999</v>
      </c>
      <c r="Y609">
        <v>9.1201420000000005E-2</v>
      </c>
      <c r="Z609">
        <v>4.5405229999999998E-2</v>
      </c>
      <c r="AA609">
        <v>0.99479680000000004</v>
      </c>
      <c r="AB609">
        <v>34</v>
      </c>
      <c r="AC609">
        <v>113.711</v>
      </c>
      <c r="AD609">
        <v>81.927993000000001</v>
      </c>
      <c r="AE609">
        <v>-10.6702999999999</v>
      </c>
      <c r="AF609">
        <v>8.9332846307621203</v>
      </c>
      <c r="AG609">
        <v>81.927993000000001</v>
      </c>
      <c r="AH609">
        <v>74.876415861493996</v>
      </c>
      <c r="AI609">
        <v>42.626810484100702</v>
      </c>
      <c r="AJ609">
        <v>83.196369035205507</v>
      </c>
      <c r="AK609">
        <v>111.34844975825</v>
      </c>
    </row>
    <row r="610" spans="1:37" x14ac:dyDescent="0.2">
      <c r="A610" t="str">
        <f>"20200111160109625"</f>
        <v>20200111160109625</v>
      </c>
      <c r="B610" t="str">
        <f>"1578729669621482"</f>
        <v>1578729669621482</v>
      </c>
      <c r="C610" t="s">
        <v>37</v>
      </c>
      <c r="D610">
        <v>4.5822729999999998</v>
      </c>
      <c r="E610">
        <v>0.54717369999999899</v>
      </c>
      <c r="F610" t="s">
        <v>53</v>
      </c>
      <c r="G610">
        <v>-159.53809999999999</v>
      </c>
      <c r="H610">
        <v>83.390900000000002</v>
      </c>
      <c r="I610">
        <v>357.59129999999999</v>
      </c>
      <c r="J610">
        <v>-272.9074</v>
      </c>
      <c r="K610">
        <v>1.099674</v>
      </c>
      <c r="L610">
        <v>368.00580000000002</v>
      </c>
      <c r="M610">
        <v>0.99963139999999995</v>
      </c>
      <c r="N610">
        <v>0</v>
      </c>
      <c r="O610">
        <v>2.5773689999999998E-2</v>
      </c>
      <c r="P610">
        <v>0.99782119999999996</v>
      </c>
      <c r="Q610">
        <v>-1.489499E-2</v>
      </c>
      <c r="R610">
        <v>6.4272899999999994E-2</v>
      </c>
      <c r="S610">
        <v>3.0585330000000002</v>
      </c>
      <c r="T610">
        <v>2.2134490000000002</v>
      </c>
      <c r="U610">
        <v>-0.27987669999999998</v>
      </c>
      <c r="V610">
        <v>-3.8525570000000002E-2</v>
      </c>
      <c r="W610">
        <v>-6.4173059999999898E-3</v>
      </c>
      <c r="X610">
        <v>0.99923700000000004</v>
      </c>
      <c r="Y610">
        <v>8.9848830000000005E-2</v>
      </c>
      <c r="Z610">
        <v>4.5730819999999998E-2</v>
      </c>
      <c r="AA610">
        <v>0.99490489999999998</v>
      </c>
      <c r="AB610">
        <v>34</v>
      </c>
      <c r="AC610">
        <v>113.3693</v>
      </c>
      <c r="AD610">
        <v>82.291225999999995</v>
      </c>
      <c r="AE610">
        <v>-10.4145</v>
      </c>
      <c r="AF610">
        <v>8.7575039108617307</v>
      </c>
      <c r="AG610">
        <v>82.291225999999995</v>
      </c>
      <c r="AH610">
        <v>74.262706766545193</v>
      </c>
      <c r="AI610">
        <v>42.261139865409099</v>
      </c>
      <c r="AJ610">
        <v>83.274399773100001</v>
      </c>
      <c r="AK610">
        <v>111.191228825054</v>
      </c>
    </row>
    <row r="611" spans="1:37" x14ac:dyDescent="0.2">
      <c r="A611" t="str">
        <f>"20200111160109648"</f>
        <v>20200111160109648</v>
      </c>
      <c r="B611" t="str">
        <f>"1578729669641002"</f>
        <v>1578729669641002</v>
      </c>
      <c r="C611" t="s">
        <v>37</v>
      </c>
      <c r="D611">
        <v>4.431654</v>
      </c>
      <c r="E611">
        <v>0.55302600000000002</v>
      </c>
      <c r="F611" t="s">
        <v>42</v>
      </c>
      <c r="G611">
        <v>-272.11279999999999</v>
      </c>
      <c r="H611">
        <v>1.0495779999999999</v>
      </c>
      <c r="I611">
        <v>367.95940000000002</v>
      </c>
      <c r="J611">
        <v>-272.55309999999997</v>
      </c>
      <c r="K611">
        <v>1.100503</v>
      </c>
      <c r="L611">
        <v>368.01560000000001</v>
      </c>
      <c r="M611">
        <v>0.99961259999999996</v>
      </c>
      <c r="N611">
        <v>0</v>
      </c>
      <c r="O611">
        <v>2.6393429999999999E-2</v>
      </c>
      <c r="P611">
        <v>0.99778159999999905</v>
      </c>
      <c r="Q611">
        <v>-1.3842520000000001E-2</v>
      </c>
      <c r="R611">
        <v>6.5118839999999997E-2</v>
      </c>
      <c r="S611">
        <v>3.0150450000000002</v>
      </c>
      <c r="T611">
        <v>-0.19029550000000001</v>
      </c>
      <c r="U611">
        <v>-0.17535400000000001</v>
      </c>
      <c r="V611">
        <v>-3.8754110000000001E-2</v>
      </c>
      <c r="W611">
        <v>-5.0419719999999996E-3</v>
      </c>
      <c r="X611">
        <v>0.99923600000000001</v>
      </c>
      <c r="Y611">
        <v>8.4171910000000003E-2</v>
      </c>
      <c r="Z611">
        <v>-4.3144070000000001E-3</v>
      </c>
      <c r="AA611">
        <v>0.99644189999999999</v>
      </c>
      <c r="AB611">
        <v>34</v>
      </c>
      <c r="AC611">
        <v>0.44029999999997899</v>
      </c>
      <c r="AD611">
        <v>-5.0924999999999797E-2</v>
      </c>
      <c r="AE611">
        <v>-5.61999999999898E-2</v>
      </c>
      <c r="AF611">
        <v>6.6921036953150798E-2</v>
      </c>
      <c r="AG611">
        <v>-5.0924999999999797E-2</v>
      </c>
      <c r="AH611">
        <v>0.43296423913431997</v>
      </c>
      <c r="AI611">
        <v>96.630255986321004</v>
      </c>
      <c r="AJ611">
        <v>81.213617962807206</v>
      </c>
      <c r="AK611">
        <v>0.44105534027040799</v>
      </c>
    </row>
    <row r="612" spans="1:37" x14ac:dyDescent="0.2">
      <c r="A612" t="str">
        <f>"20200111160109670"</f>
        <v>20200111160109670</v>
      </c>
      <c r="B612" t="str">
        <f>"1578729669661497"</f>
        <v>1578729669661497</v>
      </c>
      <c r="C612" t="s">
        <v>37</v>
      </c>
      <c r="D612">
        <v>4.5023119999999999</v>
      </c>
      <c r="E612">
        <v>0.55588090000000001</v>
      </c>
      <c r="F612" t="s">
        <v>42</v>
      </c>
      <c r="G612">
        <v>-271.81049999999999</v>
      </c>
      <c r="H612">
        <v>1.0515729999999901</v>
      </c>
      <c r="I612">
        <v>367.9615</v>
      </c>
      <c r="J612">
        <v>-272.233</v>
      </c>
      <c r="K612">
        <v>1.101124</v>
      </c>
      <c r="L612">
        <v>368.02460000000002</v>
      </c>
      <c r="M612">
        <v>0.99959500000000001</v>
      </c>
      <c r="N612">
        <v>0</v>
      </c>
      <c r="O612">
        <v>2.695552E-2</v>
      </c>
      <c r="P612">
        <v>0.99771880000000002</v>
      </c>
      <c r="Q612">
        <v>-1.434438E-2</v>
      </c>
      <c r="R612">
        <v>6.5966839999999999E-2</v>
      </c>
      <c r="S612">
        <v>3.0181879999999999</v>
      </c>
      <c r="T612">
        <v>-0.19917860000000001</v>
      </c>
      <c r="U612">
        <v>-0.21871950000000001</v>
      </c>
      <c r="V612">
        <v>-3.9041850000000003E-2</v>
      </c>
      <c r="W612">
        <v>-5.2654140000000004E-3</v>
      </c>
      <c r="X612">
        <v>0.99922369999999905</v>
      </c>
      <c r="Y612">
        <v>9.8865099999999997E-2</v>
      </c>
      <c r="Z612">
        <v>-5.0293550000000001E-3</v>
      </c>
      <c r="AA612">
        <v>0.99508819999999998</v>
      </c>
      <c r="AB612">
        <v>34</v>
      </c>
      <c r="AC612">
        <v>0.42250000000001298</v>
      </c>
      <c r="AD612">
        <v>-4.9551000000000102E-2</v>
      </c>
      <c r="AE612">
        <v>-6.3100000000019904E-2</v>
      </c>
      <c r="AF612">
        <v>7.3477638485961103E-2</v>
      </c>
      <c r="AG612">
        <v>-4.9551000000000102E-2</v>
      </c>
      <c r="AH612">
        <v>0.41506101995966599</v>
      </c>
      <c r="AI612">
        <v>96.704613187109999</v>
      </c>
      <c r="AJ612">
        <v>79.961021421265102</v>
      </c>
      <c r="AK612">
        <v>0.42441714768424699</v>
      </c>
    </row>
    <row r="613" spans="1:37" x14ac:dyDescent="0.2">
      <c r="A613" t="str">
        <f>"20200111160109694"</f>
        <v>20200111160109694</v>
      </c>
      <c r="B613" t="str">
        <f>"1578729669691949"</f>
        <v>1578729669691949</v>
      </c>
      <c r="C613" t="s">
        <v>37</v>
      </c>
      <c r="D613">
        <v>4.4392670000000001</v>
      </c>
      <c r="E613">
        <v>0.55817740000000005</v>
      </c>
      <c r="F613" t="s">
        <v>42</v>
      </c>
      <c r="G613">
        <v>-271.22109999999998</v>
      </c>
      <c r="H613">
        <v>1.0323309999999899</v>
      </c>
      <c r="I613">
        <v>367.9443</v>
      </c>
      <c r="J613">
        <v>-271.88150000000002</v>
      </c>
      <c r="K613">
        <v>1.101712</v>
      </c>
      <c r="L613">
        <v>368.03469999999999</v>
      </c>
      <c r="M613">
        <v>0.99957510000000005</v>
      </c>
      <c r="N613">
        <v>0</v>
      </c>
      <c r="O613">
        <v>2.757567E-2</v>
      </c>
      <c r="P613">
        <v>0.99759519999999902</v>
      </c>
      <c r="Q613">
        <v>-1.6130269999999999E-2</v>
      </c>
      <c r="R613">
        <v>6.7409140000000006E-2</v>
      </c>
      <c r="S613">
        <v>3.019714</v>
      </c>
      <c r="T613">
        <v>-0.2055515</v>
      </c>
      <c r="U613">
        <v>-0.23870849999999999</v>
      </c>
      <c r="V613">
        <v>-3.9865289999999998E-2</v>
      </c>
      <c r="W613">
        <v>-6.7372899999999999E-3</v>
      </c>
      <c r="X613">
        <v>0.99918229999999997</v>
      </c>
      <c r="Y613">
        <v>0.1059581</v>
      </c>
      <c r="Z613">
        <v>-5.4689250000000003E-3</v>
      </c>
      <c r="AA613">
        <v>0.99435560000000001</v>
      </c>
      <c r="AB613">
        <v>34</v>
      </c>
      <c r="AC613">
        <v>0.66040000000003796</v>
      </c>
      <c r="AD613">
        <v>-6.9381000000000095E-2</v>
      </c>
      <c r="AE613">
        <v>-9.0399999999988198E-2</v>
      </c>
      <c r="AF613">
        <v>0.107413642919331</v>
      </c>
      <c r="AG613">
        <v>-6.9381000000000095E-2</v>
      </c>
      <c r="AH613">
        <v>0.65060695835701798</v>
      </c>
      <c r="AI613">
        <v>96.006339975589697</v>
      </c>
      <c r="AJ613">
        <v>80.625171511234299</v>
      </c>
      <c r="AK613">
        <v>0.66305416679843898</v>
      </c>
    </row>
    <row r="614" spans="1:37" x14ac:dyDescent="0.2">
      <c r="A614" t="str">
        <f>"20200111160109715"</f>
        <v>20200111160109715</v>
      </c>
      <c r="B614" t="str">
        <f>"1578729669711469"</f>
        <v>1578729669711469</v>
      </c>
      <c r="C614" t="s">
        <v>37</v>
      </c>
      <c r="D614">
        <v>4.4780449999999998</v>
      </c>
      <c r="E614">
        <v>0.55933679999999997</v>
      </c>
      <c r="F614" t="s">
        <v>42</v>
      </c>
      <c r="G614">
        <v>-270.9203</v>
      </c>
      <c r="H614">
        <v>1.0332190000000001</v>
      </c>
      <c r="I614">
        <v>367.95429999999999</v>
      </c>
      <c r="J614">
        <v>-271.55889999999999</v>
      </c>
      <c r="K614">
        <v>1.1021879999999999</v>
      </c>
      <c r="L614">
        <v>368.04419999999999</v>
      </c>
      <c r="M614">
        <v>0.99955640000000001</v>
      </c>
      <c r="N614">
        <v>0</v>
      </c>
      <c r="O614">
        <v>2.814264E-2</v>
      </c>
      <c r="P614">
        <v>0.99752450000000004</v>
      </c>
      <c r="Q614">
        <v>-1.7111649999999999E-2</v>
      </c>
      <c r="R614">
        <v>6.8205719999999997E-2</v>
      </c>
      <c r="S614">
        <v>3.0207519999999999</v>
      </c>
      <c r="T614">
        <v>-0.21543599999999999</v>
      </c>
      <c r="U614">
        <v>-0.2522278</v>
      </c>
      <c r="V614">
        <v>-4.0095220000000001E-2</v>
      </c>
      <c r="W614">
        <v>-7.4259390000000003E-3</v>
      </c>
      <c r="X614">
        <v>0.99916830000000001</v>
      </c>
      <c r="Y614">
        <v>0.11087139999999999</v>
      </c>
      <c r="Z614">
        <v>-5.9433180000000004E-3</v>
      </c>
      <c r="AA614">
        <v>0.99381699999999995</v>
      </c>
      <c r="AB614">
        <v>34</v>
      </c>
      <c r="AC614">
        <v>0.63859999999999595</v>
      </c>
      <c r="AD614">
        <v>-6.8968999999999794E-2</v>
      </c>
      <c r="AE614">
        <v>-8.9899999999999994E-2</v>
      </c>
      <c r="AF614">
        <v>0.106617703028257</v>
      </c>
      <c r="AG614">
        <v>-6.8968999999999794E-2</v>
      </c>
      <c r="AH614">
        <v>0.62862703507699202</v>
      </c>
      <c r="AI614">
        <v>96.173621577453602</v>
      </c>
      <c r="AJ614">
        <v>80.374004114022298</v>
      </c>
      <c r="AK614">
        <v>0.64132363654375901</v>
      </c>
    </row>
    <row r="615" spans="1:37" x14ac:dyDescent="0.2">
      <c r="A615" t="str">
        <f>"20200111160109737"</f>
        <v>20200111160109737</v>
      </c>
      <c r="B615" t="str">
        <f>"1578729669730989"</f>
        <v>1578729669730989</v>
      </c>
      <c r="C615" t="s">
        <v>37</v>
      </c>
      <c r="D615">
        <v>4.5612550000000001</v>
      </c>
      <c r="E615">
        <v>0.56029309999999999</v>
      </c>
      <c r="F615" t="s">
        <v>42</v>
      </c>
      <c r="G615">
        <v>-270.6198</v>
      </c>
      <c r="H615">
        <v>1.0336239999999901</v>
      </c>
      <c r="I615">
        <v>367.96359999999999</v>
      </c>
      <c r="J615">
        <v>-271.21249999999998</v>
      </c>
      <c r="K615">
        <v>1.1026290000000001</v>
      </c>
      <c r="L615">
        <v>368.05459999999999</v>
      </c>
      <c r="M615">
        <v>0.99953599999999998</v>
      </c>
      <c r="N615">
        <v>0</v>
      </c>
      <c r="O615">
        <v>2.8740120000000001E-2</v>
      </c>
      <c r="P615">
        <v>0.99751069999999997</v>
      </c>
      <c r="Q615">
        <v>-1.6948379999999999E-2</v>
      </c>
      <c r="R615">
        <v>6.8452159999999998E-2</v>
      </c>
      <c r="S615">
        <v>3.0213320000000001</v>
      </c>
      <c r="T615">
        <v>-0.2207385</v>
      </c>
      <c r="U615">
        <v>-0.25881959999999998</v>
      </c>
      <c r="V615">
        <v>-3.9745179999999998E-2</v>
      </c>
      <c r="W615">
        <v>-6.9038900000000002E-3</v>
      </c>
      <c r="X615">
        <v>0.99918600000000002</v>
      </c>
      <c r="Y615">
        <v>0.1135761</v>
      </c>
      <c r="Z615">
        <v>-6.2295450000000004E-3</v>
      </c>
      <c r="AA615">
        <v>0.9935098</v>
      </c>
      <c r="AB615">
        <v>34</v>
      </c>
      <c r="AC615">
        <v>0.59269999999997902</v>
      </c>
      <c r="AD615">
        <v>-6.9005000000000205E-2</v>
      </c>
      <c r="AE615">
        <v>-9.1000000000008199E-2</v>
      </c>
      <c r="AF615">
        <v>0.10658606766036</v>
      </c>
      <c r="AG615">
        <v>-6.9005000000000205E-2</v>
      </c>
      <c r="AH615">
        <v>0.58213074608488002</v>
      </c>
      <c r="AI615">
        <v>96.650673657711906</v>
      </c>
      <c r="AJ615">
        <v>79.624274314270195</v>
      </c>
      <c r="AK615">
        <v>0.59581749334979905</v>
      </c>
    </row>
    <row r="616" spans="1:37" x14ac:dyDescent="0.2">
      <c r="A616" t="str">
        <f>"20200111160109759"</f>
        <v>20200111160109759</v>
      </c>
      <c r="B616" t="str">
        <f>"1578729669751485"</f>
        <v>1578729669751485</v>
      </c>
      <c r="C616" t="s">
        <v>37</v>
      </c>
      <c r="D616">
        <v>4.5220560000000001</v>
      </c>
      <c r="E616">
        <v>0.56101199999999996</v>
      </c>
      <c r="F616" t="s">
        <v>42</v>
      </c>
      <c r="G616">
        <v>-270.3184</v>
      </c>
      <c r="H616">
        <v>1.036945</v>
      </c>
      <c r="I616">
        <v>367.97590000000002</v>
      </c>
      <c r="J616">
        <v>-270.8895</v>
      </c>
      <c r="K616">
        <v>1.1029819999999999</v>
      </c>
      <c r="L616">
        <v>368.06450000000001</v>
      </c>
      <c r="M616">
        <v>0.99951579999999995</v>
      </c>
      <c r="N616">
        <v>0</v>
      </c>
      <c r="O616">
        <v>2.9292929999999998E-2</v>
      </c>
      <c r="P616">
        <v>0.99751009999999996</v>
      </c>
      <c r="Q616">
        <v>-1.6623490000000001E-2</v>
      </c>
      <c r="R616">
        <v>6.8538080000000001E-2</v>
      </c>
      <c r="S616">
        <v>3.0219119999999999</v>
      </c>
      <c r="T616">
        <v>-0.2220492</v>
      </c>
      <c r="U616">
        <v>-0.26568599999999998</v>
      </c>
      <c r="V616">
        <v>-3.9279399999999999E-2</v>
      </c>
      <c r="W616">
        <v>-6.1829839999999999E-3</v>
      </c>
      <c r="X616">
        <v>0.99920919999999902</v>
      </c>
      <c r="Y616">
        <v>0.1163366</v>
      </c>
      <c r="Z616">
        <v>-6.406246E-3</v>
      </c>
      <c r="AA616">
        <v>0.99318919999999999</v>
      </c>
      <c r="AB616">
        <v>34</v>
      </c>
      <c r="AC616">
        <v>0.57110000000000105</v>
      </c>
      <c r="AD616">
        <v>-6.6036999999999901E-2</v>
      </c>
      <c r="AE616">
        <v>-8.8599999999985302E-2</v>
      </c>
      <c r="AF616">
        <v>0.1039350763644</v>
      </c>
      <c r="AG616">
        <v>-6.6036999999999901E-2</v>
      </c>
      <c r="AH616">
        <v>0.56093563355883502</v>
      </c>
      <c r="AI616">
        <v>96.602955453812896</v>
      </c>
      <c r="AJ616">
        <v>79.502784630459402</v>
      </c>
      <c r="AK616">
        <v>0.57429275675732305</v>
      </c>
    </row>
    <row r="617" spans="1:37" x14ac:dyDescent="0.2">
      <c r="A617" t="str">
        <f>"20200111160109780"</f>
        <v>20200111160109780</v>
      </c>
      <c r="B617" t="str">
        <f>"1578729669771004"</f>
        <v>1578729669771004</v>
      </c>
      <c r="C617" t="s">
        <v>37</v>
      </c>
      <c r="D617">
        <v>4.5233689999999998</v>
      </c>
      <c r="E617">
        <v>0.56158750000000002</v>
      </c>
      <c r="F617" t="s">
        <v>42</v>
      </c>
      <c r="G617">
        <v>-270.01780000000002</v>
      </c>
      <c r="H617">
        <v>1.038878</v>
      </c>
      <c r="I617">
        <v>367.98599999999999</v>
      </c>
      <c r="J617">
        <v>-270.56819999999999</v>
      </c>
      <c r="K617">
        <v>1.10327999999999</v>
      </c>
      <c r="L617">
        <v>368.0745</v>
      </c>
      <c r="M617">
        <v>0.99949489999999996</v>
      </c>
      <c r="N617">
        <v>0</v>
      </c>
      <c r="O617">
        <v>2.9848489999999998E-2</v>
      </c>
      <c r="P617">
        <v>0.99752809999999903</v>
      </c>
      <c r="Q617">
        <v>-1.7353540000000001E-2</v>
      </c>
      <c r="R617">
        <v>6.8092639999999996E-2</v>
      </c>
      <c r="S617">
        <v>3.0224299999999999</v>
      </c>
      <c r="T617">
        <v>-0.22247339999999999</v>
      </c>
      <c r="U617">
        <v>-0.27130129999999902</v>
      </c>
      <c r="V617">
        <v>-3.8278260000000001E-2</v>
      </c>
      <c r="W617">
        <v>-6.502669E-3</v>
      </c>
      <c r="X617">
        <v>0.99924590000000002</v>
      </c>
      <c r="Y617">
        <v>0.1186951</v>
      </c>
      <c r="Z617">
        <v>-6.5441409999999998E-3</v>
      </c>
      <c r="AA617">
        <v>0.99290919999999905</v>
      </c>
      <c r="AB617">
        <v>34</v>
      </c>
      <c r="AC617">
        <v>0.55039999999996703</v>
      </c>
      <c r="AD617">
        <v>-6.4401999999999807E-2</v>
      </c>
      <c r="AE617">
        <v>-8.8500000000010404E-2</v>
      </c>
      <c r="AF617">
        <v>0.10350870583696201</v>
      </c>
      <c r="AG617">
        <v>-6.4401999999999807E-2</v>
      </c>
      <c r="AH617">
        <v>0.54030202693713003</v>
      </c>
      <c r="AI617">
        <v>96.677075686992794</v>
      </c>
      <c r="AJ617">
        <v>79.154926171042504</v>
      </c>
      <c r="AK617">
        <v>0.55388441944182998</v>
      </c>
    </row>
    <row r="618" spans="1:37" x14ac:dyDescent="0.2">
      <c r="A618" t="str">
        <f>"20200111160109804"</f>
        <v>20200111160109804</v>
      </c>
      <c r="B618" t="str">
        <f>"1578729669801261"</f>
        <v>1578729669801261</v>
      </c>
      <c r="C618" t="s">
        <v>37</v>
      </c>
      <c r="D618">
        <v>4.5585339999999999</v>
      </c>
      <c r="E618">
        <v>0.56237859999999995</v>
      </c>
      <c r="F618" t="s">
        <v>42</v>
      </c>
      <c r="G618">
        <v>-269.71809999999999</v>
      </c>
      <c r="H618">
        <v>1.0398909999999999</v>
      </c>
      <c r="I618">
        <v>367.99630000000002</v>
      </c>
      <c r="J618">
        <v>-270.2303</v>
      </c>
      <c r="K618">
        <v>1.1035379999999999</v>
      </c>
      <c r="L618">
        <v>368.08519999999999</v>
      </c>
      <c r="M618">
        <v>0.99947280000000005</v>
      </c>
      <c r="N618">
        <v>0</v>
      </c>
      <c r="O618">
        <v>3.0434030000000001E-2</v>
      </c>
      <c r="P618">
        <v>0.99753899999999995</v>
      </c>
      <c r="Q618">
        <v>-1.871014E-2</v>
      </c>
      <c r="R618">
        <v>6.7572660000000007E-2</v>
      </c>
      <c r="S618">
        <v>3.0224000000000002</v>
      </c>
      <c r="T618">
        <v>-0.22555069999999999</v>
      </c>
      <c r="U618">
        <v>-0.27728269999999999</v>
      </c>
      <c r="V618">
        <v>-3.7171610000000001E-2</v>
      </c>
      <c r="W618">
        <v>-7.4490190000000003E-3</v>
      </c>
      <c r="X618">
        <v>0.99928109999999903</v>
      </c>
      <c r="Y618">
        <v>0.1212068</v>
      </c>
      <c r="Z618">
        <v>-6.7708719999999998E-3</v>
      </c>
      <c r="AA618">
        <v>0.99260419999999905</v>
      </c>
      <c r="AB618">
        <v>34</v>
      </c>
      <c r="AC618">
        <v>0.51220000000000698</v>
      </c>
      <c r="AD618">
        <v>-6.3646999999999995E-2</v>
      </c>
      <c r="AE618">
        <v>-8.8899999999966894E-2</v>
      </c>
      <c r="AF618">
        <v>0.10290561851385401</v>
      </c>
      <c r="AG618">
        <v>-6.3646999999999995E-2</v>
      </c>
      <c r="AH618">
        <v>0.50173617902372702</v>
      </c>
      <c r="AI618">
        <v>97.0836475575977</v>
      </c>
      <c r="AJ618">
        <v>78.409427082729906</v>
      </c>
      <c r="AK618">
        <v>0.51611985068591204</v>
      </c>
    </row>
    <row r="619" spans="1:37" x14ac:dyDescent="0.2">
      <c r="A619" t="str">
        <f>"20200111160109826"</f>
        <v>20200111160109826</v>
      </c>
      <c r="B619" t="str">
        <f>"1578729669821758"</f>
        <v>1578729669821758</v>
      </c>
      <c r="C619" t="s">
        <v>37</v>
      </c>
      <c r="D619">
        <v>4.7663929999999999</v>
      </c>
      <c r="E619">
        <v>0.56270159999999902</v>
      </c>
      <c r="F619" t="s">
        <v>42</v>
      </c>
      <c r="G619">
        <v>-269.41860000000003</v>
      </c>
      <c r="H619">
        <v>1.0414479999999999</v>
      </c>
      <c r="I619">
        <v>368.00850000000003</v>
      </c>
      <c r="J619">
        <v>-269.88440000000003</v>
      </c>
      <c r="K619">
        <v>1.103748</v>
      </c>
      <c r="L619">
        <v>368.09629999999999</v>
      </c>
      <c r="M619">
        <v>0.99945030000000001</v>
      </c>
      <c r="N619">
        <v>0</v>
      </c>
      <c r="O619">
        <v>3.102208E-2</v>
      </c>
      <c r="P619">
        <v>0.99752529999999995</v>
      </c>
      <c r="Q619">
        <v>-2.0445700000000001E-2</v>
      </c>
      <c r="R619">
        <v>6.7273180000000002E-2</v>
      </c>
      <c r="S619">
        <v>3.0223689999999999</v>
      </c>
      <c r="T619">
        <v>-0.23138899999999901</v>
      </c>
      <c r="U619">
        <v>-0.28500370000000003</v>
      </c>
      <c r="V619">
        <v>-3.6283009999999997E-2</v>
      </c>
      <c r="W619">
        <v>-8.799365E-3</v>
      </c>
      <c r="X619">
        <v>0.99930280000000005</v>
      </c>
      <c r="Y619">
        <v>0.1242728</v>
      </c>
      <c r="Z619">
        <v>-7.1067300000000003E-3</v>
      </c>
      <c r="AA619">
        <v>0.99222259999999995</v>
      </c>
      <c r="AB619">
        <v>33</v>
      </c>
      <c r="AC619">
        <v>0.46580000000000099</v>
      </c>
      <c r="AD619">
        <v>-6.2300000000000001E-2</v>
      </c>
      <c r="AE619">
        <v>-8.77999999999588E-2</v>
      </c>
      <c r="AF619">
        <v>0.10047314896441301</v>
      </c>
      <c r="AG619">
        <v>-6.2300000000000001E-2</v>
      </c>
      <c r="AH619">
        <v>0.45499193133163102</v>
      </c>
      <c r="AI619">
        <v>97.615530189175104</v>
      </c>
      <c r="AJ619">
        <v>77.547555814398606</v>
      </c>
      <c r="AK619">
        <v>0.47009977796177699</v>
      </c>
    </row>
    <row r="620" spans="1:37" x14ac:dyDescent="0.2">
      <c r="A620" t="str">
        <f>"20200111160109849"</f>
        <v>20200111160109849</v>
      </c>
      <c r="B620" t="str">
        <f>"1578729669841276"</f>
        <v>1578729669841276</v>
      </c>
      <c r="C620" t="s">
        <v>37</v>
      </c>
      <c r="D620">
        <v>4.5488970000000002</v>
      </c>
      <c r="E620">
        <v>0.56297299999999995</v>
      </c>
      <c r="F620" t="s">
        <v>42</v>
      </c>
      <c r="G620">
        <v>-269.11849999999998</v>
      </c>
      <c r="H620">
        <v>1.0442469999999999</v>
      </c>
      <c r="I620">
        <v>368.0231</v>
      </c>
      <c r="J620">
        <v>-269.55509999999998</v>
      </c>
      <c r="K620">
        <v>1.103915</v>
      </c>
      <c r="L620">
        <v>368.1071</v>
      </c>
      <c r="M620">
        <v>0.99942919999999902</v>
      </c>
      <c r="N620">
        <v>0</v>
      </c>
      <c r="O620">
        <v>3.1567560000000001E-2</v>
      </c>
      <c r="P620">
        <v>0.9974809</v>
      </c>
      <c r="Q620">
        <v>-2.1160769999999999E-2</v>
      </c>
      <c r="R620">
        <v>6.7706069999999993E-2</v>
      </c>
      <c r="S620">
        <v>3.0220950000000002</v>
      </c>
      <c r="T620">
        <v>-0.23484539999999901</v>
      </c>
      <c r="U620">
        <v>-0.28866579999999997</v>
      </c>
      <c r="V620">
        <v>-3.6171380000000003E-2</v>
      </c>
      <c r="W620">
        <v>-9.1808819999999996E-3</v>
      </c>
      <c r="X620">
        <v>0.99930339999999995</v>
      </c>
      <c r="Y620">
        <v>0.12599399999999999</v>
      </c>
      <c r="Z620">
        <v>-7.3217059999999999E-3</v>
      </c>
      <c r="AA620">
        <v>0.992004</v>
      </c>
      <c r="AB620">
        <v>33</v>
      </c>
      <c r="AC620">
        <v>0.43659999999999799</v>
      </c>
      <c r="AD620">
        <v>-5.9667999999999999E-2</v>
      </c>
      <c r="AE620">
        <v>-8.40000000000031E-2</v>
      </c>
      <c r="AF620">
        <v>9.6012278523177605E-2</v>
      </c>
      <c r="AG620">
        <v>-5.9667999999999999E-2</v>
      </c>
      <c r="AH620">
        <v>0.42605693604077799</v>
      </c>
      <c r="AI620">
        <v>97.779639774893297</v>
      </c>
      <c r="AJ620">
        <v>77.300486172455393</v>
      </c>
      <c r="AK620">
        <v>0.44079829922501701</v>
      </c>
    </row>
    <row r="621" spans="1:37" x14ac:dyDescent="0.2">
      <c r="A621" t="str">
        <f>"20200111160109871"</f>
        <v>20200111160109871</v>
      </c>
      <c r="B621" t="str">
        <f>"1578729669860796"</f>
        <v>1578729669860796</v>
      </c>
      <c r="C621" t="s">
        <v>37</v>
      </c>
      <c r="D621">
        <v>4.5118299999999998</v>
      </c>
      <c r="E621">
        <v>0.56327269999999996</v>
      </c>
      <c r="F621" t="s">
        <v>42</v>
      </c>
      <c r="G621">
        <v>-268.81900000000002</v>
      </c>
      <c r="H621">
        <v>1.0459309999999999</v>
      </c>
      <c r="I621">
        <v>368.03629999999998</v>
      </c>
      <c r="J621">
        <v>-269.23180000000002</v>
      </c>
      <c r="K621">
        <v>1.1040559999999999</v>
      </c>
      <c r="L621">
        <v>368.11779999999999</v>
      </c>
      <c r="M621">
        <v>0.99940910000000005</v>
      </c>
      <c r="N621">
        <v>0</v>
      </c>
      <c r="O621">
        <v>3.208942E-2</v>
      </c>
      <c r="P621">
        <v>0.99742549999999996</v>
      </c>
      <c r="Q621">
        <v>-2.10908E-2</v>
      </c>
      <c r="R621">
        <v>6.8541820000000003E-2</v>
      </c>
      <c r="S621">
        <v>3.022186</v>
      </c>
      <c r="T621">
        <v>-0.23831639999999901</v>
      </c>
      <c r="U621">
        <v>-0.28961179999999997</v>
      </c>
      <c r="V621">
        <v>-3.6486940000000002E-2</v>
      </c>
      <c r="W621">
        <v>-8.815804E-3</v>
      </c>
      <c r="X621">
        <v>0.99929519999999905</v>
      </c>
      <c r="Y621">
        <v>0.12679889999999999</v>
      </c>
      <c r="Z621">
        <v>-7.5018949999999997E-3</v>
      </c>
      <c r="AA621">
        <v>0.99190009999999995</v>
      </c>
      <c r="AB621">
        <v>33</v>
      </c>
      <c r="AC621">
        <v>0.412800000000004</v>
      </c>
      <c r="AD621">
        <v>-5.8124999999999899E-2</v>
      </c>
      <c r="AE621">
        <v>-8.1500000000005401E-2</v>
      </c>
      <c r="AF621">
        <v>9.2932143585536905E-2</v>
      </c>
      <c r="AG621">
        <v>-5.8124999999999899E-2</v>
      </c>
      <c r="AH621">
        <v>0.40229501930691097</v>
      </c>
      <c r="AI621">
        <v>98.013223490846997</v>
      </c>
      <c r="AJ621">
        <v>76.992560652890603</v>
      </c>
      <c r="AK621">
        <v>0.41696064741837502</v>
      </c>
    </row>
    <row r="622" spans="1:37" x14ac:dyDescent="0.2">
      <c r="A622" t="str">
        <f>"20200111160109893"</f>
        <v>20200111160109893</v>
      </c>
      <c r="B622" t="str">
        <f>"1578729669891053"</f>
        <v>1578729669891053</v>
      </c>
      <c r="C622" t="s">
        <v>37</v>
      </c>
      <c r="D622">
        <v>4.6303269999999896</v>
      </c>
      <c r="E622">
        <v>0.56371070000000001</v>
      </c>
      <c r="F622" t="s">
        <v>42</v>
      </c>
      <c r="G622">
        <v>-268.23320000000001</v>
      </c>
      <c r="H622">
        <v>1.025339</v>
      </c>
      <c r="I622">
        <v>368.02190000000002</v>
      </c>
      <c r="J622">
        <v>-268.88670000000002</v>
      </c>
      <c r="K622">
        <v>1.1041749999999999</v>
      </c>
      <c r="L622">
        <v>368.12950000000001</v>
      </c>
      <c r="M622">
        <v>0.99938769999999999</v>
      </c>
      <c r="N622">
        <v>0</v>
      </c>
      <c r="O622">
        <v>3.2638250000000001E-2</v>
      </c>
      <c r="P622">
        <v>0.99733050000000001</v>
      </c>
      <c r="Q622">
        <v>-2.0330190000000001E-2</v>
      </c>
      <c r="R622">
        <v>7.0131349999999995E-2</v>
      </c>
      <c r="S622">
        <v>3.0226439999999899</v>
      </c>
      <c r="T622">
        <v>-0.2385304</v>
      </c>
      <c r="U622">
        <v>-0.2895508</v>
      </c>
      <c r="V622">
        <v>-3.7531259999999997E-2</v>
      </c>
      <c r="W622">
        <v>-7.7747729999999996E-3</v>
      </c>
      <c r="X622">
        <v>0.99926519999999996</v>
      </c>
      <c r="Y622">
        <v>0.12730549999999999</v>
      </c>
      <c r="Z622">
        <v>-7.5705769999999898E-3</v>
      </c>
      <c r="AA622">
        <v>0.99183459999999901</v>
      </c>
      <c r="AB622">
        <v>33</v>
      </c>
      <c r="AC622">
        <v>0.65350000000000796</v>
      </c>
      <c r="AD622">
        <v>-7.8835999999999906E-2</v>
      </c>
      <c r="AE622">
        <v>-0.10759999999999</v>
      </c>
      <c r="AF622">
        <v>0.127072952995257</v>
      </c>
      <c r="AG622">
        <v>-7.8835999999999906E-2</v>
      </c>
      <c r="AH622">
        <v>0.64056344544424704</v>
      </c>
      <c r="AI622">
        <v>96.883462222572504</v>
      </c>
      <c r="AJ622">
        <v>78.779518586443601</v>
      </c>
      <c r="AK622">
        <v>0.65778733487225205</v>
      </c>
    </row>
    <row r="623" spans="1:37" x14ac:dyDescent="0.2">
      <c r="A623" t="str">
        <f>"20200111160109917"</f>
        <v>20200111160109917</v>
      </c>
      <c r="B623" t="str">
        <f>"1578729669911550"</f>
        <v>1578729669911550</v>
      </c>
      <c r="C623" t="s">
        <v>37</v>
      </c>
      <c r="D623">
        <v>4.4073379999999904</v>
      </c>
      <c r="E623">
        <v>0.56398649999999995</v>
      </c>
      <c r="F623" t="s">
        <v>42</v>
      </c>
      <c r="G623">
        <v>-267.93400000000003</v>
      </c>
      <c r="H623">
        <v>1.0302009999999999</v>
      </c>
      <c r="I623">
        <v>368.0385</v>
      </c>
      <c r="J623">
        <v>-268.54820000000001</v>
      </c>
      <c r="K623">
        <v>1.1042670000000001</v>
      </c>
      <c r="L623">
        <v>368.14120000000003</v>
      </c>
      <c r="M623">
        <v>0.99936709999999995</v>
      </c>
      <c r="N623">
        <v>0</v>
      </c>
      <c r="O623">
        <v>3.3173179999999997E-2</v>
      </c>
      <c r="P623">
        <v>0.99723719999999905</v>
      </c>
      <c r="Q623">
        <v>-2.040666E-2</v>
      </c>
      <c r="R623">
        <v>7.1426030000000001E-2</v>
      </c>
      <c r="S623">
        <v>3.0235599999999998</v>
      </c>
      <c r="T623">
        <v>-0.23494979999999999</v>
      </c>
      <c r="U623">
        <v>-0.2885742</v>
      </c>
      <c r="V623">
        <v>-3.8293679999999997E-2</v>
      </c>
      <c r="W623">
        <v>-7.6069700000000002E-3</v>
      </c>
      <c r="X623">
        <v>0.99923759999999995</v>
      </c>
      <c r="Y623">
        <v>0.12750330000000001</v>
      </c>
      <c r="Z623">
        <v>-7.5042390000000002E-3</v>
      </c>
      <c r="AA623">
        <v>0.99180979999999996</v>
      </c>
      <c r="AB623">
        <v>33</v>
      </c>
      <c r="AC623">
        <v>0.61419999999998198</v>
      </c>
      <c r="AD623">
        <v>-7.4066000000000104E-2</v>
      </c>
      <c r="AE623">
        <v>-0.10270000000002701</v>
      </c>
      <c r="AF623">
        <v>0.121304111764845</v>
      </c>
      <c r="AG623">
        <v>-7.4066000000000104E-2</v>
      </c>
      <c r="AH623">
        <v>0.60193952586455801</v>
      </c>
      <c r="AI623">
        <v>96.877828638556494</v>
      </c>
      <c r="AJ623">
        <v>78.606236953910596</v>
      </c>
      <c r="AK623">
        <v>0.61849143299249199</v>
      </c>
    </row>
    <row r="624" spans="1:37" x14ac:dyDescent="0.2">
      <c r="A624" t="str">
        <f>"20200111160109939"</f>
        <v>20200111160109939</v>
      </c>
      <c r="B624" t="str">
        <f>"1578729669931069"</f>
        <v>1578729669931069</v>
      </c>
      <c r="C624" t="s">
        <v>37</v>
      </c>
      <c r="D624">
        <v>4.4095219999999999</v>
      </c>
      <c r="E624">
        <v>0.56431929999999997</v>
      </c>
      <c r="F624" t="s">
        <v>42</v>
      </c>
      <c r="G624">
        <v>-267.63549999999998</v>
      </c>
      <c r="H624">
        <v>1.0342789999999999</v>
      </c>
      <c r="I624">
        <v>368.05430000000001</v>
      </c>
      <c r="J624">
        <v>-268.21800000000002</v>
      </c>
      <c r="K624">
        <v>1.104344</v>
      </c>
      <c r="L624">
        <v>368.15269999999998</v>
      </c>
      <c r="M624">
        <v>0.99934679999999998</v>
      </c>
      <c r="N624">
        <v>0</v>
      </c>
      <c r="O624">
        <v>3.3693859999999999E-2</v>
      </c>
      <c r="P624">
        <v>0.99712999999999996</v>
      </c>
      <c r="Q624">
        <v>-2.0688689999999999E-2</v>
      </c>
      <c r="R624">
        <v>7.282566E-2</v>
      </c>
      <c r="S624">
        <v>3.0240480000000001</v>
      </c>
      <c r="T624">
        <v>-0.23230429999999899</v>
      </c>
      <c r="U624">
        <v>-0.28652949999999999</v>
      </c>
      <c r="V624">
        <v>-3.9175599999999998E-2</v>
      </c>
      <c r="W624">
        <v>-7.6786319999999899E-3</v>
      </c>
      <c r="X624">
        <v>0.99920279999999995</v>
      </c>
      <c r="Y624">
        <v>0.1273502</v>
      </c>
      <c r="Z624">
        <v>-7.4530469999999904E-3</v>
      </c>
      <c r="AA624">
        <v>0.99182979999999998</v>
      </c>
      <c r="AB624">
        <v>33</v>
      </c>
      <c r="AC624">
        <v>0.58250000000003799</v>
      </c>
      <c r="AD624">
        <v>-7.0064999999999794E-2</v>
      </c>
      <c r="AE624">
        <v>-9.8399999999969595E-2</v>
      </c>
      <c r="AF624">
        <v>0.116336009590809</v>
      </c>
      <c r="AG624">
        <v>-7.0064999999999794E-2</v>
      </c>
      <c r="AH624">
        <v>0.57082386085510195</v>
      </c>
      <c r="AI624">
        <v>96.858094590419</v>
      </c>
      <c r="AJ624">
        <v>78.480668337214794</v>
      </c>
      <c r="AK624">
        <v>0.58675638170712496</v>
      </c>
    </row>
    <row r="625" spans="1:37" x14ac:dyDescent="0.2">
      <c r="A625" t="str">
        <f>"20200111160109960"</f>
        <v>20200111160109960</v>
      </c>
      <c r="B625" t="str">
        <f>"1578729669951564"</f>
        <v>1578729669951564</v>
      </c>
      <c r="C625" t="s">
        <v>37</v>
      </c>
      <c r="D625">
        <v>4.5087359999999999</v>
      </c>
      <c r="E625">
        <v>0.56442539999999997</v>
      </c>
      <c r="F625" t="s">
        <v>42</v>
      </c>
      <c r="G625">
        <v>-267.33780000000002</v>
      </c>
      <c r="H625">
        <v>1.037555</v>
      </c>
      <c r="I625">
        <v>368.06950000000001</v>
      </c>
      <c r="J625">
        <v>-267.89760000000001</v>
      </c>
      <c r="K625">
        <v>1.1044</v>
      </c>
      <c r="L625">
        <v>368.16410000000002</v>
      </c>
      <c r="M625">
        <v>0.99932739999999998</v>
      </c>
      <c r="N625">
        <v>0</v>
      </c>
      <c r="O625">
        <v>3.419792E-2</v>
      </c>
      <c r="P625">
        <v>0.99700309999999903</v>
      </c>
      <c r="Q625">
        <v>-2.0559640000000001E-2</v>
      </c>
      <c r="R625">
        <v>7.4583700000000003E-2</v>
      </c>
      <c r="S625">
        <v>3.0247189999999899</v>
      </c>
      <c r="T625">
        <v>-0.22969229999999999</v>
      </c>
      <c r="U625">
        <v>-0.2854004</v>
      </c>
      <c r="V625">
        <v>-4.0433499999999997E-2</v>
      </c>
      <c r="W625">
        <v>-7.3702990000000003E-3</v>
      </c>
      <c r="X625">
        <v>0.99915499999999902</v>
      </c>
      <c r="Y625">
        <v>0.1274718</v>
      </c>
      <c r="Z625">
        <v>-7.4107469999999996E-3</v>
      </c>
      <c r="AA625">
        <v>0.99181450000000004</v>
      </c>
      <c r="AB625">
        <v>33</v>
      </c>
      <c r="AC625">
        <v>0.55979999999999497</v>
      </c>
      <c r="AD625">
        <v>-6.6845000000000002E-2</v>
      </c>
      <c r="AE625">
        <v>-9.4600000000014006E-2</v>
      </c>
      <c r="AF625">
        <v>0.112135839836022</v>
      </c>
      <c r="AG625">
        <v>-6.6845000000000002E-2</v>
      </c>
      <c r="AH625">
        <v>0.54863165569587802</v>
      </c>
      <c r="AI625">
        <v>96.807275200176605</v>
      </c>
      <c r="AJ625">
        <v>78.448316844524399</v>
      </c>
      <c r="AK625">
        <v>0.56394981534914201</v>
      </c>
    </row>
    <row r="626" spans="1:37" x14ac:dyDescent="0.2">
      <c r="A626" t="str">
        <f>"20200111160109982"</f>
        <v>20200111160109982</v>
      </c>
      <c r="B626" t="str">
        <f>"1578729669971085"</f>
        <v>1578729669971085</v>
      </c>
      <c r="C626" t="s">
        <v>37</v>
      </c>
      <c r="D626">
        <v>4.343699</v>
      </c>
      <c r="E626">
        <v>0.57580030000000004</v>
      </c>
      <c r="F626" t="s">
        <v>42</v>
      </c>
      <c r="G626">
        <v>-267.04090000000002</v>
      </c>
      <c r="H626">
        <v>1.0396459999999901</v>
      </c>
      <c r="I626">
        <v>368.08420000000001</v>
      </c>
      <c r="J626">
        <v>-267.57639999999998</v>
      </c>
      <c r="K626">
        <v>1.104449</v>
      </c>
      <c r="L626">
        <v>368.17559999999997</v>
      </c>
      <c r="M626">
        <v>0.99930790000000003</v>
      </c>
      <c r="N626">
        <v>0</v>
      </c>
      <c r="O626">
        <v>3.4702709999999998E-2</v>
      </c>
      <c r="P626">
        <v>0.9969401</v>
      </c>
      <c r="Q626">
        <v>-1.9863570000000001E-2</v>
      </c>
      <c r="R626">
        <v>7.5605140000000001E-2</v>
      </c>
      <c r="S626">
        <v>3.02526899999999</v>
      </c>
      <c r="T626">
        <v>-0.22913339999999999</v>
      </c>
      <c r="U626">
        <v>-0.2806091</v>
      </c>
      <c r="V626">
        <v>-4.0953059999999999E-2</v>
      </c>
      <c r="W626">
        <v>-6.5150800000000004E-3</v>
      </c>
      <c r="X626">
        <v>0.99913980000000002</v>
      </c>
      <c r="Y626">
        <v>0.1264026</v>
      </c>
      <c r="Z626">
        <v>-7.3897310000000001E-3</v>
      </c>
      <c r="AA626">
        <v>0.99195149999999999</v>
      </c>
      <c r="AB626">
        <v>33</v>
      </c>
      <c r="AC626">
        <v>0.53549999999995601</v>
      </c>
      <c r="AD626">
        <v>-6.4803000000000097E-2</v>
      </c>
      <c r="AE626">
        <v>-9.1399999999964607E-2</v>
      </c>
      <c r="AF626">
        <v>0.10838756871737</v>
      </c>
      <c r="AG626">
        <v>-6.4803000000000097E-2</v>
      </c>
      <c r="AH626">
        <v>0.52454114910668603</v>
      </c>
      <c r="AI626">
        <v>96.898479303639306</v>
      </c>
      <c r="AJ626">
        <v>78.325106107371099</v>
      </c>
      <c r="AK626">
        <v>0.53952823000064198</v>
      </c>
    </row>
    <row r="627" spans="1:37" x14ac:dyDescent="0.2">
      <c r="A627" t="str">
        <f>"20200111160110005"</f>
        <v>20200111160110005</v>
      </c>
      <c r="B627" t="str">
        <f>"1578729670001342"</f>
        <v>1578729670001342</v>
      </c>
      <c r="C627" t="s">
        <v>37</v>
      </c>
      <c r="D627">
        <v>4.4234980000000004</v>
      </c>
      <c r="E627">
        <v>0.59206239999999999</v>
      </c>
      <c r="F627" t="s">
        <v>38</v>
      </c>
      <c r="G627">
        <v>-250.04159999999999</v>
      </c>
      <c r="H627" s="1">
        <v>-4.8895749999999997E-6</v>
      </c>
      <c r="I627">
        <v>366.03579999999999</v>
      </c>
      <c r="J627">
        <v>-267.2473</v>
      </c>
      <c r="K627">
        <v>1.104495</v>
      </c>
      <c r="L627">
        <v>368.18759999999997</v>
      </c>
      <c r="M627">
        <v>0.99928779999999995</v>
      </c>
      <c r="N627">
        <v>0</v>
      </c>
      <c r="O627">
        <v>3.5219449999999999E-2</v>
      </c>
      <c r="P627">
        <v>0.99688849999999996</v>
      </c>
      <c r="Q627">
        <v>-1.9705670000000002E-2</v>
      </c>
      <c r="R627">
        <v>7.6323169999999996E-2</v>
      </c>
      <c r="S627">
        <v>3.0334779999999899</v>
      </c>
      <c r="T627">
        <v>-0.1910666</v>
      </c>
      <c r="U627">
        <v>-0.37017820000000001</v>
      </c>
      <c r="V627">
        <v>-4.1155619999999997E-2</v>
      </c>
      <c r="W627">
        <v>-6.2139369999999897E-3</v>
      </c>
      <c r="X627">
        <v>0.99913339999999995</v>
      </c>
      <c r="Y627">
        <v>0.15564749999999999</v>
      </c>
      <c r="Z627">
        <v>-7.0879239999999998E-3</v>
      </c>
      <c r="AA627">
        <v>0.98778719999999998</v>
      </c>
      <c r="AB627">
        <v>33</v>
      </c>
      <c r="AC627">
        <v>17.2057</v>
      </c>
      <c r="AD627">
        <v>-1.104499889575</v>
      </c>
      <c r="AE627">
        <v>-2.1517999999999802</v>
      </c>
      <c r="AF627">
        <v>2.7453566989103702</v>
      </c>
      <c r="AG627">
        <v>-1.104499889575</v>
      </c>
      <c r="AH627">
        <v>17.050052828466601</v>
      </c>
      <c r="AI627">
        <v>93.659429057478803</v>
      </c>
      <c r="AJ627">
        <v>80.852889448931606</v>
      </c>
      <c r="AK627">
        <v>17.3049474100278</v>
      </c>
    </row>
    <row r="628" spans="1:37" x14ac:dyDescent="0.2">
      <c r="A628" t="str">
        <f>"20200111160110027"</f>
        <v>20200111160110027</v>
      </c>
      <c r="B628" t="str">
        <f>"1578729670021836"</f>
        <v>1578729670021836</v>
      </c>
      <c r="C628" t="s">
        <v>37</v>
      </c>
      <c r="D628">
        <v>4.4032809999999998</v>
      </c>
      <c r="E628">
        <v>0.59221040000000003</v>
      </c>
      <c r="F628" t="s">
        <v>38</v>
      </c>
      <c r="G628">
        <v>-247.9016</v>
      </c>
      <c r="H628" s="1">
        <v>-2.0129700000000001E-6</v>
      </c>
      <c r="I628">
        <v>365.02010000000001</v>
      </c>
      <c r="J628">
        <v>-266.91129999999998</v>
      </c>
      <c r="K628">
        <v>1.1045240000000001</v>
      </c>
      <c r="L628">
        <v>368.2</v>
      </c>
      <c r="M628">
        <v>0.99926729999999997</v>
      </c>
      <c r="N628">
        <v>0</v>
      </c>
      <c r="O628">
        <v>3.57472E-2</v>
      </c>
      <c r="P628">
        <v>0.99685759999999901</v>
      </c>
      <c r="Q628">
        <v>-1.9070360000000001E-2</v>
      </c>
      <c r="R628">
        <v>7.688565E-2</v>
      </c>
      <c r="S628">
        <v>3.044098</v>
      </c>
      <c r="T628">
        <v>-0.1737957</v>
      </c>
      <c r="U628">
        <v>-0.498413099999999</v>
      </c>
      <c r="V628">
        <v>-4.1192010000000001E-2</v>
      </c>
      <c r="W628">
        <v>-5.450819E-3</v>
      </c>
      <c r="X628">
        <v>0.99913639999999904</v>
      </c>
      <c r="Y628">
        <v>0.19638829999999999</v>
      </c>
      <c r="Z628">
        <v>-7.5917739999999999E-3</v>
      </c>
      <c r="AA628">
        <v>0.98049679999999995</v>
      </c>
      <c r="AB628">
        <v>33</v>
      </c>
      <c r="AC628">
        <v>19.009699999999899</v>
      </c>
      <c r="AD628">
        <v>-1.1045260129700001</v>
      </c>
      <c r="AE628">
        <v>-3.1798999999999702</v>
      </c>
      <c r="AF628">
        <v>3.8448474768816299</v>
      </c>
      <c r="AG628">
        <v>-1.1045260129700001</v>
      </c>
      <c r="AH628">
        <v>18.822051368297601</v>
      </c>
      <c r="AI628">
        <v>93.290611851310999</v>
      </c>
      <c r="AJ628">
        <v>78.454822696459203</v>
      </c>
      <c r="AK628">
        <v>19.242464695164202</v>
      </c>
    </row>
    <row r="629" spans="1:37" x14ac:dyDescent="0.2">
      <c r="A629" t="str">
        <f>"20200111160110060"</f>
        <v>20200111160110060</v>
      </c>
      <c r="B629" t="str">
        <f>"1578729670051116"</f>
        <v>1578729670051116</v>
      </c>
      <c r="C629" t="s">
        <v>37</v>
      </c>
      <c r="D629">
        <v>4.3203940000000003</v>
      </c>
      <c r="E629">
        <v>0.59178039999999998</v>
      </c>
      <c r="F629" t="s">
        <v>38</v>
      </c>
      <c r="G629">
        <v>-249.3158</v>
      </c>
      <c r="H629" s="1">
        <v>-1.3880619999999999E-6</v>
      </c>
      <c r="I629">
        <v>365.32780000000002</v>
      </c>
      <c r="J629">
        <v>-266.423</v>
      </c>
      <c r="K629">
        <v>1.1045670000000001</v>
      </c>
      <c r="L629">
        <v>368.2183</v>
      </c>
      <c r="M629">
        <v>0.9992375</v>
      </c>
      <c r="N629">
        <v>0</v>
      </c>
      <c r="O629">
        <v>3.6515730000000003E-2</v>
      </c>
      <c r="P629">
        <v>0.99685729999999995</v>
      </c>
      <c r="Q629">
        <v>-1.9169309999999998E-2</v>
      </c>
      <c r="R629">
        <v>7.6864920000000003E-2</v>
      </c>
      <c r="S629">
        <v>3.0441590000000001</v>
      </c>
      <c r="T629">
        <v>-0.19109079999999901</v>
      </c>
      <c r="U629">
        <v>-0.49691769999999902</v>
      </c>
      <c r="V629">
        <v>-4.0403050000000003E-2</v>
      </c>
      <c r="W629">
        <v>-5.3943239999999998E-3</v>
      </c>
      <c r="X629">
        <v>0.99916890000000003</v>
      </c>
      <c r="Y629">
        <v>0.196591299999999</v>
      </c>
      <c r="Z629">
        <v>-8.4002920000000002E-3</v>
      </c>
      <c r="AA629">
        <v>0.98044959999999903</v>
      </c>
      <c r="AB629">
        <v>33</v>
      </c>
      <c r="AC629">
        <v>17.107199999999999</v>
      </c>
      <c r="AD629">
        <v>-1.1045683880620001</v>
      </c>
      <c r="AE629">
        <v>-2.8904999999999701</v>
      </c>
      <c r="AF629">
        <v>3.4991306422897899</v>
      </c>
      <c r="AG629">
        <v>-1.1045683880620001</v>
      </c>
      <c r="AH629">
        <v>16.921642359640199</v>
      </c>
      <c r="AI629">
        <v>93.657548635109904</v>
      </c>
      <c r="AJ629">
        <v>78.316796320658</v>
      </c>
      <c r="AK629">
        <v>17.314905911476501</v>
      </c>
    </row>
    <row r="630" spans="1:37" x14ac:dyDescent="0.2">
      <c r="A630" t="str">
        <f>"20200111160110083"</f>
        <v>20200111160110083</v>
      </c>
      <c r="B630" t="str">
        <f>"1578729670071613"</f>
        <v>1578729670071613</v>
      </c>
      <c r="C630" t="s">
        <v>37</v>
      </c>
      <c r="D630">
        <v>4.3626490000000002</v>
      </c>
      <c r="E630">
        <v>0.59167400000000003</v>
      </c>
      <c r="F630" t="s">
        <v>38</v>
      </c>
      <c r="G630">
        <v>-249.83590000000001</v>
      </c>
      <c r="H630" s="1">
        <v>-1.134035E-6</v>
      </c>
      <c r="I630">
        <v>365.53179999999998</v>
      </c>
      <c r="J630">
        <v>-266.09750000000003</v>
      </c>
      <c r="K630">
        <v>1.104589</v>
      </c>
      <c r="L630">
        <v>368.23079999999999</v>
      </c>
      <c r="M630">
        <v>0.99921749999999998</v>
      </c>
      <c r="N630">
        <v>0</v>
      </c>
      <c r="O630">
        <v>3.7028190000000002E-2</v>
      </c>
      <c r="P630">
        <v>0.996865</v>
      </c>
      <c r="Q630">
        <v>-1.9239920000000001E-2</v>
      </c>
      <c r="R630">
        <v>7.6749659999999997E-2</v>
      </c>
      <c r="S630">
        <v>3.0435789999999998</v>
      </c>
      <c r="T630">
        <v>-0.20267779999999999</v>
      </c>
      <c r="U630">
        <v>-0.49295040000000001</v>
      </c>
      <c r="V630">
        <v>-3.9775570000000003E-2</v>
      </c>
      <c r="W630">
        <v>-5.3773419999999898E-3</v>
      </c>
      <c r="X630">
        <v>0.99919409999999897</v>
      </c>
      <c r="Y630">
        <v>0.1958231</v>
      </c>
      <c r="Z630">
        <v>-8.919682E-3</v>
      </c>
      <c r="AA630">
        <v>0.98059869999999905</v>
      </c>
      <c r="AB630">
        <v>33</v>
      </c>
      <c r="AC630">
        <v>16.261600000000001</v>
      </c>
      <c r="AD630">
        <v>-1.1045901340349999</v>
      </c>
      <c r="AE630">
        <v>-2.6990000000000101</v>
      </c>
      <c r="AF630">
        <v>3.2845957730484399</v>
      </c>
      <c r="AG630">
        <v>-1.1045901340349999</v>
      </c>
      <c r="AH630">
        <v>16.078301080576001</v>
      </c>
      <c r="AI630">
        <v>93.850798051492902</v>
      </c>
      <c r="AJ630">
        <v>78.454056641381896</v>
      </c>
      <c r="AK630">
        <v>16.447506023534</v>
      </c>
    </row>
    <row r="631" spans="1:37" x14ac:dyDescent="0.2">
      <c r="A631" t="str">
        <f>"20200111160110105"</f>
        <v>20200111160110105</v>
      </c>
      <c r="B631" t="str">
        <f>"1578729670101869"</f>
        <v>1578729670101869</v>
      </c>
      <c r="C631" t="s">
        <v>37</v>
      </c>
      <c r="D631">
        <v>4.3428059999999897</v>
      </c>
      <c r="E631">
        <v>0.59207100000000001</v>
      </c>
      <c r="F631" t="s">
        <v>38</v>
      </c>
      <c r="G631">
        <v>-249.8631</v>
      </c>
      <c r="H631" s="1">
        <v>-1.104185E-6</v>
      </c>
      <c r="I631">
        <v>365.60480000000001</v>
      </c>
      <c r="J631">
        <v>-265.7688</v>
      </c>
      <c r="K631">
        <v>1.1046119999999999</v>
      </c>
      <c r="L631">
        <v>368.24349999999998</v>
      </c>
      <c r="M631">
        <v>0.99919690000000005</v>
      </c>
      <c r="N631">
        <v>0</v>
      </c>
      <c r="O631">
        <v>3.7546200000000002E-2</v>
      </c>
      <c r="P631">
        <v>0.99689209999999995</v>
      </c>
      <c r="Q631">
        <v>-1.8708869999999999E-2</v>
      </c>
      <c r="R631">
        <v>7.6526369999999996E-2</v>
      </c>
      <c r="S631">
        <v>3.0433349999999999</v>
      </c>
      <c r="T631">
        <v>-0.2070688</v>
      </c>
      <c r="U631">
        <v>-0.49227910000000002</v>
      </c>
      <c r="V631">
        <v>-3.9034319999999997E-2</v>
      </c>
      <c r="W631">
        <v>-4.7693070000000004E-3</v>
      </c>
      <c r="X631">
        <v>0.99922649999999902</v>
      </c>
      <c r="Y631">
        <v>0.19610910000000001</v>
      </c>
      <c r="Z631">
        <v>-9.1580459999999995E-3</v>
      </c>
      <c r="AA631">
        <v>0.9805393</v>
      </c>
      <c r="AB631">
        <v>33</v>
      </c>
      <c r="AC631">
        <v>15.9056999999999</v>
      </c>
      <c r="AD631">
        <v>-1.104613104185</v>
      </c>
      <c r="AE631">
        <v>-2.6386999999999698</v>
      </c>
      <c r="AF631">
        <v>3.2189868937004098</v>
      </c>
      <c r="AG631">
        <v>-1.104613104185</v>
      </c>
      <c r="AH631">
        <v>15.721605773891399</v>
      </c>
      <c r="AI631">
        <v>93.937619789859099</v>
      </c>
      <c r="AJ631">
        <v>78.428662292534298</v>
      </c>
      <c r="AK631">
        <v>16.085737000256</v>
      </c>
    </row>
    <row r="632" spans="1:37" x14ac:dyDescent="0.2">
      <c r="A632" t="str">
        <f>"20200111160110129"</f>
        <v>20200111160110129</v>
      </c>
      <c r="B632" t="str">
        <f>"1578729670121389"</f>
        <v>1578729670121389</v>
      </c>
      <c r="C632" t="s">
        <v>37</v>
      </c>
      <c r="D632">
        <v>4.3899549999999996</v>
      </c>
      <c r="E632">
        <v>0.59231639999999997</v>
      </c>
      <c r="F632" t="s">
        <v>38</v>
      </c>
      <c r="G632">
        <v>-249.6147</v>
      </c>
      <c r="H632" s="1">
        <v>-1.197518E-6</v>
      </c>
      <c r="I632">
        <v>365.61239999999998</v>
      </c>
      <c r="J632">
        <v>-265.4196</v>
      </c>
      <c r="K632">
        <v>1.10463</v>
      </c>
      <c r="L632">
        <v>368.25720000000001</v>
      </c>
      <c r="M632">
        <v>0.99917520000000004</v>
      </c>
      <c r="N632">
        <v>0</v>
      </c>
      <c r="O632">
        <v>3.8096369999999997E-2</v>
      </c>
      <c r="P632">
        <v>0.99686589999999997</v>
      </c>
      <c r="Q632">
        <v>-1.8077429999999999E-2</v>
      </c>
      <c r="R632">
        <v>7.7017740000000001E-2</v>
      </c>
      <c r="S632">
        <v>3.043488</v>
      </c>
      <c r="T632">
        <v>-0.2081131</v>
      </c>
      <c r="U632">
        <v>-0.495697</v>
      </c>
      <c r="V632">
        <v>-3.8976780000000003E-2</v>
      </c>
      <c r="W632">
        <v>-4.0683589999999997E-3</v>
      </c>
      <c r="X632">
        <v>0.9992318</v>
      </c>
      <c r="Y632">
        <v>0.19770389999999999</v>
      </c>
      <c r="Z632">
        <v>-9.2943450000000007E-3</v>
      </c>
      <c r="AA632">
        <v>0.98021780000000003</v>
      </c>
      <c r="AB632">
        <v>33</v>
      </c>
      <c r="AC632">
        <v>15.8049</v>
      </c>
      <c r="AD632">
        <v>-1.1046311975180001</v>
      </c>
      <c r="AE632">
        <v>-2.6448000000000298</v>
      </c>
      <c r="AF632">
        <v>3.2297016435539398</v>
      </c>
      <c r="AG632">
        <v>-1.1046311975180001</v>
      </c>
      <c r="AH632">
        <v>15.6184417644918</v>
      </c>
      <c r="AI632">
        <v>93.962021315658205</v>
      </c>
      <c r="AJ632">
        <v>78.316611708678593</v>
      </c>
      <c r="AK632">
        <v>15.9870855986865</v>
      </c>
    </row>
    <row r="633" spans="1:37" x14ac:dyDescent="0.2">
      <c r="A633" t="str">
        <f>"20200111160110149"</f>
        <v>20200111160110149</v>
      </c>
      <c r="B633" t="str">
        <f>"1578729670140908"</f>
        <v>1578729670140908</v>
      </c>
      <c r="C633" t="s">
        <v>37</v>
      </c>
      <c r="D633">
        <v>4.3769229999999997</v>
      </c>
      <c r="E633">
        <v>0.592638</v>
      </c>
      <c r="F633" t="s">
        <v>38</v>
      </c>
      <c r="G633">
        <v>-249.23650000000001</v>
      </c>
      <c r="H633" s="1">
        <v>-1.3408229999999999E-6</v>
      </c>
      <c r="I633">
        <v>365.61970000000002</v>
      </c>
      <c r="J633">
        <v>-265.11599999999999</v>
      </c>
      <c r="K633">
        <v>1.104646</v>
      </c>
      <c r="L633">
        <v>368.26920000000001</v>
      </c>
      <c r="M633">
        <v>0.99915609999999999</v>
      </c>
      <c r="N633">
        <v>0</v>
      </c>
      <c r="O633">
        <v>3.8574610000000002E-2</v>
      </c>
      <c r="P633">
        <v>0.99685369999999995</v>
      </c>
      <c r="Q633">
        <v>-1.7648069999999998E-2</v>
      </c>
      <c r="R633">
        <v>7.7274930000000006E-2</v>
      </c>
      <c r="S633">
        <v>3.0439449999999999</v>
      </c>
      <c r="T633">
        <v>-0.20777519999999999</v>
      </c>
      <c r="U633">
        <v>-0.49609379999999997</v>
      </c>
      <c r="V633">
        <v>-3.8756730000000003E-2</v>
      </c>
      <c r="W633">
        <v>-3.5871169999999999E-3</v>
      </c>
      <c r="X633">
        <v>0.99924219999999897</v>
      </c>
      <c r="Y633">
        <v>0.19827359999999999</v>
      </c>
      <c r="Z633">
        <v>-9.3295429999999992E-3</v>
      </c>
      <c r="AA633">
        <v>0.98010229999999998</v>
      </c>
      <c r="AB633">
        <v>33</v>
      </c>
      <c r="AC633">
        <v>15.879499999999901</v>
      </c>
      <c r="AD633">
        <v>-1.104647340823</v>
      </c>
      <c r="AE633">
        <v>-2.6494999999999802</v>
      </c>
      <c r="AF633">
        <v>3.2448569363755499</v>
      </c>
      <c r="AG633">
        <v>-1.104647340823</v>
      </c>
      <c r="AH633">
        <v>15.6915872408439</v>
      </c>
      <c r="AI633">
        <v>93.943666954867197</v>
      </c>
      <c r="AJ633">
        <v>78.316507682024294</v>
      </c>
      <c r="AK633">
        <v>16.061608027285001</v>
      </c>
    </row>
    <row r="634" spans="1:37" x14ac:dyDescent="0.2">
      <c r="A634" t="str">
        <f>"20200111160110172"</f>
        <v>20200111160110172</v>
      </c>
      <c r="B634" t="str">
        <f>"1578729670161404"</f>
        <v>1578729670161404</v>
      </c>
      <c r="C634" t="s">
        <v>37</v>
      </c>
      <c r="D634">
        <v>4.4345919999999897</v>
      </c>
      <c r="E634">
        <v>0.59287519999999905</v>
      </c>
      <c r="F634" t="s">
        <v>38</v>
      </c>
      <c r="G634">
        <v>-248.96129999999999</v>
      </c>
      <c r="H634" s="1">
        <v>-1.444435E-6</v>
      </c>
      <c r="I634">
        <v>365.6275</v>
      </c>
      <c r="J634">
        <v>-264.7903</v>
      </c>
      <c r="K634">
        <v>1.104654</v>
      </c>
      <c r="L634">
        <v>368.28230000000002</v>
      </c>
      <c r="M634">
        <v>0.99913549999999995</v>
      </c>
      <c r="N634">
        <v>0</v>
      </c>
      <c r="O634">
        <v>3.908822E-2</v>
      </c>
      <c r="P634">
        <v>0.9968591</v>
      </c>
      <c r="Q634">
        <v>-1.6709620000000001E-2</v>
      </c>
      <c r="R634">
        <v>7.7413560000000006E-2</v>
      </c>
      <c r="S634">
        <v>3.04437299999999</v>
      </c>
      <c r="T634">
        <v>-0.2081722</v>
      </c>
      <c r="U634">
        <v>-0.49783329999999998</v>
      </c>
      <c r="V634">
        <v>-3.8381850000000002E-2</v>
      </c>
      <c r="W634">
        <v>-2.6003889999999998E-3</v>
      </c>
      <c r="X634">
        <v>0.99925980000000003</v>
      </c>
      <c r="Y634">
        <v>0.19929559999999999</v>
      </c>
      <c r="Z634">
        <v>-9.4151789999999992E-3</v>
      </c>
      <c r="AA634">
        <v>0.97989419999999905</v>
      </c>
      <c r="AB634">
        <v>33</v>
      </c>
      <c r="AC634">
        <v>15.829000000000001</v>
      </c>
      <c r="AD634">
        <v>-1.1046554444350001</v>
      </c>
      <c r="AE634">
        <v>-2.6548000000000198</v>
      </c>
      <c r="AF634">
        <v>3.2561359652885198</v>
      </c>
      <c r="AG634">
        <v>-1.1046554444350001</v>
      </c>
      <c r="AH634">
        <v>15.6390372922155</v>
      </c>
      <c r="AI634">
        <v>93.955794324028403</v>
      </c>
      <c r="AJ634">
        <v>78.238722506326397</v>
      </c>
      <c r="AK634">
        <v>16.012562958585701</v>
      </c>
    </row>
    <row r="635" spans="1:37" x14ac:dyDescent="0.2">
      <c r="A635" t="str">
        <f>"20200111160110194"</f>
        <v>20200111160110194</v>
      </c>
      <c r="B635" t="str">
        <f>"1578729670191661"</f>
        <v>1578729670191661</v>
      </c>
      <c r="C635" t="s">
        <v>37</v>
      </c>
      <c r="D635">
        <v>4.4629659999999998</v>
      </c>
      <c r="E635">
        <v>0.5929449</v>
      </c>
      <c r="F635" t="s">
        <v>38</v>
      </c>
      <c r="G635">
        <v>-248.50620000000001</v>
      </c>
      <c r="H635" s="1">
        <v>-1.6231279999999999E-6</v>
      </c>
      <c r="I635">
        <v>365.61279999999999</v>
      </c>
      <c r="J635">
        <v>-264.46109999999999</v>
      </c>
      <c r="K635">
        <v>1.1046799999999899</v>
      </c>
      <c r="L635">
        <v>368.29579999999999</v>
      </c>
      <c r="M635">
        <v>0.99911439999999996</v>
      </c>
      <c r="N635">
        <v>0</v>
      </c>
      <c r="O635">
        <v>3.9607410000000003E-2</v>
      </c>
      <c r="P635">
        <v>0.99688149999999998</v>
      </c>
      <c r="Q635">
        <v>-1.5872870000000001E-2</v>
      </c>
      <c r="R635">
        <v>7.7299889999999996E-2</v>
      </c>
      <c r="S635">
        <v>3.0447389999999999</v>
      </c>
      <c r="T635">
        <v>-0.20654400000000001</v>
      </c>
      <c r="U635">
        <v>-0.49914550000000002</v>
      </c>
      <c r="V635">
        <v>-3.7749150000000002E-2</v>
      </c>
      <c r="W635">
        <v>-1.7212989999999999E-3</v>
      </c>
      <c r="X635">
        <v>0.9992858</v>
      </c>
      <c r="Y635">
        <v>0.20020260000000001</v>
      </c>
      <c r="Z635">
        <v>-9.4057949999999998E-3</v>
      </c>
      <c r="AA635">
        <v>0.97970939999999995</v>
      </c>
      <c r="AB635">
        <v>33</v>
      </c>
      <c r="AC635">
        <v>15.954899999999901</v>
      </c>
      <c r="AD635">
        <v>-1.1046816231279999</v>
      </c>
      <c r="AE635">
        <v>-2.6829999999999901</v>
      </c>
      <c r="AF635">
        <v>3.2975171347782202</v>
      </c>
      <c r="AG635">
        <v>-1.1046816231279999</v>
      </c>
      <c r="AH635">
        <v>15.762614720953</v>
      </c>
      <c r="AI635">
        <v>93.924194377479907</v>
      </c>
      <c r="AJ635">
        <v>78.184204686692198</v>
      </c>
      <c r="AK635">
        <v>16.141684038037599</v>
      </c>
    </row>
    <row r="636" spans="1:37" x14ac:dyDescent="0.2">
      <c r="A636" t="str">
        <f>"20200111160110218"</f>
        <v>20200111160110218</v>
      </c>
      <c r="B636" t="str">
        <f>"1578729670211180"</f>
        <v>1578729670211180</v>
      </c>
      <c r="C636" t="s">
        <v>37</v>
      </c>
      <c r="D636">
        <v>4.4633320000000003</v>
      </c>
      <c r="E636">
        <v>0.59309639999999997</v>
      </c>
      <c r="F636" t="s">
        <v>38</v>
      </c>
      <c r="G636">
        <v>-248.11609999999999</v>
      </c>
      <c r="H636" s="1">
        <v>-1.7728720000000001E-6</v>
      </c>
      <c r="I636">
        <v>365.61290000000002</v>
      </c>
      <c r="J636">
        <v>-264.12189999999998</v>
      </c>
      <c r="K636">
        <v>1.104695</v>
      </c>
      <c r="L636">
        <v>368.3098</v>
      </c>
      <c r="M636">
        <v>0.99909249999999905</v>
      </c>
      <c r="N636">
        <v>0</v>
      </c>
      <c r="O636">
        <v>4.0142839999999999E-2</v>
      </c>
      <c r="P636">
        <v>0.99689240000000001</v>
      </c>
      <c r="Q636">
        <v>-1.5341520000000001E-2</v>
      </c>
      <c r="R636">
        <v>7.726674E-2</v>
      </c>
      <c r="S636">
        <v>3.044861</v>
      </c>
      <c r="T636">
        <v>-0.20578829999999901</v>
      </c>
      <c r="U636">
        <v>-0.49978640000000002</v>
      </c>
      <c r="V636">
        <v>-3.7180709999999999E-2</v>
      </c>
      <c r="W636">
        <v>-1.1527989999999999E-3</v>
      </c>
      <c r="X636">
        <v>0.99930790000000003</v>
      </c>
      <c r="Y636">
        <v>0.2009233</v>
      </c>
      <c r="Z636">
        <v>-9.4310509999999993E-3</v>
      </c>
      <c r="AA636">
        <v>0.97956160000000003</v>
      </c>
      <c r="AB636">
        <v>33</v>
      </c>
      <c r="AC636">
        <v>16.005799999999901</v>
      </c>
      <c r="AD636">
        <v>-1.1046967728720001</v>
      </c>
      <c r="AE636">
        <v>-2.6968999999999701</v>
      </c>
      <c r="AF636">
        <v>3.32192182343596</v>
      </c>
      <c r="AG636">
        <v>-1.1046967728720001</v>
      </c>
      <c r="AH636">
        <v>15.811384595741901</v>
      </c>
      <c r="AI636">
        <v>93.911477981307897</v>
      </c>
      <c r="AJ636">
        <v>78.134907217226996</v>
      </c>
      <c r="AK636">
        <v>16.194301540834601</v>
      </c>
    </row>
    <row r="637" spans="1:37" x14ac:dyDescent="0.2">
      <c r="A637" t="str">
        <f>"20200111160110239"</f>
        <v>20200111160110239</v>
      </c>
      <c r="B637" t="str">
        <f>"1578729670231676"</f>
        <v>1578729670231676</v>
      </c>
      <c r="C637" t="s">
        <v>37</v>
      </c>
      <c r="D637">
        <v>4.490659</v>
      </c>
      <c r="E637">
        <v>0.59327289999999999</v>
      </c>
      <c r="F637" t="s">
        <v>38</v>
      </c>
      <c r="G637">
        <v>-247.6525</v>
      </c>
      <c r="H637" s="1">
        <v>-1.9546739999999998E-6</v>
      </c>
      <c r="I637">
        <v>365.59879999999998</v>
      </c>
      <c r="J637">
        <v>-263.81</v>
      </c>
      <c r="K637">
        <v>1.1047119999999999</v>
      </c>
      <c r="L637">
        <v>368.32279999999997</v>
      </c>
      <c r="M637">
        <v>0.99907230000000002</v>
      </c>
      <c r="N637">
        <v>0</v>
      </c>
      <c r="O637">
        <v>4.0635060000000001E-2</v>
      </c>
      <c r="P637">
        <v>0.99690970000000001</v>
      </c>
      <c r="Q637">
        <v>-1.4407440000000001E-2</v>
      </c>
      <c r="R637">
        <v>7.7226329999999996E-2</v>
      </c>
      <c r="S637">
        <v>3.0450740000000001</v>
      </c>
      <c r="T637">
        <v>-0.20424990000000001</v>
      </c>
      <c r="U637">
        <v>-0.50125120000000001</v>
      </c>
      <c r="V637">
        <v>-3.664895E-2</v>
      </c>
      <c r="W637">
        <v>-1.893493E-4</v>
      </c>
      <c r="X637">
        <v>0.999328199999999</v>
      </c>
      <c r="Y637">
        <v>0.2018586</v>
      </c>
      <c r="Z637">
        <v>-9.4236189999999994E-3</v>
      </c>
      <c r="AA637">
        <v>0.9793693</v>
      </c>
      <c r="AB637">
        <v>33</v>
      </c>
      <c r="AC637">
        <v>16.157499999999999</v>
      </c>
      <c r="AD637">
        <v>-1.1047139546739999</v>
      </c>
      <c r="AE637">
        <v>-2.7239999999999802</v>
      </c>
      <c r="AF637">
        <v>3.3630905511083902</v>
      </c>
      <c r="AG637">
        <v>-1.1047139546739999</v>
      </c>
      <c r="AH637">
        <v>15.960900973124099</v>
      </c>
      <c r="AI637">
        <v>93.874533067267393</v>
      </c>
      <c r="AJ637">
        <v>78.101370843327899</v>
      </c>
      <c r="AK637">
        <v>16.348734839444901</v>
      </c>
    </row>
    <row r="638" spans="1:37" x14ac:dyDescent="0.2">
      <c r="A638" t="str">
        <f>"20200111160110260"</f>
        <v>20200111160110260</v>
      </c>
      <c r="B638" t="str">
        <f>"1578729670251197"</f>
        <v>1578729670251197</v>
      </c>
      <c r="C638" t="s">
        <v>37</v>
      </c>
      <c r="D638">
        <v>4.5528699999999898</v>
      </c>
      <c r="E638">
        <v>0.59341840000000001</v>
      </c>
      <c r="F638" t="s">
        <v>38</v>
      </c>
      <c r="G638">
        <v>-247.1883</v>
      </c>
      <c r="H638" s="1">
        <v>-2.1382830000000001E-6</v>
      </c>
      <c r="I638">
        <v>365.57859999999999</v>
      </c>
      <c r="J638">
        <v>-263.48880000000003</v>
      </c>
      <c r="K638">
        <v>1.1047209999999901</v>
      </c>
      <c r="L638">
        <v>368.3365</v>
      </c>
      <c r="M638">
        <v>0.99905119999999903</v>
      </c>
      <c r="N638">
        <v>0</v>
      </c>
      <c r="O638">
        <v>4.1142320000000003E-2</v>
      </c>
      <c r="P638">
        <v>0.99689649999999996</v>
      </c>
      <c r="Q638">
        <v>-1.362383E-2</v>
      </c>
      <c r="R638">
        <v>7.7536339999999995E-2</v>
      </c>
      <c r="S638">
        <v>3.0453189999999899</v>
      </c>
      <c r="T638">
        <v>-0.2023983</v>
      </c>
      <c r="U638">
        <v>-0.50277709999999998</v>
      </c>
      <c r="V638">
        <v>-3.6452140000000001E-2</v>
      </c>
      <c r="W638">
        <v>6.1971339999999995E-4</v>
      </c>
      <c r="X638">
        <v>0.99933519999999898</v>
      </c>
      <c r="Y638">
        <v>0.20282739999999999</v>
      </c>
      <c r="Z638">
        <v>-9.4027050000000008E-3</v>
      </c>
      <c r="AA638">
        <v>0.97916939999999997</v>
      </c>
      <c r="AB638">
        <v>33</v>
      </c>
      <c r="AC638">
        <v>16.3005</v>
      </c>
      <c r="AD638">
        <v>-1.1047231382829901</v>
      </c>
      <c r="AE638">
        <v>-2.7578999999999998</v>
      </c>
      <c r="AF638">
        <v>3.4110419825295901</v>
      </c>
      <c r="AG638">
        <v>-1.1047231382829901</v>
      </c>
      <c r="AH638">
        <v>16.1013207675187</v>
      </c>
      <c r="AI638">
        <v>93.839993414360706</v>
      </c>
      <c r="AJ638">
        <v>78.038816315523704</v>
      </c>
      <c r="AK638">
        <v>16.495700987753299</v>
      </c>
    </row>
    <row r="639" spans="1:37" x14ac:dyDescent="0.2">
      <c r="A639" t="str">
        <f>"20200111160110283"</f>
        <v>20200111160110283</v>
      </c>
      <c r="B639" t="str">
        <f>"1578729670281453"</f>
        <v>1578729670281453</v>
      </c>
      <c r="C639" t="s">
        <v>37</v>
      </c>
      <c r="D639">
        <v>4.6592409999999997</v>
      </c>
      <c r="E639">
        <v>0.5938542</v>
      </c>
      <c r="F639" t="s">
        <v>38</v>
      </c>
      <c r="G639">
        <v>-246.72970000000001</v>
      </c>
      <c r="H639" s="1">
        <v>-2.31634E-6</v>
      </c>
      <c r="I639">
        <v>365.57139999999998</v>
      </c>
      <c r="J639">
        <v>-263.16149999999999</v>
      </c>
      <c r="K639">
        <v>1.104735</v>
      </c>
      <c r="L639">
        <v>368.35050000000001</v>
      </c>
      <c r="M639">
        <v>0.99902950000000001</v>
      </c>
      <c r="N639">
        <v>0</v>
      </c>
      <c r="O639">
        <v>4.1659259999999997E-2</v>
      </c>
      <c r="P639">
        <v>0.99688880000000002</v>
      </c>
      <c r="Q639">
        <v>-1.326721E-2</v>
      </c>
      <c r="R639">
        <v>7.7698009999999998E-2</v>
      </c>
      <c r="S639">
        <v>3.04568499999999</v>
      </c>
      <c r="T639">
        <v>-0.2007641</v>
      </c>
      <c r="U639">
        <v>-0.50250240000000002</v>
      </c>
      <c r="V639">
        <v>-3.6097600000000001E-2</v>
      </c>
      <c r="W639">
        <v>9.9879890000000005E-4</v>
      </c>
      <c r="X639">
        <v>0.99934769999999995</v>
      </c>
      <c r="Y639">
        <v>0.20323569999999999</v>
      </c>
      <c r="Z639">
        <v>-9.3731140000000001E-3</v>
      </c>
      <c r="AA639">
        <v>0.97908499999999998</v>
      </c>
      <c r="AB639">
        <v>33</v>
      </c>
      <c r="AC639">
        <v>16.4317999999999</v>
      </c>
      <c r="AD639">
        <v>-1.1047373163400001</v>
      </c>
      <c r="AE639">
        <v>-2.7791000000000201</v>
      </c>
      <c r="AF639">
        <v>3.4461498095588201</v>
      </c>
      <c r="AG639">
        <v>-1.1047373163400001</v>
      </c>
      <c r="AH639">
        <v>16.230422239119001</v>
      </c>
      <c r="AI639">
        <v>93.809219579418894</v>
      </c>
      <c r="AJ639">
        <v>78.0126087623199</v>
      </c>
      <c r="AK639">
        <v>16.628980699613699</v>
      </c>
    </row>
    <row r="640" spans="1:37" x14ac:dyDescent="0.2">
      <c r="A640" t="str">
        <f>"20200111160110306"</f>
        <v>20200111160110306</v>
      </c>
      <c r="B640" t="str">
        <f>"1578729670300972"</f>
        <v>1578729670300972</v>
      </c>
      <c r="C640" t="s">
        <v>37</v>
      </c>
      <c r="D640">
        <v>4.5907689999999999</v>
      </c>
      <c r="E640">
        <v>0.59386530000000004</v>
      </c>
      <c r="F640" t="s">
        <v>38</v>
      </c>
      <c r="G640">
        <v>-246.28469999999999</v>
      </c>
      <c r="H640" s="1">
        <v>-2.4936109999999998E-6</v>
      </c>
      <c r="I640">
        <v>365.54730000000001</v>
      </c>
      <c r="J640">
        <v>-262.81990000000002</v>
      </c>
      <c r="K640">
        <v>1.1047419999999999</v>
      </c>
      <c r="L640">
        <v>368.36540000000002</v>
      </c>
      <c r="M640">
        <v>0.99900630000000001</v>
      </c>
      <c r="N640">
        <v>0</v>
      </c>
      <c r="O640">
        <v>4.2199809999999997E-2</v>
      </c>
      <c r="P640">
        <v>0.99681810000000004</v>
      </c>
      <c r="Q640">
        <v>-1.3324580000000001E-2</v>
      </c>
      <c r="R640">
        <v>7.8588850000000002E-2</v>
      </c>
      <c r="S640">
        <v>3.0461429999999998</v>
      </c>
      <c r="T640">
        <v>-0.19939770000000001</v>
      </c>
      <c r="U640">
        <v>-0.50595089999999998</v>
      </c>
      <c r="V640">
        <v>-3.6450219999999998E-2</v>
      </c>
      <c r="W640">
        <v>9.596982E-4</v>
      </c>
      <c r="X640">
        <v>0.99933499999999997</v>
      </c>
      <c r="Y640">
        <v>0.20482329999999899</v>
      </c>
      <c r="Z640">
        <v>-9.3939409999999994E-3</v>
      </c>
      <c r="AA640">
        <v>0.97875389999999995</v>
      </c>
      <c r="AB640">
        <v>33</v>
      </c>
      <c r="AC640">
        <v>16.5352</v>
      </c>
      <c r="AD640">
        <v>-1.104744493611</v>
      </c>
      <c r="AE640">
        <v>-2.81810000000001</v>
      </c>
      <c r="AF640">
        <v>3.4982683353600601</v>
      </c>
      <c r="AG640">
        <v>-1.104744493611</v>
      </c>
      <c r="AH640">
        <v>16.330692437753299</v>
      </c>
      <c r="AI640">
        <v>93.784470383825294</v>
      </c>
      <c r="AJ640">
        <v>77.909153448864302</v>
      </c>
      <c r="AK640">
        <v>16.737677773181101</v>
      </c>
    </row>
    <row r="641" spans="1:37" x14ac:dyDescent="0.2">
      <c r="A641" t="str">
        <f>"20200111160110329"</f>
        <v>20200111160110329</v>
      </c>
      <c r="B641" t="str">
        <f>"1578729670321468"</f>
        <v>1578729670321468</v>
      </c>
      <c r="C641" t="s">
        <v>37</v>
      </c>
      <c r="D641">
        <v>4.6645959999999898</v>
      </c>
      <c r="E641">
        <v>0.59398099999999998</v>
      </c>
      <c r="F641" t="s">
        <v>38</v>
      </c>
      <c r="G641">
        <v>-246.03960000000001</v>
      </c>
      <c r="H641" s="1">
        <v>-2.5754719999999998E-6</v>
      </c>
      <c r="I641">
        <v>365.59339999999997</v>
      </c>
      <c r="J641">
        <v>-262.50819999999999</v>
      </c>
      <c r="K641">
        <v>1.104746</v>
      </c>
      <c r="L641">
        <v>368.37909999999999</v>
      </c>
      <c r="M641">
        <v>0.99898529999999996</v>
      </c>
      <c r="N641">
        <v>0</v>
      </c>
      <c r="O641">
        <v>4.269295E-2</v>
      </c>
      <c r="P641">
        <v>0.99677879999999996</v>
      </c>
      <c r="Q641">
        <v>-1.237424E-2</v>
      </c>
      <c r="R641">
        <v>7.9240699999999997E-2</v>
      </c>
      <c r="S641">
        <v>3.04657</v>
      </c>
      <c r="T641">
        <v>-0.2005738</v>
      </c>
      <c r="U641">
        <v>-0.50326539999999997</v>
      </c>
      <c r="V641">
        <v>-3.6610759999999999E-2</v>
      </c>
      <c r="W641">
        <v>1.924339E-3</v>
      </c>
      <c r="X641">
        <v>0.99932770000000004</v>
      </c>
      <c r="Y641">
        <v>0.20443819999999999</v>
      </c>
      <c r="Z641">
        <v>-9.468265E-3</v>
      </c>
      <c r="AA641">
        <v>0.97883369999999903</v>
      </c>
      <c r="AB641">
        <v>33</v>
      </c>
      <c r="AC641">
        <v>16.468599999999899</v>
      </c>
      <c r="AD641">
        <v>-1.1047485754719999</v>
      </c>
      <c r="AE641">
        <v>-2.7857000000000198</v>
      </c>
      <c r="AF641">
        <v>3.4711393582740899</v>
      </c>
      <c r="AG641">
        <v>-1.1047485754719999</v>
      </c>
      <c r="AH641">
        <v>16.2634894259586</v>
      </c>
      <c r="AI641">
        <v>93.800683233135004</v>
      </c>
      <c r="AJ641">
        <v>77.952050606409102</v>
      </c>
      <c r="AK641">
        <v>16.666444316885102</v>
      </c>
    </row>
    <row r="642" spans="1:37" x14ac:dyDescent="0.2">
      <c r="A642" t="str">
        <f>"20200111160110351"</f>
        <v>20200111160110351</v>
      </c>
      <c r="B642" t="str">
        <f>"1578729670340989"</f>
        <v>1578729670340989</v>
      </c>
      <c r="C642" t="s">
        <v>37</v>
      </c>
      <c r="D642">
        <v>4.677613</v>
      </c>
      <c r="E642">
        <v>0.59411289999999894</v>
      </c>
      <c r="F642" t="s">
        <v>38</v>
      </c>
      <c r="G642">
        <v>-245.66929999999999</v>
      </c>
      <c r="H642" s="1">
        <v>-2.7392259999999998E-6</v>
      </c>
      <c r="I642">
        <v>365.60480000000001</v>
      </c>
      <c r="J642">
        <v>-262.1893</v>
      </c>
      <c r="K642">
        <v>1.1047530000000001</v>
      </c>
      <c r="L642">
        <v>368.39319999999998</v>
      </c>
      <c r="M642">
        <v>0.99896359999999995</v>
      </c>
      <c r="N642">
        <v>0</v>
      </c>
      <c r="O642">
        <v>4.3194789999999997E-2</v>
      </c>
      <c r="P642">
        <v>0.99678639999999996</v>
      </c>
      <c r="Q642">
        <v>-1.167693E-2</v>
      </c>
      <c r="R642">
        <v>7.9251639999999998E-2</v>
      </c>
      <c r="S642">
        <v>3.0470890000000002</v>
      </c>
      <c r="T642">
        <v>-0.19990929999999901</v>
      </c>
      <c r="U642">
        <v>-0.50201419999999997</v>
      </c>
      <c r="V642">
        <v>-3.6119890000000002E-2</v>
      </c>
      <c r="W642">
        <v>2.634824E-3</v>
      </c>
      <c r="X642">
        <v>0.99934400000000001</v>
      </c>
      <c r="Y642">
        <v>0.20451420000000001</v>
      </c>
      <c r="Z642">
        <v>-9.4708669999999991E-3</v>
      </c>
      <c r="AA642">
        <v>0.97881779999999996</v>
      </c>
      <c r="AB642">
        <v>32</v>
      </c>
      <c r="AC642">
        <v>16.52</v>
      </c>
      <c r="AD642">
        <v>-1.1047557392259999</v>
      </c>
      <c r="AE642">
        <v>-2.7883999999999598</v>
      </c>
      <c r="AF642">
        <v>3.4842978567004299</v>
      </c>
      <c r="AG642">
        <v>-1.1047557392259999</v>
      </c>
      <c r="AH642">
        <v>16.3131879644653</v>
      </c>
      <c r="AI642">
        <v>93.789041982647703</v>
      </c>
      <c r="AJ642">
        <v>77.943480617705305</v>
      </c>
      <c r="AK642">
        <v>16.717682804789</v>
      </c>
    </row>
    <row r="643" spans="1:37" x14ac:dyDescent="0.2">
      <c r="A643" t="str">
        <f>"20200111160110374"</f>
        <v>20200111160110374</v>
      </c>
      <c r="B643" t="str">
        <f>"1578729670361485"</f>
        <v>1578729670361485</v>
      </c>
      <c r="C643" t="s">
        <v>37</v>
      </c>
      <c r="D643">
        <v>4.7078600000000002</v>
      </c>
      <c r="E643">
        <v>0.59407639999999995</v>
      </c>
      <c r="F643" t="s">
        <v>38</v>
      </c>
      <c r="G643">
        <v>-245.32679999999999</v>
      </c>
      <c r="H643" s="1">
        <v>-2.9002039999999999E-6</v>
      </c>
      <c r="I643">
        <v>365.60989999999998</v>
      </c>
      <c r="J643">
        <v>-261.863</v>
      </c>
      <c r="K643">
        <v>1.104754</v>
      </c>
      <c r="L643">
        <v>368.40789999999998</v>
      </c>
      <c r="M643">
        <v>0.99894189999999905</v>
      </c>
      <c r="N643">
        <v>0</v>
      </c>
      <c r="O643">
        <v>4.368967E-2</v>
      </c>
      <c r="P643">
        <v>0.99684919999999999</v>
      </c>
      <c r="Q643">
        <v>-1.074686E-2</v>
      </c>
      <c r="R643">
        <v>7.8588420000000006E-2</v>
      </c>
      <c r="S643">
        <v>3.0473330000000001</v>
      </c>
      <c r="T643">
        <v>-0.1996481</v>
      </c>
      <c r="U643">
        <v>-0.50299070000000001</v>
      </c>
      <c r="V643">
        <v>-3.4960369999999998E-2</v>
      </c>
      <c r="W643">
        <v>3.5784800000000002E-3</v>
      </c>
      <c r="X643">
        <v>0.99938229999999995</v>
      </c>
      <c r="Y643">
        <v>0.20529059999999999</v>
      </c>
      <c r="Z643">
        <v>-9.5149759999999996E-3</v>
      </c>
      <c r="AA643">
        <v>0.97865480000000005</v>
      </c>
      <c r="AB643">
        <v>32</v>
      </c>
      <c r="AC643">
        <v>16.536200000000001</v>
      </c>
      <c r="AD643">
        <v>-1.1047569002040001</v>
      </c>
      <c r="AE643">
        <v>-2.798</v>
      </c>
      <c r="AF643">
        <v>3.5026649099612501</v>
      </c>
      <c r="AG643">
        <v>-1.1047569002040001</v>
      </c>
      <c r="AH643">
        <v>16.327304538682402</v>
      </c>
      <c r="AI643">
        <v>93.785053084985705</v>
      </c>
      <c r="AJ643">
        <v>77.891967991825197</v>
      </c>
      <c r="AK643">
        <v>16.7352927306009</v>
      </c>
    </row>
    <row r="644" spans="1:37" x14ac:dyDescent="0.2">
      <c r="A644" t="str">
        <f>"20200111160110395"</f>
        <v>20200111160110395</v>
      </c>
      <c r="B644" t="str">
        <f>"1578729670391740"</f>
        <v>1578729670391740</v>
      </c>
      <c r="C644" t="s">
        <v>37</v>
      </c>
      <c r="D644">
        <v>4.7709489999999999</v>
      </c>
      <c r="E644">
        <v>0.53503990000000001</v>
      </c>
      <c r="F644" t="s">
        <v>38</v>
      </c>
      <c r="G644">
        <v>-244.97819999999999</v>
      </c>
      <c r="H644" s="1">
        <v>-3.064735E-6</v>
      </c>
      <c r="I644">
        <v>365.6114</v>
      </c>
      <c r="J644">
        <v>-261.5421</v>
      </c>
      <c r="K644">
        <v>1.104738</v>
      </c>
      <c r="L644">
        <v>368.42250000000001</v>
      </c>
      <c r="M644">
        <v>0.99892130000000001</v>
      </c>
      <c r="N644">
        <v>0</v>
      </c>
      <c r="O644">
        <v>4.4155359999999998E-2</v>
      </c>
      <c r="P644">
        <v>0.99699579999999999</v>
      </c>
      <c r="Q644">
        <v>-1.052115E-2</v>
      </c>
      <c r="R644">
        <v>7.673895E-2</v>
      </c>
      <c r="S644">
        <v>3.0470890000000002</v>
      </c>
      <c r="T644">
        <v>-0.1993682</v>
      </c>
      <c r="U644">
        <v>-0.50466920000000004</v>
      </c>
      <c r="V644">
        <v>-3.2640450000000001E-2</v>
      </c>
      <c r="W644">
        <v>3.816898E-3</v>
      </c>
      <c r="X644">
        <v>0.99945989999999996</v>
      </c>
      <c r="Y644">
        <v>0.2062824</v>
      </c>
      <c r="Z644">
        <v>-9.5644630000000005E-3</v>
      </c>
      <c r="AA644">
        <v>0.97844580000000003</v>
      </c>
      <c r="AB644">
        <v>32</v>
      </c>
      <c r="AC644">
        <v>16.5639</v>
      </c>
      <c r="AD644">
        <v>-1.104741064735</v>
      </c>
      <c r="AE644">
        <v>-2.8111000000000099</v>
      </c>
      <c r="AF644">
        <v>3.5245786983671898</v>
      </c>
      <c r="AG644">
        <v>-1.104741064735</v>
      </c>
      <c r="AH644">
        <v>16.352897172124099</v>
      </c>
      <c r="AI644">
        <v>93.778314845719393</v>
      </c>
      <c r="AJ644">
        <v>77.836968102360103</v>
      </c>
      <c r="AK644">
        <v>16.764854718820601</v>
      </c>
    </row>
    <row r="645" spans="1:37" x14ac:dyDescent="0.2">
      <c r="A645" t="str">
        <f>"20200111160110418"</f>
        <v>20200111160110418</v>
      </c>
      <c r="B645" t="str">
        <f>"1578729670411260"</f>
        <v>1578729670411260</v>
      </c>
      <c r="C645" t="s">
        <v>37</v>
      </c>
      <c r="D645">
        <v>4.7629440000000001</v>
      </c>
      <c r="E645">
        <v>0.52428279999999905</v>
      </c>
      <c r="F645" t="s">
        <v>42</v>
      </c>
      <c r="G645">
        <v>-260.61919999999998</v>
      </c>
      <c r="H645">
        <v>1.0426660000000001</v>
      </c>
      <c r="I645">
        <v>368.41</v>
      </c>
      <c r="J645">
        <v>-261.21749999999997</v>
      </c>
      <c r="K645">
        <v>1.104706</v>
      </c>
      <c r="L645">
        <v>368.43729999999999</v>
      </c>
      <c r="M645">
        <v>0.99890210000000002</v>
      </c>
      <c r="N645">
        <v>0</v>
      </c>
      <c r="O645">
        <v>4.4585590000000001E-2</v>
      </c>
      <c r="P645">
        <v>0.99710569999999898</v>
      </c>
      <c r="Q645">
        <v>-1.1366289999999999E-2</v>
      </c>
      <c r="R645">
        <v>7.5176569999999998E-2</v>
      </c>
      <c r="S645">
        <v>3.0099490000000002</v>
      </c>
      <c r="T645">
        <v>-0.20268989999999901</v>
      </c>
      <c r="U645">
        <v>-3.9794919999999998E-2</v>
      </c>
      <c r="V645">
        <v>-3.0643599999999899E-2</v>
      </c>
      <c r="W645">
        <v>2.9838669999999999E-3</v>
      </c>
      <c r="X645">
        <v>0.99952589999999997</v>
      </c>
      <c r="Y645">
        <v>5.7561840000000003E-2</v>
      </c>
      <c r="Z645">
        <v>-4.9344819999999996E-3</v>
      </c>
      <c r="AA645">
        <v>0.99832980000000004</v>
      </c>
      <c r="AB645">
        <v>32</v>
      </c>
      <c r="AC645">
        <v>0.59829999999999395</v>
      </c>
      <c r="AD645">
        <v>-6.2039999999999797E-2</v>
      </c>
      <c r="AE645">
        <v>-2.7299999999968301E-2</v>
      </c>
      <c r="AF645">
        <v>5.3378408778152399E-2</v>
      </c>
      <c r="AG645">
        <v>-6.2039999999999797E-2</v>
      </c>
      <c r="AH645">
        <v>0.59015519312147802</v>
      </c>
      <c r="AI645">
        <v>95.976949727085199</v>
      </c>
      <c r="AJ645">
        <v>84.831769202211504</v>
      </c>
      <c r="AK645">
        <v>0.59580312863557205</v>
      </c>
    </row>
    <row r="646" spans="1:37" x14ac:dyDescent="0.2">
      <c r="A646" t="str">
        <f>"20200111160110439"</f>
        <v>20200111160110439</v>
      </c>
      <c r="B646" t="str">
        <f>"1578729670431756"</f>
        <v>1578729670431756</v>
      </c>
      <c r="C646" t="s">
        <v>37</v>
      </c>
      <c r="D646">
        <v>4.6776279999999897</v>
      </c>
      <c r="E646">
        <v>0.52106540000000001</v>
      </c>
      <c r="F646" t="s">
        <v>42</v>
      </c>
      <c r="G646">
        <v>-260.33460000000002</v>
      </c>
      <c r="H646">
        <v>1.037825</v>
      </c>
      <c r="I646">
        <v>368.44970000000001</v>
      </c>
      <c r="J646">
        <v>-260.90359999999998</v>
      </c>
      <c r="K646">
        <v>1.1046559999999901</v>
      </c>
      <c r="L646">
        <v>368.45170000000002</v>
      </c>
      <c r="M646">
        <v>0.99888619999999995</v>
      </c>
      <c r="N646">
        <v>0</v>
      </c>
      <c r="O646">
        <v>4.493875E-2</v>
      </c>
      <c r="P646">
        <v>0.99717029999999995</v>
      </c>
      <c r="Q646">
        <v>-1.2647540000000001E-2</v>
      </c>
      <c r="R646">
        <v>7.4105400000000002E-2</v>
      </c>
      <c r="S646">
        <v>3.0029300000000001</v>
      </c>
      <c r="T646">
        <v>-0.22744410000000001</v>
      </c>
      <c r="U646">
        <v>4.2388919999999997E-2</v>
      </c>
      <c r="V646">
        <v>-2.9216209999999999E-2</v>
      </c>
      <c r="W646">
        <v>1.712624E-3</v>
      </c>
      <c r="X646">
        <v>0.9995716</v>
      </c>
      <c r="Y646">
        <v>3.0622440000000001E-2</v>
      </c>
      <c r="Z646">
        <v>-4.555847E-3</v>
      </c>
      <c r="AA646">
        <v>0.99952070000000004</v>
      </c>
      <c r="AB646">
        <v>32</v>
      </c>
      <c r="AC646">
        <v>0.56899999999995998</v>
      </c>
      <c r="AD646">
        <v>-6.6830999999999793E-2</v>
      </c>
      <c r="AE646">
        <v>-2.0000000000095402E-3</v>
      </c>
      <c r="AF646">
        <v>2.71956059432556E-2</v>
      </c>
      <c r="AG646">
        <v>-6.6830999999999793E-2</v>
      </c>
      <c r="AH646">
        <v>0.560601582884931</v>
      </c>
      <c r="AI646">
        <v>96.790407206390995</v>
      </c>
      <c r="AJ646">
        <v>87.222674924453997</v>
      </c>
      <c r="AK646">
        <v>0.56522572329708298</v>
      </c>
    </row>
    <row r="647" spans="1:37" x14ac:dyDescent="0.2">
      <c r="A647" t="str">
        <f>"20200111160110462"</f>
        <v>20200111160110462</v>
      </c>
      <c r="B647" t="str">
        <f>"1578729670451277"</f>
        <v>1578729670451277</v>
      </c>
      <c r="C647" t="s">
        <v>37</v>
      </c>
      <c r="D647">
        <v>4.6669169999999998</v>
      </c>
      <c r="E647">
        <v>0.5191055</v>
      </c>
      <c r="F647" t="s">
        <v>42</v>
      </c>
      <c r="G647">
        <v>-260.04590000000002</v>
      </c>
      <c r="H647">
        <v>1.0388459999999999</v>
      </c>
      <c r="I647">
        <v>368.4701</v>
      </c>
      <c r="J647">
        <v>-260.57639999999998</v>
      </c>
      <c r="K647">
        <v>1.104581</v>
      </c>
      <c r="L647">
        <v>368.46679999999998</v>
      </c>
      <c r="M647">
        <v>0.99887359999999903</v>
      </c>
      <c r="N647">
        <v>0</v>
      </c>
      <c r="O647">
        <v>4.5216869999999999E-2</v>
      </c>
      <c r="P647">
        <v>0.99713130000000005</v>
      </c>
      <c r="Q647">
        <v>-1.4877130000000001E-2</v>
      </c>
      <c r="R647">
        <v>7.4216190000000001E-2</v>
      </c>
      <c r="S647">
        <v>3.0007929999999998</v>
      </c>
      <c r="T647">
        <v>-0.23032710000000001</v>
      </c>
      <c r="U647">
        <v>6.4514160000000001E-2</v>
      </c>
      <c r="V647">
        <v>-2.904847E-2</v>
      </c>
      <c r="W647">
        <v>-5.0805749999999997E-4</v>
      </c>
      <c r="X647">
        <v>0.99957790000000002</v>
      </c>
      <c r="Y647">
        <v>2.3536990000000001E-2</v>
      </c>
      <c r="Z647">
        <v>-4.3660590000000003E-3</v>
      </c>
      <c r="AA647">
        <v>0.99971339999999997</v>
      </c>
      <c r="AB647">
        <v>32</v>
      </c>
      <c r="AC647">
        <v>0.53049999999996</v>
      </c>
      <c r="AD647">
        <v>-6.5735000000000099E-2</v>
      </c>
      <c r="AE647">
        <v>3.30000000002428E-3</v>
      </c>
      <c r="AF647">
        <v>2.03804973955121E-2</v>
      </c>
      <c r="AG647">
        <v>-6.5735000000000099E-2</v>
      </c>
      <c r="AH647">
        <v>0.52209063204540296</v>
      </c>
      <c r="AI647">
        <v>97.170788410274398</v>
      </c>
      <c r="AJ647">
        <v>87.764518610899401</v>
      </c>
      <c r="AK647">
        <v>0.52660714291458</v>
      </c>
    </row>
    <row r="648" spans="1:37" x14ac:dyDescent="0.2">
      <c r="A648" t="str">
        <f>"20200111160110486"</f>
        <v>20200111160110486</v>
      </c>
      <c r="B648" t="str">
        <f>"1578729670481534"</f>
        <v>1578729670481534</v>
      </c>
      <c r="C648" t="s">
        <v>37</v>
      </c>
      <c r="D648">
        <v>4.714626</v>
      </c>
      <c r="E648">
        <v>0.51689259999999904</v>
      </c>
      <c r="F648" t="s">
        <v>42</v>
      </c>
      <c r="G648">
        <v>-259.75630000000001</v>
      </c>
      <c r="H648">
        <v>1.0408729999999999</v>
      </c>
      <c r="I648">
        <v>368.48860000000002</v>
      </c>
      <c r="J648">
        <v>-260.24990000000003</v>
      </c>
      <c r="K648">
        <v>1.1045049999999901</v>
      </c>
      <c r="L648">
        <v>368.48180000000002</v>
      </c>
      <c r="M648">
        <v>0.99886520000000001</v>
      </c>
      <c r="N648">
        <v>0</v>
      </c>
      <c r="O648">
        <v>4.5401520000000001E-2</v>
      </c>
      <c r="P648">
        <v>0.99704629999999905</v>
      </c>
      <c r="Q648">
        <v>-1.7228469999999999E-2</v>
      </c>
      <c r="R648">
        <v>7.4849429999999995E-2</v>
      </c>
      <c r="S648">
        <v>2.9992070000000002</v>
      </c>
      <c r="T648">
        <v>-0.23310690000000001</v>
      </c>
      <c r="U648">
        <v>7.9956050000000001E-2</v>
      </c>
      <c r="V648">
        <v>-2.9499239999999999E-2</v>
      </c>
      <c r="W648">
        <v>-2.8516959999999999E-3</v>
      </c>
      <c r="X648">
        <v>0.99956069999999997</v>
      </c>
      <c r="Y648">
        <v>1.8575290000000001E-2</v>
      </c>
      <c r="Z648">
        <v>-4.2423699999999996E-3</v>
      </c>
      <c r="AA648">
        <v>0.9998184</v>
      </c>
      <c r="AB648">
        <v>32</v>
      </c>
      <c r="AC648">
        <v>0.49360000000001403</v>
      </c>
      <c r="AD648">
        <v>-6.3631999999999897E-2</v>
      </c>
      <c r="AE648">
        <v>6.7999999999983603E-3</v>
      </c>
      <c r="AF648">
        <v>1.53642363112481E-2</v>
      </c>
      <c r="AG648">
        <v>-6.3631999999999897E-2</v>
      </c>
      <c r="AH648">
        <v>0.48533548126793302</v>
      </c>
      <c r="AI648">
        <v>97.465707955838795</v>
      </c>
      <c r="AJ648">
        <v>88.186796479811804</v>
      </c>
      <c r="AK648">
        <v>0.48973015075549903</v>
      </c>
    </row>
    <row r="649" spans="1:37" x14ac:dyDescent="0.2">
      <c r="A649" t="str">
        <f>"20200111160110508"</f>
        <v>20200111160110508</v>
      </c>
      <c r="B649" t="str">
        <f>"1578729670501052"</f>
        <v>1578729670501052</v>
      </c>
      <c r="C649" t="s">
        <v>37</v>
      </c>
      <c r="D649">
        <v>4.8866719999999999</v>
      </c>
      <c r="E649">
        <v>0.51619199999999998</v>
      </c>
      <c r="F649" t="s">
        <v>42</v>
      </c>
      <c r="G649">
        <v>-259.46969999999999</v>
      </c>
      <c r="H649">
        <v>1.039879</v>
      </c>
      <c r="I649">
        <v>368.50740000000002</v>
      </c>
      <c r="J649">
        <v>-259.92230000000001</v>
      </c>
      <c r="K649">
        <v>1.1044389999999999</v>
      </c>
      <c r="L649">
        <v>368.49680000000001</v>
      </c>
      <c r="M649">
        <v>0.99886010000000003</v>
      </c>
      <c r="N649">
        <v>0</v>
      </c>
      <c r="O649">
        <v>4.5510809999999999E-2</v>
      </c>
      <c r="P649">
        <v>0.99692969999999903</v>
      </c>
      <c r="Q649">
        <v>-1.8477520000000001E-2</v>
      </c>
      <c r="R649">
        <v>7.6092320000000005E-2</v>
      </c>
      <c r="S649">
        <v>2.997131</v>
      </c>
      <c r="T649">
        <v>-0.24862519999999999</v>
      </c>
      <c r="U649">
        <v>9.9578860000000005E-2</v>
      </c>
      <c r="V649">
        <v>-3.063681E-2</v>
      </c>
      <c r="W649">
        <v>-4.0946400000000001E-3</v>
      </c>
      <c r="X649">
        <v>0.99952220000000003</v>
      </c>
      <c r="Y649">
        <v>1.2120850000000001E-2</v>
      </c>
      <c r="Z649">
        <v>-4.2682550000000003E-3</v>
      </c>
      <c r="AA649">
        <v>0.99991739999999996</v>
      </c>
      <c r="AB649">
        <v>32</v>
      </c>
      <c r="AC649">
        <v>0.45260000000001799</v>
      </c>
      <c r="AD649">
        <v>-6.4559999999999895E-2</v>
      </c>
      <c r="AE649">
        <v>1.06000000000108E-2</v>
      </c>
      <c r="AF649">
        <v>9.8117833166828702E-3</v>
      </c>
      <c r="AG649">
        <v>-6.4559999999999895E-2</v>
      </c>
      <c r="AH649">
        <v>0.44359262372257002</v>
      </c>
      <c r="AI649">
        <v>98.278631185379496</v>
      </c>
      <c r="AJ649">
        <v>88.732886684838206</v>
      </c>
      <c r="AK649">
        <v>0.448373371770589</v>
      </c>
    </row>
    <row r="650" spans="1:37" x14ac:dyDescent="0.2">
      <c r="A650" t="str">
        <f>"20200111160110530"</f>
        <v>20200111160110530</v>
      </c>
      <c r="B650" t="str">
        <f>"1578729670521549"</f>
        <v>1578729670521549</v>
      </c>
      <c r="C650" t="s">
        <v>37</v>
      </c>
      <c r="D650">
        <v>4.7667549999999999</v>
      </c>
      <c r="E650">
        <v>0.51515940000000005</v>
      </c>
      <c r="F650" t="s">
        <v>42</v>
      </c>
      <c r="G650">
        <v>-259.18130000000002</v>
      </c>
      <c r="H650">
        <v>1.0413250000000001</v>
      </c>
      <c r="I650">
        <v>368.52370000000002</v>
      </c>
      <c r="J650">
        <v>-259.613</v>
      </c>
      <c r="K650">
        <v>1.1044179999999999</v>
      </c>
      <c r="L650">
        <v>368.510999999999</v>
      </c>
      <c r="M650">
        <v>0.99885789999999997</v>
      </c>
      <c r="N650">
        <v>0</v>
      </c>
      <c r="O650">
        <v>4.5556739999999998E-2</v>
      </c>
      <c r="P650">
        <v>0.99682780000000004</v>
      </c>
      <c r="Q650">
        <v>-1.714976E-2</v>
      </c>
      <c r="R650">
        <v>7.7717510000000004E-2</v>
      </c>
      <c r="S650">
        <v>2.9961849999999899</v>
      </c>
      <c r="T650">
        <v>-0.25541019999999998</v>
      </c>
      <c r="U650">
        <v>0.10916140000000001</v>
      </c>
      <c r="V650">
        <v>-3.2219739999999997E-2</v>
      </c>
      <c r="W650">
        <v>-2.76281099999999E-3</v>
      </c>
      <c r="X650">
        <v>0.99947699999999995</v>
      </c>
      <c r="Y650">
        <v>8.9624519999999992E-3</v>
      </c>
      <c r="Z650">
        <v>-4.254959E-3</v>
      </c>
      <c r="AA650">
        <v>0.99995080000000003</v>
      </c>
      <c r="AB650">
        <v>32</v>
      </c>
      <c r="AC650">
        <v>0.43169999999997699</v>
      </c>
      <c r="AD650">
        <v>-6.3092999999999996E-2</v>
      </c>
      <c r="AE650">
        <v>1.27000000000521E-2</v>
      </c>
      <c r="AF650">
        <v>6.83618014374062E-3</v>
      </c>
      <c r="AG650">
        <v>-6.3092999999999996E-2</v>
      </c>
      <c r="AH650">
        <v>0.42280703925971902</v>
      </c>
      <c r="AI650">
        <v>98.486190117159893</v>
      </c>
      <c r="AJ650">
        <v>89.073690578561795</v>
      </c>
      <c r="AK650">
        <v>0.42754327553538601</v>
      </c>
    </row>
    <row r="651" spans="1:37" x14ac:dyDescent="0.2">
      <c r="A651" t="str">
        <f>"20200111160110551"</f>
        <v>20200111160110551</v>
      </c>
      <c r="B651" t="str">
        <f>"1578729670541068"</f>
        <v>1578729670541068</v>
      </c>
      <c r="C651" t="s">
        <v>37</v>
      </c>
      <c r="D651">
        <v>4.7662949999999897</v>
      </c>
      <c r="E651">
        <v>0.51436749999999998</v>
      </c>
      <c r="F651" t="s">
        <v>42</v>
      </c>
      <c r="G651">
        <v>-258.6225</v>
      </c>
      <c r="H651">
        <v>1.019998</v>
      </c>
      <c r="I651">
        <v>368.5514</v>
      </c>
      <c r="J651">
        <v>-259.2962</v>
      </c>
      <c r="K651">
        <v>1.104401</v>
      </c>
      <c r="L651">
        <v>368.52550000000002</v>
      </c>
      <c r="M651">
        <v>0.99885809999999997</v>
      </c>
      <c r="N651">
        <v>0</v>
      </c>
      <c r="O651">
        <v>4.5556260000000001E-2</v>
      </c>
      <c r="P651">
        <v>0.99679669999999898</v>
      </c>
      <c r="Q651">
        <v>-1.370472E-2</v>
      </c>
      <c r="R651">
        <v>7.8796389999999994E-2</v>
      </c>
      <c r="S651">
        <v>2.9956669999999899</v>
      </c>
      <c r="T651">
        <v>-0.2553435</v>
      </c>
      <c r="U651">
        <v>0.1219788</v>
      </c>
      <c r="V651">
        <v>-3.3299780000000001E-2</v>
      </c>
      <c r="W651">
        <v>6.8504009999999997E-4</v>
      </c>
      <c r="X651">
        <v>0.99944519999999903</v>
      </c>
      <c r="Y651">
        <v>4.6990399999999998E-3</v>
      </c>
      <c r="Z651">
        <v>-4.0728029999999998E-3</v>
      </c>
      <c r="AA651">
        <v>0.99998069999999895</v>
      </c>
      <c r="AB651">
        <v>32</v>
      </c>
      <c r="AC651">
        <v>0.67369999999999597</v>
      </c>
      <c r="AD651">
        <v>-8.4402999999999895E-2</v>
      </c>
      <c r="AE651">
        <v>2.58999999999787E-2</v>
      </c>
      <c r="AF651">
        <v>4.7469301273456097E-3</v>
      </c>
      <c r="AG651">
        <v>-8.4402999999999895E-2</v>
      </c>
      <c r="AH651">
        <v>0.66377731037110999</v>
      </c>
      <c r="AI651">
        <v>97.246407078983296</v>
      </c>
      <c r="AJ651">
        <v>89.590262545462494</v>
      </c>
      <c r="AK651">
        <v>0.66913878793426596</v>
      </c>
    </row>
    <row r="652" spans="1:37" x14ac:dyDescent="0.2">
      <c r="A652" t="str">
        <f>"20200111160110574"</f>
        <v>20200111160110574</v>
      </c>
      <c r="B652" t="str">
        <f>"1578729670571325"</f>
        <v>1578729670571325</v>
      </c>
      <c r="C652" t="s">
        <v>37</v>
      </c>
      <c r="D652">
        <v>4.755217</v>
      </c>
      <c r="E652">
        <v>0.51360260000000002</v>
      </c>
      <c r="F652" t="s">
        <v>42</v>
      </c>
      <c r="G652">
        <v>-258.3347</v>
      </c>
      <c r="H652">
        <v>1.0244</v>
      </c>
      <c r="I652">
        <v>368.56760000000003</v>
      </c>
      <c r="J652">
        <v>-258.97969999999998</v>
      </c>
      <c r="K652">
        <v>1.1043810000000001</v>
      </c>
      <c r="L652">
        <v>368.53989999999999</v>
      </c>
      <c r="M652">
        <v>0.99885939999999995</v>
      </c>
      <c r="N652">
        <v>0</v>
      </c>
      <c r="O652">
        <v>4.5527230000000002E-2</v>
      </c>
      <c r="P652">
        <v>0.99674609999999997</v>
      </c>
      <c r="Q652">
        <v>-1.1478520000000001E-2</v>
      </c>
      <c r="R652">
        <v>7.9784869999999994E-2</v>
      </c>
      <c r="S652">
        <v>2.9957889999999998</v>
      </c>
      <c r="T652">
        <v>-0.24937519999999999</v>
      </c>
      <c r="U652">
        <v>0.1315308</v>
      </c>
      <c r="V652">
        <v>-3.4318540000000002E-2</v>
      </c>
      <c r="W652">
        <v>2.9128190000000001E-3</v>
      </c>
      <c r="X652">
        <v>0.99940669999999898</v>
      </c>
      <c r="Y652">
        <v>1.5084339999999999E-3</v>
      </c>
      <c r="Z652">
        <v>-3.8425309999999902E-3</v>
      </c>
      <c r="AA652">
        <v>0.99999150000000003</v>
      </c>
      <c r="AB652">
        <v>32</v>
      </c>
      <c r="AC652">
        <v>0.64499999999998103</v>
      </c>
      <c r="AD652">
        <v>-7.9980999999999997E-2</v>
      </c>
      <c r="AE652">
        <v>2.7700000000038399E-2</v>
      </c>
      <c r="AF652">
        <v>1.6711842800762101E-3</v>
      </c>
      <c r="AG652">
        <v>-7.9980999999999997E-2</v>
      </c>
      <c r="AH652">
        <v>0.63583347311766403</v>
      </c>
      <c r="AI652">
        <v>97.169511106515898</v>
      </c>
      <c r="AJ652">
        <v>89.849407762257201</v>
      </c>
      <c r="AK652">
        <v>0.64084628324955595</v>
      </c>
    </row>
    <row r="653" spans="1:37" x14ac:dyDescent="0.2">
      <c r="A653" t="str">
        <f>"20200111160110597"</f>
        <v>20200111160110597</v>
      </c>
      <c r="B653" t="str">
        <f>"1578729670591821"</f>
        <v>1578729670591821</v>
      </c>
      <c r="C653" t="s">
        <v>37</v>
      </c>
      <c r="D653">
        <v>4.779083</v>
      </c>
      <c r="E653">
        <v>0.51331419999999905</v>
      </c>
      <c r="F653" t="s">
        <v>42</v>
      </c>
      <c r="G653">
        <v>-258.04770000000002</v>
      </c>
      <c r="H653">
        <v>1.027711</v>
      </c>
      <c r="I653">
        <v>368.5838</v>
      </c>
      <c r="J653">
        <v>-258.65030000000002</v>
      </c>
      <c r="K653">
        <v>1.104357</v>
      </c>
      <c r="L653">
        <v>368.55489999999998</v>
      </c>
      <c r="M653">
        <v>0.99886169999999996</v>
      </c>
      <c r="N653">
        <v>0</v>
      </c>
      <c r="O653">
        <v>4.5472600000000002E-2</v>
      </c>
      <c r="P653">
        <v>0.99669680000000005</v>
      </c>
      <c r="Q653">
        <v>-1.1153049999999999E-2</v>
      </c>
      <c r="R653">
        <v>8.0442669999999994E-2</v>
      </c>
      <c r="S653">
        <v>2.9956509999999898</v>
      </c>
      <c r="T653">
        <v>-0.24648899999999899</v>
      </c>
      <c r="U653">
        <v>0.14123540000000001</v>
      </c>
      <c r="V653">
        <v>-3.5032380000000002E-2</v>
      </c>
      <c r="W653">
        <v>3.239451E-3</v>
      </c>
      <c r="X653">
        <v>0.99938090000000002</v>
      </c>
      <c r="Y653">
        <v>-1.766136E-3</v>
      </c>
      <c r="Z653">
        <v>-3.6591379999999902E-3</v>
      </c>
      <c r="AA653">
        <v>0.99999179999999999</v>
      </c>
      <c r="AB653">
        <v>32</v>
      </c>
      <c r="AC653">
        <v>0.60259999999999503</v>
      </c>
      <c r="AD653">
        <v>-7.6645999999999895E-2</v>
      </c>
      <c r="AE653">
        <v>2.8900000000021402E-2</v>
      </c>
      <c r="AF653">
        <v>-1.4421884896111299E-3</v>
      </c>
      <c r="AG653">
        <v>-7.6645999999999895E-2</v>
      </c>
      <c r="AH653">
        <v>0.59370795183221003</v>
      </c>
      <c r="AI653">
        <v>97.356014581508006</v>
      </c>
      <c r="AJ653">
        <v>90.139178110950098</v>
      </c>
      <c r="AK653">
        <v>0.598636635441264</v>
      </c>
    </row>
    <row r="654" spans="1:37" x14ac:dyDescent="0.2">
      <c r="A654" t="str">
        <f>"20200111160110619"</f>
        <v>20200111160110619</v>
      </c>
      <c r="B654" t="str">
        <f>"1578729670611340"</f>
        <v>1578729670611340</v>
      </c>
      <c r="C654" t="s">
        <v>37</v>
      </c>
      <c r="D654">
        <v>4.7965819999999999</v>
      </c>
      <c r="E654">
        <v>0.51313039999999999</v>
      </c>
      <c r="F654" t="s">
        <v>42</v>
      </c>
      <c r="G654">
        <v>-257.76080000000002</v>
      </c>
      <c r="H654">
        <v>1.0304329999999999</v>
      </c>
      <c r="I654">
        <v>368.59789999999998</v>
      </c>
      <c r="J654">
        <v>-258.33960000000002</v>
      </c>
      <c r="K654">
        <v>1.1043240000000001</v>
      </c>
      <c r="L654">
        <v>368.56909999999999</v>
      </c>
      <c r="M654">
        <v>0.99886540000000001</v>
      </c>
      <c r="N654">
        <v>0</v>
      </c>
      <c r="O654">
        <v>4.5396069999999997E-2</v>
      </c>
      <c r="P654">
        <v>0.99660709999999997</v>
      </c>
      <c r="Q654">
        <v>-1.263155E-2</v>
      </c>
      <c r="R654">
        <v>8.1332730000000006E-2</v>
      </c>
      <c r="S654">
        <v>2.9954070000000002</v>
      </c>
      <c r="T654">
        <v>-0.24922620000000001</v>
      </c>
      <c r="U654">
        <v>0.14550779999999999</v>
      </c>
      <c r="V654">
        <v>-3.6001779999999997E-2</v>
      </c>
      <c r="W654">
        <v>1.762214E-3</v>
      </c>
      <c r="X654">
        <v>0.99935019999999997</v>
      </c>
      <c r="Y654">
        <v>-3.2675120000000002E-3</v>
      </c>
      <c r="Z654">
        <v>-3.6311170000000001E-3</v>
      </c>
      <c r="AA654">
        <v>0.99998809999999905</v>
      </c>
      <c r="AB654">
        <v>32</v>
      </c>
      <c r="AC654">
        <v>0.57880000000000098</v>
      </c>
      <c r="AD654">
        <v>-7.3891000000000095E-2</v>
      </c>
      <c r="AE654">
        <v>2.8799999999989698E-2</v>
      </c>
      <c r="AF654">
        <v>-2.45246550394119E-3</v>
      </c>
      <c r="AG654">
        <v>-7.3891000000000095E-2</v>
      </c>
      <c r="AH654">
        <v>0.57024007173351299</v>
      </c>
      <c r="AI654">
        <v>97.383109019541706</v>
      </c>
      <c r="AJ654">
        <v>90.2464138586529</v>
      </c>
      <c r="AK654">
        <v>0.57501272497110001</v>
      </c>
    </row>
    <row r="655" spans="1:37" x14ac:dyDescent="0.2">
      <c r="A655" t="str">
        <f>"20200111160110641"</f>
        <v>20200111160110641</v>
      </c>
      <c r="B655" t="str">
        <f>"1578729670631837"</f>
        <v>1578729670631837</v>
      </c>
      <c r="C655" t="s">
        <v>37</v>
      </c>
      <c r="D655">
        <v>4.7644469999999997</v>
      </c>
      <c r="E655">
        <v>0.51304039999999995</v>
      </c>
      <c r="F655" t="s">
        <v>42</v>
      </c>
      <c r="G655">
        <v>-257.47579999999999</v>
      </c>
      <c r="H655">
        <v>1.03037</v>
      </c>
      <c r="I655">
        <v>368.61219999999997</v>
      </c>
      <c r="J655">
        <v>-258.02839999999998</v>
      </c>
      <c r="K655">
        <v>1.1042749999999999</v>
      </c>
      <c r="L655">
        <v>368.5831</v>
      </c>
      <c r="M655">
        <v>0.99887009999999898</v>
      </c>
      <c r="N655">
        <v>0</v>
      </c>
      <c r="O655">
        <v>4.5288420000000003E-2</v>
      </c>
      <c r="P655">
        <v>0.99654229999999999</v>
      </c>
      <c r="Q655">
        <v>-1.471544E-2</v>
      </c>
      <c r="R655">
        <v>8.1774470000000002E-2</v>
      </c>
      <c r="S655">
        <v>2.9947659999999998</v>
      </c>
      <c r="T655">
        <v>-0.25643139999999998</v>
      </c>
      <c r="U655">
        <v>0.1493835</v>
      </c>
      <c r="V655">
        <v>-3.65546E-2</v>
      </c>
      <c r="W655">
        <v>-3.201352E-4</v>
      </c>
      <c r="X655">
        <v>0.99933159999999899</v>
      </c>
      <c r="Y655">
        <v>-4.6796709999999998E-3</v>
      </c>
      <c r="Z655">
        <v>-3.6668709999999999E-3</v>
      </c>
      <c r="AA655">
        <v>0.99998229999999999</v>
      </c>
      <c r="AB655">
        <v>32</v>
      </c>
      <c r="AC655">
        <v>0.55259999999998399</v>
      </c>
      <c r="AD655">
        <v>-7.3904999999999804E-2</v>
      </c>
      <c r="AE655">
        <v>2.9099999999971201E-2</v>
      </c>
      <c r="AF655">
        <v>-3.9703391076437496E-3</v>
      </c>
      <c r="AG655">
        <v>-7.3904999999999804E-2</v>
      </c>
      <c r="AH655">
        <v>0.54365373564278496</v>
      </c>
      <c r="AI655">
        <v>97.741204861832003</v>
      </c>
      <c r="AJ655">
        <v>90.418427419984198</v>
      </c>
      <c r="AK655">
        <v>0.54866847630967897</v>
      </c>
    </row>
    <row r="656" spans="1:37" x14ac:dyDescent="0.2">
      <c r="A656" t="str">
        <f>"20200111160110664"</f>
        <v>20200111160110664</v>
      </c>
      <c r="B656" t="str">
        <f>"1578729670651357"</f>
        <v>1578729670651357</v>
      </c>
      <c r="C656" t="s">
        <v>37</v>
      </c>
      <c r="D656">
        <v>4.8108659999999999</v>
      </c>
      <c r="E656">
        <v>0.51312329999999995</v>
      </c>
      <c r="F656" t="s">
        <v>42</v>
      </c>
      <c r="G656">
        <v>-257.19130000000001</v>
      </c>
      <c r="H656">
        <v>1.0302249999999999</v>
      </c>
      <c r="I656">
        <v>368.62529999999998</v>
      </c>
      <c r="J656">
        <v>-257.70859999999999</v>
      </c>
      <c r="K656">
        <v>1.1042339999999999</v>
      </c>
      <c r="L656">
        <v>368.59750000000003</v>
      </c>
      <c r="M656">
        <v>0.99887689999999996</v>
      </c>
      <c r="N656">
        <v>0</v>
      </c>
      <c r="O656">
        <v>4.5139599999999898E-2</v>
      </c>
      <c r="P656">
        <v>0.99646190000000001</v>
      </c>
      <c r="Q656">
        <v>-1.6104050000000002E-2</v>
      </c>
      <c r="R656">
        <v>8.2490030000000006E-2</v>
      </c>
      <c r="S656">
        <v>2.9940639999999998</v>
      </c>
      <c r="T656">
        <v>-0.26487290000000002</v>
      </c>
      <c r="U656">
        <v>0.1512146</v>
      </c>
      <c r="V656">
        <v>-3.7421799999999998E-2</v>
      </c>
      <c r="W656">
        <v>-1.706887E-3</v>
      </c>
      <c r="X656">
        <v>0.99929809999999997</v>
      </c>
      <c r="Y656">
        <v>-5.4566980000000003E-3</v>
      </c>
      <c r="Z656">
        <v>-3.7405339999999998E-3</v>
      </c>
      <c r="AA656">
        <v>0.99997809999999898</v>
      </c>
      <c r="AB656">
        <v>32</v>
      </c>
      <c r="AC656">
        <v>0.517299999999977</v>
      </c>
      <c r="AD656">
        <v>-7.4008999999999894E-2</v>
      </c>
      <c r="AE656">
        <v>2.7799999999956498E-2</v>
      </c>
      <c r="AF656">
        <v>-4.3301449162859102E-3</v>
      </c>
      <c r="AG656">
        <v>-7.4008999999999894E-2</v>
      </c>
      <c r="AH656">
        <v>0.50766641111300503</v>
      </c>
      <c r="AI656">
        <v>98.294008982130194</v>
      </c>
      <c r="AJ656">
        <v>90.488692981465107</v>
      </c>
      <c r="AK656">
        <v>0.51305094016905795</v>
      </c>
    </row>
    <row r="657" spans="1:37" x14ac:dyDescent="0.2">
      <c r="A657" t="str">
        <f>"20200111160110687"</f>
        <v>20200111160110687</v>
      </c>
      <c r="B657" t="str">
        <f>"1578729670681613"</f>
        <v>1578729670681613</v>
      </c>
      <c r="C657" t="s">
        <v>37</v>
      </c>
      <c r="D657">
        <v>4.7246090000000001</v>
      </c>
      <c r="E657">
        <v>0.51311390000000001</v>
      </c>
      <c r="F657" t="s">
        <v>42</v>
      </c>
      <c r="G657">
        <v>-256.90589999999997</v>
      </c>
      <c r="H657">
        <v>1.0314779999999999</v>
      </c>
      <c r="I657">
        <v>368.63850000000002</v>
      </c>
      <c r="J657">
        <v>-257.37270000000001</v>
      </c>
      <c r="K657">
        <v>1.104196</v>
      </c>
      <c r="L657">
        <v>368.61250000000001</v>
      </c>
      <c r="M657">
        <v>0.998886099999999</v>
      </c>
      <c r="N657">
        <v>0</v>
      </c>
      <c r="O657">
        <v>4.4937390000000001E-2</v>
      </c>
      <c r="P657">
        <v>0.99643780000000004</v>
      </c>
      <c r="Q657">
        <v>-1.6221389999999999E-2</v>
      </c>
      <c r="R657">
        <v>8.2757349999999993E-2</v>
      </c>
      <c r="S657">
        <v>2.9936219999999998</v>
      </c>
      <c r="T657">
        <v>-0.271439599999999</v>
      </c>
      <c r="U657">
        <v>0.15261839999999999</v>
      </c>
      <c r="V657">
        <v>-3.789257E-2</v>
      </c>
      <c r="W657">
        <v>-1.8221470000000001E-3</v>
      </c>
      <c r="X657">
        <v>0.99928019999999995</v>
      </c>
      <c r="Y657">
        <v>-6.1384580000000003E-3</v>
      </c>
      <c r="Z657">
        <v>-3.784314E-3</v>
      </c>
      <c r="AA657">
        <v>0.99997400000000003</v>
      </c>
      <c r="AB657">
        <v>32</v>
      </c>
      <c r="AC657">
        <v>0.46680000000003402</v>
      </c>
      <c r="AD657">
        <v>-7.2717999999999797E-2</v>
      </c>
      <c r="AE657">
        <v>2.60000000000104E-2</v>
      </c>
      <c r="AF657">
        <v>-4.8768014297605796E-3</v>
      </c>
      <c r="AG657">
        <v>-7.2717999999999797E-2</v>
      </c>
      <c r="AH657">
        <v>0.45645416629775298</v>
      </c>
      <c r="AI657">
        <v>99.051252571439903</v>
      </c>
      <c r="AJ657">
        <v>90.612130480722001</v>
      </c>
      <c r="AK657">
        <v>0.462235975067673</v>
      </c>
    </row>
    <row r="658" spans="1:37" x14ac:dyDescent="0.2">
      <c r="A658" t="str">
        <f>"20200111160110709"</f>
        <v>20200111160110709</v>
      </c>
      <c r="B658" t="str">
        <f>"1578729670701132"</f>
        <v>1578729670701132</v>
      </c>
      <c r="C658" t="s">
        <v>37</v>
      </c>
      <c r="D658">
        <v>4.7127129999999999</v>
      </c>
      <c r="E658">
        <v>0.51306499999999999</v>
      </c>
      <c r="F658" t="s">
        <v>42</v>
      </c>
      <c r="G658">
        <v>-256.61919999999998</v>
      </c>
      <c r="H658">
        <v>1.0348619999999999</v>
      </c>
      <c r="I658">
        <v>368.65120000000002</v>
      </c>
      <c r="J658">
        <v>-257.05549999999999</v>
      </c>
      <c r="K658">
        <v>1.104166</v>
      </c>
      <c r="L658">
        <v>368.6266</v>
      </c>
      <c r="M658">
        <v>0.99889669999999897</v>
      </c>
      <c r="N658">
        <v>0</v>
      </c>
      <c r="O658">
        <v>4.4702819999999997E-2</v>
      </c>
      <c r="P658">
        <v>0.99641550000000001</v>
      </c>
      <c r="Q658">
        <v>-1.520239E-2</v>
      </c>
      <c r="R658">
        <v>8.3220050000000004E-2</v>
      </c>
      <c r="S658">
        <v>2.9935</v>
      </c>
      <c r="T658">
        <v>-0.2754433</v>
      </c>
      <c r="U658">
        <v>0.15350339999999901</v>
      </c>
      <c r="V658">
        <v>-3.8590199999999998E-2</v>
      </c>
      <c r="W658">
        <v>-8.0155350000000005E-4</v>
      </c>
      <c r="X658">
        <v>0.9992548</v>
      </c>
      <c r="Y658">
        <v>-6.6717039999999997E-3</v>
      </c>
      <c r="Z658">
        <v>-3.7940550000000002E-3</v>
      </c>
      <c r="AA658">
        <v>0.99997060000000004</v>
      </c>
      <c r="AB658">
        <v>32</v>
      </c>
      <c r="AC658">
        <v>0.43630000000001701</v>
      </c>
      <c r="AD658">
        <v>-6.9303999999999796E-2</v>
      </c>
      <c r="AE658">
        <v>2.46000000000208E-2</v>
      </c>
      <c r="AF658">
        <v>-4.9451638968604703E-3</v>
      </c>
      <c r="AG658">
        <v>-6.9303999999999796E-2</v>
      </c>
      <c r="AH658">
        <v>0.42624281593617502</v>
      </c>
      <c r="AI658">
        <v>99.234453978907993</v>
      </c>
      <c r="AJ658">
        <v>90.664701663636293</v>
      </c>
      <c r="AK658">
        <v>0.431868541571584</v>
      </c>
    </row>
    <row r="659" spans="1:37" x14ac:dyDescent="0.2">
      <c r="A659" t="str">
        <f>"20200111160110730"</f>
        <v>20200111160110730</v>
      </c>
      <c r="B659" t="str">
        <f>"1578729670721629"</f>
        <v>1578729670721629</v>
      </c>
      <c r="C659" t="s">
        <v>37</v>
      </c>
      <c r="D659">
        <v>4.6799619999999997</v>
      </c>
      <c r="E659">
        <v>0.51299410000000001</v>
      </c>
      <c r="F659" t="s">
        <v>42</v>
      </c>
      <c r="G659">
        <v>-256.06529999999998</v>
      </c>
      <c r="H659">
        <v>1.0134879999999999</v>
      </c>
      <c r="I659">
        <v>368.67790000000002</v>
      </c>
      <c r="J659">
        <v>-256.7561</v>
      </c>
      <c r="K659">
        <v>1.1041449999999999</v>
      </c>
      <c r="L659">
        <v>368.6397</v>
      </c>
      <c r="M659">
        <v>0.99890809999999997</v>
      </c>
      <c r="N659">
        <v>0</v>
      </c>
      <c r="O659">
        <v>4.4446760000000002E-2</v>
      </c>
      <c r="P659">
        <v>0.9964324</v>
      </c>
      <c r="Q659">
        <v>-1.415518E-2</v>
      </c>
      <c r="R659">
        <v>8.3200570000000001E-2</v>
      </c>
      <c r="S659">
        <v>2.9936219999999998</v>
      </c>
      <c r="T659">
        <v>-0.2744298</v>
      </c>
      <c r="U659">
        <v>0.1556091</v>
      </c>
      <c r="V659">
        <v>-3.882559E-2</v>
      </c>
      <c r="W659">
        <v>2.4682669999999998E-4</v>
      </c>
      <c r="X659">
        <v>0.99924599999999997</v>
      </c>
      <c r="Y659">
        <v>-7.6212290000000002E-3</v>
      </c>
      <c r="Z659">
        <v>-3.7131349999999998E-3</v>
      </c>
      <c r="AA659">
        <v>0.99996409999999902</v>
      </c>
      <c r="AB659">
        <v>32</v>
      </c>
      <c r="AC659">
        <v>0.69080000000002395</v>
      </c>
      <c r="AD659">
        <v>-9.0657000000000196E-2</v>
      </c>
      <c r="AE659">
        <v>3.8200000000017498E-2</v>
      </c>
      <c r="AF659">
        <v>-7.3293934291318403E-3</v>
      </c>
      <c r="AG659">
        <v>-9.0657000000000196E-2</v>
      </c>
      <c r="AH659">
        <v>0.68013721788413195</v>
      </c>
      <c r="AI659">
        <v>97.591893241546998</v>
      </c>
      <c r="AJ659">
        <v>90.617415198020495</v>
      </c>
      <c r="AK659">
        <v>0.68619169829443905</v>
      </c>
    </row>
    <row r="660" spans="1:37" x14ac:dyDescent="0.2">
      <c r="A660" t="str">
        <f>"20200111160110752"</f>
        <v>20200111160110752</v>
      </c>
      <c r="B660" t="str">
        <f>"1578729670741150"</f>
        <v>1578729670741150</v>
      </c>
      <c r="C660" t="s">
        <v>37</v>
      </c>
      <c r="D660">
        <v>4.9706910000000004</v>
      </c>
      <c r="E660">
        <v>0.51275269999999995</v>
      </c>
      <c r="F660" t="s">
        <v>42</v>
      </c>
      <c r="G660">
        <v>-255.7816</v>
      </c>
      <c r="H660">
        <v>1.015172</v>
      </c>
      <c r="I660">
        <v>368.69049999999999</v>
      </c>
      <c r="J660">
        <v>-256.4434</v>
      </c>
      <c r="K660">
        <v>1.1041299999999901</v>
      </c>
      <c r="L660">
        <v>368.6533</v>
      </c>
      <c r="M660">
        <v>0.99892109999999901</v>
      </c>
      <c r="N660">
        <v>0</v>
      </c>
      <c r="O660">
        <v>4.4155479999999997E-2</v>
      </c>
      <c r="P660">
        <v>0.99649120000000002</v>
      </c>
      <c r="Q660">
        <v>-1.3271170000000001E-2</v>
      </c>
      <c r="R660">
        <v>8.2639560000000001E-2</v>
      </c>
      <c r="S660">
        <v>2.9938199999999999</v>
      </c>
      <c r="T660">
        <v>-0.27345239999999998</v>
      </c>
      <c r="U660">
        <v>0.1560974</v>
      </c>
      <c r="V660">
        <v>-3.855302E-2</v>
      </c>
      <c r="W660">
        <v>1.130406E-3</v>
      </c>
      <c r="X660">
        <v>0.99925589999999997</v>
      </c>
      <c r="Y660">
        <v>-8.0678690000000001E-3</v>
      </c>
      <c r="Z660">
        <v>-3.6528609999999999E-3</v>
      </c>
      <c r="AA660">
        <v>0.99996079999999998</v>
      </c>
      <c r="AB660">
        <v>32</v>
      </c>
      <c r="AC660">
        <v>0.66179999999999894</v>
      </c>
      <c r="AD660">
        <v>-8.8957999999999801E-2</v>
      </c>
      <c r="AE660">
        <v>3.7199999999984301E-2</v>
      </c>
      <c r="AF660">
        <v>-7.7981346670191604E-3</v>
      </c>
      <c r="AG660">
        <v>-8.8957999999999801E-2</v>
      </c>
      <c r="AH660">
        <v>0.65107048391965705</v>
      </c>
      <c r="AI660">
        <v>97.779790699129705</v>
      </c>
      <c r="AJ660">
        <v>90.686221924733601</v>
      </c>
      <c r="AK660">
        <v>0.65716596967559204</v>
      </c>
    </row>
    <row r="661" spans="1:37" x14ac:dyDescent="0.2">
      <c r="A661" t="str">
        <f>"20200111160110776"</f>
        <v>20200111160110776</v>
      </c>
      <c r="B661" t="str">
        <f>"1578729670771405"</f>
        <v>1578729670771405</v>
      </c>
      <c r="C661" t="s">
        <v>37</v>
      </c>
      <c r="D661">
        <v>4.6581029999999997</v>
      </c>
      <c r="E661">
        <v>0.51309839999999995</v>
      </c>
      <c r="F661" t="s">
        <v>42</v>
      </c>
      <c r="G661">
        <v>-255.49719999999999</v>
      </c>
      <c r="H661">
        <v>1.0188429999999999</v>
      </c>
      <c r="I661">
        <v>368.70260000000002</v>
      </c>
      <c r="J661">
        <v>-256.11790000000002</v>
      </c>
      <c r="K661">
        <v>1.1041209999999999</v>
      </c>
      <c r="L661">
        <v>368.66739999999999</v>
      </c>
      <c r="M661">
        <v>0.99893509999999996</v>
      </c>
      <c r="N661">
        <v>0</v>
      </c>
      <c r="O661">
        <v>4.3837309999999997E-2</v>
      </c>
      <c r="P661">
        <v>0.99660000000000004</v>
      </c>
      <c r="Q661">
        <v>-1.233217E-2</v>
      </c>
      <c r="R661">
        <v>8.1465800000000005E-2</v>
      </c>
      <c r="S661">
        <v>2.9939879999999999</v>
      </c>
      <c r="T661">
        <v>-0.27001249999999999</v>
      </c>
      <c r="U661">
        <v>0.15646360000000001</v>
      </c>
      <c r="V661">
        <v>-3.7693369999999997E-2</v>
      </c>
      <c r="W661">
        <v>2.0683439999999902E-3</v>
      </c>
      <c r="X661">
        <v>0.99928719999999904</v>
      </c>
      <c r="Y661">
        <v>-8.4986450000000009E-3</v>
      </c>
      <c r="Z661">
        <v>-3.5589269999999999E-3</v>
      </c>
      <c r="AA661">
        <v>0.999957599999999</v>
      </c>
      <c r="AB661">
        <v>32</v>
      </c>
      <c r="AC661">
        <v>0.62070000000002701</v>
      </c>
      <c r="AD661">
        <v>-8.5277999999999896E-2</v>
      </c>
      <c r="AE661">
        <v>3.5200000000031602E-2</v>
      </c>
      <c r="AF661">
        <v>-7.8066344327452396E-3</v>
      </c>
      <c r="AG661">
        <v>-8.5277999999999896E-2</v>
      </c>
      <c r="AH661">
        <v>0.61016583704478899</v>
      </c>
      <c r="AI661">
        <v>97.955593131853007</v>
      </c>
      <c r="AJ661">
        <v>90.733018426156704</v>
      </c>
      <c r="AK661">
        <v>0.616145785931978</v>
      </c>
    </row>
    <row r="662" spans="1:37" x14ac:dyDescent="0.2">
      <c r="A662" t="str">
        <f>"20200111160110798"</f>
        <v>20200111160110798</v>
      </c>
      <c r="B662" t="str">
        <f>"1578729670790924"</f>
        <v>1578729670790924</v>
      </c>
      <c r="C662" t="s">
        <v>37</v>
      </c>
      <c r="D662">
        <v>4.7491979999999998</v>
      </c>
      <c r="E662">
        <v>0.51356489999999999</v>
      </c>
      <c r="F662" t="s">
        <v>42</v>
      </c>
      <c r="G662">
        <v>-255.21170000000001</v>
      </c>
      <c r="H662">
        <v>1.025285</v>
      </c>
      <c r="I662">
        <v>368.71249999999998</v>
      </c>
      <c r="J662">
        <v>-255.80269999999999</v>
      </c>
      <c r="K662">
        <v>1.1041209999999999</v>
      </c>
      <c r="L662">
        <v>368.68079999999998</v>
      </c>
      <c r="M662">
        <v>0.99894899999999998</v>
      </c>
      <c r="N662">
        <v>0</v>
      </c>
      <c r="O662">
        <v>4.3522470000000001E-2</v>
      </c>
      <c r="P662">
        <v>0.99676160000000003</v>
      </c>
      <c r="Q662">
        <v>-1.161502E-2</v>
      </c>
      <c r="R662">
        <v>7.9572000000000004E-2</v>
      </c>
      <c r="S662">
        <v>2.9947509999999999</v>
      </c>
      <c r="T662">
        <v>-0.26063449999999999</v>
      </c>
      <c r="U662">
        <v>0.14968870000000001</v>
      </c>
      <c r="V662">
        <v>-3.6108910000000001E-2</v>
      </c>
      <c r="W662">
        <v>2.7840740000000001E-3</v>
      </c>
      <c r="X662">
        <v>0.99934400000000001</v>
      </c>
      <c r="Y662">
        <v>-6.5406659999999997E-3</v>
      </c>
      <c r="Z662">
        <v>-3.4928519999999998E-3</v>
      </c>
      <c r="AA662">
        <v>0.99997250000000004</v>
      </c>
      <c r="AB662">
        <v>32</v>
      </c>
      <c r="AC662">
        <v>0.59099999999997899</v>
      </c>
      <c r="AD662">
        <v>-7.8835999999999906E-2</v>
      </c>
      <c r="AE662">
        <v>3.17000000000007E-2</v>
      </c>
      <c r="AF662">
        <v>-5.8418659022084502E-3</v>
      </c>
      <c r="AG662">
        <v>-7.8835999999999906E-2</v>
      </c>
      <c r="AH662">
        <v>0.58150210688395498</v>
      </c>
      <c r="AI662">
        <v>97.720304731928593</v>
      </c>
      <c r="AJ662">
        <v>90.575583470815602</v>
      </c>
      <c r="AK662">
        <v>0.58685086913431295</v>
      </c>
    </row>
    <row r="663" spans="1:37" x14ac:dyDescent="0.2">
      <c r="A663" t="str">
        <f>"20200111160110820"</f>
        <v>20200111160110820</v>
      </c>
      <c r="B663" t="str">
        <f>"1578729670811421"</f>
        <v>1578729670811421</v>
      </c>
      <c r="C663" t="s">
        <v>37</v>
      </c>
      <c r="D663">
        <v>4.5261079999999998</v>
      </c>
      <c r="E663">
        <v>0.51393279999999997</v>
      </c>
      <c r="F663" t="s">
        <v>42</v>
      </c>
      <c r="G663">
        <v>-254.92699999999999</v>
      </c>
      <c r="H663">
        <v>1.0299069999999999</v>
      </c>
      <c r="I663">
        <v>368.7217</v>
      </c>
      <c r="J663">
        <v>-255.49889999999999</v>
      </c>
      <c r="K663">
        <v>1.1041209999999999</v>
      </c>
      <c r="L663">
        <v>368.69380000000001</v>
      </c>
      <c r="M663">
        <v>0.99896219999999902</v>
      </c>
      <c r="N663">
        <v>0</v>
      </c>
      <c r="O663">
        <v>4.3217520000000002E-2</v>
      </c>
      <c r="P663">
        <v>0.99689729999999999</v>
      </c>
      <c r="Q663">
        <v>-1.0074949999999999E-2</v>
      </c>
      <c r="R663">
        <v>7.8067650000000002E-2</v>
      </c>
      <c r="S663">
        <v>2.99554399999999</v>
      </c>
      <c r="T663">
        <v>-0.2540985</v>
      </c>
      <c r="U663">
        <v>0.1403809</v>
      </c>
      <c r="V663">
        <v>-3.4904039999999997E-2</v>
      </c>
      <c r="W663">
        <v>4.3218639999999999E-3</v>
      </c>
      <c r="X663">
        <v>0.99938130000000003</v>
      </c>
      <c r="Y663">
        <v>-3.7348440000000002E-3</v>
      </c>
      <c r="Z663">
        <v>-3.4979439999999998E-3</v>
      </c>
      <c r="AA663">
        <v>0.99998690000000001</v>
      </c>
      <c r="AB663">
        <v>32</v>
      </c>
      <c r="AC663">
        <v>0.57189999999997099</v>
      </c>
      <c r="AD663">
        <v>-7.4214000000000002E-2</v>
      </c>
      <c r="AE663">
        <v>2.7899999999988202E-2</v>
      </c>
      <c r="AF663">
        <v>-3.1031403770677502E-3</v>
      </c>
      <c r="AG663">
        <v>-7.4214000000000002E-2</v>
      </c>
      <c r="AH663">
        <v>0.56311139900680696</v>
      </c>
      <c r="AI663">
        <v>97.507786140539494</v>
      </c>
      <c r="AJ663">
        <v>90.315736899339996</v>
      </c>
      <c r="AK663">
        <v>0.56798925603184003</v>
      </c>
    </row>
    <row r="664" spans="1:37" x14ac:dyDescent="0.2">
      <c r="A664" t="str">
        <f>"20200111160110842"</f>
        <v>20200111160110842</v>
      </c>
      <c r="B664" t="str">
        <f>"1578729670830941"</f>
        <v>1578729670830941</v>
      </c>
      <c r="C664" t="s">
        <v>37</v>
      </c>
      <c r="D664">
        <v>4.6619199999999896</v>
      </c>
      <c r="E664">
        <v>0.5143259</v>
      </c>
      <c r="F664" t="s">
        <v>42</v>
      </c>
      <c r="G664">
        <v>-254.64250000000001</v>
      </c>
      <c r="H664">
        <v>1.03382</v>
      </c>
      <c r="I664">
        <v>368.73149999999998</v>
      </c>
      <c r="J664">
        <v>-255.1748</v>
      </c>
      <c r="K664">
        <v>1.104128</v>
      </c>
      <c r="L664">
        <v>368.70749999999998</v>
      </c>
      <c r="M664">
        <v>0.99897610000000003</v>
      </c>
      <c r="N664">
        <v>0</v>
      </c>
      <c r="O664">
        <v>4.2893779999999999E-2</v>
      </c>
      <c r="P664">
        <v>0.99697169999999902</v>
      </c>
      <c r="Q664">
        <v>-9.4294419999999997E-3</v>
      </c>
      <c r="R664">
        <v>7.718962E-2</v>
      </c>
      <c r="S664">
        <v>2.9964900000000001</v>
      </c>
      <c r="T664">
        <v>-0.24606509999999901</v>
      </c>
      <c r="U664">
        <v>0.13238529999999901</v>
      </c>
      <c r="V664">
        <v>-3.4347330000000002E-2</v>
      </c>
      <c r="W664">
        <v>4.96463299999999E-3</v>
      </c>
      <c r="X664">
        <v>0.9993976</v>
      </c>
      <c r="Y664">
        <v>-1.379346E-3</v>
      </c>
      <c r="Z664">
        <v>-3.4569290000000001E-3</v>
      </c>
      <c r="AA664">
        <v>0.99999309999999997</v>
      </c>
      <c r="AB664">
        <v>32</v>
      </c>
      <c r="AC664">
        <v>0.532299999999992</v>
      </c>
      <c r="AD664">
        <v>-7.0307999999999801E-2</v>
      </c>
      <c r="AE664">
        <v>2.4000000000000899E-2</v>
      </c>
      <c r="AF664">
        <v>-1.12362257896927E-3</v>
      </c>
      <c r="AG664">
        <v>-7.0307999999999801E-2</v>
      </c>
      <c r="AH664">
        <v>0.52372122859586501</v>
      </c>
      <c r="AI664">
        <v>97.646054250777894</v>
      </c>
      <c r="AJ664">
        <v>90.122925574231402</v>
      </c>
      <c r="AK664">
        <v>0.52842066828774004</v>
      </c>
    </row>
    <row r="665" spans="1:37" x14ac:dyDescent="0.2">
      <c r="A665" t="str">
        <f>"20200111160110888"</f>
        <v>20200111160110888</v>
      </c>
      <c r="B665" t="str">
        <f>"1578729670881692"</f>
        <v>1578729670881692</v>
      </c>
      <c r="C665" t="s">
        <v>37</v>
      </c>
      <c r="D665">
        <v>4.4409479999999997</v>
      </c>
      <c r="E665">
        <v>0.51460980000000001</v>
      </c>
      <c r="F665" t="s">
        <v>42</v>
      </c>
      <c r="G665">
        <v>-254.35740000000001</v>
      </c>
      <c r="H665">
        <v>1.0385249999999999</v>
      </c>
      <c r="I665">
        <v>368.74169999999998</v>
      </c>
      <c r="J665">
        <v>-254.53729999999999</v>
      </c>
      <c r="K665">
        <v>1.1041339999999999</v>
      </c>
      <c r="L665">
        <v>368.73410000000001</v>
      </c>
      <c r="M665">
        <v>0.99900309999999903</v>
      </c>
      <c r="N665">
        <v>0</v>
      </c>
      <c r="O665">
        <v>4.2263479999999999E-2</v>
      </c>
      <c r="P665">
        <v>0.99707959999999995</v>
      </c>
      <c r="Q665">
        <v>-7.9242789999999994E-3</v>
      </c>
      <c r="R665">
        <v>7.5959230000000003E-2</v>
      </c>
      <c r="S665">
        <v>2.9970249999999998</v>
      </c>
      <c r="T665">
        <v>-0.240813099999999</v>
      </c>
      <c r="U665">
        <v>0.1265259</v>
      </c>
      <c r="V665">
        <v>-3.3742769999999998E-2</v>
      </c>
      <c r="W665">
        <v>6.4647369999999999E-3</v>
      </c>
      <c r="X665">
        <v>0.99940960000000001</v>
      </c>
      <c r="Y665" s="1">
        <v>-4.7379680000000002E-5</v>
      </c>
      <c r="Z665">
        <v>-3.3858729999999902E-3</v>
      </c>
      <c r="AA665">
        <v>0.9999943</v>
      </c>
      <c r="AB665">
        <v>31</v>
      </c>
      <c r="AC665">
        <v>0.179899999999975</v>
      </c>
      <c r="AD665">
        <v>-6.5609000000000001E-2</v>
      </c>
      <c r="AE665">
        <v>7.5999999999680698E-3</v>
      </c>
      <c r="AF665" s="1">
        <v>9.5144063291590799E-6</v>
      </c>
      <c r="AG665">
        <v>-6.5609000000000001E-2</v>
      </c>
      <c r="AH665">
        <v>0.158956310523722</v>
      </c>
      <c r="AI665">
        <v>112.42832053350099</v>
      </c>
      <c r="AJ665">
        <v>89.996570533596397</v>
      </c>
      <c r="AK665">
        <v>0.17196409400464299</v>
      </c>
    </row>
    <row r="666" spans="1:37" x14ac:dyDescent="0.2">
      <c r="A666" t="str">
        <f>"20200111160110931"</f>
        <v>20200111160110931</v>
      </c>
      <c r="B666" t="str">
        <f>"1578729670921709"</f>
        <v>1578729670921709</v>
      </c>
      <c r="C666" t="s">
        <v>37</v>
      </c>
      <c r="D666">
        <v>4.4294409999999997</v>
      </c>
      <c r="E666">
        <v>0.51483369999999995</v>
      </c>
      <c r="F666" t="s">
        <v>38</v>
      </c>
      <c r="G666">
        <v>-240.38939999999999</v>
      </c>
      <c r="H666" s="1">
        <v>-4.579125E-6</v>
      </c>
      <c r="I666">
        <v>369.30270000000002</v>
      </c>
      <c r="J666">
        <v>-253.92840000000001</v>
      </c>
      <c r="K666">
        <v>1.1041299999999901</v>
      </c>
      <c r="L666">
        <v>368.75909999999999</v>
      </c>
      <c r="M666">
        <v>0.99902839999999904</v>
      </c>
      <c r="N666">
        <v>0</v>
      </c>
      <c r="O666">
        <v>4.1666719999999997E-2</v>
      </c>
      <c r="P666">
        <v>0.99726510000000002</v>
      </c>
      <c r="Q666">
        <v>-8.5905489999999994E-3</v>
      </c>
      <c r="R666">
        <v>7.3408780000000007E-2</v>
      </c>
      <c r="S666">
        <v>2.9977419999999899</v>
      </c>
      <c r="T666">
        <v>-0.23395170000000001</v>
      </c>
      <c r="U666">
        <v>0.12048339999999901</v>
      </c>
      <c r="V666">
        <v>-3.1784199999999999E-2</v>
      </c>
      <c r="W666">
        <v>5.7919340000000003E-3</v>
      </c>
      <c r="X666">
        <v>0.99947799999999998</v>
      </c>
      <c r="Y666">
        <v>1.3827259999999999E-3</v>
      </c>
      <c r="Z666">
        <v>-3.298343E-3</v>
      </c>
      <c r="AA666">
        <v>0.99999359999999904</v>
      </c>
      <c r="AB666">
        <v>31</v>
      </c>
      <c r="AC666">
        <v>13.539</v>
      </c>
      <c r="AD666">
        <v>-1.1041345791249999</v>
      </c>
      <c r="AE666">
        <v>0.54360000000002595</v>
      </c>
      <c r="AF666">
        <v>2.0917163212245699E-2</v>
      </c>
      <c r="AG666">
        <v>-1.1041345791249999</v>
      </c>
      <c r="AH666">
        <v>13.4605137262703</v>
      </c>
      <c r="AI666">
        <v>94.689334997664702</v>
      </c>
      <c r="AJ666">
        <v>89.910964452684794</v>
      </c>
      <c r="AK666">
        <v>13.5057387976981</v>
      </c>
    </row>
    <row r="667" spans="1:37" x14ac:dyDescent="0.2">
      <c r="A667" t="str">
        <f>"20200111160110954"</f>
        <v>20200111160110954</v>
      </c>
      <c r="B667" t="str">
        <f>"1578729670950989"</f>
        <v>1578729670950989</v>
      </c>
      <c r="C667" t="s">
        <v>37</v>
      </c>
      <c r="D667">
        <v>4.6446969999999999</v>
      </c>
      <c r="E667">
        <v>0.51519709999999996</v>
      </c>
      <c r="F667" t="s">
        <v>42</v>
      </c>
      <c r="G667">
        <v>-252.96350000000001</v>
      </c>
      <c r="H667">
        <v>1.028613</v>
      </c>
      <c r="I667">
        <v>368.79489999999998</v>
      </c>
      <c r="J667">
        <v>-253.61599999999899</v>
      </c>
      <c r="K667">
        <v>1.1041299999999901</v>
      </c>
      <c r="L667">
        <v>368.77179999999998</v>
      </c>
      <c r="M667">
        <v>0.99904090000000001</v>
      </c>
      <c r="N667">
        <v>0</v>
      </c>
      <c r="O667">
        <v>4.1361410000000001E-2</v>
      </c>
      <c r="P667">
        <v>0.9973263</v>
      </c>
      <c r="Q667">
        <v>-9.0904809999999992E-3</v>
      </c>
      <c r="R667">
        <v>7.2509169999999998E-2</v>
      </c>
      <c r="S667">
        <v>2.9980159999999998</v>
      </c>
      <c r="T667">
        <v>-0.23461219999999999</v>
      </c>
      <c r="U667">
        <v>0.1112061</v>
      </c>
      <c r="V667">
        <v>-3.1188540000000001E-2</v>
      </c>
      <c r="W667">
        <v>5.2888780000000003E-3</v>
      </c>
      <c r="X667">
        <v>0.99949949999999999</v>
      </c>
      <c r="Y667">
        <v>4.1623679999999996E-3</v>
      </c>
      <c r="Z667">
        <v>-3.3923079999999902E-3</v>
      </c>
      <c r="AA667">
        <v>0.99998560000000003</v>
      </c>
      <c r="AB667">
        <v>31</v>
      </c>
      <c r="AC667">
        <v>0.65249999999997499</v>
      </c>
      <c r="AD667">
        <v>-7.5516999999999807E-2</v>
      </c>
      <c r="AE667">
        <v>2.3099999999999399E-2</v>
      </c>
      <c r="AF667">
        <v>3.8592508245668001E-3</v>
      </c>
      <c r="AG667">
        <v>-7.5516999999999807E-2</v>
      </c>
      <c r="AH667">
        <v>0.64427803756288404</v>
      </c>
      <c r="AI667">
        <v>96.685119694443898</v>
      </c>
      <c r="AJ667">
        <v>89.656800128403205</v>
      </c>
      <c r="AK667">
        <v>0.64870016247246898</v>
      </c>
    </row>
    <row r="668" spans="1:37" x14ac:dyDescent="0.2">
      <c r="A668" t="str">
        <f>"20200111160110977"</f>
        <v>20200111160110977</v>
      </c>
      <c r="B668" t="str">
        <f>"1578729670971484"</f>
        <v>1578729670971484</v>
      </c>
      <c r="C668" t="s">
        <v>37</v>
      </c>
      <c r="D668">
        <v>4.4009619999999998</v>
      </c>
      <c r="E668">
        <v>0.51536890000000002</v>
      </c>
      <c r="F668" t="s">
        <v>42</v>
      </c>
      <c r="G668">
        <v>-252.68270000000001</v>
      </c>
      <c r="H668">
        <v>1.031587</v>
      </c>
      <c r="I668">
        <v>368.80439999999999</v>
      </c>
      <c r="J668">
        <v>-253.2912</v>
      </c>
      <c r="K668">
        <v>1.104131</v>
      </c>
      <c r="L668">
        <v>368.78489999999999</v>
      </c>
      <c r="M668">
        <v>0.99905429999999995</v>
      </c>
      <c r="N668">
        <v>0</v>
      </c>
      <c r="O668">
        <v>4.1043419999999997E-2</v>
      </c>
      <c r="P668">
        <v>0.99741589999999902</v>
      </c>
      <c r="Q668">
        <v>-9.9623969999999996E-3</v>
      </c>
      <c r="R668">
        <v>7.1152300000000002E-2</v>
      </c>
      <c r="S668">
        <v>2.99823</v>
      </c>
      <c r="T668">
        <v>-0.2332777</v>
      </c>
      <c r="U668">
        <v>0.1056213</v>
      </c>
      <c r="V668">
        <v>-3.014824E-2</v>
      </c>
      <c r="W668">
        <v>4.4134159999999999E-3</v>
      </c>
      <c r="X668">
        <v>0.99953570000000003</v>
      </c>
      <c r="Y668">
        <v>5.704789E-3</v>
      </c>
      <c r="Z668">
        <v>-3.4081950000000001E-3</v>
      </c>
      <c r="AA668">
        <v>0.99997789999999998</v>
      </c>
      <c r="AB668">
        <v>31</v>
      </c>
      <c r="AC668">
        <v>0.60849999999999205</v>
      </c>
      <c r="AD668">
        <v>-7.25439999999999E-2</v>
      </c>
      <c r="AE668">
        <v>1.9499999999993599E-2</v>
      </c>
      <c r="AF668">
        <v>5.4170156058493801E-3</v>
      </c>
      <c r="AG668">
        <v>-7.25439999999999E-2</v>
      </c>
      <c r="AH668">
        <v>0.60026484458935403</v>
      </c>
      <c r="AI668">
        <v>96.890688304026398</v>
      </c>
      <c r="AJ668">
        <v>89.482955382980904</v>
      </c>
      <c r="AK668">
        <v>0.60465681145915795</v>
      </c>
    </row>
    <row r="669" spans="1:37" x14ac:dyDescent="0.2">
      <c r="A669" t="str">
        <f>"20200111160110998"</f>
        <v>20200111160110998</v>
      </c>
      <c r="B669" t="str">
        <f>"1578729670991004"</f>
        <v>1578729670991004</v>
      </c>
      <c r="C669" t="s">
        <v>37</v>
      </c>
      <c r="D669">
        <v>4.4553050000000001</v>
      </c>
      <c r="E669">
        <v>0.51556099999999905</v>
      </c>
      <c r="F669" t="s">
        <v>42</v>
      </c>
      <c r="G669">
        <v>-252.40099999999899</v>
      </c>
      <c r="H669">
        <v>1.0351619999999999</v>
      </c>
      <c r="I669">
        <v>368.81450000000001</v>
      </c>
      <c r="J669">
        <v>-252.98750000000001</v>
      </c>
      <c r="K669">
        <v>1.104131</v>
      </c>
      <c r="L669">
        <v>368.796999999999</v>
      </c>
      <c r="M669">
        <v>0.99906649999999997</v>
      </c>
      <c r="N669">
        <v>0</v>
      </c>
      <c r="O669">
        <v>4.0746449999999997E-2</v>
      </c>
      <c r="P669">
        <v>0.99753559999999997</v>
      </c>
      <c r="Q669">
        <v>-1.101034E-2</v>
      </c>
      <c r="R669">
        <v>6.9295540000000003E-2</v>
      </c>
      <c r="S669">
        <v>2.9983059999999999</v>
      </c>
      <c r="T669">
        <v>-0.2323538</v>
      </c>
      <c r="U669">
        <v>0.100128199999999</v>
      </c>
      <c r="V669">
        <v>-2.85855E-2</v>
      </c>
      <c r="W669">
        <v>3.3619979999999902E-3</v>
      </c>
      <c r="X669">
        <v>0.99958570000000002</v>
      </c>
      <c r="Y669">
        <v>7.235745E-3</v>
      </c>
      <c r="Z669">
        <v>-3.4310489999999998E-3</v>
      </c>
      <c r="AA669">
        <v>0.99996790000000002</v>
      </c>
      <c r="AB669">
        <v>31</v>
      </c>
      <c r="AC669">
        <v>0.586500000000029</v>
      </c>
      <c r="AD669">
        <v>-6.8968999999999794E-2</v>
      </c>
      <c r="AE669">
        <v>1.75000000000409E-2</v>
      </c>
      <c r="AF669">
        <v>6.3273699183414196E-3</v>
      </c>
      <c r="AG669">
        <v>-6.8968999999999794E-2</v>
      </c>
      <c r="AH669">
        <v>0.57873016704903801</v>
      </c>
      <c r="AI669">
        <v>96.795654537902294</v>
      </c>
      <c r="AJ669">
        <v>89.3735990131958</v>
      </c>
      <c r="AK669">
        <v>0.58285964418862501</v>
      </c>
    </row>
    <row r="670" spans="1:37" x14ac:dyDescent="0.2">
      <c r="A670" t="str">
        <f>"20200111160111021"</f>
        <v>20200111160111021</v>
      </c>
      <c r="B670" t="str">
        <f>"1578729671011500"</f>
        <v>1578729671011500</v>
      </c>
      <c r="C670" t="s">
        <v>37</v>
      </c>
      <c r="D670">
        <v>4.3909630000000002</v>
      </c>
      <c r="E670">
        <v>0.51573159999999996</v>
      </c>
      <c r="F670" t="s">
        <v>42</v>
      </c>
      <c r="G670">
        <v>-252.1207</v>
      </c>
      <c r="H670">
        <v>1.0371569999999899</v>
      </c>
      <c r="I670">
        <v>368.82369999999997</v>
      </c>
      <c r="J670">
        <v>-252.685</v>
      </c>
      <c r="K670">
        <v>1.1041299999999901</v>
      </c>
      <c r="L670">
        <v>368.80900000000003</v>
      </c>
      <c r="M670">
        <v>0.99907829999999997</v>
      </c>
      <c r="N670">
        <v>0</v>
      </c>
      <c r="O670">
        <v>4.0450739999999999E-2</v>
      </c>
      <c r="P670">
        <v>0.99765479999999995</v>
      </c>
      <c r="Q670">
        <v>-1.1961599999999999E-2</v>
      </c>
      <c r="R670">
        <v>6.7394770000000007E-2</v>
      </c>
      <c r="S670">
        <v>2.998383</v>
      </c>
      <c r="T670">
        <v>-0.23183909999999999</v>
      </c>
      <c r="U670">
        <v>9.2834470000000002E-2</v>
      </c>
      <c r="V670">
        <v>-2.6978309999999998E-2</v>
      </c>
      <c r="W670">
        <v>2.4073739999999999E-3</v>
      </c>
      <c r="X670">
        <v>0.99963310000000005</v>
      </c>
      <c r="Y670">
        <v>9.3657189999999998E-3</v>
      </c>
      <c r="Z670">
        <v>-3.4829549999999998E-3</v>
      </c>
      <c r="AA670">
        <v>0.99995009999999995</v>
      </c>
      <c r="AB670">
        <v>31</v>
      </c>
      <c r="AC670">
        <v>0.56430000000000202</v>
      </c>
      <c r="AD670">
        <v>-6.6972999999999894E-2</v>
      </c>
      <c r="AE670">
        <v>1.4699999999947901E-2</v>
      </c>
      <c r="AF670">
        <v>8.0277413569049393E-3</v>
      </c>
      <c r="AG670">
        <v>-6.6972999999999894E-2</v>
      </c>
      <c r="AH670">
        <v>0.55659795873029605</v>
      </c>
      <c r="AI670">
        <v>96.860458358632002</v>
      </c>
      <c r="AJ670">
        <v>89.173687574080503</v>
      </c>
      <c r="AK670">
        <v>0.56067023732585097</v>
      </c>
    </row>
    <row r="671" spans="1:37" x14ac:dyDescent="0.2">
      <c r="A671" t="str">
        <f>"20200111160111043"</f>
        <v>20200111160111043</v>
      </c>
      <c r="B671" t="str">
        <f>"1578729671031021"</f>
        <v>1578729671031021</v>
      </c>
      <c r="C671" t="s">
        <v>37</v>
      </c>
      <c r="D671">
        <v>4.7170730000000001</v>
      </c>
      <c r="E671">
        <v>0.51572419999999997</v>
      </c>
      <c r="F671" t="s">
        <v>42</v>
      </c>
      <c r="G671">
        <v>-251.8409</v>
      </c>
      <c r="H671">
        <v>1.0390219999999999</v>
      </c>
      <c r="I671">
        <v>368.8331</v>
      </c>
      <c r="J671">
        <v>-252.36940000000001</v>
      </c>
      <c r="K671">
        <v>1.1041339999999999</v>
      </c>
      <c r="L671">
        <v>368.82139999999998</v>
      </c>
      <c r="M671">
        <v>0.99909099999999995</v>
      </c>
      <c r="N671">
        <v>0</v>
      </c>
      <c r="O671">
        <v>4.0141629999999998E-2</v>
      </c>
      <c r="P671">
        <v>0.99776509999999996</v>
      </c>
      <c r="Q671">
        <v>-1.268353E-2</v>
      </c>
      <c r="R671">
        <v>6.5602720000000003E-2</v>
      </c>
      <c r="S671">
        <v>2.99850499999999</v>
      </c>
      <c r="T671">
        <v>-0.23127619999999999</v>
      </c>
      <c r="U671">
        <v>8.5784910000000006E-2</v>
      </c>
      <c r="V671">
        <v>-2.5492549999999999E-2</v>
      </c>
      <c r="W671">
        <v>1.681629E-3</v>
      </c>
      <c r="X671">
        <v>0.99967359999999905</v>
      </c>
      <c r="Y671">
        <v>1.1401980000000001E-2</v>
      </c>
      <c r="Z671">
        <v>-3.5291540000000001E-3</v>
      </c>
      <c r="AA671">
        <v>0.99992879999999995</v>
      </c>
      <c r="AB671">
        <v>31</v>
      </c>
      <c r="AC671">
        <v>0.52850000000000796</v>
      </c>
      <c r="AD671">
        <v>-6.5112000000000003E-2</v>
      </c>
      <c r="AE671">
        <v>1.17000000000189E-2</v>
      </c>
      <c r="AF671">
        <v>9.3840993514566796E-3</v>
      </c>
      <c r="AG671">
        <v>-6.5112000000000003E-2</v>
      </c>
      <c r="AH671">
        <v>0.52064485113494796</v>
      </c>
      <c r="AI671">
        <v>97.127272271493197</v>
      </c>
      <c r="AJ671">
        <v>88.967413056420497</v>
      </c>
      <c r="AK671">
        <v>0.52478442705359496</v>
      </c>
    </row>
    <row r="672" spans="1:37" x14ac:dyDescent="0.2">
      <c r="A672" t="str">
        <f>"20200111160111066"</f>
        <v>20200111160111066</v>
      </c>
      <c r="B672" t="str">
        <f>"1578729671061277"</f>
        <v>1578729671061277</v>
      </c>
      <c r="C672" t="s">
        <v>37</v>
      </c>
      <c r="D672">
        <v>4.3965300000000003</v>
      </c>
      <c r="E672">
        <v>0.51576509999999998</v>
      </c>
      <c r="F672" t="s">
        <v>42</v>
      </c>
      <c r="G672">
        <v>-251.56049999999999</v>
      </c>
      <c r="H672">
        <v>1.0417259999999999</v>
      </c>
      <c r="I672">
        <v>368.84300000000002</v>
      </c>
      <c r="J672">
        <v>-252.0556</v>
      </c>
      <c r="K672">
        <v>1.104133</v>
      </c>
      <c r="L672">
        <v>368.83370000000002</v>
      </c>
      <c r="M672">
        <v>0.99910319999999997</v>
      </c>
      <c r="N672">
        <v>0</v>
      </c>
      <c r="O672">
        <v>3.9834769999999999E-2</v>
      </c>
      <c r="P672">
        <v>0.99794850000000002</v>
      </c>
      <c r="Q672">
        <v>-1.34086E-2</v>
      </c>
      <c r="R672">
        <v>6.2603729999999996E-2</v>
      </c>
      <c r="S672">
        <v>2.99848899999999</v>
      </c>
      <c r="T672">
        <v>-0.23153509999999999</v>
      </c>
      <c r="U672">
        <v>8.0596920000000002E-2</v>
      </c>
      <c r="V672">
        <v>-2.2796380000000002E-2</v>
      </c>
      <c r="W672">
        <v>9.5254569999999998E-4</v>
      </c>
      <c r="X672">
        <v>0.99973959999999995</v>
      </c>
      <c r="Y672">
        <v>1.2819789999999999E-2</v>
      </c>
      <c r="Z672">
        <v>-3.564233E-3</v>
      </c>
      <c r="AA672">
        <v>0.99991149999999995</v>
      </c>
      <c r="AB672">
        <v>31</v>
      </c>
      <c r="AC672">
        <v>0.49510000000000698</v>
      </c>
      <c r="AD672">
        <v>-6.2407000000000101E-2</v>
      </c>
      <c r="AE672">
        <v>9.2999999999960892E-3</v>
      </c>
      <c r="AF672">
        <v>1.02685163373305E-2</v>
      </c>
      <c r="AG672">
        <v>-6.2407000000000101E-2</v>
      </c>
      <c r="AH672">
        <v>0.48733716275551597</v>
      </c>
      <c r="AI672">
        <v>97.295815074597101</v>
      </c>
      <c r="AJ672">
        <v>88.792918646961795</v>
      </c>
      <c r="AK672">
        <v>0.49142403917529898</v>
      </c>
    </row>
    <row r="673" spans="1:37" x14ac:dyDescent="0.2">
      <c r="A673" t="str">
        <f>"20200111160111100"</f>
        <v>20200111160111100</v>
      </c>
      <c r="B673" t="str">
        <f>"1578729671091061"</f>
        <v>1578729671091061</v>
      </c>
      <c r="C673" t="s">
        <v>37</v>
      </c>
      <c r="D673">
        <v>4.669009</v>
      </c>
      <c r="E673">
        <v>0.5156965</v>
      </c>
      <c r="F673" t="s">
        <v>42</v>
      </c>
      <c r="G673">
        <v>-251.27690000000001</v>
      </c>
      <c r="H673">
        <v>1.044311</v>
      </c>
      <c r="I673">
        <v>368.85210000000001</v>
      </c>
      <c r="J673">
        <v>-251.5839</v>
      </c>
      <c r="K673">
        <v>1.1041430000000001</v>
      </c>
      <c r="L673">
        <v>368.85199999999998</v>
      </c>
      <c r="M673">
        <v>0.999121699999999</v>
      </c>
      <c r="N673">
        <v>0</v>
      </c>
      <c r="O673">
        <v>3.9373440000000003E-2</v>
      </c>
      <c r="P673">
        <v>0.9981158</v>
      </c>
      <c r="Q673">
        <v>-1.4561630000000001E-2</v>
      </c>
      <c r="R673">
        <v>5.9608059999999997E-2</v>
      </c>
      <c r="S673">
        <v>2.9986109999999999</v>
      </c>
      <c r="T673">
        <v>-0.2304235</v>
      </c>
      <c r="U673">
        <v>7.0983889999999994E-2</v>
      </c>
      <c r="V673">
        <v>-2.0258769999999999E-2</v>
      </c>
      <c r="W673">
        <v>-2.0663840000000001E-4</v>
      </c>
      <c r="X673">
        <v>0.99979470000000004</v>
      </c>
      <c r="Y673">
        <v>1.5557410000000001E-2</v>
      </c>
      <c r="Z673">
        <v>-3.6168659999999998E-3</v>
      </c>
      <c r="AA673">
        <v>0.99987239999999999</v>
      </c>
      <c r="AB673">
        <v>31</v>
      </c>
      <c r="AC673">
        <v>0.30699999999998701</v>
      </c>
      <c r="AD673">
        <v>-5.98320000000001E-2</v>
      </c>
      <c r="AE673">
        <v>1.00000000031741E-4</v>
      </c>
      <c r="AF673">
        <v>1.15502519928078E-2</v>
      </c>
      <c r="AG673">
        <v>-5.98320000000001E-2</v>
      </c>
      <c r="AH673">
        <v>0.29554029791731601</v>
      </c>
      <c r="AI673">
        <v>101.436319249878</v>
      </c>
      <c r="AJ673">
        <v>87.761915811356303</v>
      </c>
      <c r="AK673">
        <v>0.30175709476026102</v>
      </c>
    </row>
    <row r="674" spans="1:37" x14ac:dyDescent="0.2">
      <c r="A674" t="str">
        <f>"20200111160111122"</f>
        <v>20200111160111122</v>
      </c>
      <c r="B674" t="str">
        <f>"1578729671111558"</f>
        <v>1578729671111558</v>
      </c>
      <c r="C674" t="s">
        <v>37</v>
      </c>
      <c r="D674">
        <v>4.441859</v>
      </c>
      <c r="E674">
        <v>0.51560059999999996</v>
      </c>
      <c r="F674" t="s">
        <v>42</v>
      </c>
      <c r="G674">
        <v>-250.73150000000001</v>
      </c>
      <c r="H674">
        <v>1.0386759999999999</v>
      </c>
      <c r="I674">
        <v>368.86970000000002</v>
      </c>
      <c r="J674">
        <v>-251.2825</v>
      </c>
      <c r="K674">
        <v>1.104152</v>
      </c>
      <c r="L674">
        <v>368.86349999999999</v>
      </c>
      <c r="M674">
        <v>0.99913320000000005</v>
      </c>
      <c r="N674">
        <v>0</v>
      </c>
      <c r="O674">
        <v>3.9078679999999998E-2</v>
      </c>
      <c r="P674">
        <v>0.9982027</v>
      </c>
      <c r="Q674">
        <v>-1.4667700000000001E-2</v>
      </c>
      <c r="R674">
        <v>5.810394E-2</v>
      </c>
      <c r="S674">
        <v>2.9985659999999998</v>
      </c>
      <c r="T674">
        <v>-0.23048779999999899</v>
      </c>
      <c r="U674">
        <v>6.2713619999999998E-2</v>
      </c>
      <c r="V674">
        <v>-1.9047370000000001E-2</v>
      </c>
      <c r="W674">
        <v>-3.1636209999999899E-4</v>
      </c>
      <c r="X674">
        <v>0.99981849999999906</v>
      </c>
      <c r="Y674">
        <v>1.8011900000000001E-2</v>
      </c>
      <c r="Z674">
        <v>-3.6896579999999902E-3</v>
      </c>
      <c r="AA674">
        <v>0.99983099999999903</v>
      </c>
      <c r="AB674">
        <v>31</v>
      </c>
      <c r="AC674">
        <v>0.55099999999998694</v>
      </c>
      <c r="AD674">
        <v>-6.5476000000000006E-2</v>
      </c>
      <c r="AE674">
        <v>6.2000000000352797E-3</v>
      </c>
      <c r="AF674">
        <v>1.5125743180068599E-2</v>
      </c>
      <c r="AG674">
        <v>-6.5476000000000006E-2</v>
      </c>
      <c r="AH674">
        <v>0.54315252870416098</v>
      </c>
      <c r="AI674">
        <v>96.8710905506519</v>
      </c>
      <c r="AJ674">
        <v>88.404836075117203</v>
      </c>
      <c r="AK674">
        <v>0.54729385536517206</v>
      </c>
    </row>
    <row r="675" spans="1:37" x14ac:dyDescent="0.2">
      <c r="A675" t="str">
        <f>"20200111160111367"</f>
        <v>20200111160111367</v>
      </c>
      <c r="B675" t="str">
        <f>"1578729671360945"</f>
        <v>1578729671360945</v>
      </c>
      <c r="C675" t="s">
        <v>37</v>
      </c>
      <c r="D675">
        <v>4.7669139999999999</v>
      </c>
      <c r="E675">
        <v>0.51532730000000004</v>
      </c>
      <c r="F675" t="s">
        <v>42</v>
      </c>
      <c r="G675">
        <v>-247.4264</v>
      </c>
      <c r="H675">
        <v>1.0456080000000001</v>
      </c>
      <c r="I675">
        <v>368.98110000000003</v>
      </c>
      <c r="J675">
        <v>-247.90450000000001</v>
      </c>
      <c r="K675">
        <v>1.1041939999999999</v>
      </c>
      <c r="L675">
        <v>368.98689999999999</v>
      </c>
      <c r="M675">
        <v>0.99925789999999903</v>
      </c>
      <c r="N675">
        <v>0</v>
      </c>
      <c r="O675">
        <v>3.5764169999999998E-2</v>
      </c>
      <c r="P675">
        <v>0.99901469999999903</v>
      </c>
      <c r="Q675">
        <v>-1.426141E-2</v>
      </c>
      <c r="R675">
        <v>4.2029520000000001E-2</v>
      </c>
      <c r="S675">
        <v>2.999069</v>
      </c>
      <c r="T675">
        <v>-0.22901920000000001</v>
      </c>
      <c r="U675">
        <v>1.7059330000000001E-2</v>
      </c>
      <c r="V675">
        <v>-6.2701930000000003E-3</v>
      </c>
      <c r="W675" s="1">
        <v>4.7063720000000003E-5</v>
      </c>
      <c r="X675">
        <v>0.99998029999999904</v>
      </c>
      <c r="Y675">
        <v>2.989166E-2</v>
      </c>
      <c r="Z675">
        <v>-3.8665009999999901E-3</v>
      </c>
      <c r="AA675">
        <v>0.99954569999999998</v>
      </c>
      <c r="AB675">
        <v>31</v>
      </c>
      <c r="AC675">
        <v>0.47810000000001202</v>
      </c>
      <c r="AD675">
        <v>-5.8585999999999999E-2</v>
      </c>
      <c r="AE675">
        <v>-5.7999999999651603E-3</v>
      </c>
      <c r="AF675">
        <v>2.2558206637701299E-2</v>
      </c>
      <c r="AG675">
        <v>-5.8585999999999999E-2</v>
      </c>
      <c r="AH675">
        <v>0.47052236481277698</v>
      </c>
      <c r="AI675">
        <v>97.0894628406013</v>
      </c>
      <c r="AJ675">
        <v>87.255175903087206</v>
      </c>
      <c r="AK675">
        <v>0.47469199263492601</v>
      </c>
    </row>
    <row r="676" spans="1:37" x14ac:dyDescent="0.2">
      <c r="A676" t="str">
        <f>"20200111160111390"</f>
        <v>20200111160111390</v>
      </c>
      <c r="B676" t="str">
        <f>"1578729671381441"</f>
        <v>1578729671381441</v>
      </c>
      <c r="C676" t="s">
        <v>37</v>
      </c>
      <c r="D676">
        <v>4.7048030000000001</v>
      </c>
      <c r="E676">
        <v>0.5152698</v>
      </c>
      <c r="F676" t="s">
        <v>42</v>
      </c>
      <c r="G676">
        <v>-247.15270000000001</v>
      </c>
      <c r="H676">
        <v>1.0465789999999999</v>
      </c>
      <c r="I676">
        <v>368.99</v>
      </c>
      <c r="J676">
        <v>-247.60339999999999</v>
      </c>
      <c r="K676">
        <v>1.1041939999999999</v>
      </c>
      <c r="L676">
        <v>368.9973</v>
      </c>
      <c r="M676">
        <v>0.99926859999999995</v>
      </c>
      <c r="N676">
        <v>0</v>
      </c>
      <c r="O676">
        <v>3.5468569999999998E-2</v>
      </c>
      <c r="P676">
        <v>0.99902369999999996</v>
      </c>
      <c r="Q676">
        <v>-1.522159E-2</v>
      </c>
      <c r="R676">
        <v>4.1477170000000001E-2</v>
      </c>
      <c r="S676">
        <v>2.9990999999999999</v>
      </c>
      <c r="T676">
        <v>-0.23019020000000001</v>
      </c>
      <c r="U676">
        <v>1.339722E-2</v>
      </c>
      <c r="V676">
        <v>-6.0146109999999996E-3</v>
      </c>
      <c r="W676">
        <v>-9.1656429999999905E-4</v>
      </c>
      <c r="X676">
        <v>0.99998149999999997</v>
      </c>
      <c r="Y676">
        <v>3.081271E-2</v>
      </c>
      <c r="Z676">
        <v>-3.8988500000000001E-3</v>
      </c>
      <c r="AA676">
        <v>0.99951759999999901</v>
      </c>
      <c r="AB676">
        <v>31</v>
      </c>
      <c r="AC676">
        <v>0.450699999999983</v>
      </c>
      <c r="AD676">
        <v>-5.7614999999999902E-2</v>
      </c>
      <c r="AE676">
        <v>-7.2999999999865299E-3</v>
      </c>
      <c r="AF676">
        <v>2.2908459165089299E-2</v>
      </c>
      <c r="AG676">
        <v>-5.7614999999999902E-2</v>
      </c>
      <c r="AH676">
        <v>0.44292124370149799</v>
      </c>
      <c r="AI676">
        <v>97.401611249001803</v>
      </c>
      <c r="AJ676">
        <v>87.039226466539006</v>
      </c>
      <c r="AK676">
        <v>0.44723988400901898</v>
      </c>
    </row>
    <row r="677" spans="1:37" x14ac:dyDescent="0.2">
      <c r="A677" t="str">
        <f>"20200111160111411"</f>
        <v>20200111160111411</v>
      </c>
      <c r="B677" t="str">
        <f>"1578729671400961"</f>
        <v>1578729671400961</v>
      </c>
      <c r="C677" t="s">
        <v>37</v>
      </c>
      <c r="D677">
        <v>4.7730169999999896</v>
      </c>
      <c r="E677">
        <v>0.51524629999999905</v>
      </c>
      <c r="F677" t="s">
        <v>42</v>
      </c>
      <c r="G677">
        <v>-246.6206</v>
      </c>
      <c r="H677">
        <v>1.027412</v>
      </c>
      <c r="I677">
        <v>369.00130000000001</v>
      </c>
      <c r="J677">
        <v>-247.3048</v>
      </c>
      <c r="K677">
        <v>1.104201</v>
      </c>
      <c r="L677">
        <v>369.00760000000002</v>
      </c>
      <c r="M677">
        <v>0.99927889999999997</v>
      </c>
      <c r="N677">
        <v>0</v>
      </c>
      <c r="O677">
        <v>3.517501E-2</v>
      </c>
      <c r="P677">
        <v>0.99903090000000005</v>
      </c>
      <c r="Q677">
        <v>-1.554197E-2</v>
      </c>
      <c r="R677">
        <v>4.1183579999999997E-2</v>
      </c>
      <c r="S677">
        <v>2.99880999999999</v>
      </c>
      <c r="T677">
        <v>-0.23443899999999901</v>
      </c>
      <c r="U677">
        <v>1.2786870000000001E-2</v>
      </c>
      <c r="V677">
        <v>-6.0146080000000003E-3</v>
      </c>
      <c r="W677">
        <v>-1.24014E-3</v>
      </c>
      <c r="X677">
        <v>0.99998120000000001</v>
      </c>
      <c r="Y677">
        <v>3.071598E-2</v>
      </c>
      <c r="Z677">
        <v>-3.944304E-3</v>
      </c>
      <c r="AA677">
        <v>0.99952039999999998</v>
      </c>
      <c r="AB677">
        <v>30</v>
      </c>
      <c r="AC677">
        <v>0.68420000000000403</v>
      </c>
      <c r="AD677">
        <v>-7.6788999999999996E-2</v>
      </c>
      <c r="AE677">
        <v>-6.3000000000101803E-3</v>
      </c>
      <c r="AF677">
        <v>2.99876111248603E-2</v>
      </c>
      <c r="AG677">
        <v>-7.6788999999999996E-2</v>
      </c>
      <c r="AH677">
        <v>0.67505265588059105</v>
      </c>
      <c r="AI677">
        <v>96.483309684651303</v>
      </c>
      <c r="AJ677">
        <v>87.456443307243703</v>
      </c>
      <c r="AK677">
        <v>0.68006756690303605</v>
      </c>
    </row>
    <row r="678" spans="1:37" x14ac:dyDescent="0.2">
      <c r="A678" t="str">
        <f>"20200111160111435"</f>
        <v>20200111160111435</v>
      </c>
      <c r="B678" t="str">
        <f>"1578729671431217"</f>
        <v>1578729671431217</v>
      </c>
      <c r="C678" t="s">
        <v>37</v>
      </c>
      <c r="D678">
        <v>4.7680339999999903</v>
      </c>
      <c r="E678">
        <v>0.51519340000000002</v>
      </c>
      <c r="F678" t="s">
        <v>42</v>
      </c>
      <c r="G678">
        <v>-246.34829999999999</v>
      </c>
      <c r="H678">
        <v>1.02837</v>
      </c>
      <c r="I678">
        <v>369.01130000000001</v>
      </c>
      <c r="J678">
        <v>-246.99709999999999</v>
      </c>
      <c r="K678">
        <v>1.1042080000000001</v>
      </c>
      <c r="L678">
        <v>369.0181</v>
      </c>
      <c r="M678">
        <v>0.99928969999999995</v>
      </c>
      <c r="N678">
        <v>0</v>
      </c>
      <c r="O678">
        <v>3.487287E-2</v>
      </c>
      <c r="P678">
        <v>0.99904989999999905</v>
      </c>
      <c r="Q678">
        <v>-1.461815E-2</v>
      </c>
      <c r="R678">
        <v>4.106129E-2</v>
      </c>
      <c r="S678">
        <v>2.9987339999999998</v>
      </c>
      <c r="T678">
        <v>-0.23778640000000001</v>
      </c>
      <c r="U678">
        <v>1.217651E-2</v>
      </c>
      <c r="V678">
        <v>-6.193423E-3</v>
      </c>
      <c r="W678">
        <v>-3.194141E-4</v>
      </c>
      <c r="X678">
        <v>0.99998069999999895</v>
      </c>
      <c r="Y678">
        <v>3.061256E-2</v>
      </c>
      <c r="Z678">
        <v>-3.9725469999999999E-3</v>
      </c>
      <c r="AA678">
        <v>0.99952350000000001</v>
      </c>
      <c r="AB678">
        <v>30</v>
      </c>
      <c r="AC678">
        <v>0.64879999999999405</v>
      </c>
      <c r="AD678">
        <v>-7.5838000000000003E-2</v>
      </c>
      <c r="AE678">
        <v>-6.7999999999983603E-3</v>
      </c>
      <c r="AF678">
        <v>2.90271294874773E-2</v>
      </c>
      <c r="AG678">
        <v>-7.5838000000000003E-2</v>
      </c>
      <c r="AH678">
        <v>0.63943240548731195</v>
      </c>
      <c r="AI678">
        <v>96.756907278497707</v>
      </c>
      <c r="AJ678">
        <v>87.400833941222402</v>
      </c>
      <c r="AK678">
        <v>0.64456789997452801</v>
      </c>
    </row>
    <row r="679" spans="1:37" x14ac:dyDescent="0.2">
      <c r="A679" t="str">
        <f>"20200111160111457"</f>
        <v>20200111160111457</v>
      </c>
      <c r="B679" t="str">
        <f>"1578729671451713"</f>
        <v>1578729671451713</v>
      </c>
      <c r="C679" t="s">
        <v>37</v>
      </c>
      <c r="D679">
        <v>4.7467009999999998</v>
      </c>
      <c r="E679">
        <v>0.51512500000000006</v>
      </c>
      <c r="F679" t="s">
        <v>42</v>
      </c>
      <c r="G679">
        <v>-246.07550000000001</v>
      </c>
      <c r="H679">
        <v>1.0308569999999999</v>
      </c>
      <c r="I679">
        <v>369.02170000000001</v>
      </c>
      <c r="J679">
        <v>-246.68510000000001</v>
      </c>
      <c r="K679">
        <v>1.1042179999999999</v>
      </c>
      <c r="L679">
        <v>369.02859999999998</v>
      </c>
      <c r="M679">
        <v>0.99930039999999998</v>
      </c>
      <c r="N679">
        <v>0</v>
      </c>
      <c r="O679">
        <v>3.456584E-2</v>
      </c>
      <c r="P679">
        <v>0.99907449999999998</v>
      </c>
      <c r="Q679">
        <v>-1.268937E-2</v>
      </c>
      <c r="R679">
        <v>4.1105919999999997E-2</v>
      </c>
      <c r="S679">
        <v>2.99884</v>
      </c>
      <c r="T679">
        <v>-0.2388296</v>
      </c>
      <c r="U679">
        <v>1.2268070000000001E-2</v>
      </c>
      <c r="V679">
        <v>-6.5429290000000003E-3</v>
      </c>
      <c r="W679">
        <v>1.6062889999999999E-3</v>
      </c>
      <c r="X679">
        <v>0.99997729999999996</v>
      </c>
      <c r="Y679">
        <v>3.0275340000000001E-2</v>
      </c>
      <c r="Z679">
        <v>-3.9519669999999998E-3</v>
      </c>
      <c r="AA679">
        <v>0.99953380000000003</v>
      </c>
      <c r="AB679">
        <v>30</v>
      </c>
      <c r="AC679">
        <v>0.60960000000000003</v>
      </c>
      <c r="AD679">
        <v>-7.3360999999999996E-2</v>
      </c>
      <c r="AE679">
        <v>-6.89999999997326E-3</v>
      </c>
      <c r="AF679">
        <v>2.7570130099601201E-2</v>
      </c>
      <c r="AG679">
        <v>-7.3360999999999996E-2</v>
      </c>
      <c r="AH679">
        <v>0.60030437895201605</v>
      </c>
      <c r="AI679">
        <v>96.960095590882204</v>
      </c>
      <c r="AJ679">
        <v>87.370429218325398</v>
      </c>
      <c r="AK679">
        <v>0.60539846034134803</v>
      </c>
    </row>
    <row r="680" spans="1:37" x14ac:dyDescent="0.2">
      <c r="A680" t="str">
        <f>"20200111160111479"</f>
        <v>20200111160111479</v>
      </c>
      <c r="B680" t="str">
        <f>"1578729671471232"</f>
        <v>1578729671471232</v>
      </c>
      <c r="C680" t="s">
        <v>37</v>
      </c>
      <c r="D680">
        <v>4.8021419999999999</v>
      </c>
      <c r="E680">
        <v>0.50981730000000003</v>
      </c>
      <c r="F680" t="s">
        <v>42</v>
      </c>
      <c r="G680">
        <v>-245.8022</v>
      </c>
      <c r="H680">
        <v>1.03494</v>
      </c>
      <c r="I680">
        <v>369.0324</v>
      </c>
      <c r="J680">
        <v>-246.392</v>
      </c>
      <c r="K680">
        <v>1.104223</v>
      </c>
      <c r="L680">
        <v>369.0385</v>
      </c>
      <c r="M680">
        <v>0.99931009999999998</v>
      </c>
      <c r="N680">
        <v>0</v>
      </c>
      <c r="O680">
        <v>3.4277820000000001E-2</v>
      </c>
      <c r="P680">
        <v>0.99910129999999997</v>
      </c>
      <c r="Q680">
        <v>-1.091836E-2</v>
      </c>
      <c r="R680">
        <v>4.0956050000000001E-2</v>
      </c>
      <c r="S680">
        <v>2.9992369999999999</v>
      </c>
      <c r="T680">
        <v>-0.23539259999999901</v>
      </c>
      <c r="U680">
        <v>1.306152E-2</v>
      </c>
      <c r="V680">
        <v>-6.6792719999999896E-3</v>
      </c>
      <c r="W680">
        <v>3.3748720000000001E-3</v>
      </c>
      <c r="X680">
        <v>0.99997199999999997</v>
      </c>
      <c r="Y680">
        <v>2.9731830000000001E-2</v>
      </c>
      <c r="Z680">
        <v>-3.8508940000000001E-3</v>
      </c>
      <c r="AA680">
        <v>0.99955049999999901</v>
      </c>
      <c r="AB680">
        <v>30</v>
      </c>
      <c r="AC680">
        <v>0.58979999999999599</v>
      </c>
      <c r="AD680">
        <v>-6.92829999999999E-2</v>
      </c>
      <c r="AE680">
        <v>-6.1000000000035401E-3</v>
      </c>
      <c r="AF680">
        <v>2.5957394186909E-2</v>
      </c>
      <c r="AG680">
        <v>-6.92829999999999E-2</v>
      </c>
      <c r="AH680">
        <v>0.58122481925208702</v>
      </c>
      <c r="AI680">
        <v>96.790974931806701</v>
      </c>
      <c r="AJ680">
        <v>87.442880114580802</v>
      </c>
      <c r="AK680">
        <v>0.58591484954436501</v>
      </c>
    </row>
    <row r="681" spans="1:37" x14ac:dyDescent="0.2">
      <c r="A681" t="str">
        <f>"20200111160111501"</f>
        <v>20200111160111501</v>
      </c>
      <c r="B681" t="str">
        <f>"1578729671491541"</f>
        <v>1578729671491541</v>
      </c>
      <c r="C681" t="s">
        <v>37</v>
      </c>
      <c r="D681">
        <v>4.8223609999999999</v>
      </c>
      <c r="E681">
        <v>0.51096419999999998</v>
      </c>
      <c r="F681" t="s">
        <v>42</v>
      </c>
      <c r="G681">
        <v>-245.54310000000001</v>
      </c>
      <c r="H681">
        <v>1.0114909999999999</v>
      </c>
      <c r="I681">
        <v>369.05540000000002</v>
      </c>
      <c r="J681">
        <v>-246.0872</v>
      </c>
      <c r="K681">
        <v>1.1042319999999901</v>
      </c>
      <c r="L681">
        <v>369.04860000000002</v>
      </c>
      <c r="M681">
        <v>0.99932049999999994</v>
      </c>
      <c r="N681">
        <v>0</v>
      </c>
      <c r="O681">
        <v>3.3977819999999999E-2</v>
      </c>
      <c r="P681">
        <v>0.99909879999999995</v>
      </c>
      <c r="Q681">
        <v>-1.0456490000000001E-2</v>
      </c>
      <c r="R681">
        <v>4.1136020000000002E-2</v>
      </c>
      <c r="S681">
        <v>2.9966279999999998</v>
      </c>
      <c r="T681">
        <v>-0.3274512</v>
      </c>
      <c r="U681">
        <v>6.0546879999999997E-2</v>
      </c>
      <c r="V681">
        <v>-7.1589449999999999E-3</v>
      </c>
      <c r="W681">
        <v>3.8335869999999998E-3</v>
      </c>
      <c r="X681">
        <v>0.99996700000000005</v>
      </c>
      <c r="Y681">
        <v>1.3502709999999999E-2</v>
      </c>
      <c r="Z681">
        <v>-4.4364779999999998E-3</v>
      </c>
      <c r="AA681">
        <v>0.99989899999999998</v>
      </c>
      <c r="AB681">
        <v>30</v>
      </c>
      <c r="AC681">
        <v>0.54409999999998604</v>
      </c>
      <c r="AD681">
        <v>-9.2740999999999907E-2</v>
      </c>
      <c r="AE681">
        <v>6.7999999999983603E-3</v>
      </c>
      <c r="AF681">
        <v>1.13630695047547E-2</v>
      </c>
      <c r="AG681">
        <v>-9.2740999999999907E-2</v>
      </c>
      <c r="AH681">
        <v>0.528660243653439</v>
      </c>
      <c r="AI681">
        <v>99.947700875378104</v>
      </c>
      <c r="AJ681">
        <v>88.768669104903907</v>
      </c>
      <c r="AK681">
        <v>0.53685348620390205</v>
      </c>
    </row>
    <row r="682" spans="1:37" x14ac:dyDescent="0.2">
      <c r="A682" t="str">
        <f>"20200111160111523"</f>
        <v>20200111160111523</v>
      </c>
      <c r="B682" t="str">
        <f>"1578729671521797"</f>
        <v>1578729671521797</v>
      </c>
      <c r="C682" t="s">
        <v>37</v>
      </c>
      <c r="D682">
        <v>4.8374519999999999</v>
      </c>
      <c r="E682">
        <v>0.51240339999999995</v>
      </c>
      <c r="F682" t="s">
        <v>42</v>
      </c>
      <c r="G682">
        <v>-245.27070000000001</v>
      </c>
      <c r="H682">
        <v>1.014913</v>
      </c>
      <c r="I682">
        <v>369.06290000000001</v>
      </c>
      <c r="J682">
        <v>-245.7878</v>
      </c>
      <c r="K682">
        <v>1.1042270000000001</v>
      </c>
      <c r="L682">
        <v>369.05840000000001</v>
      </c>
      <c r="M682">
        <v>0.99933050000000001</v>
      </c>
      <c r="N682">
        <v>0</v>
      </c>
      <c r="O682">
        <v>3.3683070000000002E-2</v>
      </c>
      <c r="P682">
        <v>0.99910889999999997</v>
      </c>
      <c r="Q682">
        <v>-1.076744E-2</v>
      </c>
      <c r="R682">
        <v>4.0812260000000003E-2</v>
      </c>
      <c r="S682">
        <v>2.9971160000000001</v>
      </c>
      <c r="T682">
        <v>-0.3278452</v>
      </c>
      <c r="U682">
        <v>5.2520749999999998E-2</v>
      </c>
      <c r="V682">
        <v>-7.1303440000000003E-3</v>
      </c>
      <c r="W682">
        <v>3.5198299999999998E-3</v>
      </c>
      <c r="X682">
        <v>0.99996839999999998</v>
      </c>
      <c r="Y682">
        <v>1.5874760000000002E-2</v>
      </c>
      <c r="Z682">
        <v>-4.5384290000000001E-3</v>
      </c>
      <c r="AA682">
        <v>0.99986369999999902</v>
      </c>
      <c r="AB682">
        <v>30</v>
      </c>
      <c r="AC682">
        <v>0.517099999999999</v>
      </c>
      <c r="AD682">
        <v>-8.9314000000000102E-2</v>
      </c>
      <c r="AE682">
        <v>4.5000000000072699E-3</v>
      </c>
      <c r="AF682">
        <v>1.25475496247803E-2</v>
      </c>
      <c r="AG682">
        <v>-8.9314000000000102E-2</v>
      </c>
      <c r="AH682">
        <v>0.50198379855078001</v>
      </c>
      <c r="AI682">
        <v>100.085526714731</v>
      </c>
      <c r="AJ682">
        <v>88.568137122381202</v>
      </c>
      <c r="AK682">
        <v>0.51002173052239297</v>
      </c>
    </row>
    <row r="683" spans="1:37" x14ac:dyDescent="0.2">
      <c r="A683" t="str">
        <f>"20200111160111546"</f>
        <v>20200111160111546</v>
      </c>
      <c r="B683" t="str">
        <f>"1578729671541318"</f>
        <v>1578729671541318</v>
      </c>
      <c r="C683" t="s">
        <v>37</v>
      </c>
      <c r="D683">
        <v>4.8322669999999999</v>
      </c>
      <c r="E683">
        <v>0.51290249999999904</v>
      </c>
      <c r="F683" t="s">
        <v>42</v>
      </c>
      <c r="G683">
        <v>-244.9975</v>
      </c>
      <c r="H683">
        <v>1.0207549999999901</v>
      </c>
      <c r="I683">
        <v>369.06869999999998</v>
      </c>
      <c r="J683">
        <v>-245.48220000000001</v>
      </c>
      <c r="K683">
        <v>1.1042179999999999</v>
      </c>
      <c r="L683">
        <v>369.0684</v>
      </c>
      <c r="M683">
        <v>0.99934069999999997</v>
      </c>
      <c r="N683">
        <v>0</v>
      </c>
      <c r="O683">
        <v>3.3382469999999997E-2</v>
      </c>
      <c r="P683">
        <v>0.99914219999999898</v>
      </c>
      <c r="Q683">
        <v>-1.167755E-2</v>
      </c>
      <c r="R683">
        <v>3.9730710000000002E-2</v>
      </c>
      <c r="S683">
        <v>2.9976500000000001</v>
      </c>
      <c r="T683">
        <v>-0.3167914</v>
      </c>
      <c r="U683">
        <v>3.9459229999999998E-2</v>
      </c>
      <c r="V683">
        <v>-6.3493250000000003E-3</v>
      </c>
      <c r="W683">
        <v>2.6057369999999999E-3</v>
      </c>
      <c r="X683">
        <v>0.99997649999999905</v>
      </c>
      <c r="Y683">
        <v>1.9931310000000001E-2</v>
      </c>
      <c r="Z683">
        <v>-4.5677850000000004E-3</v>
      </c>
      <c r="AA683">
        <v>0.99979089999999904</v>
      </c>
      <c r="AB683">
        <v>30</v>
      </c>
      <c r="AC683">
        <v>0.48470000000000302</v>
      </c>
      <c r="AD683">
        <v>-8.3462999999999996E-2</v>
      </c>
      <c r="AE683">
        <v>2.9999999998153699E-4</v>
      </c>
      <c r="AF683">
        <v>1.5424932075897801E-2</v>
      </c>
      <c r="AG683">
        <v>-8.3462999999999996E-2</v>
      </c>
      <c r="AH683">
        <v>0.47048925806477698</v>
      </c>
      <c r="AI683">
        <v>100.05411125821399</v>
      </c>
      <c r="AJ683">
        <v>88.122237539352795</v>
      </c>
      <c r="AK683">
        <v>0.47808382408620598</v>
      </c>
    </row>
    <row r="684" spans="1:37" x14ac:dyDescent="0.2">
      <c r="A684" t="str">
        <f>"20200111160111568"</f>
        <v>20200111160111568</v>
      </c>
      <c r="B684" t="str">
        <f>"1578729671561812"</f>
        <v>1578729671561812</v>
      </c>
      <c r="C684" t="s">
        <v>37</v>
      </c>
      <c r="D684">
        <v>4.8219729999999998</v>
      </c>
      <c r="E684">
        <v>0.51319519999999996</v>
      </c>
      <c r="F684" t="s">
        <v>42</v>
      </c>
      <c r="G684">
        <v>-244.7253</v>
      </c>
      <c r="H684">
        <v>1.025029</v>
      </c>
      <c r="I684">
        <v>369.0763</v>
      </c>
      <c r="J684">
        <v>-245.17840000000001</v>
      </c>
      <c r="K684">
        <v>1.1042239999999901</v>
      </c>
      <c r="L684">
        <v>369.07819999999998</v>
      </c>
      <c r="M684">
        <v>0.99935069999999904</v>
      </c>
      <c r="N684">
        <v>0</v>
      </c>
      <c r="O684">
        <v>3.3082840000000002E-2</v>
      </c>
      <c r="P684">
        <v>0.99917959999999995</v>
      </c>
      <c r="Q684">
        <v>-1.198989E-2</v>
      </c>
      <c r="R684">
        <v>3.8681750000000001E-2</v>
      </c>
      <c r="S684">
        <v>2.9976349999999998</v>
      </c>
      <c r="T684">
        <v>-0.31378010000000001</v>
      </c>
      <c r="U684">
        <v>3.1982419999999998E-2</v>
      </c>
      <c r="V684">
        <v>-5.6002339999999999E-3</v>
      </c>
      <c r="W684">
        <v>2.2895960000000001E-3</v>
      </c>
      <c r="X684">
        <v>0.99998169999999897</v>
      </c>
      <c r="Y684">
        <v>2.2120040000000001E-2</v>
      </c>
      <c r="Z684">
        <v>-4.6077000000000002E-3</v>
      </c>
      <c r="AA684">
        <v>0.99974470000000004</v>
      </c>
      <c r="AB684">
        <v>30</v>
      </c>
      <c r="AC684">
        <v>0.453100000000006</v>
      </c>
      <c r="AD684">
        <v>-7.9194999999999599E-2</v>
      </c>
      <c r="AE684">
        <v>-1.8999999999778001E-3</v>
      </c>
      <c r="AF684">
        <v>1.6389631493204299E-2</v>
      </c>
      <c r="AG684">
        <v>-7.9194999999999599E-2</v>
      </c>
      <c r="AH684">
        <v>0.43936676383844098</v>
      </c>
      <c r="AI684">
        <v>100.210786880358</v>
      </c>
      <c r="AJ684">
        <v>87.863694784608796</v>
      </c>
      <c r="AK684">
        <v>0.44674782731575502</v>
      </c>
    </row>
    <row r="685" spans="1:37" x14ac:dyDescent="0.2">
      <c r="A685" t="str">
        <f>"20200111160111591"</f>
        <v>20200111160111591</v>
      </c>
      <c r="B685" t="str">
        <f>"1578729671581332"</f>
        <v>1578729671581332</v>
      </c>
      <c r="C685" t="s">
        <v>37</v>
      </c>
      <c r="D685">
        <v>4.8935209999999998</v>
      </c>
      <c r="E685">
        <v>0.51343570000000005</v>
      </c>
      <c r="F685" t="s">
        <v>42</v>
      </c>
      <c r="G685">
        <v>-244.4538</v>
      </c>
      <c r="H685">
        <v>1.0287269999999999</v>
      </c>
      <c r="I685">
        <v>369.08420000000001</v>
      </c>
      <c r="J685">
        <v>-244.88560000000001</v>
      </c>
      <c r="K685">
        <v>1.1042350000000001</v>
      </c>
      <c r="L685">
        <v>369.08760000000001</v>
      </c>
      <c r="M685">
        <v>0.99936019999999903</v>
      </c>
      <c r="N685">
        <v>0</v>
      </c>
      <c r="O685">
        <v>3.279493E-2</v>
      </c>
      <c r="P685">
        <v>0.99921879999999996</v>
      </c>
      <c r="Q685">
        <v>-1.163639E-2</v>
      </c>
      <c r="R685">
        <v>3.7774629999999997E-2</v>
      </c>
      <c r="S685">
        <v>2.9976959999999999</v>
      </c>
      <c r="T685">
        <v>-0.31262679999999998</v>
      </c>
      <c r="U685">
        <v>2.633667E-2</v>
      </c>
      <c r="V685">
        <v>-4.980351E-3</v>
      </c>
      <c r="W685">
        <v>2.64007E-3</v>
      </c>
      <c r="X685">
        <v>0.99998410000000004</v>
      </c>
      <c r="Y685">
        <v>2.3710060000000002E-2</v>
      </c>
      <c r="Z685">
        <v>-4.6435840000000001E-3</v>
      </c>
      <c r="AA685">
        <v>0.99970809999999999</v>
      </c>
      <c r="AB685">
        <v>30</v>
      </c>
      <c r="AC685">
        <v>0.43180000000000901</v>
      </c>
      <c r="AD685">
        <v>-7.5508000000000103E-2</v>
      </c>
      <c r="AE685">
        <v>-3.3999999999991802E-3</v>
      </c>
      <c r="AF685">
        <v>1.70394500354238E-2</v>
      </c>
      <c r="AG685">
        <v>-7.5508000000000103E-2</v>
      </c>
      <c r="AH685">
        <v>0.418654993894234</v>
      </c>
      <c r="AI685">
        <v>100.215590769058</v>
      </c>
      <c r="AJ685">
        <v>87.669321902838306</v>
      </c>
      <c r="AK685">
        <v>0.42575087179486798</v>
      </c>
    </row>
    <row r="686" spans="1:37" x14ac:dyDescent="0.2">
      <c r="A686" t="str">
        <f>"20200111160111613"</f>
        <v>20200111160111613</v>
      </c>
      <c r="B686" t="str">
        <f>"1578729671601828"</f>
        <v>1578729671601828</v>
      </c>
      <c r="C686" t="s">
        <v>37</v>
      </c>
      <c r="D686">
        <v>4.8672769999999996</v>
      </c>
      <c r="E686">
        <v>0.51355770000000001</v>
      </c>
      <c r="F686" t="s">
        <v>42</v>
      </c>
      <c r="G686">
        <v>-243.92679999999999</v>
      </c>
      <c r="H686">
        <v>1.005182</v>
      </c>
      <c r="I686">
        <v>369.0942</v>
      </c>
      <c r="J686">
        <v>-244.58670000000001</v>
      </c>
      <c r="K686">
        <v>1.1042540000000001</v>
      </c>
      <c r="L686">
        <v>369.09699999999998</v>
      </c>
      <c r="M686">
        <v>0.99936999999999998</v>
      </c>
      <c r="N686">
        <v>0</v>
      </c>
      <c r="O686">
        <v>3.2500349999999997E-2</v>
      </c>
      <c r="P686">
        <v>0.99924880000000005</v>
      </c>
      <c r="Q686">
        <v>-1.114892E-2</v>
      </c>
      <c r="R686">
        <v>3.712083E-2</v>
      </c>
      <c r="S686">
        <v>2.9979100000000001</v>
      </c>
      <c r="T686">
        <v>-0.30991229999999997</v>
      </c>
      <c r="U686">
        <v>2.1453860000000002E-2</v>
      </c>
      <c r="V686">
        <v>-4.6198619999999998E-3</v>
      </c>
      <c r="W686">
        <v>3.124534E-3</v>
      </c>
      <c r="X686">
        <v>0.9999844</v>
      </c>
      <c r="Y686">
        <v>2.5043920000000001E-2</v>
      </c>
      <c r="Z686">
        <v>-4.641605E-3</v>
      </c>
      <c r="AA686">
        <v>0.999675599999999</v>
      </c>
      <c r="AB686">
        <v>30</v>
      </c>
      <c r="AC686">
        <v>0.65990000000002103</v>
      </c>
      <c r="AD686">
        <v>-9.9071999999999993E-2</v>
      </c>
      <c r="AE686">
        <v>-2.7999999999792601E-3</v>
      </c>
      <c r="AF686">
        <v>2.3713206409643299E-2</v>
      </c>
      <c r="AG686">
        <v>-9.9071999999999993E-2</v>
      </c>
      <c r="AH686">
        <v>0.64492425660674002</v>
      </c>
      <c r="AI686">
        <v>98.727587263108106</v>
      </c>
      <c r="AJ686">
        <v>87.894241313436197</v>
      </c>
      <c r="AK686">
        <v>0.65292026626685695</v>
      </c>
    </row>
    <row r="687" spans="1:37" x14ac:dyDescent="0.2">
      <c r="A687" t="str">
        <f>"20200111160111635"</f>
        <v>20200111160111635</v>
      </c>
      <c r="B687" t="str">
        <f>"1578729671631109"</f>
        <v>1578729671631109</v>
      </c>
      <c r="C687" t="s">
        <v>37</v>
      </c>
      <c r="D687">
        <v>4.8869680000000004</v>
      </c>
      <c r="E687">
        <v>0.51393659999999997</v>
      </c>
      <c r="F687" t="s">
        <v>42</v>
      </c>
      <c r="G687">
        <v>-243.65649999999999</v>
      </c>
      <c r="H687">
        <v>1.008311</v>
      </c>
      <c r="I687">
        <v>369.10270000000003</v>
      </c>
      <c r="J687">
        <v>-244.27770000000001</v>
      </c>
      <c r="K687">
        <v>1.1042719999999999</v>
      </c>
      <c r="L687">
        <v>369.10669999999999</v>
      </c>
      <c r="M687">
        <v>0.99937989999999999</v>
      </c>
      <c r="N687">
        <v>0</v>
      </c>
      <c r="O687">
        <v>3.2195769999999999E-2</v>
      </c>
      <c r="P687">
        <v>0.99925640000000004</v>
      </c>
      <c r="Q687">
        <v>-1.1817070000000001E-2</v>
      </c>
      <c r="R687">
        <v>3.6703970000000002E-2</v>
      </c>
      <c r="S687">
        <v>2.9981080000000002</v>
      </c>
      <c r="T687">
        <v>-0.30934079999999903</v>
      </c>
      <c r="U687">
        <v>1.8676760000000001E-2</v>
      </c>
      <c r="V687">
        <v>-4.5082909999999898E-3</v>
      </c>
      <c r="W687">
        <v>2.4526729999999998E-3</v>
      </c>
      <c r="X687">
        <v>0.99998679999999995</v>
      </c>
      <c r="Y687">
        <v>2.5665139999999999E-2</v>
      </c>
      <c r="Z687">
        <v>-4.6334439999999996E-3</v>
      </c>
      <c r="AA687">
        <v>0.99965979999999999</v>
      </c>
      <c r="AB687">
        <v>30</v>
      </c>
      <c r="AC687">
        <v>0.62120000000001596</v>
      </c>
      <c r="AD687">
        <v>-9.5960999999999894E-2</v>
      </c>
      <c r="AE687">
        <v>-3.9999999999622499E-3</v>
      </c>
      <c r="AF687">
        <v>2.34406284407182E-2</v>
      </c>
      <c r="AG687">
        <v>-9.5960999999999894E-2</v>
      </c>
      <c r="AH687">
        <v>0.60628193780988704</v>
      </c>
      <c r="AI687">
        <v>98.987436959335795</v>
      </c>
      <c r="AJ687">
        <v>87.785880811269806</v>
      </c>
      <c r="AK687">
        <v>0.61427661903836805</v>
      </c>
    </row>
    <row r="688" spans="1:37" x14ac:dyDescent="0.2">
      <c r="A688" t="str">
        <f>"20200111160111679"</f>
        <v>20200111160111679</v>
      </c>
      <c r="B688" t="str">
        <f>"1578729671671124"</f>
        <v>1578729671671124</v>
      </c>
      <c r="C688" t="s">
        <v>37</v>
      </c>
      <c r="D688">
        <v>4.9839079999999996</v>
      </c>
      <c r="E688">
        <v>0.51415129999999998</v>
      </c>
      <c r="F688" t="s">
        <v>42</v>
      </c>
      <c r="G688">
        <v>-243.3862</v>
      </c>
      <c r="H688">
        <v>1.0120910000000001</v>
      </c>
      <c r="I688">
        <v>369.11079999999998</v>
      </c>
      <c r="J688">
        <v>-243.6876</v>
      </c>
      <c r="K688">
        <v>1.104287</v>
      </c>
      <c r="L688">
        <v>369.12490000000003</v>
      </c>
      <c r="M688">
        <v>0.99939840000000002</v>
      </c>
      <c r="N688">
        <v>0</v>
      </c>
      <c r="O688">
        <v>3.1614120000000002E-2</v>
      </c>
      <c r="P688">
        <v>0.99927160000000004</v>
      </c>
      <c r="Q688">
        <v>-1.355078E-2</v>
      </c>
      <c r="R688">
        <v>3.567642E-2</v>
      </c>
      <c r="S688">
        <v>2.9980470000000001</v>
      </c>
      <c r="T688">
        <v>-0.31014629999999999</v>
      </c>
      <c r="U688">
        <v>1.44043E-2</v>
      </c>
      <c r="V688">
        <v>-4.0638970000000003E-3</v>
      </c>
      <c r="W688">
        <v>7.1221990000000003E-4</v>
      </c>
      <c r="X688">
        <v>0.99999150000000003</v>
      </c>
      <c r="Y688">
        <v>2.6504759999999999E-2</v>
      </c>
      <c r="Z688">
        <v>-4.6288980000000002E-3</v>
      </c>
      <c r="AA688">
        <v>0.99963799999999903</v>
      </c>
      <c r="AB688">
        <v>30</v>
      </c>
      <c r="AC688">
        <v>0.301400000000001</v>
      </c>
      <c r="AD688">
        <v>-9.2195999999999903E-2</v>
      </c>
      <c r="AE688">
        <v>-1.4100000000041701E-2</v>
      </c>
      <c r="AF688">
        <v>2.1605224562636301E-2</v>
      </c>
      <c r="AG688">
        <v>-9.2195999999999903E-2</v>
      </c>
      <c r="AH688">
        <v>0.27511696936601499</v>
      </c>
      <c r="AI688">
        <v>108.47380621617999</v>
      </c>
      <c r="AJ688">
        <v>85.509717836536694</v>
      </c>
      <c r="AK688">
        <v>0.29095744530350598</v>
      </c>
    </row>
    <row r="689" spans="1:37" x14ac:dyDescent="0.2">
      <c r="A689" t="str">
        <f>"20200111160111703"</f>
        <v>20200111160111703</v>
      </c>
      <c r="B689" t="str">
        <f>"1578729671691621"</f>
        <v>1578729671691621</v>
      </c>
      <c r="C689" t="s">
        <v>37</v>
      </c>
      <c r="D689">
        <v>4.9680679999999997</v>
      </c>
      <c r="E689">
        <v>0.51431789999999999</v>
      </c>
      <c r="F689" t="s">
        <v>42</v>
      </c>
      <c r="G689">
        <v>-242.84829999999999</v>
      </c>
      <c r="H689">
        <v>1.0162119999999999</v>
      </c>
      <c r="I689">
        <v>369.12740000000002</v>
      </c>
      <c r="J689">
        <v>-243.38200000000001</v>
      </c>
      <c r="K689">
        <v>1.1042799999999999</v>
      </c>
      <c r="L689">
        <v>369.13420000000002</v>
      </c>
      <c r="M689">
        <v>0.99940790000000002</v>
      </c>
      <c r="N689">
        <v>0</v>
      </c>
      <c r="O689">
        <v>3.131287E-2</v>
      </c>
      <c r="P689">
        <v>0.99929699999999899</v>
      </c>
      <c r="Q689">
        <v>-1.476624E-2</v>
      </c>
      <c r="R689">
        <v>3.4461899999999997E-2</v>
      </c>
      <c r="S689">
        <v>2.9975890000000001</v>
      </c>
      <c r="T689">
        <v>-0.31481900000000002</v>
      </c>
      <c r="U689">
        <v>9.9182130000000004E-3</v>
      </c>
      <c r="V689">
        <v>-3.151236E-3</v>
      </c>
      <c r="W689">
        <v>-5.0695059999999895E-4</v>
      </c>
      <c r="X689">
        <v>0.99999490000000002</v>
      </c>
      <c r="Y689">
        <v>2.768435E-2</v>
      </c>
      <c r="Z689">
        <v>-4.72923599999999E-3</v>
      </c>
      <c r="AA689">
        <v>0.99960550000000004</v>
      </c>
      <c r="AB689">
        <v>30</v>
      </c>
      <c r="AC689">
        <v>0.53370000000001006</v>
      </c>
      <c r="AD689">
        <v>-8.8067999999999799E-2</v>
      </c>
      <c r="AE689">
        <v>-6.7999999999983603E-3</v>
      </c>
      <c r="AF689">
        <v>2.2886941029446401E-2</v>
      </c>
      <c r="AG689">
        <v>-8.8067999999999799E-2</v>
      </c>
      <c r="AH689">
        <v>0.519092871562987</v>
      </c>
      <c r="AI689">
        <v>99.619800975819203</v>
      </c>
      <c r="AJ689">
        <v>87.475449055308502</v>
      </c>
      <c r="AK689">
        <v>0.52700777413733901</v>
      </c>
    </row>
    <row r="690" spans="1:37" x14ac:dyDescent="0.2">
      <c r="A690" t="str">
        <f>"20200111160111728"</f>
        <v>20200111160111728</v>
      </c>
      <c r="B690" t="str">
        <f>"1578729671721876"</f>
        <v>1578729671721876</v>
      </c>
      <c r="C690" t="s">
        <v>37</v>
      </c>
      <c r="D690">
        <v>5.4840679999999997</v>
      </c>
      <c r="E690">
        <v>0.51441619999999999</v>
      </c>
      <c r="F690" t="s">
        <v>42</v>
      </c>
      <c r="G690">
        <v>-242.57939999999999</v>
      </c>
      <c r="H690">
        <v>1.0190939999999999</v>
      </c>
      <c r="I690">
        <v>369.13560000000001</v>
      </c>
      <c r="J690">
        <v>-243.04390000000001</v>
      </c>
      <c r="K690">
        <v>1.1042689999999999</v>
      </c>
      <c r="L690">
        <v>369.14440000000002</v>
      </c>
      <c r="M690">
        <v>0.99941840000000004</v>
      </c>
      <c r="N690">
        <v>0</v>
      </c>
      <c r="O690">
        <v>3.097944E-2</v>
      </c>
      <c r="P690">
        <v>0.99932829999999995</v>
      </c>
      <c r="Q690">
        <v>-1.670669E-2</v>
      </c>
      <c r="R690">
        <v>3.2616899999999997E-2</v>
      </c>
      <c r="S690">
        <v>2.99725299999999</v>
      </c>
      <c r="T690">
        <v>-0.31814290000000001</v>
      </c>
      <c r="U690">
        <v>5.21850599999999E-3</v>
      </c>
      <c r="V690">
        <v>-1.6410929999999999E-3</v>
      </c>
      <c r="W690">
        <v>-2.4521460000000001E-3</v>
      </c>
      <c r="X690">
        <v>0.99999559999999998</v>
      </c>
      <c r="Y690">
        <v>2.8905900000000002E-2</v>
      </c>
      <c r="Z690">
        <v>-4.8088180000000003E-3</v>
      </c>
      <c r="AA690">
        <v>0.99957050000000003</v>
      </c>
      <c r="AB690">
        <v>30</v>
      </c>
      <c r="AC690">
        <v>0.46450000000001501</v>
      </c>
      <c r="AD690">
        <v>-8.5175000000000001E-2</v>
      </c>
      <c r="AE690">
        <v>-8.8000000000079091E-3</v>
      </c>
      <c r="AF690">
        <v>2.2433159061146599E-2</v>
      </c>
      <c r="AG690">
        <v>-8.5175000000000001E-2</v>
      </c>
      <c r="AH690">
        <v>0.44891532433664</v>
      </c>
      <c r="AI690">
        <v>100.730240357117</v>
      </c>
      <c r="AJ690">
        <v>87.139199834895805</v>
      </c>
      <c r="AK690">
        <v>0.457474584730926</v>
      </c>
    </row>
    <row r="691" spans="1:37" x14ac:dyDescent="0.2">
      <c r="A691" t="str">
        <f>"20200111160111748"</f>
        <v>20200111160111748</v>
      </c>
      <c r="B691" t="str">
        <f>"1578729671741397"</f>
        <v>1578729671741397</v>
      </c>
      <c r="C691" t="s">
        <v>37</v>
      </c>
      <c r="D691">
        <v>5.0104350000000002</v>
      </c>
      <c r="E691">
        <v>0.58047190000000004</v>
      </c>
      <c r="F691" t="s">
        <v>42</v>
      </c>
      <c r="G691">
        <v>-242.309</v>
      </c>
      <c r="H691">
        <v>1.025601</v>
      </c>
      <c r="I691">
        <v>369.14389999999997</v>
      </c>
      <c r="J691">
        <v>-242.77209999999999</v>
      </c>
      <c r="K691">
        <v>1.1042459999999901</v>
      </c>
      <c r="L691">
        <v>369.15260000000001</v>
      </c>
      <c r="M691">
        <v>0.9994267</v>
      </c>
      <c r="N691">
        <v>0</v>
      </c>
      <c r="O691">
        <v>3.0710959999999999E-2</v>
      </c>
      <c r="P691">
        <v>0.99936420000000004</v>
      </c>
      <c r="Q691">
        <v>-1.807713E-2</v>
      </c>
      <c r="R691">
        <v>3.0737560000000001E-2</v>
      </c>
      <c r="S691">
        <v>2.9966740000000001</v>
      </c>
      <c r="T691">
        <v>-0.32107720000000001</v>
      </c>
      <c r="U691">
        <v>-8.8500979999999905E-4</v>
      </c>
      <c r="V691" s="1">
        <v>-3.1013190000000002E-5</v>
      </c>
      <c r="W691">
        <v>-3.8265609999999901E-3</v>
      </c>
      <c r="X691">
        <v>0.99999269999999996</v>
      </c>
      <c r="Y691">
        <v>3.0658049999999999E-2</v>
      </c>
      <c r="Z691">
        <v>-4.9188050000000001E-3</v>
      </c>
      <c r="AA691">
        <v>0.99951789999999996</v>
      </c>
      <c r="AB691">
        <v>30</v>
      </c>
      <c r="AC691">
        <v>0.46309999999996798</v>
      </c>
      <c r="AD691">
        <v>-7.8644999999999798E-2</v>
      </c>
      <c r="AE691">
        <v>-8.7000000000330095E-3</v>
      </c>
      <c r="AF691">
        <v>2.2277337637515798E-2</v>
      </c>
      <c r="AG691">
        <v>-7.8644999999999798E-2</v>
      </c>
      <c r="AH691">
        <v>0.44965101911378502</v>
      </c>
      <c r="AI691">
        <v>99.908902004797596</v>
      </c>
      <c r="AJ691">
        <v>87.163679006676105</v>
      </c>
      <c r="AK691">
        <v>0.45702008138295402</v>
      </c>
    </row>
    <row r="692" spans="1:37" x14ac:dyDescent="0.2">
      <c r="A692" t="str">
        <f>"20200111160111769"</f>
        <v>20200111160111769</v>
      </c>
      <c r="B692" t="str">
        <f>"1578729671760916"</f>
        <v>1578729671760916</v>
      </c>
      <c r="C692" t="s">
        <v>37</v>
      </c>
      <c r="D692">
        <v>4.9892399999999997</v>
      </c>
      <c r="E692">
        <v>0.58722390000000002</v>
      </c>
      <c r="F692" t="s">
        <v>38</v>
      </c>
      <c r="G692">
        <v>-230.5301</v>
      </c>
      <c r="H692" s="1">
        <v>-4.514257E-6</v>
      </c>
      <c r="I692">
        <v>366.97019999999998</v>
      </c>
      <c r="J692">
        <v>-242.489</v>
      </c>
      <c r="K692">
        <v>1.1042259999999999</v>
      </c>
      <c r="L692">
        <v>369.16090000000003</v>
      </c>
      <c r="M692">
        <v>0.99943539999999997</v>
      </c>
      <c r="N692">
        <v>0</v>
      </c>
      <c r="O692">
        <v>3.0431929999999999E-2</v>
      </c>
      <c r="P692">
        <v>0.99938479999999996</v>
      </c>
      <c r="Q692">
        <v>-2.0040099999999901E-2</v>
      </c>
      <c r="R692">
        <v>2.878242E-2</v>
      </c>
      <c r="S692">
        <v>3.0135040000000002</v>
      </c>
      <c r="T692">
        <v>-0.27182279999999998</v>
      </c>
      <c r="U692">
        <v>-0.53720089999999998</v>
      </c>
      <c r="V692">
        <v>1.6437310000000001E-3</v>
      </c>
      <c r="W692">
        <v>-5.7938909999999998E-3</v>
      </c>
      <c r="X692">
        <v>0.99998189999999998</v>
      </c>
      <c r="Y692">
        <v>0.20445369999999999</v>
      </c>
      <c r="Z692">
        <v>-1.185074E-2</v>
      </c>
      <c r="AA692">
        <v>0.97880449999999997</v>
      </c>
      <c r="AB692">
        <v>30</v>
      </c>
      <c r="AC692">
        <v>11.9589</v>
      </c>
      <c r="AD692">
        <v>-1.1042305142569999</v>
      </c>
      <c r="AE692">
        <v>-2.1907000000000401</v>
      </c>
      <c r="AF692">
        <v>2.5327616528810499</v>
      </c>
      <c r="AG692">
        <v>-1.1042305142569999</v>
      </c>
      <c r="AH692">
        <v>11.789434688885301</v>
      </c>
      <c r="AI692">
        <v>95.232173901854694</v>
      </c>
      <c r="AJ692">
        <v>77.875256349129202</v>
      </c>
      <c r="AK692">
        <v>12.1088800845666</v>
      </c>
    </row>
    <row r="693" spans="1:37" x14ac:dyDescent="0.2">
      <c r="A693" t="str">
        <f>"20200111160111792"</f>
        <v>20200111160111792</v>
      </c>
      <c r="B693" t="str">
        <f>"1578729671781412"</f>
        <v>1578729671781412</v>
      </c>
      <c r="C693" t="s">
        <v>37</v>
      </c>
      <c r="D693">
        <v>5.0061279999999897</v>
      </c>
      <c r="E693">
        <v>0.58967269999999905</v>
      </c>
      <c r="F693" t="s">
        <v>38</v>
      </c>
      <c r="G693">
        <v>-229.79990000000001</v>
      </c>
      <c r="H693" s="1">
        <v>-8.4513359999999903E-7</v>
      </c>
      <c r="I693">
        <v>366.64359999999999</v>
      </c>
      <c r="J693">
        <v>-242.18709999999999</v>
      </c>
      <c r="K693">
        <v>1.104212</v>
      </c>
      <c r="L693">
        <v>369.16969999999998</v>
      </c>
      <c r="M693">
        <v>0.99944449999999996</v>
      </c>
      <c r="N693">
        <v>0</v>
      </c>
      <c r="O693">
        <v>3.013354E-2</v>
      </c>
      <c r="P693">
        <v>0.99942940000000002</v>
      </c>
      <c r="Q693">
        <v>-2.066956E-2</v>
      </c>
      <c r="R693">
        <v>2.6718490000000001E-2</v>
      </c>
      <c r="S693">
        <v>3.013779</v>
      </c>
      <c r="T693">
        <v>-0.26226349999999998</v>
      </c>
      <c r="U693">
        <v>-0.59786989999999995</v>
      </c>
      <c r="V693">
        <v>3.4089770000000001E-3</v>
      </c>
      <c r="W693">
        <v>-6.4278009999999899E-3</v>
      </c>
      <c r="X693">
        <v>0.99997349999999996</v>
      </c>
      <c r="Y693">
        <v>0.22313669999999999</v>
      </c>
      <c r="Z693">
        <v>-1.219163E-2</v>
      </c>
      <c r="AA693">
        <v>0.97471090000000005</v>
      </c>
      <c r="AB693">
        <v>30</v>
      </c>
      <c r="AC693">
        <v>12.387199999999901</v>
      </c>
      <c r="AD693">
        <v>-1.1042128451336</v>
      </c>
      <c r="AE693">
        <v>-2.52609999999998</v>
      </c>
      <c r="AF693">
        <v>2.8763174001661098</v>
      </c>
      <c r="AG693">
        <v>-1.1042128451336</v>
      </c>
      <c r="AH693">
        <v>12.212278887877201</v>
      </c>
      <c r="AI693">
        <v>95.029648297281298</v>
      </c>
      <c r="AJ693">
        <v>76.746855357710004</v>
      </c>
      <c r="AK693">
        <v>12.594929274479799</v>
      </c>
    </row>
    <row r="694" spans="1:37" x14ac:dyDescent="0.2">
      <c r="A694" t="str">
        <f>"20200111160111814"</f>
        <v>20200111160111814</v>
      </c>
      <c r="B694" t="str">
        <f>"1578729671811310"</f>
        <v>1578729671811310</v>
      </c>
      <c r="C694" t="s">
        <v>37</v>
      </c>
      <c r="D694">
        <v>4.9781969999999998</v>
      </c>
      <c r="E694">
        <v>0.59132549999999995</v>
      </c>
      <c r="F694" t="s">
        <v>38</v>
      </c>
      <c r="G694">
        <v>-229.48910000000001</v>
      </c>
      <c r="H694" s="1">
        <v>-9.7804800000000005E-7</v>
      </c>
      <c r="I694">
        <v>366.54160000000002</v>
      </c>
      <c r="J694">
        <v>-241.89400000000001</v>
      </c>
      <c r="K694">
        <v>1.104209</v>
      </c>
      <c r="L694">
        <v>369.1782</v>
      </c>
      <c r="M694">
        <v>0.99945309999999898</v>
      </c>
      <c r="N694">
        <v>0</v>
      </c>
      <c r="O694">
        <v>2.984384E-2</v>
      </c>
      <c r="P694">
        <v>0.999498</v>
      </c>
      <c r="Q694">
        <v>-2.057633E-2</v>
      </c>
      <c r="R694">
        <v>2.4093529999999998E-2</v>
      </c>
      <c r="S694">
        <v>3.0129700000000001</v>
      </c>
      <c r="T694">
        <v>-0.2620054</v>
      </c>
      <c r="U694">
        <v>-0.62359619999999905</v>
      </c>
      <c r="V694">
        <v>5.7450080000000002E-3</v>
      </c>
      <c r="W694">
        <v>-6.3392650000000002E-3</v>
      </c>
      <c r="X694">
        <v>0.99996339999999995</v>
      </c>
      <c r="Y694">
        <v>0.230867299999999</v>
      </c>
      <c r="Z694">
        <v>-1.2479860000000001E-2</v>
      </c>
      <c r="AA694">
        <v>0.97290519999999903</v>
      </c>
      <c r="AB694">
        <v>30</v>
      </c>
      <c r="AC694">
        <v>12.4048999999999</v>
      </c>
      <c r="AD694">
        <v>-1.1042099780479999</v>
      </c>
      <c r="AE694">
        <v>-2.6365999999999801</v>
      </c>
      <c r="AF694">
        <v>2.98305813195979</v>
      </c>
      <c r="AG694">
        <v>-1.1042099780479999</v>
      </c>
      <c r="AH694">
        <v>12.2279786099242</v>
      </c>
      <c r="AI694">
        <v>95.013672384246107</v>
      </c>
      <c r="AJ694">
        <v>76.290277927674396</v>
      </c>
      <c r="AK694">
        <v>12.6349268450212</v>
      </c>
    </row>
    <row r="695" spans="1:37" x14ac:dyDescent="0.2">
      <c r="A695" t="str">
        <f>"20200111160111836"</f>
        <v>20200111160111836</v>
      </c>
      <c r="B695" t="str">
        <f>"1578729671831807"</f>
        <v>1578729671831807</v>
      </c>
      <c r="C695" t="s">
        <v>37</v>
      </c>
      <c r="D695">
        <v>4.9799629999999997</v>
      </c>
      <c r="E695">
        <v>0.59203459999999997</v>
      </c>
      <c r="F695" t="s">
        <v>38</v>
      </c>
      <c r="G695">
        <v>-228.99340000000001</v>
      </c>
      <c r="H695" s="1">
        <v>-1.1804219999999999E-6</v>
      </c>
      <c r="I695">
        <v>366.41500000000002</v>
      </c>
      <c r="J695">
        <v>-241.5949</v>
      </c>
      <c r="K695">
        <v>1.1042110000000001</v>
      </c>
      <c r="L695">
        <v>369.18680000000001</v>
      </c>
      <c r="M695">
        <v>0.99946219999999997</v>
      </c>
      <c r="N695">
        <v>0</v>
      </c>
      <c r="O695">
        <v>2.954056E-2</v>
      </c>
      <c r="P695">
        <v>0.99958939999999996</v>
      </c>
      <c r="Q695">
        <v>-1.9932149999999999E-2</v>
      </c>
      <c r="R695">
        <v>2.0584749999999999E-2</v>
      </c>
      <c r="S695">
        <v>3.0117340000000001</v>
      </c>
      <c r="T695">
        <v>-0.25778319999999999</v>
      </c>
      <c r="U695">
        <v>-0.6450806</v>
      </c>
      <c r="V695">
        <v>8.9521540000000004E-3</v>
      </c>
      <c r="W695">
        <v>-5.7004630000000002E-3</v>
      </c>
      <c r="X695">
        <v>0.99994369999999999</v>
      </c>
      <c r="Y695">
        <v>0.23730129999999999</v>
      </c>
      <c r="Z695">
        <v>-1.252169E-2</v>
      </c>
      <c r="AA695">
        <v>0.97135539999999998</v>
      </c>
      <c r="AB695">
        <v>30</v>
      </c>
      <c r="AC695">
        <v>12.6014999999999</v>
      </c>
      <c r="AD695">
        <v>-1.104212180422</v>
      </c>
      <c r="AE695">
        <v>-2.7717999999999798</v>
      </c>
      <c r="AF695">
        <v>3.1200324429879198</v>
      </c>
      <c r="AG695">
        <v>-1.104212180422</v>
      </c>
      <c r="AH695">
        <v>12.423125066417301</v>
      </c>
      <c r="AI695">
        <v>94.927084379122903</v>
      </c>
      <c r="AJ695">
        <v>75.901912730922803</v>
      </c>
      <c r="AK695">
        <v>12.8564350968896</v>
      </c>
    </row>
    <row r="696" spans="1:37" x14ac:dyDescent="0.2">
      <c r="A696" t="str">
        <f>"20200111160111859"</f>
        <v>20200111160111859</v>
      </c>
      <c r="B696" t="str">
        <f>"1578729671851326"</f>
        <v>1578729671851326</v>
      </c>
      <c r="C696" t="s">
        <v>37</v>
      </c>
      <c r="D696">
        <v>4.9793260000000004</v>
      </c>
      <c r="E696">
        <v>0.59244390000000002</v>
      </c>
      <c r="F696" t="s">
        <v>38</v>
      </c>
      <c r="G696">
        <v>-228.50550000000001</v>
      </c>
      <c r="H696" s="1">
        <v>-1.373929E-6</v>
      </c>
      <c r="I696">
        <v>366.31180000000001</v>
      </c>
      <c r="J696">
        <v>-241.29849999999999</v>
      </c>
      <c r="K696">
        <v>1.104204</v>
      </c>
      <c r="L696">
        <v>369.1952</v>
      </c>
      <c r="M696">
        <v>0.99947180000000002</v>
      </c>
      <c r="N696">
        <v>0</v>
      </c>
      <c r="O696">
        <v>2.921518E-2</v>
      </c>
      <c r="P696">
        <v>0.99965939999999998</v>
      </c>
      <c r="Q696">
        <v>-2.0046749999999999E-2</v>
      </c>
      <c r="R696">
        <v>1.671839E-2</v>
      </c>
      <c r="S696">
        <v>3.0097499999999999</v>
      </c>
      <c r="T696">
        <v>-0.2538994</v>
      </c>
      <c r="U696">
        <v>-0.66107179999999999</v>
      </c>
      <c r="V696">
        <v>1.2493219999999999E-2</v>
      </c>
      <c r="W696">
        <v>-5.8212559999999899E-3</v>
      </c>
      <c r="X696">
        <v>0.99990499999999904</v>
      </c>
      <c r="Y696">
        <v>0.2420551</v>
      </c>
      <c r="Z696">
        <v>-1.2505509999999999E-2</v>
      </c>
      <c r="AA696">
        <v>0.97018189999999904</v>
      </c>
      <c r="AB696">
        <v>30</v>
      </c>
      <c r="AC696">
        <v>12.7929999999999</v>
      </c>
      <c r="AD696">
        <v>-1.1042053739290001</v>
      </c>
      <c r="AE696">
        <v>-2.8833999999999902</v>
      </c>
      <c r="AF696">
        <v>3.2330350076443</v>
      </c>
      <c r="AG696">
        <v>-1.1042053739290001</v>
      </c>
      <c r="AH696">
        <v>12.613860644872499</v>
      </c>
      <c r="AI696">
        <v>94.846971855494203</v>
      </c>
      <c r="AJ696">
        <v>75.624096092818604</v>
      </c>
      <c r="AK696">
        <v>13.0683306216491</v>
      </c>
    </row>
    <row r="697" spans="1:37" x14ac:dyDescent="0.2">
      <c r="A697" t="str">
        <f>"20200111160111882"</f>
        <v>20200111160111882</v>
      </c>
      <c r="B697" t="str">
        <f>"1578729671871822"</f>
        <v>1578729671871822</v>
      </c>
      <c r="C697" t="s">
        <v>37</v>
      </c>
      <c r="D697">
        <v>4.9750259999999997</v>
      </c>
      <c r="E697">
        <v>0.59242700000000004</v>
      </c>
      <c r="F697" t="s">
        <v>38</v>
      </c>
      <c r="G697">
        <v>-228.12790000000001</v>
      </c>
      <c r="H697" s="1">
        <v>-1.523283E-6</v>
      </c>
      <c r="I697">
        <v>366.23340000000002</v>
      </c>
      <c r="J697">
        <v>-241.00460000000001</v>
      </c>
      <c r="K697">
        <v>1.1041780000000001</v>
      </c>
      <c r="L697">
        <v>369.20339999999999</v>
      </c>
      <c r="M697">
        <v>0.9994828</v>
      </c>
      <c r="N697">
        <v>0</v>
      </c>
      <c r="O697">
        <v>2.8837209999999999E-2</v>
      </c>
      <c r="P697">
        <v>0.99968989999999902</v>
      </c>
      <c r="Q697">
        <v>-2.1133329999999999E-2</v>
      </c>
      <c r="R697">
        <v>1.3172120000000001E-2</v>
      </c>
      <c r="S697">
        <v>3.0072939999999999</v>
      </c>
      <c r="T697">
        <v>-0.25212629999999903</v>
      </c>
      <c r="U697">
        <v>-0.67626949999999997</v>
      </c>
      <c r="V697">
        <v>1.5659510000000001E-2</v>
      </c>
      <c r="W697">
        <v>-6.9148259999999998E-3</v>
      </c>
      <c r="X697">
        <v>0.99985349999999995</v>
      </c>
      <c r="Y697">
        <v>0.24652260000000001</v>
      </c>
      <c r="Z697">
        <v>-1.2575060000000001E-2</v>
      </c>
      <c r="AA697">
        <v>0.96905549999999996</v>
      </c>
      <c r="AB697">
        <v>30</v>
      </c>
      <c r="AC697">
        <v>12.8767</v>
      </c>
      <c r="AD697">
        <v>-1.1041795232830001</v>
      </c>
      <c r="AE697">
        <v>-2.96999999999997</v>
      </c>
      <c r="AF697">
        <v>3.3169722732115199</v>
      </c>
      <c r="AG697">
        <v>-1.1041795232830001</v>
      </c>
      <c r="AH697">
        <v>12.697041930052499</v>
      </c>
      <c r="AI697">
        <v>94.809526846145801</v>
      </c>
      <c r="AJ697">
        <v>75.359268314559898</v>
      </c>
      <c r="AK697">
        <v>13.1695250960087</v>
      </c>
    </row>
    <row r="698" spans="1:37" x14ac:dyDescent="0.2">
      <c r="A698" t="str">
        <f>"20200111160111903"</f>
        <v>20200111160111903</v>
      </c>
      <c r="B698" t="str">
        <f>"1578729671891889"</f>
        <v>1578729671891889</v>
      </c>
      <c r="C698" t="s">
        <v>37</v>
      </c>
      <c r="D698">
        <v>4.9826249999999996</v>
      </c>
      <c r="E698">
        <v>0.59247359999999905</v>
      </c>
      <c r="F698" t="s">
        <v>38</v>
      </c>
      <c r="G698">
        <v>-227.8819</v>
      </c>
      <c r="H698" s="1">
        <v>-1.6152199999999999E-6</v>
      </c>
      <c r="I698">
        <v>366.20249999999999</v>
      </c>
      <c r="J698">
        <v>-240.71019999999999</v>
      </c>
      <c r="K698">
        <v>1.104117</v>
      </c>
      <c r="L698">
        <v>369.21140000000003</v>
      </c>
      <c r="M698">
        <v>0.99949659999999996</v>
      </c>
      <c r="N698">
        <v>0</v>
      </c>
      <c r="O698">
        <v>2.8357919999999998E-2</v>
      </c>
      <c r="P698">
        <v>0.99970749999999997</v>
      </c>
      <c r="Q698">
        <v>-2.204093E-2</v>
      </c>
      <c r="R698">
        <v>9.9685880000000004E-3</v>
      </c>
      <c r="S698">
        <v>3.004623</v>
      </c>
      <c r="T698">
        <v>-0.2528145</v>
      </c>
      <c r="U698">
        <v>-0.68707280000000004</v>
      </c>
      <c r="V698">
        <v>1.8380810000000001E-2</v>
      </c>
      <c r="W698">
        <v>-7.8308200000000005E-3</v>
      </c>
      <c r="X698">
        <v>0.99980040000000003</v>
      </c>
      <c r="Y698">
        <v>0.2495405</v>
      </c>
      <c r="Z698">
        <v>-1.2700599999999999E-2</v>
      </c>
      <c r="AA698">
        <v>0.96828110000000001</v>
      </c>
      <c r="AB698">
        <v>30</v>
      </c>
      <c r="AC698">
        <v>12.828299999999899</v>
      </c>
      <c r="AD698">
        <v>-1.10411861522</v>
      </c>
      <c r="AE698">
        <v>-3.0089000000000401</v>
      </c>
      <c r="AF698">
        <v>3.34800213383076</v>
      </c>
      <c r="AG698">
        <v>-1.10411861522</v>
      </c>
      <c r="AH698">
        <v>12.648989177557301</v>
      </c>
      <c r="AI698">
        <v>94.823376696386703</v>
      </c>
      <c r="AJ698">
        <v>75.174619393078004</v>
      </c>
      <c r="AK698">
        <v>13.131074724430301</v>
      </c>
    </row>
    <row r="699" spans="1:37" x14ac:dyDescent="0.2">
      <c r="A699" t="str">
        <f>"20200111160111930"</f>
        <v>20200111160111930</v>
      </c>
      <c r="B699" t="str">
        <f>"1578729671921169"</f>
        <v>1578729671921169</v>
      </c>
      <c r="C699" t="s">
        <v>37</v>
      </c>
      <c r="D699">
        <v>4.9999839999999898</v>
      </c>
      <c r="E699">
        <v>0.59241379999999999</v>
      </c>
      <c r="F699" t="s">
        <v>38</v>
      </c>
      <c r="G699">
        <v>-227.69069999999999</v>
      </c>
      <c r="H699" s="1">
        <v>-1.684365E-6</v>
      </c>
      <c r="I699">
        <v>366.18709999999999</v>
      </c>
      <c r="J699">
        <v>-240.37039999999999</v>
      </c>
      <c r="K699">
        <v>1.103996</v>
      </c>
      <c r="L699">
        <v>369.22030000000001</v>
      </c>
      <c r="M699">
        <v>0.9995174</v>
      </c>
      <c r="N699">
        <v>0</v>
      </c>
      <c r="O699">
        <v>2.7614960000000001E-2</v>
      </c>
      <c r="P699">
        <v>0.99972479999999997</v>
      </c>
      <c r="Q699">
        <v>-2.2227029999999998E-2</v>
      </c>
      <c r="R699">
        <v>7.5377980000000001E-3</v>
      </c>
      <c r="S699">
        <v>3.0022129999999998</v>
      </c>
      <c r="T699">
        <v>-0.25460090000000002</v>
      </c>
      <c r="U699">
        <v>-0.69735719999999901</v>
      </c>
      <c r="V699">
        <v>2.0065320000000001E-2</v>
      </c>
      <c r="W699">
        <v>-8.0279819999999995E-3</v>
      </c>
      <c r="X699">
        <v>0.9997665</v>
      </c>
      <c r="Y699">
        <v>0.25211839999999902</v>
      </c>
      <c r="Z699">
        <v>-1.284073E-2</v>
      </c>
      <c r="AA699">
        <v>0.96761119999999901</v>
      </c>
      <c r="AB699">
        <v>30</v>
      </c>
      <c r="AC699">
        <v>12.679699999999899</v>
      </c>
      <c r="AD699">
        <v>-1.1039976843649999</v>
      </c>
      <c r="AE699">
        <v>-3.0332000000000199</v>
      </c>
      <c r="AF699">
        <v>3.3581481629969598</v>
      </c>
      <c r="AG699">
        <v>-1.1039976843649999</v>
      </c>
      <c r="AH699">
        <v>12.501451258862399</v>
      </c>
      <c r="AI699">
        <v>94.874740278458503</v>
      </c>
      <c r="AJ699">
        <v>74.964110604002997</v>
      </c>
      <c r="AK699">
        <v>12.9916224371491</v>
      </c>
    </row>
    <row r="700" spans="1:37" x14ac:dyDescent="0.2">
      <c r="A700" t="str">
        <f>"20200111160111948"</f>
        <v>20200111160111948</v>
      </c>
      <c r="B700" t="str">
        <f>"1578729671941664"</f>
        <v>1578729671941664</v>
      </c>
      <c r="C700" t="s">
        <v>37</v>
      </c>
      <c r="D700">
        <v>5.0077970000000001</v>
      </c>
      <c r="E700">
        <v>0.59233089999999999</v>
      </c>
      <c r="F700" t="s">
        <v>38</v>
      </c>
      <c r="G700">
        <v>-227.32830000000001</v>
      </c>
      <c r="H700" s="1">
        <v>-1.815492E-6</v>
      </c>
      <c r="I700">
        <v>366.15789999999998</v>
      </c>
      <c r="J700">
        <v>-240.1139</v>
      </c>
      <c r="K700">
        <v>1.1038569999999901</v>
      </c>
      <c r="L700">
        <v>369.22660000000002</v>
      </c>
      <c r="M700">
        <v>0.9995385</v>
      </c>
      <c r="N700">
        <v>0</v>
      </c>
      <c r="O700">
        <v>2.6843809999999999E-2</v>
      </c>
      <c r="P700">
        <v>0.99974259999999904</v>
      </c>
      <c r="Q700">
        <v>-2.211894E-2</v>
      </c>
      <c r="R700">
        <v>5.0744249999999996E-3</v>
      </c>
      <c r="S700">
        <v>3.0004879999999998</v>
      </c>
      <c r="T700">
        <v>-0.2539862</v>
      </c>
      <c r="U700">
        <v>-0.70452879999999996</v>
      </c>
      <c r="V700">
        <v>2.1754720000000002E-2</v>
      </c>
      <c r="W700">
        <v>-7.9312959999999991E-3</v>
      </c>
      <c r="X700">
        <v>0.99973189999999901</v>
      </c>
      <c r="Y700">
        <v>0.25368879999999999</v>
      </c>
      <c r="Z700">
        <v>-1.281467E-2</v>
      </c>
      <c r="AA700">
        <v>0.96720099999999998</v>
      </c>
      <c r="AB700">
        <v>30</v>
      </c>
      <c r="AC700">
        <v>12.785599999999899</v>
      </c>
      <c r="AD700">
        <v>-1.1038588154919999</v>
      </c>
      <c r="AE700">
        <v>-3.06870000000003</v>
      </c>
      <c r="AF700">
        <v>3.3869717533019301</v>
      </c>
      <c r="AG700">
        <v>-1.1038588154919999</v>
      </c>
      <c r="AH700">
        <v>12.609735310218401</v>
      </c>
      <c r="AI700">
        <v>94.832498524659201</v>
      </c>
      <c r="AJ700">
        <v>74.965228348651493</v>
      </c>
      <c r="AK700">
        <v>13.103263201812499</v>
      </c>
    </row>
    <row r="701" spans="1:37" x14ac:dyDescent="0.2">
      <c r="A701" t="str">
        <f>"20200111160111970"</f>
        <v>20200111160111970</v>
      </c>
      <c r="B701" t="str">
        <f>"1578729671961184"</f>
        <v>1578729671961184</v>
      </c>
      <c r="C701" t="s">
        <v>37</v>
      </c>
      <c r="D701">
        <v>4.9181280000000003</v>
      </c>
      <c r="E701">
        <v>0.59222949999999996</v>
      </c>
      <c r="F701" t="s">
        <v>38</v>
      </c>
      <c r="G701">
        <v>-226.97290000000001</v>
      </c>
      <c r="H701" s="1">
        <v>-1.9495140000000001E-6</v>
      </c>
      <c r="I701">
        <v>366.1087</v>
      </c>
      <c r="J701">
        <v>-239.8297</v>
      </c>
      <c r="K701">
        <v>1.1036779999999999</v>
      </c>
      <c r="L701">
        <v>369.23309999999998</v>
      </c>
      <c r="M701">
        <v>0.99956579999999995</v>
      </c>
      <c r="N701">
        <v>0</v>
      </c>
      <c r="O701">
        <v>2.5804839999999999E-2</v>
      </c>
      <c r="P701">
        <v>0.99974599999999902</v>
      </c>
      <c r="Q701">
        <v>-2.2321959999999998E-2</v>
      </c>
      <c r="R701">
        <v>3.138774E-3</v>
      </c>
      <c r="S701">
        <v>2.9987949999999999</v>
      </c>
      <c r="T701">
        <v>-0.25190089999999998</v>
      </c>
      <c r="U701">
        <v>-0.71148679999999997</v>
      </c>
      <c r="V701">
        <v>2.264712E-2</v>
      </c>
      <c r="W701">
        <v>-8.1455829999999996E-3</v>
      </c>
      <c r="X701">
        <v>0.99971030000000005</v>
      </c>
      <c r="Y701">
        <v>0.25494509999999998</v>
      </c>
      <c r="Z701">
        <v>-1.2679370000000001E-2</v>
      </c>
      <c r="AA701">
        <v>0.96687239999999997</v>
      </c>
      <c r="AB701">
        <v>30</v>
      </c>
      <c r="AC701">
        <v>12.8567999999999</v>
      </c>
      <c r="AD701">
        <v>-1.1036799495139999</v>
      </c>
      <c r="AE701">
        <v>-3.1243999999999801</v>
      </c>
      <c r="AF701">
        <v>3.4312847836924698</v>
      </c>
      <c r="AG701">
        <v>-1.1036799495139999</v>
      </c>
      <c r="AH701">
        <v>12.6836288736919</v>
      </c>
      <c r="AI701">
        <v>94.801385111524993</v>
      </c>
      <c r="AJ701">
        <v>74.862198181649703</v>
      </c>
      <c r="AK701">
        <v>13.1858358136036</v>
      </c>
    </row>
    <row r="702" spans="1:37" x14ac:dyDescent="0.2">
      <c r="A702" t="str">
        <f>"20200111160111993"</f>
        <v>20200111160111993</v>
      </c>
      <c r="B702" t="str">
        <f>"1578729671981680"</f>
        <v>1578729671981680</v>
      </c>
      <c r="C702" t="s">
        <v>37</v>
      </c>
      <c r="D702">
        <v>4.9548489999999896</v>
      </c>
      <c r="E702">
        <v>0.59211400000000003</v>
      </c>
      <c r="F702" t="s">
        <v>38</v>
      </c>
      <c r="G702">
        <v>-226.7302</v>
      </c>
      <c r="H702" s="1">
        <v>-2.0343620000000002E-6</v>
      </c>
      <c r="I702">
        <v>366.1003</v>
      </c>
      <c r="J702">
        <v>-239.53380000000001</v>
      </c>
      <c r="K702">
        <v>1.1034660000000001</v>
      </c>
      <c r="L702">
        <v>369.23919999999998</v>
      </c>
      <c r="M702">
        <v>0.99960110000000002</v>
      </c>
      <c r="N702">
        <v>0</v>
      </c>
      <c r="O702">
        <v>2.4402449999999999E-2</v>
      </c>
      <c r="P702">
        <v>0.99973829999999997</v>
      </c>
      <c r="Q702">
        <v>-2.2873910000000001E-2</v>
      </c>
      <c r="R702">
        <v>5.5861940000000003E-4</v>
      </c>
      <c r="S702">
        <v>2.9973909999999999</v>
      </c>
      <c r="T702">
        <v>-0.25253759999999997</v>
      </c>
      <c r="U702">
        <v>-0.7168274</v>
      </c>
      <c r="V702">
        <v>2.3818499999999999E-2</v>
      </c>
      <c r="W702">
        <v>-8.7121830000000001E-3</v>
      </c>
      <c r="X702">
        <v>0.99967830000000002</v>
      </c>
      <c r="Y702">
        <v>0.25531910000000002</v>
      </c>
      <c r="Z702">
        <v>-1.2613559999999999E-2</v>
      </c>
      <c r="AA702">
        <v>0.96677459999999904</v>
      </c>
      <c r="AB702">
        <v>29</v>
      </c>
      <c r="AC702">
        <v>12.803599999999999</v>
      </c>
      <c r="AD702">
        <v>-1.103468034362</v>
      </c>
      <c r="AE702">
        <v>-3.1388999999999698</v>
      </c>
      <c r="AF702">
        <v>3.4264282662690899</v>
      </c>
      <c r="AG702">
        <v>-1.103468034362</v>
      </c>
      <c r="AH702">
        <v>12.6346558982722</v>
      </c>
      <c r="AI702">
        <v>94.818183220358193</v>
      </c>
      <c r="AJ702">
        <v>74.826742903651393</v>
      </c>
      <c r="AK702">
        <v>13.1374496015966</v>
      </c>
    </row>
    <row r="703" spans="1:37" x14ac:dyDescent="0.2">
      <c r="A703" t="str">
        <f>"20200111160112015"</f>
        <v>20200111160112015</v>
      </c>
      <c r="B703" t="str">
        <f>"1578729672011591"</f>
        <v>1578729672011591</v>
      </c>
      <c r="C703" t="s">
        <v>37</v>
      </c>
      <c r="D703">
        <v>4.918787</v>
      </c>
      <c r="E703">
        <v>0.59192679999999998</v>
      </c>
      <c r="F703" t="s">
        <v>38</v>
      </c>
      <c r="G703">
        <v>-226.56899999999999</v>
      </c>
      <c r="H703" s="1">
        <v>-2.0868399999999999E-6</v>
      </c>
      <c r="I703">
        <v>366.10919999999999</v>
      </c>
      <c r="J703">
        <v>-239.23560000000001</v>
      </c>
      <c r="K703">
        <v>1.10324</v>
      </c>
      <c r="L703">
        <v>369.24470000000002</v>
      </c>
      <c r="M703">
        <v>0.99964149999999996</v>
      </c>
      <c r="N703">
        <v>0</v>
      </c>
      <c r="O703">
        <v>2.2684989999999999E-2</v>
      </c>
      <c r="P703">
        <v>0.99972919999999998</v>
      </c>
      <c r="Q703">
        <v>-2.311384E-2</v>
      </c>
      <c r="R703">
        <v>-2.7728319999999998E-3</v>
      </c>
      <c r="S703">
        <v>2.9953609999999999</v>
      </c>
      <c r="T703">
        <v>-0.25494159999999999</v>
      </c>
      <c r="U703">
        <v>-0.72314449999999997</v>
      </c>
      <c r="V703">
        <v>2.5426109999999998E-2</v>
      </c>
      <c r="W703">
        <v>-8.9681819999999999E-3</v>
      </c>
      <c r="X703">
        <v>0.99963649999999904</v>
      </c>
      <c r="Y703">
        <v>0.25572</v>
      </c>
      <c r="Z703">
        <v>-1.2611259999999999E-2</v>
      </c>
      <c r="AA703">
        <v>0.96666859999999999</v>
      </c>
      <c r="AB703">
        <v>29</v>
      </c>
      <c r="AC703">
        <v>12.666599999999899</v>
      </c>
      <c r="AD703">
        <v>-1.1032420868399999</v>
      </c>
      <c r="AE703">
        <v>-3.1355000000000302</v>
      </c>
      <c r="AF703">
        <v>3.39777593724649</v>
      </c>
      <c r="AG703">
        <v>-1.1032420868399999</v>
      </c>
      <c r="AH703">
        <v>12.502831785283099</v>
      </c>
      <c r="AI703">
        <v>94.867053597991898</v>
      </c>
      <c r="AJ703">
        <v>74.7964505937979</v>
      </c>
      <c r="AK703">
        <v>13.003185266425801</v>
      </c>
    </row>
    <row r="704" spans="1:37" x14ac:dyDescent="0.2">
      <c r="A704" t="str">
        <f>"20200111160112037"</f>
        <v>20200111160112037</v>
      </c>
      <c r="B704" t="str">
        <f>"1578729672031110"</f>
        <v>1578729672031110</v>
      </c>
      <c r="C704" t="s">
        <v>37</v>
      </c>
      <c r="D704">
        <v>4.9914559999999897</v>
      </c>
      <c r="E704">
        <v>0.59174789999999999</v>
      </c>
      <c r="F704" t="s">
        <v>38</v>
      </c>
      <c r="G704">
        <v>-226.477</v>
      </c>
      <c r="H704" s="1">
        <v>-2.1130119999999998E-6</v>
      </c>
      <c r="I704">
        <v>366.1284</v>
      </c>
      <c r="J704">
        <v>-238.94030000000001</v>
      </c>
      <c r="K704">
        <v>1.10301</v>
      </c>
      <c r="L704">
        <v>369.24919999999997</v>
      </c>
      <c r="M704">
        <v>0.99968500000000005</v>
      </c>
      <c r="N704">
        <v>0</v>
      </c>
      <c r="O704">
        <v>2.067689E-2</v>
      </c>
      <c r="P704">
        <v>0.99970840000000005</v>
      </c>
      <c r="Q704">
        <v>-2.314101E-2</v>
      </c>
      <c r="R704">
        <v>-6.9390199999999997E-3</v>
      </c>
      <c r="S704">
        <v>2.9927830000000002</v>
      </c>
      <c r="T704">
        <v>-0.25878659999999998</v>
      </c>
      <c r="U704">
        <v>-0.73095699999999997</v>
      </c>
      <c r="V704">
        <v>2.757853E-2</v>
      </c>
      <c r="W704">
        <v>-9.0144140000000001E-3</v>
      </c>
      <c r="X704">
        <v>0.999579</v>
      </c>
      <c r="Y704">
        <v>0.25632660000000002</v>
      </c>
      <c r="Z704">
        <v>-1.2662390000000001E-2</v>
      </c>
      <c r="AA704">
        <v>0.96650729999999996</v>
      </c>
      <c r="AB704">
        <v>29</v>
      </c>
      <c r="AC704">
        <v>12.4633</v>
      </c>
      <c r="AD704">
        <v>-1.1030121130120001</v>
      </c>
      <c r="AE704">
        <v>-3.1207999999999698</v>
      </c>
      <c r="AF704">
        <v>3.3531474025589598</v>
      </c>
      <c r="AG704">
        <v>-1.1030121130120001</v>
      </c>
      <c r="AH704">
        <v>12.3054057013224</v>
      </c>
      <c r="AI704">
        <v>94.942816193964106</v>
      </c>
      <c r="AJ704">
        <v>74.757330151840094</v>
      </c>
      <c r="AK704">
        <v>12.801689056482999</v>
      </c>
    </row>
    <row r="705" spans="1:37" x14ac:dyDescent="0.2">
      <c r="A705" t="str">
        <f>"20200111160112060"</f>
        <v>20200111160112060</v>
      </c>
      <c r="B705" t="str">
        <f>"1578729672051606"</f>
        <v>1578729672051606</v>
      </c>
      <c r="C705" t="s">
        <v>37</v>
      </c>
      <c r="D705">
        <v>4.967066</v>
      </c>
      <c r="E705">
        <v>0.59157649999999995</v>
      </c>
      <c r="F705" t="s">
        <v>38</v>
      </c>
      <c r="G705">
        <v>-226.35890000000001</v>
      </c>
      <c r="H705" s="1">
        <v>-2.1630009999999899E-6</v>
      </c>
      <c r="I705">
        <v>366.12880000000001</v>
      </c>
      <c r="J705">
        <v>-238.6514</v>
      </c>
      <c r="K705">
        <v>1.102784</v>
      </c>
      <c r="L705">
        <v>369.25290000000001</v>
      </c>
      <c r="M705">
        <v>0.99972919999999998</v>
      </c>
      <c r="N705">
        <v>0</v>
      </c>
      <c r="O705">
        <v>1.8408069999999999E-2</v>
      </c>
      <c r="P705">
        <v>0.999646699999999</v>
      </c>
      <c r="Q705">
        <v>-2.3755399999999999E-2</v>
      </c>
      <c r="R705">
        <v>-1.193466E-2</v>
      </c>
      <c r="S705">
        <v>2.9896699999999998</v>
      </c>
      <c r="T705">
        <v>-0.26210250000000002</v>
      </c>
      <c r="U705">
        <v>-0.74148559999999997</v>
      </c>
      <c r="V705">
        <v>3.029658E-2</v>
      </c>
      <c r="W705">
        <v>-9.6522669999999904E-3</v>
      </c>
      <c r="X705">
        <v>0.99949440000000001</v>
      </c>
      <c r="Y705">
        <v>0.25755210000000001</v>
      </c>
      <c r="Z705">
        <v>-1.2688710000000001E-2</v>
      </c>
      <c r="AA705">
        <v>0.96618110000000001</v>
      </c>
      <c r="AB705">
        <v>29</v>
      </c>
      <c r="AC705">
        <v>12.292499999999899</v>
      </c>
      <c r="AD705">
        <v>-1.1027861630010001</v>
      </c>
      <c r="AE705">
        <v>-3.1240999999999901</v>
      </c>
      <c r="AF705">
        <v>3.32473976767823</v>
      </c>
      <c r="AG705">
        <v>-1.1027861630010001</v>
      </c>
      <c r="AH705">
        <v>12.1411158600208</v>
      </c>
      <c r="AI705">
        <v>95.006635323162996</v>
      </c>
      <c r="AJ705">
        <v>74.685484401031999</v>
      </c>
      <c r="AK705">
        <v>12.636325659404999</v>
      </c>
    </row>
    <row r="706" spans="1:37" x14ac:dyDescent="0.2">
      <c r="A706" t="str">
        <f>"20200111160112082"</f>
        <v>20200111160112082</v>
      </c>
      <c r="B706" t="str">
        <f>"1578729672071126"</f>
        <v>1578729672071126</v>
      </c>
      <c r="C706" t="s">
        <v>37</v>
      </c>
      <c r="D706">
        <v>4.9731889999999996</v>
      </c>
      <c r="E706">
        <v>0.59139659999999905</v>
      </c>
      <c r="F706" t="s">
        <v>38</v>
      </c>
      <c r="G706">
        <v>-226.3673</v>
      </c>
      <c r="H706" s="1">
        <v>-2.1554379999999999E-6</v>
      </c>
      <c r="I706">
        <v>366.15100000000001</v>
      </c>
      <c r="J706">
        <v>-238.35650000000001</v>
      </c>
      <c r="K706">
        <v>1.1025450000000001</v>
      </c>
      <c r="L706">
        <v>369.25560000000002</v>
      </c>
      <c r="M706">
        <v>0.99977399999999905</v>
      </c>
      <c r="N706">
        <v>0</v>
      </c>
      <c r="O706">
        <v>1.578972E-2</v>
      </c>
      <c r="P706">
        <v>0.99952489999999905</v>
      </c>
      <c r="Q706">
        <v>-2.5137929999999999E-2</v>
      </c>
      <c r="R706">
        <v>-1.7845989999999999E-2</v>
      </c>
      <c r="S706">
        <v>2.985703</v>
      </c>
      <c r="T706">
        <v>-0.26803519999999997</v>
      </c>
      <c r="U706">
        <v>-0.75390630000000003</v>
      </c>
      <c r="V706">
        <v>3.3576160000000001E-2</v>
      </c>
      <c r="W706">
        <v>-1.106365E-2</v>
      </c>
      <c r="X706">
        <v>0.99937489999999995</v>
      </c>
      <c r="Y706">
        <v>0.25906129999999999</v>
      </c>
      <c r="Z706">
        <v>-1.2820430000000001E-2</v>
      </c>
      <c r="AA706">
        <v>0.96577579999999996</v>
      </c>
      <c r="AB706">
        <v>29</v>
      </c>
      <c r="AC706">
        <v>11.9892</v>
      </c>
      <c r="AD706">
        <v>-1.102547155438</v>
      </c>
      <c r="AE706">
        <v>-3.1046</v>
      </c>
      <c r="AF706">
        <v>3.2676404661859499</v>
      </c>
      <c r="AG706">
        <v>-1.102547155438</v>
      </c>
      <c r="AH706">
        <v>11.8448032352469</v>
      </c>
      <c r="AI706">
        <v>95.1274696262373</v>
      </c>
      <c r="AJ706">
        <v>74.577350784562697</v>
      </c>
      <c r="AK706">
        <v>12.3366303392757</v>
      </c>
    </row>
    <row r="707" spans="1:37" x14ac:dyDescent="0.2">
      <c r="A707" t="str">
        <f>"20200111160112105"</f>
        <v>20200111160112105</v>
      </c>
      <c r="B707" t="str">
        <f>"1578729672101382"</f>
        <v>1578729672101382</v>
      </c>
      <c r="C707" t="s">
        <v>37</v>
      </c>
      <c r="D707">
        <v>4.9730419999999897</v>
      </c>
      <c r="E707">
        <v>0.59106479999999995</v>
      </c>
      <c r="F707" t="s">
        <v>38</v>
      </c>
      <c r="G707">
        <v>-226.44589999999999</v>
      </c>
      <c r="H707" s="1">
        <v>-2.11622299999999E-6</v>
      </c>
      <c r="I707">
        <v>366.18189999999998</v>
      </c>
      <c r="J707">
        <v>-238.0583</v>
      </c>
      <c r="K707">
        <v>1.1023049999999901</v>
      </c>
      <c r="L707">
        <v>369.25720000000001</v>
      </c>
      <c r="M707">
        <v>0.99981589999999998</v>
      </c>
      <c r="N707">
        <v>0</v>
      </c>
      <c r="O707">
        <v>1.2856960000000001E-2</v>
      </c>
      <c r="P707">
        <v>0.99928309999999998</v>
      </c>
      <c r="Q707">
        <v>-2.718798E-2</v>
      </c>
      <c r="R707">
        <v>-2.634761E-2</v>
      </c>
      <c r="S707">
        <v>2.9807739999999998</v>
      </c>
      <c r="T707">
        <v>-0.2759238</v>
      </c>
      <c r="U707">
        <v>-0.76919559999999998</v>
      </c>
      <c r="V707">
        <v>3.9126330000000001E-2</v>
      </c>
      <c r="W707">
        <v>-1.315822E-2</v>
      </c>
      <c r="X707">
        <v>0.99914769999999897</v>
      </c>
      <c r="Y707">
        <v>0.26119710000000002</v>
      </c>
      <c r="Z707">
        <v>-1.303938E-2</v>
      </c>
      <c r="AA707">
        <v>0.96519739999999998</v>
      </c>
      <c r="AB707">
        <v>29</v>
      </c>
      <c r="AC707">
        <v>11.612399999999999</v>
      </c>
      <c r="AD707">
        <v>-1.10230711622299</v>
      </c>
      <c r="AE707">
        <v>-3.0753000000000199</v>
      </c>
      <c r="AF707">
        <v>3.1974379711297498</v>
      </c>
      <c r="AG707">
        <v>-1.10230711622299</v>
      </c>
      <c r="AH707">
        <v>11.475272764481799</v>
      </c>
      <c r="AI707">
        <v>95.286772821783799</v>
      </c>
      <c r="AJ707">
        <v>74.430184729582507</v>
      </c>
      <c r="AK707">
        <v>11.9633011989566</v>
      </c>
    </row>
    <row r="708" spans="1:37" x14ac:dyDescent="0.2">
      <c r="A708" t="str">
        <f>"20200111160112139"</f>
        <v>20200111160112139</v>
      </c>
      <c r="B708" t="str">
        <f>"1578729672131638"</f>
        <v>1578729672131638</v>
      </c>
      <c r="C708" t="s">
        <v>37</v>
      </c>
      <c r="D708">
        <v>5.1010249999999999</v>
      </c>
      <c r="E708">
        <v>0.57464859999999995</v>
      </c>
      <c r="F708" t="s">
        <v>38</v>
      </c>
      <c r="G708">
        <v>-226.6198</v>
      </c>
      <c r="H708" s="1">
        <v>-2.0413339999999999E-6</v>
      </c>
      <c r="I708">
        <v>366.21519999999998</v>
      </c>
      <c r="J708">
        <v>-237.61779999999999</v>
      </c>
      <c r="K708">
        <v>1.1020030000000001</v>
      </c>
      <c r="L708">
        <v>369.25740000000002</v>
      </c>
      <c r="M708">
        <v>0.99986609999999998</v>
      </c>
      <c r="N708">
        <v>0</v>
      </c>
      <c r="O708">
        <v>8.0458590000000007E-3</v>
      </c>
      <c r="P708">
        <v>0.9988882</v>
      </c>
      <c r="Q708">
        <v>-2.8241869999999999E-2</v>
      </c>
      <c r="R708">
        <v>-3.7744609999999998E-2</v>
      </c>
      <c r="S708">
        <v>2.9735259999999899</v>
      </c>
      <c r="T708">
        <v>-0.28655229999999998</v>
      </c>
      <c r="U708">
        <v>-0.79077149999999996</v>
      </c>
      <c r="V708">
        <v>4.5697410000000001E-2</v>
      </c>
      <c r="W708">
        <v>-1.427428E-2</v>
      </c>
      <c r="X708">
        <v>0.99885330000000006</v>
      </c>
      <c r="Y708">
        <v>0.26359650000000001</v>
      </c>
      <c r="Z708">
        <v>-1.321746E-2</v>
      </c>
      <c r="AA708">
        <v>0.96454240000000002</v>
      </c>
      <c r="AB708">
        <v>29</v>
      </c>
      <c r="AC708">
        <v>10.9979999999999</v>
      </c>
      <c r="AD708">
        <v>-1.1020050413339999</v>
      </c>
      <c r="AE708">
        <v>-3.04220000000003</v>
      </c>
      <c r="AF708">
        <v>3.1016710595969501</v>
      </c>
      <c r="AG708">
        <v>-1.1020050413339999</v>
      </c>
      <c r="AH708">
        <v>10.8717685949665</v>
      </c>
      <c r="AI708">
        <v>95.567295356845605</v>
      </c>
      <c r="AJ708">
        <v>74.076768833895699</v>
      </c>
      <c r="AK708">
        <v>11.359143051109401</v>
      </c>
    </row>
    <row r="709" spans="1:37" x14ac:dyDescent="0.2">
      <c r="A709" t="str">
        <f>"20200111160112160"</f>
        <v>20200111160112160</v>
      </c>
      <c r="B709" t="str">
        <f>"1578729672151159"</f>
        <v>1578729672151159</v>
      </c>
      <c r="C709" t="s">
        <v>37</v>
      </c>
      <c r="D709">
        <v>4.9610989999999999</v>
      </c>
      <c r="E709">
        <v>0.56380249999999998</v>
      </c>
      <c r="F709" t="s">
        <v>38</v>
      </c>
      <c r="G709">
        <v>-227.24440000000001</v>
      </c>
      <c r="H709" s="1">
        <v>-1.6610709999999999E-6</v>
      </c>
      <c r="I709">
        <v>366.84550000000002</v>
      </c>
      <c r="J709">
        <v>-237.32830000000001</v>
      </c>
      <c r="K709">
        <v>1.101842</v>
      </c>
      <c r="L709">
        <v>369.2561</v>
      </c>
      <c r="M709">
        <v>0.99988759999999999</v>
      </c>
      <c r="N709">
        <v>0</v>
      </c>
      <c r="O709">
        <v>4.6447049999999998E-3</v>
      </c>
      <c r="P709">
        <v>0.99856540000000005</v>
      </c>
      <c r="Q709">
        <v>-2.8986930000000001E-2</v>
      </c>
      <c r="R709">
        <v>-4.5023489999999999E-2</v>
      </c>
      <c r="S709">
        <v>2.9683380000000001</v>
      </c>
      <c r="T709">
        <v>-0.315337799999999</v>
      </c>
      <c r="U709">
        <v>-0.69015499999999996</v>
      </c>
      <c r="V709">
        <v>4.956725E-2</v>
      </c>
      <c r="W709">
        <v>-1.505885E-2</v>
      </c>
      <c r="X709">
        <v>0.99865729999999997</v>
      </c>
      <c r="Y709">
        <v>0.2297352</v>
      </c>
      <c r="Z709">
        <v>-1.249546E-2</v>
      </c>
      <c r="AA709">
        <v>0.97317299999999995</v>
      </c>
      <c r="AB709">
        <v>29</v>
      </c>
      <c r="AC709">
        <v>10.0839</v>
      </c>
      <c r="AD709">
        <v>-1.1018436610709901</v>
      </c>
      <c r="AE709">
        <v>-2.4105999999999801</v>
      </c>
      <c r="AF709">
        <v>2.42997141202139</v>
      </c>
      <c r="AG709">
        <v>-1.1018436610709901</v>
      </c>
      <c r="AH709">
        <v>9.9601041928076199</v>
      </c>
      <c r="AI709">
        <v>96.134229496990798</v>
      </c>
      <c r="AJ709">
        <v>76.289359423406495</v>
      </c>
      <c r="AK709">
        <v>10.311280039270899</v>
      </c>
    </row>
    <row r="710" spans="1:37" x14ac:dyDescent="0.2">
      <c r="A710" t="str">
        <f>"20200111160112183"</f>
        <v>20200111160112183</v>
      </c>
      <c r="B710" t="str">
        <f>"1578729672171654"</f>
        <v>1578729672171654</v>
      </c>
      <c r="C710" t="s">
        <v>37</v>
      </c>
      <c r="D710">
        <v>5.1139599999999996</v>
      </c>
      <c r="E710">
        <v>0.4864696</v>
      </c>
      <c r="F710" t="s">
        <v>42</v>
      </c>
      <c r="G710">
        <v>-236.50059999999999</v>
      </c>
      <c r="H710">
        <v>1.0155879999999999</v>
      </c>
      <c r="I710">
        <v>369.08120000000002</v>
      </c>
      <c r="J710">
        <v>-237.03710000000001</v>
      </c>
      <c r="K710">
        <v>1.1017170000000001</v>
      </c>
      <c r="L710">
        <v>369.25369999999998</v>
      </c>
      <c r="M710">
        <v>0.999897699999999</v>
      </c>
      <c r="N710">
        <v>0</v>
      </c>
      <c r="O710">
        <v>1.07099E-3</v>
      </c>
      <c r="P710">
        <v>0.99821380000000004</v>
      </c>
      <c r="Q710">
        <v>-2.9246749999999998E-2</v>
      </c>
      <c r="R710">
        <v>-5.2098390000000001E-2</v>
      </c>
      <c r="S710">
        <v>2.967117</v>
      </c>
      <c r="T710">
        <v>-0.30918099999999998</v>
      </c>
      <c r="U710">
        <v>-0.62603759999999997</v>
      </c>
      <c r="V710">
        <v>5.3066910000000002E-2</v>
      </c>
      <c r="W710">
        <v>-1.535546E-2</v>
      </c>
      <c r="X710">
        <v>0.998472899999999</v>
      </c>
      <c r="Y710">
        <v>0.20641880000000001</v>
      </c>
      <c r="Z710">
        <v>-1.0719889999999999E-2</v>
      </c>
      <c r="AA710">
        <v>0.97840499999999997</v>
      </c>
      <c r="AB710">
        <v>29</v>
      </c>
      <c r="AC710">
        <v>0.53650000000001796</v>
      </c>
      <c r="AD710">
        <v>-8.6129000000000094E-2</v>
      </c>
      <c r="AE710">
        <v>-0.17249999999995599</v>
      </c>
      <c r="AF710">
        <v>0.16912415822003199</v>
      </c>
      <c r="AG710">
        <v>-8.6129000000000094E-2</v>
      </c>
      <c r="AH710">
        <v>0.52407366056428095</v>
      </c>
      <c r="AI710">
        <v>98.889206092219595</v>
      </c>
      <c r="AJ710">
        <v>72.114556329129201</v>
      </c>
      <c r="AK710">
        <v>0.55738172488150395</v>
      </c>
    </row>
    <row r="711" spans="1:37" x14ac:dyDescent="0.2">
      <c r="A711" t="str">
        <f>"20200111160112205"</f>
        <v>20200111160112205</v>
      </c>
      <c r="B711" t="str">
        <f>"1578729672200935"</f>
        <v>1578729672200935</v>
      </c>
      <c r="C711" t="s">
        <v>37</v>
      </c>
      <c r="D711">
        <v>5.057817</v>
      </c>
      <c r="E711">
        <v>0.48372330000000002</v>
      </c>
      <c r="F711" t="s">
        <v>42</v>
      </c>
      <c r="G711">
        <v>-236.23679999999999</v>
      </c>
      <c r="H711">
        <v>1.0309699999999999</v>
      </c>
      <c r="I711">
        <v>369.24470000000002</v>
      </c>
      <c r="J711">
        <v>-236.74700000000001</v>
      </c>
      <c r="K711">
        <v>1.101613</v>
      </c>
      <c r="L711">
        <v>369.25009999999997</v>
      </c>
      <c r="M711">
        <v>0.99989490000000003</v>
      </c>
      <c r="N711">
        <v>0</v>
      </c>
      <c r="O711">
        <v>-2.6278790000000001E-3</v>
      </c>
      <c r="P711">
        <v>0.99788330000000003</v>
      </c>
      <c r="Q711">
        <v>-2.8505780000000001E-2</v>
      </c>
      <c r="R711">
        <v>-5.845156E-2</v>
      </c>
      <c r="S711">
        <v>2.9958649999999998</v>
      </c>
      <c r="T711">
        <v>-0.26489079999999998</v>
      </c>
      <c r="U711">
        <v>-3.3020019999999997E-2</v>
      </c>
      <c r="V711">
        <v>5.5729290000000001E-2</v>
      </c>
      <c r="W711">
        <v>-1.464471E-2</v>
      </c>
      <c r="X711">
        <v>0.99833850000000002</v>
      </c>
      <c r="Y711">
        <v>8.3707699999999996E-3</v>
      </c>
      <c r="Z711">
        <v>-1.3741799999999999E-4</v>
      </c>
      <c r="AA711">
        <v>0.99996499999999999</v>
      </c>
      <c r="AB711">
        <v>29</v>
      </c>
      <c r="AC711">
        <v>0.51020000000002597</v>
      </c>
      <c r="AD711">
        <v>-7.0642999999999706E-2</v>
      </c>
      <c r="AE711">
        <v>-5.3999999999518799E-3</v>
      </c>
      <c r="AF711">
        <v>3.9827541475836803E-3</v>
      </c>
      <c r="AG711">
        <v>-7.0642999999999706E-2</v>
      </c>
      <c r="AH711">
        <v>0.50061591893518498</v>
      </c>
      <c r="AI711">
        <v>98.031847809886301</v>
      </c>
      <c r="AJ711">
        <v>89.544181116416297</v>
      </c>
      <c r="AK711">
        <v>0.50559133108758803</v>
      </c>
    </row>
    <row r="712" spans="1:37" x14ac:dyDescent="0.2">
      <c r="A712" t="str">
        <f>"20200111160112228"</f>
        <v>20200111160112228</v>
      </c>
      <c r="B712" t="str">
        <f>"1578729672221430"</f>
        <v>1578729672221430</v>
      </c>
      <c r="C712" t="s">
        <v>37</v>
      </c>
      <c r="D712">
        <v>4.9910209999999999</v>
      </c>
      <c r="E712">
        <v>0.48287219999999997</v>
      </c>
      <c r="F712" t="s">
        <v>42</v>
      </c>
      <c r="G712">
        <v>-235.9736</v>
      </c>
      <c r="H712">
        <v>1.0335749999999999</v>
      </c>
      <c r="I712">
        <v>369.24209999999999</v>
      </c>
      <c r="J712">
        <v>-236.45060000000001</v>
      </c>
      <c r="K712">
        <v>1.101532</v>
      </c>
      <c r="L712">
        <v>369.24520000000001</v>
      </c>
      <c r="M712">
        <v>0.99987689999999996</v>
      </c>
      <c r="N712">
        <v>0</v>
      </c>
      <c r="O712">
        <v>-6.5262829999999999E-3</v>
      </c>
      <c r="P712">
        <v>0.99755969999999905</v>
      </c>
      <c r="Q712">
        <v>-2.622886E-2</v>
      </c>
      <c r="R712">
        <v>-6.4706929999999996E-2</v>
      </c>
      <c r="S712">
        <v>2.9970699999999999</v>
      </c>
      <c r="T712">
        <v>-0.2636406</v>
      </c>
      <c r="U712">
        <v>-3.0181880000000001E-2</v>
      </c>
      <c r="V712">
        <v>5.8107810000000003E-2</v>
      </c>
      <c r="W712">
        <v>-1.2395339999999999E-2</v>
      </c>
      <c r="X712">
        <v>0.99823340000000005</v>
      </c>
      <c r="Y712">
        <v>3.5545970000000001E-3</v>
      </c>
      <c r="Z712">
        <v>4.1698469999999999E-4</v>
      </c>
      <c r="AA712">
        <v>0.99999359999999904</v>
      </c>
      <c r="AB712">
        <v>29</v>
      </c>
      <c r="AC712">
        <v>0.47700000000000298</v>
      </c>
      <c r="AD712">
        <v>-6.7957000000000004E-2</v>
      </c>
      <c r="AE712">
        <v>-3.1000000000176399E-3</v>
      </c>
      <c r="AF712" s="1">
        <v>-1.31530118781079E-5</v>
      </c>
      <c r="AG712">
        <v>-6.7957000000000004E-2</v>
      </c>
      <c r="AH712">
        <v>0.46752120069715603</v>
      </c>
      <c r="AI712">
        <v>98.270362092204607</v>
      </c>
      <c r="AJ712">
        <v>90.001611931324504</v>
      </c>
      <c r="AK712">
        <v>0.47243436276726503</v>
      </c>
    </row>
    <row r="713" spans="1:37" x14ac:dyDescent="0.2">
      <c r="A713" t="str">
        <f>"20200111160112250"</f>
        <v>20200111160112250</v>
      </c>
      <c r="B713" t="str">
        <f>"1578729672240950"</f>
        <v>1578729672240950</v>
      </c>
      <c r="C713" t="s">
        <v>37</v>
      </c>
      <c r="D713">
        <v>4.983136</v>
      </c>
      <c r="E713">
        <v>0.48179739999999999</v>
      </c>
      <c r="F713" t="s">
        <v>42</v>
      </c>
      <c r="G713">
        <v>-235.70959999999999</v>
      </c>
      <c r="H713">
        <v>1.03762</v>
      </c>
      <c r="I713">
        <v>369.23469999999998</v>
      </c>
      <c r="J713">
        <v>-236.16900000000001</v>
      </c>
      <c r="K713">
        <v>1.1014520000000001</v>
      </c>
      <c r="L713">
        <v>369.23930000000001</v>
      </c>
      <c r="M713">
        <v>0.99984470000000003</v>
      </c>
      <c r="N713">
        <v>0</v>
      </c>
      <c r="O713">
        <v>-1.033506E-2</v>
      </c>
      <c r="P713">
        <v>0.99726899999999996</v>
      </c>
      <c r="Q713">
        <v>-2.4668699999999998E-2</v>
      </c>
      <c r="R713">
        <v>-6.9613499999999995E-2</v>
      </c>
      <c r="S713">
        <v>2.99780299999999</v>
      </c>
      <c r="T713">
        <v>-0.25856399999999902</v>
      </c>
      <c r="U713">
        <v>-4.193115E-2</v>
      </c>
      <c r="V713">
        <v>5.9223869999999998E-2</v>
      </c>
      <c r="W713">
        <v>-1.085243E-2</v>
      </c>
      <c r="X713">
        <v>0.99818580000000001</v>
      </c>
      <c r="Y713">
        <v>3.6747989999999999E-3</v>
      </c>
      <c r="Z713">
        <v>7.3160269999999995E-4</v>
      </c>
      <c r="AA713">
        <v>0.99999300000000002</v>
      </c>
      <c r="AB713">
        <v>29</v>
      </c>
      <c r="AC713">
        <v>0.45940000000001602</v>
      </c>
      <c r="AD713">
        <v>-6.3832000000000097E-2</v>
      </c>
      <c r="AE713">
        <v>-4.6000000000390104E-3</v>
      </c>
      <c r="AF713">
        <v>-1.45840753684151E-4</v>
      </c>
      <c r="AG713">
        <v>-6.3832000000000097E-2</v>
      </c>
      <c r="AH713">
        <v>0.45072218280052301</v>
      </c>
      <c r="AI713">
        <v>98.060714819247394</v>
      </c>
      <c r="AJ713">
        <v>90.018539268077603</v>
      </c>
      <c r="AK713">
        <v>0.45521976183157298</v>
      </c>
    </row>
    <row r="714" spans="1:37" x14ac:dyDescent="0.2">
      <c r="A714" t="str">
        <f>"20200111160112272"</f>
        <v>20200111160112272</v>
      </c>
      <c r="B714" t="str">
        <f>"1578729672261446"</f>
        <v>1578729672261446</v>
      </c>
      <c r="C714" t="s">
        <v>37</v>
      </c>
      <c r="D714">
        <v>5.0104559999999996</v>
      </c>
      <c r="E714">
        <v>0.48132849999999999</v>
      </c>
      <c r="F714" t="s">
        <v>42</v>
      </c>
      <c r="G714">
        <v>-235.2003</v>
      </c>
      <c r="H714">
        <v>1.0195000000000001</v>
      </c>
      <c r="I714">
        <v>369.22359999999998</v>
      </c>
      <c r="J714">
        <v>-235.87780000000001</v>
      </c>
      <c r="K714">
        <v>1.1013679999999999</v>
      </c>
      <c r="L714">
        <v>369.2319</v>
      </c>
      <c r="M714">
        <v>0.99979470000000004</v>
      </c>
      <c r="N714">
        <v>0</v>
      </c>
      <c r="O714">
        <v>-1.4373540000000001E-2</v>
      </c>
      <c r="P714">
        <v>0.99695059999999902</v>
      </c>
      <c r="Q714">
        <v>-2.322101E-2</v>
      </c>
      <c r="R714">
        <v>-7.4501029999999996E-2</v>
      </c>
      <c r="S714">
        <v>2.9985659999999998</v>
      </c>
      <c r="T714">
        <v>-0.25368249999999998</v>
      </c>
      <c r="U714">
        <v>-4.8522950000000002E-2</v>
      </c>
      <c r="V714">
        <v>6.0092859999999998E-2</v>
      </c>
      <c r="W714">
        <v>-9.4199599999999998E-3</v>
      </c>
      <c r="X714">
        <v>0.99814829999999999</v>
      </c>
      <c r="Y714">
        <v>1.849863E-3</v>
      </c>
      <c r="Z714">
        <v>1.135725E-3</v>
      </c>
      <c r="AA714">
        <v>0.99999760000000004</v>
      </c>
      <c r="AB714">
        <v>29</v>
      </c>
      <c r="AC714">
        <v>0.67750000000000898</v>
      </c>
      <c r="AD714">
        <v>-8.1867999999999996E-2</v>
      </c>
      <c r="AE714">
        <v>-8.3000000000197308E-3</v>
      </c>
      <c r="AF714">
        <v>-1.4192042035199E-3</v>
      </c>
      <c r="AG714">
        <v>-8.1867999999999996E-2</v>
      </c>
      <c r="AH714">
        <v>0.66779962054714803</v>
      </c>
      <c r="AI714">
        <v>96.989208789429696</v>
      </c>
      <c r="AJ714">
        <v>90.121764502718705</v>
      </c>
      <c r="AK714">
        <v>0.67280065158075397</v>
      </c>
    </row>
    <row r="715" spans="1:37" x14ac:dyDescent="0.2">
      <c r="A715" t="str">
        <f>"20200111160112294"</f>
        <v>20200111160112294</v>
      </c>
      <c r="B715" t="str">
        <f>"1578729672291702"</f>
        <v>1578729672291702</v>
      </c>
      <c r="C715" t="s">
        <v>37</v>
      </c>
      <c r="D715">
        <v>5.0029029999999999</v>
      </c>
      <c r="E715">
        <v>0.47975139999999999</v>
      </c>
      <c r="F715" t="s">
        <v>42</v>
      </c>
      <c r="G715">
        <v>-234.93899999999999</v>
      </c>
      <c r="H715">
        <v>1.022894</v>
      </c>
      <c r="I715">
        <v>369.2133</v>
      </c>
      <c r="J715">
        <v>-235.58920000000001</v>
      </c>
      <c r="K715">
        <v>1.101307</v>
      </c>
      <c r="L715">
        <v>369.22340000000003</v>
      </c>
      <c r="M715">
        <v>0.99972780000000006</v>
      </c>
      <c r="N715">
        <v>0</v>
      </c>
      <c r="O715">
        <v>-1.8452820000000002E-2</v>
      </c>
      <c r="P715">
        <v>0.9966874</v>
      </c>
      <c r="Q715">
        <v>-2.0992710000000001E-2</v>
      </c>
      <c r="R715">
        <v>-7.8573069999999995E-2</v>
      </c>
      <c r="S715">
        <v>2.9989469999999998</v>
      </c>
      <c r="T715">
        <v>-0.25072089999999903</v>
      </c>
      <c r="U715">
        <v>-5.9051510000000001E-2</v>
      </c>
      <c r="V715">
        <v>6.0112430000000001E-2</v>
      </c>
      <c r="W715">
        <v>-7.1983079999999996E-3</v>
      </c>
      <c r="X715">
        <v>0.99816569999999905</v>
      </c>
      <c r="Y715">
        <v>1.2922949999999999E-3</v>
      </c>
      <c r="Z715">
        <v>1.4859770000000001E-3</v>
      </c>
      <c r="AA715">
        <v>0.99999799999999905</v>
      </c>
      <c r="AB715">
        <v>29</v>
      </c>
      <c r="AC715">
        <v>0.65019999999998301</v>
      </c>
      <c r="AD715">
        <v>-7.8412999999999997E-2</v>
      </c>
      <c r="AE715">
        <v>-1.01000000000226E-2</v>
      </c>
      <c r="AF715">
        <v>-1.87372178899263E-3</v>
      </c>
      <c r="AG715">
        <v>-7.8412999999999997E-2</v>
      </c>
      <c r="AH715">
        <v>0.64095588379923496</v>
      </c>
      <c r="AI715">
        <v>96.974740104415503</v>
      </c>
      <c r="AJ715">
        <v>90.167493656568098</v>
      </c>
      <c r="AK715">
        <v>0.64573721774356596</v>
      </c>
    </row>
    <row r="716" spans="1:37" x14ac:dyDescent="0.2">
      <c r="A716" t="str">
        <f>"20200111160112317"</f>
        <v>20200111160112317</v>
      </c>
      <c r="B716" t="str">
        <f>"1578729672311222"</f>
        <v>1578729672311222</v>
      </c>
      <c r="C716" t="s">
        <v>37</v>
      </c>
      <c r="D716">
        <v>4.9879829999999998</v>
      </c>
      <c r="E716">
        <v>0.47879569999999999</v>
      </c>
      <c r="F716" t="s">
        <v>42</v>
      </c>
      <c r="G716">
        <v>-234.6772</v>
      </c>
      <c r="H716">
        <v>1.027685</v>
      </c>
      <c r="I716">
        <v>369.2054</v>
      </c>
      <c r="J716">
        <v>-235.2895</v>
      </c>
      <c r="K716">
        <v>1.1012549999999901</v>
      </c>
      <c r="L716">
        <v>369.2131</v>
      </c>
      <c r="M716">
        <v>0.99963869999999899</v>
      </c>
      <c r="N716">
        <v>0</v>
      </c>
      <c r="O716">
        <v>-2.2769799999999899E-2</v>
      </c>
      <c r="P716">
        <v>0.99635529999999894</v>
      </c>
      <c r="Q716">
        <v>-1.9462940000000001E-2</v>
      </c>
      <c r="R716">
        <v>-8.3050910000000006E-2</v>
      </c>
      <c r="S716">
        <v>3.0002439999999999</v>
      </c>
      <c r="T716">
        <v>-0.24223720000000001</v>
      </c>
      <c r="U716">
        <v>-5.9051510000000001E-2</v>
      </c>
      <c r="V716">
        <v>6.0297400000000001E-2</v>
      </c>
      <c r="W716">
        <v>-5.6760389999999999E-3</v>
      </c>
      <c r="X716">
        <v>0.9981643</v>
      </c>
      <c r="Y716">
        <v>-3.0105409999999998E-3</v>
      </c>
      <c r="Z716">
        <v>1.9565419999999999E-3</v>
      </c>
      <c r="AA716">
        <v>0.99999359999999904</v>
      </c>
      <c r="AB716">
        <v>29</v>
      </c>
      <c r="AC716">
        <v>0.61230000000000395</v>
      </c>
      <c r="AD716">
        <v>-7.3569999999999899E-2</v>
      </c>
      <c r="AE716">
        <v>-7.6999999999998103E-3</v>
      </c>
      <c r="AF716">
        <v>-6.1565010863373704E-3</v>
      </c>
      <c r="AG716">
        <v>-7.3569999999999899E-2</v>
      </c>
      <c r="AH716">
        <v>0.60360379410244103</v>
      </c>
      <c r="AI716">
        <v>96.948837796594404</v>
      </c>
      <c r="AJ716">
        <v>90.584372233859597</v>
      </c>
      <c r="AK716">
        <v>0.60810195498821396</v>
      </c>
    </row>
    <row r="717" spans="1:37" x14ac:dyDescent="0.2">
      <c r="A717" t="str">
        <f>"20200111160112339"</f>
        <v>20200111160112339</v>
      </c>
      <c r="B717" t="str">
        <f>"1578729672331718"</f>
        <v>1578729672331718</v>
      </c>
      <c r="C717" t="s">
        <v>37</v>
      </c>
      <c r="D717">
        <v>5.0528570000000004</v>
      </c>
      <c r="E717">
        <v>0.4780278</v>
      </c>
      <c r="F717" t="s">
        <v>42</v>
      </c>
      <c r="G717">
        <v>-234.4145</v>
      </c>
      <c r="H717">
        <v>1.031755</v>
      </c>
      <c r="I717">
        <v>369.19409999999999</v>
      </c>
      <c r="J717">
        <v>-235.00649999999999</v>
      </c>
      <c r="K717">
        <v>1.1012109999999999</v>
      </c>
      <c r="L717">
        <v>369.2022</v>
      </c>
      <c r="M717">
        <v>0.99953549999999902</v>
      </c>
      <c r="N717">
        <v>0</v>
      </c>
      <c r="O717">
        <v>-2.692197E-2</v>
      </c>
      <c r="P717">
        <v>0.99608030000000003</v>
      </c>
      <c r="Q717">
        <v>-1.7746140000000001E-2</v>
      </c>
      <c r="R717">
        <v>-8.6657399999999996E-2</v>
      </c>
      <c r="S717">
        <v>3.000931</v>
      </c>
      <c r="T717">
        <v>-0.23835189999999901</v>
      </c>
      <c r="U717">
        <v>-6.4544679999999993E-2</v>
      </c>
      <c r="V717">
        <v>5.9776879999999998E-2</v>
      </c>
      <c r="W717">
        <v>-3.9593750000000002E-3</v>
      </c>
      <c r="X717">
        <v>0.99820390000000003</v>
      </c>
      <c r="Y717">
        <v>-5.3215650000000003E-3</v>
      </c>
      <c r="Z717">
        <v>2.3455450000000001E-3</v>
      </c>
      <c r="AA717">
        <v>0.99998310000000001</v>
      </c>
      <c r="AB717">
        <v>29</v>
      </c>
      <c r="AC717">
        <v>0.59199999999998398</v>
      </c>
      <c r="AD717">
        <v>-6.9456000000000101E-2</v>
      </c>
      <c r="AE717">
        <v>-8.1000000000130898E-3</v>
      </c>
      <c r="AF717">
        <v>-7.7359038572803003E-3</v>
      </c>
      <c r="AG717">
        <v>-6.9456000000000101E-2</v>
      </c>
      <c r="AH717">
        <v>0.58396667395400004</v>
      </c>
      <c r="AI717">
        <v>96.782208642776595</v>
      </c>
      <c r="AJ717">
        <v>90.758962346431801</v>
      </c>
      <c r="AK717">
        <v>0.58813353622573294</v>
      </c>
    </row>
    <row r="718" spans="1:37" x14ac:dyDescent="0.2">
      <c r="A718" t="str">
        <f>"20200111160112360"</f>
        <v>20200111160112360</v>
      </c>
      <c r="B718" t="str">
        <f>"1578729672351238"</f>
        <v>1578729672351238</v>
      </c>
      <c r="C718" t="s">
        <v>37</v>
      </c>
      <c r="D718">
        <v>5.0896280000000003</v>
      </c>
      <c r="E718">
        <v>0.47744350000000002</v>
      </c>
      <c r="F718" t="s">
        <v>42</v>
      </c>
      <c r="G718">
        <v>-234.15289999999999</v>
      </c>
      <c r="H718">
        <v>1.034756</v>
      </c>
      <c r="I718">
        <v>369.18259999999998</v>
      </c>
      <c r="J718">
        <v>-234.7235</v>
      </c>
      <c r="K718">
        <v>1.1011599999999999</v>
      </c>
      <c r="L718">
        <v>369.19</v>
      </c>
      <c r="M718">
        <v>0.99941270000000004</v>
      </c>
      <c r="N718">
        <v>0</v>
      </c>
      <c r="O718">
        <v>-3.1142820000000002E-2</v>
      </c>
      <c r="P718">
        <v>0.99579660000000003</v>
      </c>
      <c r="Q718">
        <v>-1.5962520000000001E-2</v>
      </c>
      <c r="R718">
        <v>-9.0190980000000004E-2</v>
      </c>
      <c r="S718">
        <v>3.0016630000000002</v>
      </c>
      <c r="T718">
        <v>-0.23363729999999999</v>
      </c>
      <c r="U718">
        <v>-6.8908689999999995E-2</v>
      </c>
      <c r="V718">
        <v>5.9116370000000001E-2</v>
      </c>
      <c r="W718">
        <v>-2.1739060000000002E-3</v>
      </c>
      <c r="X718">
        <v>0.99824880000000005</v>
      </c>
      <c r="Y718">
        <v>-8.0796080000000003E-3</v>
      </c>
      <c r="Z718">
        <v>2.7337170000000001E-3</v>
      </c>
      <c r="AA718">
        <v>0.99996359999999995</v>
      </c>
      <c r="AB718">
        <v>29</v>
      </c>
      <c r="AC718">
        <v>0.57060000000001299</v>
      </c>
      <c r="AD718">
        <v>-6.6404000000000102E-2</v>
      </c>
      <c r="AE718">
        <v>-7.40000000001828E-3</v>
      </c>
      <c r="AF718">
        <v>-1.0236881452040899E-2</v>
      </c>
      <c r="AG718">
        <v>-6.6404000000000102E-2</v>
      </c>
      <c r="AH718">
        <v>0.56293098231045802</v>
      </c>
      <c r="AI718">
        <v>96.726486063258506</v>
      </c>
      <c r="AJ718">
        <v>91.0418070421171</v>
      </c>
      <c r="AK718">
        <v>0.56692642891549905</v>
      </c>
    </row>
    <row r="719" spans="1:37" x14ac:dyDescent="0.2">
      <c r="A719" t="str">
        <f>"20200111160112384"</f>
        <v>20200111160112384</v>
      </c>
      <c r="B719" t="str">
        <f>"1578729672371735"</f>
        <v>1578729672371735</v>
      </c>
      <c r="C719" t="s">
        <v>37</v>
      </c>
      <c r="D719">
        <v>5.038551</v>
      </c>
      <c r="E719">
        <v>0.47680429999999902</v>
      </c>
      <c r="F719" t="s">
        <v>42</v>
      </c>
      <c r="G719">
        <v>-233.8828</v>
      </c>
      <c r="H719">
        <v>1.0367040000000001</v>
      </c>
      <c r="I719">
        <v>369.1687</v>
      </c>
      <c r="J719">
        <v>-234.43190000000001</v>
      </c>
      <c r="K719">
        <v>1.1011169999999999</v>
      </c>
      <c r="L719">
        <v>369.17619999999999</v>
      </c>
      <c r="M719">
        <v>0.99926559999999898</v>
      </c>
      <c r="N719">
        <v>0</v>
      </c>
      <c r="O719">
        <v>-3.5553130000000002E-2</v>
      </c>
      <c r="P719">
        <v>0.99540580000000001</v>
      </c>
      <c r="Q719">
        <v>-1.427522E-2</v>
      </c>
      <c r="R719">
        <v>-9.4676369999999996E-2</v>
      </c>
      <c r="S719">
        <v>3.0022279999999899</v>
      </c>
      <c r="T719">
        <v>-0.230102799999999</v>
      </c>
      <c r="U719">
        <v>-7.4829099999999996E-2</v>
      </c>
      <c r="V719">
        <v>5.9221049999999997E-2</v>
      </c>
      <c r="W719">
        <v>-4.9105890000000004E-4</v>
      </c>
      <c r="X719">
        <v>0.99824480000000004</v>
      </c>
      <c r="Y719">
        <v>-1.050973E-2</v>
      </c>
      <c r="Z719">
        <v>3.1221719999999999E-3</v>
      </c>
      <c r="AA719">
        <v>0.99993989999999999</v>
      </c>
      <c r="AB719">
        <v>29</v>
      </c>
      <c r="AC719">
        <v>0.54910000000000903</v>
      </c>
      <c r="AD719">
        <v>-6.4412999999999804E-2</v>
      </c>
      <c r="AE719">
        <v>-7.4999999999931797E-3</v>
      </c>
      <c r="AF719">
        <v>-1.1865708746425001E-2</v>
      </c>
      <c r="AG719">
        <v>-6.4412999999999804E-2</v>
      </c>
      <c r="AH719">
        <v>0.54156842396882698</v>
      </c>
      <c r="AI719">
        <v>96.781162480561903</v>
      </c>
      <c r="AJ719">
        <v>91.255143850067199</v>
      </c>
      <c r="AK719">
        <v>0.545514607919104</v>
      </c>
    </row>
    <row r="720" spans="1:37" x14ac:dyDescent="0.2">
      <c r="A720" t="str">
        <f>"20200111160112406"</f>
        <v>20200111160112406</v>
      </c>
      <c r="B720" t="str">
        <f>"1578729672401990"</f>
        <v>1578729672401990</v>
      </c>
      <c r="C720" t="s">
        <v>37</v>
      </c>
      <c r="D720">
        <v>5.2635690000000004</v>
      </c>
      <c r="E720">
        <v>0.47778979999999999</v>
      </c>
      <c r="F720" t="s">
        <v>38</v>
      </c>
      <c r="G720">
        <v>-219.85679999999999</v>
      </c>
      <c r="H720" s="1">
        <v>-2.5877640000000001E-7</v>
      </c>
      <c r="I720">
        <v>368.7747</v>
      </c>
      <c r="J720">
        <v>-234.13480000000001</v>
      </c>
      <c r="K720">
        <v>1.101081</v>
      </c>
      <c r="L720">
        <v>369.16070000000002</v>
      </c>
      <c r="M720">
        <v>0.99909340000000002</v>
      </c>
      <c r="N720">
        <v>0</v>
      </c>
      <c r="O720">
        <v>-4.0098559999999998E-2</v>
      </c>
      <c r="P720">
        <v>0.99491929999999995</v>
      </c>
      <c r="Q720">
        <v>-1.351224E-2</v>
      </c>
      <c r="R720">
        <v>-9.9763740000000004E-2</v>
      </c>
      <c r="S720">
        <v>3.0027309999999998</v>
      </c>
      <c r="T720">
        <v>-0.2268473</v>
      </c>
      <c r="U720">
        <v>-8.2702639999999994E-2</v>
      </c>
      <c r="V720">
        <v>5.9789050000000003E-2</v>
      </c>
      <c r="W720">
        <v>2.6351610000000002E-4</v>
      </c>
      <c r="X720">
        <v>0.99821099999999996</v>
      </c>
      <c r="Y720">
        <v>-1.2428079999999999E-2</v>
      </c>
      <c r="Z720">
        <v>3.4924219999999998E-3</v>
      </c>
      <c r="AA720">
        <v>0.99991669999999999</v>
      </c>
      <c r="AB720">
        <v>29</v>
      </c>
      <c r="AC720">
        <v>14.278</v>
      </c>
      <c r="AD720">
        <v>-1.1010812587763901</v>
      </c>
      <c r="AE720">
        <v>-0.38600000000002399</v>
      </c>
      <c r="AF720">
        <v>-0.18579218233640901</v>
      </c>
      <c r="AG720">
        <v>-1.1010812587763901</v>
      </c>
      <c r="AH720">
        <v>14.197621137332399</v>
      </c>
      <c r="AI720">
        <v>94.434257841153396</v>
      </c>
      <c r="AJ720">
        <v>90.749738299482601</v>
      </c>
      <c r="AK720">
        <v>14.241465677123101</v>
      </c>
    </row>
    <row r="721" spans="1:37" x14ac:dyDescent="0.2">
      <c r="A721" t="str">
        <f>"20200111160112430"</f>
        <v>20200111160112430</v>
      </c>
      <c r="B721" t="str">
        <f>"1578729672421510"</f>
        <v>1578729672421510</v>
      </c>
      <c r="C721" t="s">
        <v>37</v>
      </c>
      <c r="D721">
        <v>5.1873339999999999</v>
      </c>
      <c r="E721">
        <v>0.56042400000000003</v>
      </c>
      <c r="F721" t="s">
        <v>38</v>
      </c>
      <c r="G721">
        <v>-219.0917</v>
      </c>
      <c r="H721" s="1">
        <v>-5.5815450000000002E-7</v>
      </c>
      <c r="I721">
        <v>368.62810000000002</v>
      </c>
      <c r="J721">
        <v>-233.84520000000001</v>
      </c>
      <c r="K721">
        <v>1.101056</v>
      </c>
      <c r="L721">
        <v>369.14420000000001</v>
      </c>
      <c r="M721">
        <v>0.99890419999999902</v>
      </c>
      <c r="N721">
        <v>0</v>
      </c>
      <c r="O721">
        <v>-4.456413E-2</v>
      </c>
      <c r="P721">
        <v>0.99437450000000005</v>
      </c>
      <c r="Q721">
        <v>-1.320525E-2</v>
      </c>
      <c r="R721">
        <v>-0.1050952</v>
      </c>
      <c r="S721">
        <v>3.0016780000000001</v>
      </c>
      <c r="T721">
        <v>-0.21970729999999999</v>
      </c>
      <c r="U721">
        <v>-0.1062622</v>
      </c>
      <c r="V721">
        <v>6.0679690000000001E-2</v>
      </c>
      <c r="W721">
        <v>5.5963219999999997E-4</v>
      </c>
      <c r="X721">
        <v>0.99815710000000002</v>
      </c>
      <c r="Y721">
        <v>-9.054019E-3</v>
      </c>
      <c r="Z721">
        <v>3.5861790000000001E-3</v>
      </c>
      <c r="AA721">
        <v>0.99995259999999997</v>
      </c>
      <c r="AB721">
        <v>29</v>
      </c>
      <c r="AC721">
        <v>14.753500000000001</v>
      </c>
      <c r="AD721">
        <v>-1.1010565581545</v>
      </c>
      <c r="AE721">
        <v>-0.51609999999999401</v>
      </c>
      <c r="AF721">
        <v>-0.141171627957036</v>
      </c>
      <c r="AG721">
        <v>-1.1010565581545</v>
      </c>
      <c r="AH721">
        <v>14.6801779247442</v>
      </c>
      <c r="AI721">
        <v>94.289123468787807</v>
      </c>
      <c r="AJ721">
        <v>90.550966697441297</v>
      </c>
      <c r="AK721">
        <v>14.722088128894701</v>
      </c>
    </row>
    <row r="722" spans="1:37" x14ac:dyDescent="0.2">
      <c r="A722" t="str">
        <f>"20200111160112451"</f>
        <v>20200111160112451</v>
      </c>
      <c r="B722" t="str">
        <f>"1578729672441031"</f>
        <v>1578729672441031</v>
      </c>
      <c r="C722" t="s">
        <v>37</v>
      </c>
      <c r="D722">
        <v>5.1951799999999997</v>
      </c>
      <c r="E722">
        <v>0.57871249999999996</v>
      </c>
      <c r="F722" t="s">
        <v>38</v>
      </c>
      <c r="G722">
        <v>-223.62739999999999</v>
      </c>
      <c r="H722" s="1">
        <v>-3.27704099999999E-6</v>
      </c>
      <c r="I722">
        <v>366.45429999999999</v>
      </c>
      <c r="J722">
        <v>-233.56739999999999</v>
      </c>
      <c r="K722">
        <v>1.101037</v>
      </c>
      <c r="L722">
        <v>369.12709999999998</v>
      </c>
      <c r="M722">
        <v>0.9987026</v>
      </c>
      <c r="N722">
        <v>0</v>
      </c>
      <c r="O722">
        <v>-4.887474E-2</v>
      </c>
      <c r="P722">
        <v>0.99375919999999895</v>
      </c>
      <c r="Q722">
        <v>-1.417817E-2</v>
      </c>
      <c r="R722">
        <v>-0.11064249999999901</v>
      </c>
      <c r="S722">
        <v>2.931244</v>
      </c>
      <c r="T722">
        <v>-0.3158646</v>
      </c>
      <c r="U722">
        <v>-0.77166749999999995</v>
      </c>
      <c r="V722">
        <v>6.1934120000000002E-2</v>
      </c>
      <c r="W722">
        <v>-4.2625120000000001E-4</v>
      </c>
      <c r="X722">
        <v>0.99808009999999903</v>
      </c>
      <c r="Y722">
        <v>0.20615939999999999</v>
      </c>
      <c r="Z722">
        <v>-5.7365459999999899E-3</v>
      </c>
      <c r="AA722">
        <v>0.97850159999999997</v>
      </c>
      <c r="AB722">
        <v>29</v>
      </c>
      <c r="AC722">
        <v>9.9399999999999906</v>
      </c>
      <c r="AD722">
        <v>-1.1010402770409999</v>
      </c>
      <c r="AE722">
        <v>-2.6727999999999899</v>
      </c>
      <c r="AF722">
        <v>2.15903607515878</v>
      </c>
      <c r="AG722">
        <v>-1.1010402770409999</v>
      </c>
      <c r="AH722">
        <v>9.9449701930613994</v>
      </c>
      <c r="AI722">
        <v>96.174981535919102</v>
      </c>
      <c r="AJ722">
        <v>77.751257842252201</v>
      </c>
      <c r="AK722">
        <v>10.2360225970043</v>
      </c>
    </row>
    <row r="723" spans="1:37" x14ac:dyDescent="0.2">
      <c r="A723" t="str">
        <f>"20200111160112473"</f>
        <v>20200111160112473</v>
      </c>
      <c r="B723" t="str">
        <f>"1578729672461526"</f>
        <v>1578729672461526</v>
      </c>
      <c r="C723" t="s">
        <v>37</v>
      </c>
      <c r="D723">
        <v>5.0833979999999999</v>
      </c>
      <c r="E723">
        <v>0.58477100000000004</v>
      </c>
      <c r="F723" t="s">
        <v>38</v>
      </c>
      <c r="G723">
        <v>-222.44640000000001</v>
      </c>
      <c r="H723" s="1">
        <v>-3.9442609999999996E-6</v>
      </c>
      <c r="I723">
        <v>365.54919999999998</v>
      </c>
      <c r="J723">
        <v>-233.285</v>
      </c>
      <c r="K723">
        <v>1.1010249999999999</v>
      </c>
      <c r="L723">
        <v>369.10849999999999</v>
      </c>
      <c r="M723">
        <v>0.99847779999999997</v>
      </c>
      <c r="N723">
        <v>0</v>
      </c>
      <c r="O723">
        <v>-5.3268759999999998E-2</v>
      </c>
      <c r="P723">
        <v>0.99312829999999996</v>
      </c>
      <c r="Q723">
        <v>-1.4983649999999999E-2</v>
      </c>
      <c r="R723">
        <v>-0.11606859999999999</v>
      </c>
      <c r="S723">
        <v>2.9104770000000002</v>
      </c>
      <c r="T723">
        <v>-0.28815059999999998</v>
      </c>
      <c r="U723">
        <v>-0.93637079999999995</v>
      </c>
      <c r="V723">
        <v>6.2987420000000002E-2</v>
      </c>
      <c r="W723">
        <v>-1.2423410000000001E-3</v>
      </c>
      <c r="X723">
        <v>0.99801359999999995</v>
      </c>
      <c r="Y723">
        <v>0.25422840000000002</v>
      </c>
      <c r="Z723">
        <v>-7.1268590000000001E-3</v>
      </c>
      <c r="AA723">
        <v>0.96711800000000003</v>
      </c>
      <c r="AB723">
        <v>29</v>
      </c>
      <c r="AC723">
        <v>10.8385999999999</v>
      </c>
      <c r="AD723">
        <v>-1.101028944261</v>
      </c>
      <c r="AE723">
        <v>-3.5592999999999999</v>
      </c>
      <c r="AF723">
        <v>2.9493550137300999</v>
      </c>
      <c r="AG723">
        <v>-1.101028944261</v>
      </c>
      <c r="AH723">
        <v>10.911191599580601</v>
      </c>
      <c r="AI723">
        <v>95.5637560709783</v>
      </c>
      <c r="AJ723">
        <v>74.8741120276337</v>
      </c>
      <c r="AK723">
        <v>11.3562785214116</v>
      </c>
    </row>
    <row r="724" spans="1:37" x14ac:dyDescent="0.2">
      <c r="A724" t="str">
        <f>"20200111160112495"</f>
        <v>20200111160112495</v>
      </c>
      <c r="B724" t="str">
        <f>"1578729672491782"</f>
        <v>1578729672491782</v>
      </c>
      <c r="C724" t="s">
        <v>37</v>
      </c>
      <c r="D724">
        <v>5.1269849999999897</v>
      </c>
      <c r="E724">
        <v>0.58876790000000001</v>
      </c>
      <c r="F724" t="s">
        <v>38</v>
      </c>
      <c r="G724">
        <v>-221.6422</v>
      </c>
      <c r="H724" s="1">
        <v>-4.3715800000000001E-6</v>
      </c>
      <c r="I724">
        <v>365.08510000000001</v>
      </c>
      <c r="J724">
        <v>-232.99610000000001</v>
      </c>
      <c r="K724">
        <v>1.1010249999999999</v>
      </c>
      <c r="L724">
        <v>369.0881</v>
      </c>
      <c r="M724">
        <v>0.99822749999999905</v>
      </c>
      <c r="N724">
        <v>0</v>
      </c>
      <c r="O724">
        <v>-5.7769750000000002E-2</v>
      </c>
      <c r="P724">
        <v>0.99250369999999999</v>
      </c>
      <c r="Q724">
        <v>-1.556624E-2</v>
      </c>
      <c r="R724">
        <v>-0.12121999999999999</v>
      </c>
      <c r="S724">
        <v>2.8995060000000001</v>
      </c>
      <c r="T724">
        <v>-0.27419650000000001</v>
      </c>
      <c r="U724">
        <v>-1.0019530000000001</v>
      </c>
      <c r="V724">
        <v>6.3661629999999997E-2</v>
      </c>
      <c r="W724">
        <v>-1.8315709999999999E-3</v>
      </c>
      <c r="X724">
        <v>0.99796989999999997</v>
      </c>
      <c r="Y724">
        <v>0.27061209999999902</v>
      </c>
      <c r="Z724">
        <v>-7.1254869999999998E-3</v>
      </c>
      <c r="AA724">
        <v>0.96266209999999997</v>
      </c>
      <c r="AB724">
        <v>29</v>
      </c>
      <c r="AC724">
        <v>11.353899999999999</v>
      </c>
      <c r="AD724">
        <v>-1.1010293715799999</v>
      </c>
      <c r="AE724">
        <v>-4.0029999999999797</v>
      </c>
      <c r="AF724">
        <v>3.3126268373571599</v>
      </c>
      <c r="AG724">
        <v>-1.1010293715799999</v>
      </c>
      <c r="AH724">
        <v>11.470270679428999</v>
      </c>
      <c r="AI724">
        <v>95.268968089510494</v>
      </c>
      <c r="AJ724">
        <v>73.891224140854305</v>
      </c>
      <c r="AK724">
        <v>11.9896985658535</v>
      </c>
    </row>
    <row r="725" spans="1:37" x14ac:dyDescent="0.2">
      <c r="A725" t="str">
        <f>"20200111160112520"</f>
        <v>20200111160112520</v>
      </c>
      <c r="B725" t="str">
        <f>"1578729672511302"</f>
        <v>1578729672511302</v>
      </c>
      <c r="C725" t="s">
        <v>37</v>
      </c>
      <c r="D725">
        <v>5.1160899999999998</v>
      </c>
      <c r="E725">
        <v>0.58976169999999895</v>
      </c>
      <c r="F725" t="s">
        <v>38</v>
      </c>
      <c r="G725">
        <v>-220.99599999999899</v>
      </c>
      <c r="H725" s="1">
        <v>-4.7120209999999999E-6</v>
      </c>
      <c r="I725">
        <v>364.7287</v>
      </c>
      <c r="J725">
        <v>-232.69120000000001</v>
      </c>
      <c r="K725">
        <v>1.101029</v>
      </c>
      <c r="L725">
        <v>369.0652</v>
      </c>
      <c r="M725">
        <v>0.99794110000000003</v>
      </c>
      <c r="N725">
        <v>0</v>
      </c>
      <c r="O725">
        <v>-6.2521670000000001E-2</v>
      </c>
      <c r="P725">
        <v>0.99193799999999899</v>
      </c>
      <c r="Q725">
        <v>-1.5709089999999998E-2</v>
      </c>
      <c r="R725">
        <v>-0.12574649999999901</v>
      </c>
      <c r="S725">
        <v>2.8902589999999999</v>
      </c>
      <c r="T725">
        <v>-0.26518320000000001</v>
      </c>
      <c r="U725">
        <v>-1.049957</v>
      </c>
      <c r="V725">
        <v>6.3462119999999997E-2</v>
      </c>
      <c r="W725">
        <v>-1.9726979999999902E-3</v>
      </c>
      <c r="X725">
        <v>0.99798229999999999</v>
      </c>
      <c r="Y725">
        <v>0.28119690000000003</v>
      </c>
      <c r="Z725">
        <v>-6.9457260000000002E-3</v>
      </c>
      <c r="AA725">
        <v>0.9596249</v>
      </c>
      <c r="AB725">
        <v>29</v>
      </c>
      <c r="AC725">
        <v>11.6952</v>
      </c>
      <c r="AD725">
        <v>-1.1010337120210001</v>
      </c>
      <c r="AE725">
        <v>-4.3365</v>
      </c>
      <c r="AF725">
        <v>3.5689276482163499</v>
      </c>
      <c r="AG725">
        <v>-1.1010337120210001</v>
      </c>
      <c r="AH725">
        <v>11.8511259471882</v>
      </c>
      <c r="AI725">
        <v>95.083600118484398</v>
      </c>
      <c r="AJ725">
        <v>73.240497805651302</v>
      </c>
      <c r="AK725">
        <v>12.4257275847062</v>
      </c>
    </row>
    <row r="726" spans="1:37" x14ac:dyDescent="0.2">
      <c r="A726" t="str">
        <f>"20200111160112540"</f>
        <v>20200111160112540</v>
      </c>
      <c r="B726" t="str">
        <f>"1578729672531798"</f>
        <v>1578729672531798</v>
      </c>
      <c r="C726" t="s">
        <v>37</v>
      </c>
      <c r="D726">
        <v>5.1272479999999998</v>
      </c>
      <c r="E726">
        <v>0.59041350000000004</v>
      </c>
      <c r="F726" t="s">
        <v>38</v>
      </c>
      <c r="G726">
        <v>-220.64240000000001</v>
      </c>
      <c r="H726" s="1">
        <v>-4.8883549999999999E-6</v>
      </c>
      <c r="I726">
        <v>364.58960000000002</v>
      </c>
      <c r="J726">
        <v>-232.42410000000001</v>
      </c>
      <c r="K726">
        <v>1.1010329999999999</v>
      </c>
      <c r="L726">
        <v>369.04390000000001</v>
      </c>
      <c r="M726">
        <v>0.997671999999999</v>
      </c>
      <c r="N726">
        <v>0</v>
      </c>
      <c r="O726">
        <v>-6.6681359999999995E-2</v>
      </c>
      <c r="P726">
        <v>0.99147919999999901</v>
      </c>
      <c r="Q726">
        <v>-1.6189510000000001E-2</v>
      </c>
      <c r="R726">
        <v>-0.12925529999999999</v>
      </c>
      <c r="S726">
        <v>2.8843990000000002</v>
      </c>
      <c r="T726">
        <v>-0.26357900000000001</v>
      </c>
      <c r="U726">
        <v>-1.0714109999999999</v>
      </c>
      <c r="V726">
        <v>6.2829330000000003E-2</v>
      </c>
      <c r="W726">
        <v>-2.4475199999999999E-3</v>
      </c>
      <c r="X726">
        <v>0.9980213</v>
      </c>
      <c r="Y726">
        <v>0.28412290000000001</v>
      </c>
      <c r="Z726">
        <v>-6.673404E-3</v>
      </c>
      <c r="AA726">
        <v>0.95876469999999903</v>
      </c>
      <c r="AB726">
        <v>28</v>
      </c>
      <c r="AC726">
        <v>11.781700000000001</v>
      </c>
      <c r="AD726">
        <v>-1.1010378883549901</v>
      </c>
      <c r="AE726">
        <v>-4.4542999999999804</v>
      </c>
      <c r="AF726">
        <v>3.6309390901135501</v>
      </c>
      <c r="AG726">
        <v>-1.1010378883549901</v>
      </c>
      <c r="AH726">
        <v>11.9611230920608</v>
      </c>
      <c r="AI726">
        <v>95.033759315809604</v>
      </c>
      <c r="AJ726">
        <v>73.113718239399404</v>
      </c>
      <c r="AK726">
        <v>12.5484847185283</v>
      </c>
    </row>
    <row r="727" spans="1:37" x14ac:dyDescent="0.2">
      <c r="A727" t="str">
        <f>"20200111160112564"</f>
        <v>20200111160112564</v>
      </c>
      <c r="B727" t="str">
        <f>"1578729672551318"</f>
        <v>1578729672551318</v>
      </c>
      <c r="C727" t="s">
        <v>37</v>
      </c>
      <c r="D727">
        <v>5.1028900000000004</v>
      </c>
      <c r="E727">
        <v>0.59090169999999997</v>
      </c>
      <c r="F727" t="s">
        <v>38</v>
      </c>
      <c r="G727">
        <v>-220.37020000000001</v>
      </c>
      <c r="H727" s="1">
        <v>-5.0223079999999902E-6</v>
      </c>
      <c r="I727">
        <v>364.49279999999999</v>
      </c>
      <c r="J727">
        <v>-232.1353</v>
      </c>
      <c r="K727">
        <v>1.101035</v>
      </c>
      <c r="L727">
        <v>369.0197</v>
      </c>
      <c r="M727">
        <v>0.99736150000000001</v>
      </c>
      <c r="N727">
        <v>0</v>
      </c>
      <c r="O727">
        <v>-7.1174909999999994E-2</v>
      </c>
      <c r="P727">
        <v>0.99106719999999904</v>
      </c>
      <c r="Q727">
        <v>-1.6711159999999999E-2</v>
      </c>
      <c r="R727">
        <v>-0.1323126</v>
      </c>
      <c r="S727">
        <v>2.8797299999999999</v>
      </c>
      <c r="T727">
        <v>-0.2630419</v>
      </c>
      <c r="U727">
        <v>-1.08728</v>
      </c>
      <c r="V727">
        <v>6.1408209999999998E-2</v>
      </c>
      <c r="W727">
        <v>-2.9565669999999998E-3</v>
      </c>
      <c r="X727">
        <v>0.99810829999999995</v>
      </c>
      <c r="Y727">
        <v>0.28496100000000002</v>
      </c>
      <c r="Z727">
        <v>-6.3080369999999998E-3</v>
      </c>
      <c r="AA727">
        <v>0.95851830000000005</v>
      </c>
      <c r="AB727">
        <v>28</v>
      </c>
      <c r="AC727">
        <v>11.765099999999901</v>
      </c>
      <c r="AD727">
        <v>-1.1010400223079999</v>
      </c>
      <c r="AE727">
        <v>-4.5269000000000101</v>
      </c>
      <c r="AF727">
        <v>3.6501055494955099</v>
      </c>
      <c r="AG727">
        <v>-1.1010400223079999</v>
      </c>
      <c r="AH727">
        <v>11.966203160403801</v>
      </c>
      <c r="AI727">
        <v>95.029590015294403</v>
      </c>
      <c r="AJ727">
        <v>73.036482367277102</v>
      </c>
      <c r="AK727">
        <v>12.5588844142002</v>
      </c>
    </row>
    <row r="728" spans="1:37" x14ac:dyDescent="0.2">
      <c r="A728" t="str">
        <f>"20200111160112586"</f>
        <v>20200111160112586</v>
      </c>
      <c r="B728" t="str">
        <f>"1578729672581575"</f>
        <v>1578729672581575</v>
      </c>
      <c r="C728" t="s">
        <v>37</v>
      </c>
      <c r="D728">
        <v>5.099399</v>
      </c>
      <c r="E728">
        <v>0.59143730000000005</v>
      </c>
      <c r="F728" t="s">
        <v>38</v>
      </c>
      <c r="G728">
        <v>-220.15559999999999</v>
      </c>
      <c r="H728" s="1">
        <v>-5.1243229999999998E-6</v>
      </c>
      <c r="I728">
        <v>364.4366</v>
      </c>
      <c r="J728">
        <v>-231.8451</v>
      </c>
      <c r="K728">
        <v>1.101037</v>
      </c>
      <c r="L728">
        <v>368.9941</v>
      </c>
      <c r="M728">
        <v>0.99702919999999995</v>
      </c>
      <c r="N728">
        <v>0</v>
      </c>
      <c r="O728">
        <v>-7.5685489999999994E-2</v>
      </c>
      <c r="P728">
        <v>0.9906471</v>
      </c>
      <c r="Q728">
        <v>-1.6925840000000001E-2</v>
      </c>
      <c r="R728">
        <v>-0.13539489999999901</v>
      </c>
      <c r="S728">
        <v>2.8757169999999999</v>
      </c>
      <c r="T728">
        <v>-0.26430379999999998</v>
      </c>
      <c r="U728">
        <v>-1.1001590000000001</v>
      </c>
      <c r="V728">
        <v>5.9996960000000002E-2</v>
      </c>
      <c r="W728">
        <v>-3.1589459999999902E-3</v>
      </c>
      <c r="X728">
        <v>0.99819360000000001</v>
      </c>
      <c r="Y728">
        <v>0.28482759999999901</v>
      </c>
      <c r="Z728">
        <v>-5.9397169999999997E-3</v>
      </c>
      <c r="AA728">
        <v>0.95856030000000003</v>
      </c>
      <c r="AB728">
        <v>28</v>
      </c>
      <c r="AC728">
        <v>11.689500000000001</v>
      </c>
      <c r="AD728">
        <v>-1.101042124323</v>
      </c>
      <c r="AE728">
        <v>-4.5575000000000001</v>
      </c>
      <c r="AF728">
        <v>3.6316410513866799</v>
      </c>
      <c r="AG728">
        <v>-1.101042124323</v>
      </c>
      <c r="AH728">
        <v>11.9092206262657</v>
      </c>
      <c r="AI728">
        <v>95.053668130532898</v>
      </c>
      <c r="AJ728">
        <v>73.041248678896096</v>
      </c>
      <c r="AK728">
        <v>12.499225832455499</v>
      </c>
    </row>
    <row r="729" spans="1:37" x14ac:dyDescent="0.2">
      <c r="A729" t="str">
        <f>"20200111160112608"</f>
        <v>20200111160112608</v>
      </c>
      <c r="B729" t="str">
        <f>"1578729672601094"</f>
        <v>1578729672601094</v>
      </c>
      <c r="C729" t="s">
        <v>37</v>
      </c>
      <c r="D729">
        <v>5.080552</v>
      </c>
      <c r="E729">
        <v>0.59181079999999997</v>
      </c>
      <c r="F729" t="s">
        <v>38</v>
      </c>
      <c r="G729">
        <v>-219.88650000000001</v>
      </c>
      <c r="H729" s="1">
        <v>-1.4238429999999999E-6</v>
      </c>
      <c r="I729">
        <v>364.35789999999997</v>
      </c>
      <c r="J729">
        <v>-231.55250000000001</v>
      </c>
      <c r="K729">
        <v>1.101035</v>
      </c>
      <c r="L729">
        <v>368.96690000000001</v>
      </c>
      <c r="M729">
        <v>0.99667359999999905</v>
      </c>
      <c r="N729">
        <v>0</v>
      </c>
      <c r="O729">
        <v>-8.0233959999999993E-2</v>
      </c>
      <c r="P729">
        <v>0.99021700000000001</v>
      </c>
      <c r="Q729">
        <v>-1.8000450000000001E-2</v>
      </c>
      <c r="R729">
        <v>-0.13837070000000001</v>
      </c>
      <c r="S729">
        <v>2.8716279999999998</v>
      </c>
      <c r="T729">
        <v>-0.26439119999999999</v>
      </c>
      <c r="U729">
        <v>-1.113281</v>
      </c>
      <c r="V729">
        <v>5.8434109999999997E-2</v>
      </c>
      <c r="W729">
        <v>-4.220316E-3</v>
      </c>
      <c r="X729">
        <v>0.99828240000000001</v>
      </c>
      <c r="Y729">
        <v>0.28474050000000001</v>
      </c>
      <c r="Z729">
        <v>-5.5417159999999899E-3</v>
      </c>
      <c r="AA729">
        <v>0.95858860000000001</v>
      </c>
      <c r="AB729">
        <v>28</v>
      </c>
      <c r="AC729">
        <v>11.665999999999899</v>
      </c>
      <c r="AD729">
        <v>-1.1010364238429999</v>
      </c>
      <c r="AE729">
        <v>-4.6090000000000302</v>
      </c>
      <c r="AF729">
        <v>3.6300634599541399</v>
      </c>
      <c r="AG729">
        <v>-1.1010364238429999</v>
      </c>
      <c r="AH729">
        <v>11.906479343337701</v>
      </c>
      <c r="AI729">
        <v>95.054886982091901</v>
      </c>
      <c r="AJ729">
        <v>73.044514046675403</v>
      </c>
      <c r="AK729">
        <v>12.4961550999998</v>
      </c>
    </row>
    <row r="730" spans="1:37" x14ac:dyDescent="0.2">
      <c r="A730" t="str">
        <f>"20200111160112630"</f>
        <v>20200111160112630</v>
      </c>
      <c r="B730" t="str">
        <f>"1578729672621590"</f>
        <v>1578729672621590</v>
      </c>
      <c r="C730" t="s">
        <v>37</v>
      </c>
      <c r="D730">
        <v>5.0898199999999996</v>
      </c>
      <c r="E730">
        <v>0.59184910000000002</v>
      </c>
      <c r="F730" t="s">
        <v>38</v>
      </c>
      <c r="G730">
        <v>-219.70500000000001</v>
      </c>
      <c r="H730" s="1">
        <v>-1.4964669999999999E-6</v>
      </c>
      <c r="I730">
        <v>364.31709999999998</v>
      </c>
      <c r="J730">
        <v>-231.2885</v>
      </c>
      <c r="K730">
        <v>1.1010389999999901</v>
      </c>
      <c r="L730">
        <v>368.94110000000001</v>
      </c>
      <c r="M730">
        <v>0.99633470000000002</v>
      </c>
      <c r="N730">
        <v>0</v>
      </c>
      <c r="O730">
        <v>-8.4338410000000003E-2</v>
      </c>
      <c r="P730">
        <v>0.98983149999999998</v>
      </c>
      <c r="Q730">
        <v>-1.8344889999999999E-2</v>
      </c>
      <c r="R730">
        <v>-0.1410564</v>
      </c>
      <c r="S730">
        <v>2.8675380000000001</v>
      </c>
      <c r="T730">
        <v>-0.26649149999999999</v>
      </c>
      <c r="U730">
        <v>-1.125427</v>
      </c>
      <c r="V730">
        <v>5.702861E-2</v>
      </c>
      <c r="W730">
        <v>-4.5530049999999997E-3</v>
      </c>
      <c r="X730">
        <v>0.99836219999999998</v>
      </c>
      <c r="Y730">
        <v>0.28477999999999998</v>
      </c>
      <c r="Z730">
        <v>-5.2275519999999999E-3</v>
      </c>
      <c r="AA730">
        <v>0.95857859999999995</v>
      </c>
      <c r="AB730">
        <v>28</v>
      </c>
      <c r="AC730">
        <v>11.5834999999999</v>
      </c>
      <c r="AD730">
        <v>-1.101040496467</v>
      </c>
      <c r="AE730">
        <v>-4.6240000000000201</v>
      </c>
      <c r="AF730">
        <v>3.6024142896896398</v>
      </c>
      <c r="AG730">
        <v>-1.101040496467</v>
      </c>
      <c r="AH730">
        <v>11.8399717113617</v>
      </c>
      <c r="AI730">
        <v>95.084029317464797</v>
      </c>
      <c r="AJ730">
        <v>73.077161185124297</v>
      </c>
      <c r="AK730">
        <v>12.4247579057004</v>
      </c>
    </row>
    <row r="731" spans="1:37" x14ac:dyDescent="0.2">
      <c r="A731" t="str">
        <f>"20200111160112651"</f>
        <v>20200111160112651</v>
      </c>
      <c r="B731" t="str">
        <f>"1578729672641110"</f>
        <v>1578729672641110</v>
      </c>
      <c r="C731" t="s">
        <v>37</v>
      </c>
      <c r="D731">
        <v>5.0541</v>
      </c>
      <c r="E731">
        <v>0.55253209999999997</v>
      </c>
      <c r="F731" t="s">
        <v>38</v>
      </c>
      <c r="G731">
        <v>-219.48230000000001</v>
      </c>
      <c r="H731" s="1">
        <v>-1.585173E-6</v>
      </c>
      <c r="I731">
        <v>364.26859999999999</v>
      </c>
      <c r="J731">
        <v>-231.01259999999999</v>
      </c>
      <c r="K731">
        <v>1.1010450000000001</v>
      </c>
      <c r="L731">
        <v>368.91309999999999</v>
      </c>
      <c r="M731">
        <v>0.99596240000000003</v>
      </c>
      <c r="N731">
        <v>0</v>
      </c>
      <c r="O731">
        <v>-8.8627730000000002E-2</v>
      </c>
      <c r="P731">
        <v>0.98944799999999999</v>
      </c>
      <c r="Q731">
        <v>-1.9637229999999999E-2</v>
      </c>
      <c r="R731">
        <v>-0.1435515</v>
      </c>
      <c r="S731">
        <v>2.8643040000000002</v>
      </c>
      <c r="T731">
        <v>-0.267123</v>
      </c>
      <c r="U731">
        <v>-1.1336059999999999</v>
      </c>
      <c r="V731">
        <v>5.5238589999999997E-2</v>
      </c>
      <c r="W731">
        <v>-5.8304019999999897E-3</v>
      </c>
      <c r="X731">
        <v>0.99845620000000002</v>
      </c>
      <c r="Y731">
        <v>0.28340709999999902</v>
      </c>
      <c r="Z731">
        <v>-4.800861E-3</v>
      </c>
      <c r="AA731">
        <v>0.9589877</v>
      </c>
      <c r="AB731">
        <v>28</v>
      </c>
      <c r="AC731">
        <v>11.530299999999899</v>
      </c>
      <c r="AD731">
        <v>-1.101046585173</v>
      </c>
      <c r="AE731">
        <v>-4.6444999999999901</v>
      </c>
      <c r="AF731">
        <v>3.5761534923112599</v>
      </c>
      <c r="AG731">
        <v>-1.101046585173</v>
      </c>
      <c r="AH731">
        <v>11.803980502947301</v>
      </c>
      <c r="AI731">
        <v>95.101306620068797</v>
      </c>
      <c r="AJ731">
        <v>73.145203636042794</v>
      </c>
      <c r="AK731">
        <v>12.382856419148601</v>
      </c>
    </row>
    <row r="732" spans="1:37" x14ac:dyDescent="0.2">
      <c r="A732" t="str">
        <f>"20200111160112675"</f>
        <v>20200111160112675</v>
      </c>
      <c r="B732" t="str">
        <f>"1578729672671366"</f>
        <v>1578729672671366</v>
      </c>
      <c r="C732" t="s">
        <v>37</v>
      </c>
      <c r="D732">
        <v>5.0057299999999998</v>
      </c>
      <c r="E732">
        <v>0.53691599999999995</v>
      </c>
      <c r="F732" t="s">
        <v>42</v>
      </c>
      <c r="G732">
        <v>-230.12909999999999</v>
      </c>
      <c r="H732">
        <v>0.941996099999999</v>
      </c>
      <c r="I732">
        <v>368.66649999999998</v>
      </c>
      <c r="J732">
        <v>-230.72219999999999</v>
      </c>
      <c r="K732">
        <v>1.101048</v>
      </c>
      <c r="L732">
        <v>368.88209999999998</v>
      </c>
      <c r="M732">
        <v>0.99555020000000005</v>
      </c>
      <c r="N732">
        <v>0</v>
      </c>
      <c r="O732">
        <v>-9.3143149999999994E-2</v>
      </c>
      <c r="P732">
        <v>0.98889830000000001</v>
      </c>
      <c r="Q732">
        <v>-2.0955620000000001E-2</v>
      </c>
      <c r="R732">
        <v>-0.14710879999999901</v>
      </c>
      <c r="S732">
        <v>2.90405299999999</v>
      </c>
      <c r="T732">
        <v>-0.52272180000000001</v>
      </c>
      <c r="U732">
        <v>-0.81024169999999995</v>
      </c>
      <c r="V732">
        <v>5.4293380000000002E-2</v>
      </c>
      <c r="W732">
        <v>-7.1418319999999999E-3</v>
      </c>
      <c r="X732">
        <v>0.99849949999999998</v>
      </c>
      <c r="Y732">
        <v>0.1766057</v>
      </c>
      <c r="Z732">
        <v>7.8087770000000005E-4</v>
      </c>
      <c r="AA732">
        <v>0.98428139999999997</v>
      </c>
      <c r="AB732">
        <v>28</v>
      </c>
      <c r="AC732">
        <v>0.59309999999999197</v>
      </c>
      <c r="AD732">
        <v>-0.1590519</v>
      </c>
      <c r="AE732">
        <v>-0.21559999999999399</v>
      </c>
      <c r="AF732">
        <v>0.149892306920171</v>
      </c>
      <c r="AG732">
        <v>-0.1590519</v>
      </c>
      <c r="AH732">
        <v>0.57413489705385701</v>
      </c>
      <c r="AI732">
        <v>105.00508892928799</v>
      </c>
      <c r="AJ732">
        <v>75.368102387146394</v>
      </c>
      <c r="AK732">
        <v>0.614325720267761</v>
      </c>
    </row>
    <row r="733" spans="1:37" x14ac:dyDescent="0.2">
      <c r="A733" t="str">
        <f>"20200111160112698"</f>
        <v>20200111160112698</v>
      </c>
      <c r="B733" t="str">
        <f>"1578729672691863"</f>
        <v>1578729672691863</v>
      </c>
      <c r="C733" t="s">
        <v>37</v>
      </c>
      <c r="D733">
        <v>5.0229179999999998</v>
      </c>
      <c r="E733">
        <v>0.5340916</v>
      </c>
      <c r="F733" t="s">
        <v>42</v>
      </c>
      <c r="G733">
        <v>-229.8886</v>
      </c>
      <c r="H733">
        <v>0.91278599999999999</v>
      </c>
      <c r="I733">
        <v>368.68540000000002</v>
      </c>
      <c r="J733">
        <v>-230.4221</v>
      </c>
      <c r="K733">
        <v>1.101051</v>
      </c>
      <c r="L733">
        <v>368.84879999999998</v>
      </c>
      <c r="M733">
        <v>0.99510189999999998</v>
      </c>
      <c r="N733">
        <v>0</v>
      </c>
      <c r="O733">
        <v>-9.7818829999999996E-2</v>
      </c>
      <c r="P733">
        <v>0.98821919999999996</v>
      </c>
      <c r="Q733">
        <v>-2.178654E-2</v>
      </c>
      <c r="R733">
        <v>-0.1514884</v>
      </c>
      <c r="S733">
        <v>2.917465</v>
      </c>
      <c r="T733">
        <v>-0.65860750000000001</v>
      </c>
      <c r="U733">
        <v>-0.68743900000000002</v>
      </c>
      <c r="V733">
        <v>5.4021470000000002E-2</v>
      </c>
      <c r="W733">
        <v>-7.9723069999999997E-3</v>
      </c>
      <c r="X733">
        <v>0.99850799999999995</v>
      </c>
      <c r="Y733">
        <v>0.13220580000000001</v>
      </c>
      <c r="Z733">
        <v>6.8945780000000002E-3</v>
      </c>
      <c r="AA733">
        <v>0.99119829999999998</v>
      </c>
      <c r="AB733">
        <v>28</v>
      </c>
      <c r="AC733">
        <v>0.53350000000000297</v>
      </c>
      <c r="AD733">
        <v>-0.18826499999999899</v>
      </c>
      <c r="AE733">
        <v>-0.16339999999996699</v>
      </c>
      <c r="AF733">
        <v>9.9137800981489499E-2</v>
      </c>
      <c r="AG733">
        <v>-0.18826499999999899</v>
      </c>
      <c r="AH733">
        <v>0.49102356860296797</v>
      </c>
      <c r="AI733">
        <v>110.597714707054</v>
      </c>
      <c r="AJ733">
        <v>78.585414918793106</v>
      </c>
      <c r="AK733">
        <v>0.535141251196391</v>
      </c>
    </row>
    <row r="734" spans="1:37" x14ac:dyDescent="0.2">
      <c r="A734" t="str">
        <f>"20200111160112720"</f>
        <v>20200111160112720</v>
      </c>
      <c r="B734" t="str">
        <f>"1578729672711382"</f>
        <v>1578729672711382</v>
      </c>
      <c r="C734" t="s">
        <v>37</v>
      </c>
      <c r="D734">
        <v>5.0058590000000001</v>
      </c>
      <c r="E734">
        <v>0.53291080000000002</v>
      </c>
      <c r="F734" t="s">
        <v>42</v>
      </c>
      <c r="G734">
        <v>-229.6353</v>
      </c>
      <c r="H734">
        <v>0.91627549999999902</v>
      </c>
      <c r="I734">
        <v>368.6662</v>
      </c>
      <c r="J734">
        <v>-230.15700000000001</v>
      </c>
      <c r="K734">
        <v>1.1010530000000001</v>
      </c>
      <c r="L734">
        <v>368.81810000000002</v>
      </c>
      <c r="M734">
        <v>0.99468630000000002</v>
      </c>
      <c r="N734">
        <v>0</v>
      </c>
      <c r="O734">
        <v>-0.10195849999999999</v>
      </c>
      <c r="P734">
        <v>0.98746089999999997</v>
      </c>
      <c r="Q734">
        <v>-2.2345259999999999E-2</v>
      </c>
      <c r="R734">
        <v>-0.1562752</v>
      </c>
      <c r="S734">
        <v>2.9169619999999998</v>
      </c>
      <c r="T734">
        <v>-0.68499160000000003</v>
      </c>
      <c r="U734">
        <v>-0.67630000000000001</v>
      </c>
      <c r="V734">
        <v>5.4701880000000001E-2</v>
      </c>
      <c r="W734">
        <v>-8.5393810000000004E-3</v>
      </c>
      <c r="X734">
        <v>0.99846619999999997</v>
      </c>
      <c r="Y734">
        <v>0.124756399999999</v>
      </c>
      <c r="Z734">
        <v>8.9592519999999991E-3</v>
      </c>
      <c r="AA734">
        <v>0.992146999999999</v>
      </c>
      <c r="AB734">
        <v>28</v>
      </c>
      <c r="AC734">
        <v>0.52170000000000905</v>
      </c>
      <c r="AD734">
        <v>-0.18477750000000001</v>
      </c>
      <c r="AE734">
        <v>-0.151900000000011</v>
      </c>
      <c r="AF734">
        <v>8.7762069679604607E-2</v>
      </c>
      <c r="AG734">
        <v>-0.18477750000000001</v>
      </c>
      <c r="AH734">
        <v>0.47906914668813499</v>
      </c>
      <c r="AI734">
        <v>110.776123414205</v>
      </c>
      <c r="AJ734">
        <v>79.618926573906805</v>
      </c>
      <c r="AK734">
        <v>0.52091472688838003</v>
      </c>
    </row>
    <row r="735" spans="1:37" x14ac:dyDescent="0.2">
      <c r="A735" t="str">
        <f>"20200111160112742"</f>
        <v>20200111160112742</v>
      </c>
      <c r="B735" t="str">
        <f>"1578729672731878"</f>
        <v>1578729672731878</v>
      </c>
      <c r="C735" t="s">
        <v>37</v>
      </c>
      <c r="D735">
        <v>5.0103619999999998</v>
      </c>
      <c r="E735">
        <v>0.53223089999999995</v>
      </c>
      <c r="F735" t="s">
        <v>42</v>
      </c>
      <c r="G735">
        <v>-229.38499999999999</v>
      </c>
      <c r="H735">
        <v>0.9150625</v>
      </c>
      <c r="I735">
        <v>368.63749999999999</v>
      </c>
      <c r="J735">
        <v>-229.8734</v>
      </c>
      <c r="K735">
        <v>1.1010469999999899</v>
      </c>
      <c r="L735">
        <v>368.78410000000002</v>
      </c>
      <c r="M735">
        <v>0.994220199999999</v>
      </c>
      <c r="N735">
        <v>0</v>
      </c>
      <c r="O735">
        <v>-0.106406999999999</v>
      </c>
      <c r="P735">
        <v>0.98669289999999998</v>
      </c>
      <c r="Q735">
        <v>-2.1387059999999999E-2</v>
      </c>
      <c r="R735">
        <v>-0.16118209999999999</v>
      </c>
      <c r="S735">
        <v>2.9144739999999998</v>
      </c>
      <c r="T735">
        <v>-0.70188159999999999</v>
      </c>
      <c r="U735">
        <v>-0.68078609999999995</v>
      </c>
      <c r="V735">
        <v>5.5204349999999999E-2</v>
      </c>
      <c r="W735">
        <v>-7.588338E-3</v>
      </c>
      <c r="X735">
        <v>0.99844619999999995</v>
      </c>
      <c r="Y735">
        <v>0.12211329999999999</v>
      </c>
      <c r="Z735">
        <v>1.052195E-2</v>
      </c>
      <c r="AA735">
        <v>0.99246039999999902</v>
      </c>
      <c r="AB735">
        <v>28</v>
      </c>
      <c r="AC735">
        <v>0.48840000000001199</v>
      </c>
      <c r="AD735">
        <v>-0.185984499999999</v>
      </c>
      <c r="AE735">
        <v>-0.14660000000003401</v>
      </c>
      <c r="AF735">
        <v>8.2781028884140795E-2</v>
      </c>
      <c r="AG735">
        <v>-0.185984499999999</v>
      </c>
      <c r="AH735">
        <v>0.44237950079788702</v>
      </c>
      <c r="AI735">
        <v>112.452640980539</v>
      </c>
      <c r="AJ735">
        <v>79.401006636508001</v>
      </c>
      <c r="AK735">
        <v>0.48697284904761801</v>
      </c>
    </row>
    <row r="736" spans="1:37" x14ac:dyDescent="0.2">
      <c r="A736" t="str">
        <f>"20200111160112764"</f>
        <v>20200111160112764</v>
      </c>
      <c r="B736" t="str">
        <f>"1578729672761158"</f>
        <v>1578729672761158</v>
      </c>
      <c r="C736" t="s">
        <v>37</v>
      </c>
      <c r="D736">
        <v>4.9678579999999997</v>
      </c>
      <c r="E736">
        <v>0.5313137</v>
      </c>
      <c r="F736" t="s">
        <v>42</v>
      </c>
      <c r="G736">
        <v>-229.1318</v>
      </c>
      <c r="H736">
        <v>0.92082260000000005</v>
      </c>
      <c r="I736">
        <v>368.60820000000001</v>
      </c>
      <c r="J736">
        <v>-229.60050000000001</v>
      </c>
      <c r="K736">
        <v>1.101035</v>
      </c>
      <c r="L736">
        <v>368.75020000000001</v>
      </c>
      <c r="M736">
        <v>0.99374979999999902</v>
      </c>
      <c r="N736">
        <v>0</v>
      </c>
      <c r="O736">
        <v>-0.1107146</v>
      </c>
      <c r="P736">
        <v>0.98593209999999998</v>
      </c>
      <c r="Q736">
        <v>-1.9945839999999999E-2</v>
      </c>
      <c r="R736">
        <v>-0.16595370000000001</v>
      </c>
      <c r="S736">
        <v>2.912369</v>
      </c>
      <c r="T736">
        <v>-0.70763779999999998</v>
      </c>
      <c r="U736">
        <v>-0.69033809999999995</v>
      </c>
      <c r="V736">
        <v>5.5715840000000003E-2</v>
      </c>
      <c r="W736">
        <v>-6.154667E-3</v>
      </c>
      <c r="X736">
        <v>0.99842770000000003</v>
      </c>
      <c r="Y736">
        <v>0.1211908</v>
      </c>
      <c r="Z736">
        <v>1.172465E-2</v>
      </c>
      <c r="AA736">
        <v>0.99256</v>
      </c>
      <c r="AB736">
        <v>28</v>
      </c>
      <c r="AC736">
        <v>0.468700000000012</v>
      </c>
      <c r="AD736">
        <v>-0.180212399999999</v>
      </c>
      <c r="AE736">
        <v>-0.14199999999999499</v>
      </c>
      <c r="AF736">
        <v>7.8588228665359E-2</v>
      </c>
      <c r="AG736">
        <v>-0.180212399999999</v>
      </c>
      <c r="AH736">
        <v>0.42411315095479701</v>
      </c>
      <c r="AI736">
        <v>112.675343145998</v>
      </c>
      <c r="AJ736">
        <v>79.502154760087805</v>
      </c>
      <c r="AK736">
        <v>0.46746613097776901</v>
      </c>
    </row>
    <row r="737" spans="1:37" x14ac:dyDescent="0.2">
      <c r="A737" t="str">
        <f>"20200111160112787"</f>
        <v>20200111160112787</v>
      </c>
      <c r="B737" t="str">
        <f>"1578729672781655"</f>
        <v>1578729672781655</v>
      </c>
      <c r="C737" t="s">
        <v>37</v>
      </c>
      <c r="D737">
        <v>5.0543449999999996</v>
      </c>
      <c r="E737">
        <v>0.53093889999999999</v>
      </c>
      <c r="F737" t="s">
        <v>42</v>
      </c>
      <c r="G737">
        <v>-228.87989999999999</v>
      </c>
      <c r="H737">
        <v>0.92471639999999999</v>
      </c>
      <c r="I737">
        <v>368.57740000000001</v>
      </c>
      <c r="J737">
        <v>-229.31370000000001</v>
      </c>
      <c r="K737">
        <v>1.101027</v>
      </c>
      <c r="L737">
        <v>368.71319999999997</v>
      </c>
      <c r="M737">
        <v>0.99323139999999999</v>
      </c>
      <c r="N737">
        <v>0</v>
      </c>
      <c r="O737">
        <v>-0.115272499999999</v>
      </c>
      <c r="P737">
        <v>0.9852322</v>
      </c>
      <c r="Q737">
        <v>-1.8233570000000001E-2</v>
      </c>
      <c r="R737">
        <v>-0.1702507</v>
      </c>
      <c r="S737">
        <v>2.9110109999999998</v>
      </c>
      <c r="T737">
        <v>-0.71221849999999998</v>
      </c>
      <c r="U737">
        <v>-0.69744869999999903</v>
      </c>
      <c r="V737">
        <v>5.5498779999999998E-2</v>
      </c>
      <c r="W737">
        <v>-4.4438539999999997E-3</v>
      </c>
      <c r="X737">
        <v>0.99844880000000003</v>
      </c>
      <c r="Y737">
        <v>0.11921130000000001</v>
      </c>
      <c r="Z737">
        <v>1.310705E-2</v>
      </c>
      <c r="AA737">
        <v>0.99278239999999995</v>
      </c>
      <c r="AB737">
        <v>28</v>
      </c>
      <c r="AC737">
        <v>0.433800000000019</v>
      </c>
      <c r="AD737">
        <v>-0.17631059999999901</v>
      </c>
      <c r="AE737">
        <v>-0.13579999999996001</v>
      </c>
      <c r="AF737">
        <v>7.3783887096523504E-2</v>
      </c>
      <c r="AG737">
        <v>-0.17631059999999901</v>
      </c>
      <c r="AH737">
        <v>0.38816588845927602</v>
      </c>
      <c r="AI737">
        <v>114.047607419589</v>
      </c>
      <c r="AJ737">
        <v>79.237421682552593</v>
      </c>
      <c r="AK737">
        <v>0.43266874931153898</v>
      </c>
    </row>
    <row r="738" spans="1:37" x14ac:dyDescent="0.2">
      <c r="A738" t="str">
        <f>"20200111160112808"</f>
        <v>20200111160112808</v>
      </c>
      <c r="B738" t="str">
        <f>"1578729672801174"</f>
        <v>1578729672801174</v>
      </c>
      <c r="C738" t="s">
        <v>37</v>
      </c>
      <c r="D738">
        <v>4.9804129999999898</v>
      </c>
      <c r="E738">
        <v>0.53102890000000003</v>
      </c>
      <c r="F738" t="s">
        <v>42</v>
      </c>
      <c r="G738">
        <v>-228.62620000000001</v>
      </c>
      <c r="H738">
        <v>0.93293859999999995</v>
      </c>
      <c r="I738">
        <v>368.54610000000002</v>
      </c>
      <c r="J738">
        <v>-229.035</v>
      </c>
      <c r="K738">
        <v>1.1010169999999999</v>
      </c>
      <c r="L738">
        <v>368.67590000000001</v>
      </c>
      <c r="M738">
        <v>0.992703</v>
      </c>
      <c r="N738">
        <v>0</v>
      </c>
      <c r="O738">
        <v>-0.11973739999999999</v>
      </c>
      <c r="P738">
        <v>0.98458489999999999</v>
      </c>
      <c r="Q738">
        <v>-1.6815159999999999E-2</v>
      </c>
      <c r="R738">
        <v>-0.17409749999999999</v>
      </c>
      <c r="S738">
        <v>2.909592</v>
      </c>
      <c r="T738">
        <v>-0.71147969999999905</v>
      </c>
      <c r="U738">
        <v>-0.70721440000000002</v>
      </c>
      <c r="V738">
        <v>5.4917809999999997E-2</v>
      </c>
      <c r="W738">
        <v>-3.023623E-3</v>
      </c>
      <c r="X738">
        <v>0.99848630000000005</v>
      </c>
      <c r="Y738">
        <v>0.118157</v>
      </c>
      <c r="Z738">
        <v>1.426733E-2</v>
      </c>
      <c r="AA738">
        <v>0.99289240000000001</v>
      </c>
      <c r="AB738">
        <v>28</v>
      </c>
      <c r="AC738">
        <v>0.40879999999998501</v>
      </c>
      <c r="AD738">
        <v>-0.16807839999999899</v>
      </c>
      <c r="AE738">
        <v>-0.12979999999998801</v>
      </c>
      <c r="AF738">
        <v>6.92743425815842E-2</v>
      </c>
      <c r="AG738">
        <v>-0.16807839999999899</v>
      </c>
      <c r="AH738">
        <v>0.36530446146571699</v>
      </c>
      <c r="AI738">
        <v>114.325282681795</v>
      </c>
      <c r="AJ738">
        <v>79.262244149670096</v>
      </c>
      <c r="AK738">
        <v>0.40803998903713801</v>
      </c>
    </row>
    <row r="739" spans="1:37" x14ac:dyDescent="0.2">
      <c r="A739" t="str">
        <f>"20200111160112830"</f>
        <v>20200111160112830</v>
      </c>
      <c r="B739" t="str">
        <f>"1578729672821670"</f>
        <v>1578729672821670</v>
      </c>
      <c r="C739" t="s">
        <v>37</v>
      </c>
      <c r="D739">
        <v>5.0172549999999996</v>
      </c>
      <c r="E739">
        <v>0.54425440000000003</v>
      </c>
      <c r="F739" t="s">
        <v>42</v>
      </c>
      <c r="G739">
        <v>-228.374</v>
      </c>
      <c r="H739">
        <v>0.93890200000000001</v>
      </c>
      <c r="I739">
        <v>368.51229999999998</v>
      </c>
      <c r="J739">
        <v>-228.76949999999999</v>
      </c>
      <c r="K739">
        <v>1.101011</v>
      </c>
      <c r="L739">
        <v>368.63909999999998</v>
      </c>
      <c r="M739">
        <v>0.99217639999999996</v>
      </c>
      <c r="N739">
        <v>0</v>
      </c>
      <c r="O739">
        <v>-0.124026199999999</v>
      </c>
      <c r="P739">
        <v>0.98402319999999999</v>
      </c>
      <c r="Q739">
        <v>-1.612007E-2</v>
      </c>
      <c r="R739">
        <v>-0.17730879999999999</v>
      </c>
      <c r="S739">
        <v>2.9077449999999998</v>
      </c>
      <c r="T739">
        <v>-0.71281079999999997</v>
      </c>
      <c r="U739">
        <v>-0.71853639999999996</v>
      </c>
      <c r="V739">
        <v>5.386494E-2</v>
      </c>
      <c r="W739">
        <v>-2.3222469999999999E-3</v>
      </c>
      <c r="X739">
        <v>0.99854549999999997</v>
      </c>
      <c r="Y739">
        <v>0.1177856</v>
      </c>
      <c r="Z739">
        <v>1.534641E-2</v>
      </c>
      <c r="AA739">
        <v>0.99292049999999998</v>
      </c>
      <c r="AB739">
        <v>28</v>
      </c>
      <c r="AC739">
        <v>0.39549999999996999</v>
      </c>
      <c r="AD739">
        <v>-0.162108999999999</v>
      </c>
      <c r="AE739">
        <v>-0.12680000000000199</v>
      </c>
      <c r="AF739">
        <v>6.6614944903890694E-2</v>
      </c>
      <c r="AG739">
        <v>-0.162108999999999</v>
      </c>
      <c r="AH739">
        <v>0.35421139282046099</v>
      </c>
      <c r="AI739">
        <v>114.217111970575</v>
      </c>
      <c r="AJ739">
        <v>79.349047227833907</v>
      </c>
      <c r="AK739">
        <v>0.39519943012276598</v>
      </c>
    </row>
    <row r="740" spans="1:37" x14ac:dyDescent="0.2">
      <c r="A740" t="str">
        <f>"20200111160112852"</f>
        <v>20200111160112852</v>
      </c>
      <c r="B740" t="str">
        <f>"1578729672841190"</f>
        <v>1578729672841190</v>
      </c>
      <c r="C740" t="s">
        <v>37</v>
      </c>
      <c r="D740">
        <v>5.0157600000000002</v>
      </c>
      <c r="E740">
        <v>0.54485539999999999</v>
      </c>
      <c r="F740" t="s">
        <v>42</v>
      </c>
      <c r="G740">
        <v>-227.91309999999999</v>
      </c>
      <c r="H740">
        <v>0.86760869999999901</v>
      </c>
      <c r="I740">
        <v>368.39400000000001</v>
      </c>
      <c r="J740">
        <v>-228.4924</v>
      </c>
      <c r="K740">
        <v>1.1010059999999999</v>
      </c>
      <c r="L740">
        <v>368.5994</v>
      </c>
      <c r="M740">
        <v>0.99160219999999899</v>
      </c>
      <c r="N740">
        <v>0</v>
      </c>
      <c r="O740">
        <v>-0.12853599999999901</v>
      </c>
      <c r="P740">
        <v>0.98340729999999998</v>
      </c>
      <c r="Q740">
        <v>-1.5790539999999999E-2</v>
      </c>
      <c r="R740">
        <v>-0.1807233</v>
      </c>
      <c r="S740">
        <v>2.886978</v>
      </c>
      <c r="T740">
        <v>-0.78682039999999998</v>
      </c>
      <c r="U740">
        <v>-0.82592770000000004</v>
      </c>
      <c r="V740">
        <v>5.2792779999999997E-2</v>
      </c>
      <c r="W740">
        <v>-1.9860720000000002E-3</v>
      </c>
      <c r="X740">
        <v>0.99860349999999998</v>
      </c>
      <c r="Y740">
        <v>0.14849419999999999</v>
      </c>
      <c r="Z740">
        <v>1.404323E-2</v>
      </c>
      <c r="AA740">
        <v>0.98881359999999996</v>
      </c>
      <c r="AB740">
        <v>28</v>
      </c>
      <c r="AC740">
        <v>0.57930000000001702</v>
      </c>
      <c r="AD740">
        <v>-0.2333973</v>
      </c>
      <c r="AE740">
        <v>-0.205399999999997</v>
      </c>
      <c r="AF740">
        <v>0.11294154112254901</v>
      </c>
      <c r="AG740">
        <v>-0.2333973</v>
      </c>
      <c r="AH740">
        <v>0.52516984419705703</v>
      </c>
      <c r="AI740">
        <v>113.48439737973</v>
      </c>
      <c r="AJ740">
        <v>77.8629889222928</v>
      </c>
      <c r="AK740">
        <v>0.58569058094900905</v>
      </c>
    </row>
    <row r="741" spans="1:37" x14ac:dyDescent="0.2">
      <c r="A741" t="str">
        <f>"20200111160112875"</f>
        <v>20200111160112875</v>
      </c>
      <c r="B741" t="str">
        <f>"1578729672871446"</f>
        <v>1578729672871446</v>
      </c>
      <c r="C741" t="s">
        <v>37</v>
      </c>
      <c r="D741">
        <v>4.9957669999999998</v>
      </c>
      <c r="E741">
        <v>0.54482200000000003</v>
      </c>
      <c r="F741" t="s">
        <v>42</v>
      </c>
      <c r="G741">
        <v>-227.6626</v>
      </c>
      <c r="H741">
        <v>0.87476469999999995</v>
      </c>
      <c r="I741">
        <v>368.35739999999998</v>
      </c>
      <c r="J741">
        <v>-228.21010000000001</v>
      </c>
      <c r="K741">
        <v>1.1010009999999999</v>
      </c>
      <c r="L741">
        <v>368.5575</v>
      </c>
      <c r="M741">
        <v>0.99099210000000004</v>
      </c>
      <c r="N741">
        <v>0</v>
      </c>
      <c r="O741">
        <v>-0.13315869999999999</v>
      </c>
      <c r="P741">
        <v>0.98277959999999998</v>
      </c>
      <c r="Q741">
        <v>-1.5379159999999999E-2</v>
      </c>
      <c r="R741">
        <v>-0.18414240000000001</v>
      </c>
      <c r="S741">
        <v>2.8834529999999998</v>
      </c>
      <c r="T741">
        <v>-0.78605760000000002</v>
      </c>
      <c r="U741">
        <v>-0.84082029999999996</v>
      </c>
      <c r="V741">
        <v>5.1611570000000002E-2</v>
      </c>
      <c r="W741">
        <v>-1.566678E-3</v>
      </c>
      <c r="X741">
        <v>0.99866599999999905</v>
      </c>
      <c r="Y741">
        <v>0.14905160000000001</v>
      </c>
      <c r="Z741">
        <v>1.5155450000000001E-2</v>
      </c>
      <c r="AA741">
        <v>0.98871330000000002</v>
      </c>
      <c r="AB741">
        <v>28</v>
      </c>
      <c r="AC741">
        <v>0.54750000000001298</v>
      </c>
      <c r="AD741">
        <v>-0.2262363</v>
      </c>
      <c r="AE741">
        <v>-0.20010000000002001</v>
      </c>
      <c r="AF741">
        <v>0.108989070446943</v>
      </c>
      <c r="AG741">
        <v>-0.2262363</v>
      </c>
      <c r="AH741">
        <v>0.49474816057633902</v>
      </c>
      <c r="AI741">
        <v>114.064028251579</v>
      </c>
      <c r="AJ741">
        <v>77.576623494191196</v>
      </c>
      <c r="AK741">
        <v>0.55483080601950197</v>
      </c>
    </row>
    <row r="742" spans="1:37" x14ac:dyDescent="0.2">
      <c r="A742" t="str">
        <f>"20200111160112898"</f>
        <v>20200111160112898</v>
      </c>
      <c r="B742" t="str">
        <f>"1578729672891942"</f>
        <v>1578729672891942</v>
      </c>
      <c r="C742" t="s">
        <v>37</v>
      </c>
      <c r="D742">
        <v>5.0599400000000001</v>
      </c>
      <c r="E742">
        <v>0.54518180000000005</v>
      </c>
      <c r="F742" t="s">
        <v>42</v>
      </c>
      <c r="G742">
        <v>-227.4119</v>
      </c>
      <c r="H742">
        <v>0.88268159999999896</v>
      </c>
      <c r="I742">
        <v>368.32150000000001</v>
      </c>
      <c r="J742">
        <v>-227.92609999999999</v>
      </c>
      <c r="K742">
        <v>1.1010120000000001</v>
      </c>
      <c r="L742">
        <v>368.51409999999998</v>
      </c>
      <c r="M742">
        <v>0.99035329999999999</v>
      </c>
      <c r="N742">
        <v>0</v>
      </c>
      <c r="O742">
        <v>-0.137829799999999</v>
      </c>
      <c r="P742">
        <v>0.98206469999999901</v>
      </c>
      <c r="Q742">
        <v>-1.504983E-2</v>
      </c>
      <c r="R742">
        <v>-0.18794269999999999</v>
      </c>
      <c r="S742">
        <v>2.8807680000000002</v>
      </c>
      <c r="T742">
        <v>-0.78779949999999999</v>
      </c>
      <c r="U742">
        <v>-0.8510742</v>
      </c>
      <c r="V742">
        <v>5.0768380000000002E-2</v>
      </c>
      <c r="W742">
        <v>-1.2320510000000001E-3</v>
      </c>
      <c r="X742">
        <v>0.99870969999999903</v>
      </c>
      <c r="Y742">
        <v>0.14806240000000001</v>
      </c>
      <c r="Z742">
        <v>1.6531319999999999E-2</v>
      </c>
      <c r="AA742">
        <v>0.98883989999999999</v>
      </c>
      <c r="AB742">
        <v>28</v>
      </c>
      <c r="AC742">
        <v>0.514199999999988</v>
      </c>
      <c r="AD742">
        <v>-0.21833040000000001</v>
      </c>
      <c r="AE742">
        <v>-0.19259999999996999</v>
      </c>
      <c r="AF742">
        <v>0.103515762794783</v>
      </c>
      <c r="AG742">
        <v>-0.21833040000000001</v>
      </c>
      <c r="AH742">
        <v>0.46268692253105298</v>
      </c>
      <c r="AI742">
        <v>114.725646406233</v>
      </c>
      <c r="AJ742">
        <v>77.389034138657294</v>
      </c>
      <c r="AK742">
        <v>0.52197975534727603</v>
      </c>
    </row>
    <row r="743" spans="1:37" x14ac:dyDescent="0.2">
      <c r="A743" t="str">
        <f>"20200111160112914"</f>
        <v>20200111160112914</v>
      </c>
      <c r="B743" t="str">
        <f>"1578729672901702"</f>
        <v>1578729672901702</v>
      </c>
      <c r="C743" t="s">
        <v>37</v>
      </c>
      <c r="D743">
        <v>5.0025709999999997</v>
      </c>
      <c r="E743">
        <v>0.54527289999999995</v>
      </c>
      <c r="F743" t="s">
        <v>42</v>
      </c>
      <c r="G743">
        <v>-227.16159999999999</v>
      </c>
      <c r="H743">
        <v>0.89125980000000005</v>
      </c>
      <c r="I743">
        <v>368.28440000000001</v>
      </c>
      <c r="J743">
        <v>-227.7345</v>
      </c>
      <c r="K743">
        <v>1.1010139999999999</v>
      </c>
      <c r="L743">
        <v>368.48410000000001</v>
      </c>
      <c r="M743">
        <v>0.98990849999999897</v>
      </c>
      <c r="N743">
        <v>0</v>
      </c>
      <c r="O743">
        <v>-0.1409878</v>
      </c>
      <c r="P743">
        <v>0.98149969999999997</v>
      </c>
      <c r="Q743">
        <v>-1.5170919999999999E-2</v>
      </c>
      <c r="R743">
        <v>-0.1908619</v>
      </c>
      <c r="S743">
        <v>2.8771360000000001</v>
      </c>
      <c r="T743">
        <v>-0.78953969999999996</v>
      </c>
      <c r="U743">
        <v>-0.86502080000000003</v>
      </c>
      <c r="V743">
        <v>5.0551850000000002E-2</v>
      </c>
      <c r="W743">
        <v>-1.3527350000000001E-3</v>
      </c>
      <c r="X743">
        <v>0.99872050000000001</v>
      </c>
      <c r="Y743">
        <v>0.14969749999999901</v>
      </c>
      <c r="Z743">
        <v>1.7175559999999999E-2</v>
      </c>
      <c r="AA743">
        <v>0.98858269999999904</v>
      </c>
      <c r="AB743">
        <v>28</v>
      </c>
      <c r="AC743">
        <v>0.57290000000000396</v>
      </c>
      <c r="AD743">
        <v>-0.209754199999999</v>
      </c>
      <c r="AE743">
        <v>-0.19970000000000701</v>
      </c>
      <c r="AF743">
        <v>0.104441282728786</v>
      </c>
      <c r="AG743">
        <v>-0.209754199999999</v>
      </c>
      <c r="AH743">
        <v>0.53177372212825702</v>
      </c>
      <c r="AI743">
        <v>111.158843480256</v>
      </c>
      <c r="AJ743">
        <v>78.888439850575907</v>
      </c>
      <c r="AK743">
        <v>0.58110936793500001</v>
      </c>
    </row>
    <row r="744" spans="1:37" x14ac:dyDescent="0.2">
      <c r="A744" t="str">
        <f>"20200111160112930"</f>
        <v>20200111160112930</v>
      </c>
      <c r="B744" t="str">
        <f>"1578729672921222"</f>
        <v>1578729672921222</v>
      </c>
      <c r="C744" t="s">
        <v>37</v>
      </c>
      <c r="D744">
        <v>4.9665869999999996</v>
      </c>
      <c r="E744">
        <v>0.54580899999999999</v>
      </c>
      <c r="F744" t="s">
        <v>42</v>
      </c>
      <c r="G744">
        <v>-226.92179999999999</v>
      </c>
      <c r="H744">
        <v>0.87726649999999995</v>
      </c>
      <c r="I744">
        <v>368.23680000000002</v>
      </c>
      <c r="J744">
        <v>-227.52599999999899</v>
      </c>
      <c r="K744">
        <v>1.10102099999999</v>
      </c>
      <c r="L744">
        <v>368.45069999999998</v>
      </c>
      <c r="M744">
        <v>0.98941170000000001</v>
      </c>
      <c r="N744">
        <v>0</v>
      </c>
      <c r="O744">
        <v>-0.1444339</v>
      </c>
      <c r="P744">
        <v>0.98092279999999998</v>
      </c>
      <c r="Q744">
        <v>-1.5310219999999999E-2</v>
      </c>
      <c r="R744">
        <v>-0.1937951</v>
      </c>
      <c r="S744">
        <v>2.874374</v>
      </c>
      <c r="T744">
        <v>-0.79121049999999904</v>
      </c>
      <c r="U744">
        <v>-0.874054</v>
      </c>
      <c r="V744">
        <v>5.0058850000000002E-2</v>
      </c>
      <c r="W744">
        <v>-1.4890629999999899E-3</v>
      </c>
      <c r="X744">
        <v>0.99874509999999905</v>
      </c>
      <c r="Y744">
        <v>0.1494838</v>
      </c>
      <c r="Z744">
        <v>1.814021E-2</v>
      </c>
      <c r="AA744">
        <v>0.98859779999999997</v>
      </c>
      <c r="AB744">
        <v>28</v>
      </c>
      <c r="AC744">
        <v>0.60419999999999097</v>
      </c>
      <c r="AD744">
        <v>-0.223754499999999</v>
      </c>
      <c r="AE744">
        <v>-0.21389999999996601</v>
      </c>
      <c r="AF744">
        <v>0.110869080985004</v>
      </c>
      <c r="AG744">
        <v>-0.223754499999999</v>
      </c>
      <c r="AH744">
        <v>0.56045720748529204</v>
      </c>
      <c r="AI744">
        <v>111.38760474333399</v>
      </c>
      <c r="AJ744">
        <v>78.810273956431402</v>
      </c>
      <c r="AK744">
        <v>0.61357176500464905</v>
      </c>
    </row>
    <row r="745" spans="1:37" x14ac:dyDescent="0.2">
      <c r="A745" t="str">
        <f>"20200111160112946"</f>
        <v>20200111160112946</v>
      </c>
      <c r="B745" t="str">
        <f>"1578729672941718"</f>
        <v>1578729672941718</v>
      </c>
      <c r="C745" t="s">
        <v>37</v>
      </c>
      <c r="D745">
        <v>4.9437389999999999</v>
      </c>
      <c r="E745">
        <v>0.54619569999999995</v>
      </c>
      <c r="F745" t="s">
        <v>42</v>
      </c>
      <c r="G745">
        <v>-226.6806</v>
      </c>
      <c r="H745">
        <v>0.86796569999999995</v>
      </c>
      <c r="I745">
        <v>368.18950000000001</v>
      </c>
      <c r="J745">
        <v>-227.32310000000001</v>
      </c>
      <c r="K745">
        <v>1.1010229999999901</v>
      </c>
      <c r="L745">
        <v>368.41739999999999</v>
      </c>
      <c r="M745">
        <v>0.98891580000000001</v>
      </c>
      <c r="N745">
        <v>0</v>
      </c>
      <c r="O745">
        <v>-0.14779049999999999</v>
      </c>
      <c r="P745">
        <v>0.98026340000000001</v>
      </c>
      <c r="Q745">
        <v>-1.51042E-2</v>
      </c>
      <c r="R745">
        <v>-0.1971183</v>
      </c>
      <c r="S745">
        <v>2.8707579999999999</v>
      </c>
      <c r="T745">
        <v>-0.79141139999999999</v>
      </c>
      <c r="U745">
        <v>-0.88702389999999998</v>
      </c>
      <c r="V745">
        <v>5.0055660000000002E-2</v>
      </c>
      <c r="W745">
        <v>-1.2844639999999999E-3</v>
      </c>
      <c r="X745">
        <v>0.99874560000000001</v>
      </c>
      <c r="Y745">
        <v>0.15063070000000001</v>
      </c>
      <c r="Z745">
        <v>1.887175E-2</v>
      </c>
      <c r="AA745">
        <v>0.98840989999999995</v>
      </c>
      <c r="AB745">
        <v>28</v>
      </c>
      <c r="AC745">
        <v>0.64250000000001195</v>
      </c>
      <c r="AD745">
        <v>-0.233057299999999</v>
      </c>
      <c r="AE745">
        <v>-0.22789999999997601</v>
      </c>
      <c r="AF745">
        <v>0.116783096326683</v>
      </c>
      <c r="AG745">
        <v>-0.233057299999999</v>
      </c>
      <c r="AH745">
        <v>0.59910881458625598</v>
      </c>
      <c r="AI745">
        <v>110.89786929173</v>
      </c>
      <c r="AJ745">
        <v>78.969764001551496</v>
      </c>
      <c r="AK745">
        <v>0.65336465192561999</v>
      </c>
    </row>
    <row r="746" spans="1:37" x14ac:dyDescent="0.2">
      <c r="A746" t="str">
        <f>"20200111160112965"</f>
        <v>20200111160112965</v>
      </c>
      <c r="B746" t="str">
        <f>"1578729672961238"</f>
        <v>1578729672961238</v>
      </c>
      <c r="C746" t="s">
        <v>37</v>
      </c>
      <c r="D746">
        <v>4.8923920000000001</v>
      </c>
      <c r="E746">
        <v>0.54659859999999905</v>
      </c>
      <c r="F746" t="s">
        <v>42</v>
      </c>
      <c r="G746">
        <v>-226.65729999999999</v>
      </c>
      <c r="H746">
        <v>0.91732800000000003</v>
      </c>
      <c r="I746">
        <v>368.20830000000001</v>
      </c>
      <c r="J746">
        <v>-227.10640000000001</v>
      </c>
      <c r="K746">
        <v>1.101024</v>
      </c>
      <c r="L746">
        <v>368.38099999999997</v>
      </c>
      <c r="M746">
        <v>0.98837269999999899</v>
      </c>
      <c r="N746">
        <v>0</v>
      </c>
      <c r="O746">
        <v>-0.1513805</v>
      </c>
      <c r="P746">
        <v>0.97957559999999999</v>
      </c>
      <c r="Q746">
        <v>-1.507876E-2</v>
      </c>
      <c r="R746">
        <v>-0.20051060000000001</v>
      </c>
      <c r="S746">
        <v>2.8672029999999999</v>
      </c>
      <c r="T746">
        <v>-0.79101429999999995</v>
      </c>
      <c r="U746">
        <v>-0.90020750000000005</v>
      </c>
      <c r="V746">
        <v>4.9886649999999998E-2</v>
      </c>
      <c r="W746">
        <v>-1.2589769999999899E-3</v>
      </c>
      <c r="X746">
        <v>0.99875409999999998</v>
      </c>
      <c r="Y746">
        <v>0.15161549999999999</v>
      </c>
      <c r="Z746">
        <v>1.9670480000000001E-2</v>
      </c>
      <c r="AA746">
        <v>0.98824380000000001</v>
      </c>
      <c r="AB746">
        <v>28</v>
      </c>
      <c r="AC746">
        <v>0.44910000000001499</v>
      </c>
      <c r="AD746">
        <v>-0.183696</v>
      </c>
      <c r="AE746">
        <v>-0.17269999999996299</v>
      </c>
      <c r="AF746">
        <v>8.9650566961054001E-2</v>
      </c>
      <c r="AG746">
        <v>-0.183696</v>
      </c>
      <c r="AH746">
        <v>0.41027105534053399</v>
      </c>
      <c r="AI746">
        <v>113.625605735525</v>
      </c>
      <c r="AJ746">
        <v>77.673738019552005</v>
      </c>
      <c r="AK746">
        <v>0.45837079250610402</v>
      </c>
    </row>
    <row r="747" spans="1:37" x14ac:dyDescent="0.2">
      <c r="A747" t="str">
        <f>"20200111160112987"</f>
        <v>20200111160112987</v>
      </c>
      <c r="B747" t="str">
        <f>"1578729672981734"</f>
        <v>1578729672981734</v>
      </c>
      <c r="C747" t="s">
        <v>37</v>
      </c>
      <c r="D747">
        <v>4.8645519999999998</v>
      </c>
      <c r="E747">
        <v>0.546734099999999</v>
      </c>
      <c r="F747" t="s">
        <v>42</v>
      </c>
      <c r="G747">
        <v>-226.41589999999999</v>
      </c>
      <c r="H747">
        <v>0.9103116</v>
      </c>
      <c r="I747">
        <v>368.16030000000001</v>
      </c>
      <c r="J747">
        <v>-226.8296</v>
      </c>
      <c r="K747">
        <v>1.1010219999999999</v>
      </c>
      <c r="L747">
        <v>368.33350000000002</v>
      </c>
      <c r="M747">
        <v>0.98765919999999896</v>
      </c>
      <c r="N747">
        <v>0</v>
      </c>
      <c r="O747">
        <v>-0.15596789999999999</v>
      </c>
      <c r="P747">
        <v>0.97857709999999998</v>
      </c>
      <c r="Q747">
        <v>-1.539103E-2</v>
      </c>
      <c r="R747">
        <v>-0.20530470000000001</v>
      </c>
      <c r="S747">
        <v>2.8632810000000002</v>
      </c>
      <c r="T747">
        <v>-0.79057529999999998</v>
      </c>
      <c r="U747">
        <v>-0.91415409999999997</v>
      </c>
      <c r="V747">
        <v>5.0137939999999999E-2</v>
      </c>
      <c r="W747">
        <v>-1.575515E-3</v>
      </c>
      <c r="X747">
        <v>0.99874099999999999</v>
      </c>
      <c r="Y747">
        <v>0.15192900000000001</v>
      </c>
      <c r="Z747">
        <v>2.081587E-2</v>
      </c>
      <c r="AA747">
        <v>0.98817219999999995</v>
      </c>
      <c r="AB747">
        <v>28</v>
      </c>
      <c r="AC747">
        <v>0.41370000000000501</v>
      </c>
      <c r="AD747">
        <v>-0.190710399999999</v>
      </c>
      <c r="AE747">
        <v>-0.17320000000000799</v>
      </c>
      <c r="AF747">
        <v>9.0233754631973903E-2</v>
      </c>
      <c r="AG747">
        <v>-0.190710399999999</v>
      </c>
      <c r="AH747">
        <v>0.368941852379081</v>
      </c>
      <c r="AI747">
        <v>116.66180170822101</v>
      </c>
      <c r="AJ747">
        <v>76.256702539967804</v>
      </c>
      <c r="AK747">
        <v>0.42500667945345399</v>
      </c>
    </row>
    <row r="748" spans="1:37" x14ac:dyDescent="0.2">
      <c r="A748" t="str">
        <f>"20200111160113005"</f>
        <v>20200111160113005</v>
      </c>
      <c r="B748" t="str">
        <f>"1578729673001255"</f>
        <v>1578729673001255</v>
      </c>
      <c r="C748" t="s">
        <v>37</v>
      </c>
      <c r="D748">
        <v>5.1677780000000002</v>
      </c>
      <c r="E748">
        <v>0.55459849999999999</v>
      </c>
      <c r="F748" t="s">
        <v>42</v>
      </c>
      <c r="G748">
        <v>-226.16759999999999</v>
      </c>
      <c r="H748">
        <v>0.91741439999999996</v>
      </c>
      <c r="I748">
        <v>368.11829999999998</v>
      </c>
      <c r="J748">
        <v>-226.61320000000001</v>
      </c>
      <c r="K748">
        <v>1.1010149999999901</v>
      </c>
      <c r="L748">
        <v>368.2953</v>
      </c>
      <c r="M748">
        <v>0.98708649999999998</v>
      </c>
      <c r="N748">
        <v>0</v>
      </c>
      <c r="O748">
        <v>-0.159553799999999</v>
      </c>
      <c r="P748">
        <v>0.97779660000000002</v>
      </c>
      <c r="Q748">
        <v>-1.526518E-2</v>
      </c>
      <c r="R748">
        <v>-0.20899999999999999</v>
      </c>
      <c r="S748">
        <v>2.8583219999999998</v>
      </c>
      <c r="T748">
        <v>-0.79269499999999904</v>
      </c>
      <c r="U748">
        <v>-0.92901610000000001</v>
      </c>
      <c r="V748">
        <v>5.0284599999999999E-2</v>
      </c>
      <c r="W748">
        <v>-1.452388E-3</v>
      </c>
      <c r="X748">
        <v>0.99873389999999995</v>
      </c>
      <c r="Y748">
        <v>0.15355559999999999</v>
      </c>
      <c r="Z748">
        <v>2.1599630000000002E-2</v>
      </c>
      <c r="AA748">
        <v>0.98790389999999995</v>
      </c>
      <c r="AB748">
        <v>28</v>
      </c>
      <c r="AC748">
        <v>0.44560000000001299</v>
      </c>
      <c r="AD748">
        <v>-0.183600599999999</v>
      </c>
      <c r="AE748">
        <v>-0.17700000000002</v>
      </c>
      <c r="AF748">
        <v>9.0375614971955898E-2</v>
      </c>
      <c r="AG748">
        <v>-0.183600599999999</v>
      </c>
      <c r="AH748">
        <v>0.408268656738068</v>
      </c>
      <c r="AI748">
        <v>113.705138551792</v>
      </c>
      <c r="AJ748">
        <v>77.518108535241694</v>
      </c>
      <c r="AK748">
        <v>0.45668394779828397</v>
      </c>
    </row>
    <row r="749" spans="1:37" x14ac:dyDescent="0.2">
      <c r="A749" t="str">
        <f>"20200111160113043"</f>
        <v>20200111160113043</v>
      </c>
      <c r="B749" t="str">
        <f>"1578729673031511"</f>
        <v>1578729673031511</v>
      </c>
      <c r="C749" t="s">
        <v>37</v>
      </c>
      <c r="D749">
        <v>4.8957410000000001</v>
      </c>
      <c r="E749">
        <v>0.58162219999999998</v>
      </c>
      <c r="F749" t="s">
        <v>42</v>
      </c>
      <c r="G749">
        <v>-225.90700000000001</v>
      </c>
      <c r="H749">
        <v>0.95997639999999995</v>
      </c>
      <c r="I749">
        <v>368.04230000000001</v>
      </c>
      <c r="J749">
        <v>-226.1523</v>
      </c>
      <c r="K749">
        <v>1.1010249999999999</v>
      </c>
      <c r="L749">
        <v>368.21129999999999</v>
      </c>
      <c r="M749">
        <v>0.98582099999999995</v>
      </c>
      <c r="N749">
        <v>0</v>
      </c>
      <c r="O749">
        <v>-0.16719419999999999</v>
      </c>
      <c r="P749">
        <v>0.97586130000000004</v>
      </c>
      <c r="Q749">
        <v>-1.603131E-2</v>
      </c>
      <c r="R749">
        <v>-0.21780250000000001</v>
      </c>
      <c r="S749">
        <v>2.841888</v>
      </c>
      <c r="T749">
        <v>-0.56745009999999996</v>
      </c>
      <c r="U749">
        <v>-1.0171509999999999</v>
      </c>
      <c r="V749">
        <v>5.1544069999999997E-2</v>
      </c>
      <c r="W749">
        <v>-2.2330449999999999E-3</v>
      </c>
      <c r="X749">
        <v>0.99866829999999995</v>
      </c>
      <c r="Y749">
        <v>0.174655</v>
      </c>
      <c r="Z749">
        <v>1.498961E-2</v>
      </c>
      <c r="AA749">
        <v>0.98451559999999905</v>
      </c>
      <c r="AB749">
        <v>28</v>
      </c>
      <c r="AC749">
        <v>0.245299999999986</v>
      </c>
      <c r="AD749">
        <v>-0.141048599999999</v>
      </c>
      <c r="AE749">
        <v>-0.168999999999982</v>
      </c>
      <c r="AF749">
        <v>0.102599982723676</v>
      </c>
      <c r="AG749">
        <v>-0.141048599999999</v>
      </c>
      <c r="AH749">
        <v>0.220636557576883</v>
      </c>
      <c r="AI749">
        <v>120.099612799059</v>
      </c>
      <c r="AJ749">
        <v>65.060721818429499</v>
      </c>
      <c r="AK749">
        <v>0.28125069698799998</v>
      </c>
    </row>
    <row r="750" spans="1:37" x14ac:dyDescent="0.2">
      <c r="A750" t="str">
        <f>"20200111160113059"</f>
        <v>20200111160113059</v>
      </c>
      <c r="B750" t="str">
        <f>"1578729673052007"</f>
        <v>1578729673052007</v>
      </c>
      <c r="C750" t="s">
        <v>37</v>
      </c>
      <c r="D750">
        <v>4.8557160000000001</v>
      </c>
      <c r="E750">
        <v>0.58125119999999997</v>
      </c>
      <c r="F750" t="s">
        <v>38</v>
      </c>
      <c r="G750">
        <v>-217.0857</v>
      </c>
      <c r="H750" s="1">
        <v>-2.4513799999999998E-6</v>
      </c>
      <c r="I750">
        <v>364.07830000000001</v>
      </c>
      <c r="J750">
        <v>-225.9485</v>
      </c>
      <c r="K750">
        <v>1.101032</v>
      </c>
      <c r="L750">
        <v>368.173</v>
      </c>
      <c r="M750">
        <v>0.98524179999999995</v>
      </c>
      <c r="N750">
        <v>0</v>
      </c>
      <c r="O750">
        <v>-0.17057439999999999</v>
      </c>
      <c r="P750">
        <v>0.97507109999999997</v>
      </c>
      <c r="Q750">
        <v>-1.6293809999999999E-2</v>
      </c>
      <c r="R750">
        <v>-0.22129409999999999</v>
      </c>
      <c r="S750">
        <v>2.7852779999999999</v>
      </c>
      <c r="T750">
        <v>-0.33823429999999999</v>
      </c>
      <c r="U750">
        <v>-1.2696529999999999</v>
      </c>
      <c r="V750">
        <v>5.1692170000000003E-2</v>
      </c>
      <c r="W750">
        <v>-2.4982229999999999E-3</v>
      </c>
      <c r="X750">
        <v>0.99865999999999999</v>
      </c>
      <c r="Y750">
        <v>0.25297759999999903</v>
      </c>
      <c r="Z750">
        <v>4.8356989999999997E-3</v>
      </c>
      <c r="AA750">
        <v>0.96745999999999999</v>
      </c>
      <c r="AB750">
        <v>28</v>
      </c>
      <c r="AC750">
        <v>8.8627999999999894</v>
      </c>
      <c r="AD750">
        <v>-1.1010344513799999</v>
      </c>
      <c r="AE750">
        <v>-4.09469999999998</v>
      </c>
      <c r="AF750">
        <v>2.4910760130831302</v>
      </c>
      <c r="AG750">
        <v>-1.1010344513799999</v>
      </c>
      <c r="AH750">
        <v>9.3129620169957406</v>
      </c>
      <c r="AI750">
        <v>96.515565694995601</v>
      </c>
      <c r="AJ750">
        <v>75.024826903850993</v>
      </c>
      <c r="AK750">
        <v>9.7030406623949101</v>
      </c>
    </row>
    <row r="751" spans="1:37" x14ac:dyDescent="0.2">
      <c r="A751" t="str">
        <f>"20200111160113077"</f>
        <v>20200111160113077</v>
      </c>
      <c r="B751" t="str">
        <f>"1578729673071057"</f>
        <v>1578729673071057</v>
      </c>
      <c r="C751" t="s">
        <v>37</v>
      </c>
      <c r="D751">
        <v>4.8277359999999998</v>
      </c>
      <c r="E751">
        <v>0.58127609999999996</v>
      </c>
      <c r="F751" t="s">
        <v>38</v>
      </c>
      <c r="G751">
        <v>-217.1438</v>
      </c>
      <c r="H751" s="1">
        <v>-2.416767E-6</v>
      </c>
      <c r="I751">
        <v>364.13409999999999</v>
      </c>
      <c r="J751">
        <v>-225.73009999999999</v>
      </c>
      <c r="K751">
        <v>1.101037</v>
      </c>
      <c r="L751">
        <v>368.13119999999998</v>
      </c>
      <c r="M751">
        <v>0.98460800000000004</v>
      </c>
      <c r="N751">
        <v>0</v>
      </c>
      <c r="O751">
        <v>-0.17419660000000001</v>
      </c>
      <c r="P751">
        <v>0.97411890000000001</v>
      </c>
      <c r="Q751">
        <v>-1.650006E-2</v>
      </c>
      <c r="R751">
        <v>-0.225434299999999</v>
      </c>
      <c r="S751">
        <v>2.7813569999999999</v>
      </c>
      <c r="T751">
        <v>-0.34780840000000002</v>
      </c>
      <c r="U751">
        <v>-1.2758479999999901</v>
      </c>
      <c r="V751">
        <v>5.2260639999999997E-2</v>
      </c>
      <c r="W751">
        <v>-2.7111380000000001E-3</v>
      </c>
      <c r="X751">
        <v>0.99862980000000001</v>
      </c>
      <c r="Y751">
        <v>0.25171769999999999</v>
      </c>
      <c r="Z751">
        <v>5.4667450000000003E-3</v>
      </c>
      <c r="AA751">
        <v>0.96778519999999901</v>
      </c>
      <c r="AB751">
        <v>28</v>
      </c>
      <c r="AC751">
        <v>8.5862999999999907</v>
      </c>
      <c r="AD751">
        <v>-1.1010394167669999</v>
      </c>
      <c r="AE751">
        <v>-3.9970999999999801</v>
      </c>
      <c r="AF751">
        <v>2.4075818347014102</v>
      </c>
      <c r="AG751">
        <v>-1.1010394167669999</v>
      </c>
      <c r="AH751">
        <v>9.0293194874581602</v>
      </c>
      <c r="AI751">
        <v>96.719830912149902</v>
      </c>
      <c r="AJ751">
        <v>75.069985072136006</v>
      </c>
      <c r="AK751">
        <v>9.4094287018208806</v>
      </c>
    </row>
    <row r="752" spans="1:37" x14ac:dyDescent="0.2">
      <c r="A752" t="str">
        <f>"20200111160113099"</f>
        <v>20200111160113099</v>
      </c>
      <c r="B752" t="str">
        <f>"1578729673091553"</f>
        <v>1578729673091553</v>
      </c>
      <c r="C752" t="s">
        <v>37</v>
      </c>
      <c r="D752">
        <v>4.840306</v>
      </c>
      <c r="E752">
        <v>0.58261019999999997</v>
      </c>
      <c r="F752" t="s">
        <v>38</v>
      </c>
      <c r="G752">
        <v>-217.0625</v>
      </c>
      <c r="H752" s="1">
        <v>-2.4507040000000002E-6</v>
      </c>
      <c r="I752">
        <v>364.1105</v>
      </c>
      <c r="J752">
        <v>-225.46629999999999</v>
      </c>
      <c r="K752">
        <v>1.1010329999999999</v>
      </c>
      <c r="L752">
        <v>368.07940000000002</v>
      </c>
      <c r="M752">
        <v>0.98382269999999905</v>
      </c>
      <c r="N752">
        <v>0</v>
      </c>
      <c r="O752">
        <v>-0.1785786</v>
      </c>
      <c r="P752">
        <v>0.97298830000000003</v>
      </c>
      <c r="Q752">
        <v>-1.690374E-2</v>
      </c>
      <c r="R752">
        <v>-0.2302351</v>
      </c>
      <c r="S752">
        <v>2.7757719999999999</v>
      </c>
      <c r="T752">
        <v>-0.35260150000000001</v>
      </c>
      <c r="U752">
        <v>-1.287598</v>
      </c>
      <c r="V752">
        <v>5.2736749999999999E-2</v>
      </c>
      <c r="W752">
        <v>-3.1211699999999999E-3</v>
      </c>
      <c r="X752">
        <v>0.99860360000000004</v>
      </c>
      <c r="Y752">
        <v>0.2515385</v>
      </c>
      <c r="Z752">
        <v>6.0673189999999998E-3</v>
      </c>
      <c r="AA752">
        <v>0.96782829999999997</v>
      </c>
      <c r="AB752">
        <v>28</v>
      </c>
      <c r="AC752">
        <v>8.4037999999999897</v>
      </c>
      <c r="AD752">
        <v>-1.1010354507040001</v>
      </c>
      <c r="AE752">
        <v>-3.9689000000000099</v>
      </c>
      <c r="AF752">
        <v>2.3709229344517899</v>
      </c>
      <c r="AG752">
        <v>-1.1010354507040001</v>
      </c>
      <c r="AH752">
        <v>8.8532644784648191</v>
      </c>
      <c r="AI752">
        <v>96.850211790579394</v>
      </c>
      <c r="AJ752">
        <v>75.007862814673999</v>
      </c>
      <c r="AK752">
        <v>9.2311346296359194</v>
      </c>
    </row>
    <row r="753" spans="1:37" x14ac:dyDescent="0.2">
      <c r="A753" t="str">
        <f>"20200111160113132"</f>
        <v>20200111160113132</v>
      </c>
      <c r="B753" t="str">
        <f>"1578729673121810"</f>
        <v>1578729673121810</v>
      </c>
      <c r="C753" t="s">
        <v>37</v>
      </c>
      <c r="D753">
        <v>4.764977</v>
      </c>
      <c r="E753">
        <v>0.58066180000000001</v>
      </c>
      <c r="F753" t="s">
        <v>38</v>
      </c>
      <c r="G753">
        <v>-216.71360000000001</v>
      </c>
      <c r="H753" s="1">
        <v>-2.6182039999999999E-6</v>
      </c>
      <c r="I753">
        <v>363.9273</v>
      </c>
      <c r="J753">
        <v>-225.06620000000001</v>
      </c>
      <c r="K753">
        <v>1.1010450000000001</v>
      </c>
      <c r="L753">
        <v>367.99880000000002</v>
      </c>
      <c r="M753">
        <v>0.98258999999999996</v>
      </c>
      <c r="N753">
        <v>0</v>
      </c>
      <c r="O753">
        <v>-0.18524070000000001</v>
      </c>
      <c r="P753">
        <v>0.9716091</v>
      </c>
      <c r="Q753">
        <v>-1.696083E-2</v>
      </c>
      <c r="R753">
        <v>-0.23598429999999901</v>
      </c>
      <c r="S753">
        <v>2.7666930000000001</v>
      </c>
      <c r="T753">
        <v>-0.34803000000000001</v>
      </c>
      <c r="U753">
        <v>-1.3124690000000001</v>
      </c>
      <c r="V753">
        <v>5.1874669999999998E-2</v>
      </c>
      <c r="W753">
        <v>-3.1737549999999999E-3</v>
      </c>
      <c r="X753">
        <v>0.998648599999999</v>
      </c>
      <c r="Y753">
        <v>0.25336160000000002</v>
      </c>
      <c r="Z753">
        <v>6.6506119999999898E-3</v>
      </c>
      <c r="AA753">
        <v>0.96734880000000001</v>
      </c>
      <c r="AB753">
        <v>27</v>
      </c>
      <c r="AC753">
        <v>8.35259999999999</v>
      </c>
      <c r="AD753">
        <v>-1.1010476182040001</v>
      </c>
      <c r="AE753">
        <v>-4.0715000000000101</v>
      </c>
      <c r="AF753">
        <v>2.4196492285394098</v>
      </c>
      <c r="AG753">
        <v>-1.1010476182040001</v>
      </c>
      <c r="AH753">
        <v>8.8382039947099997</v>
      </c>
      <c r="AI753">
        <v>96.851620558468994</v>
      </c>
      <c r="AJ753">
        <v>74.6892031123013</v>
      </c>
      <c r="AK753">
        <v>9.2293476529401506</v>
      </c>
    </row>
    <row r="754" spans="1:37" x14ac:dyDescent="0.2">
      <c r="A754" t="str">
        <f>"20200111160113154"</f>
        <v>20200111160113154</v>
      </c>
      <c r="B754" t="str">
        <f>"1578729673151089"</f>
        <v>1578729673151089</v>
      </c>
      <c r="C754" t="s">
        <v>37</v>
      </c>
      <c r="D754">
        <v>4.4632969999999998</v>
      </c>
      <c r="E754">
        <v>0.58318159999999997</v>
      </c>
      <c r="F754" t="s">
        <v>38</v>
      </c>
      <c r="G754">
        <v>-216.41329999999999</v>
      </c>
      <c r="H754" s="1">
        <v>-2.7315859999999999E-6</v>
      </c>
      <c r="I754">
        <v>363.8852</v>
      </c>
      <c r="J754">
        <v>-224.7962</v>
      </c>
      <c r="K754">
        <v>1.1010389999999901</v>
      </c>
      <c r="L754">
        <v>367.9427</v>
      </c>
      <c r="M754">
        <v>0.98172689999999996</v>
      </c>
      <c r="N754">
        <v>0</v>
      </c>
      <c r="O754">
        <v>-0.1897616</v>
      </c>
      <c r="P754">
        <v>0.97092129999999999</v>
      </c>
      <c r="Q754">
        <v>-1.6474880000000001E-2</v>
      </c>
      <c r="R754">
        <v>-0.23883170000000001</v>
      </c>
      <c r="S754">
        <v>2.7625579999999998</v>
      </c>
      <c r="T754">
        <v>-0.35152159999999999</v>
      </c>
      <c r="U754">
        <v>-1.3133239999999999</v>
      </c>
      <c r="V754">
        <v>5.0208240000000001E-2</v>
      </c>
      <c r="W754">
        <v>-2.6753089999999998E-3</v>
      </c>
      <c r="X754">
        <v>0.99873519999999905</v>
      </c>
      <c r="Y754">
        <v>0.249753899999999</v>
      </c>
      <c r="Z754">
        <v>7.4677800000000003E-3</v>
      </c>
      <c r="AA754">
        <v>0.96828060000000005</v>
      </c>
      <c r="AB754">
        <v>27</v>
      </c>
      <c r="AC754">
        <v>8.3828999999999994</v>
      </c>
      <c r="AD754">
        <v>-1.1010417315859999</v>
      </c>
      <c r="AE754">
        <v>-4.0575000000000001</v>
      </c>
      <c r="AF754">
        <v>2.35986380667739</v>
      </c>
      <c r="AG754">
        <v>-1.1010417315859999</v>
      </c>
      <c r="AH754">
        <v>8.8765238953435706</v>
      </c>
      <c r="AI754">
        <v>96.835754617889194</v>
      </c>
      <c r="AJ754">
        <v>75.112036038208799</v>
      </c>
      <c r="AK754">
        <v>9.25061763048096</v>
      </c>
    </row>
    <row r="755" spans="1:37" x14ac:dyDescent="0.2">
      <c r="A755" t="str">
        <f>"20200111160113178"</f>
        <v>20200111160113178</v>
      </c>
      <c r="B755" t="str">
        <f>"1578729673171585"</f>
        <v>1578729673171585</v>
      </c>
      <c r="C755" t="s">
        <v>37</v>
      </c>
      <c r="D755">
        <v>4.4498949999999997</v>
      </c>
      <c r="E755">
        <v>0.58501639999999999</v>
      </c>
      <c r="F755" t="s">
        <v>38</v>
      </c>
      <c r="G755">
        <v>-215.76329999999999</v>
      </c>
      <c r="H755" s="1">
        <v>-3.0450020000000001E-6</v>
      </c>
      <c r="I755">
        <v>363.53859999999997</v>
      </c>
      <c r="J755">
        <v>-224.5138</v>
      </c>
      <c r="K755">
        <v>1.1010249999999999</v>
      </c>
      <c r="L755">
        <v>367.88260000000002</v>
      </c>
      <c r="M755">
        <v>0.98079680000000002</v>
      </c>
      <c r="N755">
        <v>0</v>
      </c>
      <c r="O755">
        <v>-0.19451309999999999</v>
      </c>
      <c r="P755">
        <v>0.96995819999999999</v>
      </c>
      <c r="Q755">
        <v>-1.650658E-2</v>
      </c>
      <c r="R755">
        <v>-0.24271180000000001</v>
      </c>
      <c r="S755">
        <v>2.7538909999999999</v>
      </c>
      <c r="T755">
        <v>-0.33567540000000001</v>
      </c>
      <c r="U755">
        <v>-1.342651</v>
      </c>
      <c r="V755">
        <v>4.9365199999999998E-2</v>
      </c>
      <c r="W755">
        <v>-2.7022909999999999E-3</v>
      </c>
      <c r="X755">
        <v>0.99877719999999903</v>
      </c>
      <c r="Y755">
        <v>0.25464379999999998</v>
      </c>
      <c r="Z755">
        <v>7.3786299999999997E-3</v>
      </c>
      <c r="AA755">
        <v>0.967006699999999</v>
      </c>
      <c r="AB755">
        <v>27</v>
      </c>
      <c r="AC755">
        <v>8.7505000000000095</v>
      </c>
      <c r="AD755">
        <v>-1.101028045002</v>
      </c>
      <c r="AE755">
        <v>-4.34400000000005</v>
      </c>
      <c r="AF755">
        <v>2.52666055505376</v>
      </c>
      <c r="AG755">
        <v>-1.101028045002</v>
      </c>
      <c r="AH755">
        <v>9.3101272929699803</v>
      </c>
      <c r="AI755">
        <v>96.511161983882403</v>
      </c>
      <c r="AJ755">
        <v>74.816306447817098</v>
      </c>
      <c r="AK755">
        <v>9.7095183468414099</v>
      </c>
    </row>
    <row r="756" spans="1:37" x14ac:dyDescent="0.2">
      <c r="A756" t="str">
        <f>"20200111160113199"</f>
        <v>20200111160113199</v>
      </c>
      <c r="B756" t="str">
        <f>"1578729673191106"</f>
        <v>1578729673191106</v>
      </c>
      <c r="C756" t="s">
        <v>37</v>
      </c>
      <c r="D756">
        <v>4.4883459999999999</v>
      </c>
      <c r="E756">
        <v>0.58555440000000003</v>
      </c>
      <c r="F756" t="s">
        <v>38</v>
      </c>
      <c r="G756">
        <v>-215.29249999999999</v>
      </c>
      <c r="H756" s="1">
        <v>-3.2730329999999899E-6</v>
      </c>
      <c r="I756">
        <v>363.28370000000001</v>
      </c>
      <c r="J756">
        <v>-224.25640000000001</v>
      </c>
      <c r="K756">
        <v>1.101005</v>
      </c>
      <c r="L756">
        <v>367.82650000000001</v>
      </c>
      <c r="M756">
        <v>0.97992199999999996</v>
      </c>
      <c r="N756">
        <v>0</v>
      </c>
      <c r="O756">
        <v>-0.19887270000000001</v>
      </c>
      <c r="P756">
        <v>0.96901519999999997</v>
      </c>
      <c r="Q756">
        <v>-1.6222569999999999E-2</v>
      </c>
      <c r="R756">
        <v>-0.2464683</v>
      </c>
      <c r="S756">
        <v>2.7447810000000001</v>
      </c>
      <c r="T756">
        <v>-0.32772699999999999</v>
      </c>
      <c r="U756">
        <v>-1.3688659999999999</v>
      </c>
      <c r="V756">
        <v>4.8795350000000001E-2</v>
      </c>
      <c r="W756">
        <v>-2.4160610000000002E-3</v>
      </c>
      <c r="X756">
        <v>0.99880590000000002</v>
      </c>
      <c r="Y756">
        <v>0.25904529999999998</v>
      </c>
      <c r="Z756">
        <v>7.4316850000000004E-3</v>
      </c>
      <c r="AA756">
        <v>0.96583660000000005</v>
      </c>
      <c r="AB756">
        <v>27</v>
      </c>
      <c r="AC756">
        <v>8.9639000000000202</v>
      </c>
      <c r="AD756">
        <v>-1.101008273033</v>
      </c>
      <c r="AE756">
        <v>-4.5427999999999997</v>
      </c>
      <c r="AF756">
        <v>2.63752534297506</v>
      </c>
      <c r="AG756">
        <v>-1.101008273033</v>
      </c>
      <c r="AH756">
        <v>9.57342786598986</v>
      </c>
      <c r="AI756">
        <v>96.326870718892906</v>
      </c>
      <c r="AJ756">
        <v>74.596862749552798</v>
      </c>
      <c r="AK756">
        <v>9.9909599267254592</v>
      </c>
    </row>
    <row r="757" spans="1:37" x14ac:dyDescent="0.2">
      <c r="A757" t="str">
        <f>"20200111160113222"</f>
        <v>20200111160113222</v>
      </c>
      <c r="B757" t="str">
        <f>"1578729673211602"</f>
        <v>1578729673211602</v>
      </c>
      <c r="C757" t="s">
        <v>37</v>
      </c>
      <c r="D757">
        <v>4.5244949999999999</v>
      </c>
      <c r="E757">
        <v>0.58556129999999995</v>
      </c>
      <c r="F757" t="s">
        <v>38</v>
      </c>
      <c r="G757">
        <v>-214.89400000000001</v>
      </c>
      <c r="H757" s="1">
        <v>-3.4588989999999998E-6</v>
      </c>
      <c r="I757">
        <v>363.0949</v>
      </c>
      <c r="J757">
        <v>-223.98779999999999</v>
      </c>
      <c r="K757">
        <v>1.100981</v>
      </c>
      <c r="L757">
        <v>367.76670000000001</v>
      </c>
      <c r="M757">
        <v>0.97897939999999894</v>
      </c>
      <c r="N757">
        <v>0</v>
      </c>
      <c r="O757">
        <v>-0.2034618</v>
      </c>
      <c r="P757">
        <v>0.9679953</v>
      </c>
      <c r="Q757">
        <v>-1.6535250000000001E-2</v>
      </c>
      <c r="R757">
        <v>-0.25042340000000002</v>
      </c>
      <c r="S757">
        <v>2.73850999999999</v>
      </c>
      <c r="T757">
        <v>-0.32204139999999998</v>
      </c>
      <c r="U757">
        <v>-1.383972</v>
      </c>
      <c r="V757">
        <v>4.8192819999999997E-2</v>
      </c>
      <c r="W757">
        <v>-2.7266759999999999E-3</v>
      </c>
      <c r="X757">
        <v>0.99883429999999995</v>
      </c>
      <c r="Y757">
        <v>0.259689</v>
      </c>
      <c r="Z757">
        <v>7.7592669999999898E-3</v>
      </c>
      <c r="AA757">
        <v>0.96566109999999905</v>
      </c>
      <c r="AB757">
        <v>27</v>
      </c>
      <c r="AC757">
        <v>9.0937999999999803</v>
      </c>
      <c r="AD757">
        <v>-1.1009844588990001</v>
      </c>
      <c r="AE757">
        <v>-4.6718000000000099</v>
      </c>
      <c r="AF757">
        <v>2.69240678689604</v>
      </c>
      <c r="AG757">
        <v>-1.1009844588990001</v>
      </c>
      <c r="AH757">
        <v>9.74120403367208</v>
      </c>
      <c r="AI757">
        <v>96.217222466436596</v>
      </c>
      <c r="AJ757">
        <v>74.549539907321602</v>
      </c>
      <c r="AK757">
        <v>10.166232198336299</v>
      </c>
    </row>
    <row r="758" spans="1:37" x14ac:dyDescent="0.2">
      <c r="A758" t="str">
        <f>"20200111160113244"</f>
        <v>20200111160113244</v>
      </c>
      <c r="B758" t="str">
        <f>"1578729673241858"</f>
        <v>1578729673241858</v>
      </c>
      <c r="C758" t="s">
        <v>37</v>
      </c>
      <c r="D758">
        <v>4.5006059999999897</v>
      </c>
      <c r="E758">
        <v>0.58607739999999997</v>
      </c>
      <c r="F758" t="s">
        <v>38</v>
      </c>
      <c r="G758">
        <v>-214.64879999999999</v>
      </c>
      <c r="H758" s="1">
        <v>-3.5679449999999999E-6</v>
      </c>
      <c r="I758">
        <v>362.99860000000001</v>
      </c>
      <c r="J758">
        <v>-223.71889999999999</v>
      </c>
      <c r="K758">
        <v>1.1009530000000001</v>
      </c>
      <c r="L758">
        <v>367.7054</v>
      </c>
      <c r="M758">
        <v>0.97800339999999997</v>
      </c>
      <c r="N758">
        <v>0</v>
      </c>
      <c r="O758">
        <v>-0.20810339999999999</v>
      </c>
      <c r="P758">
        <v>0.96681360000000005</v>
      </c>
      <c r="Q758">
        <v>-1.615422E-2</v>
      </c>
      <c r="R758">
        <v>-0.25497199999999998</v>
      </c>
      <c r="S758">
        <v>2.732742</v>
      </c>
      <c r="T758">
        <v>-0.32216289999999997</v>
      </c>
      <c r="U758">
        <v>-1.395203</v>
      </c>
      <c r="V758">
        <v>4.8152920000000002E-2</v>
      </c>
      <c r="W758">
        <v>-2.3489660000000001E-3</v>
      </c>
      <c r="X758">
        <v>0.99883719999999998</v>
      </c>
      <c r="Y758">
        <v>0.25910860000000002</v>
      </c>
      <c r="Z758">
        <v>8.2931099999999994E-3</v>
      </c>
      <c r="AA758">
        <v>0.96581260000000002</v>
      </c>
      <c r="AB758">
        <v>27</v>
      </c>
      <c r="AC758">
        <v>9.0700999999999894</v>
      </c>
      <c r="AD758">
        <v>-1.100956567945</v>
      </c>
      <c r="AE758">
        <v>-4.7067999999999799</v>
      </c>
      <c r="AF758">
        <v>2.6848569623441199</v>
      </c>
      <c r="AG758">
        <v>-1.100956567945</v>
      </c>
      <c r="AH758">
        <v>9.7380479913233309</v>
      </c>
      <c r="AI758">
        <v>96.220150711193995</v>
      </c>
      <c r="AJ758">
        <v>74.586046469550794</v>
      </c>
      <c r="AK758">
        <v>10.161207652344499</v>
      </c>
    </row>
    <row r="759" spans="1:37" x14ac:dyDescent="0.2">
      <c r="A759" t="str">
        <f>"20200111160113267"</f>
        <v>20200111160113267</v>
      </c>
      <c r="B759" t="str">
        <f>"1578729673261377"</f>
        <v>1578729673261377</v>
      </c>
      <c r="C759" t="s">
        <v>37</v>
      </c>
      <c r="D759">
        <v>4.6198559999999897</v>
      </c>
      <c r="E759">
        <v>0.58631889999999998</v>
      </c>
      <c r="F759" t="s">
        <v>38</v>
      </c>
      <c r="G759">
        <v>-214.3409</v>
      </c>
      <c r="H759" s="1">
        <v>-3.7130479999999999E-6</v>
      </c>
      <c r="I759">
        <v>362.84710000000001</v>
      </c>
      <c r="J759">
        <v>-223.447</v>
      </c>
      <c r="K759">
        <v>1.1009309999999899</v>
      </c>
      <c r="L759">
        <v>367.64210000000003</v>
      </c>
      <c r="M759">
        <v>0.97698180000000001</v>
      </c>
      <c r="N759">
        <v>0</v>
      </c>
      <c r="O759">
        <v>-0.2128478</v>
      </c>
      <c r="P759">
        <v>0.96532609999999996</v>
      </c>
      <c r="Q759">
        <v>-1.541526E-2</v>
      </c>
      <c r="R759">
        <v>-0.26059209999999999</v>
      </c>
      <c r="S759">
        <v>2.7253270000000001</v>
      </c>
      <c r="T759">
        <v>-0.31994459999999902</v>
      </c>
      <c r="U759">
        <v>-1.4118649999999999</v>
      </c>
      <c r="V759">
        <v>4.9118809999999999E-2</v>
      </c>
      <c r="W759">
        <v>-1.6227289999999901E-3</v>
      </c>
      <c r="X759">
        <v>0.998791599999999</v>
      </c>
      <c r="Y759">
        <v>0.26017449999999998</v>
      </c>
      <c r="Z759">
        <v>8.6837459999999905E-3</v>
      </c>
      <c r="AA759">
        <v>0.96552260000000001</v>
      </c>
      <c r="AB759">
        <v>27</v>
      </c>
      <c r="AC759">
        <v>9.1060999999999908</v>
      </c>
      <c r="AD759">
        <v>-1.1009347130479901</v>
      </c>
      <c r="AE759">
        <v>-4.7950000000000097</v>
      </c>
      <c r="AF759">
        <v>2.7156151363440002</v>
      </c>
      <c r="AG759">
        <v>-1.1009347130479901</v>
      </c>
      <c r="AH759">
        <v>9.8058853814730895</v>
      </c>
      <c r="AI759">
        <v>96.175397507738595</v>
      </c>
      <c r="AJ759">
        <v>74.520606505780293</v>
      </c>
      <c r="AK759">
        <v>10.234354445968799</v>
      </c>
    </row>
    <row r="760" spans="1:37" x14ac:dyDescent="0.2">
      <c r="A760" t="str">
        <f>"20200111160113288"</f>
        <v>20200111160113288</v>
      </c>
      <c r="B760" t="str">
        <f>"1578729673281873"</f>
        <v>1578729673281873</v>
      </c>
      <c r="C760" t="s">
        <v>37</v>
      </c>
      <c r="D760">
        <v>4.4990019999999999</v>
      </c>
      <c r="E760">
        <v>0.58630450000000001</v>
      </c>
      <c r="F760" t="s">
        <v>38</v>
      </c>
      <c r="G760">
        <v>-214.0051</v>
      </c>
      <c r="H760" s="1">
        <v>-3.8732910000000002E-6</v>
      </c>
      <c r="I760">
        <v>362.67430000000002</v>
      </c>
      <c r="J760">
        <v>-223.18870000000001</v>
      </c>
      <c r="K760">
        <v>1.1009009999999999</v>
      </c>
      <c r="L760">
        <v>367.58049999999997</v>
      </c>
      <c r="M760">
        <v>0.97597739999999999</v>
      </c>
      <c r="N760">
        <v>0</v>
      </c>
      <c r="O760">
        <v>-0.21740660000000001</v>
      </c>
      <c r="P760">
        <v>0.96375880000000003</v>
      </c>
      <c r="Q760">
        <v>-1.5629290000000001E-2</v>
      </c>
      <c r="R760">
        <v>-0.26631700000000003</v>
      </c>
      <c r="S760">
        <v>2.7168269999999999</v>
      </c>
      <c r="T760">
        <v>-0.31678099999999998</v>
      </c>
      <c r="U760">
        <v>-1.4294129999999901</v>
      </c>
      <c r="V760">
        <v>5.0382830000000003E-2</v>
      </c>
      <c r="W760">
        <v>-1.85224E-3</v>
      </c>
      <c r="X760">
        <v>0.99872830000000001</v>
      </c>
      <c r="Y760">
        <v>0.2618161</v>
      </c>
      <c r="Z760">
        <v>8.9926090000000004E-3</v>
      </c>
      <c r="AA760">
        <v>0.96507589999999999</v>
      </c>
      <c r="AB760">
        <v>27</v>
      </c>
      <c r="AC760">
        <v>9.1836000000000109</v>
      </c>
      <c r="AD760">
        <v>-1.1009048732910001</v>
      </c>
      <c r="AE760">
        <v>-4.9061999999999504</v>
      </c>
      <c r="AF760">
        <v>2.7611784061359002</v>
      </c>
      <c r="AG760">
        <v>-1.1009048732910001</v>
      </c>
      <c r="AH760">
        <v>9.9197414242816393</v>
      </c>
      <c r="AI760">
        <v>96.102683234377906</v>
      </c>
      <c r="AJ760">
        <v>74.445357608617499</v>
      </c>
      <c r="AK760">
        <v>10.3555476752876</v>
      </c>
    </row>
    <row r="761" spans="1:37" x14ac:dyDescent="0.2">
      <c r="A761" t="str">
        <f>"20200111160113311"</f>
        <v>20200111160113311</v>
      </c>
      <c r="B761" t="str">
        <f>"1578729673301393"</f>
        <v>1578729673301393</v>
      </c>
      <c r="C761" t="s">
        <v>37</v>
      </c>
      <c r="D761">
        <v>4.6251579999999999</v>
      </c>
      <c r="E761">
        <v>0.58615039999999996</v>
      </c>
      <c r="F761" t="s">
        <v>38</v>
      </c>
      <c r="G761">
        <v>-213.8021</v>
      </c>
      <c r="H761" s="1">
        <v>-3.9699579999999901E-6</v>
      </c>
      <c r="I761">
        <v>362.57060000000001</v>
      </c>
      <c r="J761">
        <v>-222.9289</v>
      </c>
      <c r="K761">
        <v>1.100859</v>
      </c>
      <c r="L761">
        <v>367.5172</v>
      </c>
      <c r="M761">
        <v>0.97493269999999999</v>
      </c>
      <c r="N761">
        <v>0</v>
      </c>
      <c r="O761">
        <v>-0.2220451</v>
      </c>
      <c r="P761">
        <v>0.96187369999999905</v>
      </c>
      <c r="Q761">
        <v>-1.6966120000000001E-2</v>
      </c>
      <c r="R761">
        <v>-0.27296749999999997</v>
      </c>
      <c r="S761">
        <v>2.70826699999999</v>
      </c>
      <c r="T761">
        <v>-0.31763609999999998</v>
      </c>
      <c r="U761">
        <v>-1.445465</v>
      </c>
      <c r="V761">
        <v>5.2524880000000003E-2</v>
      </c>
      <c r="W761">
        <v>-3.2131479999999999E-3</v>
      </c>
      <c r="X761">
        <v>0.99861440000000001</v>
      </c>
      <c r="Y761">
        <v>0.26296199999999997</v>
      </c>
      <c r="Z761">
        <v>9.4490709999999999E-3</v>
      </c>
      <c r="AA761">
        <v>0.9647599</v>
      </c>
      <c r="AB761">
        <v>27</v>
      </c>
      <c r="AC761">
        <v>9.1267999999999994</v>
      </c>
      <c r="AD761">
        <v>-1.1008629699579999</v>
      </c>
      <c r="AE761">
        <v>-4.9465999999999797</v>
      </c>
      <c r="AF761">
        <v>2.7652271955143002</v>
      </c>
      <c r="AG761">
        <v>-1.1008629699579999</v>
      </c>
      <c r="AH761">
        <v>9.8862192251243801</v>
      </c>
      <c r="AI761">
        <v>96.120859438894598</v>
      </c>
      <c r="AJ761">
        <v>74.373416120554793</v>
      </c>
      <c r="AK761">
        <v>10.324519905964401</v>
      </c>
    </row>
    <row r="762" spans="1:37" x14ac:dyDescent="0.2">
      <c r="A762" t="str">
        <f>"20200111160113333"</f>
        <v>20200111160113333</v>
      </c>
      <c r="B762" t="str">
        <f>"1578729673331649"</f>
        <v>1578729673331649</v>
      </c>
      <c r="C762" t="s">
        <v>37</v>
      </c>
      <c r="D762">
        <v>4.6604950000000001</v>
      </c>
      <c r="E762">
        <v>0.58644629999999998</v>
      </c>
      <c r="F762" t="s">
        <v>38</v>
      </c>
      <c r="G762">
        <v>-213.69710000000001</v>
      </c>
      <c r="H762" s="1">
        <v>-4.0207780000000004E-6</v>
      </c>
      <c r="I762">
        <v>362.51389999999998</v>
      </c>
      <c r="J762">
        <v>-222.66319999999999</v>
      </c>
      <c r="K762">
        <v>1.1008359999999999</v>
      </c>
      <c r="L762">
        <v>367.450999999999</v>
      </c>
      <c r="M762">
        <v>0.9738289</v>
      </c>
      <c r="N762">
        <v>0</v>
      </c>
      <c r="O762">
        <v>-0.226836499999999</v>
      </c>
      <c r="P762">
        <v>0.96000669999999899</v>
      </c>
      <c r="Q762">
        <v>-1.6671720000000001E-2</v>
      </c>
      <c r="R762">
        <v>-0.27948049999999902</v>
      </c>
      <c r="S762">
        <v>2.6982569999999999</v>
      </c>
      <c r="T762">
        <v>-0.32175670000000001</v>
      </c>
      <c r="U762">
        <v>-1.4623409999999999</v>
      </c>
      <c r="V762">
        <v>5.4383309999999997E-2</v>
      </c>
      <c r="W762">
        <v>-2.9398340000000001E-3</v>
      </c>
      <c r="X762">
        <v>0.99851579999999995</v>
      </c>
      <c r="Y762">
        <v>0.26439029999999902</v>
      </c>
      <c r="Z762">
        <v>1.001312E-2</v>
      </c>
      <c r="AA762">
        <v>0.96436379999999999</v>
      </c>
      <c r="AB762">
        <v>27</v>
      </c>
      <c r="AC762">
        <v>8.9660999999999795</v>
      </c>
      <c r="AD762">
        <v>-1.100840020778</v>
      </c>
      <c r="AE762">
        <v>-4.9370999999999796</v>
      </c>
      <c r="AF762">
        <v>2.74260848563432</v>
      </c>
      <c r="AG762">
        <v>-1.100840020778</v>
      </c>
      <c r="AH762">
        <v>9.7396981775089309</v>
      </c>
      <c r="AI762">
        <v>96.2090739952923</v>
      </c>
      <c r="AJ762">
        <v>74.273273716433494</v>
      </c>
      <c r="AK762">
        <v>10.178186019413801</v>
      </c>
    </row>
    <row r="763" spans="1:37" x14ac:dyDescent="0.2">
      <c r="A763" t="str">
        <f>"20200111160113356"</f>
        <v>20200111160113356</v>
      </c>
      <c r="B763" t="str">
        <f>"1578729673351169"</f>
        <v>1578729673351169</v>
      </c>
      <c r="C763" t="s">
        <v>37</v>
      </c>
      <c r="D763">
        <v>4.666175</v>
      </c>
      <c r="E763">
        <v>0.58665599999999996</v>
      </c>
      <c r="F763" t="s">
        <v>38</v>
      </c>
      <c r="G763">
        <v>-213.2988</v>
      </c>
      <c r="H763" s="1">
        <v>-4.2177299999999999E-6</v>
      </c>
      <c r="I763">
        <v>362.28320000000002</v>
      </c>
      <c r="J763">
        <v>-222.39109999999999</v>
      </c>
      <c r="K763">
        <v>1.1008260000000001</v>
      </c>
      <c r="L763">
        <v>367.3818</v>
      </c>
      <c r="M763">
        <v>0.97266359999999996</v>
      </c>
      <c r="N763">
        <v>0</v>
      </c>
      <c r="O763">
        <v>-0.23178299999999999</v>
      </c>
      <c r="P763">
        <v>0.95792250000000001</v>
      </c>
      <c r="Q763">
        <v>-1.5092980000000001E-2</v>
      </c>
      <c r="R763">
        <v>-0.2866303</v>
      </c>
      <c r="S763">
        <v>2.6876679999999999</v>
      </c>
      <c r="T763">
        <v>-0.31594820000000001</v>
      </c>
      <c r="U763">
        <v>-1.483215</v>
      </c>
      <c r="V763">
        <v>5.6760440000000002E-2</v>
      </c>
      <c r="W763">
        <v>-1.38680799999999E-3</v>
      </c>
      <c r="X763">
        <v>0.99838689999999997</v>
      </c>
      <c r="Y763">
        <v>0.26685829999999999</v>
      </c>
      <c r="Z763">
        <v>1.022471E-2</v>
      </c>
      <c r="AA763">
        <v>0.96368149999999997</v>
      </c>
      <c r="AB763">
        <v>27</v>
      </c>
      <c r="AC763">
        <v>9.0922999999999892</v>
      </c>
      <c r="AD763">
        <v>-1.10083021772999</v>
      </c>
      <c r="AE763">
        <v>-5.09859999999997</v>
      </c>
      <c r="AF763">
        <v>2.8206151776197599</v>
      </c>
      <c r="AG763">
        <v>-1.10083021772999</v>
      </c>
      <c r="AH763">
        <v>9.91595002398053</v>
      </c>
      <c r="AI763">
        <v>96.094958296024103</v>
      </c>
      <c r="AJ763">
        <v>74.121473658282497</v>
      </c>
      <c r="AK763">
        <v>10.367919850508301</v>
      </c>
    </row>
    <row r="764" spans="1:37" x14ac:dyDescent="0.2">
      <c r="A764" t="str">
        <f>"20200111160113379"</f>
        <v>20200111160113379</v>
      </c>
      <c r="B764" t="str">
        <f>"1578729673371665"</f>
        <v>1578729673371665</v>
      </c>
      <c r="C764" t="s">
        <v>37</v>
      </c>
      <c r="D764">
        <v>4.7326750000000004</v>
      </c>
      <c r="E764">
        <v>0.58651730000000002</v>
      </c>
      <c r="F764" t="s">
        <v>38</v>
      </c>
      <c r="G764">
        <v>-212.82230000000001</v>
      </c>
      <c r="H764" s="1">
        <v>-4.4543440000000002E-6</v>
      </c>
      <c r="I764">
        <v>362.00319999999999</v>
      </c>
      <c r="J764">
        <v>-222.1224</v>
      </c>
      <c r="K764">
        <v>1.10083</v>
      </c>
      <c r="L764">
        <v>367.31199999999899</v>
      </c>
      <c r="M764">
        <v>0.97147939999999999</v>
      </c>
      <c r="N764">
        <v>0</v>
      </c>
      <c r="O764">
        <v>-0.23669709999999999</v>
      </c>
      <c r="P764">
        <v>0.95599020000000001</v>
      </c>
      <c r="Q764">
        <v>-1.252782E-2</v>
      </c>
      <c r="R764">
        <v>-0.29313149999999999</v>
      </c>
      <c r="S764">
        <v>2.67671199999999</v>
      </c>
      <c r="T764">
        <v>-0.30793759999999998</v>
      </c>
      <c r="U764">
        <v>-1.5045469999999901</v>
      </c>
      <c r="V764">
        <v>5.8509470000000001E-2</v>
      </c>
      <c r="W764">
        <v>1.1590159999999999E-3</v>
      </c>
      <c r="X764">
        <v>0.99828619999999901</v>
      </c>
      <c r="Y764">
        <v>0.2695285</v>
      </c>
      <c r="Z764">
        <v>1.0334650000000001E-2</v>
      </c>
      <c r="AA764">
        <v>0.96293700000000004</v>
      </c>
      <c r="AB764">
        <v>27</v>
      </c>
      <c r="AC764">
        <v>9.3000999999999792</v>
      </c>
      <c r="AD764">
        <v>-1.1008344543440001</v>
      </c>
      <c r="AE764">
        <v>-5.3087999999999598</v>
      </c>
      <c r="AF764">
        <v>2.9254671003294601</v>
      </c>
      <c r="AG764">
        <v>-1.1008344543440001</v>
      </c>
      <c r="AH764">
        <v>10.1848451577104</v>
      </c>
      <c r="AI764">
        <v>95.930893901009199</v>
      </c>
      <c r="AJ764">
        <v>73.9739618205829</v>
      </c>
      <c r="AK764">
        <v>10.6536972520116</v>
      </c>
    </row>
    <row r="765" spans="1:37" x14ac:dyDescent="0.2">
      <c r="A765" t="str">
        <f>"20200111160113400"</f>
        <v>20200111160113400</v>
      </c>
      <c r="B765" t="str">
        <f>"1578729673391185"</f>
        <v>1578729673391185</v>
      </c>
      <c r="C765" t="s">
        <v>37</v>
      </c>
      <c r="D765">
        <v>4.8045229999999997</v>
      </c>
      <c r="E765">
        <v>0.58641869999999996</v>
      </c>
      <c r="F765" t="s">
        <v>38</v>
      </c>
      <c r="G765">
        <v>-212.27180000000001</v>
      </c>
      <c r="H765" s="1">
        <v>-4.7242419999999902E-6</v>
      </c>
      <c r="I765">
        <v>361.69299999999998</v>
      </c>
      <c r="J765">
        <v>-221.86949999999999</v>
      </c>
      <c r="K765">
        <v>1.1008359999999999</v>
      </c>
      <c r="L765">
        <v>367.24489999999997</v>
      </c>
      <c r="M765">
        <v>0.97033510000000001</v>
      </c>
      <c r="N765">
        <v>0</v>
      </c>
      <c r="O765">
        <v>-0.24134559999999999</v>
      </c>
      <c r="P765">
        <v>0.95422929999999995</v>
      </c>
      <c r="Q765">
        <v>-9.8454949999999992E-3</v>
      </c>
      <c r="R765">
        <v>-0.29891469999999998</v>
      </c>
      <c r="S765">
        <v>2.667618</v>
      </c>
      <c r="T765">
        <v>-0.2981105</v>
      </c>
      <c r="U765">
        <v>-1.5216369999999999</v>
      </c>
      <c r="V765">
        <v>5.979056E-2</v>
      </c>
      <c r="W765">
        <v>3.826912E-3</v>
      </c>
      <c r="X765">
        <v>0.99820359999999997</v>
      </c>
      <c r="Y765">
        <v>0.2710109</v>
      </c>
      <c r="Z765">
        <v>1.039645E-2</v>
      </c>
      <c r="AA765">
        <v>0.96252009999999899</v>
      </c>
      <c r="AB765">
        <v>27</v>
      </c>
      <c r="AC765">
        <v>9.5976999999999695</v>
      </c>
      <c r="AD765">
        <v>-1.100840724242</v>
      </c>
      <c r="AE765">
        <v>-5.5518999999999297</v>
      </c>
      <c r="AF765">
        <v>3.04117338173074</v>
      </c>
      <c r="AG765">
        <v>-1.100840724242</v>
      </c>
      <c r="AH765">
        <v>10.549994037486</v>
      </c>
      <c r="AI765">
        <v>95.7254885860565</v>
      </c>
      <c r="AJ765">
        <v>73.919683526283904</v>
      </c>
      <c r="AK765">
        <v>11.034625504696001</v>
      </c>
    </row>
    <row r="766" spans="1:37" x14ac:dyDescent="0.2">
      <c r="A766" t="str">
        <f>"20200111160113423"</f>
        <v>20200111160113423</v>
      </c>
      <c r="B766" t="str">
        <f>"1578729673411682"</f>
        <v>1578729673411682</v>
      </c>
      <c r="C766" t="s">
        <v>37</v>
      </c>
      <c r="D766">
        <v>4.8406260000000003</v>
      </c>
      <c r="E766">
        <v>0.58615289999999998</v>
      </c>
      <c r="F766" t="s">
        <v>38</v>
      </c>
      <c r="G766">
        <v>-211.726</v>
      </c>
      <c r="H766" s="1">
        <v>-4.9928489999999997E-6</v>
      </c>
      <c r="I766">
        <v>361.38159999999999</v>
      </c>
      <c r="J766">
        <v>-221.61099999999999</v>
      </c>
      <c r="K766">
        <v>1.1008439999999999</v>
      </c>
      <c r="L766">
        <v>367.17500000000001</v>
      </c>
      <c r="M766">
        <v>0.96913749999999999</v>
      </c>
      <c r="N766">
        <v>0</v>
      </c>
      <c r="O766">
        <v>-0.2461101</v>
      </c>
      <c r="P766">
        <v>0.95239050000000003</v>
      </c>
      <c r="Q766">
        <v>-8.3407569999999903E-3</v>
      </c>
      <c r="R766">
        <v>-0.30476639999999999</v>
      </c>
      <c r="S766">
        <v>2.6593930000000001</v>
      </c>
      <c r="T766">
        <v>-0.2886127</v>
      </c>
      <c r="U766">
        <v>-1.537201</v>
      </c>
      <c r="V766">
        <v>6.1023620000000001E-2</v>
      </c>
      <c r="W766">
        <v>5.3184419999999996E-3</v>
      </c>
      <c r="X766">
        <v>0.99812219999999996</v>
      </c>
      <c r="Y766">
        <v>0.27182059999999902</v>
      </c>
      <c r="Z766">
        <v>1.048791E-2</v>
      </c>
      <c r="AA766">
        <v>0.9622908</v>
      </c>
      <c r="AB766">
        <v>27</v>
      </c>
      <c r="AC766">
        <v>9.8849999999999891</v>
      </c>
      <c r="AD766">
        <v>-1.100848992849</v>
      </c>
      <c r="AE766">
        <v>-5.7934000000000099</v>
      </c>
      <c r="AF766">
        <v>3.15301799454812</v>
      </c>
      <c r="AG766">
        <v>-1.100848992849</v>
      </c>
      <c r="AH766">
        <v>10.906172676171201</v>
      </c>
      <c r="AI766">
        <v>95.538493404431193</v>
      </c>
      <c r="AJ766">
        <v>73.875207562046796</v>
      </c>
      <c r="AK766">
        <v>11.4060507372825</v>
      </c>
    </row>
    <row r="767" spans="1:37" x14ac:dyDescent="0.2">
      <c r="A767" t="str">
        <f>"20200111160113445"</f>
        <v>20200111160113445</v>
      </c>
      <c r="B767" t="str">
        <f>"1578729673441938"</f>
        <v>1578729673441938</v>
      </c>
      <c r="C767" t="s">
        <v>37</v>
      </c>
      <c r="D767">
        <v>4.8448269999999898</v>
      </c>
      <c r="E767">
        <v>0.58576169999999905</v>
      </c>
      <c r="F767" t="s">
        <v>38</v>
      </c>
      <c r="G767">
        <v>-211.2808</v>
      </c>
      <c r="H767" s="1">
        <v>-5.2284230000000002E-6</v>
      </c>
      <c r="I767">
        <v>361.12860000000001</v>
      </c>
      <c r="J767">
        <v>-221.3441</v>
      </c>
      <c r="K767">
        <v>1.1008659999999999</v>
      </c>
      <c r="L767">
        <v>367.10129999999998</v>
      </c>
      <c r="M767">
        <v>0.96787289999999904</v>
      </c>
      <c r="N767">
        <v>0</v>
      </c>
      <c r="O767">
        <v>-0.25103730000000002</v>
      </c>
      <c r="P767">
        <v>0.95071510000000004</v>
      </c>
      <c r="Q767">
        <v>-8.1211249999999999E-3</v>
      </c>
      <c r="R767">
        <v>-0.309959599999999</v>
      </c>
      <c r="S767">
        <v>2.6510009999999999</v>
      </c>
      <c r="T767">
        <v>-0.28250449999999999</v>
      </c>
      <c r="U767">
        <v>-1.551636</v>
      </c>
      <c r="V767">
        <v>6.1394270000000001E-2</v>
      </c>
      <c r="W767">
        <v>5.5330149999999996E-3</v>
      </c>
      <c r="X767">
        <v>0.99809829999999999</v>
      </c>
      <c r="Y767">
        <v>0.2721787</v>
      </c>
      <c r="Z767">
        <v>1.071828E-2</v>
      </c>
      <c r="AA767">
        <v>0.96218709999999996</v>
      </c>
      <c r="AB767">
        <v>27</v>
      </c>
      <c r="AC767">
        <v>10.0632999999999</v>
      </c>
      <c r="AD767">
        <v>-1.100871228423</v>
      </c>
      <c r="AE767">
        <v>-5.9726999999999704</v>
      </c>
      <c r="AF767">
        <v>3.2263277872537302</v>
      </c>
      <c r="AG767">
        <v>-1.100871228423</v>
      </c>
      <c r="AH767">
        <v>11.1418995860567</v>
      </c>
      <c r="AI767">
        <v>95.421464862268493</v>
      </c>
      <c r="AJ767">
        <v>73.850721716876293</v>
      </c>
      <c r="AK767">
        <v>11.651739562749601</v>
      </c>
    </row>
    <row r="768" spans="1:37" x14ac:dyDescent="0.2">
      <c r="A768" t="str">
        <f>"20200111160113468"</f>
        <v>20200111160113468</v>
      </c>
      <c r="B768" t="str">
        <f>"1578729673461457"</f>
        <v>1578729673461457</v>
      </c>
      <c r="C768" t="s">
        <v>37</v>
      </c>
      <c r="D768">
        <v>5.0569470000000001</v>
      </c>
      <c r="E768">
        <v>0.58550570000000002</v>
      </c>
      <c r="F768" t="s">
        <v>38</v>
      </c>
      <c r="G768">
        <v>-210.9726</v>
      </c>
      <c r="H768" s="1">
        <v>-5.3893439999999997E-6</v>
      </c>
      <c r="I768">
        <v>360.96679999999998</v>
      </c>
      <c r="J768">
        <v>-221.08179999999999</v>
      </c>
      <c r="K768">
        <v>1.100889</v>
      </c>
      <c r="L768">
        <v>367.02760000000001</v>
      </c>
      <c r="M768">
        <v>0.96660299999999999</v>
      </c>
      <c r="N768">
        <v>0</v>
      </c>
      <c r="O768">
        <v>-0.25588420000000001</v>
      </c>
      <c r="P768">
        <v>0.94900529999999905</v>
      </c>
      <c r="Q768">
        <v>-8.0404169999999994E-3</v>
      </c>
      <c r="R768">
        <v>-0.3151582</v>
      </c>
      <c r="S768">
        <v>2.643402</v>
      </c>
      <c r="T768">
        <v>-0.28057799999999999</v>
      </c>
      <c r="U768">
        <v>-1.563507</v>
      </c>
      <c r="V768">
        <v>6.1855729999999998E-2</v>
      </c>
      <c r="W768">
        <v>5.6078789999999996E-3</v>
      </c>
      <c r="X768">
        <v>0.99806930000000005</v>
      </c>
      <c r="Y768">
        <v>0.27179109999999901</v>
      </c>
      <c r="Z768">
        <v>1.1123289999999999E-2</v>
      </c>
      <c r="AA768">
        <v>0.96229200000000004</v>
      </c>
      <c r="AB768">
        <v>27</v>
      </c>
      <c r="AC768">
        <v>10.1091999999999</v>
      </c>
      <c r="AD768">
        <v>-1.100894389344</v>
      </c>
      <c r="AE768">
        <v>-6.0608000000000199</v>
      </c>
      <c r="AF768">
        <v>3.2436369336196198</v>
      </c>
      <c r="AG768">
        <v>-1.100894389344</v>
      </c>
      <c r="AH768">
        <v>11.225660657036901</v>
      </c>
      <c r="AI768">
        <v>95.382246682769505</v>
      </c>
      <c r="AJ768">
        <v>73.883433559905697</v>
      </c>
      <c r="AK768">
        <v>11.736635216303601</v>
      </c>
    </row>
    <row r="769" spans="1:37" x14ac:dyDescent="0.2">
      <c r="A769" t="str">
        <f>"20200111160113489"</f>
        <v>20200111160113489</v>
      </c>
      <c r="B769" t="str">
        <f>"1578729673481953"</f>
        <v>1578729673481953</v>
      </c>
      <c r="C769" t="s">
        <v>37</v>
      </c>
      <c r="D769">
        <v>4.9395150000000001</v>
      </c>
      <c r="E769">
        <v>0.58508890000000002</v>
      </c>
      <c r="F769" t="s">
        <v>38</v>
      </c>
      <c r="G769">
        <v>-210.6825</v>
      </c>
      <c r="H769" s="1">
        <v>-5.5421489999999997E-6</v>
      </c>
      <c r="I769">
        <v>360.80689999999998</v>
      </c>
      <c r="J769">
        <v>-220.83160000000001</v>
      </c>
      <c r="K769">
        <v>1.1009100000000001</v>
      </c>
      <c r="L769">
        <v>366.95580000000001</v>
      </c>
      <c r="M769">
        <v>0.96536759999999999</v>
      </c>
      <c r="N769">
        <v>0</v>
      </c>
      <c r="O769">
        <v>-0.26050619999999902</v>
      </c>
      <c r="P769">
        <v>0.94736869999999995</v>
      </c>
      <c r="Q769">
        <v>-7.6106129999999996E-3</v>
      </c>
      <c r="R769">
        <v>-0.32005479999999997</v>
      </c>
      <c r="S769">
        <v>2.6353149999999999</v>
      </c>
      <c r="T769">
        <v>-0.27897949999999999</v>
      </c>
      <c r="U769">
        <v>-1.5763849999999999</v>
      </c>
      <c r="V769">
        <v>6.2237210000000001E-2</v>
      </c>
      <c r="W769">
        <v>6.0332099999999998E-3</v>
      </c>
      <c r="X769">
        <v>0.99804319999999902</v>
      </c>
      <c r="Y769">
        <v>0.27196809999999899</v>
      </c>
      <c r="Z769">
        <v>1.1487789999999999E-2</v>
      </c>
      <c r="AA769">
        <v>0.96223769999999997</v>
      </c>
      <c r="AB769">
        <v>27</v>
      </c>
      <c r="AC769">
        <v>10.149100000000001</v>
      </c>
      <c r="AD769">
        <v>-1.100915542149</v>
      </c>
      <c r="AE769">
        <v>-6.1489000000000198</v>
      </c>
      <c r="AF769">
        <v>3.2642812720772598</v>
      </c>
      <c r="AG769">
        <v>-1.100915542149</v>
      </c>
      <c r="AH769">
        <v>11.3032995517478</v>
      </c>
      <c r="AI769">
        <v>95.3458189943468</v>
      </c>
      <c r="AJ769">
        <v>73.891804860488506</v>
      </c>
      <c r="AK769">
        <v>11.8166039118996</v>
      </c>
    </row>
    <row r="770" spans="1:37" x14ac:dyDescent="0.2">
      <c r="A770" t="str">
        <f>"20200111160113511"</f>
        <v>20200111160113511</v>
      </c>
      <c r="B770" t="str">
        <f>"1578729673501473"</f>
        <v>1578729673501473</v>
      </c>
      <c r="C770" t="s">
        <v>37</v>
      </c>
      <c r="D770">
        <v>4.9894419999999897</v>
      </c>
      <c r="E770">
        <v>0.58488450000000003</v>
      </c>
      <c r="F770" t="s">
        <v>38</v>
      </c>
      <c r="G770">
        <v>-210.39109999999999</v>
      </c>
      <c r="H770" s="1">
        <v>-5.6947159999999902E-6</v>
      </c>
      <c r="I770">
        <v>360.65159999999997</v>
      </c>
      <c r="J770">
        <v>-220.57480000000001</v>
      </c>
      <c r="K770">
        <v>1.10093</v>
      </c>
      <c r="L770">
        <v>366.8809</v>
      </c>
      <c r="M770">
        <v>0.964074599999999</v>
      </c>
      <c r="N770">
        <v>0</v>
      </c>
      <c r="O770">
        <v>-0.26525070000000001</v>
      </c>
      <c r="P770">
        <v>0.94592659999999995</v>
      </c>
      <c r="Q770">
        <v>-7.2033309999999899E-3</v>
      </c>
      <c r="R770">
        <v>-0.32430110000000001</v>
      </c>
      <c r="S770">
        <v>2.62829599999999</v>
      </c>
      <c r="T770">
        <v>-0.27714169999999999</v>
      </c>
      <c r="U770">
        <v>-1.5870059999999999</v>
      </c>
      <c r="V770">
        <v>6.1808299999999997E-2</v>
      </c>
      <c r="W770">
        <v>6.4432830000000002E-3</v>
      </c>
      <c r="X770">
        <v>0.99806729999999999</v>
      </c>
      <c r="Y770">
        <v>0.2712426</v>
      </c>
      <c r="Z770">
        <v>1.1891270000000001E-2</v>
      </c>
      <c r="AA770">
        <v>0.9624376</v>
      </c>
      <c r="AB770">
        <v>27</v>
      </c>
      <c r="AC770">
        <v>10.1837</v>
      </c>
      <c r="AD770">
        <v>-1.1009356947160001</v>
      </c>
      <c r="AE770">
        <v>-6.2293000000000198</v>
      </c>
      <c r="AF770">
        <v>3.2767419313265398</v>
      </c>
      <c r="AG770">
        <v>-1.1009356947160001</v>
      </c>
      <c r="AH770">
        <v>11.3745921361659</v>
      </c>
      <c r="AI770">
        <v>95.313607144568607</v>
      </c>
      <c r="AJ770">
        <v>73.929602176644195</v>
      </c>
      <c r="AK770">
        <v>11.888248119573401</v>
      </c>
    </row>
    <row r="771" spans="1:37" x14ac:dyDescent="0.2">
      <c r="A771" t="str">
        <f>"20200111160113534"</f>
        <v>20200111160113534</v>
      </c>
      <c r="B771" t="str">
        <f>"1578729673531730"</f>
        <v>1578729673531730</v>
      </c>
      <c r="C771" t="s">
        <v>37</v>
      </c>
      <c r="D771">
        <v>5.034173</v>
      </c>
      <c r="E771">
        <v>0.5271441</v>
      </c>
      <c r="F771" t="s">
        <v>38</v>
      </c>
      <c r="G771">
        <v>-210.0831</v>
      </c>
      <c r="H771" s="1">
        <v>-5.8558290000000001E-6</v>
      </c>
      <c r="I771">
        <v>360.48829999999998</v>
      </c>
      <c r="J771">
        <v>-220.31120000000001</v>
      </c>
      <c r="K771">
        <v>1.100962</v>
      </c>
      <c r="L771">
        <v>366.80239999999998</v>
      </c>
      <c r="M771">
        <v>0.96272190000000002</v>
      </c>
      <c r="N771">
        <v>0</v>
      </c>
      <c r="O771">
        <v>-0.2701192</v>
      </c>
      <c r="P771">
        <v>0.94449699999999903</v>
      </c>
      <c r="Q771">
        <v>-6.4538590000000002E-3</v>
      </c>
      <c r="R771">
        <v>-0.328457</v>
      </c>
      <c r="S771">
        <v>2.62175</v>
      </c>
      <c r="T771">
        <v>-0.2751074</v>
      </c>
      <c r="U771">
        <v>-1.5974120000000001</v>
      </c>
      <c r="V771">
        <v>6.1157780000000002E-2</v>
      </c>
      <c r="W771">
        <v>7.1980969999999997E-3</v>
      </c>
      <c r="X771">
        <v>0.99810209999999999</v>
      </c>
      <c r="Y771">
        <v>0.270254299999999</v>
      </c>
      <c r="Z771">
        <v>1.2302179999999999E-2</v>
      </c>
      <c r="AA771">
        <v>0.96271039999999997</v>
      </c>
      <c r="AB771">
        <v>27</v>
      </c>
      <c r="AC771">
        <v>10.2281</v>
      </c>
      <c r="AD771">
        <v>-1.1009678558289999</v>
      </c>
      <c r="AE771">
        <v>-6.3140999999999901</v>
      </c>
      <c r="AF771">
        <v>3.28866117499711</v>
      </c>
      <c r="AG771">
        <v>-1.1009678558289999</v>
      </c>
      <c r="AH771">
        <v>11.4574214126981</v>
      </c>
      <c r="AI771">
        <v>95.277016525907399</v>
      </c>
      <c r="AJ771">
        <v>73.984759610046197</v>
      </c>
      <c r="AK771">
        <v>11.970794792813599</v>
      </c>
    </row>
    <row r="772" spans="1:37" x14ac:dyDescent="0.2">
      <c r="A772" t="str">
        <f>"20200111160113558"</f>
        <v>20200111160113558</v>
      </c>
      <c r="B772" t="str">
        <f>"1578729673551249"</f>
        <v>1578729673551249</v>
      </c>
      <c r="C772" t="s">
        <v>37</v>
      </c>
      <c r="D772">
        <v>5.0518199999999904</v>
      </c>
      <c r="E772">
        <v>0.52648130000000004</v>
      </c>
      <c r="F772" t="s">
        <v>42</v>
      </c>
      <c r="G772">
        <v>-219.4949</v>
      </c>
      <c r="H772">
        <v>0.99403680000000005</v>
      </c>
      <c r="I772">
        <v>366.45819999999998</v>
      </c>
      <c r="J772">
        <v>-220.0471</v>
      </c>
      <c r="K772">
        <v>1.1009979999999999</v>
      </c>
      <c r="L772">
        <v>366.72239999999999</v>
      </c>
      <c r="M772">
        <v>0.96134069999999905</v>
      </c>
      <c r="N772">
        <v>0</v>
      </c>
      <c r="O772">
        <v>-0.2749953</v>
      </c>
      <c r="P772">
        <v>0.94331599999999904</v>
      </c>
      <c r="Q772">
        <v>-4.5080800000000002E-3</v>
      </c>
      <c r="R772">
        <v>-0.331866099999999</v>
      </c>
      <c r="S772">
        <v>2.76791399999999</v>
      </c>
      <c r="T772">
        <v>-0.36256450000000001</v>
      </c>
      <c r="U772">
        <v>-1.167206</v>
      </c>
      <c r="V772">
        <v>5.9717390000000002E-2</v>
      </c>
      <c r="W772">
        <v>9.1564019999999992E-3</v>
      </c>
      <c r="X772">
        <v>0.99817339999999999</v>
      </c>
      <c r="Y772">
        <v>0.1212066</v>
      </c>
      <c r="Z772">
        <v>2.603347E-2</v>
      </c>
      <c r="AA772">
        <v>0.9922858</v>
      </c>
      <c r="AB772">
        <v>27</v>
      </c>
      <c r="AC772">
        <v>0.55219999999999902</v>
      </c>
      <c r="AD772">
        <v>-0.10696119999999899</v>
      </c>
      <c r="AE772">
        <v>-0.26420000000001598</v>
      </c>
      <c r="AF772">
        <v>9.9117956870056201E-2</v>
      </c>
      <c r="AG772">
        <v>-0.10696119999999899</v>
      </c>
      <c r="AH772">
        <v>0.58568550301155398</v>
      </c>
      <c r="AI772">
        <v>100.207598165544</v>
      </c>
      <c r="AJ772">
        <v>80.394610520508195</v>
      </c>
      <c r="AK772">
        <v>0.603566546552599</v>
      </c>
    </row>
    <row r="773" spans="1:37" x14ac:dyDescent="0.2">
      <c r="A773" t="str">
        <f>"20200111160113580"</f>
        <v>20200111160113580</v>
      </c>
      <c r="B773" t="str">
        <f>"1578729673571745"</f>
        <v>1578729673571745</v>
      </c>
      <c r="C773" t="s">
        <v>37</v>
      </c>
      <c r="D773">
        <v>4.9995620000000001</v>
      </c>
      <c r="E773">
        <v>0.52644089999999999</v>
      </c>
      <c r="F773" t="s">
        <v>42</v>
      </c>
      <c r="G773">
        <v>-219.26159999999999</v>
      </c>
      <c r="H773">
        <v>1.000953</v>
      </c>
      <c r="I773">
        <v>366.38889999999998</v>
      </c>
      <c r="J773">
        <v>-219.78639999999999</v>
      </c>
      <c r="K773">
        <v>1.1010409999999999</v>
      </c>
      <c r="L773">
        <v>366.64190000000002</v>
      </c>
      <c r="M773">
        <v>0.95995379999999997</v>
      </c>
      <c r="N773">
        <v>0</v>
      </c>
      <c r="O773">
        <v>-0.27979779999999999</v>
      </c>
      <c r="P773">
        <v>0.94215179999999998</v>
      </c>
      <c r="Q773">
        <v>-1.93942299999999E-3</v>
      </c>
      <c r="R773">
        <v>-0.33518100000000001</v>
      </c>
      <c r="S773">
        <v>2.7658230000000001</v>
      </c>
      <c r="T773">
        <v>-0.3522304</v>
      </c>
      <c r="U773">
        <v>-1.173279</v>
      </c>
      <c r="V773">
        <v>5.8256860000000001E-2</v>
      </c>
      <c r="W773">
        <v>1.173833E-2</v>
      </c>
      <c r="X773">
        <v>0.99823259999999903</v>
      </c>
      <c r="Y773">
        <v>0.11835</v>
      </c>
      <c r="Z773">
        <v>2.6025820000000002E-2</v>
      </c>
      <c r="AA773">
        <v>0.99263080000000004</v>
      </c>
      <c r="AB773">
        <v>27</v>
      </c>
      <c r="AC773">
        <v>0.52479999999999805</v>
      </c>
      <c r="AD773">
        <v>-0.100087999999999</v>
      </c>
      <c r="AE773">
        <v>-0.25300000000004202</v>
      </c>
      <c r="AF773">
        <v>9.3286894122216399E-2</v>
      </c>
      <c r="AG773">
        <v>-0.100087999999999</v>
      </c>
      <c r="AH773">
        <v>0.55815740215370602</v>
      </c>
      <c r="AI773">
        <v>100.02991386034</v>
      </c>
      <c r="AJ773">
        <v>80.511645709592898</v>
      </c>
      <c r="AK773">
        <v>0.57468229304368101</v>
      </c>
    </row>
    <row r="774" spans="1:37" x14ac:dyDescent="0.2">
      <c r="A774" t="str">
        <f>"20200111160113602"</f>
        <v>20200111160113602</v>
      </c>
      <c r="B774" t="str">
        <f>"1578729673591265"</f>
        <v>1578729673591265</v>
      </c>
      <c r="C774" t="s">
        <v>37</v>
      </c>
      <c r="D774">
        <v>5.0642360000000002</v>
      </c>
      <c r="E774">
        <v>0.52646680000000001</v>
      </c>
      <c r="F774" t="s">
        <v>42</v>
      </c>
      <c r="G774">
        <v>-219.03</v>
      </c>
      <c r="H774">
        <v>1.0058370000000001</v>
      </c>
      <c r="I774">
        <v>366.31810000000002</v>
      </c>
      <c r="J774">
        <v>-219.54050000000001</v>
      </c>
      <c r="K774">
        <v>1.1010869999999999</v>
      </c>
      <c r="L774">
        <v>366.56479999999999</v>
      </c>
      <c r="M774">
        <v>0.95862879999999995</v>
      </c>
      <c r="N774">
        <v>0</v>
      </c>
      <c r="O774">
        <v>-0.28430440000000001</v>
      </c>
      <c r="P774">
        <v>0.9409904</v>
      </c>
      <c r="Q774">
        <v>8.3677100000000004E-4</v>
      </c>
      <c r="R774">
        <v>-0.33843249999999903</v>
      </c>
      <c r="S774">
        <v>2.7627109999999999</v>
      </c>
      <c r="T774">
        <v>-0.34777809999999998</v>
      </c>
      <c r="U774">
        <v>-1.182739</v>
      </c>
      <c r="V774">
        <v>5.7037350000000001E-2</v>
      </c>
      <c r="W774">
        <v>1.4525679999999999E-2</v>
      </c>
      <c r="X774">
        <v>0.9982664</v>
      </c>
      <c r="Y774">
        <v>0.1169732</v>
      </c>
      <c r="Z774">
        <v>2.6297460000000002E-2</v>
      </c>
      <c r="AA774">
        <v>0.99278679999999997</v>
      </c>
      <c r="AB774">
        <v>27</v>
      </c>
      <c r="AC774">
        <v>0.51050000000000695</v>
      </c>
      <c r="AD774">
        <v>-9.5250000000000001E-2</v>
      </c>
      <c r="AE774">
        <v>-0.24669999999997499</v>
      </c>
      <c r="AF774">
        <v>8.8857803438161298E-2</v>
      </c>
      <c r="AG774">
        <v>-9.5250000000000001E-2</v>
      </c>
      <c r="AH774">
        <v>0.54421551374486399</v>
      </c>
      <c r="AI774">
        <v>99.8002905749197</v>
      </c>
      <c r="AJ774">
        <v>80.726753095903106</v>
      </c>
      <c r="AK774">
        <v>0.55958806021254703</v>
      </c>
    </row>
    <row r="775" spans="1:37" x14ac:dyDescent="0.2">
      <c r="A775" t="str">
        <f>"20200111160113624"</f>
        <v>20200111160113624</v>
      </c>
      <c r="B775" t="str">
        <f>"1578729673621523"</f>
        <v>1578729673621523</v>
      </c>
      <c r="C775" t="s">
        <v>37</v>
      </c>
      <c r="D775">
        <v>5.0317920000000003</v>
      </c>
      <c r="E775">
        <v>0.52579229999999999</v>
      </c>
      <c r="F775" t="s">
        <v>42</v>
      </c>
      <c r="G775">
        <v>-218.8004</v>
      </c>
      <c r="H775">
        <v>1.00916299999999</v>
      </c>
      <c r="I775">
        <v>366.2448</v>
      </c>
      <c r="J775">
        <v>-219.28540000000001</v>
      </c>
      <c r="K775">
        <v>1.1011299999999999</v>
      </c>
      <c r="L775">
        <v>366.48349999999999</v>
      </c>
      <c r="M775">
        <v>0.95724399999999998</v>
      </c>
      <c r="N775">
        <v>0</v>
      </c>
      <c r="O775">
        <v>-0.288933099999999</v>
      </c>
      <c r="P775">
        <v>0.93947169999999902</v>
      </c>
      <c r="Q775">
        <v>2.1636950000000002E-3</v>
      </c>
      <c r="R775">
        <v>-0.34261989999999998</v>
      </c>
      <c r="S775">
        <v>2.7596889999999998</v>
      </c>
      <c r="T775">
        <v>-0.34276250000000003</v>
      </c>
      <c r="U775">
        <v>-1.1921389999999901</v>
      </c>
      <c r="V775">
        <v>5.6670289999999998E-2</v>
      </c>
      <c r="W775">
        <v>1.585638E-2</v>
      </c>
      <c r="X775">
        <v>0.99826709999999996</v>
      </c>
      <c r="Y775">
        <v>0.11542719999999999</v>
      </c>
      <c r="Z775">
        <v>2.6532739999999999E-2</v>
      </c>
      <c r="AA775">
        <v>0.99296149999999905</v>
      </c>
      <c r="AB775">
        <v>27</v>
      </c>
      <c r="AC775">
        <v>0.48500000000001298</v>
      </c>
      <c r="AD775">
        <v>-9.1967000000000104E-2</v>
      </c>
      <c r="AE775">
        <v>-0.238699999999994</v>
      </c>
      <c r="AF775">
        <v>8.5884533233604704E-2</v>
      </c>
      <c r="AG775">
        <v>-9.1967000000000104E-2</v>
      </c>
      <c r="AH775">
        <v>0.51828349319469802</v>
      </c>
      <c r="AI775">
        <v>99.929476386492397</v>
      </c>
      <c r="AJ775">
        <v>80.5910417292028</v>
      </c>
      <c r="AK775">
        <v>0.53334028673620104</v>
      </c>
    </row>
    <row r="776" spans="1:37" x14ac:dyDescent="0.2">
      <c r="A776" t="str">
        <f>"20200111160113646"</f>
        <v>20200111160113646</v>
      </c>
      <c r="B776" t="str">
        <f>"1578729673642019"</f>
        <v>1578729673642019</v>
      </c>
      <c r="C776" t="s">
        <v>37</v>
      </c>
      <c r="D776">
        <v>5.1069399999999998</v>
      </c>
      <c r="E776">
        <v>0.52541629999999995</v>
      </c>
      <c r="F776" t="s">
        <v>42</v>
      </c>
      <c r="G776">
        <v>-218.5686</v>
      </c>
      <c r="H776">
        <v>1.017272</v>
      </c>
      <c r="I776">
        <v>366.17110000000002</v>
      </c>
      <c r="J776">
        <v>-219.02289999999999</v>
      </c>
      <c r="K776">
        <v>1.101218</v>
      </c>
      <c r="L776">
        <v>366.39859999999999</v>
      </c>
      <c r="M776">
        <v>0.95582</v>
      </c>
      <c r="N776">
        <v>0</v>
      </c>
      <c r="O776">
        <v>-0.29361009999999998</v>
      </c>
      <c r="P776">
        <v>0.93801460000000003</v>
      </c>
      <c r="Q776">
        <v>1.9405879999999901E-3</v>
      </c>
      <c r="R776">
        <v>-0.34659040000000002</v>
      </c>
      <c r="S776">
        <v>2.7562410000000002</v>
      </c>
      <c r="T776">
        <v>-0.32237349999999998</v>
      </c>
      <c r="U776">
        <v>-1.2004699999999999</v>
      </c>
      <c r="V776">
        <v>5.6006840000000002E-2</v>
      </c>
      <c r="W776">
        <v>1.5642779999999998E-2</v>
      </c>
      <c r="X776">
        <v>0.99830779999999997</v>
      </c>
      <c r="Y776">
        <v>0.1134623</v>
      </c>
      <c r="Z776">
        <v>2.5573309999999998E-2</v>
      </c>
      <c r="AA776">
        <v>0.99321309999999996</v>
      </c>
      <c r="AB776">
        <v>27</v>
      </c>
      <c r="AC776">
        <v>0.45429999999998899</v>
      </c>
      <c r="AD776">
        <v>-8.3946000000000007E-2</v>
      </c>
      <c r="AE776">
        <v>-0.22749999999996301</v>
      </c>
      <c r="AF776">
        <v>8.1836439530225902E-2</v>
      </c>
      <c r="AG776">
        <v>-8.3946000000000007E-2</v>
      </c>
      <c r="AH776">
        <v>0.48776067188053601</v>
      </c>
      <c r="AI776">
        <v>99.633147628405297</v>
      </c>
      <c r="AJ776">
        <v>80.475629008784097</v>
      </c>
      <c r="AK776">
        <v>0.50165187808313505</v>
      </c>
    </row>
    <row r="777" spans="1:37" x14ac:dyDescent="0.2">
      <c r="A777" t="str">
        <f>"20200111160113660"</f>
        <v>20200111160113660</v>
      </c>
      <c r="B777" t="str">
        <f>"1578729673651778"</f>
        <v>1578729673651778</v>
      </c>
      <c r="C777" t="s">
        <v>37</v>
      </c>
      <c r="D777">
        <v>5.1256579999999996</v>
      </c>
      <c r="E777">
        <v>0.52516459999999998</v>
      </c>
      <c r="F777" t="s">
        <v>42</v>
      </c>
      <c r="G777">
        <v>-218.34020000000001</v>
      </c>
      <c r="H777">
        <v>1.0190779999999999</v>
      </c>
      <c r="I777">
        <v>366.09840000000003</v>
      </c>
      <c r="J777">
        <v>-218.86799999999999</v>
      </c>
      <c r="K777">
        <v>1.1012839999999999</v>
      </c>
      <c r="L777">
        <v>366.34769999999997</v>
      </c>
      <c r="M777">
        <v>0.95499029999999996</v>
      </c>
      <c r="N777">
        <v>0</v>
      </c>
      <c r="O777">
        <v>-0.296297599999999</v>
      </c>
      <c r="P777">
        <v>0.93708959999999997</v>
      </c>
      <c r="Q777">
        <v>1.62765E-3</v>
      </c>
      <c r="R777">
        <v>-0.3490856</v>
      </c>
      <c r="S777">
        <v>2.752075</v>
      </c>
      <c r="T777">
        <v>-0.33108530000000003</v>
      </c>
      <c r="U777">
        <v>-1.209381</v>
      </c>
      <c r="V777">
        <v>5.5850169999999998E-2</v>
      </c>
      <c r="W777">
        <v>1.533383E-2</v>
      </c>
      <c r="X777">
        <v>0.99832140000000003</v>
      </c>
      <c r="Y777">
        <v>0.113981399999999</v>
      </c>
      <c r="Z777">
        <v>2.6534660000000002E-2</v>
      </c>
      <c r="AA777">
        <v>0.99312849999999997</v>
      </c>
      <c r="AB777">
        <v>27</v>
      </c>
      <c r="AC777">
        <v>0.52779999999998495</v>
      </c>
      <c r="AD777">
        <v>-8.2205999999999696E-2</v>
      </c>
      <c r="AE777">
        <v>-0.24929999999994801</v>
      </c>
      <c r="AF777">
        <v>8.0112498048623804E-2</v>
      </c>
      <c r="AG777">
        <v>-8.2205999999999696E-2</v>
      </c>
      <c r="AH777">
        <v>0.56672867244939296</v>
      </c>
      <c r="AI777">
        <v>98.173248539346204</v>
      </c>
      <c r="AJ777">
        <v>81.954006050213593</v>
      </c>
      <c r="AK777">
        <v>0.57823630719269203</v>
      </c>
    </row>
    <row r="778" spans="1:37" x14ac:dyDescent="0.2">
      <c r="A778" t="str">
        <f>"20200111160113681"</f>
        <v>20200111160113681</v>
      </c>
      <c r="B778" t="str">
        <f>"1578729673671298"</f>
        <v>1578729673671298</v>
      </c>
      <c r="C778" t="s">
        <v>37</v>
      </c>
      <c r="D778">
        <v>5.165394</v>
      </c>
      <c r="E778">
        <v>0.52447739999999998</v>
      </c>
      <c r="F778" t="s">
        <v>42</v>
      </c>
      <c r="G778">
        <v>-218.12020000000001</v>
      </c>
      <c r="H778">
        <v>1.0102279999999999</v>
      </c>
      <c r="I778">
        <v>366.0172</v>
      </c>
      <c r="J778">
        <v>-218.64250000000001</v>
      </c>
      <c r="K778">
        <v>1.1014079999999999</v>
      </c>
      <c r="L778">
        <v>366.2731</v>
      </c>
      <c r="M778">
        <v>0.95379799999999904</v>
      </c>
      <c r="N778">
        <v>0</v>
      </c>
      <c r="O778">
        <v>-0.30011379999999999</v>
      </c>
      <c r="P778">
        <v>0.93582189999999998</v>
      </c>
      <c r="Q778">
        <v>1.09439E-3</v>
      </c>
      <c r="R778">
        <v>-0.35247149999999999</v>
      </c>
      <c r="S778">
        <v>2.7493590000000001</v>
      </c>
      <c r="T778">
        <v>-0.33469969999999999</v>
      </c>
      <c r="U778">
        <v>-1.2150570000000001</v>
      </c>
      <c r="V778">
        <v>5.5459479999999999E-2</v>
      </c>
      <c r="W778">
        <v>1.481032E-2</v>
      </c>
      <c r="X778">
        <v>0.99835110000000005</v>
      </c>
      <c r="Y778">
        <v>0.1121414</v>
      </c>
      <c r="Z778">
        <v>2.735336E-2</v>
      </c>
      <c r="AA778">
        <v>0.99331569999999902</v>
      </c>
      <c r="AB778">
        <v>27</v>
      </c>
      <c r="AC778">
        <v>0.52230000000000099</v>
      </c>
      <c r="AD778">
        <v>-9.1179999999999803E-2</v>
      </c>
      <c r="AE778">
        <v>-0.25589999999999602</v>
      </c>
      <c r="AF778">
        <v>8.52413179389135E-2</v>
      </c>
      <c r="AG778">
        <v>-9.1179999999999803E-2</v>
      </c>
      <c r="AH778">
        <v>0.56123249900668803</v>
      </c>
      <c r="AI778">
        <v>99.125010456994104</v>
      </c>
      <c r="AJ778">
        <v>81.363785452169793</v>
      </c>
      <c r="AK778">
        <v>0.57494503443829703</v>
      </c>
    </row>
    <row r="779" spans="1:37" x14ac:dyDescent="0.2">
      <c r="A779" t="str">
        <f>"20200111160113710"</f>
        <v>20200111160113710</v>
      </c>
      <c r="B779" t="str">
        <f>"1578729673701554"</f>
        <v>1578729673701554</v>
      </c>
      <c r="C779" t="s">
        <v>37</v>
      </c>
      <c r="D779">
        <v>5.2001710000000001</v>
      </c>
      <c r="E779">
        <v>0.52398690000000003</v>
      </c>
      <c r="F779" t="s">
        <v>42</v>
      </c>
      <c r="G779">
        <v>-217.8955</v>
      </c>
      <c r="H779">
        <v>1.0082469999999999</v>
      </c>
      <c r="I779">
        <v>365.94119999999998</v>
      </c>
      <c r="J779">
        <v>-218.3168</v>
      </c>
      <c r="K779">
        <v>1.1016109999999999</v>
      </c>
      <c r="L779">
        <v>366.16379999999998</v>
      </c>
      <c r="M779">
        <v>0.95212680000000005</v>
      </c>
      <c r="N779">
        <v>0</v>
      </c>
      <c r="O779">
        <v>-0.30537540000000002</v>
      </c>
      <c r="P779">
        <v>0.9337974</v>
      </c>
      <c r="Q779">
        <v>1.4429460000000001E-3</v>
      </c>
      <c r="R779">
        <v>-0.3577999</v>
      </c>
      <c r="S779">
        <v>2.7467039999999998</v>
      </c>
      <c r="T779">
        <v>-0.34245199999999998</v>
      </c>
      <c r="U779">
        <v>-1.2197879999999901</v>
      </c>
      <c r="V779">
        <v>5.5633340000000003E-2</v>
      </c>
      <c r="W779">
        <v>1.516934E-2</v>
      </c>
      <c r="X779">
        <v>0.998336</v>
      </c>
      <c r="Y779">
        <v>0.10854229999999999</v>
      </c>
      <c r="Z779">
        <v>2.879141E-2</v>
      </c>
      <c r="AA779">
        <v>0.99367479999999997</v>
      </c>
      <c r="AB779">
        <v>27</v>
      </c>
      <c r="AC779">
        <v>0.42130000000000201</v>
      </c>
      <c r="AD779">
        <v>-9.3364000000000197E-2</v>
      </c>
      <c r="AE779">
        <v>-0.22259999999999899</v>
      </c>
      <c r="AF779">
        <v>8.0217360865483797E-2</v>
      </c>
      <c r="AG779">
        <v>-9.3364000000000197E-2</v>
      </c>
      <c r="AH779">
        <v>0.45180847999880303</v>
      </c>
      <c r="AI779">
        <v>101.500592942819</v>
      </c>
      <c r="AJ779">
        <v>79.932205183819804</v>
      </c>
      <c r="AK779">
        <v>0.468276162193905</v>
      </c>
    </row>
    <row r="780" spans="1:37" x14ac:dyDescent="0.2">
      <c r="A780" t="str">
        <f>"20200111160113724"</f>
        <v>20200111160113724</v>
      </c>
      <c r="B780" t="str">
        <f>"1578729673712289"</f>
        <v>1578729673712289</v>
      </c>
      <c r="C780" t="s">
        <v>37</v>
      </c>
      <c r="D780">
        <v>5.1651579999999999</v>
      </c>
      <c r="E780">
        <v>0.52383429999999997</v>
      </c>
      <c r="F780" t="s">
        <v>42</v>
      </c>
      <c r="G780">
        <v>-217.4571</v>
      </c>
      <c r="H780">
        <v>0.9921565</v>
      </c>
      <c r="I780">
        <v>365.77760000000001</v>
      </c>
      <c r="J780">
        <v>-218.14619999999999</v>
      </c>
      <c r="K780">
        <v>1.1017399999999999</v>
      </c>
      <c r="L780">
        <v>366.10599999999999</v>
      </c>
      <c r="M780">
        <v>0.95129660000000005</v>
      </c>
      <c r="N780">
        <v>0</v>
      </c>
      <c r="O780">
        <v>-0.30795229999999901</v>
      </c>
      <c r="P780">
        <v>0.93250820000000001</v>
      </c>
      <c r="Q780">
        <v>1.150772E-3</v>
      </c>
      <c r="R780">
        <v>-0.36114759999999901</v>
      </c>
      <c r="S780">
        <v>2.741425</v>
      </c>
      <c r="T780">
        <v>-0.34905740000000002</v>
      </c>
      <c r="U780">
        <v>-1.2313229999999999</v>
      </c>
      <c r="V780">
        <v>5.6504840000000001E-2</v>
      </c>
      <c r="W780">
        <v>1.4878499999999999E-2</v>
      </c>
      <c r="X780">
        <v>0.99829140000000005</v>
      </c>
      <c r="Y780">
        <v>0.1100976</v>
      </c>
      <c r="Z780">
        <v>2.956073E-2</v>
      </c>
      <c r="AA780">
        <v>0.99348110000000001</v>
      </c>
      <c r="AB780">
        <v>26</v>
      </c>
      <c r="AC780">
        <v>0.68909999999999605</v>
      </c>
      <c r="AD780">
        <v>-0.109583499999999</v>
      </c>
      <c r="AE780">
        <v>-0.32839999999998698</v>
      </c>
      <c r="AF780">
        <v>9.8182531519122804E-2</v>
      </c>
      <c r="AG780">
        <v>-0.109583499999999</v>
      </c>
      <c r="AH780">
        <v>0.74146544881902798</v>
      </c>
      <c r="AI780">
        <v>98.335339991614703</v>
      </c>
      <c r="AJ780">
        <v>82.456955281595498</v>
      </c>
      <c r="AK780">
        <v>0.75592285635516798</v>
      </c>
    </row>
    <row r="781" spans="1:37" x14ac:dyDescent="0.2">
      <c r="A781" t="str">
        <f>"20200111160113738"</f>
        <v>20200111160113738</v>
      </c>
      <c r="B781" t="str">
        <f>"1578729673731811"</f>
        <v>1578729673731811</v>
      </c>
      <c r="C781" t="s">
        <v>37</v>
      </c>
      <c r="D781">
        <v>5.2124670000000002</v>
      </c>
      <c r="E781">
        <v>0.52354480000000003</v>
      </c>
      <c r="F781" t="s">
        <v>42</v>
      </c>
      <c r="G781">
        <v>-217.44390000000001</v>
      </c>
      <c r="H781">
        <v>1.011487</v>
      </c>
      <c r="I781">
        <v>365.78769999999997</v>
      </c>
      <c r="J781">
        <v>-217.9871</v>
      </c>
      <c r="K781">
        <v>1.1018509999999999</v>
      </c>
      <c r="L781">
        <v>366.05160000000001</v>
      </c>
      <c r="M781">
        <v>0.95054110000000003</v>
      </c>
      <c r="N781">
        <v>0</v>
      </c>
      <c r="O781">
        <v>-0.31027659999999901</v>
      </c>
      <c r="P781">
        <v>0.93141249999999998</v>
      </c>
      <c r="Q781" s="1">
        <v>5.54472199999999E-5</v>
      </c>
      <c r="R781">
        <v>-0.3639657</v>
      </c>
      <c r="S781">
        <v>2.7373500000000002</v>
      </c>
      <c r="T781">
        <v>-0.35184589999999999</v>
      </c>
      <c r="U781">
        <v>-1.23996</v>
      </c>
      <c r="V781">
        <v>5.7071690000000001E-2</v>
      </c>
      <c r="W781">
        <v>1.378571E-2</v>
      </c>
      <c r="X781">
        <v>0.99827489999999997</v>
      </c>
      <c r="Y781">
        <v>0.11085439999999901</v>
      </c>
      <c r="Z781">
        <v>3.0030230000000002E-2</v>
      </c>
      <c r="AA781">
        <v>0.99338289999999996</v>
      </c>
      <c r="AB781">
        <v>26</v>
      </c>
      <c r="AC781">
        <v>0.54319999999998403</v>
      </c>
      <c r="AD781">
        <v>-9.0363999999999806E-2</v>
      </c>
      <c r="AE781">
        <v>-0.263900000000035</v>
      </c>
      <c r="AF781">
        <v>8.0511178091531702E-2</v>
      </c>
      <c r="AG781">
        <v>-9.0363999999999806E-2</v>
      </c>
      <c r="AH781">
        <v>0.58517402713744404</v>
      </c>
      <c r="AI781">
        <v>98.697748454911206</v>
      </c>
      <c r="AJ781">
        <v>82.166142851710404</v>
      </c>
      <c r="AK781">
        <v>0.59755865346419301</v>
      </c>
    </row>
    <row r="782" spans="1:37" x14ac:dyDescent="0.2">
      <c r="A782" t="str">
        <f>"20200111160113760"</f>
        <v>20200111160113760</v>
      </c>
      <c r="B782" t="str">
        <f>"1578729673751330"</f>
        <v>1578729673751330</v>
      </c>
      <c r="C782" t="s">
        <v>37</v>
      </c>
      <c r="D782">
        <v>5.2407859999999999</v>
      </c>
      <c r="E782">
        <v>0.52313299999999996</v>
      </c>
      <c r="F782" t="s">
        <v>42</v>
      </c>
      <c r="G782">
        <v>-217.22649999999999</v>
      </c>
      <c r="H782">
        <v>1.0017750000000001</v>
      </c>
      <c r="I782">
        <v>365.70490000000001</v>
      </c>
      <c r="J782">
        <v>-217.7542</v>
      </c>
      <c r="K782">
        <v>1.1020289999999999</v>
      </c>
      <c r="L782">
        <v>365.97160000000002</v>
      </c>
      <c r="M782">
        <v>0.94948729999999903</v>
      </c>
      <c r="N782">
        <v>0</v>
      </c>
      <c r="O782">
        <v>-0.31348700000000002</v>
      </c>
      <c r="P782">
        <v>0.93005469999999901</v>
      </c>
      <c r="Q782">
        <v>-1.1755489999999999E-3</v>
      </c>
      <c r="R782">
        <v>-0.36741970000000002</v>
      </c>
      <c r="S782">
        <v>2.73411599999999</v>
      </c>
      <c r="T782">
        <v>-0.35982540000000002</v>
      </c>
      <c r="U782">
        <v>-1.2458799999999901</v>
      </c>
      <c r="V782">
        <v>5.7388920000000003E-2</v>
      </c>
      <c r="W782">
        <v>1.2565110000000001E-2</v>
      </c>
      <c r="X782">
        <v>0.99827279999999996</v>
      </c>
      <c r="Y782">
        <v>0.10980619999999899</v>
      </c>
      <c r="Z782">
        <v>3.11607E-2</v>
      </c>
      <c r="AA782">
        <v>0.99346449999999997</v>
      </c>
      <c r="AB782">
        <v>26</v>
      </c>
      <c r="AC782">
        <v>0.52770000000000905</v>
      </c>
      <c r="AD782">
        <v>-0.100254</v>
      </c>
      <c r="AE782">
        <v>-0.26670000000001398</v>
      </c>
      <c r="AF782">
        <v>8.5355966483619997E-2</v>
      </c>
      <c r="AG782">
        <v>-0.100254</v>
      </c>
      <c r="AH782">
        <v>0.56836926259216503</v>
      </c>
      <c r="AI782">
        <v>99.894710775756195</v>
      </c>
      <c r="AJ782">
        <v>81.459318846168401</v>
      </c>
      <c r="AK782">
        <v>0.58342105223407403</v>
      </c>
    </row>
    <row r="783" spans="1:37" x14ac:dyDescent="0.2">
      <c r="A783" t="str">
        <f>"20200111160113780"</f>
        <v>20200111160113780</v>
      </c>
      <c r="B783" t="str">
        <f>"1578729673771826"</f>
        <v>1578729673771826</v>
      </c>
      <c r="C783" t="s">
        <v>37</v>
      </c>
      <c r="D783">
        <v>5.2495810000000001</v>
      </c>
      <c r="E783">
        <v>0.52269290000000002</v>
      </c>
      <c r="F783" t="s">
        <v>42</v>
      </c>
      <c r="G783">
        <v>-217.0034</v>
      </c>
      <c r="H783">
        <v>1.0012379999999901</v>
      </c>
      <c r="I783">
        <v>365.62670000000003</v>
      </c>
      <c r="J783">
        <v>-217.52090000000001</v>
      </c>
      <c r="K783">
        <v>1.1022399999999899</v>
      </c>
      <c r="L783">
        <v>365.89069999999998</v>
      </c>
      <c r="M783">
        <v>0.94851830000000004</v>
      </c>
      <c r="N783">
        <v>0</v>
      </c>
      <c r="O783">
        <v>-0.31640740000000001</v>
      </c>
      <c r="P783">
        <v>0.92898329999999996</v>
      </c>
      <c r="Q783">
        <v>-1.611887E-3</v>
      </c>
      <c r="R783">
        <v>-0.37011840000000001</v>
      </c>
      <c r="S783">
        <v>2.7302089999999999</v>
      </c>
      <c r="T783">
        <v>-0.36654320000000001</v>
      </c>
      <c r="U783">
        <v>-1.2529299999999901</v>
      </c>
      <c r="V783">
        <v>5.7206140000000003E-2</v>
      </c>
      <c r="W783">
        <v>1.21459999999999E-2</v>
      </c>
      <c r="X783">
        <v>0.99828850000000002</v>
      </c>
      <c r="Y783">
        <v>0.1094779</v>
      </c>
      <c r="Z783">
        <v>3.2124529999999998E-2</v>
      </c>
      <c r="AA783">
        <v>0.99346999999999996</v>
      </c>
      <c r="AB783">
        <v>26</v>
      </c>
      <c r="AC783">
        <v>0.51750000000001195</v>
      </c>
      <c r="AD783">
        <v>-0.10100199999999999</v>
      </c>
      <c r="AE783">
        <v>-0.26399999999995299</v>
      </c>
      <c r="AF783">
        <v>8.4133605860419902E-2</v>
      </c>
      <c r="AG783">
        <v>-0.10100199999999999</v>
      </c>
      <c r="AH783">
        <v>0.55759313582256398</v>
      </c>
      <c r="AI783">
        <v>100.154673567248</v>
      </c>
      <c r="AJ783">
        <v>81.419532769931607</v>
      </c>
      <c r="AK783">
        <v>0.57287867193282405</v>
      </c>
    </row>
    <row r="784" spans="1:37" x14ac:dyDescent="0.2">
      <c r="A784" t="str">
        <f>"20200111160113795"</f>
        <v>20200111160113795</v>
      </c>
      <c r="B784" t="str">
        <f>"1578729673791346"</f>
        <v>1578729673791346</v>
      </c>
      <c r="C784" t="s">
        <v>37</v>
      </c>
      <c r="D784">
        <v>5.1776019999999896</v>
      </c>
      <c r="E784">
        <v>0.52221600000000001</v>
      </c>
      <c r="F784" t="s">
        <v>42</v>
      </c>
      <c r="G784">
        <v>-216.78</v>
      </c>
      <c r="H784">
        <v>1.0015590000000001</v>
      </c>
      <c r="I784">
        <v>365.54880000000003</v>
      </c>
      <c r="J784">
        <v>-217.35509999999999</v>
      </c>
      <c r="K784">
        <v>1.102403</v>
      </c>
      <c r="L784">
        <v>365.83300000000003</v>
      </c>
      <c r="M784">
        <v>0.94788619999999901</v>
      </c>
      <c r="N784">
        <v>0</v>
      </c>
      <c r="O784">
        <v>-0.31829659999999999</v>
      </c>
      <c r="P784">
        <v>0.92839439999999995</v>
      </c>
      <c r="Q784">
        <v>-1.5779489999999999E-3</v>
      </c>
      <c r="R784">
        <v>-0.37159369999999903</v>
      </c>
      <c r="S784">
        <v>2.7275239999999998</v>
      </c>
      <c r="T784">
        <v>-0.37070209999999998</v>
      </c>
      <c r="U784">
        <v>-1.2579039999999999</v>
      </c>
      <c r="V784">
        <v>5.6798080000000001E-2</v>
      </c>
      <c r="W784">
        <v>1.219606E-2</v>
      </c>
      <c r="X784">
        <v>0.99831119999999995</v>
      </c>
      <c r="Y784">
        <v>0.1094097</v>
      </c>
      <c r="Z784">
        <v>3.2730189999999999E-2</v>
      </c>
      <c r="AA784">
        <v>0.993457699999999</v>
      </c>
      <c r="AB784">
        <v>26</v>
      </c>
      <c r="AC784">
        <v>0.57509999999999195</v>
      </c>
      <c r="AD784">
        <v>-0.100843999999999</v>
      </c>
      <c r="AE784">
        <v>-0.28419999999999801</v>
      </c>
      <c r="AF784">
        <v>8.4263107860105199E-2</v>
      </c>
      <c r="AG784">
        <v>-0.100843999999999</v>
      </c>
      <c r="AH784">
        <v>0.62032266172511197</v>
      </c>
      <c r="AI784">
        <v>99.151027221833999</v>
      </c>
      <c r="AJ784">
        <v>82.264428568780005</v>
      </c>
      <c r="AK784">
        <v>0.63408988978848302</v>
      </c>
    </row>
    <row r="785" spans="1:37" x14ac:dyDescent="0.2">
      <c r="A785" t="str">
        <f>"20200111160113813"</f>
        <v>20200111160113813</v>
      </c>
      <c r="B785" t="str">
        <f>"1578729673811842"</f>
        <v>1578729673811842</v>
      </c>
      <c r="C785" t="s">
        <v>37</v>
      </c>
      <c r="D785">
        <v>5.2007029999999999</v>
      </c>
      <c r="E785">
        <v>0.52173789999999998</v>
      </c>
      <c r="F785" t="s">
        <v>42</v>
      </c>
      <c r="G785">
        <v>-216.5626</v>
      </c>
      <c r="H785">
        <v>0.99391509999999905</v>
      </c>
      <c r="I785">
        <v>365.46699999999998</v>
      </c>
      <c r="J785">
        <v>-217.14709999999999</v>
      </c>
      <c r="K785">
        <v>1.1026320000000001</v>
      </c>
      <c r="L785">
        <v>365.7604</v>
      </c>
      <c r="M785">
        <v>0.94716829999999996</v>
      </c>
      <c r="N785">
        <v>0</v>
      </c>
      <c r="O785">
        <v>-0.32042729999999903</v>
      </c>
      <c r="P785">
        <v>0.92798219999999998</v>
      </c>
      <c r="Q785">
        <v>-8.4177220000000003E-4</v>
      </c>
      <c r="R785">
        <v>-0.3726235</v>
      </c>
      <c r="S785">
        <v>2.7269290000000002</v>
      </c>
      <c r="T785">
        <v>-0.37333620000000001</v>
      </c>
      <c r="U785">
        <v>-1.2587889999999999</v>
      </c>
      <c r="V785">
        <v>5.5657030000000003E-2</v>
      </c>
      <c r="W785">
        <v>1.2957990000000001E-2</v>
      </c>
      <c r="X785">
        <v>0.99836589999999903</v>
      </c>
      <c r="Y785">
        <v>0.10757120000000001</v>
      </c>
      <c r="Z785">
        <v>3.3339819999999999E-2</v>
      </c>
      <c r="AA785">
        <v>0.99363819999999903</v>
      </c>
      <c r="AB785">
        <v>26</v>
      </c>
      <c r="AC785">
        <v>0.58449999999999103</v>
      </c>
      <c r="AD785">
        <v>-0.10871690000000001</v>
      </c>
      <c r="AE785">
        <v>-0.29340000000001898</v>
      </c>
      <c r="AF785">
        <v>8.8181680002353796E-2</v>
      </c>
      <c r="AG785">
        <v>-0.10871690000000001</v>
      </c>
      <c r="AH785">
        <v>0.63028088843258001</v>
      </c>
      <c r="AI785">
        <v>99.694024835331106</v>
      </c>
      <c r="AJ785">
        <v>82.035529108144701</v>
      </c>
      <c r="AK785">
        <v>0.64563873130180904</v>
      </c>
    </row>
    <row r="786" spans="1:37" x14ac:dyDescent="0.2">
      <c r="A786" t="str">
        <f>"20200111160113827"</f>
        <v>20200111160113827</v>
      </c>
      <c r="B786" t="str">
        <f>"1578729673821601"</f>
        <v>1578729673821601</v>
      </c>
      <c r="C786" t="s">
        <v>37</v>
      </c>
      <c r="D786">
        <v>5.2101899999999999</v>
      </c>
      <c r="E786">
        <v>0.52144579999999996</v>
      </c>
      <c r="F786" t="s">
        <v>42</v>
      </c>
      <c r="G786">
        <v>-216.34129999999999</v>
      </c>
      <c r="H786">
        <v>0.99235239999999902</v>
      </c>
      <c r="I786">
        <v>365.38839999999999</v>
      </c>
      <c r="J786">
        <v>-216.9915</v>
      </c>
      <c r="K786">
        <v>1.1028149999999901</v>
      </c>
      <c r="L786">
        <v>365.70599999999899</v>
      </c>
      <c r="M786">
        <v>0.94668319999999995</v>
      </c>
      <c r="N786">
        <v>0</v>
      </c>
      <c r="O786">
        <v>-0.32185819999999998</v>
      </c>
      <c r="P786">
        <v>0.92768359999999905</v>
      </c>
      <c r="Q786">
        <v>-7.8762139999999999E-4</v>
      </c>
      <c r="R786">
        <v>-0.3733667</v>
      </c>
      <c r="S786">
        <v>2.7270810000000001</v>
      </c>
      <c r="T786">
        <v>-0.37332979999999999</v>
      </c>
      <c r="U786">
        <v>-1.258575</v>
      </c>
      <c r="V786">
        <v>5.4942110000000002E-2</v>
      </c>
      <c r="W786">
        <v>1.303142E-2</v>
      </c>
      <c r="X786">
        <v>0.99840450000000003</v>
      </c>
      <c r="Y786">
        <v>0.1060041</v>
      </c>
      <c r="Z786">
        <v>3.3611549999999997E-2</v>
      </c>
      <c r="AA786">
        <v>0.9937975</v>
      </c>
      <c r="AB786">
        <v>26</v>
      </c>
      <c r="AC786">
        <v>0.65020000000001199</v>
      </c>
      <c r="AD786">
        <v>-0.11046259999999899</v>
      </c>
      <c r="AE786">
        <v>-0.31759999999997002</v>
      </c>
      <c r="AF786">
        <v>8.9321998656720497E-2</v>
      </c>
      <c r="AG786">
        <v>-0.11046259999999899</v>
      </c>
      <c r="AH786">
        <v>0.70148034439774198</v>
      </c>
      <c r="AI786">
        <v>98.87838912974</v>
      </c>
      <c r="AJ786">
        <v>82.7433747794</v>
      </c>
      <c r="AK786">
        <v>0.71571997248865804</v>
      </c>
    </row>
    <row r="787" spans="1:37" x14ac:dyDescent="0.2">
      <c r="A787" t="str">
        <f>"20200111160113848"</f>
        <v>20200111160113848</v>
      </c>
      <c r="B787" t="str">
        <f>"1578729673841121"</f>
        <v>1578729673841121</v>
      </c>
      <c r="C787" t="s">
        <v>37</v>
      </c>
      <c r="D787">
        <v>5.2263799999999998</v>
      </c>
      <c r="E787">
        <v>0.52087519999999998</v>
      </c>
      <c r="F787" t="s">
        <v>42</v>
      </c>
      <c r="G787">
        <v>-216.32749999999999</v>
      </c>
      <c r="H787">
        <v>1.0118940000000001</v>
      </c>
      <c r="I787">
        <v>365.39929999999998</v>
      </c>
      <c r="J787">
        <v>-216.76419999999999</v>
      </c>
      <c r="K787">
        <v>1.1030879999999901</v>
      </c>
      <c r="L787">
        <v>365.62630000000001</v>
      </c>
      <c r="M787">
        <v>0.94606710000000005</v>
      </c>
      <c r="N787">
        <v>0</v>
      </c>
      <c r="O787">
        <v>-0.32366549999999999</v>
      </c>
      <c r="P787">
        <v>0.92784750000000005</v>
      </c>
      <c r="Q787">
        <v>-1.2224130000000001E-3</v>
      </c>
      <c r="R787">
        <v>-0.37295840000000002</v>
      </c>
      <c r="S787">
        <v>2.7270810000000001</v>
      </c>
      <c r="T787">
        <v>-0.37340970000000001</v>
      </c>
      <c r="U787">
        <v>-1.258362</v>
      </c>
      <c r="V787">
        <v>5.2585079999999999E-2</v>
      </c>
      <c r="W787">
        <v>1.2631379999999999E-2</v>
      </c>
      <c r="X787">
        <v>0.9985366</v>
      </c>
      <c r="Y787">
        <v>0.1040676</v>
      </c>
      <c r="Z787">
        <v>3.3961690000000003E-2</v>
      </c>
      <c r="AA787">
        <v>0.99399020000000005</v>
      </c>
      <c r="AB787">
        <v>26</v>
      </c>
      <c r="AC787">
        <v>0.43670000000000098</v>
      </c>
      <c r="AD787">
        <v>-9.1193999999999706E-2</v>
      </c>
      <c r="AE787">
        <v>-0.22700000000003201</v>
      </c>
      <c r="AF787">
        <v>7.0982811766316906E-2</v>
      </c>
      <c r="AG787">
        <v>-9.1193999999999706E-2</v>
      </c>
      <c r="AH787">
        <v>0.47051417294763498</v>
      </c>
      <c r="AI787">
        <v>100.849134518413</v>
      </c>
      <c r="AJ787">
        <v>81.420926128792402</v>
      </c>
      <c r="AK787">
        <v>0.48449818590666399</v>
      </c>
    </row>
    <row r="788" spans="1:37" x14ac:dyDescent="0.2">
      <c r="A788" t="str">
        <f>"20200111160113861"</f>
        <v>20200111160113861</v>
      </c>
      <c r="B788" t="str">
        <f>"1578729673851857"</f>
        <v>1578729673851857</v>
      </c>
      <c r="C788" t="s">
        <v>37</v>
      </c>
      <c r="D788">
        <v>5.2232640000000004</v>
      </c>
      <c r="E788">
        <v>0.52059540000000004</v>
      </c>
      <c r="F788" t="s">
        <v>42</v>
      </c>
      <c r="G788">
        <v>-216.10480000000001</v>
      </c>
      <c r="H788">
        <v>1.0123329999999999</v>
      </c>
      <c r="I788">
        <v>365.32319999999999</v>
      </c>
      <c r="J788">
        <v>-216.6138</v>
      </c>
      <c r="K788">
        <v>1.1032740000000001</v>
      </c>
      <c r="L788">
        <v>365.57350000000002</v>
      </c>
      <c r="M788">
        <v>0.94573890000000005</v>
      </c>
      <c r="N788">
        <v>0</v>
      </c>
      <c r="O788">
        <v>-0.32462360000000001</v>
      </c>
      <c r="P788">
        <v>0.92793210000000004</v>
      </c>
      <c r="Q788">
        <v>-1.542622E-3</v>
      </c>
      <c r="R788">
        <v>-0.37274649999999998</v>
      </c>
      <c r="S788">
        <v>2.7289889999999999</v>
      </c>
      <c r="T788">
        <v>-0.37568750000000001</v>
      </c>
      <c r="U788">
        <v>-1.2534179999999999</v>
      </c>
      <c r="V788">
        <v>5.1338639999999998E-2</v>
      </c>
      <c r="W788">
        <v>1.233243E-2</v>
      </c>
      <c r="X788">
        <v>0.99860509999999902</v>
      </c>
      <c r="Y788">
        <v>0.1013545</v>
      </c>
      <c r="Z788">
        <v>3.4453360000000002E-2</v>
      </c>
      <c r="AA788">
        <v>0.99425359999999996</v>
      </c>
      <c r="AB788">
        <v>26</v>
      </c>
      <c r="AC788">
        <v>0.50899999999998602</v>
      </c>
      <c r="AD788">
        <v>-9.0941000000000105E-2</v>
      </c>
      <c r="AE788">
        <v>-0.25030000000003799</v>
      </c>
      <c r="AF788">
        <v>6.9700407396252398E-2</v>
      </c>
      <c r="AG788">
        <v>-9.0941000000000105E-2</v>
      </c>
      <c r="AH788">
        <v>0.54858819614530097</v>
      </c>
      <c r="AI788">
        <v>99.3387477006751</v>
      </c>
      <c r="AJ788">
        <v>82.759129607720894</v>
      </c>
      <c r="AK788">
        <v>0.56042610683493299</v>
      </c>
    </row>
    <row r="789" spans="1:37" x14ac:dyDescent="0.2">
      <c r="A789" t="str">
        <f>"20200111160113876"</f>
        <v>20200111160113876</v>
      </c>
      <c r="B789" t="str">
        <f>"1578729673871377"</f>
        <v>1578729673871377</v>
      </c>
      <c r="C789" t="s">
        <v>37</v>
      </c>
      <c r="D789">
        <v>5.173133</v>
      </c>
      <c r="E789">
        <v>0.5200169</v>
      </c>
      <c r="F789" t="s">
        <v>42</v>
      </c>
      <c r="G789">
        <v>-215.88929999999999</v>
      </c>
      <c r="H789">
        <v>1.0032030000000001</v>
      </c>
      <c r="I789">
        <v>365.24149999999997</v>
      </c>
      <c r="J789">
        <v>-216.45869999999999</v>
      </c>
      <c r="K789">
        <v>1.103469</v>
      </c>
      <c r="L789">
        <v>365.51900000000001</v>
      </c>
      <c r="M789">
        <v>0.94544729999999999</v>
      </c>
      <c r="N789">
        <v>0</v>
      </c>
      <c r="O789">
        <v>-0.32547199999999998</v>
      </c>
      <c r="P789">
        <v>0.92816089999999996</v>
      </c>
      <c r="Q789">
        <v>-1.9034259999999999E-3</v>
      </c>
      <c r="R789">
        <v>-0.37217459999999902</v>
      </c>
      <c r="S789">
        <v>2.729813</v>
      </c>
      <c r="T789">
        <v>-0.37699559999999999</v>
      </c>
      <c r="U789">
        <v>-1.2511289999999999</v>
      </c>
      <c r="V789">
        <v>4.9820219999999998E-2</v>
      </c>
      <c r="W789">
        <v>1.1993419999999999E-2</v>
      </c>
      <c r="X789">
        <v>0.99868619999999997</v>
      </c>
      <c r="Y789">
        <v>9.9688390000000002E-2</v>
      </c>
      <c r="Z789">
        <v>3.4781659999999999E-2</v>
      </c>
      <c r="AA789">
        <v>0.99441059999999903</v>
      </c>
      <c r="AB789">
        <v>26</v>
      </c>
      <c r="AC789">
        <v>0.56940000000000102</v>
      </c>
      <c r="AD789">
        <v>-0.10026599999999899</v>
      </c>
      <c r="AE789">
        <v>-0.277500000000031</v>
      </c>
      <c r="AF789">
        <v>7.5162165328521893E-2</v>
      </c>
      <c r="AG789">
        <v>-0.10026599999999899</v>
      </c>
      <c r="AH789">
        <v>0.61334976973351296</v>
      </c>
      <c r="AI789">
        <v>99.216433474016597</v>
      </c>
      <c r="AJ789">
        <v>83.013594350494401</v>
      </c>
      <c r="AK789">
        <v>0.62601961781163495</v>
      </c>
    </row>
    <row r="790" spans="1:37" x14ac:dyDescent="0.2">
      <c r="A790" t="str">
        <f>"20200111160113887"</f>
        <v>20200111160113887</v>
      </c>
      <c r="B790" t="str">
        <f>"1578729673881138"</f>
        <v>1578729673881138</v>
      </c>
      <c r="C790" t="s">
        <v>37</v>
      </c>
      <c r="D790">
        <v>5.202553</v>
      </c>
      <c r="E790">
        <v>0.51977390000000001</v>
      </c>
      <c r="F790" t="s">
        <v>42</v>
      </c>
      <c r="G790">
        <v>-215.6737</v>
      </c>
      <c r="H790">
        <v>0.9946777</v>
      </c>
      <c r="I790">
        <v>365.16090000000003</v>
      </c>
      <c r="J790">
        <v>-216.31270000000001</v>
      </c>
      <c r="K790">
        <v>1.1036589999999999</v>
      </c>
      <c r="L790">
        <v>365.46780000000001</v>
      </c>
      <c r="M790">
        <v>0.94521669999999902</v>
      </c>
      <c r="N790">
        <v>0</v>
      </c>
      <c r="O790">
        <v>-0.32614199999999999</v>
      </c>
      <c r="P790">
        <v>0.92849329999999997</v>
      </c>
      <c r="Q790">
        <v>-2.2601209999999999E-3</v>
      </c>
      <c r="R790">
        <v>-0.37134289999999998</v>
      </c>
      <c r="S790">
        <v>2.731995</v>
      </c>
      <c r="T790">
        <v>-0.37872869999999997</v>
      </c>
      <c r="U790">
        <v>-1.2454829999999999</v>
      </c>
      <c r="V790">
        <v>4.8211169999999998E-2</v>
      </c>
      <c r="W790">
        <v>1.1657280000000001E-2</v>
      </c>
      <c r="X790">
        <v>0.99876919999999902</v>
      </c>
      <c r="Y790">
        <v>9.7021010000000005E-2</v>
      </c>
      <c r="Z790">
        <v>3.5189379999999999E-2</v>
      </c>
      <c r="AA790">
        <v>0.99466010000000005</v>
      </c>
      <c r="AB790">
        <v>26</v>
      </c>
      <c r="AC790">
        <v>0.63900000000001</v>
      </c>
      <c r="AD790">
        <v>-0.108981299999999</v>
      </c>
      <c r="AE790">
        <v>-0.30689999999998402</v>
      </c>
      <c r="AF790">
        <v>7.9804114056336001E-2</v>
      </c>
      <c r="AG790">
        <v>-0.108981299999999</v>
      </c>
      <c r="AH790">
        <v>0.68789710857194297</v>
      </c>
      <c r="AI790">
        <v>98.943361762166106</v>
      </c>
      <c r="AJ790">
        <v>83.382600555366096</v>
      </c>
      <c r="AK790">
        <v>0.70103356007515505</v>
      </c>
    </row>
    <row r="791" spans="1:37" x14ac:dyDescent="0.2">
      <c r="A791" t="str">
        <f>"20200111160113902"</f>
        <v>20200111160113902</v>
      </c>
      <c r="B791" t="str">
        <f>"1578729673891873"</f>
        <v>1578729673891873</v>
      </c>
      <c r="C791" t="s">
        <v>37</v>
      </c>
      <c r="D791">
        <v>5.1891949999999998</v>
      </c>
      <c r="E791">
        <v>0.51956040000000003</v>
      </c>
      <c r="F791" t="s">
        <v>42</v>
      </c>
      <c r="G791">
        <v>-215.66050000000001</v>
      </c>
      <c r="H791">
        <v>1.0129280000000001</v>
      </c>
      <c r="I791">
        <v>365.17140000000001</v>
      </c>
      <c r="J791">
        <v>-216.1662</v>
      </c>
      <c r="K791">
        <v>1.103845</v>
      </c>
      <c r="L791">
        <v>365.41649999999998</v>
      </c>
      <c r="M791">
        <v>0.94506100000000004</v>
      </c>
      <c r="N791">
        <v>0</v>
      </c>
      <c r="O791">
        <v>-0.3265924</v>
      </c>
      <c r="P791">
        <v>0.9293825</v>
      </c>
      <c r="Q791">
        <v>-2.277622E-3</v>
      </c>
      <c r="R791">
        <v>-0.36911090000000002</v>
      </c>
      <c r="S791">
        <v>2.7336879999999999</v>
      </c>
      <c r="T791">
        <v>-0.38046530000000001</v>
      </c>
      <c r="U791">
        <v>-1.2412719999999999</v>
      </c>
      <c r="V791">
        <v>4.5329689999999999E-2</v>
      </c>
      <c r="W791">
        <v>1.1662519999999999E-2</v>
      </c>
      <c r="X791">
        <v>0.99890400000000001</v>
      </c>
      <c r="Y791">
        <v>9.5076899999999895E-2</v>
      </c>
      <c r="Z791">
        <v>3.5526130000000003E-2</v>
      </c>
      <c r="AA791">
        <v>0.99483580000000005</v>
      </c>
      <c r="AB791">
        <v>26</v>
      </c>
      <c r="AC791">
        <v>0.50569999999999005</v>
      </c>
      <c r="AD791">
        <v>-9.0916999999999901E-2</v>
      </c>
      <c r="AE791">
        <v>-0.245099999999979</v>
      </c>
      <c r="AF791">
        <v>6.4787483213070596E-2</v>
      </c>
      <c r="AG791">
        <v>-9.0916999999999901E-2</v>
      </c>
      <c r="AH791">
        <v>0.54378709188874297</v>
      </c>
      <c r="AI791">
        <v>99.426164894348105</v>
      </c>
      <c r="AJ791">
        <v>83.205734821055202</v>
      </c>
      <c r="AK791">
        <v>0.55512856184392101</v>
      </c>
    </row>
    <row r="792" spans="1:37" x14ac:dyDescent="0.2">
      <c r="A792" t="str">
        <f>"20200111160113927"</f>
        <v>20200111160113927</v>
      </c>
      <c r="B792" t="str">
        <f>"1578729673921154"</f>
        <v>1578729673921154</v>
      </c>
      <c r="C792" t="s">
        <v>37</v>
      </c>
      <c r="D792">
        <v>5.1635239999999998</v>
      </c>
      <c r="E792">
        <v>0.51920770000000005</v>
      </c>
      <c r="F792" t="s">
        <v>42</v>
      </c>
      <c r="G792">
        <v>-215.44540000000001</v>
      </c>
      <c r="H792">
        <v>1.0035430000000001</v>
      </c>
      <c r="I792">
        <v>365.0917</v>
      </c>
      <c r="J792">
        <v>-215.90309999999999</v>
      </c>
      <c r="K792">
        <v>1.1041749999999999</v>
      </c>
      <c r="L792">
        <v>365.32459999999998</v>
      </c>
      <c r="M792">
        <v>0.94487770000000004</v>
      </c>
      <c r="N792">
        <v>0</v>
      </c>
      <c r="O792">
        <v>-0.3271231</v>
      </c>
      <c r="P792">
        <v>0.93024379999999995</v>
      </c>
      <c r="Q792">
        <v>-2.2279689999999898E-3</v>
      </c>
      <c r="R792">
        <v>-0.36693559999999997</v>
      </c>
      <c r="S792">
        <v>2.7371829999999999</v>
      </c>
      <c r="T792">
        <v>-0.38095440000000003</v>
      </c>
      <c r="U792">
        <v>-1.2333369999999999</v>
      </c>
      <c r="V792">
        <v>4.2421649999999998E-2</v>
      </c>
      <c r="W792">
        <v>1.174215E-2</v>
      </c>
      <c r="X792">
        <v>0.9990308</v>
      </c>
      <c r="Y792">
        <v>9.1677079999999994E-2</v>
      </c>
      <c r="Z792">
        <v>3.584478E-2</v>
      </c>
      <c r="AA792">
        <v>0.99514340000000001</v>
      </c>
      <c r="AB792">
        <v>26</v>
      </c>
      <c r="AC792">
        <v>0.45769999999998801</v>
      </c>
      <c r="AD792">
        <v>-0.100631999999999</v>
      </c>
      <c r="AE792">
        <v>-0.23289999999997199</v>
      </c>
      <c r="AF792">
        <v>6.7743467737309507E-2</v>
      </c>
      <c r="AG792">
        <v>-0.100631999999999</v>
      </c>
      <c r="AH792">
        <v>0.48989640687105201</v>
      </c>
      <c r="AI792">
        <v>101.501449226985</v>
      </c>
      <c r="AJ792">
        <v>82.126998655923302</v>
      </c>
      <c r="AK792">
        <v>0.50469244724905804</v>
      </c>
    </row>
    <row r="793" spans="1:37" x14ac:dyDescent="0.2">
      <c r="A793" t="str">
        <f>"20200111160113940"</f>
        <v>20200111160113940</v>
      </c>
      <c r="B793" t="str">
        <f>"1578729673931891"</f>
        <v>1578729673931891</v>
      </c>
      <c r="C793" t="s">
        <v>37</v>
      </c>
      <c r="D793">
        <v>5.1558339999999996</v>
      </c>
      <c r="E793">
        <v>0.51925120000000002</v>
      </c>
      <c r="F793" t="s">
        <v>42</v>
      </c>
      <c r="G793">
        <v>-215.22020000000001</v>
      </c>
      <c r="H793">
        <v>1.0095959999999999</v>
      </c>
      <c r="I793">
        <v>365.01929999999999</v>
      </c>
      <c r="J793">
        <v>-215.74510000000001</v>
      </c>
      <c r="K793">
        <v>1.104363</v>
      </c>
      <c r="L793">
        <v>365.26960000000003</v>
      </c>
      <c r="M793">
        <v>0.94484809999999997</v>
      </c>
      <c r="N793">
        <v>0</v>
      </c>
      <c r="O793">
        <v>-0.32720879999999902</v>
      </c>
      <c r="P793">
        <v>0.93065609999999999</v>
      </c>
      <c r="Q793">
        <v>-1.8551259999999999E-3</v>
      </c>
      <c r="R793">
        <v>-0.36589080000000002</v>
      </c>
      <c r="S793">
        <v>2.7409970000000001</v>
      </c>
      <c r="T793">
        <v>-0.3799283</v>
      </c>
      <c r="U793">
        <v>-1.22464</v>
      </c>
      <c r="V793">
        <v>4.1203469999999999E-2</v>
      </c>
      <c r="W793">
        <v>1.212979E-2</v>
      </c>
      <c r="X793">
        <v>0.99907710000000005</v>
      </c>
      <c r="Y793">
        <v>8.8452450000000002E-2</v>
      </c>
      <c r="Z793">
        <v>3.5954140000000002E-2</v>
      </c>
      <c r="AA793">
        <v>0.99543130000000002</v>
      </c>
      <c r="AB793">
        <v>26</v>
      </c>
      <c r="AC793">
        <v>0.52490000000000203</v>
      </c>
      <c r="AD793">
        <v>-9.4767000000000004E-2</v>
      </c>
      <c r="AE793">
        <v>-0.25030000000003799</v>
      </c>
      <c r="AF793">
        <v>6.3074862018209402E-2</v>
      </c>
      <c r="AG793">
        <v>-9.4767000000000004E-2</v>
      </c>
      <c r="AH793">
        <v>0.56295744131070902</v>
      </c>
      <c r="AI793">
        <v>99.497124022837596</v>
      </c>
      <c r="AJ793">
        <v>83.607129656009505</v>
      </c>
      <c r="AK793">
        <v>0.57435207254324105</v>
      </c>
    </row>
    <row r="794" spans="1:37" x14ac:dyDescent="0.2">
      <c r="A794" t="str">
        <f>"20200111160113954"</f>
        <v>20200111160113954</v>
      </c>
      <c r="B794" t="str">
        <f>"1578729673951410"</f>
        <v>1578729673951410</v>
      </c>
      <c r="C794" t="s">
        <v>37</v>
      </c>
      <c r="D794">
        <v>5.0845289999999999</v>
      </c>
      <c r="E794">
        <v>0.51930299999999996</v>
      </c>
      <c r="F794" t="s">
        <v>42</v>
      </c>
      <c r="G794">
        <v>-215.00470000000001</v>
      </c>
      <c r="H794">
        <v>1.00258799999999</v>
      </c>
      <c r="I794">
        <v>364.93959999999998</v>
      </c>
      <c r="J794">
        <v>-215.59389999999999</v>
      </c>
      <c r="K794">
        <v>1.104536</v>
      </c>
      <c r="L794">
        <v>365.21710000000002</v>
      </c>
      <c r="M794">
        <v>0.94486049999999999</v>
      </c>
      <c r="N794">
        <v>0</v>
      </c>
      <c r="O794">
        <v>-0.32717360000000001</v>
      </c>
      <c r="P794">
        <v>0.93099069999999995</v>
      </c>
      <c r="Q794">
        <v>-1.417883E-3</v>
      </c>
      <c r="R794">
        <v>-0.36504059999999999</v>
      </c>
      <c r="S794">
        <v>2.74234</v>
      </c>
      <c r="T794">
        <v>-0.37700719999999999</v>
      </c>
      <c r="U794">
        <v>-1.222046</v>
      </c>
      <c r="V794">
        <v>4.0322749999999997E-2</v>
      </c>
      <c r="W794">
        <v>1.2579409999999999E-2</v>
      </c>
      <c r="X794">
        <v>0.99910750000000004</v>
      </c>
      <c r="Y794">
        <v>8.7501910000000002E-2</v>
      </c>
      <c r="Z794">
        <v>3.5730140000000001E-2</v>
      </c>
      <c r="AA794">
        <v>0.99552339999999995</v>
      </c>
      <c r="AB794">
        <v>26</v>
      </c>
      <c r="AC794">
        <v>0.58919999999997597</v>
      </c>
      <c r="AD794">
        <v>-0.101948</v>
      </c>
      <c r="AE794">
        <v>-0.277500000000031</v>
      </c>
      <c r="AF794">
        <v>6.7774218379896306E-2</v>
      </c>
      <c r="AG794">
        <v>-0.101948</v>
      </c>
      <c r="AH794">
        <v>0.63207796594234</v>
      </c>
      <c r="AI794">
        <v>99.110999886755906</v>
      </c>
      <c r="AJ794">
        <v>83.8798740556242</v>
      </c>
      <c r="AK794">
        <v>0.64382396228380001</v>
      </c>
    </row>
    <row r="795" spans="1:37" x14ac:dyDescent="0.2">
      <c r="A795" t="str">
        <f>"20200111160113969"</f>
        <v>20200111160113969</v>
      </c>
      <c r="B795" t="str">
        <f>"1578729673961169"</f>
        <v>1578729673961169</v>
      </c>
      <c r="C795" t="s">
        <v>37</v>
      </c>
      <c r="D795">
        <v>5.0478699999999996</v>
      </c>
      <c r="E795">
        <v>0.51934309999999995</v>
      </c>
      <c r="F795" t="s">
        <v>42</v>
      </c>
      <c r="G795">
        <v>-214.78989999999999</v>
      </c>
      <c r="H795">
        <v>0.99562169999999905</v>
      </c>
      <c r="I795">
        <v>364.85919999999999</v>
      </c>
      <c r="J795">
        <v>-215.42150000000001</v>
      </c>
      <c r="K795">
        <v>1.1047279999999999</v>
      </c>
      <c r="L795">
        <v>365.1574</v>
      </c>
      <c r="M795">
        <v>0.94492880000000001</v>
      </c>
      <c r="N795">
        <v>0</v>
      </c>
      <c r="O795">
        <v>-0.32697670000000001</v>
      </c>
      <c r="P795">
        <v>0.93148259999999905</v>
      </c>
      <c r="Q795" s="1">
        <v>2.7716160000000001E-5</v>
      </c>
      <c r="R795">
        <v>-0.36378670000000002</v>
      </c>
      <c r="S795">
        <v>2.74330099999999</v>
      </c>
      <c r="T795">
        <v>-0.37188119999999902</v>
      </c>
      <c r="U795">
        <v>-1.220337</v>
      </c>
      <c r="V795">
        <v>3.9178879999999999E-2</v>
      </c>
      <c r="W795">
        <v>1.403745E-2</v>
      </c>
      <c r="X795">
        <v>0.99913359999999996</v>
      </c>
      <c r="Y795">
        <v>8.7017040000000004E-2</v>
      </c>
      <c r="Z795">
        <v>3.5250089999999998E-2</v>
      </c>
      <c r="AA795">
        <v>0.995583</v>
      </c>
      <c r="AB795">
        <v>26</v>
      </c>
      <c r="AC795">
        <v>0.63160000000002003</v>
      </c>
      <c r="AD795">
        <v>-0.1091063</v>
      </c>
      <c r="AE795">
        <v>-0.29820000000000801</v>
      </c>
      <c r="AF795">
        <v>7.3473766298419202E-2</v>
      </c>
      <c r="AG795">
        <v>-0.1091063</v>
      </c>
      <c r="AH795">
        <v>0.67784878218688305</v>
      </c>
      <c r="AI795">
        <v>99.091525174713396</v>
      </c>
      <c r="AJ795">
        <v>83.813715655403797</v>
      </c>
      <c r="AK795">
        <v>0.69049370058386805</v>
      </c>
    </row>
    <row r="796" spans="1:37" x14ac:dyDescent="0.2">
      <c r="A796" t="str">
        <f>"20200111160113993"</f>
        <v>20200111160113993</v>
      </c>
      <c r="B796" t="str">
        <f>"1578729673981666"</f>
        <v>1578729673981666</v>
      </c>
      <c r="C796" t="s">
        <v>37</v>
      </c>
      <c r="D796">
        <v>5.155907</v>
      </c>
      <c r="E796">
        <v>0.519455</v>
      </c>
      <c r="F796" t="s">
        <v>42</v>
      </c>
      <c r="G796">
        <v>-214.57299999999901</v>
      </c>
      <c r="H796">
        <v>0.99173880000000003</v>
      </c>
      <c r="I796">
        <v>364.78120000000001</v>
      </c>
      <c r="J796">
        <v>-215.16900000000001</v>
      </c>
      <c r="K796">
        <v>1.104989</v>
      </c>
      <c r="L796">
        <v>365.07049999999998</v>
      </c>
      <c r="M796">
        <v>0.94514669999999901</v>
      </c>
      <c r="N796">
        <v>0</v>
      </c>
      <c r="O796">
        <v>-0.32634649999999998</v>
      </c>
      <c r="P796">
        <v>0.93166079999999996</v>
      </c>
      <c r="Q796">
        <v>7.7536330000000004E-4</v>
      </c>
      <c r="R796">
        <v>-0.36332880000000001</v>
      </c>
      <c r="S796">
        <v>2.745193</v>
      </c>
      <c r="T796">
        <v>-0.3655542</v>
      </c>
      <c r="U796">
        <v>-1.2174069999999999</v>
      </c>
      <c r="V796">
        <v>3.9344629999999998E-2</v>
      </c>
      <c r="W796">
        <v>1.480222E-2</v>
      </c>
      <c r="X796">
        <v>0.99911609999999995</v>
      </c>
      <c r="Y796">
        <v>8.6480429999999997E-2</v>
      </c>
      <c r="Z796">
        <v>3.4602559999999997E-2</v>
      </c>
      <c r="AA796">
        <v>0.99565239999999999</v>
      </c>
      <c r="AB796">
        <v>26</v>
      </c>
      <c r="AC796">
        <v>0.59600000000003195</v>
      </c>
      <c r="AD796">
        <v>-0.113250199999999</v>
      </c>
      <c r="AE796">
        <v>-0.28929999999996803</v>
      </c>
      <c r="AF796">
        <v>7.6695009125265501E-2</v>
      </c>
      <c r="AG796">
        <v>-0.113250199999999</v>
      </c>
      <c r="AH796">
        <v>0.63910815843135005</v>
      </c>
      <c r="AI796">
        <v>99.978387740033995</v>
      </c>
      <c r="AJ796">
        <v>83.1570471721882</v>
      </c>
      <c r="AK796">
        <v>0.65358011781133396</v>
      </c>
    </row>
    <row r="797" spans="1:37" x14ac:dyDescent="0.2">
      <c r="A797" t="str">
        <f>"20200111160114008"</f>
        <v>20200111160114008</v>
      </c>
      <c r="B797" t="str">
        <f>"1578729674001812"</f>
        <v>1578729674001812</v>
      </c>
      <c r="C797" t="s">
        <v>37</v>
      </c>
      <c r="D797">
        <v>5.0446499999999999</v>
      </c>
      <c r="E797">
        <v>0.51963720000000002</v>
      </c>
      <c r="F797" t="s">
        <v>42</v>
      </c>
      <c r="G797">
        <v>-214.35</v>
      </c>
      <c r="H797">
        <v>0.99763489999999999</v>
      </c>
      <c r="I797">
        <v>364.7072</v>
      </c>
      <c r="J797">
        <v>-214.99440000000001</v>
      </c>
      <c r="K797">
        <v>1.105154</v>
      </c>
      <c r="L797">
        <v>365.01069999999999</v>
      </c>
      <c r="M797">
        <v>0.94535119999999895</v>
      </c>
      <c r="N797">
        <v>0</v>
      </c>
      <c r="O797">
        <v>-0.32575379999999998</v>
      </c>
      <c r="P797">
        <v>0.93174829999999997</v>
      </c>
      <c r="Q797">
        <v>1.0294969999999899E-3</v>
      </c>
      <c r="R797">
        <v>-0.36310369999999997</v>
      </c>
      <c r="S797">
        <v>2.7456360000000002</v>
      </c>
      <c r="T797">
        <v>-0.36001090000000002</v>
      </c>
      <c r="U797">
        <v>-1.2173160000000001</v>
      </c>
      <c r="V797">
        <v>3.9723590000000003E-2</v>
      </c>
      <c r="W797">
        <v>1.506827E-2</v>
      </c>
      <c r="X797">
        <v>0.99909709999999996</v>
      </c>
      <c r="Y797">
        <v>8.6961339999999998E-2</v>
      </c>
      <c r="Z797">
        <v>3.397882E-2</v>
      </c>
      <c r="AA797">
        <v>0.99563210000000002</v>
      </c>
      <c r="AB797">
        <v>26</v>
      </c>
      <c r="AC797">
        <v>0.64440000000001796</v>
      </c>
      <c r="AD797">
        <v>-0.10751910000000001</v>
      </c>
      <c r="AE797">
        <v>-0.303499999999985</v>
      </c>
      <c r="AF797">
        <v>7.5290368412031905E-2</v>
      </c>
      <c r="AG797">
        <v>-0.10751910000000001</v>
      </c>
      <c r="AH797">
        <v>0.69234466044468801</v>
      </c>
      <c r="AI797">
        <v>98.776424535656801</v>
      </c>
      <c r="AJ797">
        <v>83.793647429157801</v>
      </c>
      <c r="AK797">
        <v>0.70467731997468197</v>
      </c>
    </row>
    <row r="798" spans="1:37" x14ac:dyDescent="0.2">
      <c r="A798" t="str">
        <f>"20200111160114021"</f>
        <v>20200111160114021</v>
      </c>
      <c r="B798" t="str">
        <f>"1578729674011573"</f>
        <v>1578729674011573</v>
      </c>
      <c r="C798" t="s">
        <v>37</v>
      </c>
      <c r="D798">
        <v>5.0763099999999897</v>
      </c>
      <c r="E798">
        <v>0.51972620000000003</v>
      </c>
      <c r="F798" t="s">
        <v>42</v>
      </c>
      <c r="G798">
        <v>-214.3349</v>
      </c>
      <c r="H798">
        <v>1.0194559999999999</v>
      </c>
      <c r="I798">
        <v>364.71780000000001</v>
      </c>
      <c r="J798">
        <v>-214.8528</v>
      </c>
      <c r="K798">
        <v>1.105272</v>
      </c>
      <c r="L798">
        <v>364.96260000000001</v>
      </c>
      <c r="M798">
        <v>0.94555959999999994</v>
      </c>
      <c r="N798">
        <v>0</v>
      </c>
      <c r="O798">
        <v>-0.325148299999999</v>
      </c>
      <c r="P798">
        <v>0.93169550000000001</v>
      </c>
      <c r="Q798">
        <v>1.12542E-3</v>
      </c>
      <c r="R798">
        <v>-0.36323850000000002</v>
      </c>
      <c r="S798">
        <v>2.7453310000000002</v>
      </c>
      <c r="T798">
        <v>-0.35688690000000001</v>
      </c>
      <c r="U798">
        <v>-1.218475</v>
      </c>
      <c r="V798">
        <v>4.050347E-2</v>
      </c>
      <c r="W798">
        <v>1.517363E-2</v>
      </c>
      <c r="X798">
        <v>0.99906410000000001</v>
      </c>
      <c r="Y798">
        <v>8.7954199999999996E-2</v>
      </c>
      <c r="Z798">
        <v>3.3555540000000002E-2</v>
      </c>
      <c r="AA798">
        <v>0.99555919999999898</v>
      </c>
      <c r="AB798">
        <v>26</v>
      </c>
      <c r="AC798">
        <v>0.51789999999999703</v>
      </c>
      <c r="AD798">
        <v>-8.5816000000000101E-2</v>
      </c>
      <c r="AE798">
        <v>-0.24479999999999699</v>
      </c>
      <c r="AF798">
        <v>6.17001623333817E-2</v>
      </c>
      <c r="AG798">
        <v>-8.5816000000000101E-2</v>
      </c>
      <c r="AH798">
        <v>0.556860088770321</v>
      </c>
      <c r="AI798">
        <v>98.708290694965896</v>
      </c>
      <c r="AJ798">
        <v>83.677410270338697</v>
      </c>
      <c r="AK798">
        <v>0.566801953378122</v>
      </c>
    </row>
    <row r="799" spans="1:37" x14ac:dyDescent="0.2">
      <c r="A799" t="str">
        <f>"20200111160114037"</f>
        <v>20200111160114037</v>
      </c>
      <c r="B799" t="str">
        <f>"1578729674031092"</f>
        <v>1578729674031092</v>
      </c>
      <c r="C799" t="s">
        <v>37</v>
      </c>
      <c r="D799">
        <v>5.0391940000000002</v>
      </c>
      <c r="E799">
        <v>0.51991589999999999</v>
      </c>
      <c r="F799" t="s">
        <v>42</v>
      </c>
      <c r="G799">
        <v>-214.12200000000001</v>
      </c>
      <c r="H799">
        <v>1.0106059999999999</v>
      </c>
      <c r="I799">
        <v>364.63780000000003</v>
      </c>
      <c r="J799">
        <v>-214.67609999999999</v>
      </c>
      <c r="K799">
        <v>1.105407</v>
      </c>
      <c r="L799">
        <v>364.90269999999998</v>
      </c>
      <c r="M799">
        <v>0.94585229999999998</v>
      </c>
      <c r="N799">
        <v>0</v>
      </c>
      <c r="O799">
        <v>-0.32429629999999998</v>
      </c>
      <c r="P799">
        <v>0.93145800000000001</v>
      </c>
      <c r="Q799">
        <v>1.49544E-3</v>
      </c>
      <c r="R799">
        <v>-0.3638459</v>
      </c>
      <c r="S799">
        <v>2.7448269999999999</v>
      </c>
      <c r="T799">
        <v>-0.35556690000000002</v>
      </c>
      <c r="U799">
        <v>-1.2196959999999999</v>
      </c>
      <c r="V799">
        <v>4.2048919999999997E-2</v>
      </c>
      <c r="W799">
        <v>1.555697E-2</v>
      </c>
      <c r="X799">
        <v>0.99899439999999995</v>
      </c>
      <c r="Y799">
        <v>8.9264010000000005E-2</v>
      </c>
      <c r="Z799">
        <v>3.3256590000000003E-2</v>
      </c>
      <c r="AA799">
        <v>0.99545260000000002</v>
      </c>
      <c r="AB799">
        <v>26</v>
      </c>
      <c r="AC799">
        <v>0.55409999999997595</v>
      </c>
      <c r="AD799">
        <v>-9.4801000000000094E-2</v>
      </c>
      <c r="AE799">
        <v>-0.26489999999995401</v>
      </c>
      <c r="AF799">
        <v>6.9221332504100203E-2</v>
      </c>
      <c r="AG799">
        <v>-9.4801000000000094E-2</v>
      </c>
      <c r="AH799">
        <v>0.59586520846177904</v>
      </c>
      <c r="AI799">
        <v>98.980482319893397</v>
      </c>
      <c r="AJ799">
        <v>83.373682523168497</v>
      </c>
      <c r="AK799">
        <v>0.60731718988502403</v>
      </c>
    </row>
    <row r="800" spans="1:37" x14ac:dyDescent="0.2">
      <c r="A800" t="str">
        <f>"20200111160114051"</f>
        <v>20200111160114051</v>
      </c>
      <c r="B800" t="str">
        <f>"1578729674041829"</f>
        <v>1578729674041829</v>
      </c>
      <c r="C800" t="s">
        <v>37</v>
      </c>
      <c r="D800">
        <v>5.0196059999999996</v>
      </c>
      <c r="E800">
        <v>0.52004499999999998</v>
      </c>
      <c r="F800" t="s">
        <v>42</v>
      </c>
      <c r="G800">
        <v>-213.9066</v>
      </c>
      <c r="H800">
        <v>1.0065200000000001</v>
      </c>
      <c r="I800">
        <v>364.55919999999998</v>
      </c>
      <c r="J800">
        <v>-214.5232</v>
      </c>
      <c r="K800">
        <v>1.1055299999999999</v>
      </c>
      <c r="L800">
        <v>364.851</v>
      </c>
      <c r="M800">
        <v>0.94613619999999898</v>
      </c>
      <c r="N800">
        <v>0</v>
      </c>
      <c r="O800">
        <v>-0.32346659999999999</v>
      </c>
      <c r="P800">
        <v>0.93139079999999996</v>
      </c>
      <c r="Q800">
        <v>1.364114E-3</v>
      </c>
      <c r="R800">
        <v>-0.36401790000000001</v>
      </c>
      <c r="S800">
        <v>2.7432859999999999</v>
      </c>
      <c r="T800">
        <v>-0.35283959999999998</v>
      </c>
      <c r="U800">
        <v>-1.2237549999999999</v>
      </c>
      <c r="V800">
        <v>4.3105299999999999E-2</v>
      </c>
      <c r="W800">
        <v>1.5437289999999999E-2</v>
      </c>
      <c r="X800">
        <v>0.99895129999999999</v>
      </c>
      <c r="Y800">
        <v>9.1531409999999994E-2</v>
      </c>
      <c r="Z800">
        <v>3.2775980000000003E-2</v>
      </c>
      <c r="AA800">
        <v>0.9952626</v>
      </c>
      <c r="AB800">
        <v>26</v>
      </c>
      <c r="AC800">
        <v>0.61660000000000503</v>
      </c>
      <c r="AD800">
        <v>-9.9009999999999806E-2</v>
      </c>
      <c r="AE800">
        <v>-0.29180000000002299</v>
      </c>
      <c r="AF800">
        <v>7.5059324509584704E-2</v>
      </c>
      <c r="AG800">
        <v>-9.9009999999999806E-2</v>
      </c>
      <c r="AH800">
        <v>0.66385654778570502</v>
      </c>
      <c r="AI800">
        <v>98.429842327094605</v>
      </c>
      <c r="AJ800">
        <v>83.549215034945206</v>
      </c>
      <c r="AK800">
        <v>0.67538314928179</v>
      </c>
    </row>
    <row r="801" spans="1:37" x14ac:dyDescent="0.2">
      <c r="A801" t="str">
        <f>"20200111160114071"</f>
        <v>20200111160114071</v>
      </c>
      <c r="B801" t="str">
        <f>"1578729674061348"</f>
        <v>1578729674061348</v>
      </c>
      <c r="C801" t="s">
        <v>37</v>
      </c>
      <c r="D801">
        <v>5.0628859999999998</v>
      </c>
      <c r="E801">
        <v>0.52018199999999903</v>
      </c>
      <c r="F801" t="s">
        <v>42</v>
      </c>
      <c r="G801">
        <v>-213.6935</v>
      </c>
      <c r="H801">
        <v>0.99881030000000004</v>
      </c>
      <c r="I801">
        <v>364.48020000000002</v>
      </c>
      <c r="J801">
        <v>-214.31739999999999</v>
      </c>
      <c r="K801">
        <v>1.1056870000000001</v>
      </c>
      <c r="L801">
        <v>364.78210000000001</v>
      </c>
      <c r="M801">
        <v>0.94657019999999903</v>
      </c>
      <c r="N801">
        <v>0</v>
      </c>
      <c r="O801">
        <v>-0.32219449999999999</v>
      </c>
      <c r="P801">
        <v>0.93075529999999995</v>
      </c>
      <c r="Q801" s="1">
        <v>-8.449331E-5</v>
      </c>
      <c r="R801">
        <v>-0.36564340000000001</v>
      </c>
      <c r="S801">
        <v>2.7425839999999999</v>
      </c>
      <c r="T801">
        <v>-0.35285450000000002</v>
      </c>
      <c r="U801">
        <v>-1.2254639999999899</v>
      </c>
      <c r="V801">
        <v>4.6189519999999998E-2</v>
      </c>
      <c r="W801">
        <v>1.400932E-2</v>
      </c>
      <c r="X801">
        <v>0.99883440000000001</v>
      </c>
      <c r="Y801">
        <v>9.3461879999999997E-2</v>
      </c>
      <c r="Z801">
        <v>3.251801E-2</v>
      </c>
      <c r="AA801">
        <v>0.99509169999999902</v>
      </c>
      <c r="AB801">
        <v>26</v>
      </c>
      <c r="AC801">
        <v>0.62389999999999102</v>
      </c>
      <c r="AD801">
        <v>-0.10687669999999901</v>
      </c>
      <c r="AE801">
        <v>-0.30189999999998901</v>
      </c>
      <c r="AF801">
        <v>8.2792087212950796E-2</v>
      </c>
      <c r="AG801">
        <v>-0.10687669999999901</v>
      </c>
      <c r="AH801">
        <v>0.67192615231693698</v>
      </c>
      <c r="AI801">
        <v>98.971038240369694</v>
      </c>
      <c r="AJ801">
        <v>82.975645880483498</v>
      </c>
      <c r="AK801">
        <v>0.68539179516201598</v>
      </c>
    </row>
    <row r="802" spans="1:37" x14ac:dyDescent="0.2">
      <c r="A802" t="str">
        <f>"20200111160114092"</f>
        <v>20200111160114092</v>
      </c>
      <c r="B802" t="str">
        <f>"1578729674081844"</f>
        <v>1578729674081844</v>
      </c>
      <c r="C802" t="s">
        <v>37</v>
      </c>
      <c r="D802">
        <v>5.0346320000000002</v>
      </c>
      <c r="E802">
        <v>0.5202947</v>
      </c>
      <c r="F802" t="s">
        <v>42</v>
      </c>
      <c r="G802">
        <v>-213.4769</v>
      </c>
      <c r="H802">
        <v>0.99638019999999905</v>
      </c>
      <c r="I802">
        <v>364.4042</v>
      </c>
      <c r="J802">
        <v>-214.07579999999999</v>
      </c>
      <c r="K802">
        <v>1.1058490000000001</v>
      </c>
      <c r="L802">
        <v>364.70179999999999</v>
      </c>
      <c r="M802">
        <v>0.94714050000000005</v>
      </c>
      <c r="N802">
        <v>0</v>
      </c>
      <c r="O802">
        <v>-0.32051429999999997</v>
      </c>
      <c r="P802">
        <v>0.93058069999999904</v>
      </c>
      <c r="Q802">
        <v>-9.2372299999999999E-4</v>
      </c>
      <c r="R802">
        <v>-0.36608579999999902</v>
      </c>
      <c r="S802">
        <v>2.739471</v>
      </c>
      <c r="T802">
        <v>-0.35634260000000001</v>
      </c>
      <c r="U802">
        <v>-1.2312620000000001</v>
      </c>
      <c r="V802">
        <v>4.8434350000000001E-2</v>
      </c>
      <c r="W802">
        <v>1.3191140000000001E-2</v>
      </c>
      <c r="X802">
        <v>0.99873919999999905</v>
      </c>
      <c r="Y802">
        <v>9.7396629999999998E-2</v>
      </c>
      <c r="Z802">
        <v>3.241869E-2</v>
      </c>
      <c r="AA802">
        <v>0.99471749999999903</v>
      </c>
      <c r="AB802">
        <v>26</v>
      </c>
      <c r="AC802">
        <v>0.598899999999986</v>
      </c>
      <c r="AD802">
        <v>-0.1094688</v>
      </c>
      <c r="AE802">
        <v>-0.29759999999998799</v>
      </c>
      <c r="AF802">
        <v>8.7575316769568895E-2</v>
      </c>
      <c r="AG802">
        <v>-0.1094688</v>
      </c>
      <c r="AH802">
        <v>0.64539960028502796</v>
      </c>
      <c r="AI802">
        <v>99.540744751822302</v>
      </c>
      <c r="AJ802">
        <v>82.272638218353194</v>
      </c>
      <c r="AK802">
        <v>0.66044946690023498</v>
      </c>
    </row>
    <row r="803" spans="1:37" x14ac:dyDescent="0.2">
      <c r="A803" t="str">
        <f>"20200111160114115"</f>
        <v>20200111160114115</v>
      </c>
      <c r="B803" t="str">
        <f>"1578729674111851"</f>
        <v>1578729674111851</v>
      </c>
      <c r="C803" t="s">
        <v>37</v>
      </c>
      <c r="D803">
        <v>5.0113779999999997</v>
      </c>
      <c r="E803">
        <v>0.52040019999999998</v>
      </c>
      <c r="F803" t="s">
        <v>42</v>
      </c>
      <c r="G803">
        <v>-213.25659999999999</v>
      </c>
      <c r="H803">
        <v>0.998781699999999</v>
      </c>
      <c r="I803">
        <v>364.33280000000002</v>
      </c>
      <c r="J803">
        <v>-213.8236</v>
      </c>
      <c r="K803">
        <v>1.105972</v>
      </c>
      <c r="L803">
        <v>364.61880000000002</v>
      </c>
      <c r="M803">
        <v>0.94778700000000005</v>
      </c>
      <c r="N803">
        <v>0</v>
      </c>
      <c r="O803">
        <v>-0.31859789999999999</v>
      </c>
      <c r="P803">
        <v>0.93090209999999995</v>
      </c>
      <c r="Q803">
        <v>-1.299931E-3</v>
      </c>
      <c r="R803">
        <v>-0.3652667</v>
      </c>
      <c r="S803">
        <v>2.7381289999999998</v>
      </c>
      <c r="T803">
        <v>-0.35782819999999999</v>
      </c>
      <c r="U803">
        <v>-1.233643</v>
      </c>
      <c r="V803">
        <v>4.9572999999999999E-2</v>
      </c>
      <c r="W803">
        <v>1.2830680000000001E-2</v>
      </c>
      <c r="X803">
        <v>0.99868809999999997</v>
      </c>
      <c r="Y803">
        <v>0.1002924</v>
      </c>
      <c r="Z803">
        <v>3.2160300000000003E-2</v>
      </c>
      <c r="AA803">
        <v>0.99443809999999999</v>
      </c>
      <c r="AB803">
        <v>26</v>
      </c>
      <c r="AC803">
        <v>0.56700000000000705</v>
      </c>
      <c r="AD803">
        <v>-0.1071903</v>
      </c>
      <c r="AE803">
        <v>-0.28600000000000098</v>
      </c>
      <c r="AF803">
        <v>8.7925853518364502E-2</v>
      </c>
      <c r="AG803">
        <v>-0.1071903</v>
      </c>
      <c r="AH803">
        <v>0.61116327385965297</v>
      </c>
      <c r="AI803">
        <v>99.848396146099006</v>
      </c>
      <c r="AJ803">
        <v>81.8132366165256</v>
      </c>
      <c r="AK803">
        <v>0.62669072391880198</v>
      </c>
    </row>
    <row r="804" spans="1:37" x14ac:dyDescent="0.2">
      <c r="A804" t="str">
        <f>"20200111160114138"</f>
        <v>20200111160114138</v>
      </c>
      <c r="B804" t="str">
        <f>"1578729674131370"</f>
        <v>1578729674131370</v>
      </c>
      <c r="C804" t="s">
        <v>37</v>
      </c>
      <c r="D804">
        <v>4.9870679999999998</v>
      </c>
      <c r="E804">
        <v>0.52038499999999999</v>
      </c>
      <c r="F804" t="s">
        <v>42</v>
      </c>
      <c r="G804">
        <v>-213.035</v>
      </c>
      <c r="H804">
        <v>1.003017</v>
      </c>
      <c r="I804">
        <v>364.2638</v>
      </c>
      <c r="J804">
        <v>-213.5772</v>
      </c>
      <c r="K804">
        <v>1.106058</v>
      </c>
      <c r="L804">
        <v>364.53840000000002</v>
      </c>
      <c r="M804">
        <v>0.94845780000000002</v>
      </c>
      <c r="N804">
        <v>0</v>
      </c>
      <c r="O804">
        <v>-0.31659540000000003</v>
      </c>
      <c r="P804">
        <v>0.93146989999999996</v>
      </c>
      <c r="Q804">
        <v>-1.48269E-3</v>
      </c>
      <c r="R804">
        <v>-0.36381579999999902</v>
      </c>
      <c r="S804">
        <v>2.7387079999999999</v>
      </c>
      <c r="T804">
        <v>-0.3576955</v>
      </c>
      <c r="U804">
        <v>-1.2321169999999999</v>
      </c>
      <c r="V804">
        <v>5.0124210000000002E-2</v>
      </c>
      <c r="W804">
        <v>1.265761E-2</v>
      </c>
      <c r="X804">
        <v>0.99866279999999996</v>
      </c>
      <c r="Y804">
        <v>0.1018304</v>
      </c>
      <c r="Z804">
        <v>3.1820840000000003E-2</v>
      </c>
      <c r="AA804">
        <v>0.99429269999999903</v>
      </c>
      <c r="AB804">
        <v>26</v>
      </c>
      <c r="AC804">
        <v>0.54220000000000801</v>
      </c>
      <c r="AD804">
        <v>-0.10304099999999899</v>
      </c>
      <c r="AE804">
        <v>-0.27460000000001999</v>
      </c>
      <c r="AF804">
        <v>8.6316123230367497E-2</v>
      </c>
      <c r="AG804">
        <v>-0.10304099999999899</v>
      </c>
      <c r="AH804">
        <v>0.58445043415229203</v>
      </c>
      <c r="AI804">
        <v>99.893566653293206</v>
      </c>
      <c r="AJ804">
        <v>81.598849493731606</v>
      </c>
      <c r="AK804">
        <v>0.59970845482727897</v>
      </c>
    </row>
    <row r="805" spans="1:37" x14ac:dyDescent="0.2">
      <c r="A805" t="str">
        <f>"20200111160114160"</f>
        <v>20200111160114160</v>
      </c>
      <c r="B805" t="str">
        <f>"1578729674151866"</f>
        <v>1578729674151866</v>
      </c>
      <c r="C805" t="s">
        <v>37</v>
      </c>
      <c r="D805">
        <v>4.9889429999999999</v>
      </c>
      <c r="E805">
        <v>0.52044840000000003</v>
      </c>
      <c r="F805" t="s">
        <v>42</v>
      </c>
      <c r="G805">
        <v>-212.8135</v>
      </c>
      <c r="H805">
        <v>1.0064709999999999</v>
      </c>
      <c r="I805">
        <v>364.19630000000001</v>
      </c>
      <c r="J805">
        <v>-213.3349</v>
      </c>
      <c r="K805">
        <v>1.1061179999999999</v>
      </c>
      <c r="L805">
        <v>364.46</v>
      </c>
      <c r="M805">
        <v>0.94914589999999999</v>
      </c>
      <c r="N805">
        <v>0</v>
      </c>
      <c r="O805">
        <v>-0.31452579999999902</v>
      </c>
      <c r="P805">
        <v>0.93208060000000004</v>
      </c>
      <c r="Q805">
        <v>-1.903599E-3</v>
      </c>
      <c r="R805">
        <v>-0.36224590000000001</v>
      </c>
      <c r="S805">
        <v>2.740875</v>
      </c>
      <c r="T805">
        <v>-0.3575373</v>
      </c>
      <c r="U805">
        <v>-1.2270809999999901</v>
      </c>
      <c r="V805">
        <v>5.0620020000000002E-2</v>
      </c>
      <c r="W805">
        <v>1.224279E-2</v>
      </c>
      <c r="X805">
        <v>0.9986429</v>
      </c>
      <c r="Y805">
        <v>0.1021688</v>
      </c>
      <c r="Z805">
        <v>3.1539079999999997E-2</v>
      </c>
      <c r="AA805">
        <v>0.99426700000000001</v>
      </c>
      <c r="AB805">
        <v>26</v>
      </c>
      <c r="AC805">
        <v>0.52139999999999898</v>
      </c>
      <c r="AD805">
        <v>-9.9646999999999999E-2</v>
      </c>
      <c r="AE805">
        <v>-0.26369999999997101</v>
      </c>
      <c r="AF805">
        <v>8.3865233692597699E-2</v>
      </c>
      <c r="AG805">
        <v>-9.9646999999999999E-2</v>
      </c>
      <c r="AH805">
        <v>0.56154893634408798</v>
      </c>
      <c r="AI805">
        <v>99.954250984059399</v>
      </c>
      <c r="AJ805">
        <v>81.505870190129102</v>
      </c>
      <c r="AK805">
        <v>0.57645477701246495</v>
      </c>
    </row>
    <row r="806" spans="1:37" x14ac:dyDescent="0.2">
      <c r="A806" t="str">
        <f>"20200111160114182"</f>
        <v>20200111160114182</v>
      </c>
      <c r="B806" t="str">
        <f>"1578729674171386"</f>
        <v>1578729674171386</v>
      </c>
      <c r="C806" t="s">
        <v>37</v>
      </c>
      <c r="D806">
        <v>8.6869709999999998</v>
      </c>
      <c r="E806">
        <v>0.52048109999999903</v>
      </c>
      <c r="F806" t="s">
        <v>42</v>
      </c>
      <c r="G806">
        <v>-212.59270000000001</v>
      </c>
      <c r="H806">
        <v>1.009209</v>
      </c>
      <c r="I806">
        <v>364.12909999999999</v>
      </c>
      <c r="J806">
        <v>-213.0984</v>
      </c>
      <c r="K806">
        <v>1.1061609999999999</v>
      </c>
      <c r="L806">
        <v>364.38420000000002</v>
      </c>
      <c r="M806">
        <v>0.949835399999999</v>
      </c>
      <c r="N806">
        <v>0</v>
      </c>
      <c r="O806">
        <v>-0.31243840000000001</v>
      </c>
      <c r="P806">
        <v>0.93241819999999898</v>
      </c>
      <c r="Q806">
        <v>-1.924142E-3</v>
      </c>
      <c r="R806">
        <v>-0.36137639999999999</v>
      </c>
      <c r="S806">
        <v>2.74299599999999</v>
      </c>
      <c r="T806">
        <v>-0.35852659999999997</v>
      </c>
      <c r="U806">
        <v>-1.2218929999999999</v>
      </c>
      <c r="V806">
        <v>5.1883110000000003E-2</v>
      </c>
      <c r="W806">
        <v>1.2229439999999999E-2</v>
      </c>
      <c r="X806">
        <v>0.99857830000000003</v>
      </c>
      <c r="Y806">
        <v>0.1024931</v>
      </c>
      <c r="Z806">
        <v>3.1356759999999997E-2</v>
      </c>
      <c r="AA806">
        <v>0.9942394</v>
      </c>
      <c r="AB806">
        <v>26</v>
      </c>
      <c r="AC806">
        <v>0.50569999999999005</v>
      </c>
      <c r="AD806">
        <v>-9.6951999999999899E-2</v>
      </c>
      <c r="AE806">
        <v>-0.25510000000002703</v>
      </c>
      <c r="AF806">
        <v>8.1911134122273799E-2</v>
      </c>
      <c r="AG806">
        <v>-9.6951999999999899E-2</v>
      </c>
      <c r="AH806">
        <v>0.54414591996521</v>
      </c>
      <c r="AI806">
        <v>99.992265377103394</v>
      </c>
      <c r="AJ806">
        <v>81.4394507628013</v>
      </c>
      <c r="AK806">
        <v>0.55875209745645005</v>
      </c>
    </row>
    <row r="807" spans="1:37" x14ac:dyDescent="0.2">
      <c r="A807" t="str">
        <f>"20200111160114204"</f>
        <v>20200111160114204</v>
      </c>
      <c r="B807" t="str">
        <f>"1578729674201285"</f>
        <v>1578729674201285</v>
      </c>
      <c r="C807" t="s">
        <v>37</v>
      </c>
      <c r="D807">
        <v>4.9591560000000001</v>
      </c>
      <c r="E807">
        <v>0.52056069999999999</v>
      </c>
      <c r="F807" t="s">
        <v>42</v>
      </c>
      <c r="G807">
        <v>-212.37260000000001</v>
      </c>
      <c r="H807">
        <v>1.011333</v>
      </c>
      <c r="I807">
        <v>364.06180000000001</v>
      </c>
      <c r="J807">
        <v>-212.85589999999999</v>
      </c>
      <c r="K807">
        <v>1.106185</v>
      </c>
      <c r="L807">
        <v>364.30709999999999</v>
      </c>
      <c r="M807">
        <v>0.95055179999999995</v>
      </c>
      <c r="N807">
        <v>0</v>
      </c>
      <c r="O807">
        <v>-0.31025199999999997</v>
      </c>
      <c r="P807">
        <v>0.93272459999999902</v>
      </c>
      <c r="Q807">
        <v>-2.613738E-3</v>
      </c>
      <c r="R807">
        <v>-0.36057979999999901</v>
      </c>
      <c r="S807">
        <v>2.744354</v>
      </c>
      <c r="T807">
        <v>-0.3585835</v>
      </c>
      <c r="U807">
        <v>-1.2187809999999999</v>
      </c>
      <c r="V807">
        <v>5.3330410000000002E-2</v>
      </c>
      <c r="W807">
        <v>1.154618E-2</v>
      </c>
      <c r="X807">
        <v>0.99851019999999902</v>
      </c>
      <c r="Y807">
        <v>0.1036364</v>
      </c>
      <c r="Z807">
        <v>3.1032469999999999E-2</v>
      </c>
      <c r="AA807">
        <v>0.99413099999999999</v>
      </c>
      <c r="AB807">
        <v>26</v>
      </c>
      <c r="AC807">
        <v>0.48329999999998502</v>
      </c>
      <c r="AD807">
        <v>-9.4851999999999895E-2</v>
      </c>
      <c r="AE807">
        <v>-0.245299999999986</v>
      </c>
      <c r="AF807">
        <v>8.0760184860783596E-2</v>
      </c>
      <c r="AG807">
        <v>-9.4851999999999895E-2</v>
      </c>
      <c r="AH807">
        <v>0.51964326116552495</v>
      </c>
      <c r="AI807">
        <v>100.224375500942</v>
      </c>
      <c r="AJ807">
        <v>81.166067162288101</v>
      </c>
      <c r="AK807">
        <v>0.534367128702253</v>
      </c>
    </row>
    <row r="808" spans="1:37" x14ac:dyDescent="0.2">
      <c r="A808" t="str">
        <f>"20200111160114226"</f>
        <v>20200111160114226</v>
      </c>
      <c r="B808" t="str">
        <f>"1578729674221780"</f>
        <v>1578729674221780</v>
      </c>
      <c r="C808" t="s">
        <v>37</v>
      </c>
      <c r="D808">
        <v>5.0012280000000002</v>
      </c>
      <c r="E808">
        <v>0.52064220000000005</v>
      </c>
      <c r="F808" t="s">
        <v>42</v>
      </c>
      <c r="G808">
        <v>-212.1523</v>
      </c>
      <c r="H808">
        <v>1.0139180000000001</v>
      </c>
      <c r="I808">
        <v>363.99520000000001</v>
      </c>
      <c r="J808">
        <v>-212.6071</v>
      </c>
      <c r="K808">
        <v>1.106196</v>
      </c>
      <c r="L808">
        <v>364.22859999999997</v>
      </c>
      <c r="M808">
        <v>0.95128989999999902</v>
      </c>
      <c r="N808">
        <v>0</v>
      </c>
      <c r="O808">
        <v>-0.30798130000000001</v>
      </c>
      <c r="P808">
        <v>0.93290740000000005</v>
      </c>
      <c r="Q808">
        <v>-3.7460979999999998E-3</v>
      </c>
      <c r="R808">
        <v>-0.36009759999999902</v>
      </c>
      <c r="S808">
        <v>2.7452239999999999</v>
      </c>
      <c r="T808">
        <v>-0.36010749999999903</v>
      </c>
      <c r="U808">
        <v>-1.2161869999999999</v>
      </c>
      <c r="V808">
        <v>5.5203170000000003E-2</v>
      </c>
      <c r="W808">
        <v>1.042091E-2</v>
      </c>
      <c r="X808">
        <v>0.9984208</v>
      </c>
      <c r="Y808">
        <v>0.10509689999999999</v>
      </c>
      <c r="Z808">
        <v>3.0806589999999998E-2</v>
      </c>
      <c r="AA808">
        <v>0.99398469999999906</v>
      </c>
      <c r="AB808">
        <v>26</v>
      </c>
      <c r="AC808">
        <v>0.45480000000000498</v>
      </c>
      <c r="AD808">
        <v>-9.2277999999999805E-2</v>
      </c>
      <c r="AE808">
        <v>-0.23339999999996</v>
      </c>
      <c r="AF808">
        <v>7.9382435559644804E-2</v>
      </c>
      <c r="AG808">
        <v>-9.2277999999999805E-2</v>
      </c>
      <c r="AH808">
        <v>0.48865554687412399</v>
      </c>
      <c r="AI808">
        <v>100.558596153178</v>
      </c>
      <c r="AJ808">
        <v>80.772865799533406</v>
      </c>
      <c r="AK808">
        <v>0.50358816889421698</v>
      </c>
    </row>
    <row r="809" spans="1:37" x14ac:dyDescent="0.2">
      <c r="A809" t="str">
        <f>"20200111160114249"</f>
        <v>20200111160114249</v>
      </c>
      <c r="B809" t="str">
        <f>"1578729674241300"</f>
        <v>1578729674241300</v>
      </c>
      <c r="C809" t="s">
        <v>37</v>
      </c>
      <c r="D809">
        <v>4.9844150000000003</v>
      </c>
      <c r="E809">
        <v>0.52075329999999997</v>
      </c>
      <c r="F809" t="s">
        <v>42</v>
      </c>
      <c r="G809">
        <v>-211.93180000000001</v>
      </c>
      <c r="H809">
        <v>1.016872</v>
      </c>
      <c r="I809">
        <v>363.92959999999999</v>
      </c>
      <c r="J809">
        <v>-212.3673</v>
      </c>
      <c r="K809">
        <v>1.1061969999999901</v>
      </c>
      <c r="L809">
        <v>364.15370000000001</v>
      </c>
      <c r="M809">
        <v>0.9519995</v>
      </c>
      <c r="N809">
        <v>0</v>
      </c>
      <c r="O809">
        <v>-0.30578109999999997</v>
      </c>
      <c r="P809">
        <v>0.93324180000000001</v>
      </c>
      <c r="Q809">
        <v>-5.9825049999999999E-3</v>
      </c>
      <c r="R809">
        <v>-0.3591995</v>
      </c>
      <c r="S809">
        <v>2.745285</v>
      </c>
      <c r="T809">
        <v>-0.36332329999999902</v>
      </c>
      <c r="U809">
        <v>-1.2150570000000001</v>
      </c>
      <c r="V809">
        <v>5.656303E-2</v>
      </c>
      <c r="W809">
        <v>8.1879819999999999E-3</v>
      </c>
      <c r="X809">
        <v>0.99836550000000002</v>
      </c>
      <c r="Y809">
        <v>0.107042899999999</v>
      </c>
      <c r="Z809">
        <v>3.070144E-2</v>
      </c>
      <c r="AA809">
        <v>0.99378029999999995</v>
      </c>
      <c r="AB809">
        <v>26</v>
      </c>
      <c r="AC809">
        <v>0.43549999999999001</v>
      </c>
      <c r="AD809">
        <v>-8.9324999999999793E-2</v>
      </c>
      <c r="AE809">
        <v>-0.224100000000021</v>
      </c>
      <c r="AF809">
        <v>7.7602023184385596E-2</v>
      </c>
      <c r="AG809">
        <v>-8.9324999999999793E-2</v>
      </c>
      <c r="AH809">
        <v>0.46761454962712501</v>
      </c>
      <c r="AI809">
        <v>100.671974517245</v>
      </c>
      <c r="AJ809">
        <v>80.577469030549096</v>
      </c>
      <c r="AK809">
        <v>0.482352979311094</v>
      </c>
    </row>
    <row r="810" spans="1:37" x14ac:dyDescent="0.2">
      <c r="A810" t="str">
        <f>"20200111160114271"</f>
        <v>20200111160114271</v>
      </c>
      <c r="B810" t="str">
        <f>"1578729674261796"</f>
        <v>1578729674261796</v>
      </c>
      <c r="C810" t="s">
        <v>37</v>
      </c>
      <c r="D810">
        <v>4.9852099999999897</v>
      </c>
      <c r="E810">
        <v>0.52079279999999994</v>
      </c>
      <c r="F810" t="s">
        <v>42</v>
      </c>
      <c r="G810">
        <v>-211.71250000000001</v>
      </c>
      <c r="H810">
        <v>1.0180940000000001</v>
      </c>
      <c r="I810">
        <v>363.86410000000001</v>
      </c>
      <c r="J810">
        <v>-212.12639999999999</v>
      </c>
      <c r="K810">
        <v>1.106182</v>
      </c>
      <c r="L810">
        <v>364.07909999999998</v>
      </c>
      <c r="M810">
        <v>0.95270829999999995</v>
      </c>
      <c r="N810">
        <v>0</v>
      </c>
      <c r="O810">
        <v>-0.30356539999999999</v>
      </c>
      <c r="P810">
        <v>0.93405000000000005</v>
      </c>
      <c r="Q810">
        <v>-7.2401690000000003E-3</v>
      </c>
      <c r="R810">
        <v>-0.35706890000000002</v>
      </c>
      <c r="S810">
        <v>2.7452999999999999</v>
      </c>
      <c r="T810">
        <v>-0.36975740000000001</v>
      </c>
      <c r="U810">
        <v>-1.213104</v>
      </c>
      <c r="V810">
        <v>5.6615319999999997E-2</v>
      </c>
      <c r="W810">
        <v>6.9272609999999997E-3</v>
      </c>
      <c r="X810">
        <v>0.99837199999999904</v>
      </c>
      <c r="Y810">
        <v>0.108783899999999</v>
      </c>
      <c r="Z810">
        <v>3.0869669999999998E-2</v>
      </c>
      <c r="AA810">
        <v>0.99358599999999997</v>
      </c>
      <c r="AB810">
        <v>26</v>
      </c>
      <c r="AC810">
        <v>0.413899999999984</v>
      </c>
      <c r="AD810">
        <v>-8.8087999999999902E-2</v>
      </c>
      <c r="AE810">
        <v>-0.21499999999997499</v>
      </c>
      <c r="AF810">
        <v>7.6466748495992207E-2</v>
      </c>
      <c r="AG810">
        <v>-8.8087999999999902E-2</v>
      </c>
      <c r="AH810">
        <v>0.44380692519373799</v>
      </c>
      <c r="AI810">
        <v>101.06735678259</v>
      </c>
      <c r="AJ810">
        <v>80.2240732734614</v>
      </c>
      <c r="AK810">
        <v>0.45888042693001102</v>
      </c>
    </row>
    <row r="811" spans="1:37" x14ac:dyDescent="0.2">
      <c r="A811" t="str">
        <f>"20200111160114294"</f>
        <v>20200111160114294</v>
      </c>
      <c r="B811" t="str">
        <f>"1578729674291076"</f>
        <v>1578729674291076</v>
      </c>
      <c r="C811" t="s">
        <v>37</v>
      </c>
      <c r="D811">
        <v>5.019279</v>
      </c>
      <c r="E811">
        <v>0.52096009999999904</v>
      </c>
      <c r="F811" t="s">
        <v>42</v>
      </c>
      <c r="G811">
        <v>-211.29480000000001</v>
      </c>
      <c r="H811">
        <v>0.99339659999999996</v>
      </c>
      <c r="I811">
        <v>363.71339999999998</v>
      </c>
      <c r="J811">
        <v>-211.8826</v>
      </c>
      <c r="K811">
        <v>1.10616</v>
      </c>
      <c r="L811">
        <v>364.00420000000003</v>
      </c>
      <c r="M811">
        <v>0.95342019999999905</v>
      </c>
      <c r="N811">
        <v>0</v>
      </c>
      <c r="O811">
        <v>-0.30132239999999999</v>
      </c>
      <c r="P811">
        <v>0.93478050000000001</v>
      </c>
      <c r="Q811">
        <v>-8.6289909999999904E-3</v>
      </c>
      <c r="R811">
        <v>-0.35512120000000003</v>
      </c>
      <c r="S811">
        <v>2.7474210000000001</v>
      </c>
      <c r="T811">
        <v>-0.37297029999999998</v>
      </c>
      <c r="U811">
        <v>-1.207214</v>
      </c>
      <c r="V811">
        <v>5.6893350000000002E-2</v>
      </c>
      <c r="W811">
        <v>5.5358759999999899E-3</v>
      </c>
      <c r="X811">
        <v>0.998364899999999</v>
      </c>
      <c r="Y811">
        <v>0.1090622</v>
      </c>
      <c r="Z811">
        <v>3.0841319999999998E-2</v>
      </c>
      <c r="AA811">
        <v>0.99355640000000001</v>
      </c>
      <c r="AB811">
        <v>26</v>
      </c>
      <c r="AC811">
        <v>0.587799999999987</v>
      </c>
      <c r="AD811">
        <v>-0.112763399999999</v>
      </c>
      <c r="AE811">
        <v>-0.29080000000004702</v>
      </c>
      <c r="AF811">
        <v>9.7271113943061094E-2</v>
      </c>
      <c r="AG811">
        <v>-0.112763399999999</v>
      </c>
      <c r="AH811">
        <v>0.62949631988275501</v>
      </c>
      <c r="AI811">
        <v>100.039155507377</v>
      </c>
      <c r="AJ811">
        <v>81.216006353239806</v>
      </c>
      <c r="AK811">
        <v>0.64687160297327595</v>
      </c>
    </row>
    <row r="812" spans="1:37" x14ac:dyDescent="0.2">
      <c r="A812" t="str">
        <f>"20200111160114317"</f>
        <v>20200111160114317</v>
      </c>
      <c r="B812" t="str">
        <f>"1578729674311580"</f>
        <v>1578729674311580</v>
      </c>
      <c r="C812" t="s">
        <v>37</v>
      </c>
      <c r="D812">
        <v>5.0279020000000001</v>
      </c>
      <c r="E812">
        <v>0.52110190000000001</v>
      </c>
      <c r="F812" t="s">
        <v>42</v>
      </c>
      <c r="G812">
        <v>-211.07499999999999</v>
      </c>
      <c r="H812">
        <v>0.9955714</v>
      </c>
      <c r="I812">
        <v>363.65089999999998</v>
      </c>
      <c r="J812">
        <v>-211.62729999999999</v>
      </c>
      <c r="K812">
        <v>1.106133</v>
      </c>
      <c r="L812">
        <v>363.92649999999998</v>
      </c>
      <c r="M812">
        <v>0.95415709999999998</v>
      </c>
      <c r="N812">
        <v>0</v>
      </c>
      <c r="O812">
        <v>-0.298981099999999</v>
      </c>
      <c r="P812">
        <v>0.93526960000000003</v>
      </c>
      <c r="Q812">
        <v>-1.01692E-2</v>
      </c>
      <c r="R812">
        <v>-0.35379050000000001</v>
      </c>
      <c r="S812">
        <v>2.749069</v>
      </c>
      <c r="T812">
        <v>-0.3765887</v>
      </c>
      <c r="U812">
        <v>-1.2023010000000001</v>
      </c>
      <c r="V812">
        <v>5.7934010000000001E-2</v>
      </c>
      <c r="W812">
        <v>3.9938029999999998E-3</v>
      </c>
      <c r="X812">
        <v>0.99831239999999999</v>
      </c>
      <c r="Y812">
        <v>0.1097982</v>
      </c>
      <c r="Z812">
        <v>3.0800979999999999E-2</v>
      </c>
      <c r="AA812">
        <v>0.99347659999999904</v>
      </c>
      <c r="AB812">
        <v>26</v>
      </c>
      <c r="AC812">
        <v>0.55230000000000201</v>
      </c>
      <c r="AD812">
        <v>-0.1105616</v>
      </c>
      <c r="AE812">
        <v>-0.27559999999999701</v>
      </c>
      <c r="AF812">
        <v>9.48061516660441E-2</v>
      </c>
      <c r="AG812">
        <v>-0.1105616</v>
      </c>
      <c r="AH812">
        <v>0.59049378189116997</v>
      </c>
      <c r="AI812">
        <v>100.473920282455</v>
      </c>
      <c r="AJ812">
        <v>80.878774973081804</v>
      </c>
      <c r="AK812">
        <v>0.60818992119273196</v>
      </c>
    </row>
    <row r="813" spans="1:37" x14ac:dyDescent="0.2">
      <c r="A813" t="str">
        <f>"20200111160114338"</f>
        <v>20200111160114338</v>
      </c>
      <c r="B813" t="str">
        <f>"1578729674331099"</f>
        <v>1578729674331099</v>
      </c>
      <c r="C813" t="s">
        <v>37</v>
      </c>
      <c r="D813">
        <v>5.040985</v>
      </c>
      <c r="E813">
        <v>0.52123229999999998</v>
      </c>
      <c r="F813" t="s">
        <v>42</v>
      </c>
      <c r="G813">
        <v>-210.8544</v>
      </c>
      <c r="H813">
        <v>0.99925649999999999</v>
      </c>
      <c r="I813">
        <v>363.58929999999998</v>
      </c>
      <c r="J813">
        <v>-211.3948</v>
      </c>
      <c r="K813">
        <v>1.106107</v>
      </c>
      <c r="L813">
        <v>363.85629999999998</v>
      </c>
      <c r="M813">
        <v>0.95481609999999995</v>
      </c>
      <c r="N813">
        <v>0</v>
      </c>
      <c r="O813">
        <v>-0.29686990000000002</v>
      </c>
      <c r="P813">
        <v>0.93566159999999998</v>
      </c>
      <c r="Q813">
        <v>-1.197139E-2</v>
      </c>
      <c r="R813">
        <v>-0.35269620000000002</v>
      </c>
      <c r="S813">
        <v>2.749908</v>
      </c>
      <c r="T813">
        <v>-0.38053880000000001</v>
      </c>
      <c r="U813">
        <v>-1.199036</v>
      </c>
      <c r="V813">
        <v>5.8987699999999997E-2</v>
      </c>
      <c r="W813">
        <v>2.1889829999999998E-3</v>
      </c>
      <c r="X813">
        <v>0.99825629999999999</v>
      </c>
      <c r="Y813">
        <v>0.1109004</v>
      </c>
      <c r="Z813">
        <v>3.0788650000000001E-2</v>
      </c>
      <c r="AA813">
        <v>0.99335450000000003</v>
      </c>
      <c r="AB813">
        <v>26</v>
      </c>
      <c r="AC813">
        <v>0.54040000000000499</v>
      </c>
      <c r="AD813">
        <v>-0.106850499999999</v>
      </c>
      <c r="AE813">
        <v>-0.26699999999999502</v>
      </c>
      <c r="AF813">
        <v>9.1636988774004405E-2</v>
      </c>
      <c r="AG813">
        <v>-0.106850499999999</v>
      </c>
      <c r="AH813">
        <v>0.57716781190966604</v>
      </c>
      <c r="AI813">
        <v>100.361444752992</v>
      </c>
      <c r="AJ813">
        <v>80.9784455939553</v>
      </c>
      <c r="AK813">
        <v>0.59408505297340097</v>
      </c>
    </row>
    <row r="814" spans="1:37" x14ac:dyDescent="0.2">
      <c r="A814" t="str">
        <f>"20200111160114360"</f>
        <v>20200111160114360</v>
      </c>
      <c r="B814" t="str">
        <f>"1578729674351595"</f>
        <v>1578729674351595</v>
      </c>
      <c r="C814" t="s">
        <v>37</v>
      </c>
      <c r="D814">
        <v>5.0598609999999997</v>
      </c>
      <c r="E814">
        <v>0.52127920000000005</v>
      </c>
      <c r="F814" t="s">
        <v>42</v>
      </c>
      <c r="G814">
        <v>-210.6361</v>
      </c>
      <c r="H814">
        <v>0.99997009999999897</v>
      </c>
      <c r="I814">
        <v>363.52620000000002</v>
      </c>
      <c r="J814">
        <v>-211.15649999999999</v>
      </c>
      <c r="K814">
        <v>1.10607099999999</v>
      </c>
      <c r="L814">
        <v>363.78489999999999</v>
      </c>
      <c r="M814">
        <v>0.95547409999999999</v>
      </c>
      <c r="N814">
        <v>0</v>
      </c>
      <c r="O814">
        <v>-0.29474539999999999</v>
      </c>
      <c r="P814">
        <v>0.93617589999999995</v>
      </c>
      <c r="Q814">
        <v>-1.3271979999999999E-2</v>
      </c>
      <c r="R814">
        <v>-0.35128169999999997</v>
      </c>
      <c r="S814">
        <v>2.750397</v>
      </c>
      <c r="T814">
        <v>-0.38487159999999998</v>
      </c>
      <c r="U814">
        <v>-1.1963809999999999</v>
      </c>
      <c r="V814">
        <v>5.970984E-2</v>
      </c>
      <c r="W814">
        <v>8.8245109999999995E-4</v>
      </c>
      <c r="X814">
        <v>0.99821539999999997</v>
      </c>
      <c r="Y814">
        <v>0.11224629999999999</v>
      </c>
      <c r="Z814">
        <v>3.078355E-2</v>
      </c>
      <c r="AA814">
        <v>0.99320350000000002</v>
      </c>
      <c r="AB814">
        <v>25</v>
      </c>
      <c r="AC814">
        <v>0.52039999999999498</v>
      </c>
      <c r="AD814">
        <v>-0.106100899999999</v>
      </c>
      <c r="AE814">
        <v>-0.258699999999976</v>
      </c>
      <c r="AF814">
        <v>9.0778973271584504E-2</v>
      </c>
      <c r="AG814">
        <v>-0.106100899999999</v>
      </c>
      <c r="AH814">
        <v>0.55503502335769805</v>
      </c>
      <c r="AI814">
        <v>100.683521145928</v>
      </c>
      <c r="AJ814">
        <v>80.711209558228603</v>
      </c>
      <c r="AK814">
        <v>0.57233041167033305</v>
      </c>
    </row>
    <row r="815" spans="1:37" x14ac:dyDescent="0.2">
      <c r="A815" t="str">
        <f>"20200111160114383"</f>
        <v>20200111160114383</v>
      </c>
      <c r="B815" t="str">
        <f>"1578729674371115"</f>
        <v>1578729674371115</v>
      </c>
      <c r="C815" t="s">
        <v>37</v>
      </c>
      <c r="D815">
        <v>5.1618319999999898</v>
      </c>
      <c r="E815">
        <v>0.52103379999999999</v>
      </c>
      <c r="F815" t="s">
        <v>42</v>
      </c>
      <c r="G815">
        <v>-210.4171</v>
      </c>
      <c r="H815">
        <v>1.0017469999999999</v>
      </c>
      <c r="I815">
        <v>363.46429999999998</v>
      </c>
      <c r="J815">
        <v>-210.9091</v>
      </c>
      <c r="K815">
        <v>1.10602</v>
      </c>
      <c r="L815">
        <v>363.71129999999999</v>
      </c>
      <c r="M815">
        <v>0.95613210000000004</v>
      </c>
      <c r="N815">
        <v>0</v>
      </c>
      <c r="O815">
        <v>-0.29260370000000002</v>
      </c>
      <c r="P815">
        <v>0.93719640000000004</v>
      </c>
      <c r="Q815">
        <v>-1.4283479999999999E-2</v>
      </c>
      <c r="R815">
        <v>-0.3485103</v>
      </c>
      <c r="S815">
        <v>2.7515869999999998</v>
      </c>
      <c r="T815">
        <v>-0.38843850000000002</v>
      </c>
      <c r="U815">
        <v>-1.1924129999999999</v>
      </c>
      <c r="V815">
        <v>5.900122E-2</v>
      </c>
      <c r="W815">
        <v>-1.4253930000000001E-4</v>
      </c>
      <c r="X815">
        <v>0.99825789999999903</v>
      </c>
      <c r="Y815">
        <v>0.113113899999999</v>
      </c>
      <c r="Z815">
        <v>3.07365E-2</v>
      </c>
      <c r="AA815">
        <v>0.9931065</v>
      </c>
      <c r="AB815">
        <v>25</v>
      </c>
      <c r="AC815">
        <v>0.49199999999999</v>
      </c>
      <c r="AD815">
        <v>-0.104273</v>
      </c>
      <c r="AE815">
        <v>-0.24700000000001399</v>
      </c>
      <c r="AF815">
        <v>8.9018985791912295E-2</v>
      </c>
      <c r="AG815">
        <v>-0.104273</v>
      </c>
      <c r="AH815">
        <v>0.52394612124238504</v>
      </c>
      <c r="AI815">
        <v>101.100598642441</v>
      </c>
      <c r="AJ815">
        <v>80.357466047470496</v>
      </c>
      <c r="AK815">
        <v>0.54158727489238601</v>
      </c>
    </row>
    <row r="816" spans="1:37" x14ac:dyDescent="0.2">
      <c r="A816" t="str">
        <f>"20200111160114405"</f>
        <v>20200111160114405</v>
      </c>
      <c r="B816" t="str">
        <f>"1578729674401372"</f>
        <v>1578729674401372</v>
      </c>
      <c r="C816" t="s">
        <v>37</v>
      </c>
      <c r="D816">
        <v>5.2009689999999997</v>
      </c>
      <c r="E816">
        <v>0.52014850000000001</v>
      </c>
      <c r="F816" t="s">
        <v>51</v>
      </c>
      <c r="G816">
        <v>-162.6276</v>
      </c>
      <c r="H816">
        <v>1.093739</v>
      </c>
      <c r="I816">
        <v>342.56659999999999</v>
      </c>
      <c r="J816">
        <v>-210.6746</v>
      </c>
      <c r="K816">
        <v>1.105953</v>
      </c>
      <c r="L816">
        <v>363.642</v>
      </c>
      <c r="M816">
        <v>0.95672539999999995</v>
      </c>
      <c r="N816">
        <v>0</v>
      </c>
      <c r="O816">
        <v>-0.29065799999999897</v>
      </c>
      <c r="P816">
        <v>0.93847519999999995</v>
      </c>
      <c r="Q816">
        <v>-1.5383590000000001E-2</v>
      </c>
      <c r="R816">
        <v>-0.34500419999999998</v>
      </c>
      <c r="S816">
        <v>2.7527009999999899</v>
      </c>
      <c r="T816">
        <v>-6.9975850000000004E-4</v>
      </c>
      <c r="U816">
        <v>-1.2055359999999999</v>
      </c>
      <c r="V816">
        <v>5.7309209999999999E-2</v>
      </c>
      <c r="W816">
        <v>-1.261451E-3</v>
      </c>
      <c r="X816">
        <v>0.99835569999999896</v>
      </c>
      <c r="Y816">
        <v>0.117568699999999</v>
      </c>
      <c r="Z816" s="1">
        <v>5.4545330000000003E-5</v>
      </c>
      <c r="AA816">
        <v>0.99306479999999997</v>
      </c>
      <c r="AB816">
        <v>25</v>
      </c>
      <c r="AC816">
        <v>48.046999999999997</v>
      </c>
      <c r="AD816">
        <v>-1.22139999999999E-2</v>
      </c>
      <c r="AE816">
        <v>-21.075399999999998</v>
      </c>
      <c r="AF816">
        <v>6.1987278905723802</v>
      </c>
      <c r="AG816">
        <v>-1.22139999999999E-2</v>
      </c>
      <c r="AH816">
        <v>52.098581250693101</v>
      </c>
      <c r="AI816">
        <v>90.013338351928397</v>
      </c>
      <c r="AJ816">
        <v>83.214803642225505</v>
      </c>
      <c r="AK816">
        <v>52.466051356836701</v>
      </c>
    </row>
    <row r="817" spans="1:37" x14ac:dyDescent="0.2">
      <c r="A817" t="str">
        <f>"20200111160114428"</f>
        <v>20200111160114428</v>
      </c>
      <c r="B817" t="str">
        <f>"1578729674421867"</f>
        <v>1578729674421867</v>
      </c>
      <c r="C817" t="s">
        <v>37</v>
      </c>
      <c r="D817">
        <v>5.199033</v>
      </c>
      <c r="E817">
        <v>0.52505419999999903</v>
      </c>
      <c r="F817" t="s">
        <v>51</v>
      </c>
      <c r="G817">
        <v>-161.93819999999999</v>
      </c>
      <c r="H817">
        <v>1.0464659999999999</v>
      </c>
      <c r="I817">
        <v>342.64389999999997</v>
      </c>
      <c r="J817">
        <v>-210.4212</v>
      </c>
      <c r="K817">
        <v>1.105856</v>
      </c>
      <c r="L817">
        <v>363.56760000000003</v>
      </c>
      <c r="M817">
        <v>0.95732669999999997</v>
      </c>
      <c r="N817">
        <v>0</v>
      </c>
      <c r="O817">
        <v>-0.28867219999999999</v>
      </c>
      <c r="P817">
        <v>0.9398242</v>
      </c>
      <c r="Q817">
        <v>-1.6262120000000001E-2</v>
      </c>
      <c r="R817">
        <v>-0.34127179999999901</v>
      </c>
      <c r="S817">
        <v>2.7595209999999999</v>
      </c>
      <c r="T817">
        <v>-3.367901E-3</v>
      </c>
      <c r="U817">
        <v>-1.1889339999999999</v>
      </c>
      <c r="V817">
        <v>5.5420320000000002E-2</v>
      </c>
      <c r="W817">
        <v>-2.1632489999999999E-3</v>
      </c>
      <c r="X817">
        <v>0.99846080000000004</v>
      </c>
      <c r="Y817">
        <v>0.1136982</v>
      </c>
      <c r="Z817">
        <v>2.6238709999999997E-4</v>
      </c>
      <c r="AA817">
        <v>0.99351529999999999</v>
      </c>
      <c r="AB817">
        <v>25</v>
      </c>
      <c r="AC817">
        <v>48.482999999999997</v>
      </c>
      <c r="AD817">
        <v>-5.9389999999999998E-2</v>
      </c>
      <c r="AE817">
        <v>-20.9237</v>
      </c>
      <c r="AF817">
        <v>6.0357001077611798</v>
      </c>
      <c r="AG817">
        <v>-5.9389999999999998E-2</v>
      </c>
      <c r="AH817">
        <v>52.459182042501901</v>
      </c>
      <c r="AI817">
        <v>90.064440453984304</v>
      </c>
      <c r="AJ817">
        <v>83.436683869713093</v>
      </c>
      <c r="AK817">
        <v>52.805293139336698</v>
      </c>
    </row>
    <row r="818" spans="1:37" x14ac:dyDescent="0.2">
      <c r="A818" t="str">
        <f>"20200111160114450"</f>
        <v>20200111160114450</v>
      </c>
      <c r="B818" t="str">
        <f>"1578729674441387"</f>
        <v>1578729674441387</v>
      </c>
      <c r="C818" t="s">
        <v>37</v>
      </c>
      <c r="D818">
        <v>5.1851289999999999</v>
      </c>
      <c r="E818">
        <v>0.52552940000000004</v>
      </c>
      <c r="F818" t="s">
        <v>42</v>
      </c>
      <c r="G818">
        <v>-209.7569</v>
      </c>
      <c r="H818">
        <v>1.0160709999999999</v>
      </c>
      <c r="I818">
        <v>363.27969999999999</v>
      </c>
      <c r="J818">
        <v>-210.19069999999999</v>
      </c>
      <c r="K818">
        <v>1.1057489999999901</v>
      </c>
      <c r="L818">
        <v>363.50020000000001</v>
      </c>
      <c r="M818">
        <v>0.95782889999999998</v>
      </c>
      <c r="N818">
        <v>0</v>
      </c>
      <c r="O818">
        <v>-0.28700130000000001</v>
      </c>
      <c r="P818">
        <v>0.94093799999999905</v>
      </c>
      <c r="Q818">
        <v>-1.6965129999999998E-2</v>
      </c>
      <c r="R818">
        <v>-0.3381537</v>
      </c>
      <c r="S818">
        <v>2.7526090000000001</v>
      </c>
      <c r="T818">
        <v>-0.37217800000000001</v>
      </c>
      <c r="U818">
        <v>-1.1925049999999999</v>
      </c>
      <c r="V818">
        <v>5.3857370000000002E-2</v>
      </c>
      <c r="W818">
        <v>-2.88892099999999E-3</v>
      </c>
      <c r="X818">
        <v>0.99854449999999995</v>
      </c>
      <c r="Y818">
        <v>0.1186286</v>
      </c>
      <c r="Z818">
        <v>2.8417870000000001E-2</v>
      </c>
      <c r="AA818">
        <v>0.99253199999999997</v>
      </c>
      <c r="AB818">
        <v>25</v>
      </c>
      <c r="AC818">
        <v>0.43379999999999003</v>
      </c>
      <c r="AD818">
        <v>-8.9677999999999897E-2</v>
      </c>
      <c r="AE818">
        <v>-0.22050000000001499</v>
      </c>
      <c r="AF818">
        <v>8.3860504320170004E-2</v>
      </c>
      <c r="AG818">
        <v>-8.9677999999999897E-2</v>
      </c>
      <c r="AH818">
        <v>0.463108622238811</v>
      </c>
      <c r="AI818">
        <v>100.78808662132801</v>
      </c>
      <c r="AJ818">
        <v>79.736004881036195</v>
      </c>
      <c r="AK818">
        <v>0.47910784157719999</v>
      </c>
    </row>
    <row r="819" spans="1:37" x14ac:dyDescent="0.2">
      <c r="A819" t="str">
        <f>"20200111160114472"</f>
        <v>20200111160114472</v>
      </c>
      <c r="B819" t="str">
        <f>"1578729674461884"</f>
        <v>1578729674461884</v>
      </c>
      <c r="C819" t="s">
        <v>37</v>
      </c>
      <c r="D819">
        <v>5.2051790000000002</v>
      </c>
      <c r="E819">
        <v>0.52653149999999904</v>
      </c>
      <c r="F819" t="s">
        <v>42</v>
      </c>
      <c r="G819">
        <v>-209.3426</v>
      </c>
      <c r="H819">
        <v>0.98993399999999998</v>
      </c>
      <c r="I819">
        <v>363.13490000000002</v>
      </c>
      <c r="J819">
        <v>-209.94669999999999</v>
      </c>
      <c r="K819">
        <v>1.1056250000000001</v>
      </c>
      <c r="L819">
        <v>363.42919999999998</v>
      </c>
      <c r="M819">
        <v>0.95831069999999996</v>
      </c>
      <c r="N819">
        <v>0</v>
      </c>
      <c r="O819">
        <v>-0.28538839999999999</v>
      </c>
      <c r="P819">
        <v>0.94184880000000004</v>
      </c>
      <c r="Q819">
        <v>-1.777925E-2</v>
      </c>
      <c r="R819">
        <v>-0.33556599999999998</v>
      </c>
      <c r="S819">
        <v>2.7550050000000001</v>
      </c>
      <c r="T819">
        <v>-0.37621739999999998</v>
      </c>
      <c r="U819">
        <v>-1.1867369999999999</v>
      </c>
      <c r="V819">
        <v>5.279959E-2</v>
      </c>
      <c r="W819">
        <v>-3.7263470000000001E-3</v>
      </c>
      <c r="X819">
        <v>0.99859819999999999</v>
      </c>
      <c r="Y819">
        <v>0.1182512</v>
      </c>
      <c r="Z819">
        <v>2.854245E-2</v>
      </c>
      <c r="AA819">
        <v>0.99257340000000005</v>
      </c>
      <c r="AB819">
        <v>25</v>
      </c>
      <c r="AC819">
        <v>0.60409999999998798</v>
      </c>
      <c r="AD819">
        <v>-0.115691</v>
      </c>
      <c r="AE819">
        <v>-0.29429999999996398</v>
      </c>
      <c r="AF819">
        <v>0.10648210133804201</v>
      </c>
      <c r="AG819">
        <v>-0.115691</v>
      </c>
      <c r="AH819">
        <v>0.64388421084049996</v>
      </c>
      <c r="AI819">
        <v>100.052338993113</v>
      </c>
      <c r="AJ819">
        <v>80.609721354267805</v>
      </c>
      <c r="AK819">
        <v>0.66280443748971596</v>
      </c>
    </row>
    <row r="820" spans="1:37" x14ac:dyDescent="0.2">
      <c r="A820" t="str">
        <f>"20200111160114495"</f>
        <v>20200111160114495</v>
      </c>
      <c r="B820" t="str">
        <f>"1578729674491163"</f>
        <v>1578729674491163</v>
      </c>
      <c r="C820" t="s">
        <v>37</v>
      </c>
      <c r="D820">
        <v>5.2555379999999996</v>
      </c>
      <c r="E820">
        <v>0.52746000000000004</v>
      </c>
      <c r="F820" t="s">
        <v>42</v>
      </c>
      <c r="G820">
        <v>-209.124</v>
      </c>
      <c r="H820">
        <v>0.99261060000000001</v>
      </c>
      <c r="I820">
        <v>363.07510000000002</v>
      </c>
      <c r="J820">
        <v>-209.70410000000001</v>
      </c>
      <c r="K820">
        <v>1.1055090000000001</v>
      </c>
      <c r="L820">
        <v>363.35879999999997</v>
      </c>
      <c r="M820">
        <v>0.95874879999999996</v>
      </c>
      <c r="N820">
        <v>0</v>
      </c>
      <c r="O820">
        <v>-0.28391349999999999</v>
      </c>
      <c r="P820">
        <v>0.94239799999999996</v>
      </c>
      <c r="Q820">
        <v>-1.800678E-2</v>
      </c>
      <c r="R820">
        <v>-0.33400869999999999</v>
      </c>
      <c r="S820">
        <v>2.75563</v>
      </c>
      <c r="T820">
        <v>-0.37868229999999897</v>
      </c>
      <c r="U820">
        <v>-1.1856690000000001</v>
      </c>
      <c r="V820">
        <v>5.2686280000000002E-2</v>
      </c>
      <c r="W820">
        <v>-3.9732250000000004E-3</v>
      </c>
      <c r="X820">
        <v>0.99860319999999902</v>
      </c>
      <c r="Y820">
        <v>0.1193694</v>
      </c>
      <c r="Z820">
        <v>2.846976E-2</v>
      </c>
      <c r="AA820">
        <v>0.99244169999999998</v>
      </c>
      <c r="AB820">
        <v>25</v>
      </c>
      <c r="AC820">
        <v>0.58009999999998696</v>
      </c>
      <c r="AD820">
        <v>-0.1128984</v>
      </c>
      <c r="AE820">
        <v>-0.28369999999995299</v>
      </c>
      <c r="AF820">
        <v>0.10412649132673001</v>
      </c>
      <c r="AG820">
        <v>-0.1128984</v>
      </c>
      <c r="AH820">
        <v>0.61789172463337605</v>
      </c>
      <c r="AI820">
        <v>100.213688472469</v>
      </c>
      <c r="AJ820">
        <v>80.434446812365806</v>
      </c>
      <c r="AK820">
        <v>0.63669345708039404</v>
      </c>
    </row>
    <row r="821" spans="1:37" x14ac:dyDescent="0.2">
      <c r="A821" t="str">
        <f>"20200111160114517"</f>
        <v>20200111160114517</v>
      </c>
      <c r="B821" t="str">
        <f>"1578729674511659"</f>
        <v>1578729674511659</v>
      </c>
      <c r="C821" t="s">
        <v>37</v>
      </c>
      <c r="D821">
        <v>5.2915400000000004</v>
      </c>
      <c r="E821">
        <v>0.52805190000000002</v>
      </c>
      <c r="F821" t="s">
        <v>42</v>
      </c>
      <c r="G821">
        <v>-208.9057</v>
      </c>
      <c r="H821">
        <v>0.99612500000000004</v>
      </c>
      <c r="I821">
        <v>363.01459999999997</v>
      </c>
      <c r="J821">
        <v>-209.45650000000001</v>
      </c>
      <c r="K821">
        <v>1.1054139999999999</v>
      </c>
      <c r="L821">
        <v>363.28730000000002</v>
      </c>
      <c r="M821">
        <v>0.95915539999999999</v>
      </c>
      <c r="N821">
        <v>0</v>
      </c>
      <c r="O821">
        <v>-0.28253800000000001</v>
      </c>
      <c r="P821">
        <v>0.94278169999999994</v>
      </c>
      <c r="Q821">
        <v>-1.8186049999999999E-2</v>
      </c>
      <c r="R821">
        <v>-0.33291509999999902</v>
      </c>
      <c r="S821">
        <v>2.7551570000000001</v>
      </c>
      <c r="T821">
        <v>-0.37744809999999901</v>
      </c>
      <c r="U821">
        <v>-1.1878660000000001</v>
      </c>
      <c r="V821">
        <v>5.2960409999999999E-2</v>
      </c>
      <c r="W821">
        <v>-4.1695129999999997E-3</v>
      </c>
      <c r="X821">
        <v>0.99858789999999997</v>
      </c>
      <c r="Y821">
        <v>0.12148929999999999</v>
      </c>
      <c r="Z821">
        <v>2.8069630000000002E-2</v>
      </c>
      <c r="AA821">
        <v>0.99219579999999996</v>
      </c>
      <c r="AB821">
        <v>25</v>
      </c>
      <c r="AC821">
        <v>0.55080000000000895</v>
      </c>
      <c r="AD821">
        <v>-0.109288999999999</v>
      </c>
      <c r="AE821">
        <v>-0.27270000000004202</v>
      </c>
      <c r="AF821">
        <v>0.102702591807233</v>
      </c>
      <c r="AG821">
        <v>-0.109288999999999</v>
      </c>
      <c r="AH821">
        <v>0.58685345914493403</v>
      </c>
      <c r="AI821">
        <v>100.394817306535</v>
      </c>
      <c r="AJ821">
        <v>80.073447900720495</v>
      </c>
      <c r="AK821">
        <v>0.60571353823015905</v>
      </c>
    </row>
    <row r="822" spans="1:37" x14ac:dyDescent="0.2">
      <c r="A822" t="str">
        <f>"20200111160114539"</f>
        <v>20200111160114539</v>
      </c>
      <c r="B822" t="str">
        <f>"1578729674531179"</f>
        <v>1578729674531179</v>
      </c>
      <c r="C822" t="s">
        <v>37</v>
      </c>
      <c r="D822">
        <v>5.2227030000000001</v>
      </c>
      <c r="E822">
        <v>0.52883449999999999</v>
      </c>
      <c r="F822" t="s">
        <v>42</v>
      </c>
      <c r="G822">
        <v>-208.68709999999999</v>
      </c>
      <c r="H822">
        <v>0.999756599999999</v>
      </c>
      <c r="I822">
        <v>362.95510000000002</v>
      </c>
      <c r="J822">
        <v>-209.22239999999999</v>
      </c>
      <c r="K822">
        <v>1.1053440000000001</v>
      </c>
      <c r="L822">
        <v>363.2199</v>
      </c>
      <c r="M822">
        <v>0.95950340000000001</v>
      </c>
      <c r="N822">
        <v>0</v>
      </c>
      <c r="O822">
        <v>-0.2813541</v>
      </c>
      <c r="P822">
        <v>0.94311309999999904</v>
      </c>
      <c r="Q822">
        <v>-1.7680290000000001E-2</v>
      </c>
      <c r="R822">
        <v>-0.33200209999999902</v>
      </c>
      <c r="S822">
        <v>2.7549739999999998</v>
      </c>
      <c r="T822">
        <v>-0.3784863</v>
      </c>
      <c r="U822">
        <v>-1.188782</v>
      </c>
      <c r="V822">
        <v>5.3221499999999998E-2</v>
      </c>
      <c r="W822">
        <v>-3.6785350000000001E-3</v>
      </c>
      <c r="X822">
        <v>0.99857600000000002</v>
      </c>
      <c r="Y822">
        <v>0.1230028</v>
      </c>
      <c r="Z822">
        <v>2.790084E-2</v>
      </c>
      <c r="AA822">
        <v>0.99201410000000001</v>
      </c>
      <c r="AB822">
        <v>25</v>
      </c>
      <c r="AC822">
        <v>0.53530000000000599</v>
      </c>
      <c r="AD822">
        <v>-0.1055874</v>
      </c>
      <c r="AE822">
        <v>-0.264799999999979</v>
      </c>
      <c r="AF822">
        <v>0.100341160628565</v>
      </c>
      <c r="AG822">
        <v>-0.1055874</v>
      </c>
      <c r="AH822">
        <v>0.57035332529548999</v>
      </c>
      <c r="AI822">
        <v>100.333021937068</v>
      </c>
      <c r="AJ822">
        <v>80.022168134599596</v>
      </c>
      <c r="AK822">
        <v>0.58865946287363002</v>
      </c>
    </row>
    <row r="823" spans="1:37" x14ac:dyDescent="0.2">
      <c r="A823" t="str">
        <f>"20200111160114561"</f>
        <v>20200111160114561</v>
      </c>
      <c r="B823" t="str">
        <f>"1578729674551676"</f>
        <v>1578729674551676</v>
      </c>
      <c r="C823" t="s">
        <v>37</v>
      </c>
      <c r="D823">
        <v>5.2351089999999996</v>
      </c>
      <c r="E823">
        <v>0.52958209999999994</v>
      </c>
      <c r="F823" t="s">
        <v>42</v>
      </c>
      <c r="G823">
        <v>-208.46969999999999</v>
      </c>
      <c r="H823">
        <v>1.002486</v>
      </c>
      <c r="I823">
        <v>362.89409999999998</v>
      </c>
      <c r="J823">
        <v>-208.9853</v>
      </c>
      <c r="K823">
        <v>1.10527</v>
      </c>
      <c r="L823">
        <v>363.15190000000001</v>
      </c>
      <c r="M823">
        <v>0.95982269999999903</v>
      </c>
      <c r="N823">
        <v>0</v>
      </c>
      <c r="O823">
        <v>-0.28026279999999998</v>
      </c>
      <c r="P823">
        <v>0.94332939999999998</v>
      </c>
      <c r="Q823">
        <v>-1.6760870000000001E-2</v>
      </c>
      <c r="R823">
        <v>-0.33143420000000001</v>
      </c>
      <c r="S823">
        <v>2.754257</v>
      </c>
      <c r="T823">
        <v>-0.3764189</v>
      </c>
      <c r="U823">
        <v>-1.1921079999999999</v>
      </c>
      <c r="V823">
        <v>5.3748509999999999E-2</v>
      </c>
      <c r="W823">
        <v>-2.7734119999999998E-3</v>
      </c>
      <c r="X823">
        <v>0.99855070000000001</v>
      </c>
      <c r="Y823">
        <v>0.12519749999999999</v>
      </c>
      <c r="Z823">
        <v>2.7471880000000001E-2</v>
      </c>
      <c r="AA823">
        <v>0.99175139999999995</v>
      </c>
      <c r="AB823">
        <v>25</v>
      </c>
      <c r="AC823">
        <v>0.51560000000000605</v>
      </c>
      <c r="AD823">
        <v>-0.102783999999999</v>
      </c>
      <c r="AE823">
        <v>-0.257800000000031</v>
      </c>
      <c r="AF823">
        <v>9.97766549491369E-2</v>
      </c>
      <c r="AG823">
        <v>-0.102783999999999</v>
      </c>
      <c r="AH823">
        <v>0.54971468961613201</v>
      </c>
      <c r="AI823">
        <v>100.42420851951999</v>
      </c>
      <c r="AJ823">
        <v>79.712454631707104</v>
      </c>
      <c r="AK823">
        <v>0.56807232946923103</v>
      </c>
    </row>
    <row r="824" spans="1:37" x14ac:dyDescent="0.2">
      <c r="A824" t="str">
        <f>"20200111160114576"</f>
        <v>20200111160114576</v>
      </c>
      <c r="B824" t="str">
        <f>"1578729674571196"</f>
        <v>1578729674571196</v>
      </c>
      <c r="C824" t="s">
        <v>37</v>
      </c>
      <c r="D824">
        <v>5.6809760000000002</v>
      </c>
      <c r="E824">
        <v>0.52982099999999999</v>
      </c>
      <c r="F824" t="s">
        <v>42</v>
      </c>
      <c r="G824">
        <v>-208.25210000000001</v>
      </c>
      <c r="H824">
        <v>1.006022</v>
      </c>
      <c r="I824">
        <v>362.83319999999998</v>
      </c>
      <c r="J824">
        <v>-208.82980000000001</v>
      </c>
      <c r="K824">
        <v>1.105221</v>
      </c>
      <c r="L824">
        <v>363.10730000000001</v>
      </c>
      <c r="M824">
        <v>0.96001579999999997</v>
      </c>
      <c r="N824">
        <v>0</v>
      </c>
      <c r="O824">
        <v>-0.27960069999999998</v>
      </c>
      <c r="P824">
        <v>0.94343630000000001</v>
      </c>
      <c r="Q824">
        <v>-1.6665079999999999E-2</v>
      </c>
      <c r="R824">
        <v>-0.33113520000000002</v>
      </c>
      <c r="S824">
        <v>2.75360099999999</v>
      </c>
      <c r="T824">
        <v>-0.37302009999999902</v>
      </c>
      <c r="U824">
        <v>-1.1954039999999999</v>
      </c>
      <c r="V824">
        <v>5.4119689999999998E-2</v>
      </c>
      <c r="W824">
        <v>-2.687236E-3</v>
      </c>
      <c r="X824">
        <v>0.9985309</v>
      </c>
      <c r="Y824">
        <v>0.12692929999999999</v>
      </c>
      <c r="Z824">
        <v>2.7032E-2</v>
      </c>
      <c r="AA824">
        <v>0.99154339999999996</v>
      </c>
      <c r="AB824">
        <v>25</v>
      </c>
      <c r="AC824">
        <v>0.577699999999992</v>
      </c>
      <c r="AD824">
        <v>-9.9198999999999996E-2</v>
      </c>
      <c r="AE824">
        <v>-0.27410000000003198</v>
      </c>
      <c r="AF824">
        <v>9.9236444157511899E-2</v>
      </c>
      <c r="AG824">
        <v>-9.9198999999999996E-2</v>
      </c>
      <c r="AH824">
        <v>0.61646388100634697</v>
      </c>
      <c r="AI824">
        <v>99.0271862598225</v>
      </c>
      <c r="AJ824">
        <v>80.855156321373499</v>
      </c>
      <c r="AK824">
        <v>0.63223099420657503</v>
      </c>
    </row>
    <row r="825" spans="1:37" x14ac:dyDescent="0.2">
      <c r="A825" t="str">
        <f>"20200111160114589"</f>
        <v>20200111160114589</v>
      </c>
      <c r="B825" t="str">
        <f>"1578729674581932"</f>
        <v>1578729674581932</v>
      </c>
      <c r="C825" t="s">
        <v>37</v>
      </c>
      <c r="D825">
        <v>5.3039050000000003</v>
      </c>
      <c r="E825">
        <v>0.52970839999999997</v>
      </c>
      <c r="F825" t="s">
        <v>42</v>
      </c>
      <c r="G825">
        <v>-208.04230000000001</v>
      </c>
      <c r="H825">
        <v>0.99874969999999996</v>
      </c>
      <c r="I825">
        <v>362.76499999999999</v>
      </c>
      <c r="J825">
        <v>-208.68639999999999</v>
      </c>
      <c r="K825">
        <v>1.105173</v>
      </c>
      <c r="L825">
        <v>363.06630000000001</v>
      </c>
      <c r="M825">
        <v>0.96018549999999903</v>
      </c>
      <c r="N825">
        <v>0</v>
      </c>
      <c r="O825">
        <v>-0.27901789999999999</v>
      </c>
      <c r="P825">
        <v>0.94345749999999995</v>
      </c>
      <c r="Q825">
        <v>-1.6752920000000001E-2</v>
      </c>
      <c r="R825">
        <v>-0.33107009999999998</v>
      </c>
      <c r="S825">
        <v>2.7533110000000001</v>
      </c>
      <c r="T825">
        <v>-0.37236859999999999</v>
      </c>
      <c r="U825">
        <v>-1.196472</v>
      </c>
      <c r="V825">
        <v>5.4657320000000002E-2</v>
      </c>
      <c r="W825">
        <v>-2.7839029999999999E-3</v>
      </c>
      <c r="X825">
        <v>0.99850130000000004</v>
      </c>
      <c r="Y825">
        <v>0.127878399999999</v>
      </c>
      <c r="Z825">
        <v>2.6853479999999999E-2</v>
      </c>
      <c r="AA825">
        <v>0.99142619999999904</v>
      </c>
      <c r="AB825">
        <v>25</v>
      </c>
      <c r="AC825">
        <v>0.64409999999998002</v>
      </c>
      <c r="AD825">
        <v>-0.1064233</v>
      </c>
      <c r="AE825">
        <v>-0.30130000000002599</v>
      </c>
      <c r="AF825">
        <v>0.107197914582691</v>
      </c>
      <c r="AG825">
        <v>-0.1064233</v>
      </c>
      <c r="AH825">
        <v>0.68719882412063704</v>
      </c>
      <c r="AI825">
        <v>98.699627649675804</v>
      </c>
      <c r="AJ825">
        <v>81.133739232056101</v>
      </c>
      <c r="AK825">
        <v>0.70360467277197303</v>
      </c>
    </row>
    <row r="826" spans="1:37" x14ac:dyDescent="0.2">
      <c r="A826" t="str">
        <f>"20200111160114602"</f>
        <v>20200111160114602</v>
      </c>
      <c r="B826" t="str">
        <f>"1578729674591691"</f>
        <v>1578729674591691</v>
      </c>
      <c r="C826" t="s">
        <v>37</v>
      </c>
      <c r="D826">
        <v>5.3254330000000003</v>
      </c>
      <c r="E826">
        <v>0.53002490000000002</v>
      </c>
      <c r="F826" t="s">
        <v>42</v>
      </c>
      <c r="G826">
        <v>-207.833</v>
      </c>
      <c r="H826">
        <v>0.99137690000000001</v>
      </c>
      <c r="I826">
        <v>362.69569999999999</v>
      </c>
      <c r="J826">
        <v>-208.53809999999999</v>
      </c>
      <c r="K826">
        <v>1.105121</v>
      </c>
      <c r="L826">
        <v>363.02390000000003</v>
      </c>
      <c r="M826">
        <v>0.96034509999999995</v>
      </c>
      <c r="N826">
        <v>0</v>
      </c>
      <c r="O826">
        <v>-0.27846779999999999</v>
      </c>
      <c r="P826">
        <v>0.94329699999999905</v>
      </c>
      <c r="Q826">
        <v>-1.7403660000000001E-2</v>
      </c>
      <c r="R826">
        <v>-0.33149329999999999</v>
      </c>
      <c r="S826">
        <v>2.7537539999999998</v>
      </c>
      <c r="T826">
        <v>-0.36726589999999998</v>
      </c>
      <c r="U826">
        <v>-1.1954959999999999</v>
      </c>
      <c r="V826">
        <v>5.5680979999999998E-2</v>
      </c>
      <c r="W826">
        <v>-3.443593E-3</v>
      </c>
      <c r="X826">
        <v>0.99844259999999996</v>
      </c>
      <c r="Y826">
        <v>0.12805800000000001</v>
      </c>
      <c r="Z826">
        <v>2.6409430000000001E-2</v>
      </c>
      <c r="AA826">
        <v>0.99141499999999905</v>
      </c>
      <c r="AB826">
        <v>25</v>
      </c>
      <c r="AC826">
        <v>0.70509999999998696</v>
      </c>
      <c r="AD826">
        <v>-0.1137441</v>
      </c>
      <c r="AE826">
        <v>-0.32820000000003802</v>
      </c>
      <c r="AF826">
        <v>0.116360270424712</v>
      </c>
      <c r="AG826">
        <v>-0.1137441</v>
      </c>
      <c r="AH826">
        <v>0.75251126776953103</v>
      </c>
      <c r="AI826">
        <v>98.495875777171804</v>
      </c>
      <c r="AJ826">
        <v>81.210010912791404</v>
      </c>
      <c r="AK826">
        <v>0.76990300748745599</v>
      </c>
    </row>
    <row r="827" spans="1:37" x14ac:dyDescent="0.2">
      <c r="A827" t="str">
        <f>"20200111160114619"</f>
        <v>20200111160114619</v>
      </c>
      <c r="B827" t="str">
        <f>"1578729674611211"</f>
        <v>1578729674611211</v>
      </c>
      <c r="C827" t="s">
        <v>37</v>
      </c>
      <c r="D827">
        <v>5.3154379999999897</v>
      </c>
      <c r="E827">
        <v>0.53058490000000003</v>
      </c>
      <c r="F827" t="s">
        <v>42</v>
      </c>
      <c r="G827">
        <v>-207.8201</v>
      </c>
      <c r="H827">
        <v>1.0085409999999999</v>
      </c>
      <c r="I827">
        <v>362.71109999999999</v>
      </c>
      <c r="J827">
        <v>-208.3664</v>
      </c>
      <c r="K827">
        <v>1.105062</v>
      </c>
      <c r="L827">
        <v>362.97489999999999</v>
      </c>
      <c r="M827">
        <v>0.96051880000000001</v>
      </c>
      <c r="N827">
        <v>0</v>
      </c>
      <c r="O827">
        <v>-0.27786809999999901</v>
      </c>
      <c r="P827">
        <v>0.94246629999999998</v>
      </c>
      <c r="Q827">
        <v>-1.821936E-2</v>
      </c>
      <c r="R827">
        <v>-0.33380520000000002</v>
      </c>
      <c r="S827">
        <v>2.7521059999999999</v>
      </c>
      <c r="T827">
        <v>-0.37028430000000001</v>
      </c>
      <c r="U827">
        <v>-1.199036</v>
      </c>
      <c r="V827">
        <v>5.8756490000000001E-2</v>
      </c>
      <c r="W827">
        <v>-4.2685930000000002E-3</v>
      </c>
      <c r="X827">
        <v>0.99826319999999902</v>
      </c>
      <c r="Y827">
        <v>0.1299661</v>
      </c>
      <c r="Z827">
        <v>2.643657E-2</v>
      </c>
      <c r="AA827">
        <v>0.99116589999999904</v>
      </c>
      <c r="AB827">
        <v>25</v>
      </c>
      <c r="AC827">
        <v>0.54630000000000201</v>
      </c>
      <c r="AD827">
        <v>-9.6520999999999996E-2</v>
      </c>
      <c r="AE827">
        <v>-0.26380000000000298</v>
      </c>
      <c r="AF827">
        <v>9.9087058971626105E-2</v>
      </c>
      <c r="AG827">
        <v>-9.6520999999999996E-2</v>
      </c>
      <c r="AH827">
        <v>0.58332462865857504</v>
      </c>
      <c r="AI827">
        <v>99.265064824908904</v>
      </c>
      <c r="AJ827">
        <v>80.359413242622097</v>
      </c>
      <c r="AK827">
        <v>0.59950160224665905</v>
      </c>
    </row>
    <row r="828" spans="1:37" x14ac:dyDescent="0.2">
      <c r="A828" t="str">
        <f>"20200111160114635"</f>
        <v>20200111160114635</v>
      </c>
      <c r="B828" t="str">
        <f>"1578729674631708"</f>
        <v>1578729674631708</v>
      </c>
      <c r="C828" t="s">
        <v>37</v>
      </c>
      <c r="D828">
        <v>5.294219</v>
      </c>
      <c r="E828">
        <v>0.53121819999999997</v>
      </c>
      <c r="F828" t="s">
        <v>42</v>
      </c>
      <c r="G828">
        <v>-207.61089999999999</v>
      </c>
      <c r="H828">
        <v>1.0015799999999999</v>
      </c>
      <c r="I828">
        <v>362.64240000000001</v>
      </c>
      <c r="J828">
        <v>-208.19</v>
      </c>
      <c r="K828">
        <v>1.105003</v>
      </c>
      <c r="L828">
        <v>362.9246</v>
      </c>
      <c r="M828">
        <v>0.96068220000000004</v>
      </c>
      <c r="N828">
        <v>0</v>
      </c>
      <c r="O828">
        <v>-0.27730279999999902</v>
      </c>
      <c r="P828">
        <v>0.94189269999999903</v>
      </c>
      <c r="Q828">
        <v>-1.8694789999999999E-2</v>
      </c>
      <c r="R828">
        <v>-0.33539340000000001</v>
      </c>
      <c r="S828">
        <v>2.74762</v>
      </c>
      <c r="T828">
        <v>-0.37638059999999901</v>
      </c>
      <c r="U828">
        <v>-1.2091670000000001</v>
      </c>
      <c r="V828">
        <v>6.1028979999999997E-2</v>
      </c>
      <c r="W828">
        <v>-4.754968E-3</v>
      </c>
      <c r="X828">
        <v>0.99812469999999998</v>
      </c>
      <c r="Y828">
        <v>0.13420689999999999</v>
      </c>
      <c r="Z828">
        <v>2.6539E-2</v>
      </c>
      <c r="AA828">
        <v>0.99059789999999903</v>
      </c>
      <c r="AB828">
        <v>25</v>
      </c>
      <c r="AC828">
        <v>0.57910000000001005</v>
      </c>
      <c r="AD828">
        <v>-0.103423</v>
      </c>
      <c r="AE828">
        <v>-0.28219999999998802</v>
      </c>
      <c r="AF828">
        <v>0.107751857977433</v>
      </c>
      <c r="AG828">
        <v>-0.103423</v>
      </c>
      <c r="AH828">
        <v>0.618700330854003</v>
      </c>
      <c r="AI828">
        <v>99.351694320801698</v>
      </c>
      <c r="AJ828">
        <v>80.120548592840194</v>
      </c>
      <c r="AK828">
        <v>0.63647221402465204</v>
      </c>
    </row>
    <row r="829" spans="1:37" x14ac:dyDescent="0.2">
      <c r="A829" t="str">
        <f>"20200111160114652"</f>
        <v>20200111160114652</v>
      </c>
      <c r="B829" t="str">
        <f>"1578729674641468"</f>
        <v>1578729674641468</v>
      </c>
      <c r="C829" t="s">
        <v>37</v>
      </c>
      <c r="D829">
        <v>5.3018330000000002</v>
      </c>
      <c r="E829">
        <v>0.53145989999999999</v>
      </c>
      <c r="F829" t="s">
        <v>42</v>
      </c>
      <c r="G829">
        <v>-207.40110000000001</v>
      </c>
      <c r="H829">
        <v>0.99569940000000001</v>
      </c>
      <c r="I829">
        <v>362.57409999999999</v>
      </c>
      <c r="J829">
        <v>-208.0197</v>
      </c>
      <c r="K829">
        <v>1.1049359999999999</v>
      </c>
      <c r="L829">
        <v>362.87599999999998</v>
      </c>
      <c r="M829">
        <v>0.96082409999999996</v>
      </c>
      <c r="N829">
        <v>0</v>
      </c>
      <c r="O829">
        <v>-0.27681090000000003</v>
      </c>
      <c r="P829">
        <v>0.94048269999999901</v>
      </c>
      <c r="Q829">
        <v>-1.9269850000000002E-2</v>
      </c>
      <c r="R829">
        <v>-0.33929499999999901</v>
      </c>
      <c r="S829">
        <v>2.7435909999999999</v>
      </c>
      <c r="T829">
        <v>-0.38021270000000001</v>
      </c>
      <c r="U829">
        <v>-1.2185969999999999</v>
      </c>
      <c r="V829">
        <v>6.5679319999999999E-2</v>
      </c>
      <c r="W829">
        <v>-5.3410690000000004E-3</v>
      </c>
      <c r="X829">
        <v>0.99782649999999995</v>
      </c>
      <c r="Y829">
        <v>0.13808570000000001</v>
      </c>
      <c r="Z829">
        <v>2.6504260000000002E-2</v>
      </c>
      <c r="AA829">
        <v>0.99006559999999899</v>
      </c>
      <c r="AB829">
        <v>25</v>
      </c>
      <c r="AC829">
        <v>0.61859999999998605</v>
      </c>
      <c r="AD829">
        <v>-0.1092366</v>
      </c>
      <c r="AE829">
        <v>-0.30189999999998901</v>
      </c>
      <c r="AF829">
        <v>0.115929410363036</v>
      </c>
      <c r="AG829">
        <v>-0.1092366</v>
      </c>
      <c r="AH829">
        <v>0.66134474710278202</v>
      </c>
      <c r="AI829">
        <v>99.240647046546002</v>
      </c>
      <c r="AJ829">
        <v>80.057440798580899</v>
      </c>
      <c r="AK829">
        <v>0.680256670299619</v>
      </c>
    </row>
    <row r="830" spans="1:37" x14ac:dyDescent="0.2">
      <c r="A830" t="str">
        <f>"20200111160114668"</f>
        <v>20200111160114668</v>
      </c>
      <c r="B830" t="str">
        <f>"1578729674661964"</f>
        <v>1578729674661964</v>
      </c>
      <c r="C830" t="s">
        <v>37</v>
      </c>
      <c r="D830">
        <v>5.313536</v>
      </c>
      <c r="E830">
        <v>0.53198420000000002</v>
      </c>
      <c r="F830" t="s">
        <v>42</v>
      </c>
      <c r="G830">
        <v>-207.19229999999999</v>
      </c>
      <c r="H830">
        <v>0.98915919999999902</v>
      </c>
      <c r="I830">
        <v>362.50409999999999</v>
      </c>
      <c r="J830">
        <v>-207.8321</v>
      </c>
      <c r="K830">
        <v>1.104862</v>
      </c>
      <c r="L830">
        <v>362.82260000000002</v>
      </c>
      <c r="M830">
        <v>0.96095810000000004</v>
      </c>
      <c r="N830">
        <v>0</v>
      </c>
      <c r="O830">
        <v>-0.27634579999999997</v>
      </c>
      <c r="P830">
        <v>0.93978629999999996</v>
      </c>
      <c r="Q830">
        <v>-1.9465639999999999E-2</v>
      </c>
      <c r="R830">
        <v>-0.34120809999999901</v>
      </c>
      <c r="S830">
        <v>2.7378689999999999</v>
      </c>
      <c r="T830">
        <v>-0.38313379999999903</v>
      </c>
      <c r="U830">
        <v>-1.2310179999999999</v>
      </c>
      <c r="V830">
        <v>6.8192559999999999E-2</v>
      </c>
      <c r="W830">
        <v>-5.5513749999999999E-3</v>
      </c>
      <c r="X830">
        <v>0.99765680000000001</v>
      </c>
      <c r="Y830">
        <v>0.143048799999999</v>
      </c>
      <c r="Z830">
        <v>2.6339640000000001E-2</v>
      </c>
      <c r="AA830">
        <v>0.9893651</v>
      </c>
      <c r="AB830">
        <v>25</v>
      </c>
      <c r="AC830">
        <v>0.63980000000000803</v>
      </c>
      <c r="AD830">
        <v>-0.11570279999999999</v>
      </c>
      <c r="AE830">
        <v>-0.31850000000002798</v>
      </c>
      <c r="AF830">
        <v>0.12597002330547399</v>
      </c>
      <c r="AG830">
        <v>-0.11570279999999999</v>
      </c>
      <c r="AH830">
        <v>0.68495294628727699</v>
      </c>
      <c r="AI830">
        <v>99.4326569583002</v>
      </c>
      <c r="AJ830">
        <v>79.579152854074707</v>
      </c>
      <c r="AK830">
        <v>0.70598592289580597</v>
      </c>
    </row>
    <row r="831" spans="1:37" x14ac:dyDescent="0.2">
      <c r="A831" t="str">
        <f>"20200111160114685"</f>
        <v>20200111160114685</v>
      </c>
      <c r="B831" t="str">
        <f>"1578729674681483"</f>
        <v>1578729674681483</v>
      </c>
      <c r="C831" t="s">
        <v>37</v>
      </c>
      <c r="D831">
        <v>5.3947339999999997</v>
      </c>
      <c r="E831">
        <v>0.53225719999999899</v>
      </c>
      <c r="F831" t="s">
        <v>42</v>
      </c>
      <c r="G831">
        <v>-207.17529999999999</v>
      </c>
      <c r="H831">
        <v>1.011968</v>
      </c>
      <c r="I831">
        <v>362.52460000000002</v>
      </c>
      <c r="J831">
        <v>-207.65539999999999</v>
      </c>
      <c r="K831">
        <v>1.104787</v>
      </c>
      <c r="L831">
        <v>362.77229999999997</v>
      </c>
      <c r="M831">
        <v>0.96105779999999996</v>
      </c>
      <c r="N831">
        <v>0</v>
      </c>
      <c r="O831">
        <v>-0.27599889999999999</v>
      </c>
      <c r="P831">
        <v>0.93846430000000003</v>
      </c>
      <c r="Q831">
        <v>-1.8967560000000001E-2</v>
      </c>
      <c r="R831">
        <v>-0.34485549999999998</v>
      </c>
      <c r="S831">
        <v>2.7338100000000001</v>
      </c>
      <c r="T831">
        <v>-0.38663769999999997</v>
      </c>
      <c r="U831">
        <v>-1.2404790000000001</v>
      </c>
      <c r="V831">
        <v>7.2421819999999998E-2</v>
      </c>
      <c r="W831">
        <v>-5.0691750000000004E-3</v>
      </c>
      <c r="X831">
        <v>0.99736119999999995</v>
      </c>
      <c r="Y831">
        <v>0.14678429999999901</v>
      </c>
      <c r="Z831">
        <v>2.629747E-2</v>
      </c>
      <c r="AA831">
        <v>0.98881889999999995</v>
      </c>
      <c r="AB831">
        <v>25</v>
      </c>
      <c r="AC831">
        <v>0.48009999999999298</v>
      </c>
      <c r="AD831">
        <v>-9.2819000000000207E-2</v>
      </c>
      <c r="AE831">
        <v>-0.24769999999995199</v>
      </c>
      <c r="AF831">
        <v>0.102530437050534</v>
      </c>
      <c r="AG831">
        <v>-9.2819000000000207E-2</v>
      </c>
      <c r="AH831">
        <v>0.51462810397643599</v>
      </c>
      <c r="AI831">
        <v>100.030999004873</v>
      </c>
      <c r="AJ831">
        <v>78.732379075036107</v>
      </c>
      <c r="AK831">
        <v>0.53288830225963402</v>
      </c>
    </row>
    <row r="832" spans="1:37" x14ac:dyDescent="0.2">
      <c r="A832" t="str">
        <f>"20200111160114708"</f>
        <v>20200111160114708</v>
      </c>
      <c r="B832" t="str">
        <f>"1578729674701979"</f>
        <v>1578729674701979</v>
      </c>
      <c r="C832" t="s">
        <v>37</v>
      </c>
      <c r="D832">
        <v>5.360805</v>
      </c>
      <c r="E832">
        <v>0.53262410000000004</v>
      </c>
      <c r="F832" t="s">
        <v>42</v>
      </c>
      <c r="G832">
        <v>-206.9658</v>
      </c>
      <c r="H832">
        <v>1.007029</v>
      </c>
      <c r="I832">
        <v>362.45549999999997</v>
      </c>
      <c r="J832">
        <v>-207.4084</v>
      </c>
      <c r="K832">
        <v>1.104668</v>
      </c>
      <c r="L832">
        <v>362.70190000000002</v>
      </c>
      <c r="M832">
        <v>0.96115649999999997</v>
      </c>
      <c r="N832">
        <v>0</v>
      </c>
      <c r="O832">
        <v>-0.2756555</v>
      </c>
      <c r="P832">
        <v>0.93785790000000002</v>
      </c>
      <c r="Q832">
        <v>-1.7397349999999999E-2</v>
      </c>
      <c r="R832">
        <v>-0.34658349999999999</v>
      </c>
      <c r="S832">
        <v>2.7285159999999999</v>
      </c>
      <c r="T832">
        <v>-0.3869745</v>
      </c>
      <c r="U832">
        <v>-1.252869</v>
      </c>
      <c r="V832">
        <v>7.4604219999999999E-2</v>
      </c>
      <c r="W832">
        <v>-3.5254090000000002E-3</v>
      </c>
      <c r="X832">
        <v>0.99720699999999995</v>
      </c>
      <c r="Y832">
        <v>0.15153529999999901</v>
      </c>
      <c r="Z832">
        <v>2.597439E-2</v>
      </c>
      <c r="AA832">
        <v>0.9881105</v>
      </c>
      <c r="AB832">
        <v>25</v>
      </c>
      <c r="AC832">
        <v>0.442599999999998</v>
      </c>
      <c r="AD832">
        <v>-9.7638999999999795E-2</v>
      </c>
      <c r="AE832">
        <v>-0.24640000000005099</v>
      </c>
      <c r="AF832">
        <v>0.110721403399795</v>
      </c>
      <c r="AG832">
        <v>-9.7638999999999795E-2</v>
      </c>
      <c r="AH832">
        <v>0.47570367624740401</v>
      </c>
      <c r="AI832">
        <v>101.304876844744</v>
      </c>
      <c r="AJ832">
        <v>76.897521761071005</v>
      </c>
      <c r="AK832">
        <v>0.49808291587557502</v>
      </c>
    </row>
    <row r="833" spans="1:37" x14ac:dyDescent="0.2">
      <c r="A833" t="str">
        <f>"20200111160114730"</f>
        <v>20200111160114730</v>
      </c>
      <c r="B833" t="str">
        <f>"1578729674721499"</f>
        <v>1578729674721499</v>
      </c>
      <c r="C833" t="s">
        <v>37</v>
      </c>
      <c r="D833">
        <v>5.3486830000000003</v>
      </c>
      <c r="E833">
        <v>0.53289370000000003</v>
      </c>
      <c r="F833" t="s">
        <v>42</v>
      </c>
      <c r="G833">
        <v>-206.74879999999999</v>
      </c>
      <c r="H833">
        <v>1.0117259999999999</v>
      </c>
      <c r="I833">
        <v>362.39690000000002</v>
      </c>
      <c r="J833">
        <v>-207.17949999999999</v>
      </c>
      <c r="K833">
        <v>1.104533</v>
      </c>
      <c r="L833">
        <v>362.63659999999999</v>
      </c>
      <c r="M833">
        <v>0.96118769999999998</v>
      </c>
      <c r="N833">
        <v>0</v>
      </c>
      <c r="O833">
        <v>-0.2755473</v>
      </c>
      <c r="P833">
        <v>0.93776819999999905</v>
      </c>
      <c r="Q833">
        <v>-1.602145E-2</v>
      </c>
      <c r="R833">
        <v>-0.3468928</v>
      </c>
      <c r="S833">
        <v>2.7259519999999999</v>
      </c>
      <c r="T833">
        <v>-0.38418170000000001</v>
      </c>
      <c r="U833">
        <v>-1.2601929999999999</v>
      </c>
      <c r="V833">
        <v>7.5037019999999996E-2</v>
      </c>
      <c r="W833">
        <v>-2.1789399999999999E-3</v>
      </c>
      <c r="X833">
        <v>0.99717840000000002</v>
      </c>
      <c r="Y833">
        <v>0.1541536</v>
      </c>
      <c r="Z833">
        <v>2.560511E-2</v>
      </c>
      <c r="AA833">
        <v>0.98771509999999996</v>
      </c>
      <c r="AB833">
        <v>25</v>
      </c>
      <c r="AC833">
        <v>0.43070000000000103</v>
      </c>
      <c r="AD833">
        <v>-9.2806999999999806E-2</v>
      </c>
      <c r="AE833">
        <v>-0.23969999999996999</v>
      </c>
      <c r="AF833">
        <v>0.107903882946251</v>
      </c>
      <c r="AG833">
        <v>-9.2806999999999806E-2</v>
      </c>
      <c r="AH833">
        <v>0.46364170376367497</v>
      </c>
      <c r="AI833">
        <v>101.031968275409</v>
      </c>
      <c r="AJ833">
        <v>76.898701252699198</v>
      </c>
      <c r="AK833">
        <v>0.484994862522029</v>
      </c>
    </row>
    <row r="834" spans="1:37" x14ac:dyDescent="0.2">
      <c r="A834" t="str">
        <f>"20200111160114751"</f>
        <v>20200111160114751</v>
      </c>
      <c r="B834" t="str">
        <f>"1578729674741995"</f>
        <v>1578729674741995</v>
      </c>
      <c r="C834" t="s">
        <v>37</v>
      </c>
      <c r="D834">
        <v>5.407985</v>
      </c>
      <c r="E834">
        <v>0.53309379999999995</v>
      </c>
      <c r="F834" t="s">
        <v>42</v>
      </c>
      <c r="G834">
        <v>-206.34099999999901</v>
      </c>
      <c r="H834">
        <v>0.98723399999999994</v>
      </c>
      <c r="I834">
        <v>362.24770000000001</v>
      </c>
      <c r="J834">
        <v>-206.9462</v>
      </c>
      <c r="K834">
        <v>1.1043559999999999</v>
      </c>
      <c r="L834">
        <v>362.56970000000001</v>
      </c>
      <c r="M834">
        <v>0.96114650000000001</v>
      </c>
      <c r="N834">
        <v>0</v>
      </c>
      <c r="O834">
        <v>-0.27569009999999999</v>
      </c>
      <c r="P834">
        <v>0.93776800000000005</v>
      </c>
      <c r="Q834">
        <v>-1.734397E-2</v>
      </c>
      <c r="R834">
        <v>-0.34682869999999999</v>
      </c>
      <c r="S834">
        <v>2.7252350000000001</v>
      </c>
      <c r="T834">
        <v>-0.3813473</v>
      </c>
      <c r="U834">
        <v>-1.263336</v>
      </c>
      <c r="V834">
        <v>7.4826130000000005E-2</v>
      </c>
      <c r="W834">
        <v>-3.5368819999999999E-3</v>
      </c>
      <c r="X834">
        <v>0.99719029999999997</v>
      </c>
      <c r="Y834">
        <v>0.15502460000000001</v>
      </c>
      <c r="Z834">
        <v>2.5376780000000002E-2</v>
      </c>
      <c r="AA834">
        <v>0.98758469999999998</v>
      </c>
      <c r="AB834">
        <v>25</v>
      </c>
      <c r="AC834">
        <v>0.60520000000002405</v>
      </c>
      <c r="AD834">
        <v>-0.117121999999999</v>
      </c>
      <c r="AE834">
        <v>-0.32200000000000201</v>
      </c>
      <c r="AF834">
        <v>0.138609331198907</v>
      </c>
      <c r="AG834">
        <v>-0.117121999999999</v>
      </c>
      <c r="AH834">
        <v>0.65150555262807897</v>
      </c>
      <c r="AI834">
        <v>99.972707149343705</v>
      </c>
      <c r="AJ834">
        <v>77.9892680176429</v>
      </c>
      <c r="AK834">
        <v>0.67630584404145699</v>
      </c>
    </row>
    <row r="835" spans="1:37" x14ac:dyDescent="0.2">
      <c r="A835" t="str">
        <f>"20200111160114767"</f>
        <v>20200111160114767</v>
      </c>
      <c r="B835" t="str">
        <f>"1578729674761516"</f>
        <v>1578729674761516</v>
      </c>
      <c r="C835" t="s">
        <v>37</v>
      </c>
      <c r="D835">
        <v>5.381297</v>
      </c>
      <c r="E835">
        <v>0.53325769999999995</v>
      </c>
      <c r="F835" t="s">
        <v>42</v>
      </c>
      <c r="G835">
        <v>-206.1267</v>
      </c>
      <c r="H835">
        <v>0.98819380000000001</v>
      </c>
      <c r="I835">
        <v>362.18889999999999</v>
      </c>
      <c r="J835">
        <v>-206.77350000000001</v>
      </c>
      <c r="K835">
        <v>1.10422</v>
      </c>
      <c r="L835">
        <v>362.52</v>
      </c>
      <c r="M835">
        <v>0.9610784</v>
      </c>
      <c r="N835">
        <v>0</v>
      </c>
      <c r="O835">
        <v>-0.2759278</v>
      </c>
      <c r="P835">
        <v>0.93758639999999904</v>
      </c>
      <c r="Q835">
        <v>-1.8564290000000001E-2</v>
      </c>
      <c r="R835">
        <v>-0.34725669999999997</v>
      </c>
      <c r="S835">
        <v>2.7239990000000001</v>
      </c>
      <c r="T835">
        <v>-0.38629649999999999</v>
      </c>
      <c r="U835">
        <v>-1.2651669999999999</v>
      </c>
      <c r="V835">
        <v>7.5039129999999996E-2</v>
      </c>
      <c r="W835">
        <v>-4.7840219999999998E-3</v>
      </c>
      <c r="X835">
        <v>0.99716909999999903</v>
      </c>
      <c r="Y835">
        <v>0.15551909999999999</v>
      </c>
      <c r="Z835">
        <v>2.5706320000000001E-2</v>
      </c>
      <c r="AA835">
        <v>0.98749830000000005</v>
      </c>
      <c r="AB835">
        <v>25</v>
      </c>
      <c r="AC835">
        <v>0.64680000000001303</v>
      </c>
      <c r="AD835">
        <v>-0.116026199999999</v>
      </c>
      <c r="AE835">
        <v>-0.33109999999999201</v>
      </c>
      <c r="AF835">
        <v>0.136281553307145</v>
      </c>
      <c r="AG835">
        <v>-0.116026199999999</v>
      </c>
      <c r="AH835">
        <v>0.69532470896684695</v>
      </c>
      <c r="AI835">
        <v>99.2996844616667</v>
      </c>
      <c r="AJ835">
        <v>78.910770284441597</v>
      </c>
      <c r="AK835">
        <v>0.71799108055607397</v>
      </c>
    </row>
    <row r="836" spans="1:37" x14ac:dyDescent="0.2">
      <c r="A836" t="str">
        <f>"20200111160114781"</f>
        <v>20200111160114781</v>
      </c>
      <c r="B836" t="str">
        <f>"1578729674771276"</f>
        <v>1578729674771276</v>
      </c>
      <c r="C836" t="s">
        <v>37</v>
      </c>
      <c r="D836">
        <v>5.4002980000000003</v>
      </c>
      <c r="E836">
        <v>0.53338940000000001</v>
      </c>
      <c r="F836" t="s">
        <v>42</v>
      </c>
      <c r="G836">
        <v>-206.1105</v>
      </c>
      <c r="H836">
        <v>1.008945</v>
      </c>
      <c r="I836">
        <v>362.21100000000001</v>
      </c>
      <c r="J836">
        <v>-206.63059999999999</v>
      </c>
      <c r="K836">
        <v>1.1041000000000001</v>
      </c>
      <c r="L836">
        <v>362.47859999999997</v>
      </c>
      <c r="M836">
        <v>0.96098530000000004</v>
      </c>
      <c r="N836">
        <v>0</v>
      </c>
      <c r="O836">
        <v>-0.27625250000000001</v>
      </c>
      <c r="P836">
        <v>0.93750639999999996</v>
      </c>
      <c r="Q836">
        <v>-1.9826449999999999E-2</v>
      </c>
      <c r="R836">
        <v>-0.34740359999999998</v>
      </c>
      <c r="S836">
        <v>2.722458</v>
      </c>
      <c r="T836">
        <v>-0.391372</v>
      </c>
      <c r="U836">
        <v>-1.267639</v>
      </c>
      <c r="V836">
        <v>7.4863020000000002E-2</v>
      </c>
      <c r="W836">
        <v>-6.0680509999999997E-3</v>
      </c>
      <c r="X836">
        <v>0.99717529999999999</v>
      </c>
      <c r="Y836">
        <v>0.15615789999999999</v>
      </c>
      <c r="Z836">
        <v>2.6046590000000001E-2</v>
      </c>
      <c r="AA836">
        <v>0.98738859999999995</v>
      </c>
      <c r="AB836">
        <v>25</v>
      </c>
      <c r="AC836">
        <v>0.52009999999998502</v>
      </c>
      <c r="AD836">
        <v>-9.5155000000000101E-2</v>
      </c>
      <c r="AE836">
        <v>-0.26759999999995898</v>
      </c>
      <c r="AF836">
        <v>0.110565373356755</v>
      </c>
      <c r="AG836">
        <v>-9.5155000000000101E-2</v>
      </c>
      <c r="AH836">
        <v>0.55899416691477</v>
      </c>
      <c r="AI836">
        <v>99.480358050278497</v>
      </c>
      <c r="AJ836">
        <v>78.811683541932894</v>
      </c>
      <c r="AK836">
        <v>0.57771416328081804</v>
      </c>
    </row>
    <row r="837" spans="1:37" x14ac:dyDescent="0.2">
      <c r="A837" t="str">
        <f>"20200111160114796"</f>
        <v>20200111160114796</v>
      </c>
      <c r="B837" t="str">
        <f>"1578729674791773"</f>
        <v>1578729674791773</v>
      </c>
      <c r="C837" t="s">
        <v>37</v>
      </c>
      <c r="D837">
        <v>5.3529580000000001</v>
      </c>
      <c r="E837">
        <v>0.53358689999999998</v>
      </c>
      <c r="F837" t="s">
        <v>42</v>
      </c>
      <c r="G837">
        <v>-205.90520000000001</v>
      </c>
      <c r="H837">
        <v>0.99866200000000005</v>
      </c>
      <c r="I837">
        <v>362.14030000000002</v>
      </c>
      <c r="J837">
        <v>-206.4716</v>
      </c>
      <c r="K837">
        <v>1.1039540000000001</v>
      </c>
      <c r="L837">
        <v>362.4325</v>
      </c>
      <c r="M837">
        <v>0.96084559999999997</v>
      </c>
      <c r="N837">
        <v>0</v>
      </c>
      <c r="O837">
        <v>-0.27673750000000003</v>
      </c>
      <c r="P837">
        <v>0.93728429999999996</v>
      </c>
      <c r="Q837">
        <v>-2.0981469999999999E-2</v>
      </c>
      <c r="R837">
        <v>-0.34793429999999997</v>
      </c>
      <c r="S837">
        <v>2.7213129999999999</v>
      </c>
      <c r="T837">
        <v>-0.39554270000000002</v>
      </c>
      <c r="U837">
        <v>-1.2691649999999901</v>
      </c>
      <c r="V837">
        <v>7.4927720000000003E-2</v>
      </c>
      <c r="W837">
        <v>-7.2500309999999997E-3</v>
      </c>
      <c r="X837">
        <v>0.99716260000000001</v>
      </c>
      <c r="Y837">
        <v>0.15629609999999999</v>
      </c>
      <c r="Z837">
        <v>2.6381140000000001E-2</v>
      </c>
      <c r="AA837">
        <v>0.98735790000000001</v>
      </c>
      <c r="AB837">
        <v>25</v>
      </c>
      <c r="AC837">
        <v>0.56639999999998702</v>
      </c>
      <c r="AD837">
        <v>-0.105292</v>
      </c>
      <c r="AE837">
        <v>-0.29219999999997898</v>
      </c>
      <c r="AF837">
        <v>0.120731668198735</v>
      </c>
      <c r="AG837">
        <v>-0.105292</v>
      </c>
      <c r="AH837">
        <v>0.60853650317761099</v>
      </c>
      <c r="AI837">
        <v>99.632288119468598</v>
      </c>
      <c r="AJ837">
        <v>78.778420763056005</v>
      </c>
      <c r="AK837">
        <v>0.62926879524546997</v>
      </c>
    </row>
    <row r="838" spans="1:37" x14ac:dyDescent="0.2">
      <c r="A838" t="str">
        <f>"20200111160114808"</f>
        <v>20200111160114808</v>
      </c>
      <c r="B838" t="str">
        <f>"1578729674801531"</f>
        <v>1578729674801531</v>
      </c>
      <c r="C838" t="s">
        <v>37</v>
      </c>
      <c r="D838">
        <v>5.3927509999999996</v>
      </c>
      <c r="E838">
        <v>0.53368380000000004</v>
      </c>
      <c r="F838" t="s">
        <v>42</v>
      </c>
      <c r="G838">
        <v>-205.6987</v>
      </c>
      <c r="H838">
        <v>0.99032399999999998</v>
      </c>
      <c r="I838">
        <v>362.07080000000002</v>
      </c>
      <c r="J838">
        <v>-206.3416</v>
      </c>
      <c r="K838">
        <v>1.1038219999999901</v>
      </c>
      <c r="L838">
        <v>362.39460000000003</v>
      </c>
      <c r="M838">
        <v>0.96070299999999997</v>
      </c>
      <c r="N838">
        <v>0</v>
      </c>
      <c r="O838">
        <v>-0.27723219999999998</v>
      </c>
      <c r="P838">
        <v>0.93718919999999994</v>
      </c>
      <c r="Q838">
        <v>-2.213501E-2</v>
      </c>
      <c r="R838">
        <v>-0.34811920000000002</v>
      </c>
      <c r="S838">
        <v>2.7195740000000002</v>
      </c>
      <c r="T838">
        <v>-0.39990500000000001</v>
      </c>
      <c r="U838">
        <v>-1.272003</v>
      </c>
      <c r="V838">
        <v>7.4614280000000005E-2</v>
      </c>
      <c r="W838">
        <v>-8.4267579999999995E-3</v>
      </c>
      <c r="X838">
        <v>0.99717690000000003</v>
      </c>
      <c r="Y838">
        <v>0.156895799999999</v>
      </c>
      <c r="Z838">
        <v>2.6700789999999999E-2</v>
      </c>
      <c r="AA838">
        <v>0.98725409999999902</v>
      </c>
      <c r="AB838">
        <v>25</v>
      </c>
      <c r="AC838">
        <v>0.64289999999999703</v>
      </c>
      <c r="AD838">
        <v>-0.113497999999999</v>
      </c>
      <c r="AE838">
        <v>-0.32380000000000497</v>
      </c>
      <c r="AF838">
        <v>0.12963308769774401</v>
      </c>
      <c r="AG838">
        <v>-0.113497999999999</v>
      </c>
      <c r="AH838">
        <v>0.69031034523270596</v>
      </c>
      <c r="AI838">
        <v>99.179155859773502</v>
      </c>
      <c r="AJ838">
        <v>79.364317513819202</v>
      </c>
      <c r="AK838">
        <v>0.71148781167729702</v>
      </c>
    </row>
    <row r="839" spans="1:37" x14ac:dyDescent="0.2">
      <c r="A839" t="str">
        <f>"20200111160114823"</f>
        <v>20200111160114823</v>
      </c>
      <c r="B839" t="str">
        <f>"1578729674811292"</f>
        <v>1578729674811292</v>
      </c>
      <c r="C839" t="s">
        <v>37</v>
      </c>
      <c r="D839">
        <v>5.3851909999999998</v>
      </c>
      <c r="E839">
        <v>0.53376880000000004</v>
      </c>
      <c r="F839" t="s">
        <v>42</v>
      </c>
      <c r="G839">
        <v>-205.68620000000001</v>
      </c>
      <c r="H839">
        <v>1.0064200000000001</v>
      </c>
      <c r="I839">
        <v>362.08749999999998</v>
      </c>
      <c r="J839">
        <v>-206.18010000000001</v>
      </c>
      <c r="K839">
        <v>1.10364</v>
      </c>
      <c r="L839">
        <v>362.34710000000001</v>
      </c>
      <c r="M839">
        <v>0.96045829999999999</v>
      </c>
      <c r="N839">
        <v>0</v>
      </c>
      <c r="O839">
        <v>-0.27807870000000001</v>
      </c>
      <c r="P839">
        <v>0.93694029999999995</v>
      </c>
      <c r="Q839">
        <v>-2.2241899999999998E-2</v>
      </c>
      <c r="R839">
        <v>-0.34878130000000002</v>
      </c>
      <c r="S839">
        <v>2.71875</v>
      </c>
      <c r="T839">
        <v>-0.40408840000000001</v>
      </c>
      <c r="U839">
        <v>-1.272797</v>
      </c>
      <c r="V839">
        <v>7.4437080000000003E-2</v>
      </c>
      <c r="W839">
        <v>-8.5650740000000006E-3</v>
      </c>
      <c r="X839">
        <v>0.99718890000000004</v>
      </c>
      <c r="Y839">
        <v>0.15640860000000001</v>
      </c>
      <c r="Z839">
        <v>2.7128929999999999E-2</v>
      </c>
      <c r="AA839">
        <v>0.98731979999999997</v>
      </c>
      <c r="AB839">
        <v>25</v>
      </c>
      <c r="AC839">
        <v>0.49389999999999601</v>
      </c>
      <c r="AD839">
        <v>-9.7219999999999807E-2</v>
      </c>
      <c r="AE839">
        <v>-0.25960000000003403</v>
      </c>
      <c r="AF839">
        <v>0.108702534400231</v>
      </c>
      <c r="AG839">
        <v>-9.7219999999999807E-2</v>
      </c>
      <c r="AH839">
        <v>0.53050630945951405</v>
      </c>
      <c r="AI839">
        <v>100.17782382505401</v>
      </c>
      <c r="AJ839">
        <v>78.420186687531896</v>
      </c>
      <c r="AK839">
        <v>0.55018625370086005</v>
      </c>
    </row>
    <row r="840" spans="1:37" x14ac:dyDescent="0.2">
      <c r="A840" t="str">
        <f>"20200111160114841"</f>
        <v>20200111160114841</v>
      </c>
      <c r="B840" t="str">
        <f>"1578729674831787"</f>
        <v>1578729674831787</v>
      </c>
      <c r="C840" t="s">
        <v>37</v>
      </c>
      <c r="D840">
        <v>5.51898</v>
      </c>
      <c r="E840">
        <v>0.53403480000000003</v>
      </c>
      <c r="F840" t="s">
        <v>42</v>
      </c>
      <c r="G840">
        <v>-205.4794</v>
      </c>
      <c r="H840">
        <v>0.9992489</v>
      </c>
      <c r="I840">
        <v>362.01819999999998</v>
      </c>
      <c r="J840">
        <v>-205.994</v>
      </c>
      <c r="K840">
        <v>1.10341</v>
      </c>
      <c r="L840">
        <v>362.29199999999997</v>
      </c>
      <c r="M840">
        <v>0.96011480000000005</v>
      </c>
      <c r="N840">
        <v>0</v>
      </c>
      <c r="O840">
        <v>-0.27926200000000001</v>
      </c>
      <c r="P840">
        <v>0.93665319999999996</v>
      </c>
      <c r="Q840">
        <v>-2.1543369999999999E-2</v>
      </c>
      <c r="R840">
        <v>-0.34959509999999899</v>
      </c>
      <c r="S840">
        <v>2.7175449999999999</v>
      </c>
      <c r="T840">
        <v>-0.40474359999999998</v>
      </c>
      <c r="U840">
        <v>-1.27536</v>
      </c>
      <c r="V840">
        <v>7.4067079999999993E-2</v>
      </c>
      <c r="W840">
        <v>-7.9031880000000002E-3</v>
      </c>
      <c r="X840">
        <v>0.99722189999999999</v>
      </c>
      <c r="Y840">
        <v>0.15613859999999999</v>
      </c>
      <c r="Z840">
        <v>2.7352560000000001E-2</v>
      </c>
      <c r="AA840">
        <v>0.98735640000000002</v>
      </c>
      <c r="AB840">
        <v>25</v>
      </c>
      <c r="AC840">
        <v>0.51460000000002903</v>
      </c>
      <c r="AD840">
        <v>-0.10416110000000001</v>
      </c>
      <c r="AE840">
        <v>-0.27379999999999399</v>
      </c>
      <c r="AF840">
        <v>0.115494792169168</v>
      </c>
      <c r="AG840">
        <v>-0.10416110000000001</v>
      </c>
      <c r="AH840">
        <v>0.55293602561810995</v>
      </c>
      <c r="AI840">
        <v>100.447896865008</v>
      </c>
      <c r="AJ840">
        <v>78.201942272704102</v>
      </c>
      <c r="AK840">
        <v>0.57439257498487895</v>
      </c>
    </row>
    <row r="841" spans="1:37" x14ac:dyDescent="0.2">
      <c r="A841" t="str">
        <f>"20200111160114863"</f>
        <v>20200111160114863</v>
      </c>
      <c r="B841" t="str">
        <f>"1578729674851307"</f>
        <v>1578729674851307</v>
      </c>
      <c r="C841" t="s">
        <v>37</v>
      </c>
      <c r="D841">
        <v>6.204542</v>
      </c>
      <c r="E841">
        <v>0.5731311</v>
      </c>
      <c r="F841" t="s">
        <v>42</v>
      </c>
      <c r="G841">
        <v>-205.27029999999999</v>
      </c>
      <c r="H841">
        <v>0.99586629999999998</v>
      </c>
      <c r="I841">
        <v>361.950999999999</v>
      </c>
      <c r="J841">
        <v>-205.76130000000001</v>
      </c>
      <c r="K841">
        <v>1.1031120000000001</v>
      </c>
      <c r="L841">
        <v>362.22230000000002</v>
      </c>
      <c r="M841">
        <v>0.959586099999999</v>
      </c>
      <c r="N841">
        <v>0</v>
      </c>
      <c r="O841">
        <v>-0.28107349999999998</v>
      </c>
      <c r="P841">
        <v>0.93593210000000004</v>
      </c>
      <c r="Q841">
        <v>-2.0988199999999999E-2</v>
      </c>
      <c r="R841">
        <v>-0.35155520000000001</v>
      </c>
      <c r="S841">
        <v>2.7161559999999998</v>
      </c>
      <c r="T841">
        <v>-0.40368219999999999</v>
      </c>
      <c r="U841">
        <v>-1.279175</v>
      </c>
      <c r="V841">
        <v>7.4265230000000002E-2</v>
      </c>
      <c r="W841">
        <v>-7.3957900000000002E-3</v>
      </c>
      <c r="X841">
        <v>0.99721109999999902</v>
      </c>
      <c r="Y841">
        <v>0.155617899999999</v>
      </c>
      <c r="Z841">
        <v>2.7560100000000001E-2</v>
      </c>
      <c r="AA841">
        <v>0.9874328</v>
      </c>
      <c r="AB841">
        <v>25</v>
      </c>
      <c r="AC841">
        <v>0.49100000000001298</v>
      </c>
      <c r="AD841">
        <v>-0.1072457</v>
      </c>
      <c r="AE841">
        <v>-0.271300000000053</v>
      </c>
      <c r="AF841">
        <v>0.118026540101261</v>
      </c>
      <c r="AG841">
        <v>-0.1072457</v>
      </c>
      <c r="AH841">
        <v>0.52816050724594499</v>
      </c>
      <c r="AI841">
        <v>101.208935517935</v>
      </c>
      <c r="AJ841">
        <v>77.403236057827598</v>
      </c>
      <c r="AK841">
        <v>0.55171136090446604</v>
      </c>
    </row>
    <row r="842" spans="1:37" x14ac:dyDescent="0.2">
      <c r="A842" t="str">
        <f>"20200111160114878"</f>
        <v>20200111160114878</v>
      </c>
      <c r="B842" t="str">
        <f>"1578729674871803"</f>
        <v>1578729674871803</v>
      </c>
      <c r="C842" t="s">
        <v>37</v>
      </c>
      <c r="D842">
        <v>5.3662789999999996</v>
      </c>
      <c r="E842">
        <v>0.59037980000000001</v>
      </c>
      <c r="F842" t="s">
        <v>38</v>
      </c>
      <c r="G842">
        <v>-181.41970000000001</v>
      </c>
      <c r="H842" s="1">
        <v>-4.87959799999999E-6</v>
      </c>
      <c r="I842">
        <v>347.2783</v>
      </c>
      <c r="J842">
        <v>-205.59569999999999</v>
      </c>
      <c r="K842">
        <v>1.102911</v>
      </c>
      <c r="L842">
        <v>362.1721</v>
      </c>
      <c r="M842">
        <v>0.95913919999999997</v>
      </c>
      <c r="N842">
        <v>0</v>
      </c>
      <c r="O842">
        <v>-0.28259440000000002</v>
      </c>
      <c r="P842">
        <v>0.9352279</v>
      </c>
      <c r="Q842">
        <v>-2.1372829999999999E-2</v>
      </c>
      <c r="R842">
        <v>-0.35340149999999998</v>
      </c>
      <c r="S842">
        <v>2.602554</v>
      </c>
      <c r="T842">
        <v>-0.11794300000000001</v>
      </c>
      <c r="U842">
        <v>-1.5977779999999999</v>
      </c>
      <c r="V842">
        <v>7.4649359999999998E-2</v>
      </c>
      <c r="W842">
        <v>-7.8136030000000006E-3</v>
      </c>
      <c r="X842">
        <v>0.99717919999999904</v>
      </c>
      <c r="Y842">
        <v>0.26102370000000003</v>
      </c>
      <c r="Z842">
        <v>5.9924069999999999E-3</v>
      </c>
      <c r="AA842">
        <v>0.9653138</v>
      </c>
      <c r="AB842">
        <v>25</v>
      </c>
      <c r="AC842">
        <v>24.175999999999899</v>
      </c>
      <c r="AD842">
        <v>-1.1029158795980001</v>
      </c>
      <c r="AE842">
        <v>-14.893800000000001</v>
      </c>
      <c r="AF842">
        <v>7.4427139253664896</v>
      </c>
      <c r="AG842">
        <v>-1.1029158795980001</v>
      </c>
      <c r="AH842">
        <v>27.358415732175999</v>
      </c>
      <c r="AI842">
        <v>92.227672445130494</v>
      </c>
      <c r="AJ842">
        <v>74.781284868983803</v>
      </c>
      <c r="AK842">
        <v>28.374166514399899</v>
      </c>
    </row>
    <row r="843" spans="1:37" x14ac:dyDescent="0.2">
      <c r="A843" t="str">
        <f>"20200111160114893"</f>
        <v>20200111160114893</v>
      </c>
      <c r="B843" t="str">
        <f>"1578729674881564"</f>
        <v>1578729674881564</v>
      </c>
      <c r="C843" t="s">
        <v>37</v>
      </c>
      <c r="D843">
        <v>5.372293</v>
      </c>
      <c r="E843">
        <v>0.59965190000000002</v>
      </c>
      <c r="F843" t="s">
        <v>41</v>
      </c>
      <c r="G843">
        <v>-193.37690000000001</v>
      </c>
      <c r="H843" s="1">
        <v>-3.3634869999999999E-6</v>
      </c>
      <c r="I843">
        <v>353.9178</v>
      </c>
      <c r="J843">
        <v>-205.447</v>
      </c>
      <c r="K843">
        <v>1.102735</v>
      </c>
      <c r="L843">
        <v>362.1266</v>
      </c>
      <c r="M843">
        <v>0.95869519999999997</v>
      </c>
      <c r="N843">
        <v>0</v>
      </c>
      <c r="O843">
        <v>-0.28409669999999998</v>
      </c>
      <c r="P843">
        <v>0.93448759999999997</v>
      </c>
      <c r="Q843">
        <v>-2.1694209999999998E-2</v>
      </c>
      <c r="R843">
        <v>-0.35533480000000001</v>
      </c>
      <c r="S843">
        <v>2.551285</v>
      </c>
      <c r="T843">
        <v>-0.230288299999999</v>
      </c>
      <c r="U843">
        <v>-1.7234799999999999</v>
      </c>
      <c r="V843">
        <v>7.5146690000000002E-2</v>
      </c>
      <c r="W843">
        <v>-8.1641790000000006E-3</v>
      </c>
      <c r="X843">
        <v>0.99713909999999994</v>
      </c>
      <c r="Y843">
        <v>0.30120730000000001</v>
      </c>
      <c r="Z843">
        <v>1.0179290000000001E-2</v>
      </c>
      <c r="AA843">
        <v>0.95350429999999997</v>
      </c>
      <c r="AB843">
        <v>25</v>
      </c>
      <c r="AC843">
        <v>12.070099999999901</v>
      </c>
      <c r="AD843">
        <v>-1.1027383634870001</v>
      </c>
      <c r="AE843">
        <v>-8.2087999999999894</v>
      </c>
      <c r="AF843">
        <v>4.4158871054650701</v>
      </c>
      <c r="AG843">
        <v>-1.1027383634870001</v>
      </c>
      <c r="AH843">
        <v>13.826071446345701</v>
      </c>
      <c r="AI843">
        <v>94.344803976073194</v>
      </c>
      <c r="AJ843">
        <v>72.287120108128704</v>
      </c>
      <c r="AK843">
        <v>14.5559727420043</v>
      </c>
    </row>
    <row r="844" spans="1:37" x14ac:dyDescent="0.2">
      <c r="A844" t="str">
        <f>"20200111160114906"</f>
        <v>20200111160114906</v>
      </c>
      <c r="B844" t="str">
        <f>"1578729674902060"</f>
        <v>1578729674902060</v>
      </c>
      <c r="C844" t="s">
        <v>37</v>
      </c>
      <c r="D844">
        <v>6.1217199999999998</v>
      </c>
      <c r="E844">
        <v>0.60527989999999998</v>
      </c>
      <c r="F844" t="s">
        <v>41</v>
      </c>
      <c r="G844">
        <v>-194.3151</v>
      </c>
      <c r="H844" s="1">
        <v>-3.7113789999999998E-6</v>
      </c>
      <c r="I844">
        <v>354.19580000000002</v>
      </c>
      <c r="J844">
        <v>-205.29849999999999</v>
      </c>
      <c r="K844">
        <v>1.102571</v>
      </c>
      <c r="L844">
        <v>362.08069999999998</v>
      </c>
      <c r="M844">
        <v>0.95820490000000003</v>
      </c>
      <c r="N844">
        <v>0</v>
      </c>
      <c r="O844">
        <v>-0.28574539999999998</v>
      </c>
      <c r="P844">
        <v>0.93356799999999995</v>
      </c>
      <c r="Q844">
        <v>-2.2440269999999998E-2</v>
      </c>
      <c r="R844">
        <v>-0.35769770000000001</v>
      </c>
      <c r="S844">
        <v>2.521439</v>
      </c>
      <c r="T844">
        <v>-0.24977729999999901</v>
      </c>
      <c r="U844">
        <v>-1.796387</v>
      </c>
      <c r="V844">
        <v>7.5952179999999994E-2</v>
      </c>
      <c r="W844">
        <v>-8.9392889999999996E-3</v>
      </c>
      <c r="X844">
        <v>0.99707139999999905</v>
      </c>
      <c r="Y844">
        <v>0.32316609999999901</v>
      </c>
      <c r="Z844">
        <v>1.0201419999999999E-2</v>
      </c>
      <c r="AA844">
        <v>0.94628729999999905</v>
      </c>
      <c r="AB844">
        <v>25</v>
      </c>
      <c r="AC844">
        <v>10.9833999999999</v>
      </c>
      <c r="AD844">
        <v>-1.1025747113789901</v>
      </c>
      <c r="AE844">
        <v>-7.8848999999999503</v>
      </c>
      <c r="AF844">
        <v>4.3881386672720302</v>
      </c>
      <c r="AG844">
        <v>-1.1025747113789901</v>
      </c>
      <c r="AH844">
        <v>12.694237279617999</v>
      </c>
      <c r="AI844">
        <v>94.692890160378496</v>
      </c>
      <c r="AJ844">
        <v>70.930777184156696</v>
      </c>
      <c r="AK844">
        <v>13.476464375667</v>
      </c>
    </row>
    <row r="845" spans="1:37" x14ac:dyDescent="0.2">
      <c r="A845" t="str">
        <f>"20200111160114920"</f>
        <v>20200111160114920</v>
      </c>
      <c r="B845" t="str">
        <f>"1578729674911819"</f>
        <v>1578729674911819</v>
      </c>
      <c r="C845" t="s">
        <v>37</v>
      </c>
      <c r="D845">
        <v>5.3540900000000002</v>
      </c>
      <c r="E845">
        <v>0.6393934</v>
      </c>
      <c r="F845" t="s">
        <v>41</v>
      </c>
      <c r="G845">
        <v>-194.93950000000001</v>
      </c>
      <c r="H845" s="1">
        <v>-3.9755100000000002E-6</v>
      </c>
      <c r="I845">
        <v>354.44560000000001</v>
      </c>
      <c r="J845">
        <v>-205.1628</v>
      </c>
      <c r="K845">
        <v>1.1024350000000001</v>
      </c>
      <c r="L845">
        <v>362.03840000000002</v>
      </c>
      <c r="M845">
        <v>0.9577118</v>
      </c>
      <c r="N845">
        <v>0</v>
      </c>
      <c r="O845">
        <v>-0.28739409999999999</v>
      </c>
      <c r="P845">
        <v>0.93247839999999904</v>
      </c>
      <c r="Q845">
        <v>-2.438945E-2</v>
      </c>
      <c r="R845">
        <v>-0.360402</v>
      </c>
      <c r="S845">
        <v>2.500839</v>
      </c>
      <c r="T845">
        <v>-0.26617970000000002</v>
      </c>
      <c r="U845">
        <v>-1.843262</v>
      </c>
      <c r="V845">
        <v>7.7127580000000001E-2</v>
      </c>
      <c r="W845">
        <v>-1.091522E-2</v>
      </c>
      <c r="X845">
        <v>0.99696149999999994</v>
      </c>
      <c r="Y845">
        <v>0.33671440000000002</v>
      </c>
      <c r="Z845">
        <v>1.037446E-2</v>
      </c>
      <c r="AA845">
        <v>0.94154969999999905</v>
      </c>
      <c r="AB845">
        <v>25</v>
      </c>
      <c r="AC845">
        <v>10.223299999999901</v>
      </c>
      <c r="AD845">
        <v>-1.1024389755099999</v>
      </c>
      <c r="AE845">
        <v>-7.5928000000000102</v>
      </c>
      <c r="AF845">
        <v>4.3017756834045899</v>
      </c>
      <c r="AG845">
        <v>-1.1024389755099999</v>
      </c>
      <c r="AH845">
        <v>11.885180391098601</v>
      </c>
      <c r="AI845">
        <v>94.984730853325303</v>
      </c>
      <c r="AJ845">
        <v>70.102555498635198</v>
      </c>
      <c r="AK845">
        <v>12.6877168416547</v>
      </c>
    </row>
    <row r="846" spans="1:37" x14ac:dyDescent="0.2">
      <c r="A846" t="str">
        <f>"20200111160114953"</f>
        <v>20200111160114953</v>
      </c>
      <c r="B846" t="str">
        <f>"1578729674942075"</f>
        <v>1578729674942075</v>
      </c>
      <c r="C846" t="s">
        <v>37</v>
      </c>
      <c r="D846">
        <v>5.8411660000000003</v>
      </c>
      <c r="E846">
        <v>0.63555200000000001</v>
      </c>
      <c r="F846" t="s">
        <v>51</v>
      </c>
      <c r="G846">
        <v>-168.40099999999899</v>
      </c>
      <c r="H846">
        <v>2.9805919999999899</v>
      </c>
      <c r="I846">
        <v>329.18810000000002</v>
      </c>
      <c r="J846">
        <v>-204.81280000000001</v>
      </c>
      <c r="K846">
        <v>1.1021219999999901</v>
      </c>
      <c r="L846">
        <v>361.92759999999998</v>
      </c>
      <c r="M846">
        <v>0.95630210000000004</v>
      </c>
      <c r="N846">
        <v>0</v>
      </c>
      <c r="O846">
        <v>-0.29204980000000003</v>
      </c>
      <c r="P846">
        <v>0.92926540000000002</v>
      </c>
      <c r="Q846">
        <v>-2.6479329999999999E-2</v>
      </c>
      <c r="R846">
        <v>-0.36846329999999999</v>
      </c>
      <c r="S846">
        <v>2.393707</v>
      </c>
      <c r="T846">
        <v>0.1222948</v>
      </c>
      <c r="U846">
        <v>-2.139008</v>
      </c>
      <c r="V846">
        <v>8.0906389999999995E-2</v>
      </c>
      <c r="W846">
        <v>-1.3074250000000001E-2</v>
      </c>
      <c r="X846">
        <v>0.99663599999999997</v>
      </c>
      <c r="Y846">
        <v>0.41938320000000001</v>
      </c>
      <c r="Z846">
        <v>-3.116602E-3</v>
      </c>
      <c r="AA846">
        <v>0.90780400000000006</v>
      </c>
      <c r="AB846">
        <v>25</v>
      </c>
      <c r="AC846">
        <v>36.411799999999999</v>
      </c>
      <c r="AD846">
        <v>1.8784700000000001</v>
      </c>
      <c r="AE846">
        <v>-32.7394999999999</v>
      </c>
      <c r="AF846">
        <v>20.6464062516533</v>
      </c>
      <c r="AG846">
        <v>1.8784700000000001</v>
      </c>
      <c r="AH846">
        <v>44.321306365720503</v>
      </c>
      <c r="AI846">
        <v>87.799835516823094</v>
      </c>
      <c r="AJ846">
        <v>65.022258543440003</v>
      </c>
      <c r="AK846">
        <v>48.930368265661599</v>
      </c>
    </row>
    <row r="847" spans="1:37" x14ac:dyDescent="0.2">
      <c r="A847" t="str">
        <f>"20200111160114976"</f>
        <v>20200111160114976</v>
      </c>
      <c r="B847" t="str">
        <f>"1578729674971355"</f>
        <v>1578729674971355</v>
      </c>
      <c r="C847" t="s">
        <v>37</v>
      </c>
      <c r="D847">
        <v>5.3372479999999998</v>
      </c>
      <c r="E847">
        <v>0.63506049999999903</v>
      </c>
      <c r="F847" t="s">
        <v>51</v>
      </c>
      <c r="G847">
        <v>-168.40099999999899</v>
      </c>
      <c r="H847">
        <v>3.0283180000000001</v>
      </c>
      <c r="I847">
        <v>329.37270000000001</v>
      </c>
      <c r="J847">
        <v>-204.57650000000001</v>
      </c>
      <c r="K847">
        <v>1.1019509999999999</v>
      </c>
      <c r="L847">
        <v>361.85120000000001</v>
      </c>
      <c r="M847">
        <v>0.95523230000000003</v>
      </c>
      <c r="N847">
        <v>0</v>
      </c>
      <c r="O847">
        <v>-0.2955295</v>
      </c>
      <c r="P847">
        <v>0.92656079999999996</v>
      </c>
      <c r="Q847">
        <v>-2.7205010000000002E-2</v>
      </c>
      <c r="R847">
        <v>-0.3751603</v>
      </c>
      <c r="S847">
        <v>2.3860779999999999</v>
      </c>
      <c r="T847">
        <v>0.1262248</v>
      </c>
      <c r="U847">
        <v>-2.1333310000000001</v>
      </c>
      <c r="V847">
        <v>8.4466009999999994E-2</v>
      </c>
      <c r="W847">
        <v>-1.384969E-2</v>
      </c>
      <c r="X847">
        <v>0.9963301</v>
      </c>
      <c r="Y847">
        <v>0.4163153</v>
      </c>
      <c r="Z847">
        <v>-3.4392730000000001E-3</v>
      </c>
      <c r="AA847">
        <v>0.90921379999999996</v>
      </c>
      <c r="AB847">
        <v>25</v>
      </c>
      <c r="AC847">
        <v>36.1755</v>
      </c>
      <c r="AD847">
        <v>1.9263669999999999</v>
      </c>
      <c r="AE847">
        <v>-32.478499999999997</v>
      </c>
      <c r="AF847">
        <v>20.303674899695299</v>
      </c>
      <c r="AG847">
        <v>1.9263669999999999</v>
      </c>
      <c r="AH847">
        <v>44.0894115516775</v>
      </c>
      <c r="AI847">
        <v>87.727334436544496</v>
      </c>
      <c r="AJ847">
        <v>65.273392558034203</v>
      </c>
      <c r="AK847">
        <v>48.578043550810101</v>
      </c>
    </row>
    <row r="848" spans="1:37" x14ac:dyDescent="0.2">
      <c r="A848" t="str">
        <f>"20200111160114989"</f>
        <v>20200111160114989</v>
      </c>
      <c r="B848" t="str">
        <f>"1578729674982092"</f>
        <v>1578729674982092</v>
      </c>
      <c r="C848" t="s">
        <v>37</v>
      </c>
      <c r="D848">
        <v>5.3723640000000001</v>
      </c>
      <c r="E848">
        <v>0.63375159999999997</v>
      </c>
      <c r="F848" t="s">
        <v>41</v>
      </c>
      <c r="G848">
        <v>-196.53579999999999</v>
      </c>
      <c r="H848" s="1">
        <v>-4.4661000000000003E-6</v>
      </c>
      <c r="I848">
        <v>354.72649999999999</v>
      </c>
      <c r="J848">
        <v>-204.42760000000001</v>
      </c>
      <c r="K848">
        <v>1.1018520000000001</v>
      </c>
      <c r="L848">
        <v>361.80259999999998</v>
      </c>
      <c r="M848">
        <v>0.95452269999999995</v>
      </c>
      <c r="N848">
        <v>0</v>
      </c>
      <c r="O848">
        <v>-0.29781340000000001</v>
      </c>
      <c r="P848">
        <v>0.92486569999999901</v>
      </c>
      <c r="Q848">
        <v>-2.7439620000000001E-2</v>
      </c>
      <c r="R848">
        <v>-0.3793028</v>
      </c>
      <c r="S848">
        <v>2.375839</v>
      </c>
      <c r="T848">
        <v>-0.32560159999999899</v>
      </c>
      <c r="U848">
        <v>-2.105194</v>
      </c>
      <c r="V848">
        <v>8.6537890000000006E-2</v>
      </c>
      <c r="W848">
        <v>-1.411392E-2</v>
      </c>
      <c r="X848">
        <v>0.99614859999999905</v>
      </c>
      <c r="Y848">
        <v>0.40958270000000002</v>
      </c>
      <c r="Z848">
        <v>9.5522479999999993E-3</v>
      </c>
      <c r="AA848">
        <v>0.91222300000000001</v>
      </c>
      <c r="AB848">
        <v>24</v>
      </c>
      <c r="AC848">
        <v>7.8918000000000097</v>
      </c>
      <c r="AD848">
        <v>-1.1018564661000001</v>
      </c>
      <c r="AE848">
        <v>-7.0760999999999896</v>
      </c>
      <c r="AF848">
        <v>4.3573544818009102</v>
      </c>
      <c r="AG848">
        <v>-1.1018564661000001</v>
      </c>
      <c r="AH848">
        <v>9.5381226814868292</v>
      </c>
      <c r="AI848">
        <v>95.998393617039795</v>
      </c>
      <c r="AJ848">
        <v>65.447389451427796</v>
      </c>
      <c r="AK848">
        <v>10.544022479065999</v>
      </c>
    </row>
    <row r="849" spans="1:37" x14ac:dyDescent="0.2">
      <c r="A849" t="str">
        <f>"20200111160115009"</f>
        <v>20200111160115009</v>
      </c>
      <c r="B849" t="str">
        <f>"1578729675001611"</f>
        <v>1578729675001611</v>
      </c>
      <c r="C849" t="s">
        <v>37</v>
      </c>
      <c r="D849">
        <v>5.3927350000000001</v>
      </c>
      <c r="E849">
        <v>0.63497360000000003</v>
      </c>
      <c r="F849" t="s">
        <v>41</v>
      </c>
      <c r="G849">
        <v>-196.4693</v>
      </c>
      <c r="H849" s="1">
        <v>-4.4541030000000001E-6</v>
      </c>
      <c r="I849">
        <v>354.73239999999998</v>
      </c>
      <c r="J849">
        <v>-204.22630000000001</v>
      </c>
      <c r="K849">
        <v>1.1017319999999999</v>
      </c>
      <c r="L849">
        <v>361.73590000000002</v>
      </c>
      <c r="M849">
        <v>0.95351180000000002</v>
      </c>
      <c r="N849">
        <v>0</v>
      </c>
      <c r="O849">
        <v>-0.30103459999999899</v>
      </c>
      <c r="P849">
        <v>0.92184999999999995</v>
      </c>
      <c r="Q849">
        <v>-2.784242E-2</v>
      </c>
      <c r="R849">
        <v>-0.38654549999999999</v>
      </c>
      <c r="S849">
        <v>2.3703310000000002</v>
      </c>
      <c r="T849">
        <v>-0.32817879999999999</v>
      </c>
      <c r="U849">
        <v>-2.105804</v>
      </c>
      <c r="V849">
        <v>9.0983289999999994E-2</v>
      </c>
      <c r="W849">
        <v>-1.456811E-2</v>
      </c>
      <c r="X849">
        <v>0.99574580000000001</v>
      </c>
      <c r="Y849">
        <v>0.40769870000000002</v>
      </c>
      <c r="Z849">
        <v>1.009967E-2</v>
      </c>
      <c r="AA849">
        <v>0.91306069999999995</v>
      </c>
      <c r="AB849">
        <v>24</v>
      </c>
      <c r="AC849">
        <v>7.7569999999999997</v>
      </c>
      <c r="AD849">
        <v>-1.1017364541029999</v>
      </c>
      <c r="AE849">
        <v>-7.00350000000003</v>
      </c>
      <c r="AF849">
        <v>4.2954765280124798</v>
      </c>
      <c r="AG849">
        <v>-1.1017364541029999</v>
      </c>
      <c r="AH849">
        <v>9.4011262321157503</v>
      </c>
      <c r="AI849">
        <v>96.084323657080802</v>
      </c>
      <c r="AJ849">
        <v>65.443825142040495</v>
      </c>
      <c r="AK849">
        <v>10.3945233776821</v>
      </c>
    </row>
    <row r="850" spans="1:37" x14ac:dyDescent="0.2">
      <c r="A850" t="str">
        <f>"20200111160115030"</f>
        <v>20200111160115030</v>
      </c>
      <c r="B850" t="str">
        <f>"1578729675022107"</f>
        <v>1578729675022107</v>
      </c>
      <c r="C850" t="s">
        <v>37</v>
      </c>
      <c r="D850">
        <v>5.3434330000000001</v>
      </c>
      <c r="E850">
        <v>0.63865280000000002</v>
      </c>
      <c r="F850" t="s">
        <v>51</v>
      </c>
      <c r="G850">
        <v>-168.4016</v>
      </c>
      <c r="H850">
        <v>4.6423329999999998</v>
      </c>
      <c r="I850">
        <v>328.320999999999</v>
      </c>
      <c r="J850">
        <v>-204.00110000000001</v>
      </c>
      <c r="K850">
        <v>1.10161</v>
      </c>
      <c r="L850">
        <v>361.66019999999997</v>
      </c>
      <c r="M850">
        <v>0.9523163</v>
      </c>
      <c r="N850">
        <v>0</v>
      </c>
      <c r="O850">
        <v>-0.30479459999999903</v>
      </c>
      <c r="P850">
        <v>0.91774599999999995</v>
      </c>
      <c r="Q850">
        <v>-2.889916E-2</v>
      </c>
      <c r="R850">
        <v>-0.39611570000000002</v>
      </c>
      <c r="S850">
        <v>2.3444060000000002</v>
      </c>
      <c r="T850">
        <v>0.23170089999999999</v>
      </c>
      <c r="U850">
        <v>-2.1867070000000002</v>
      </c>
      <c r="V850">
        <v>9.7408939999999999E-2</v>
      </c>
      <c r="W850">
        <v>-1.5694719999999999E-2</v>
      </c>
      <c r="X850">
        <v>0.99512069999999997</v>
      </c>
      <c r="Y850">
        <v>0.42639569999999999</v>
      </c>
      <c r="Z850">
        <v>-6.6110040000000002E-3</v>
      </c>
      <c r="AA850">
        <v>0.9045126</v>
      </c>
      <c r="AB850">
        <v>24</v>
      </c>
      <c r="AC850">
        <v>35.599499999999999</v>
      </c>
      <c r="AD850">
        <v>3.5407229999999998</v>
      </c>
      <c r="AE850">
        <v>-33.339199999999998</v>
      </c>
      <c r="AF850">
        <v>20.7913816168438</v>
      </c>
      <c r="AG850">
        <v>3.5407229999999998</v>
      </c>
      <c r="AH850">
        <v>43.836839476348501</v>
      </c>
      <c r="AI850">
        <v>85.826054776864297</v>
      </c>
      <c r="AJ850">
        <v>64.625474762663998</v>
      </c>
      <c r="AK850">
        <v>48.646549355273997</v>
      </c>
    </row>
    <row r="851" spans="1:37" x14ac:dyDescent="0.2">
      <c r="A851" t="str">
        <f>"20200111160115065"</f>
        <v>20200111160115065</v>
      </c>
      <c r="B851" t="str">
        <f>"1578729675062124"</f>
        <v>1578729675062124</v>
      </c>
      <c r="C851" t="s">
        <v>37</v>
      </c>
      <c r="D851">
        <v>5.3804819999999998</v>
      </c>
      <c r="E851">
        <v>0.6286252</v>
      </c>
      <c r="F851" t="s">
        <v>51</v>
      </c>
      <c r="G851">
        <v>-168.40110000000001</v>
      </c>
      <c r="H851">
        <v>3.2148240000000001</v>
      </c>
      <c r="I851">
        <v>327.30549999999999</v>
      </c>
      <c r="J851">
        <v>-203.65190000000001</v>
      </c>
      <c r="K851">
        <v>1.1014539999999999</v>
      </c>
      <c r="L851">
        <v>361.5403</v>
      </c>
      <c r="M851">
        <v>0.95033709999999905</v>
      </c>
      <c r="N851">
        <v>0</v>
      </c>
      <c r="O851">
        <v>-0.31091029999999997</v>
      </c>
      <c r="P851">
        <v>0.91175779999999995</v>
      </c>
      <c r="Q851">
        <v>-2.9768119999999999E-2</v>
      </c>
      <c r="R851">
        <v>-0.40964809999999902</v>
      </c>
      <c r="S851">
        <v>2.31073</v>
      </c>
      <c r="T851">
        <v>0.13716500000000001</v>
      </c>
      <c r="U851">
        <v>-2.229889</v>
      </c>
      <c r="V851">
        <v>0.1057232</v>
      </c>
      <c r="W851">
        <v>-1.6659E-2</v>
      </c>
      <c r="X851">
        <v>0.99425599999999903</v>
      </c>
      <c r="Y851">
        <v>0.43612399999999901</v>
      </c>
      <c r="Z851">
        <v>-3.960636E-3</v>
      </c>
      <c r="AA851">
        <v>0.89987779999999995</v>
      </c>
      <c r="AB851">
        <v>24</v>
      </c>
      <c r="AC851">
        <v>35.250799999999998</v>
      </c>
      <c r="AD851">
        <v>2.1133700000000002</v>
      </c>
      <c r="AE851">
        <v>-34.2348</v>
      </c>
      <c r="AF851">
        <v>21.537021982350598</v>
      </c>
      <c r="AG851">
        <v>2.1133700000000002</v>
      </c>
      <c r="AH851">
        <v>44.066871607695496</v>
      </c>
      <c r="AI851">
        <v>87.532790898117696</v>
      </c>
      <c r="AJ851">
        <v>63.953621960074003</v>
      </c>
      <c r="AK851">
        <v>49.093775796064698</v>
      </c>
    </row>
    <row r="852" spans="1:37" x14ac:dyDescent="0.2">
      <c r="A852" t="str">
        <f>"20200111160115087"</f>
        <v>20200111160115087</v>
      </c>
      <c r="B852" t="str">
        <f>"1578729675081643"</f>
        <v>1578729675081643</v>
      </c>
      <c r="C852" t="s">
        <v>37</v>
      </c>
      <c r="D852">
        <v>5.3745129999999897</v>
      </c>
      <c r="E852">
        <v>0.62776650000000001</v>
      </c>
      <c r="F852" t="s">
        <v>41</v>
      </c>
      <c r="G852">
        <v>-196.2826</v>
      </c>
      <c r="H852" s="1">
        <v>-4.4069509999999996E-6</v>
      </c>
      <c r="I852">
        <v>354.72</v>
      </c>
      <c r="J852">
        <v>-203.41929999999999</v>
      </c>
      <c r="K852">
        <v>1.1013569999999999</v>
      </c>
      <c r="L852">
        <v>361.459</v>
      </c>
      <c r="M852">
        <v>0.94893729999999998</v>
      </c>
      <c r="N852">
        <v>0</v>
      </c>
      <c r="O852">
        <v>-0.3151563</v>
      </c>
      <c r="P852">
        <v>0.90786650000000002</v>
      </c>
      <c r="Q852">
        <v>-2.9526960000000001E-2</v>
      </c>
      <c r="R852">
        <v>-0.41821899999999901</v>
      </c>
      <c r="S852">
        <v>2.3160099999999999</v>
      </c>
      <c r="T852">
        <v>-0.34616779999999903</v>
      </c>
      <c r="U852">
        <v>-2.143494</v>
      </c>
      <c r="V852">
        <v>0.1106365</v>
      </c>
      <c r="W852">
        <v>-1.6476830000000001E-2</v>
      </c>
      <c r="X852">
        <v>0.9937243</v>
      </c>
      <c r="Y852">
        <v>0.41270569999999901</v>
      </c>
      <c r="Z852">
        <v>1.2052780000000001E-2</v>
      </c>
      <c r="AA852">
        <v>0.9107847</v>
      </c>
      <c r="AB852">
        <v>24</v>
      </c>
      <c r="AC852">
        <v>7.1366999999999896</v>
      </c>
      <c r="AD852">
        <v>-1.1013614069509901</v>
      </c>
      <c r="AE852">
        <v>-6.7389999999999697</v>
      </c>
      <c r="AF852">
        <v>4.09456545467234</v>
      </c>
      <c r="AG852">
        <v>-1.1013614069509901</v>
      </c>
      <c r="AH852">
        <v>8.7863647328393402</v>
      </c>
      <c r="AI852">
        <v>96.482006876176001</v>
      </c>
      <c r="AJ852">
        <v>65.013840669520903</v>
      </c>
      <c r="AK852">
        <v>9.7559555364813004</v>
      </c>
    </row>
    <row r="853" spans="1:37" x14ac:dyDescent="0.2">
      <c r="A853" t="str">
        <f>"20200111160115109"</f>
        <v>20200111160115109</v>
      </c>
      <c r="B853" t="str">
        <f>"1578729675101163"</f>
        <v>1578729675101163</v>
      </c>
      <c r="C853" t="s">
        <v>37</v>
      </c>
      <c r="D853">
        <v>5.5534520000000001</v>
      </c>
      <c r="E853">
        <v>0.62645280000000003</v>
      </c>
      <c r="F853" t="s">
        <v>41</v>
      </c>
      <c r="G853">
        <v>-196.10319999999999</v>
      </c>
      <c r="H853" s="1">
        <v>-4.3050549999999999E-6</v>
      </c>
      <c r="I853">
        <v>354.58760000000001</v>
      </c>
      <c r="J853">
        <v>-203.19069999999999</v>
      </c>
      <c r="K853">
        <v>1.1012599999999999</v>
      </c>
      <c r="L853">
        <v>361.37759999999997</v>
      </c>
      <c r="M853">
        <v>0.94748519999999903</v>
      </c>
      <c r="N853">
        <v>0</v>
      </c>
      <c r="O853">
        <v>-0.31949509999999998</v>
      </c>
      <c r="P853">
        <v>0.9039507</v>
      </c>
      <c r="Q853">
        <v>-2.9411380000000001E-2</v>
      </c>
      <c r="R853">
        <v>-0.42662470000000002</v>
      </c>
      <c r="S853">
        <v>2.2986599999999999</v>
      </c>
      <c r="T853">
        <v>-0.34603879999999998</v>
      </c>
      <c r="U853">
        <v>-2.1589049999999999</v>
      </c>
      <c r="V853">
        <v>0.1153028</v>
      </c>
      <c r="W853">
        <v>-1.6421599999999901E-2</v>
      </c>
      <c r="X853">
        <v>0.99319460000000004</v>
      </c>
      <c r="Y853">
        <v>0.415214999999999</v>
      </c>
      <c r="Z853">
        <v>1.24158999999999E-2</v>
      </c>
      <c r="AA853">
        <v>0.90963859999999996</v>
      </c>
      <c r="AB853">
        <v>24</v>
      </c>
      <c r="AC853">
        <v>7.0875000000000004</v>
      </c>
      <c r="AD853">
        <v>-1.1012643050549999</v>
      </c>
      <c r="AE853">
        <v>-6.7899999999999601</v>
      </c>
      <c r="AF853">
        <v>4.1175727421250201</v>
      </c>
      <c r="AG853">
        <v>-1.1012643050549999</v>
      </c>
      <c r="AH853">
        <v>8.7750687225795208</v>
      </c>
      <c r="AI853">
        <v>96.481762907450502</v>
      </c>
      <c r="AJ853">
        <v>64.862368800054895</v>
      </c>
      <c r="AK853">
        <v>9.7554610061376703</v>
      </c>
    </row>
    <row r="854" spans="1:37" x14ac:dyDescent="0.2">
      <c r="A854" t="str">
        <f>"20200111160115132"</f>
        <v>20200111160115132</v>
      </c>
      <c r="B854" t="str">
        <f>"1578729675121660"</f>
        <v>1578729675121660</v>
      </c>
      <c r="C854" t="s">
        <v>37</v>
      </c>
      <c r="D854">
        <v>5.6146659999999997</v>
      </c>
      <c r="E854">
        <v>0.62354730000000003</v>
      </c>
      <c r="F854" t="s">
        <v>41</v>
      </c>
      <c r="G854">
        <v>-195.93559999999999</v>
      </c>
      <c r="H854" s="1">
        <v>-4.2136179999999998E-6</v>
      </c>
      <c r="I854">
        <v>354.47980000000001</v>
      </c>
      <c r="J854">
        <v>-202.9631</v>
      </c>
      <c r="K854">
        <v>1.1011489999999999</v>
      </c>
      <c r="L854">
        <v>361.29520000000002</v>
      </c>
      <c r="M854">
        <v>0.94595379999999996</v>
      </c>
      <c r="N854">
        <v>0</v>
      </c>
      <c r="O854">
        <v>-0.32400029999999902</v>
      </c>
      <c r="P854">
        <v>0.89988699999999999</v>
      </c>
      <c r="Q854">
        <v>-2.862582E-2</v>
      </c>
      <c r="R854">
        <v>-0.43518269999999998</v>
      </c>
      <c r="S854">
        <v>2.2830659999999998</v>
      </c>
      <c r="T854">
        <v>-0.3465493</v>
      </c>
      <c r="U854">
        <v>-2.1706240000000001</v>
      </c>
      <c r="V854">
        <v>0.1199915</v>
      </c>
      <c r="W854">
        <v>-1.570057E-2</v>
      </c>
      <c r="X854">
        <v>0.9926507</v>
      </c>
      <c r="Y854">
        <v>0.41644880000000001</v>
      </c>
      <c r="Z854">
        <v>1.290375E-2</v>
      </c>
      <c r="AA854">
        <v>0.90906759999999998</v>
      </c>
      <c r="AB854">
        <v>24</v>
      </c>
      <c r="AC854">
        <v>7.0274999999999999</v>
      </c>
      <c r="AD854">
        <v>-1.101153213618</v>
      </c>
      <c r="AE854">
        <v>-6.8154000000000101</v>
      </c>
      <c r="AF854">
        <v>4.1184407772678098</v>
      </c>
      <c r="AG854">
        <v>-1.101153213618</v>
      </c>
      <c r="AH854">
        <v>8.7460883853011495</v>
      </c>
      <c r="AI854">
        <v>96.4983022514498</v>
      </c>
      <c r="AJ854">
        <v>64.784748502799104</v>
      </c>
      <c r="AK854">
        <v>9.7297561572334992</v>
      </c>
    </row>
    <row r="855" spans="1:37" x14ac:dyDescent="0.2">
      <c r="A855" t="str">
        <f>"20200111160115153"</f>
        <v>20200111160115153</v>
      </c>
      <c r="B855" t="str">
        <f>"1578729675141179"</f>
        <v>1578729675141179</v>
      </c>
      <c r="C855" t="s">
        <v>37</v>
      </c>
      <c r="D855">
        <v>5.6691779999999996</v>
      </c>
      <c r="E855">
        <v>0.61955749999999998</v>
      </c>
      <c r="F855" t="s">
        <v>41</v>
      </c>
      <c r="G855">
        <v>-195.9016</v>
      </c>
      <c r="H855" s="1">
        <v>-4.241709E-6</v>
      </c>
      <c r="I855">
        <v>354.55059999999997</v>
      </c>
      <c r="J855">
        <v>-202.73750000000001</v>
      </c>
      <c r="K855">
        <v>1.1010530000000001</v>
      </c>
      <c r="L855">
        <v>361.21199999999999</v>
      </c>
      <c r="M855">
        <v>0.94436409999999904</v>
      </c>
      <c r="N855">
        <v>0</v>
      </c>
      <c r="O855">
        <v>-0.32860470000000003</v>
      </c>
      <c r="P855">
        <v>0.89639009999999997</v>
      </c>
      <c r="Q855">
        <v>-2.742489E-2</v>
      </c>
      <c r="R855">
        <v>-0.442417</v>
      </c>
      <c r="S855">
        <v>2.27270499999999</v>
      </c>
      <c r="T855">
        <v>-0.354402299999999</v>
      </c>
      <c r="U855">
        <v>-2.170715</v>
      </c>
      <c r="V855">
        <v>0.12314310000000001</v>
      </c>
      <c r="W855">
        <v>-1.45492E-2</v>
      </c>
      <c r="X855">
        <v>0.99228229999999995</v>
      </c>
      <c r="Y855">
        <v>0.41411340000000002</v>
      </c>
      <c r="Z855">
        <v>1.3924260000000001E-2</v>
      </c>
      <c r="AA855">
        <v>0.91011880000000001</v>
      </c>
      <c r="AB855">
        <v>24</v>
      </c>
      <c r="AC855">
        <v>6.8358999999999996</v>
      </c>
      <c r="AD855">
        <v>-1.1010572417090001</v>
      </c>
      <c r="AE855">
        <v>-6.6614000000000102</v>
      </c>
      <c r="AF855">
        <v>3.9917546693394002</v>
      </c>
      <c r="AG855">
        <v>-1.1010572417090001</v>
      </c>
      <c r="AH855">
        <v>8.5318563249589694</v>
      </c>
      <c r="AI855">
        <v>96.667131542553904</v>
      </c>
      <c r="AJ855">
        <v>64.926764107661299</v>
      </c>
      <c r="AK855">
        <v>9.4836177031476296</v>
      </c>
    </row>
    <row r="856" spans="1:37" x14ac:dyDescent="0.2">
      <c r="A856" t="str">
        <f>"20200111160115177"</f>
        <v>20200111160115177</v>
      </c>
      <c r="B856" t="str">
        <f>"1578729675171436"</f>
        <v>1578729675171436</v>
      </c>
      <c r="C856" t="s">
        <v>37</v>
      </c>
      <c r="D856">
        <v>5.2947689999999996</v>
      </c>
      <c r="E856">
        <v>0.61986430000000003</v>
      </c>
      <c r="F856" t="s">
        <v>41</v>
      </c>
      <c r="G856">
        <v>-195.91290000000001</v>
      </c>
      <c r="H856" s="1">
        <v>-4.3252109999999998E-6</v>
      </c>
      <c r="I856">
        <v>354.72050000000002</v>
      </c>
      <c r="J856">
        <v>-202.50139999999999</v>
      </c>
      <c r="K856">
        <v>1.1009599999999999</v>
      </c>
      <c r="L856">
        <v>361.12349999999998</v>
      </c>
      <c r="M856">
        <v>0.94261969999999995</v>
      </c>
      <c r="N856">
        <v>0</v>
      </c>
      <c r="O856">
        <v>-0.3335748</v>
      </c>
      <c r="P856">
        <v>0.89276369999999905</v>
      </c>
      <c r="Q856">
        <v>-2.5905089999999999E-2</v>
      </c>
      <c r="R856">
        <v>-0.44977979999999901</v>
      </c>
      <c r="S856">
        <v>2.2698969999999998</v>
      </c>
      <c r="T856">
        <v>-0.3662183</v>
      </c>
      <c r="U856">
        <v>-2.159119</v>
      </c>
      <c r="V856">
        <v>0.12607579999999999</v>
      </c>
      <c r="W856">
        <v>-1.307704E-2</v>
      </c>
      <c r="X856">
        <v>0.99193439999999999</v>
      </c>
      <c r="Y856">
        <v>0.40746520000000003</v>
      </c>
      <c r="Z856">
        <v>1.547249E-2</v>
      </c>
      <c r="AA856">
        <v>0.91308959999999995</v>
      </c>
      <c r="AB856">
        <v>24</v>
      </c>
      <c r="AC856">
        <v>6.5884999999999803</v>
      </c>
      <c r="AD856">
        <v>-1.100964325211</v>
      </c>
      <c r="AE856">
        <v>-6.4029999999999596</v>
      </c>
      <c r="AF856">
        <v>3.78387414477332</v>
      </c>
      <c r="AG856">
        <v>-1.100964325211</v>
      </c>
      <c r="AH856">
        <v>8.2289750646701201</v>
      </c>
      <c r="AI856">
        <v>96.930653406310498</v>
      </c>
      <c r="AJ856">
        <v>65.305928229763694</v>
      </c>
      <c r="AK856">
        <v>9.12391673591085</v>
      </c>
    </row>
    <row r="857" spans="1:37" x14ac:dyDescent="0.2">
      <c r="A857" t="str">
        <f>"20200111160115198"</f>
        <v>20200111160115198</v>
      </c>
      <c r="B857" t="str">
        <f>"1578729675191931"</f>
        <v>1578729675191931</v>
      </c>
      <c r="C857" t="s">
        <v>37</v>
      </c>
      <c r="D857">
        <v>5.3114339999999904</v>
      </c>
      <c r="E857">
        <v>0.62008759999999996</v>
      </c>
      <c r="F857" t="s">
        <v>41</v>
      </c>
      <c r="G857">
        <v>-195.51830000000001</v>
      </c>
      <c r="H857" s="1">
        <v>-4.0592099999999999E-6</v>
      </c>
      <c r="I857">
        <v>354.35680000000002</v>
      </c>
      <c r="J857">
        <v>-202.27709999999999</v>
      </c>
      <c r="K857">
        <v>1.100873</v>
      </c>
      <c r="L857">
        <v>361.03789999999998</v>
      </c>
      <c r="M857">
        <v>0.94088039999999995</v>
      </c>
      <c r="N857">
        <v>0</v>
      </c>
      <c r="O857">
        <v>-0.33844940000000001</v>
      </c>
      <c r="P857">
        <v>0.88904509999999903</v>
      </c>
      <c r="Q857">
        <v>-2.7050459999999998E-2</v>
      </c>
      <c r="R857">
        <v>-0.45701989999999998</v>
      </c>
      <c r="S857">
        <v>2.251099</v>
      </c>
      <c r="T857">
        <v>-0.3549098</v>
      </c>
      <c r="U857">
        <v>-2.181305</v>
      </c>
      <c r="V857">
        <v>0.129</v>
      </c>
      <c r="W857">
        <v>-1.427019E-2</v>
      </c>
      <c r="X857">
        <v>0.99154189999999998</v>
      </c>
      <c r="Y857">
        <v>0.41122969999999998</v>
      </c>
      <c r="Z857">
        <v>1.53521E-2</v>
      </c>
      <c r="AA857">
        <v>0.9114025</v>
      </c>
      <c r="AB857">
        <v>24</v>
      </c>
      <c r="AC857">
        <v>6.7587999999999804</v>
      </c>
      <c r="AD857">
        <v>-1.1008770592099999</v>
      </c>
      <c r="AE857">
        <v>-6.6810999999999501</v>
      </c>
      <c r="AF857">
        <v>3.9460466389756799</v>
      </c>
      <c r="AG857">
        <v>-1.1008770592099999</v>
      </c>
      <c r="AH857">
        <v>8.5071298370256905</v>
      </c>
      <c r="AI857">
        <v>96.6954345009257</v>
      </c>
      <c r="AJ857">
        <v>65.115691942954797</v>
      </c>
      <c r="AK857">
        <v>9.4421646056653206</v>
      </c>
    </row>
    <row r="858" spans="1:37" x14ac:dyDescent="0.2">
      <c r="A858" t="str">
        <f>"20200111160115221"</f>
        <v>20200111160115221</v>
      </c>
      <c r="B858" t="str">
        <f>"1578729675211451"</f>
        <v>1578729675211451</v>
      </c>
      <c r="C858" t="s">
        <v>37</v>
      </c>
      <c r="D858">
        <v>5.5726069999999996</v>
      </c>
      <c r="E858">
        <v>0.61774569999999995</v>
      </c>
      <c r="F858" t="s">
        <v>41</v>
      </c>
      <c r="G858">
        <v>-195.3073</v>
      </c>
      <c r="H858" s="1">
        <v>-3.9153200000000001E-6</v>
      </c>
      <c r="I858">
        <v>354.16390000000001</v>
      </c>
      <c r="J858">
        <v>-202.054</v>
      </c>
      <c r="K858">
        <v>1.1007750000000001</v>
      </c>
      <c r="L858">
        <v>360.95119999999997</v>
      </c>
      <c r="M858">
        <v>0.93906279999999998</v>
      </c>
      <c r="N858">
        <v>0</v>
      </c>
      <c r="O858">
        <v>-0.34346019999999999</v>
      </c>
      <c r="P858">
        <v>0.8850152</v>
      </c>
      <c r="Q858">
        <v>-3.014617E-2</v>
      </c>
      <c r="R858">
        <v>-0.46458559999999999</v>
      </c>
      <c r="S858">
        <v>2.232056</v>
      </c>
      <c r="T858">
        <v>-0.35255059999999999</v>
      </c>
      <c r="U858">
        <v>-2.2013849999999899</v>
      </c>
      <c r="V858">
        <v>0.13217329999999999</v>
      </c>
      <c r="W858">
        <v>-1.7418429999999999E-2</v>
      </c>
      <c r="X858">
        <v>0.99107350000000005</v>
      </c>
      <c r="Y858">
        <v>0.41442849999999998</v>
      </c>
      <c r="Z858">
        <v>1.566056E-2</v>
      </c>
      <c r="AA858">
        <v>0.90994719999999996</v>
      </c>
      <c r="AB858">
        <v>24</v>
      </c>
      <c r="AC858">
        <v>6.7466999999999997</v>
      </c>
      <c r="AD858">
        <v>-1.1007789153200001</v>
      </c>
      <c r="AE858">
        <v>-6.7872999999999504</v>
      </c>
      <c r="AF858">
        <v>4.0039025549490201</v>
      </c>
      <c r="AG858">
        <v>-1.1007789153200001</v>
      </c>
      <c r="AH858">
        <v>8.5544139463848694</v>
      </c>
      <c r="AI858">
        <v>96.647571113464494</v>
      </c>
      <c r="AJ858">
        <v>64.918005918353501</v>
      </c>
      <c r="AK858">
        <v>9.5089929990532802</v>
      </c>
    </row>
    <row r="859" spans="1:37" x14ac:dyDescent="0.2">
      <c r="A859" t="str">
        <f>"20200111160115243"</f>
        <v>20200111160115243</v>
      </c>
      <c r="B859" t="str">
        <f>"1578729675231946"</f>
        <v>1578729675231946</v>
      </c>
      <c r="C859" t="s">
        <v>37</v>
      </c>
      <c r="D859">
        <v>5.4201769999999998</v>
      </c>
      <c r="E859">
        <v>0.61676009999999903</v>
      </c>
      <c r="F859" t="s">
        <v>41</v>
      </c>
      <c r="G859">
        <v>-195.4109</v>
      </c>
      <c r="H859" s="1">
        <v>-4.0384710000000002E-6</v>
      </c>
      <c r="I859">
        <v>354.36290000000002</v>
      </c>
      <c r="J859">
        <v>-201.82730000000001</v>
      </c>
      <c r="K859">
        <v>1.1006719999999901</v>
      </c>
      <c r="L859">
        <v>360.86160000000001</v>
      </c>
      <c r="M859">
        <v>0.93712430000000002</v>
      </c>
      <c r="N859">
        <v>0</v>
      </c>
      <c r="O859">
        <v>-0.34871479999999999</v>
      </c>
      <c r="P859">
        <v>0.88097039999999904</v>
      </c>
      <c r="Q859">
        <v>-3.3503419999999999E-2</v>
      </c>
      <c r="R859">
        <v>-0.47198440000000003</v>
      </c>
      <c r="S859">
        <v>2.220993</v>
      </c>
      <c r="T859">
        <v>-0.36802669999999998</v>
      </c>
      <c r="U859">
        <v>-2.2026669999999999</v>
      </c>
      <c r="V859">
        <v>0.1349322</v>
      </c>
      <c r="W859">
        <v>-2.082732E-2</v>
      </c>
      <c r="X859">
        <v>0.99063590000000001</v>
      </c>
      <c r="Y859">
        <v>0.41185690000000003</v>
      </c>
      <c r="Z859">
        <v>1.7206579999999999E-2</v>
      </c>
      <c r="AA859">
        <v>0.91108609999999901</v>
      </c>
      <c r="AB859">
        <v>24</v>
      </c>
      <c r="AC859">
        <v>6.4164000000000003</v>
      </c>
      <c r="AD859">
        <v>-1.1006760384709999</v>
      </c>
      <c r="AE859">
        <v>-6.4986999999999799</v>
      </c>
      <c r="AF859">
        <v>3.7978080583095801</v>
      </c>
      <c r="AG859">
        <v>-1.1006760384709999</v>
      </c>
      <c r="AH859">
        <v>8.1614188636640197</v>
      </c>
      <c r="AI859">
        <v>96.971129400675395</v>
      </c>
      <c r="AJ859">
        <v>65.045710665625194</v>
      </c>
      <c r="AK859">
        <v>9.0688252633732205</v>
      </c>
    </row>
    <row r="860" spans="1:37" x14ac:dyDescent="0.2">
      <c r="A860" t="str">
        <f>"20200111160115267"</f>
        <v>20200111160115267</v>
      </c>
      <c r="B860" t="str">
        <f>"1578729675261227"</f>
        <v>1578729675261227</v>
      </c>
      <c r="C860" t="s">
        <v>37</v>
      </c>
      <c r="D860">
        <v>5.5688930000000001</v>
      </c>
      <c r="E860">
        <v>0.61448440000000004</v>
      </c>
      <c r="F860" t="s">
        <v>41</v>
      </c>
      <c r="G860">
        <v>-195.41909999999999</v>
      </c>
      <c r="H860" s="1">
        <v>-4.0723559999999998E-6</v>
      </c>
      <c r="I860">
        <v>354.42669999999998</v>
      </c>
      <c r="J860">
        <v>-201.59559999999999</v>
      </c>
      <c r="K860">
        <v>1.1005479999999901</v>
      </c>
      <c r="L860">
        <v>360.76819999999998</v>
      </c>
      <c r="M860">
        <v>0.93503919999999996</v>
      </c>
      <c r="N860">
        <v>0</v>
      </c>
      <c r="O860">
        <v>-0.35426609999999997</v>
      </c>
      <c r="P860">
        <v>0.87664030000000004</v>
      </c>
      <c r="Q860">
        <v>-3.5798820000000002E-2</v>
      </c>
      <c r="R860">
        <v>-0.47981269999999998</v>
      </c>
      <c r="S860">
        <v>2.2047880000000002</v>
      </c>
      <c r="T860">
        <v>-0.37869219999999998</v>
      </c>
      <c r="U860">
        <v>-2.213959</v>
      </c>
      <c r="V860">
        <v>0.1378847</v>
      </c>
      <c r="W860">
        <v>-2.3181090000000001E-2</v>
      </c>
      <c r="X860">
        <v>0.99017699999999997</v>
      </c>
      <c r="Y860">
        <v>0.41212179999999998</v>
      </c>
      <c r="Z860">
        <v>1.842802E-2</v>
      </c>
      <c r="AA860">
        <v>0.91094240000000004</v>
      </c>
      <c r="AB860">
        <v>24</v>
      </c>
      <c r="AC860">
        <v>6.1764999999999999</v>
      </c>
      <c r="AD860">
        <v>-1.1005520723559901</v>
      </c>
      <c r="AE860">
        <v>-6.3414999999999901</v>
      </c>
      <c r="AF860">
        <v>3.6848414704058499</v>
      </c>
      <c r="AG860">
        <v>-1.1005520723559901</v>
      </c>
      <c r="AH860">
        <v>7.9005262723503602</v>
      </c>
      <c r="AI860">
        <v>97.195241022326201</v>
      </c>
      <c r="AJ860">
        <v>64.995439792135997</v>
      </c>
      <c r="AK860">
        <v>8.7867847877416594</v>
      </c>
    </row>
    <row r="861" spans="1:37" x14ac:dyDescent="0.2">
      <c r="A861" t="str">
        <f>"20200111160115288"</f>
        <v>20200111160115288</v>
      </c>
      <c r="B861" t="str">
        <f>"1578729675281723"</f>
        <v>1578729675281723</v>
      </c>
      <c r="C861" t="s">
        <v>37</v>
      </c>
      <c r="D861">
        <v>6.9700689999999996</v>
      </c>
      <c r="E861">
        <v>0.6146182</v>
      </c>
      <c r="F861" t="s">
        <v>41</v>
      </c>
      <c r="G861">
        <v>-195.4315</v>
      </c>
      <c r="H861" s="1">
        <v>-4.1293139999999902E-6</v>
      </c>
      <c r="I861">
        <v>354.53440000000001</v>
      </c>
      <c r="J861">
        <v>-201.374</v>
      </c>
      <c r="K861">
        <v>1.100417</v>
      </c>
      <c r="L861">
        <v>360.67720000000003</v>
      </c>
      <c r="M861">
        <v>0.93293689999999996</v>
      </c>
      <c r="N861">
        <v>0</v>
      </c>
      <c r="O861">
        <v>-0.35976599999999997</v>
      </c>
      <c r="P861">
        <v>0.87242050000000004</v>
      </c>
      <c r="Q861">
        <v>-3.6000369999999997E-2</v>
      </c>
      <c r="R861">
        <v>-0.487429</v>
      </c>
      <c r="S861">
        <v>2.1925509999999999</v>
      </c>
      <c r="T861">
        <v>-0.3914667</v>
      </c>
      <c r="U861">
        <v>-2.2173769999999999</v>
      </c>
      <c r="V861">
        <v>0.1406694</v>
      </c>
      <c r="W861">
        <v>-2.344278E-2</v>
      </c>
      <c r="X861">
        <v>0.98977909999999902</v>
      </c>
      <c r="Y861">
        <v>0.4100106</v>
      </c>
      <c r="Z861">
        <v>1.996713E-2</v>
      </c>
      <c r="AA861">
        <v>0.91186209999999901</v>
      </c>
      <c r="AB861">
        <v>24</v>
      </c>
      <c r="AC861">
        <v>5.9425000000000203</v>
      </c>
      <c r="AD861">
        <v>-1.100421129314</v>
      </c>
      <c r="AE861">
        <v>-6.1428000000000198</v>
      </c>
      <c r="AF861">
        <v>3.5346939223788998</v>
      </c>
      <c r="AG861">
        <v>-1.100421129314</v>
      </c>
      <c r="AH861">
        <v>7.6282567648344397</v>
      </c>
      <c r="AI861">
        <v>97.456895672854699</v>
      </c>
      <c r="AJ861">
        <v>65.138479286630698</v>
      </c>
      <c r="AK861">
        <v>8.4791089777750592</v>
      </c>
    </row>
    <row r="862" spans="1:37" x14ac:dyDescent="0.2">
      <c r="A862" t="str">
        <f>"20200111160115311"</f>
        <v>20200111160115311</v>
      </c>
      <c r="B862" t="str">
        <f>"1578729675301243"</f>
        <v>1578729675301243</v>
      </c>
      <c r="C862" t="s">
        <v>37</v>
      </c>
      <c r="D862">
        <v>5.4741910000000003</v>
      </c>
      <c r="E862">
        <v>0.63449100000000003</v>
      </c>
      <c r="F862" t="s">
        <v>41</v>
      </c>
      <c r="G862">
        <v>-195.27590000000001</v>
      </c>
      <c r="H862" s="1">
        <v>-4.0262139999999996E-6</v>
      </c>
      <c r="I862">
        <v>354.3981</v>
      </c>
      <c r="J862">
        <v>-201.15729999999999</v>
      </c>
      <c r="K862">
        <v>1.1002749999999999</v>
      </c>
      <c r="L862">
        <v>360.5865</v>
      </c>
      <c r="M862">
        <v>0.93076209999999904</v>
      </c>
      <c r="N862">
        <v>0</v>
      </c>
      <c r="O862">
        <v>-0.36535459999999997</v>
      </c>
      <c r="P862">
        <v>0.86838139999999997</v>
      </c>
      <c r="Q862">
        <v>-3.5415370000000002E-2</v>
      </c>
      <c r="R862">
        <v>-0.49463079999999998</v>
      </c>
      <c r="S862">
        <v>2.1726380000000001</v>
      </c>
      <c r="T862">
        <v>-0.39206049999999998</v>
      </c>
      <c r="U862">
        <v>-2.237152</v>
      </c>
      <c r="V862">
        <v>0.14291099999999901</v>
      </c>
      <c r="W862">
        <v>-2.2915660000000001E-2</v>
      </c>
      <c r="X862">
        <v>0.98947019999999997</v>
      </c>
      <c r="Y862">
        <v>0.41276119999999999</v>
      </c>
      <c r="Z862">
        <v>2.0569710000000001E-2</v>
      </c>
      <c r="AA862">
        <v>0.91060699999999895</v>
      </c>
      <c r="AB862">
        <v>24</v>
      </c>
      <c r="AC862">
        <v>5.8813999999999798</v>
      </c>
      <c r="AD862">
        <v>-1.1002790262140001</v>
      </c>
      <c r="AE862">
        <v>-6.1883999999999997</v>
      </c>
      <c r="AF862">
        <v>3.5524843354656301</v>
      </c>
      <c r="AG862">
        <v>-1.1002790262140001</v>
      </c>
      <c r="AH862">
        <v>7.6095204707768103</v>
      </c>
      <c r="AI862">
        <v>97.464270650900602</v>
      </c>
      <c r="AJ862">
        <v>64.974606868754194</v>
      </c>
      <c r="AK862">
        <v>8.4696848043139408</v>
      </c>
    </row>
    <row r="863" spans="1:37" x14ac:dyDescent="0.2">
      <c r="A863" t="str">
        <f>"20200111160115333"</f>
        <v>20200111160115333</v>
      </c>
      <c r="B863" t="str">
        <f>"1578729675321740"</f>
        <v>1578729675321740</v>
      </c>
      <c r="C863" t="s">
        <v>37</v>
      </c>
      <c r="D863">
        <v>5.4138699999999904</v>
      </c>
      <c r="E863">
        <v>0.63625569999999998</v>
      </c>
      <c r="F863" t="s">
        <v>41</v>
      </c>
      <c r="G863">
        <v>-194.4375</v>
      </c>
      <c r="H863" s="1">
        <v>-3.04702999999999E-6</v>
      </c>
      <c r="I863">
        <v>352.82170000000002</v>
      </c>
      <c r="J863">
        <v>-200.9333</v>
      </c>
      <c r="K863">
        <v>1.1001350000000001</v>
      </c>
      <c r="L863">
        <v>360.49059999999997</v>
      </c>
      <c r="M863">
        <v>0.92837990000000004</v>
      </c>
      <c r="N863">
        <v>0</v>
      </c>
      <c r="O863">
        <v>-0.37136550000000002</v>
      </c>
      <c r="P863">
        <v>0.864135399999999</v>
      </c>
      <c r="Q863">
        <v>-3.4943170000000003E-2</v>
      </c>
      <c r="R863">
        <v>-0.50204490000000002</v>
      </c>
      <c r="S863">
        <v>2.0750730000000002</v>
      </c>
      <c r="T863">
        <v>-0.33976240000000002</v>
      </c>
      <c r="U863">
        <v>-2.3977360000000001</v>
      </c>
      <c r="V863">
        <v>0.1449695</v>
      </c>
      <c r="W863">
        <v>-2.2502870000000001E-2</v>
      </c>
      <c r="X863">
        <v>0.98918019999999995</v>
      </c>
      <c r="Y863">
        <v>0.45848699999999998</v>
      </c>
      <c r="Z863">
        <v>1.5597140000000001E-2</v>
      </c>
      <c r="AA863">
        <v>0.88856429999999997</v>
      </c>
      <c r="AB863">
        <v>24</v>
      </c>
      <c r="AC863">
        <v>6.4958</v>
      </c>
      <c r="AD863">
        <v>-1.10013804703</v>
      </c>
      <c r="AE863">
        <v>-7.6688999999999501</v>
      </c>
      <c r="AF863">
        <v>4.6520612052791197</v>
      </c>
      <c r="AG863">
        <v>-1.10013804703</v>
      </c>
      <c r="AH863">
        <v>8.7742797923603302</v>
      </c>
      <c r="AI863">
        <v>96.321192102787407</v>
      </c>
      <c r="AJ863">
        <v>62.067780569091902</v>
      </c>
      <c r="AK863">
        <v>9.9919949486981299</v>
      </c>
    </row>
    <row r="864" spans="1:37" x14ac:dyDescent="0.2">
      <c r="A864" t="str">
        <f>"20200111160115354"</f>
        <v>20200111160115354</v>
      </c>
      <c r="B864" t="str">
        <f>"1578729675351996"</f>
        <v>1578729675351996</v>
      </c>
      <c r="C864" t="s">
        <v>37</v>
      </c>
      <c r="D864">
        <v>5.4062859999999997</v>
      </c>
      <c r="E864">
        <v>0.63675769999999998</v>
      </c>
      <c r="F864" t="s">
        <v>41</v>
      </c>
      <c r="G864">
        <v>-194.7226</v>
      </c>
      <c r="H864" s="1">
        <v>-3.2668639999999999E-6</v>
      </c>
      <c r="I864">
        <v>353.13290000000001</v>
      </c>
      <c r="J864">
        <v>-200.71459999999999</v>
      </c>
      <c r="K864">
        <v>1.1000000000000001</v>
      </c>
      <c r="L864">
        <v>360.39510000000001</v>
      </c>
      <c r="M864">
        <v>0.92593179999999997</v>
      </c>
      <c r="N864">
        <v>0</v>
      </c>
      <c r="O864">
        <v>-0.37742750000000003</v>
      </c>
      <c r="P864">
        <v>0.86026049999999998</v>
      </c>
      <c r="Q864">
        <v>-3.4785360000000001E-2</v>
      </c>
      <c r="R864">
        <v>-0.50866659999999997</v>
      </c>
      <c r="S864">
        <v>2.0476529999999999</v>
      </c>
      <c r="T864">
        <v>-0.362710799999999</v>
      </c>
      <c r="U864">
        <v>-2.4258120000000001</v>
      </c>
      <c r="V864">
        <v>0.14609029999999901</v>
      </c>
      <c r="W864">
        <v>-2.2388559999999998E-2</v>
      </c>
      <c r="X864">
        <v>0.98901790000000001</v>
      </c>
      <c r="Y864">
        <v>0.46354489999999998</v>
      </c>
      <c r="Z864">
        <v>1.706448E-2</v>
      </c>
      <c r="AA864">
        <v>0.8859091</v>
      </c>
      <c r="AB864">
        <v>24</v>
      </c>
      <c r="AC864">
        <v>5.9919999999999902</v>
      </c>
      <c r="AD864">
        <v>-1.1000032668640001</v>
      </c>
      <c r="AE864">
        <v>-7.2622</v>
      </c>
      <c r="AF864">
        <v>4.4030966112029697</v>
      </c>
      <c r="AG864">
        <v>-1.1000032668640001</v>
      </c>
      <c r="AH864">
        <v>8.1783251762881708</v>
      </c>
      <c r="AI864">
        <v>96.754028005101702</v>
      </c>
      <c r="AJ864">
        <v>61.7025950360729</v>
      </c>
      <c r="AK864">
        <v>9.3531956915167491</v>
      </c>
    </row>
    <row r="865" spans="1:37" x14ac:dyDescent="0.2">
      <c r="A865" t="str">
        <f>"20200111160115378"</f>
        <v>20200111160115378</v>
      </c>
      <c r="B865" t="str">
        <f>"1578729675371514"</f>
        <v>1578729675371514</v>
      </c>
      <c r="C865" t="s">
        <v>37</v>
      </c>
      <c r="D865">
        <v>5.363524</v>
      </c>
      <c r="E865">
        <v>0.63639889999999999</v>
      </c>
      <c r="F865" t="s">
        <v>41</v>
      </c>
      <c r="G865">
        <v>-194.72239999999999</v>
      </c>
      <c r="H865" s="1">
        <v>-3.286225E-6</v>
      </c>
      <c r="I865">
        <v>353.17149999999998</v>
      </c>
      <c r="J865">
        <v>-200.48660000000001</v>
      </c>
      <c r="K865">
        <v>1.0998729999999901</v>
      </c>
      <c r="L865">
        <v>360.29340000000002</v>
      </c>
      <c r="M865">
        <v>0.92324079999999997</v>
      </c>
      <c r="N865">
        <v>0</v>
      </c>
      <c r="O865">
        <v>-0.38396219999999998</v>
      </c>
      <c r="P865">
        <v>0.856262999999999</v>
      </c>
      <c r="Q865">
        <v>-3.4210850000000001E-2</v>
      </c>
      <c r="R865">
        <v>-0.51540649999999999</v>
      </c>
      <c r="S865">
        <v>2.027237</v>
      </c>
      <c r="T865">
        <v>-0.37213990000000002</v>
      </c>
      <c r="U865">
        <v>-2.4438169999999899</v>
      </c>
      <c r="V865">
        <v>0.1468566</v>
      </c>
      <c r="W865">
        <v>-2.1851880000000001E-2</v>
      </c>
      <c r="X865">
        <v>0.98891640000000003</v>
      </c>
      <c r="Y865">
        <v>0.46487309999999998</v>
      </c>
      <c r="Z865">
        <v>1.8255239999999999E-2</v>
      </c>
      <c r="AA865">
        <v>0.88518909999999995</v>
      </c>
      <c r="AB865">
        <v>24</v>
      </c>
      <c r="AC865">
        <v>5.7642000000000104</v>
      </c>
      <c r="AD865">
        <v>-1.09987628622499</v>
      </c>
      <c r="AE865">
        <v>-7.1219000000000303</v>
      </c>
      <c r="AF865">
        <v>4.3004569283930003</v>
      </c>
      <c r="AG865">
        <v>-1.09987628622499</v>
      </c>
      <c r="AH865">
        <v>7.9426309980815901</v>
      </c>
      <c r="AI865">
        <v>96.942940001265598</v>
      </c>
      <c r="AJ865">
        <v>61.567120007624297</v>
      </c>
      <c r="AK865">
        <v>9.0988485430657704</v>
      </c>
    </row>
    <row r="866" spans="1:37" x14ac:dyDescent="0.2">
      <c r="A866" t="str">
        <f>"20200111160115400"</f>
        <v>20200111160115400</v>
      </c>
      <c r="B866" t="str">
        <f>"1578729675392011"</f>
        <v>1578729675392011</v>
      </c>
      <c r="C866" t="s">
        <v>37</v>
      </c>
      <c r="D866">
        <v>5.492356</v>
      </c>
      <c r="E866">
        <v>0.63568059999999904</v>
      </c>
      <c r="F866" t="s">
        <v>41</v>
      </c>
      <c r="G866">
        <v>-194.61240000000001</v>
      </c>
      <c r="H866" s="1">
        <v>-3.23112799999999E-6</v>
      </c>
      <c r="I866">
        <v>353.11040000000003</v>
      </c>
      <c r="J866">
        <v>-200.27010000000001</v>
      </c>
      <c r="K866">
        <v>1.099753</v>
      </c>
      <c r="L866">
        <v>360.19490000000002</v>
      </c>
      <c r="M866">
        <v>0.92054619999999998</v>
      </c>
      <c r="N866">
        <v>0</v>
      </c>
      <c r="O866">
        <v>-0.3903778</v>
      </c>
      <c r="P866">
        <v>0.85197630000000002</v>
      </c>
      <c r="Q866">
        <v>-3.277414E-2</v>
      </c>
      <c r="R866">
        <v>-0.52255390000000002</v>
      </c>
      <c r="S866">
        <v>2.0094910000000001</v>
      </c>
      <c r="T866">
        <v>-0.37625559999999902</v>
      </c>
      <c r="U866">
        <v>-2.457214</v>
      </c>
      <c r="V866">
        <v>0.1482368</v>
      </c>
      <c r="W866">
        <v>-2.0459379999999999E-2</v>
      </c>
      <c r="X866">
        <v>0.98874019999999996</v>
      </c>
      <c r="Y866">
        <v>0.46492899999999998</v>
      </c>
      <c r="Z866">
        <v>1.9293060000000001E-2</v>
      </c>
      <c r="AA866">
        <v>0.88513770000000003</v>
      </c>
      <c r="AB866">
        <v>24</v>
      </c>
      <c r="AC866">
        <v>5.6577000000000002</v>
      </c>
      <c r="AD866">
        <v>-1.099756231128</v>
      </c>
      <c r="AE866">
        <v>-7.0844999999999896</v>
      </c>
      <c r="AF866">
        <v>4.25085425678982</v>
      </c>
      <c r="AG866">
        <v>-1.099756231128</v>
      </c>
      <c r="AH866">
        <v>7.8589680493567098</v>
      </c>
      <c r="AI866">
        <v>97.016952713728699</v>
      </c>
      <c r="AJ866">
        <v>61.591391673123901</v>
      </c>
      <c r="AK866">
        <v>9.0023666044647701</v>
      </c>
    </row>
    <row r="867" spans="1:37" x14ac:dyDescent="0.2">
      <c r="A867" t="str">
        <f>"20200111160115422"</f>
        <v>20200111160115422</v>
      </c>
      <c r="B867" t="str">
        <f>"1578729675411531"</f>
        <v>1578729675411531</v>
      </c>
      <c r="C867" t="s">
        <v>37</v>
      </c>
      <c r="D867">
        <v>5.3001059999999898</v>
      </c>
      <c r="E867">
        <v>0.63492209999999905</v>
      </c>
      <c r="F867" t="s">
        <v>41</v>
      </c>
      <c r="G867">
        <v>-194.39230000000001</v>
      </c>
      <c r="H867" s="1">
        <v>-3.0834249999999899E-6</v>
      </c>
      <c r="I867">
        <v>352.91390000000001</v>
      </c>
      <c r="J867">
        <v>-200.0564</v>
      </c>
      <c r="K867">
        <v>1.099639</v>
      </c>
      <c r="L867">
        <v>360.09550000000002</v>
      </c>
      <c r="M867">
        <v>0.91774049999999996</v>
      </c>
      <c r="N867">
        <v>0</v>
      </c>
      <c r="O867">
        <v>-0.396928</v>
      </c>
      <c r="P867">
        <v>0.84684619999999999</v>
      </c>
      <c r="Q867">
        <v>-3.2001630000000003E-2</v>
      </c>
      <c r="R867">
        <v>-0.53087430000000002</v>
      </c>
      <c r="S867">
        <v>1.9928129999999999</v>
      </c>
      <c r="T867">
        <v>-0.37285949999999901</v>
      </c>
      <c r="U867">
        <v>-2.4685359999999998</v>
      </c>
      <c r="V867">
        <v>0.15086529999999901</v>
      </c>
      <c r="W867">
        <v>-1.9749799999999901E-2</v>
      </c>
      <c r="X867">
        <v>0.98835699999999904</v>
      </c>
      <c r="Y867">
        <v>0.46427239999999997</v>
      </c>
      <c r="Z867">
        <v>2.0020320000000001E-2</v>
      </c>
      <c r="AA867">
        <v>0.88546619999999998</v>
      </c>
      <c r="AB867">
        <v>24</v>
      </c>
      <c r="AC867">
        <v>5.6640999999999897</v>
      </c>
      <c r="AD867">
        <v>-1.099642083425</v>
      </c>
      <c r="AE867">
        <v>-7.1816000000000004</v>
      </c>
      <c r="AF867">
        <v>4.2811594436399698</v>
      </c>
      <c r="AG867">
        <v>-1.099642083425</v>
      </c>
      <c r="AH867">
        <v>7.9348659899180802</v>
      </c>
      <c r="AI867">
        <v>96.953678957938294</v>
      </c>
      <c r="AJ867">
        <v>61.6514648967825</v>
      </c>
      <c r="AK867">
        <v>9.0829310892170501</v>
      </c>
    </row>
    <row r="868" spans="1:37" x14ac:dyDescent="0.2">
      <c r="A868" t="str">
        <f>"20200111160115446"</f>
        <v>20200111160115446</v>
      </c>
      <c r="B868" t="str">
        <f>"1578729675441788"</f>
        <v>1578729675441788</v>
      </c>
      <c r="C868" t="s">
        <v>37</v>
      </c>
      <c r="D868">
        <v>5.3028629999999897</v>
      </c>
      <c r="E868">
        <v>0.63452710000000001</v>
      </c>
      <c r="F868" t="s">
        <v>41</v>
      </c>
      <c r="G868">
        <v>-194.2175</v>
      </c>
      <c r="H868" s="1">
        <v>-2.9597510000000002E-6</v>
      </c>
      <c r="I868">
        <v>352.74520000000001</v>
      </c>
      <c r="J868">
        <v>-199.8322</v>
      </c>
      <c r="K868">
        <v>1.099504</v>
      </c>
      <c r="L868">
        <v>359.98899999999998</v>
      </c>
      <c r="M868">
        <v>0.91463700000000003</v>
      </c>
      <c r="N868">
        <v>0</v>
      </c>
      <c r="O868">
        <v>-0.40402729999999998</v>
      </c>
      <c r="P868">
        <v>0.84082509999999999</v>
      </c>
      <c r="Q868">
        <v>-3.2308820000000002E-2</v>
      </c>
      <c r="R868">
        <v>-0.54034179999999998</v>
      </c>
      <c r="S868">
        <v>1.9721679999999999</v>
      </c>
      <c r="T868">
        <v>-0.37141740000000001</v>
      </c>
      <c r="U868">
        <v>-2.482666</v>
      </c>
      <c r="V868">
        <v>0.15428729999999999</v>
      </c>
      <c r="W868">
        <v>-2.0136049999999999E-2</v>
      </c>
      <c r="X868">
        <v>0.98782080000000005</v>
      </c>
      <c r="Y868">
        <v>0.46441670000000002</v>
      </c>
      <c r="Z868">
        <v>2.086315E-2</v>
      </c>
      <c r="AA868">
        <v>0.88537099999999902</v>
      </c>
      <c r="AB868">
        <v>24</v>
      </c>
      <c r="AC868">
        <v>5.6146999999999903</v>
      </c>
      <c r="AD868">
        <v>-1.0995069597510001</v>
      </c>
      <c r="AE868">
        <v>-7.2438000000000198</v>
      </c>
      <c r="AF868">
        <v>4.2955705168083096</v>
      </c>
      <c r="AG868">
        <v>-1.0995069597510001</v>
      </c>
      <c r="AH868">
        <v>7.9485187663665302</v>
      </c>
      <c r="AI868">
        <v>96.938460488906102</v>
      </c>
      <c r="AJ868">
        <v>61.612147091306703</v>
      </c>
      <c r="AK868">
        <v>9.1016367867925005</v>
      </c>
    </row>
    <row r="869" spans="1:37" x14ac:dyDescent="0.2">
      <c r="A869" t="str">
        <f>"20200111160115469"</f>
        <v>20200111160115469</v>
      </c>
      <c r="B869" t="str">
        <f>"1578729675462284"</f>
        <v>1578729675462284</v>
      </c>
      <c r="C869" t="s">
        <v>37</v>
      </c>
      <c r="D869">
        <v>5.2709919999999997</v>
      </c>
      <c r="E869">
        <v>0.63421110000000003</v>
      </c>
      <c r="F869" t="s">
        <v>41</v>
      </c>
      <c r="G869">
        <v>-194.0882</v>
      </c>
      <c r="H869" s="1">
        <v>-2.8591289999999899E-6</v>
      </c>
      <c r="I869">
        <v>352.60219999999998</v>
      </c>
      <c r="J869">
        <v>-199.61080000000001</v>
      </c>
      <c r="K869">
        <v>1.099337</v>
      </c>
      <c r="L869">
        <v>359.88150000000002</v>
      </c>
      <c r="M869">
        <v>0.91140399999999999</v>
      </c>
      <c r="N869">
        <v>0</v>
      </c>
      <c r="O869">
        <v>-0.41126769999999901</v>
      </c>
      <c r="P869">
        <v>0.83430890000000002</v>
      </c>
      <c r="Q869">
        <v>-3.3799309999999999E-2</v>
      </c>
      <c r="R869">
        <v>-0.55026019999999998</v>
      </c>
      <c r="S869">
        <v>1.9456629999999999</v>
      </c>
      <c r="T869">
        <v>-0.37243409999999999</v>
      </c>
      <c r="U869">
        <v>-2.5021360000000001</v>
      </c>
      <c r="V869">
        <v>0.1581466</v>
      </c>
      <c r="W869">
        <v>-2.171592E-2</v>
      </c>
      <c r="X869">
        <v>0.98717679999999997</v>
      </c>
      <c r="Y869">
        <v>0.46659650000000003</v>
      </c>
      <c r="Z869">
        <v>2.1727730000000001E-2</v>
      </c>
      <c r="AA869">
        <v>0.88420339999999997</v>
      </c>
      <c r="AB869">
        <v>24</v>
      </c>
      <c r="AC869">
        <v>5.5226000000000104</v>
      </c>
      <c r="AD869">
        <v>-1.099339859129</v>
      </c>
      <c r="AE869">
        <v>-7.2793000000000303</v>
      </c>
      <c r="AF869">
        <v>4.3012913104104502</v>
      </c>
      <c r="AG869">
        <v>-1.099339859129</v>
      </c>
      <c r="AH869">
        <v>7.9133182219404397</v>
      </c>
      <c r="AI869">
        <v>96.958940917574907</v>
      </c>
      <c r="AJ869">
        <v>61.473668186692002</v>
      </c>
      <c r="AK869">
        <v>9.0736023907033196</v>
      </c>
    </row>
    <row r="870" spans="1:37" x14ac:dyDescent="0.2">
      <c r="A870" t="str">
        <f>"20200111160115490"</f>
        <v>20200111160115490</v>
      </c>
      <c r="B870" t="str">
        <f>"1578729675481803"</f>
        <v>1578729675481803</v>
      </c>
      <c r="C870" t="s">
        <v>37</v>
      </c>
      <c r="D870">
        <v>5.2169160000000003</v>
      </c>
      <c r="E870">
        <v>0.6339439</v>
      </c>
      <c r="F870" t="s">
        <v>41</v>
      </c>
      <c r="G870">
        <v>-193.95740000000001</v>
      </c>
      <c r="H870" s="1">
        <v>-2.7309199999999899E-6</v>
      </c>
      <c r="I870">
        <v>352.43740000000003</v>
      </c>
      <c r="J870">
        <v>-199.40459999999999</v>
      </c>
      <c r="K870">
        <v>1.099175</v>
      </c>
      <c r="L870">
        <v>359.77890000000002</v>
      </c>
      <c r="M870">
        <v>0.9082268</v>
      </c>
      <c r="N870">
        <v>0</v>
      </c>
      <c r="O870">
        <v>-0.41823630000000001</v>
      </c>
      <c r="P870">
        <v>0.82789590000000002</v>
      </c>
      <c r="Q870">
        <v>-3.3721370000000001E-2</v>
      </c>
      <c r="R870">
        <v>-0.55986729999999996</v>
      </c>
      <c r="S870">
        <v>1.916412</v>
      </c>
      <c r="T870">
        <v>-0.37265749999999997</v>
      </c>
      <c r="U870">
        <v>-2.5234070000000002</v>
      </c>
      <c r="V870">
        <v>0.1619854</v>
      </c>
      <c r="W870">
        <v>-2.172723E-2</v>
      </c>
      <c r="X870">
        <v>0.98655400000000004</v>
      </c>
      <c r="Y870">
        <v>0.4699236</v>
      </c>
      <c r="Z870">
        <v>2.2442630000000002E-2</v>
      </c>
      <c r="AA870">
        <v>0.88242169999999898</v>
      </c>
      <c r="AB870">
        <v>24</v>
      </c>
      <c r="AC870">
        <v>5.4471999999999801</v>
      </c>
      <c r="AD870">
        <v>-1.0991777309199999</v>
      </c>
      <c r="AE870">
        <v>-7.3414999999999901</v>
      </c>
      <c r="AF870">
        <v>4.32741200315116</v>
      </c>
      <c r="AG870">
        <v>-1.0991777309199999</v>
      </c>
      <c r="AH870">
        <v>7.9043115770240604</v>
      </c>
      <c r="AI870">
        <v>96.954405969170793</v>
      </c>
      <c r="AJ870">
        <v>61.300402555287299</v>
      </c>
      <c r="AK870">
        <v>9.0781511243118107</v>
      </c>
    </row>
    <row r="871" spans="1:37" x14ac:dyDescent="0.2">
      <c r="A871" t="str">
        <f>"20200111160115512"</f>
        <v>20200111160115512</v>
      </c>
      <c r="B871" t="str">
        <f>"1578729675501323"</f>
        <v>1578729675501323</v>
      </c>
      <c r="C871" t="s">
        <v>37</v>
      </c>
      <c r="D871">
        <v>5.2526409999999997</v>
      </c>
      <c r="E871">
        <v>0.63348209999999905</v>
      </c>
      <c r="F871" t="s">
        <v>41</v>
      </c>
      <c r="G871">
        <v>-193.7852</v>
      </c>
      <c r="H871" s="1">
        <v>-2.5485939999999999E-6</v>
      </c>
      <c r="I871">
        <v>352.20679999999999</v>
      </c>
      <c r="J871">
        <v>-199.1944</v>
      </c>
      <c r="K871">
        <v>1.0990329999999999</v>
      </c>
      <c r="L871">
        <v>359.67189999999999</v>
      </c>
      <c r="M871">
        <v>0.90481599999999995</v>
      </c>
      <c r="N871">
        <v>0</v>
      </c>
      <c r="O871">
        <v>-0.425564099999999</v>
      </c>
      <c r="P871">
        <v>0.820926499999999</v>
      </c>
      <c r="Q871">
        <v>-3.2661889999999999E-2</v>
      </c>
      <c r="R871">
        <v>-0.57009940000000003</v>
      </c>
      <c r="S871">
        <v>1.888107</v>
      </c>
      <c r="T871">
        <v>-0.3693244</v>
      </c>
      <c r="U871">
        <v>-2.5442200000000001</v>
      </c>
      <c r="V871">
        <v>0.16623969999999999</v>
      </c>
      <c r="W871">
        <v>-2.0763710000000001E-2</v>
      </c>
      <c r="X871">
        <v>0.98586669999999998</v>
      </c>
      <c r="Y871">
        <v>0.47260219999999997</v>
      </c>
      <c r="Z871">
        <v>2.3025609999999998E-2</v>
      </c>
      <c r="AA871">
        <v>0.88097499999999995</v>
      </c>
      <c r="AB871">
        <v>24</v>
      </c>
      <c r="AC871">
        <v>5.4091999999999896</v>
      </c>
      <c r="AD871">
        <v>-1.099035548594</v>
      </c>
      <c r="AE871">
        <v>-7.4650999999999996</v>
      </c>
      <c r="AF871">
        <v>4.3906312500388998</v>
      </c>
      <c r="AG871">
        <v>-1.099035548594</v>
      </c>
      <c r="AH871">
        <v>7.9589134695450596</v>
      </c>
      <c r="AI871">
        <v>96.894195304102396</v>
      </c>
      <c r="AJ871">
        <v>61.116141491359002</v>
      </c>
      <c r="AK871">
        <v>9.1558629045326594</v>
      </c>
    </row>
    <row r="872" spans="1:37" x14ac:dyDescent="0.2">
      <c r="A872" t="str">
        <f>"20200111160115535"</f>
        <v>20200111160115535</v>
      </c>
      <c r="B872" t="str">
        <f>"1578729675531580"</f>
        <v>1578729675531580</v>
      </c>
      <c r="C872" t="s">
        <v>37</v>
      </c>
      <c r="D872">
        <v>5.2632580000000004</v>
      </c>
      <c r="E872">
        <v>0.63263539999999996</v>
      </c>
      <c r="F872" t="s">
        <v>41</v>
      </c>
      <c r="G872">
        <v>-193.6131</v>
      </c>
      <c r="H872" s="1">
        <v>-2.362635E-6</v>
      </c>
      <c r="I872">
        <v>351.97</v>
      </c>
      <c r="J872">
        <v>-198.97649999999999</v>
      </c>
      <c r="K872">
        <v>1.0988979999999999</v>
      </c>
      <c r="L872">
        <v>359.55849999999998</v>
      </c>
      <c r="M872">
        <v>0.90111140000000001</v>
      </c>
      <c r="N872">
        <v>0</v>
      </c>
      <c r="O872">
        <v>-0.43335209999999902</v>
      </c>
      <c r="P872">
        <v>0.81336489999999995</v>
      </c>
      <c r="Q872">
        <v>-3.2638390000000003E-2</v>
      </c>
      <c r="R872">
        <v>-0.58083769999999901</v>
      </c>
      <c r="S872">
        <v>1.8586579999999999</v>
      </c>
      <c r="T872">
        <v>-0.36599599999999999</v>
      </c>
      <c r="U872">
        <v>-2.5648499999999999</v>
      </c>
      <c r="V872">
        <v>0.17068159999999999</v>
      </c>
      <c r="W872">
        <v>-2.0835389999999999E-2</v>
      </c>
      <c r="X872">
        <v>0.98510589999999998</v>
      </c>
      <c r="Y872">
        <v>0.47503079999999998</v>
      </c>
      <c r="Z872">
        <v>2.3676200000000001E-2</v>
      </c>
      <c r="AA872">
        <v>0.87965059999999995</v>
      </c>
      <c r="AB872">
        <v>24</v>
      </c>
      <c r="AC872">
        <v>5.36339999999998</v>
      </c>
      <c r="AD872">
        <v>-1.098900362635</v>
      </c>
      <c r="AE872">
        <v>-7.5884999999999501</v>
      </c>
      <c r="AF872">
        <v>4.4520444788131401</v>
      </c>
      <c r="AG872">
        <v>-1.098900362635</v>
      </c>
      <c r="AH872">
        <v>8.01032219557041</v>
      </c>
      <c r="AI872">
        <v>96.837683138355601</v>
      </c>
      <c r="AJ872">
        <v>60.935200606885402</v>
      </c>
      <c r="AK872">
        <v>9.2300348712872093</v>
      </c>
    </row>
    <row r="873" spans="1:37" x14ac:dyDescent="0.2">
      <c r="A873" t="str">
        <f>"20200111160115557"</f>
        <v>20200111160115557</v>
      </c>
      <c r="B873" t="str">
        <f>"1578729675552076"</f>
        <v>1578729675552076</v>
      </c>
      <c r="C873" t="s">
        <v>37</v>
      </c>
      <c r="D873">
        <v>5.2747109999999999</v>
      </c>
      <c r="E873">
        <v>0.63200940000000005</v>
      </c>
      <c r="F873" t="s">
        <v>41</v>
      </c>
      <c r="G873">
        <v>-193.4967</v>
      </c>
      <c r="H873" s="1">
        <v>-2.2403129999999899E-6</v>
      </c>
      <c r="I873">
        <v>351.81569999999999</v>
      </c>
      <c r="J873">
        <v>-198.75790000000001</v>
      </c>
      <c r="K873">
        <v>1.098789</v>
      </c>
      <c r="L873">
        <v>359.44199999999898</v>
      </c>
      <c r="M873">
        <v>0.89721969999999995</v>
      </c>
      <c r="N873">
        <v>0</v>
      </c>
      <c r="O873">
        <v>-0.44135279999999999</v>
      </c>
      <c r="P873">
        <v>0.80668099999999998</v>
      </c>
      <c r="Q873">
        <v>-3.450015E-2</v>
      </c>
      <c r="R873">
        <v>-0.58997959999999905</v>
      </c>
      <c r="S873">
        <v>1.828568</v>
      </c>
      <c r="T873">
        <v>-0.36669590000000002</v>
      </c>
      <c r="U873">
        <v>-2.5837400000000001</v>
      </c>
      <c r="V873">
        <v>0.17303569999999999</v>
      </c>
      <c r="W873">
        <v>-2.2755689999999999E-2</v>
      </c>
      <c r="X873">
        <v>0.98465259999999999</v>
      </c>
      <c r="Y873">
        <v>0.47707959999999899</v>
      </c>
      <c r="Z873">
        <v>2.4645029999999998E-2</v>
      </c>
      <c r="AA873">
        <v>0.87851449999999998</v>
      </c>
      <c r="AB873">
        <v>24</v>
      </c>
      <c r="AC873">
        <v>5.2611999999999997</v>
      </c>
      <c r="AD873">
        <v>-1.098791240313</v>
      </c>
      <c r="AE873">
        <v>-7.6262999999999499</v>
      </c>
      <c r="AF873">
        <v>4.4581796302177601</v>
      </c>
      <c r="AG873">
        <v>-1.098791240313</v>
      </c>
      <c r="AH873">
        <v>7.97500042686063</v>
      </c>
      <c r="AI873">
        <v>96.857664533157703</v>
      </c>
      <c r="AJ873">
        <v>60.793964507996201</v>
      </c>
      <c r="AK873">
        <v>9.2023551123342493</v>
      </c>
    </row>
    <row r="874" spans="1:37" x14ac:dyDescent="0.2">
      <c r="A874" t="str">
        <f>"20200111160115580"</f>
        <v>20200111160115580</v>
      </c>
      <c r="B874" t="str">
        <f>"1578729675571595"</f>
        <v>1578729675571595</v>
      </c>
      <c r="C874" t="s">
        <v>37</v>
      </c>
      <c r="D874">
        <v>5.2200350000000002</v>
      </c>
      <c r="E874">
        <v>0.63161259999999997</v>
      </c>
      <c r="F874" t="s">
        <v>41</v>
      </c>
      <c r="G874">
        <v>-193.46109999999999</v>
      </c>
      <c r="H874" s="1">
        <v>-2.2217639999999999E-6</v>
      </c>
      <c r="I874">
        <v>351.80040000000002</v>
      </c>
      <c r="J874">
        <v>-198.5538</v>
      </c>
      <c r="K874">
        <v>1.0986989999999901</v>
      </c>
      <c r="L874">
        <v>359.33080000000001</v>
      </c>
      <c r="M874">
        <v>0.89342459999999901</v>
      </c>
      <c r="N874">
        <v>0</v>
      </c>
      <c r="O874">
        <v>-0.44898490000000002</v>
      </c>
      <c r="P874">
        <v>0.79905000000000004</v>
      </c>
      <c r="Q874">
        <v>-3.7174850000000002E-2</v>
      </c>
      <c r="R874">
        <v>-0.6001145</v>
      </c>
      <c r="S874">
        <v>1.801804</v>
      </c>
      <c r="T874">
        <v>-0.37376989999999999</v>
      </c>
      <c r="U874">
        <v>-2.5994259999999998</v>
      </c>
      <c r="V874">
        <v>0.17707979999999901</v>
      </c>
      <c r="W874">
        <v>-2.551285E-2</v>
      </c>
      <c r="X874">
        <v>0.98386569999999995</v>
      </c>
      <c r="Y874">
        <v>0.4781919</v>
      </c>
      <c r="Z874">
        <v>2.607665E-2</v>
      </c>
      <c r="AA874">
        <v>0.87786819999999899</v>
      </c>
      <c r="AB874">
        <v>24</v>
      </c>
      <c r="AC874">
        <v>5.0926999999999998</v>
      </c>
      <c r="AD874">
        <v>-1.098701221764</v>
      </c>
      <c r="AE874">
        <v>-7.5303999999999798</v>
      </c>
      <c r="AF874">
        <v>4.37780874362101</v>
      </c>
      <c r="AG874">
        <v>-1.098701221764</v>
      </c>
      <c r="AH874">
        <v>7.8176022661245801</v>
      </c>
      <c r="AI874">
        <v>96.990939175180102</v>
      </c>
      <c r="AJ874">
        <v>60.751444405852098</v>
      </c>
      <c r="AK874">
        <v>9.0270293542087501</v>
      </c>
    </row>
    <row r="875" spans="1:37" x14ac:dyDescent="0.2">
      <c r="A875" t="str">
        <f>"20200111160115593"</f>
        <v>20200111160115593</v>
      </c>
      <c r="B875" t="str">
        <f>"1578729675581355"</f>
        <v>1578729675581355</v>
      </c>
      <c r="C875" t="s">
        <v>37</v>
      </c>
      <c r="D875">
        <v>5.2165269999999904</v>
      </c>
      <c r="E875">
        <v>0.6313685</v>
      </c>
      <c r="F875" t="s">
        <v>41</v>
      </c>
      <c r="G875">
        <v>-193.4794</v>
      </c>
      <c r="H875" s="1">
        <v>-2.2392859999999999E-6</v>
      </c>
      <c r="I875">
        <v>351.82170000000002</v>
      </c>
      <c r="J875">
        <v>-198.42670000000001</v>
      </c>
      <c r="K875">
        <v>1.0986469999999999</v>
      </c>
      <c r="L875">
        <v>359.2604</v>
      </c>
      <c r="M875">
        <v>0.89098549999999999</v>
      </c>
      <c r="N875">
        <v>0</v>
      </c>
      <c r="O875">
        <v>-0.45380500000000001</v>
      </c>
      <c r="P875">
        <v>0.79430869999999998</v>
      </c>
      <c r="Q875">
        <v>-3.8658699999999997E-2</v>
      </c>
      <c r="R875">
        <v>-0.60628340000000003</v>
      </c>
      <c r="S875">
        <v>1.76975999999999</v>
      </c>
      <c r="T875">
        <v>-0.38318590000000002</v>
      </c>
      <c r="U875">
        <v>-2.6188660000000001</v>
      </c>
      <c r="V875">
        <v>0.1793891</v>
      </c>
      <c r="W875">
        <v>-2.7044439999999999E-2</v>
      </c>
      <c r="X875">
        <v>0.98340640000000001</v>
      </c>
      <c r="Y875">
        <v>0.48380119999999999</v>
      </c>
      <c r="Z875">
        <v>2.703521E-2</v>
      </c>
      <c r="AA875">
        <v>0.87476019999999899</v>
      </c>
      <c r="AB875">
        <v>23</v>
      </c>
      <c r="AC875">
        <v>4.94730000000001</v>
      </c>
      <c r="AD875">
        <v>-1.0986492392859999</v>
      </c>
      <c r="AE875">
        <v>-7.4386999999999803</v>
      </c>
      <c r="AF875">
        <v>4.3178138347686801</v>
      </c>
      <c r="AG875">
        <v>-1.0986492392859999</v>
      </c>
      <c r="AH875">
        <v>7.6685160982311897</v>
      </c>
      <c r="AI875">
        <v>97.115917785682498</v>
      </c>
      <c r="AJ875">
        <v>60.617996853808897</v>
      </c>
      <c r="AK875">
        <v>8.8688604460513698</v>
      </c>
    </row>
    <row r="876" spans="1:37" x14ac:dyDescent="0.2">
      <c r="A876" t="str">
        <f>"20200111160115606"</f>
        <v>20200111160115606</v>
      </c>
      <c r="B876" t="str">
        <f>"1578729675601851"</f>
        <v>1578729675601851</v>
      </c>
      <c r="C876" t="s">
        <v>37</v>
      </c>
      <c r="D876">
        <v>5.3597349999999997</v>
      </c>
      <c r="E876">
        <v>0.62274229999999997</v>
      </c>
      <c r="F876" t="s">
        <v>41</v>
      </c>
      <c r="G876">
        <v>-193.47190000000001</v>
      </c>
      <c r="H876" s="1">
        <v>-2.2331409999999999E-6</v>
      </c>
      <c r="I876">
        <v>351.81470000000002</v>
      </c>
      <c r="J876">
        <v>-198.3013</v>
      </c>
      <c r="K876">
        <v>1.098595</v>
      </c>
      <c r="L876">
        <v>359.18990000000002</v>
      </c>
      <c r="M876">
        <v>0.88851610000000003</v>
      </c>
      <c r="N876">
        <v>0</v>
      </c>
      <c r="O876">
        <v>-0.458620799999999</v>
      </c>
      <c r="P876">
        <v>0.78954519999999995</v>
      </c>
      <c r="Q876">
        <v>-3.9729750000000001E-2</v>
      </c>
      <c r="R876">
        <v>-0.61240539999999999</v>
      </c>
      <c r="S876">
        <v>1.7503359999999999</v>
      </c>
      <c r="T876">
        <v>-0.38811269999999998</v>
      </c>
      <c r="U876">
        <v>-2.63028</v>
      </c>
      <c r="V876">
        <v>0.18167269999999999</v>
      </c>
      <c r="W876">
        <v>-2.8162530000000002E-2</v>
      </c>
      <c r="X876">
        <v>0.98295569999999899</v>
      </c>
      <c r="Y876">
        <v>0.48529689999999998</v>
      </c>
      <c r="Z876">
        <v>2.7958650000000002E-2</v>
      </c>
      <c r="AA876">
        <v>0.87390230000000002</v>
      </c>
      <c r="AB876">
        <v>23</v>
      </c>
      <c r="AC876">
        <v>4.8293999999999899</v>
      </c>
      <c r="AD876">
        <v>-1.0985972331409899</v>
      </c>
      <c r="AE876">
        <v>-7.3752000000000004</v>
      </c>
      <c r="AF876">
        <v>4.2722214934537197</v>
      </c>
      <c r="AG876">
        <v>-1.0985972331409899</v>
      </c>
      <c r="AH876">
        <v>7.5568550422344201</v>
      </c>
      <c r="AI876">
        <v>97.212636633619496</v>
      </c>
      <c r="AJ876">
        <v>60.518620212077103</v>
      </c>
      <c r="AK876">
        <v>8.75013431320553</v>
      </c>
    </row>
    <row r="877" spans="1:37" x14ac:dyDescent="0.2">
      <c r="A877" t="str">
        <f>"20200111160115620"</f>
        <v>20200111160115620</v>
      </c>
      <c r="B877" t="str">
        <f>"1578729675611612"</f>
        <v>1578729675611612</v>
      </c>
      <c r="C877" t="s">
        <v>37</v>
      </c>
      <c r="D877">
        <v>5.3795190000000002</v>
      </c>
      <c r="E877">
        <v>0.62149790000000005</v>
      </c>
      <c r="F877" t="s">
        <v>41</v>
      </c>
      <c r="G877">
        <v>-192.33580000000001</v>
      </c>
      <c r="H877" s="1">
        <v>-1.121625E-6</v>
      </c>
      <c r="I877">
        <v>350.44760000000002</v>
      </c>
      <c r="J877">
        <v>-198.179</v>
      </c>
      <c r="K877">
        <v>1.098543</v>
      </c>
      <c r="L877">
        <v>359.12009999999998</v>
      </c>
      <c r="M877">
        <v>0.88604240000000001</v>
      </c>
      <c r="N877">
        <v>0</v>
      </c>
      <c r="O877">
        <v>-0.4633814</v>
      </c>
      <c r="P877">
        <v>0.78473990000000005</v>
      </c>
      <c r="Q877">
        <v>-4.0566520000000002E-2</v>
      </c>
      <c r="R877">
        <v>-0.61849619999999905</v>
      </c>
      <c r="S877">
        <v>1.770599</v>
      </c>
      <c r="T877">
        <v>-0.3260728</v>
      </c>
      <c r="U877">
        <v>-2.5947879999999999</v>
      </c>
      <c r="V877">
        <v>0.18400749999999999</v>
      </c>
      <c r="W877">
        <v>-2.90476E-2</v>
      </c>
      <c r="X877">
        <v>0.98249549999999997</v>
      </c>
      <c r="Y877">
        <v>0.47056619999999999</v>
      </c>
      <c r="Z877">
        <v>2.5031020000000001E-2</v>
      </c>
      <c r="AA877">
        <v>0.88200959999999995</v>
      </c>
      <c r="AB877">
        <v>23</v>
      </c>
      <c r="AC877">
        <v>5.8431999999999897</v>
      </c>
      <c r="AD877">
        <v>-1.098544121625</v>
      </c>
      <c r="AE877">
        <v>-8.6724999999999497</v>
      </c>
      <c r="AF877">
        <v>4.92276098420641</v>
      </c>
      <c r="AG877">
        <v>-1.098544121625</v>
      </c>
      <c r="AH877">
        <v>9.0965620837854999</v>
      </c>
      <c r="AI877">
        <v>96.062638642489006</v>
      </c>
      <c r="AJ877">
        <v>61.579201853978901</v>
      </c>
      <c r="AK877">
        <v>10.4013372524375</v>
      </c>
    </row>
    <row r="878" spans="1:37" x14ac:dyDescent="0.2">
      <c r="A878" t="str">
        <f>"20200111160115636"</f>
        <v>20200111160115636</v>
      </c>
      <c r="B878" t="str">
        <f>"1578729675632107"</f>
        <v>1578729675632107</v>
      </c>
      <c r="C878" t="s">
        <v>37</v>
      </c>
      <c r="D878">
        <v>5.3040219999999998</v>
      </c>
      <c r="E878">
        <v>0.62121959999999998</v>
      </c>
      <c r="F878" t="s">
        <v>41</v>
      </c>
      <c r="G878">
        <v>-192.43819999999999</v>
      </c>
      <c r="H878" s="1">
        <v>-1.25321E-6</v>
      </c>
      <c r="I878">
        <v>350.62380000000002</v>
      </c>
      <c r="J878">
        <v>-198.03630000000001</v>
      </c>
      <c r="K878">
        <v>1.098476</v>
      </c>
      <c r="L878">
        <v>359.03750000000002</v>
      </c>
      <c r="M878">
        <v>0.88308659999999894</v>
      </c>
      <c r="N878">
        <v>0</v>
      </c>
      <c r="O878">
        <v>-0.46898970000000001</v>
      </c>
      <c r="P878">
        <v>0.77831899999999998</v>
      </c>
      <c r="Q878">
        <v>-4.1770219999999997E-2</v>
      </c>
      <c r="R878">
        <v>-0.62647810000000004</v>
      </c>
      <c r="S878">
        <v>1.7565770000000001</v>
      </c>
      <c r="T878">
        <v>-0.33613670000000001</v>
      </c>
      <c r="U878">
        <v>-2.599701</v>
      </c>
      <c r="V878">
        <v>0.18781719999999999</v>
      </c>
      <c r="W878">
        <v>-3.0327730000000001E-2</v>
      </c>
      <c r="X878">
        <v>0.98173569999999999</v>
      </c>
      <c r="Y878">
        <v>0.46902500000000003</v>
      </c>
      <c r="Z878">
        <v>2.6594240000000002E-2</v>
      </c>
      <c r="AA878">
        <v>0.88278440000000002</v>
      </c>
      <c r="AB878">
        <v>23</v>
      </c>
      <c r="AC878">
        <v>5.5981000000000103</v>
      </c>
      <c r="AD878">
        <v>-1.09847725321</v>
      </c>
      <c r="AE878">
        <v>-8.4137000000000004</v>
      </c>
      <c r="AF878">
        <v>4.7489622964267699</v>
      </c>
      <c r="AG878">
        <v>-1.09847725321</v>
      </c>
      <c r="AH878">
        <v>8.7866506472808705</v>
      </c>
      <c r="AI878">
        <v>96.276220226570601</v>
      </c>
      <c r="AJ878">
        <v>61.609900430176403</v>
      </c>
      <c r="AK878">
        <v>10.0481105072577</v>
      </c>
    </row>
    <row r="879" spans="1:37" x14ac:dyDescent="0.2">
      <c r="A879" t="str">
        <f>"20200111160115659"</f>
        <v>20200111160115659</v>
      </c>
      <c r="B879" t="str">
        <f>"1578729675651627"</f>
        <v>1578729675651627</v>
      </c>
      <c r="C879" t="s">
        <v>37</v>
      </c>
      <c r="D879">
        <v>5.3344139999999998</v>
      </c>
      <c r="E879">
        <v>0.61195109999999997</v>
      </c>
      <c r="F879" t="s">
        <v>41</v>
      </c>
      <c r="G879">
        <v>-192.3973</v>
      </c>
      <c r="H879" s="1">
        <v>-1.1783410000000001E-6</v>
      </c>
      <c r="I879">
        <v>350.51580000000001</v>
      </c>
      <c r="J879">
        <v>-197.82480000000001</v>
      </c>
      <c r="K879">
        <v>1.0983879999999999</v>
      </c>
      <c r="L879">
        <v>358.9128</v>
      </c>
      <c r="M879">
        <v>0.87855369999999999</v>
      </c>
      <c r="N879">
        <v>0</v>
      </c>
      <c r="O879">
        <v>-0.47742609999999902</v>
      </c>
      <c r="P879">
        <v>0.77020059999999901</v>
      </c>
      <c r="Q879">
        <v>-4.0742809999999997E-2</v>
      </c>
      <c r="R879">
        <v>-0.63649899999999904</v>
      </c>
      <c r="S879">
        <v>1.7309110000000001</v>
      </c>
      <c r="T879">
        <v>-0.33718179999999998</v>
      </c>
      <c r="U879">
        <v>-2.6157840000000001</v>
      </c>
      <c r="V879">
        <v>0.19109970000000001</v>
      </c>
      <c r="W879">
        <v>-2.9373900000000001E-2</v>
      </c>
      <c r="X879">
        <v>0.98113099999999998</v>
      </c>
      <c r="Y879">
        <v>0.46911999999999998</v>
      </c>
      <c r="Z879">
        <v>2.7702560000000001E-2</v>
      </c>
      <c r="AA879">
        <v>0.88269979999999904</v>
      </c>
      <c r="AB879">
        <v>23</v>
      </c>
      <c r="AC879">
        <v>5.4275000000000002</v>
      </c>
      <c r="AD879">
        <v>-1.098389178341</v>
      </c>
      <c r="AE879">
        <v>-8.3969999999999896</v>
      </c>
      <c r="AF879">
        <v>4.7294054451812597</v>
      </c>
      <c r="AG879">
        <v>-1.098389178341</v>
      </c>
      <c r="AH879">
        <v>8.6735321480006</v>
      </c>
      <c r="AI879">
        <v>96.344240903352699</v>
      </c>
      <c r="AJ879">
        <v>61.397748300962199</v>
      </c>
      <c r="AK879">
        <v>9.9400148176150491</v>
      </c>
    </row>
    <row r="880" spans="1:37" x14ac:dyDescent="0.2">
      <c r="A880" t="str">
        <f>"20200111160115680"</f>
        <v>20200111160115680</v>
      </c>
      <c r="B880" t="str">
        <f>"1578729675672122"</f>
        <v>1578729675672122</v>
      </c>
      <c r="C880" t="s">
        <v>37</v>
      </c>
      <c r="D880">
        <v>5.3890549999999999</v>
      </c>
      <c r="E880">
        <v>0.61069669999999998</v>
      </c>
      <c r="F880" t="s">
        <v>41</v>
      </c>
      <c r="G880">
        <v>-193.2603</v>
      </c>
      <c r="H880" s="1">
        <v>-2.3960649999999999E-6</v>
      </c>
      <c r="I880">
        <v>352.18509999999998</v>
      </c>
      <c r="J880">
        <v>-197.62469999999999</v>
      </c>
      <c r="K880">
        <v>1.09832</v>
      </c>
      <c r="L880">
        <v>358.7921</v>
      </c>
      <c r="M880">
        <v>0.87409899999999996</v>
      </c>
      <c r="N880">
        <v>0</v>
      </c>
      <c r="O880">
        <v>-0.4855334</v>
      </c>
      <c r="P880">
        <v>0.76284770000000002</v>
      </c>
      <c r="Q880">
        <v>-3.9465550000000002E-2</v>
      </c>
      <c r="R880">
        <v>-0.64537299999999997</v>
      </c>
      <c r="S880">
        <v>1.746048</v>
      </c>
      <c r="T880">
        <v>-0.42016829999999999</v>
      </c>
      <c r="U880">
        <v>-2.573547</v>
      </c>
      <c r="V880">
        <v>0.19336020000000001</v>
      </c>
      <c r="W880">
        <v>-2.815117E-2</v>
      </c>
      <c r="X880">
        <v>0.98072389999999998</v>
      </c>
      <c r="Y880">
        <v>0.45076250000000001</v>
      </c>
      <c r="Z880">
        <v>3.7269829999999997E-2</v>
      </c>
      <c r="AA880">
        <v>0.89186559999999904</v>
      </c>
      <c r="AB880">
        <v>23</v>
      </c>
      <c r="AC880">
        <v>4.3643999999999803</v>
      </c>
      <c r="AD880">
        <v>-1.0983223960649999</v>
      </c>
      <c r="AE880">
        <v>-6.6070000000000197</v>
      </c>
      <c r="AF880">
        <v>3.5874704874260899</v>
      </c>
      <c r="AG880">
        <v>-1.0983223960649999</v>
      </c>
      <c r="AH880">
        <v>6.8909904500286601</v>
      </c>
      <c r="AI880">
        <v>98.046828240059398</v>
      </c>
      <c r="AJ880">
        <v>62.498378217668296</v>
      </c>
      <c r="AK880">
        <v>7.8461459307253101</v>
      </c>
    </row>
    <row r="881" spans="1:37" x14ac:dyDescent="0.2">
      <c r="A881" t="str">
        <f>"20200111160115703"</f>
        <v>20200111160115703</v>
      </c>
      <c r="B881" t="str">
        <f>"1578729675691644"</f>
        <v>1578729675691644</v>
      </c>
      <c r="C881" t="s">
        <v>37</v>
      </c>
      <c r="D881">
        <v>5.4443950000000001</v>
      </c>
      <c r="E881">
        <v>0.60845689999999997</v>
      </c>
      <c r="F881" t="s">
        <v>41</v>
      </c>
      <c r="G881">
        <v>-193.05199999999999</v>
      </c>
      <c r="H881" s="1">
        <v>-2.1882789999999999E-6</v>
      </c>
      <c r="I881">
        <v>351.92770000000002</v>
      </c>
      <c r="J881">
        <v>-197.42760000000001</v>
      </c>
      <c r="K881">
        <v>1.0982609999999999</v>
      </c>
      <c r="L881">
        <v>358.6705</v>
      </c>
      <c r="M881">
        <v>0.86954609999999999</v>
      </c>
      <c r="N881">
        <v>0</v>
      </c>
      <c r="O881">
        <v>-0.49364069999999999</v>
      </c>
      <c r="P881">
        <v>0.75512669999999904</v>
      </c>
      <c r="Q881">
        <v>-3.8927610000000001E-2</v>
      </c>
      <c r="R881">
        <v>-0.65442239999999996</v>
      </c>
      <c r="S881">
        <v>1.723007</v>
      </c>
      <c r="T881">
        <v>-0.41385149999999998</v>
      </c>
      <c r="U881">
        <v>-2.58651699999999</v>
      </c>
      <c r="V881">
        <v>0.19592089999999901</v>
      </c>
      <c r="W881">
        <v>-2.76718E-2</v>
      </c>
      <c r="X881">
        <v>0.98022919999999902</v>
      </c>
      <c r="Y881">
        <v>0.45008029999999999</v>
      </c>
      <c r="Z881">
        <v>3.8002189999999998E-2</v>
      </c>
      <c r="AA881">
        <v>0.892179099999999</v>
      </c>
      <c r="AB881">
        <v>23</v>
      </c>
      <c r="AC881">
        <v>4.3755999999999897</v>
      </c>
      <c r="AD881">
        <v>-1.0982631882789999</v>
      </c>
      <c r="AE881">
        <v>-6.7427999999999804</v>
      </c>
      <c r="AF881">
        <v>3.6357145778270401</v>
      </c>
      <c r="AG881">
        <v>-1.0982631882789999</v>
      </c>
      <c r="AH881">
        <v>7.0033100529564098</v>
      </c>
      <c r="AI881">
        <v>97.923677019477395</v>
      </c>
      <c r="AJ881">
        <v>62.5642641467578</v>
      </c>
      <c r="AK881">
        <v>7.9668660224703904</v>
      </c>
    </row>
    <row r="882" spans="1:37" x14ac:dyDescent="0.2">
      <c r="A882" t="str">
        <f>"20200111160115718"</f>
        <v>20200111160115718</v>
      </c>
      <c r="B882" t="str">
        <f>"1578729675711575"</f>
        <v>1578729675711575</v>
      </c>
      <c r="C882" t="s">
        <v>37</v>
      </c>
      <c r="D882">
        <v>5.3661599999999998</v>
      </c>
      <c r="E882">
        <v>0.60832929999999996</v>
      </c>
      <c r="F882" t="s">
        <v>41</v>
      </c>
      <c r="G882">
        <v>-192.93340000000001</v>
      </c>
      <c r="H882" s="1">
        <v>-2.0976079999999998E-6</v>
      </c>
      <c r="I882">
        <v>351.8279</v>
      </c>
      <c r="J882">
        <v>-197.28489999999999</v>
      </c>
      <c r="K882">
        <v>1.0982129999999899</v>
      </c>
      <c r="L882">
        <v>358.58069999999998</v>
      </c>
      <c r="M882">
        <v>0.86614040000000003</v>
      </c>
      <c r="N882">
        <v>0</v>
      </c>
      <c r="O882">
        <v>-0.49959189999999998</v>
      </c>
      <c r="P882">
        <v>0.74999890000000002</v>
      </c>
      <c r="Q882">
        <v>-3.9057950000000001E-2</v>
      </c>
      <c r="R882">
        <v>-0.66028509999999996</v>
      </c>
      <c r="S882">
        <v>1.703552</v>
      </c>
      <c r="T882">
        <v>-0.41629959999999999</v>
      </c>
      <c r="U882">
        <v>-2.5937189999999899</v>
      </c>
      <c r="V882">
        <v>0.19683310000000001</v>
      </c>
      <c r="W882">
        <v>-2.7827270000000001E-2</v>
      </c>
      <c r="X882">
        <v>0.98004199999999997</v>
      </c>
      <c r="Y882">
        <v>0.449800599999999</v>
      </c>
      <c r="Z882">
        <v>3.9202010000000002E-2</v>
      </c>
      <c r="AA882">
        <v>0.89226819999999896</v>
      </c>
      <c r="AB882">
        <v>23</v>
      </c>
      <c r="AC882">
        <v>4.3514999999999802</v>
      </c>
      <c r="AD882">
        <v>-1.0982150976079901</v>
      </c>
      <c r="AE882">
        <v>-6.7527999999999704</v>
      </c>
      <c r="AF882">
        <v>3.6078570281353901</v>
      </c>
      <c r="AG882">
        <v>-1.0982150976079901</v>
      </c>
      <c r="AH882">
        <v>7.01234965486488</v>
      </c>
      <c r="AI882">
        <v>97.928055826325107</v>
      </c>
      <c r="AJ882">
        <v>62.774159481166301</v>
      </c>
      <c r="AK882">
        <v>7.9621452145865597</v>
      </c>
    </row>
    <row r="883" spans="1:37" x14ac:dyDescent="0.2">
      <c r="A883" t="str">
        <f>"20200111160115737"</f>
        <v>20200111160115737</v>
      </c>
      <c r="B883" t="str">
        <f>"1578729675732071"</f>
        <v>1578729675732071</v>
      </c>
      <c r="C883" t="s">
        <v>37</v>
      </c>
      <c r="D883">
        <v>5.4770729999999999</v>
      </c>
      <c r="E883">
        <v>0.65583689999999994</v>
      </c>
      <c r="F883" t="s">
        <v>41</v>
      </c>
      <c r="G883">
        <v>-192.82740000000001</v>
      </c>
      <c r="H883" s="1">
        <v>-1.980992E-6</v>
      </c>
      <c r="I883">
        <v>351.67849999999999</v>
      </c>
      <c r="J883">
        <v>-197.12190000000001</v>
      </c>
      <c r="K883">
        <v>1.0981620000000001</v>
      </c>
      <c r="L883">
        <v>358.47640000000001</v>
      </c>
      <c r="M883">
        <v>0.86213779999999995</v>
      </c>
      <c r="N883">
        <v>0</v>
      </c>
      <c r="O883">
        <v>-0.506467</v>
      </c>
      <c r="P883">
        <v>0.74325039999999998</v>
      </c>
      <c r="Q883">
        <v>-3.9389229999999997E-2</v>
      </c>
      <c r="R883">
        <v>-0.66785309999999998</v>
      </c>
      <c r="S883">
        <v>1.6834720000000001</v>
      </c>
      <c r="T883">
        <v>-0.41475820000000002</v>
      </c>
      <c r="U883">
        <v>-2.6067200000000001</v>
      </c>
      <c r="V883">
        <v>0.19896810000000001</v>
      </c>
      <c r="W883">
        <v>-2.8206419999999999E-2</v>
      </c>
      <c r="X883">
        <v>0.97960000000000003</v>
      </c>
      <c r="Y883">
        <v>0.4496174</v>
      </c>
      <c r="Z883">
        <v>4.0110479999999997E-2</v>
      </c>
      <c r="AA883">
        <v>0.89232019999999901</v>
      </c>
      <c r="AB883">
        <v>23</v>
      </c>
      <c r="AC883">
        <v>4.2944999999999904</v>
      </c>
      <c r="AD883">
        <v>-1.0981639809920001</v>
      </c>
      <c r="AE883">
        <v>-6.7979000000000198</v>
      </c>
      <c r="AF883">
        <v>3.6185943752231502</v>
      </c>
      <c r="AG883">
        <v>-1.0981639809920001</v>
      </c>
      <c r="AH883">
        <v>7.0152593664447496</v>
      </c>
      <c r="AI883">
        <v>97.920250785346596</v>
      </c>
      <c r="AJ883">
        <v>62.714519028761899</v>
      </c>
      <c r="AK883">
        <v>7.9695704627059802</v>
      </c>
    </row>
    <row r="884" spans="1:37" x14ac:dyDescent="0.2">
      <c r="A884" t="str">
        <f>"20200111160115760"</f>
        <v>20200111160115760</v>
      </c>
      <c r="B884" t="str">
        <f>"1578729675751590"</f>
        <v>1578729675751590</v>
      </c>
      <c r="C884" t="s">
        <v>37</v>
      </c>
      <c r="D884">
        <v>5.2814969999999999</v>
      </c>
      <c r="E884">
        <v>0.65583689999999994</v>
      </c>
      <c r="F884" t="s">
        <v>38</v>
      </c>
      <c r="G884">
        <v>-191.2687</v>
      </c>
      <c r="H884" s="1">
        <v>-3.203994E-6</v>
      </c>
      <c r="I884">
        <v>346.27080000000001</v>
      </c>
      <c r="J884">
        <v>-196.91839999999999</v>
      </c>
      <c r="K884">
        <v>1.098106</v>
      </c>
      <c r="L884">
        <v>358.3433</v>
      </c>
      <c r="M884">
        <v>0.85696450000000002</v>
      </c>
      <c r="N884">
        <v>0</v>
      </c>
      <c r="O884">
        <v>-0.51517159999999995</v>
      </c>
      <c r="P884">
        <v>0.73515430000000004</v>
      </c>
      <c r="Q884">
        <v>-3.7289089999999997E-2</v>
      </c>
      <c r="R884">
        <v>-0.67687369999999902</v>
      </c>
      <c r="S884">
        <v>1.3997189999999999</v>
      </c>
      <c r="T884">
        <v>-0.2626115</v>
      </c>
      <c r="U884">
        <v>-2.918793</v>
      </c>
      <c r="V884">
        <v>0.2009726</v>
      </c>
      <c r="W884">
        <v>-2.6152189999999999E-2</v>
      </c>
      <c r="X884">
        <v>0.97924769999999906</v>
      </c>
      <c r="Y884">
        <v>0.54977759999999998</v>
      </c>
      <c r="Z884">
        <v>2.0928680000000002E-2</v>
      </c>
      <c r="AA884">
        <v>0.83504889999999998</v>
      </c>
      <c r="AB884">
        <v>23</v>
      </c>
      <c r="AC884">
        <v>5.6496999999999904</v>
      </c>
      <c r="AD884">
        <v>-1.0981092039939999</v>
      </c>
      <c r="AE884">
        <v>-12.0724999999999</v>
      </c>
      <c r="AF884">
        <v>7.3857911527126898</v>
      </c>
      <c r="AG884">
        <v>-1.0981092039939999</v>
      </c>
      <c r="AH884">
        <v>10.987588467489401</v>
      </c>
      <c r="AI884">
        <v>94.741466759414905</v>
      </c>
      <c r="AJ884">
        <v>56.091242125742099</v>
      </c>
      <c r="AK884">
        <v>13.2846849833291</v>
      </c>
    </row>
    <row r="885" spans="1:37" x14ac:dyDescent="0.2">
      <c r="A885" t="str">
        <f>"20200111160115837"</f>
        <v>20200111160115837</v>
      </c>
      <c r="B885" t="str">
        <f>"1578729675831847"</f>
        <v>1578729675831847</v>
      </c>
      <c r="C885" t="s">
        <v>37</v>
      </c>
      <c r="D885">
        <v>5.4041670000000002</v>
      </c>
      <c r="E885">
        <v>0.6773169</v>
      </c>
      <c r="F885" t="s">
        <v>38</v>
      </c>
      <c r="G885">
        <v>-191.0496</v>
      </c>
      <c r="H885" s="1">
        <v>-2.9083810000000001E-6</v>
      </c>
      <c r="I885">
        <v>345.7176</v>
      </c>
      <c r="J885">
        <v>-196.2484</v>
      </c>
      <c r="K885">
        <v>1.097893</v>
      </c>
      <c r="L885">
        <v>357.88240000000002</v>
      </c>
      <c r="M885">
        <v>0.83851869999999995</v>
      </c>
      <c r="N885">
        <v>0</v>
      </c>
      <c r="O885">
        <v>-0.544678199999999</v>
      </c>
      <c r="P885">
        <v>0.70909199999999994</v>
      </c>
      <c r="Q885">
        <v>-3.9041399999999997E-2</v>
      </c>
      <c r="R885">
        <v>-0.70403459999999995</v>
      </c>
      <c r="S885">
        <v>1.3646849999999999</v>
      </c>
      <c r="T885">
        <v>-0.25534950000000001</v>
      </c>
      <c r="U885">
        <v>-2.9359130000000002</v>
      </c>
      <c r="V885">
        <v>0.20372709999999999</v>
      </c>
      <c r="W885">
        <v>-2.7988510000000001E-2</v>
      </c>
      <c r="X885">
        <v>0.97862759999999904</v>
      </c>
      <c r="Y885">
        <v>0.53074189999999999</v>
      </c>
      <c r="Z885">
        <v>2.391596E-2</v>
      </c>
      <c r="AA885">
        <v>0.84719599999999995</v>
      </c>
      <c r="AB885">
        <v>23</v>
      </c>
      <c r="AC885">
        <v>5.1988000000000003</v>
      </c>
      <c r="AD885">
        <v>-1.097895908381</v>
      </c>
      <c r="AE885">
        <v>-12.1648</v>
      </c>
      <c r="AF885">
        <v>7.3191104847192596</v>
      </c>
      <c r="AG885">
        <v>-1.097895908381</v>
      </c>
      <c r="AH885">
        <v>10.911206649091699</v>
      </c>
      <c r="AI885">
        <v>94.776674544103003</v>
      </c>
      <c r="AJ885">
        <v>56.146750721605997</v>
      </c>
      <c r="AK885">
        <v>13.1844296142211</v>
      </c>
    </row>
    <row r="886" spans="1:37" x14ac:dyDescent="0.2">
      <c r="A886" t="str">
        <f>"20200111160115852"</f>
        <v>20200111160115852</v>
      </c>
      <c r="B886" t="str">
        <f>"1578729675841607"</f>
        <v>1578729675841607</v>
      </c>
      <c r="C886" t="s">
        <v>37</v>
      </c>
      <c r="D886">
        <v>5.4408320000000003</v>
      </c>
      <c r="E886">
        <v>0.67549749999999997</v>
      </c>
      <c r="F886" t="s">
        <v>38</v>
      </c>
      <c r="G886">
        <v>-191.59139999999999</v>
      </c>
      <c r="H886" s="1">
        <v>-2.786104E-6</v>
      </c>
      <c r="I886">
        <v>345.09649999999999</v>
      </c>
      <c r="J886">
        <v>-196.1258</v>
      </c>
      <c r="K886">
        <v>1.0978509999999999</v>
      </c>
      <c r="L886">
        <v>357.79419999999999</v>
      </c>
      <c r="M886">
        <v>0.83489939999999996</v>
      </c>
      <c r="N886">
        <v>0</v>
      </c>
      <c r="O886">
        <v>-0.55021009999999904</v>
      </c>
      <c r="P886">
        <v>0.70409600000000006</v>
      </c>
      <c r="Q886">
        <v>-4.0510940000000002E-2</v>
      </c>
      <c r="R886">
        <v>-0.70894889999999999</v>
      </c>
      <c r="S886">
        <v>1.1315309999999901</v>
      </c>
      <c r="T886">
        <v>-0.266766</v>
      </c>
      <c r="U886">
        <v>-3.1066889999999998</v>
      </c>
      <c r="V886">
        <v>0.2040826</v>
      </c>
      <c r="W886">
        <v>-2.947143E-2</v>
      </c>
      <c r="X886">
        <v>0.97850999999999999</v>
      </c>
      <c r="Y886">
        <v>0.59596870000000002</v>
      </c>
      <c r="Z886">
        <v>2.208427E-2</v>
      </c>
      <c r="AA886">
        <v>0.80270399999999997</v>
      </c>
      <c r="AB886">
        <v>23</v>
      </c>
      <c r="AC886">
        <v>4.5343999999999998</v>
      </c>
      <c r="AD886">
        <v>-1.0978537861040001</v>
      </c>
      <c r="AE886">
        <v>-12.6976999999999</v>
      </c>
      <c r="AF886">
        <v>8.0538909181841998</v>
      </c>
      <c r="AG886">
        <v>-1.0978537861040001</v>
      </c>
      <c r="AH886">
        <v>10.7023551961954</v>
      </c>
      <c r="AI886">
        <v>94.685753526065099</v>
      </c>
      <c r="AJ886">
        <v>53.037279069662702</v>
      </c>
      <c r="AK886">
        <v>13.4391535672156</v>
      </c>
    </row>
    <row r="887" spans="1:37" x14ac:dyDescent="0.2">
      <c r="A887" t="str">
        <f>"20200111160115866"</f>
        <v>20200111160115866</v>
      </c>
      <c r="B887" t="str">
        <f>"1578729675862103"</f>
        <v>1578729675862103</v>
      </c>
      <c r="C887" t="s">
        <v>37</v>
      </c>
      <c r="D887">
        <v>5.7780949999999898</v>
      </c>
      <c r="E887">
        <v>0.67423500000000003</v>
      </c>
      <c r="F887" t="s">
        <v>38</v>
      </c>
      <c r="G887">
        <v>-191.81039999999999</v>
      </c>
      <c r="H887" s="1">
        <v>-3.162161E-6</v>
      </c>
      <c r="I887">
        <v>345.83730000000003</v>
      </c>
      <c r="J887">
        <v>-195.99099999999899</v>
      </c>
      <c r="K887">
        <v>1.097807</v>
      </c>
      <c r="L887">
        <v>357.69560000000001</v>
      </c>
      <c r="M887">
        <v>0.83082219999999996</v>
      </c>
      <c r="N887">
        <v>0</v>
      </c>
      <c r="O887">
        <v>-0.55634680000000003</v>
      </c>
      <c r="P887">
        <v>0.69817609999999997</v>
      </c>
      <c r="Q887">
        <v>-4.2229360000000001E-2</v>
      </c>
      <c r="R887">
        <v>-0.71467999999999998</v>
      </c>
      <c r="S887">
        <v>1.1199190000000001</v>
      </c>
      <c r="T887">
        <v>-0.284914099999999</v>
      </c>
      <c r="U887">
        <v>-3.103027</v>
      </c>
      <c r="V887">
        <v>0.20489669999999999</v>
      </c>
      <c r="W887">
        <v>-3.1212E-2</v>
      </c>
      <c r="X887">
        <v>0.97828579999999998</v>
      </c>
      <c r="Y887">
        <v>0.59237899999999999</v>
      </c>
      <c r="Z887">
        <v>2.4454119999999999E-2</v>
      </c>
      <c r="AA887">
        <v>0.80528820000000001</v>
      </c>
      <c r="AB887">
        <v>23</v>
      </c>
      <c r="AC887">
        <v>4.1805999999999903</v>
      </c>
      <c r="AD887">
        <v>-1.0978101621609999</v>
      </c>
      <c r="AE887">
        <v>-11.8582999999999</v>
      </c>
      <c r="AF887">
        <v>7.4701304845872096</v>
      </c>
      <c r="AG887">
        <v>-1.0978101621609999</v>
      </c>
      <c r="AH887">
        <v>9.9955367932045505</v>
      </c>
      <c r="AI887">
        <v>95.027706220220097</v>
      </c>
      <c r="AJ887">
        <v>53.227524485319798</v>
      </c>
      <c r="AK887">
        <v>12.5267231306997</v>
      </c>
    </row>
    <row r="888" spans="1:37" x14ac:dyDescent="0.2">
      <c r="A888" t="str">
        <f>"20200111160115881"</f>
        <v>20200111160115881</v>
      </c>
      <c r="B888" t="str">
        <f>"1578729675871862"</f>
        <v>1578729675871862</v>
      </c>
      <c r="C888" t="s">
        <v>37</v>
      </c>
      <c r="D888">
        <v>5.4787999999999997</v>
      </c>
      <c r="E888">
        <v>0.67278959999999999</v>
      </c>
      <c r="F888" t="s">
        <v>38</v>
      </c>
      <c r="G888">
        <v>-192.0427</v>
      </c>
      <c r="H888" s="1">
        <v>-3.53937799999999E-6</v>
      </c>
      <c r="I888">
        <v>346.57249999999999</v>
      </c>
      <c r="J888">
        <v>-195.87530000000001</v>
      </c>
      <c r="K888">
        <v>1.097766</v>
      </c>
      <c r="L888">
        <v>357.60939999999999</v>
      </c>
      <c r="M888">
        <v>0.82723219999999997</v>
      </c>
      <c r="N888">
        <v>0</v>
      </c>
      <c r="O888">
        <v>-0.56167040000000001</v>
      </c>
      <c r="P888">
        <v>0.69217109999999904</v>
      </c>
      <c r="Q888">
        <v>-4.4428549999999997E-2</v>
      </c>
      <c r="R888">
        <v>-0.72036469999999997</v>
      </c>
      <c r="S888">
        <v>1.1016239999999999</v>
      </c>
      <c r="T888">
        <v>-0.30630159999999901</v>
      </c>
      <c r="U888">
        <v>-3.1034549999999999</v>
      </c>
      <c r="V888">
        <v>0.20665259999999999</v>
      </c>
      <c r="W888">
        <v>-3.3450069999999998E-2</v>
      </c>
      <c r="X888">
        <v>0.9778424</v>
      </c>
      <c r="Y888">
        <v>0.59141790000000005</v>
      </c>
      <c r="Z888">
        <v>2.6979240000000002E-2</v>
      </c>
      <c r="AA888">
        <v>0.80591380000000001</v>
      </c>
      <c r="AB888">
        <v>23</v>
      </c>
      <c r="AC888">
        <v>3.83260000000001</v>
      </c>
      <c r="AD888">
        <v>-1.097769539378</v>
      </c>
      <c r="AE888">
        <v>-11.036899999999999</v>
      </c>
      <c r="AF888">
        <v>6.9170980729914602</v>
      </c>
      <c r="AG888">
        <v>-1.097769539378</v>
      </c>
      <c r="AH888">
        <v>9.2885460893269496</v>
      </c>
      <c r="AI888">
        <v>95.414844166625898</v>
      </c>
      <c r="AJ888">
        <v>53.325270730606498</v>
      </c>
      <c r="AK888">
        <v>11.633074923102599</v>
      </c>
    </row>
    <row r="889" spans="1:37" x14ac:dyDescent="0.2">
      <c r="A889" t="str">
        <f>"20200111160115897"</f>
        <v>20200111160115897</v>
      </c>
      <c r="B889" t="str">
        <f>"1578729675891382"</f>
        <v>1578729675891382</v>
      </c>
      <c r="C889" t="s">
        <v>37</v>
      </c>
      <c r="D889">
        <v>5.4812760000000003</v>
      </c>
      <c r="E889">
        <v>0.6698691</v>
      </c>
      <c r="F889" t="s">
        <v>38</v>
      </c>
      <c r="G889">
        <v>-192.16040000000001</v>
      </c>
      <c r="H889" s="1">
        <v>-3.7423739999999899E-6</v>
      </c>
      <c r="I889">
        <v>346.97280000000001</v>
      </c>
      <c r="J889">
        <v>-195.74770000000001</v>
      </c>
      <c r="K889">
        <v>1.0977349999999999</v>
      </c>
      <c r="L889">
        <v>357.51319999999998</v>
      </c>
      <c r="M889">
        <v>0.82319809999999904</v>
      </c>
      <c r="N889">
        <v>0</v>
      </c>
      <c r="O889">
        <v>-0.56756619999999902</v>
      </c>
      <c r="P889">
        <v>0.68615599999999999</v>
      </c>
      <c r="Q889">
        <v>-4.469998E-2</v>
      </c>
      <c r="R889">
        <v>-0.72607980000000005</v>
      </c>
      <c r="S889">
        <v>1.0838779999999999</v>
      </c>
      <c r="T889">
        <v>-0.32028839999999997</v>
      </c>
      <c r="U889">
        <v>-3.1033629999999999</v>
      </c>
      <c r="V889">
        <v>0.20777789999999999</v>
      </c>
      <c r="W889">
        <v>-3.3747100000000002E-2</v>
      </c>
      <c r="X889">
        <v>0.97759370000000001</v>
      </c>
      <c r="Y889">
        <v>0.5897384</v>
      </c>
      <c r="Z889">
        <v>2.90475E-2</v>
      </c>
      <c r="AA889">
        <v>0.80707180000000001</v>
      </c>
      <c r="AB889">
        <v>23</v>
      </c>
      <c r="AC889">
        <v>3.5872999999999902</v>
      </c>
      <c r="AD889">
        <v>-1.0977387423739999</v>
      </c>
      <c r="AE889">
        <v>-10.540399999999901</v>
      </c>
      <c r="AF889">
        <v>6.5775790956457501</v>
      </c>
      <c r="AG889">
        <v>-1.0977387423739999</v>
      </c>
      <c r="AH889">
        <v>8.8503579752873698</v>
      </c>
      <c r="AI889">
        <v>95.685100029013796</v>
      </c>
      <c r="AJ889">
        <v>53.380297535115297</v>
      </c>
      <c r="AK889">
        <v>11.0814445536995</v>
      </c>
    </row>
    <row r="890" spans="1:37" x14ac:dyDescent="0.2">
      <c r="A890" t="str">
        <f>"20200111160115916"</f>
        <v>20200111160115916</v>
      </c>
      <c r="B890" t="str">
        <f>"1578729675911879"</f>
        <v>1578729675911879</v>
      </c>
      <c r="C890" t="s">
        <v>37</v>
      </c>
      <c r="D890">
        <v>5.5091939999999999</v>
      </c>
      <c r="E890">
        <v>0.66773470000000001</v>
      </c>
      <c r="F890" t="s">
        <v>38</v>
      </c>
      <c r="G890">
        <v>-192.22229999999999</v>
      </c>
      <c r="H890" s="1">
        <v>-3.9268859999999997E-6</v>
      </c>
      <c r="I890">
        <v>347.36779999999999</v>
      </c>
      <c r="J890">
        <v>-195.58760000000001</v>
      </c>
      <c r="K890">
        <v>1.097707</v>
      </c>
      <c r="L890">
        <v>357.39030000000002</v>
      </c>
      <c r="M890">
        <v>0.81801089999999999</v>
      </c>
      <c r="N890">
        <v>0</v>
      </c>
      <c r="O890">
        <v>-0.57501709999999995</v>
      </c>
      <c r="P890">
        <v>0.67804799999999998</v>
      </c>
      <c r="Q890">
        <v>-4.3543949999999998E-2</v>
      </c>
      <c r="R890">
        <v>-0.73372709999999997</v>
      </c>
      <c r="S890">
        <v>1.0754090000000001</v>
      </c>
      <c r="T890">
        <v>-0.33486159999999998</v>
      </c>
      <c r="U890">
        <v>-3.0948180000000001</v>
      </c>
      <c r="V890">
        <v>0.20983289999999899</v>
      </c>
      <c r="W890">
        <v>-3.2632889999999998E-2</v>
      </c>
      <c r="X890">
        <v>0.97719249999999902</v>
      </c>
      <c r="Y890">
        <v>0.58367590000000003</v>
      </c>
      <c r="Z890">
        <v>3.1735480000000003E-2</v>
      </c>
      <c r="AA890">
        <v>0.81136629999999998</v>
      </c>
      <c r="AB890">
        <v>23</v>
      </c>
      <c r="AC890">
        <v>3.3653000000000102</v>
      </c>
      <c r="AD890">
        <v>-1.0977109268859999</v>
      </c>
      <c r="AE890">
        <v>-10.022500000000001</v>
      </c>
      <c r="AF890">
        <v>6.1972698823454797</v>
      </c>
      <c r="AG890">
        <v>-1.0977109268859999</v>
      </c>
      <c r="AH890">
        <v>8.4260355252970101</v>
      </c>
      <c r="AI890">
        <v>95.991101758716596</v>
      </c>
      <c r="AJ890">
        <v>53.665867900750797</v>
      </c>
      <c r="AK890">
        <v>10.517090754918801</v>
      </c>
    </row>
    <row r="891" spans="1:37" x14ac:dyDescent="0.2">
      <c r="A891" t="str">
        <f>"20200111160115939"</f>
        <v>20200111160115939</v>
      </c>
      <c r="B891" t="str">
        <f>"1578729675931398"</f>
        <v>1578729675931398</v>
      </c>
      <c r="C891" t="s">
        <v>37</v>
      </c>
      <c r="D891">
        <v>5.4992219999999996</v>
      </c>
      <c r="E891">
        <v>0.66567719999999997</v>
      </c>
      <c r="F891" t="s">
        <v>38</v>
      </c>
      <c r="G891">
        <v>-192.13</v>
      </c>
      <c r="H891" s="1">
        <v>-3.846364E-6</v>
      </c>
      <c r="I891">
        <v>347.23399999999998</v>
      </c>
      <c r="J891">
        <v>-195.40049999999999</v>
      </c>
      <c r="K891">
        <v>1.097691</v>
      </c>
      <c r="L891">
        <v>357.24349999999998</v>
      </c>
      <c r="M891">
        <v>0.81176349999999997</v>
      </c>
      <c r="N891">
        <v>0</v>
      </c>
      <c r="O891">
        <v>-0.58380310000000002</v>
      </c>
      <c r="P891">
        <v>0.66952309999999904</v>
      </c>
      <c r="Q891">
        <v>-4.054046E-2</v>
      </c>
      <c r="R891">
        <v>-0.74168440000000002</v>
      </c>
      <c r="S891">
        <v>1.0537110000000001</v>
      </c>
      <c r="T891">
        <v>-0.33452759999999998</v>
      </c>
      <c r="U891">
        <v>-3.0951230000000001</v>
      </c>
      <c r="V891">
        <v>0.21077460000000001</v>
      </c>
      <c r="W891">
        <v>-2.9645910000000001E-2</v>
      </c>
      <c r="X891">
        <v>0.97708510000000004</v>
      </c>
      <c r="Y891">
        <v>0.58006599999999997</v>
      </c>
      <c r="Z891">
        <v>3.3071650000000001E-2</v>
      </c>
      <c r="AA891">
        <v>0.81389789999999995</v>
      </c>
      <c r="AB891">
        <v>23</v>
      </c>
      <c r="AC891">
        <v>3.27049999999999</v>
      </c>
      <c r="AD891">
        <v>-1.0976948463639999</v>
      </c>
      <c r="AE891">
        <v>-10.0094999999999</v>
      </c>
      <c r="AF891">
        <v>6.14985703311475</v>
      </c>
      <c r="AG891">
        <v>-1.0976948463639999</v>
      </c>
      <c r="AH891">
        <v>8.4079943751063499</v>
      </c>
      <c r="AI891">
        <v>96.015329002404897</v>
      </c>
      <c r="AJ891">
        <v>53.817152777055</v>
      </c>
      <c r="AK891">
        <v>10.4747336441221</v>
      </c>
    </row>
    <row r="892" spans="1:37" x14ac:dyDescent="0.2">
      <c r="A892" t="str">
        <f>"20200111160115961"</f>
        <v>20200111160115961</v>
      </c>
      <c r="B892" t="str">
        <f>"1578729675951894"</f>
        <v>1578729675951894</v>
      </c>
      <c r="C892" t="s">
        <v>37</v>
      </c>
      <c r="D892">
        <v>5.5222829999999998</v>
      </c>
      <c r="E892">
        <v>0.66407380000000005</v>
      </c>
      <c r="F892" t="s">
        <v>38</v>
      </c>
      <c r="G892">
        <v>-191.92920000000001</v>
      </c>
      <c r="H892" s="1">
        <v>-3.608543E-6</v>
      </c>
      <c r="I892">
        <v>346.80419999999998</v>
      </c>
      <c r="J892">
        <v>-195.2208</v>
      </c>
      <c r="K892">
        <v>1.0976840000000001</v>
      </c>
      <c r="L892">
        <v>357.0994</v>
      </c>
      <c r="M892">
        <v>0.80558739999999995</v>
      </c>
      <c r="N892">
        <v>0</v>
      </c>
      <c r="O892">
        <v>-0.59229580000000004</v>
      </c>
      <c r="P892">
        <v>0.66132369999999996</v>
      </c>
      <c r="Q892">
        <v>-3.761395E-2</v>
      </c>
      <c r="R892">
        <v>-0.74915710000000002</v>
      </c>
      <c r="S892">
        <v>1.0299069999999999</v>
      </c>
      <c r="T892">
        <v>-0.32568399999999997</v>
      </c>
      <c r="U892">
        <v>-3.097321</v>
      </c>
      <c r="V892">
        <v>0.21143039999999999</v>
      </c>
      <c r="W892">
        <v>-2.6728089999999999E-2</v>
      </c>
      <c r="X892">
        <v>0.97702749999999905</v>
      </c>
      <c r="Y892">
        <v>0.57735179999999997</v>
      </c>
      <c r="Z892">
        <v>3.3443769999999998E-2</v>
      </c>
      <c r="AA892">
        <v>0.81581029999999999</v>
      </c>
      <c r="AB892">
        <v>23</v>
      </c>
      <c r="AC892">
        <v>3.2915999999999799</v>
      </c>
      <c r="AD892">
        <v>-1.0976876085430001</v>
      </c>
      <c r="AE892">
        <v>-10.295199999999999</v>
      </c>
      <c r="AF892">
        <v>6.2799928452720204</v>
      </c>
      <c r="AG892">
        <v>-1.0976876085430001</v>
      </c>
      <c r="AH892">
        <v>8.6610855552530506</v>
      </c>
      <c r="AI892">
        <v>95.858294802929194</v>
      </c>
      <c r="AJ892">
        <v>54.054827728277402</v>
      </c>
      <c r="AK892">
        <v>10.754423797583399</v>
      </c>
    </row>
    <row r="893" spans="1:37" x14ac:dyDescent="0.2">
      <c r="A893" t="str">
        <f>"20200111160115982"</f>
        <v>20200111160115982</v>
      </c>
      <c r="B893" t="str">
        <f>"1578729675971414"</f>
        <v>1578729675971414</v>
      </c>
      <c r="C893" t="s">
        <v>37</v>
      </c>
      <c r="D893">
        <v>5.5383899999999997</v>
      </c>
      <c r="E893">
        <v>0.64848050000000002</v>
      </c>
      <c r="F893" t="s">
        <v>38</v>
      </c>
      <c r="G893">
        <v>-191.739</v>
      </c>
      <c r="H893" s="1">
        <v>-3.3680070000000002E-6</v>
      </c>
      <c r="I893">
        <v>346.36149999999998</v>
      </c>
      <c r="J893">
        <v>-195.05359999999999</v>
      </c>
      <c r="K893">
        <v>1.097682</v>
      </c>
      <c r="L893">
        <v>356.9624</v>
      </c>
      <c r="M893">
        <v>0.79967219999999894</v>
      </c>
      <c r="N893">
        <v>0</v>
      </c>
      <c r="O893">
        <v>-0.60025790000000001</v>
      </c>
      <c r="P893">
        <v>0.65412809999999999</v>
      </c>
      <c r="Q893">
        <v>-3.5666570000000002E-2</v>
      </c>
      <c r="R893">
        <v>-0.75554259999999995</v>
      </c>
      <c r="S893">
        <v>1.0055080000000001</v>
      </c>
      <c r="T893">
        <v>-0.31699879999999903</v>
      </c>
      <c r="U893">
        <v>-3.1009829999999998</v>
      </c>
      <c r="V893">
        <v>0.21118969999999901</v>
      </c>
      <c r="W893">
        <v>-2.4772550000000001E-2</v>
      </c>
      <c r="X893">
        <v>0.97713109999999903</v>
      </c>
      <c r="Y893">
        <v>0.57537439999999995</v>
      </c>
      <c r="Z893">
        <v>3.3654789999999997E-2</v>
      </c>
      <c r="AA893">
        <v>0.81719739999999996</v>
      </c>
      <c r="AB893">
        <v>23</v>
      </c>
      <c r="AC893">
        <v>3.31459999999998</v>
      </c>
      <c r="AD893">
        <v>-1.097685368007</v>
      </c>
      <c r="AE893">
        <v>-10.600899999999999</v>
      </c>
      <c r="AF893">
        <v>6.4255685865261301</v>
      </c>
      <c r="AG893">
        <v>-1.097685368007</v>
      </c>
      <c r="AH893">
        <v>8.9276394943250796</v>
      </c>
      <c r="AI893">
        <v>95.698874086935604</v>
      </c>
      <c r="AJ893">
        <v>54.255969957108398</v>
      </c>
      <c r="AK893">
        <v>11.0542114946259</v>
      </c>
    </row>
    <row r="894" spans="1:37" x14ac:dyDescent="0.2">
      <c r="A894" t="str">
        <f>"20200111160116005"</f>
        <v>20200111160116005</v>
      </c>
      <c r="B894" t="str">
        <f>"1578729676001670"</f>
        <v>1578729676001670</v>
      </c>
      <c r="C894" t="s">
        <v>37</v>
      </c>
      <c r="D894">
        <v>5.4971819999999996</v>
      </c>
      <c r="E894">
        <v>0.64710000000000001</v>
      </c>
      <c r="F894" t="s">
        <v>38</v>
      </c>
      <c r="G894">
        <v>-191.63839999999999</v>
      </c>
      <c r="H894" s="1">
        <v>-3.7473759999999899E-6</v>
      </c>
      <c r="I894">
        <v>347.3082</v>
      </c>
      <c r="J894">
        <v>-194.87719999999999</v>
      </c>
      <c r="K894">
        <v>1.097672</v>
      </c>
      <c r="L894">
        <v>356.81479999999999</v>
      </c>
      <c r="M894">
        <v>0.79324629999999996</v>
      </c>
      <c r="N894">
        <v>0</v>
      </c>
      <c r="O894">
        <v>-0.6087243</v>
      </c>
      <c r="P894">
        <v>0.646312</v>
      </c>
      <c r="Q894">
        <v>-3.2462619999999998E-2</v>
      </c>
      <c r="R894">
        <v>-0.76238269999999997</v>
      </c>
      <c r="S894">
        <v>1.070892</v>
      </c>
      <c r="T894">
        <v>-0.34419659999999902</v>
      </c>
      <c r="U894">
        <v>-3.0272519999999998</v>
      </c>
      <c r="V894">
        <v>0.21103139999999901</v>
      </c>
      <c r="W894">
        <v>-2.1563760000000001E-2</v>
      </c>
      <c r="X894">
        <v>0.97724140000000004</v>
      </c>
      <c r="Y894">
        <v>0.54477159999999902</v>
      </c>
      <c r="Z894">
        <v>3.9903269999999998E-2</v>
      </c>
      <c r="AA894">
        <v>0.83763460000000001</v>
      </c>
      <c r="AB894">
        <v>23</v>
      </c>
      <c r="AC894">
        <v>3.2387999999999901</v>
      </c>
      <c r="AD894">
        <v>-1.0976757473759999</v>
      </c>
      <c r="AE894">
        <v>-9.5065999999999899</v>
      </c>
      <c r="AF894">
        <v>5.5043849730186301</v>
      </c>
      <c r="AG894">
        <v>-1.0976757473759999</v>
      </c>
      <c r="AH894">
        <v>8.2583129447300507</v>
      </c>
      <c r="AI894">
        <v>96.3113386419043</v>
      </c>
      <c r="AJ894">
        <v>56.315490085601802</v>
      </c>
      <c r="AK894">
        <v>9.98513288197341</v>
      </c>
    </row>
    <row r="895" spans="1:37" x14ac:dyDescent="0.2">
      <c r="A895" t="str">
        <f>"20200111160116039"</f>
        <v>20200111160116039</v>
      </c>
      <c r="B895" t="str">
        <f>"1578729676031927"</f>
        <v>1578729676031927</v>
      </c>
      <c r="C895" t="s">
        <v>37</v>
      </c>
      <c r="D895">
        <v>5.285501</v>
      </c>
      <c r="E895">
        <v>0.64744179999999996</v>
      </c>
      <c r="F895" t="s">
        <v>38</v>
      </c>
      <c r="G895">
        <v>-191.4365</v>
      </c>
      <c r="H895" s="1">
        <v>-3.5030239999999898E-6</v>
      </c>
      <c r="I895">
        <v>346.86380000000003</v>
      </c>
      <c r="J895">
        <v>-194.6002</v>
      </c>
      <c r="K895">
        <v>1.0976360000000001</v>
      </c>
      <c r="L895">
        <v>356.57589999999999</v>
      </c>
      <c r="M895">
        <v>0.78273149999999903</v>
      </c>
      <c r="N895">
        <v>0</v>
      </c>
      <c r="O895">
        <v>-0.62218640000000003</v>
      </c>
      <c r="P895">
        <v>0.63349630000000001</v>
      </c>
      <c r="Q895">
        <v>-2.954973E-2</v>
      </c>
      <c r="R895">
        <v>-0.77318160000000002</v>
      </c>
      <c r="S895">
        <v>1.04837</v>
      </c>
      <c r="T895">
        <v>-0.33445749999999902</v>
      </c>
      <c r="U895">
        <v>-3.0320429999999998</v>
      </c>
      <c r="V895">
        <v>0.21078620000000001</v>
      </c>
      <c r="W895">
        <v>-1.865269E-2</v>
      </c>
      <c r="X895">
        <v>0.97735419999999995</v>
      </c>
      <c r="Y895">
        <v>0.53645399999999999</v>
      </c>
      <c r="Z895">
        <v>4.0973429999999998E-2</v>
      </c>
      <c r="AA895">
        <v>0.84293439999999997</v>
      </c>
      <c r="AB895">
        <v>23</v>
      </c>
      <c r="AC895">
        <v>3.1637</v>
      </c>
      <c r="AD895">
        <v>-1.09763950302399</v>
      </c>
      <c r="AE895">
        <v>-9.7120999999999604</v>
      </c>
      <c r="AF895">
        <v>5.5698438749449704</v>
      </c>
      <c r="AG895">
        <v>-1.09763950302399</v>
      </c>
      <c r="AH895">
        <v>8.4227194637306706</v>
      </c>
      <c r="AI895">
        <v>96.203748636800995</v>
      </c>
      <c r="AJ895">
        <v>56.523811610027202</v>
      </c>
      <c r="AK895">
        <v>10.1572720961175</v>
      </c>
    </row>
    <row r="896" spans="1:37" x14ac:dyDescent="0.2">
      <c r="A896" t="str">
        <f>"20200111160116240"</f>
        <v>20200111160116240</v>
      </c>
      <c r="B896" t="str">
        <f>"1578729676231154"</f>
        <v>1578729676231154</v>
      </c>
      <c r="C896" t="s">
        <v>37</v>
      </c>
      <c r="D896">
        <v>5.1909799999999997</v>
      </c>
      <c r="E896">
        <v>0.66274109999999997</v>
      </c>
      <c r="F896" t="s">
        <v>38</v>
      </c>
      <c r="G896">
        <v>-191.24639999999999</v>
      </c>
      <c r="H896" s="1">
        <v>-3.2078780000000001E-6</v>
      </c>
      <c r="I896">
        <v>346.2937</v>
      </c>
      <c r="J896">
        <v>-193.11500000000001</v>
      </c>
      <c r="K896">
        <v>1.097227</v>
      </c>
      <c r="L896">
        <v>355.12699999999899</v>
      </c>
      <c r="M896">
        <v>0.71508870000000002</v>
      </c>
      <c r="N896">
        <v>0</v>
      </c>
      <c r="O896">
        <v>-0.69887630000000001</v>
      </c>
      <c r="P896">
        <v>0.53246179999999999</v>
      </c>
      <c r="Q896">
        <v>-1.921703E-2</v>
      </c>
      <c r="R896">
        <v>-0.84623599999999999</v>
      </c>
      <c r="S896">
        <v>0.99546809999999997</v>
      </c>
      <c r="T896">
        <v>-0.32580490000000001</v>
      </c>
      <c r="U896">
        <v>-3.0520019999999999</v>
      </c>
      <c r="V896">
        <v>0.23291419999999999</v>
      </c>
      <c r="W896">
        <v>-8.8883850000000004E-3</v>
      </c>
      <c r="X896">
        <v>0.97245669999999995</v>
      </c>
      <c r="Y896">
        <v>0.4635166</v>
      </c>
      <c r="Z896">
        <v>5.2890319999999998E-2</v>
      </c>
      <c r="AA896">
        <v>0.88450830000000003</v>
      </c>
      <c r="AB896">
        <v>22</v>
      </c>
      <c r="AC896">
        <v>1.86860000000001</v>
      </c>
      <c r="AD896">
        <v>-1.0972302078780001</v>
      </c>
      <c r="AE896">
        <v>-8.8332999999999497</v>
      </c>
      <c r="AF896">
        <v>4.9382928412032001</v>
      </c>
      <c r="AG896">
        <v>-1.0972302078780001</v>
      </c>
      <c r="AH896">
        <v>7.4011214869276296</v>
      </c>
      <c r="AI896">
        <v>97.030256015883296</v>
      </c>
      <c r="AJ896">
        <v>56.287364993956103</v>
      </c>
      <c r="AK896">
        <v>8.9647782782855696</v>
      </c>
    </row>
    <row r="897" spans="1:37" x14ac:dyDescent="0.2">
      <c r="A897" t="str">
        <f>"20200111160116263"</f>
        <v>20200111160116263</v>
      </c>
      <c r="B897" t="str">
        <f>"1578729676251651"</f>
        <v>1578729676251651</v>
      </c>
      <c r="C897" t="s">
        <v>37</v>
      </c>
      <c r="D897">
        <v>5.3171819999999999</v>
      </c>
      <c r="E897">
        <v>0.66727910000000001</v>
      </c>
      <c r="F897" t="s">
        <v>38</v>
      </c>
      <c r="G897">
        <v>-189.9659</v>
      </c>
      <c r="H897" s="1">
        <v>-2.248448E-6</v>
      </c>
      <c r="I897">
        <v>334.85140000000001</v>
      </c>
      <c r="J897">
        <v>-192.96610000000001</v>
      </c>
      <c r="K897">
        <v>1.0971610000000001</v>
      </c>
      <c r="L897">
        <v>354.96289999999999</v>
      </c>
      <c r="M897">
        <v>0.70694880000000004</v>
      </c>
      <c r="N897">
        <v>0</v>
      </c>
      <c r="O897">
        <v>-0.70710879999999998</v>
      </c>
      <c r="P897">
        <v>0.52174929999999997</v>
      </c>
      <c r="Q897">
        <v>-1.864393E-2</v>
      </c>
      <c r="R897">
        <v>-0.85289509999999902</v>
      </c>
      <c r="S897">
        <v>0.50103759999999997</v>
      </c>
      <c r="T897">
        <v>-0.1745756</v>
      </c>
      <c r="U897">
        <v>-3.2259519999999999</v>
      </c>
      <c r="V897">
        <v>0.233934</v>
      </c>
      <c r="W897">
        <v>-8.3547589999999998E-3</v>
      </c>
      <c r="X897">
        <v>0.97221650000000004</v>
      </c>
      <c r="Y897">
        <v>0.59006259999999999</v>
      </c>
      <c r="Z897">
        <v>2.5445209999999999E-2</v>
      </c>
      <c r="AA897">
        <v>0.80695640000000002</v>
      </c>
      <c r="AB897">
        <v>22</v>
      </c>
      <c r="AC897">
        <v>3.0002</v>
      </c>
      <c r="AD897">
        <v>-1.0971632484480001</v>
      </c>
      <c r="AE897">
        <v>-20.1114999999999</v>
      </c>
      <c r="AF897">
        <v>12.062548724893499</v>
      </c>
      <c r="AG897">
        <v>-1.0971632484480001</v>
      </c>
      <c r="AH897">
        <v>16.296364295970498</v>
      </c>
      <c r="AI897">
        <v>93.097484483334</v>
      </c>
      <c r="AJ897">
        <v>53.491200834868202</v>
      </c>
      <c r="AK897">
        <v>20.304687591813799</v>
      </c>
    </row>
    <row r="898" spans="1:37" x14ac:dyDescent="0.2">
      <c r="A898" t="str">
        <f>"20200111160116308"</f>
        <v>20200111160116308</v>
      </c>
      <c r="B898" t="str">
        <f>"1578729676301427"</f>
        <v>1578729676301427</v>
      </c>
      <c r="C898" t="s">
        <v>37</v>
      </c>
      <c r="D898">
        <v>5.1017239999999999</v>
      </c>
      <c r="E898">
        <v>0.66523840000000001</v>
      </c>
      <c r="F898" t="s">
        <v>38</v>
      </c>
      <c r="G898">
        <v>-190.39009999999999</v>
      </c>
      <c r="H898" s="1">
        <v>-2.6297629999999998E-6</v>
      </c>
      <c r="I898">
        <v>335.47719999999998</v>
      </c>
      <c r="J898">
        <v>-192.6635</v>
      </c>
      <c r="K898">
        <v>1.09701</v>
      </c>
      <c r="L898">
        <v>354.61660000000001</v>
      </c>
      <c r="M898">
        <v>0.68940230000000002</v>
      </c>
      <c r="N898">
        <v>0</v>
      </c>
      <c r="O898">
        <v>-0.72422519999999901</v>
      </c>
      <c r="P898">
        <v>0.50102079999999904</v>
      </c>
      <c r="Q898">
        <v>-1.76498E-2</v>
      </c>
      <c r="R898">
        <v>-0.86525540000000001</v>
      </c>
      <c r="S898">
        <v>0.42973329999999998</v>
      </c>
      <c r="T898">
        <v>-0.1830261</v>
      </c>
      <c r="U898">
        <v>-3.2505489999999999</v>
      </c>
      <c r="V898">
        <v>0.2335873</v>
      </c>
      <c r="W898">
        <v>-7.3968899999999997E-3</v>
      </c>
      <c r="X898">
        <v>0.972307699999999</v>
      </c>
      <c r="Y898">
        <v>0.5885454</v>
      </c>
      <c r="Z898">
        <v>2.7871819999999999E-2</v>
      </c>
      <c r="AA898">
        <v>0.80798359999999902</v>
      </c>
      <c r="AB898">
        <v>22</v>
      </c>
      <c r="AC898">
        <v>2.2734000000000001</v>
      </c>
      <c r="AD898">
        <v>-1.0970126297630001</v>
      </c>
      <c r="AE898">
        <v>-19.139399999999998</v>
      </c>
      <c r="AF898">
        <v>11.5122823986444</v>
      </c>
      <c r="AG898">
        <v>-1.0970126297630001</v>
      </c>
      <c r="AH898">
        <v>15.3804130590665</v>
      </c>
      <c r="AI898">
        <v>93.268111903311194</v>
      </c>
      <c r="AJ898">
        <v>53.185042716025499</v>
      </c>
      <c r="AK898">
        <v>19.243003627383601</v>
      </c>
    </row>
    <row r="899" spans="1:37" x14ac:dyDescent="0.2">
      <c r="A899" t="str">
        <f>"20200111160116331"</f>
        <v>20200111160116331</v>
      </c>
      <c r="B899" t="str">
        <f>"1578729676321922"</f>
        <v>1578729676321922</v>
      </c>
      <c r="C899" t="s">
        <v>37</v>
      </c>
      <c r="D899">
        <v>5.0184509999999998</v>
      </c>
      <c r="E899">
        <v>0.66398539999999995</v>
      </c>
      <c r="F899" t="s">
        <v>38</v>
      </c>
      <c r="G899">
        <v>-189.95070000000001</v>
      </c>
      <c r="H899" s="1">
        <v>-3.355007E-7</v>
      </c>
      <c r="I899">
        <v>330.39440000000002</v>
      </c>
      <c r="J899">
        <v>-192.51599999999999</v>
      </c>
      <c r="K899">
        <v>1.096938</v>
      </c>
      <c r="L899">
        <v>354.44069999999999</v>
      </c>
      <c r="M899">
        <v>0.68030690000000005</v>
      </c>
      <c r="N899">
        <v>0</v>
      </c>
      <c r="O899">
        <v>-0.73277519999999996</v>
      </c>
      <c r="P899">
        <v>0.49108889999999999</v>
      </c>
      <c r="Q899">
        <v>-1.6113249999999999E-2</v>
      </c>
      <c r="R899">
        <v>-0.87096049999999903</v>
      </c>
      <c r="S899">
        <v>0.36434939999999999</v>
      </c>
      <c r="T899">
        <v>-0.147336299999999</v>
      </c>
      <c r="U899">
        <v>-3.2532040000000002</v>
      </c>
      <c r="V899">
        <v>0.2326202</v>
      </c>
      <c r="W899">
        <v>-5.8604199999999999E-3</v>
      </c>
      <c r="X899">
        <v>0.97255000000000003</v>
      </c>
      <c r="Y899">
        <v>0.594545199999999</v>
      </c>
      <c r="Z899">
        <v>2.2874149999999999E-2</v>
      </c>
      <c r="AA899">
        <v>0.80373680000000003</v>
      </c>
      <c r="AB899">
        <v>22</v>
      </c>
      <c r="AC899">
        <v>2.5652999999999802</v>
      </c>
      <c r="AD899">
        <v>-1.0969383355007001</v>
      </c>
      <c r="AE899">
        <v>-24.046299999999899</v>
      </c>
      <c r="AF899">
        <v>14.450956726634301</v>
      </c>
      <c r="AG899">
        <v>-1.0969383355007001</v>
      </c>
      <c r="AH899">
        <v>19.3281146817523</v>
      </c>
      <c r="AI899">
        <v>92.602513804271695</v>
      </c>
      <c r="AJ899">
        <v>53.215817634229502</v>
      </c>
      <c r="AK899">
        <v>24.158009876186401</v>
      </c>
    </row>
    <row r="900" spans="1:37" x14ac:dyDescent="0.2">
      <c r="A900" t="str">
        <f>"20200111160116352"</f>
        <v>20200111160116352</v>
      </c>
      <c r="B900" t="str">
        <f>"1578729676341442"</f>
        <v>1578729676341442</v>
      </c>
      <c r="C900" t="s">
        <v>37</v>
      </c>
      <c r="D900">
        <v>5.2197399999999998</v>
      </c>
      <c r="E900">
        <v>0.65959330000000005</v>
      </c>
      <c r="F900" t="s">
        <v>38</v>
      </c>
      <c r="G900">
        <v>-189.7688</v>
      </c>
      <c r="H900" s="1">
        <v>-3.551851E-6</v>
      </c>
      <c r="I900">
        <v>327.81659999999999</v>
      </c>
      <c r="J900">
        <v>-192.37620000000001</v>
      </c>
      <c r="K900">
        <v>1.0968719999999901</v>
      </c>
      <c r="L900">
        <v>354.26949999999999</v>
      </c>
      <c r="M900">
        <v>0.67133109999999996</v>
      </c>
      <c r="N900">
        <v>0</v>
      </c>
      <c r="O900">
        <v>-0.74100669999999902</v>
      </c>
      <c r="P900">
        <v>0.4816317</v>
      </c>
      <c r="Q900">
        <v>-1.339894E-2</v>
      </c>
      <c r="R900">
        <v>-0.87627109999999997</v>
      </c>
      <c r="S900">
        <v>0.33563229999999999</v>
      </c>
      <c r="T900">
        <v>-0.13401679999999999</v>
      </c>
      <c r="U900">
        <v>-3.2527469999999998</v>
      </c>
      <c r="V900">
        <v>0.23138339999999999</v>
      </c>
      <c r="W900">
        <v>-3.1353679999999999E-3</v>
      </c>
      <c r="X900">
        <v>0.97285759999999899</v>
      </c>
      <c r="Y900">
        <v>0.59176110000000004</v>
      </c>
      <c r="Z900">
        <v>2.1342449999999999E-2</v>
      </c>
      <c r="AA900">
        <v>0.80583079999999996</v>
      </c>
      <c r="AB900">
        <v>22</v>
      </c>
      <c r="AC900">
        <v>2.6074000000000099</v>
      </c>
      <c r="AD900">
        <v>-1.0968755518509901</v>
      </c>
      <c r="AE900">
        <v>-26.4529</v>
      </c>
      <c r="AF900">
        <v>15.801416498162499</v>
      </c>
      <c r="AG900">
        <v>-1.0968755518509901</v>
      </c>
      <c r="AH900">
        <v>21.3182914446962</v>
      </c>
      <c r="AI900">
        <v>92.367003505588499</v>
      </c>
      <c r="AJ900">
        <v>53.453639103781299</v>
      </c>
      <c r="AK900">
        <v>26.5585664041879</v>
      </c>
    </row>
    <row r="901" spans="1:37" x14ac:dyDescent="0.2">
      <c r="A901" t="str">
        <f>"20200111160116375"</f>
        <v>20200111160116375</v>
      </c>
      <c r="B901" t="str">
        <f>"1578729676361938"</f>
        <v>1578729676361938</v>
      </c>
      <c r="C901" t="s">
        <v>37</v>
      </c>
      <c r="D901">
        <v>5.1957899999999997</v>
      </c>
      <c r="E901">
        <v>0.6561555</v>
      </c>
      <c r="F901" t="s">
        <v>38</v>
      </c>
      <c r="G901">
        <v>-189.87209999999999</v>
      </c>
      <c r="H901" s="1">
        <v>-1.027157E-7</v>
      </c>
      <c r="I901">
        <v>329.8193</v>
      </c>
      <c r="J901">
        <v>-192.23660000000001</v>
      </c>
      <c r="K901">
        <v>1.096814</v>
      </c>
      <c r="L901">
        <v>354.09379999999999</v>
      </c>
      <c r="M901">
        <v>0.66201669999999901</v>
      </c>
      <c r="N901">
        <v>0</v>
      </c>
      <c r="O901">
        <v>-0.74933919999999998</v>
      </c>
      <c r="P901">
        <v>0.47260190000000002</v>
      </c>
      <c r="Q901">
        <v>-1.191888E-2</v>
      </c>
      <c r="R901">
        <v>-0.88119550000000002</v>
      </c>
      <c r="S901">
        <v>0.33174130000000002</v>
      </c>
      <c r="T901">
        <v>-0.14530970000000001</v>
      </c>
      <c r="U901">
        <v>-3.2390750000000001</v>
      </c>
      <c r="V901">
        <v>0.22926250000000001</v>
      </c>
      <c r="W901">
        <v>-1.6177920000000001E-3</v>
      </c>
      <c r="X901">
        <v>0.97336329999999904</v>
      </c>
      <c r="Y901">
        <v>0.58225550000000004</v>
      </c>
      <c r="Z901">
        <v>2.3936570000000001E-2</v>
      </c>
      <c r="AA901">
        <v>0.81265339999999997</v>
      </c>
      <c r="AB901">
        <v>22</v>
      </c>
      <c r="AC901">
        <v>2.36450000000002</v>
      </c>
      <c r="AD901">
        <v>-1.0968141027156999</v>
      </c>
      <c r="AE901">
        <v>-24.2744999999999</v>
      </c>
      <c r="AF901">
        <v>14.271056590612501</v>
      </c>
      <c r="AG901">
        <v>-1.0968141027156999</v>
      </c>
      <c r="AH901">
        <v>19.717515845206002</v>
      </c>
      <c r="AI901">
        <v>92.580111627435898</v>
      </c>
      <c r="AJ901">
        <v>54.103898496527897</v>
      </c>
      <c r="AK901">
        <v>24.364861758161702</v>
      </c>
    </row>
    <row r="902" spans="1:37" x14ac:dyDescent="0.2">
      <c r="A902" t="str">
        <f>"20200111160116398"</f>
        <v>20200111160116398</v>
      </c>
      <c r="B902" t="str">
        <f>"1578729676391220"</f>
        <v>1578729676391220</v>
      </c>
      <c r="C902" t="s">
        <v>37</v>
      </c>
      <c r="D902">
        <v>5.226756</v>
      </c>
      <c r="E902">
        <v>0.65249140000000005</v>
      </c>
      <c r="F902" t="s">
        <v>38</v>
      </c>
      <c r="G902">
        <v>-189.94290000000001</v>
      </c>
      <c r="H902" s="1">
        <v>-6.6763630000000004E-7</v>
      </c>
      <c r="I902">
        <v>331.16539999999998</v>
      </c>
      <c r="J902">
        <v>-192.09540000000001</v>
      </c>
      <c r="K902">
        <v>1.0967559999999901</v>
      </c>
      <c r="L902">
        <v>353.91109999999998</v>
      </c>
      <c r="M902">
        <v>0.65223120000000001</v>
      </c>
      <c r="N902">
        <v>0</v>
      </c>
      <c r="O902">
        <v>-0.75787159999999998</v>
      </c>
      <c r="P902">
        <v>0.46304059999999903</v>
      </c>
      <c r="Q902">
        <v>-1.266836E-2</v>
      </c>
      <c r="R902">
        <v>-0.8862466</v>
      </c>
      <c r="S902">
        <v>0.32304379999999999</v>
      </c>
      <c r="T902">
        <v>-0.1544721</v>
      </c>
      <c r="U902">
        <v>-3.2291560000000001</v>
      </c>
      <c r="V902">
        <v>0.22713439999999999</v>
      </c>
      <c r="W902">
        <v>-2.3238130000000001E-3</v>
      </c>
      <c r="X902">
        <v>0.97386070000000002</v>
      </c>
      <c r="Y902">
        <v>0.57358160000000002</v>
      </c>
      <c r="Z902">
        <v>2.6263849999999998E-2</v>
      </c>
      <c r="AA902">
        <v>0.81872730000000005</v>
      </c>
      <c r="AB902">
        <v>22</v>
      </c>
      <c r="AC902">
        <v>2.1524999999999999</v>
      </c>
      <c r="AD902">
        <v>-1.0967566676363001</v>
      </c>
      <c r="AE902">
        <v>-22.745699999999999</v>
      </c>
      <c r="AF902">
        <v>13.175262439086101</v>
      </c>
      <c r="AG902">
        <v>-1.0967566676363001</v>
      </c>
      <c r="AH902">
        <v>18.601481772013699</v>
      </c>
      <c r="AI902">
        <v>92.754624701248403</v>
      </c>
      <c r="AJ902">
        <v>54.690401094821603</v>
      </c>
      <c r="AK902">
        <v>22.821164291975901</v>
      </c>
    </row>
    <row r="903" spans="1:37" x14ac:dyDescent="0.2">
      <c r="A903" t="str">
        <f>"20200111160116419"</f>
        <v>20200111160116419</v>
      </c>
      <c r="B903" t="str">
        <f>"1578729676411715"</f>
        <v>1578729676411715</v>
      </c>
      <c r="C903" t="s">
        <v>37</v>
      </c>
      <c r="D903">
        <v>5.2186069999999898</v>
      </c>
      <c r="E903">
        <v>0.65048309999999998</v>
      </c>
      <c r="F903" t="s">
        <v>38</v>
      </c>
      <c r="G903">
        <v>-190.06870000000001</v>
      </c>
      <c r="H903" s="1">
        <v>-1.5473969999999999E-6</v>
      </c>
      <c r="I903">
        <v>333.15350000000001</v>
      </c>
      <c r="J903">
        <v>-191.96010000000001</v>
      </c>
      <c r="K903">
        <v>1.09670499999999</v>
      </c>
      <c r="L903">
        <v>353.73140000000001</v>
      </c>
      <c r="M903">
        <v>0.64250490000000005</v>
      </c>
      <c r="N903">
        <v>0</v>
      </c>
      <c r="O903">
        <v>-0.76613419999999999</v>
      </c>
      <c r="P903">
        <v>0.45254159999999999</v>
      </c>
      <c r="Q903">
        <v>-1.470087E-2</v>
      </c>
      <c r="R903">
        <v>-0.89162219999999903</v>
      </c>
      <c r="S903">
        <v>0.31422420000000001</v>
      </c>
      <c r="T903">
        <v>-0.1700497</v>
      </c>
      <c r="U903">
        <v>-3.2184140000000001</v>
      </c>
      <c r="V903">
        <v>0.22614809999999999</v>
      </c>
      <c r="W903">
        <v>-4.3342579999999997E-3</v>
      </c>
      <c r="X903">
        <v>0.97408329999999999</v>
      </c>
      <c r="Y903">
        <v>0.56504690000000002</v>
      </c>
      <c r="Z903">
        <v>2.9796960000000001E-2</v>
      </c>
      <c r="AA903">
        <v>0.82452060000000005</v>
      </c>
      <c r="AB903">
        <v>22</v>
      </c>
      <c r="AC903">
        <v>1.8914</v>
      </c>
      <c r="AD903">
        <v>-1.0967065473969999</v>
      </c>
      <c r="AE903">
        <v>-20.5779</v>
      </c>
      <c r="AF903">
        <v>11.740596356212899</v>
      </c>
      <c r="AG903">
        <v>-1.0967065473969999</v>
      </c>
      <c r="AH903">
        <v>16.934885714423501</v>
      </c>
      <c r="AI903">
        <v>93.046471984739398</v>
      </c>
      <c r="AJ903">
        <v>55.2672527027445</v>
      </c>
      <c r="AK903">
        <v>20.635763184607701</v>
      </c>
    </row>
    <row r="904" spans="1:37" x14ac:dyDescent="0.2">
      <c r="A904" t="str">
        <f>"20200111160116442"</f>
        <v>20200111160116442</v>
      </c>
      <c r="B904" t="str">
        <f>"1578729676431234"</f>
        <v>1578729676431234</v>
      </c>
      <c r="C904" t="s">
        <v>37</v>
      </c>
      <c r="D904">
        <v>5.2339859999999998</v>
      </c>
      <c r="E904">
        <v>0.63110519999999903</v>
      </c>
      <c r="F904" t="s">
        <v>38</v>
      </c>
      <c r="G904">
        <v>-190.23750000000001</v>
      </c>
      <c r="H904" s="1">
        <v>-2.2472529999999998E-6</v>
      </c>
      <c r="I904">
        <v>334.68020000000001</v>
      </c>
      <c r="J904">
        <v>-191.82390000000001</v>
      </c>
      <c r="K904">
        <v>1.0966530000000001</v>
      </c>
      <c r="L904">
        <v>353.54509999999999</v>
      </c>
      <c r="M904">
        <v>0.63233289999999998</v>
      </c>
      <c r="N904">
        <v>0</v>
      </c>
      <c r="O904">
        <v>-0.77455069999999904</v>
      </c>
      <c r="P904">
        <v>0.43997969999999997</v>
      </c>
      <c r="Q904">
        <v>-1.8056619999999999E-2</v>
      </c>
      <c r="R904">
        <v>-0.89782649999999997</v>
      </c>
      <c r="S904">
        <v>0.29061890000000001</v>
      </c>
      <c r="T904">
        <v>-0.1850234</v>
      </c>
      <c r="U904">
        <v>-3.2140810000000002</v>
      </c>
      <c r="V904">
        <v>0.22685900000000001</v>
      </c>
      <c r="W904">
        <v>-7.70470599999999E-3</v>
      </c>
      <c r="X904">
        <v>0.97389720000000002</v>
      </c>
      <c r="Y904">
        <v>0.56003649999999905</v>
      </c>
      <c r="Z904">
        <v>3.3261249999999999E-2</v>
      </c>
      <c r="AA904">
        <v>0.82779999999999998</v>
      </c>
      <c r="AB904">
        <v>22</v>
      </c>
      <c r="AC904">
        <v>1.58639999999999</v>
      </c>
      <c r="AD904">
        <v>-1.096655247253</v>
      </c>
      <c r="AE904">
        <v>-18.864899999999899</v>
      </c>
      <c r="AF904">
        <v>10.665571262853501</v>
      </c>
      <c r="AG904">
        <v>-1.096655247253</v>
      </c>
      <c r="AH904">
        <v>15.564493377132701</v>
      </c>
      <c r="AI904">
        <v>93.3264012300627</v>
      </c>
      <c r="AJ904">
        <v>55.579102981054803</v>
      </c>
      <c r="AK904">
        <v>18.900013682035901</v>
      </c>
    </row>
    <row r="905" spans="1:37" x14ac:dyDescent="0.2">
      <c r="A905" t="str">
        <f>"20200111160116465"</f>
        <v>20200111160116465</v>
      </c>
      <c r="B905" t="str">
        <f>"1578729676461491"</f>
        <v>1578729676461491</v>
      </c>
      <c r="C905" t="s">
        <v>37</v>
      </c>
      <c r="D905">
        <v>5.1783789999999996</v>
      </c>
      <c r="E905">
        <v>0.62886039999999999</v>
      </c>
      <c r="F905" t="s">
        <v>38</v>
      </c>
      <c r="G905">
        <v>-190.25129999999999</v>
      </c>
      <c r="H905" s="1">
        <v>-5.6369339999999999E-7</v>
      </c>
      <c r="I905">
        <v>340.74720000000002</v>
      </c>
      <c r="J905">
        <v>-191.6951</v>
      </c>
      <c r="K905">
        <v>1.0966199999999999</v>
      </c>
      <c r="L905">
        <v>353.36410000000001</v>
      </c>
      <c r="M905">
        <v>0.62235430000000003</v>
      </c>
      <c r="N905">
        <v>0</v>
      </c>
      <c r="O905">
        <v>-0.78259060000000003</v>
      </c>
      <c r="P905">
        <v>0.42670010000000003</v>
      </c>
      <c r="Q905">
        <v>-1.9975679999999999E-2</v>
      </c>
      <c r="R905">
        <v>-0.90417259999999999</v>
      </c>
      <c r="S905">
        <v>0.3866272</v>
      </c>
      <c r="T905">
        <v>-0.26962509999999901</v>
      </c>
      <c r="U905">
        <v>-3.146515</v>
      </c>
      <c r="V905">
        <v>0.2286676</v>
      </c>
      <c r="W905">
        <v>-9.6634500000000005E-3</v>
      </c>
      <c r="X905">
        <v>0.97345659999999901</v>
      </c>
      <c r="Y905">
        <v>0.52233759999999996</v>
      </c>
      <c r="Z905">
        <v>5.1486240000000003E-2</v>
      </c>
      <c r="AA905">
        <v>0.85118300000000002</v>
      </c>
      <c r="AB905">
        <v>22</v>
      </c>
      <c r="AC905">
        <v>1.44380000000001</v>
      </c>
      <c r="AD905">
        <v>-1.0966205636934001</v>
      </c>
      <c r="AE905">
        <v>-12.6168999999999</v>
      </c>
      <c r="AF905">
        <v>6.67327917898489</v>
      </c>
      <c r="AG905">
        <v>-1.0966205636934001</v>
      </c>
      <c r="AH905">
        <v>10.693902614856601</v>
      </c>
      <c r="AI905">
        <v>94.972051758436606</v>
      </c>
      <c r="AJ905">
        <v>58.0347418076786</v>
      </c>
      <c r="AK905">
        <v>12.6528567840399</v>
      </c>
    </row>
    <row r="906" spans="1:37" x14ac:dyDescent="0.2">
      <c r="A906" t="str">
        <f>"20200111160116486"</f>
        <v>20200111160116486</v>
      </c>
      <c r="B906" t="str">
        <f>"1578729676481987"</f>
        <v>1578729676481987</v>
      </c>
      <c r="C906" t="s">
        <v>37</v>
      </c>
      <c r="D906">
        <v>5.2717489999999998</v>
      </c>
      <c r="E906">
        <v>0.62779960000000001</v>
      </c>
      <c r="F906" t="s">
        <v>38</v>
      </c>
      <c r="G906">
        <v>-190.2441</v>
      </c>
      <c r="H906" s="1">
        <v>-4.7943389999999996E-7</v>
      </c>
      <c r="I906">
        <v>340.55529999999999</v>
      </c>
      <c r="J906">
        <v>-191.57040000000001</v>
      </c>
      <c r="K906">
        <v>1.096595</v>
      </c>
      <c r="L906">
        <v>353.18369999999999</v>
      </c>
      <c r="M906">
        <v>0.61233119999999996</v>
      </c>
      <c r="N906">
        <v>0</v>
      </c>
      <c r="O906">
        <v>-0.79045739999999998</v>
      </c>
      <c r="P906">
        <v>0.41423850000000001</v>
      </c>
      <c r="Q906">
        <v>-1.9550720000000001E-2</v>
      </c>
      <c r="R906">
        <v>-0.90995859999999995</v>
      </c>
      <c r="S906">
        <v>0.35614009999999902</v>
      </c>
      <c r="T906">
        <v>-0.26916319999999999</v>
      </c>
      <c r="U906">
        <v>-3.1438899999999999</v>
      </c>
      <c r="V906">
        <v>0.22964909999999999</v>
      </c>
      <c r="W906">
        <v>-9.2595739999999996E-3</v>
      </c>
      <c r="X906">
        <v>0.97322949999999997</v>
      </c>
      <c r="Y906">
        <v>0.51953400000000005</v>
      </c>
      <c r="Z906">
        <v>5.2496069999999999E-2</v>
      </c>
      <c r="AA906">
        <v>0.85283560000000003</v>
      </c>
      <c r="AB906">
        <v>22</v>
      </c>
      <c r="AC906">
        <v>1.3263</v>
      </c>
      <c r="AD906">
        <v>-1.0965954794338999</v>
      </c>
      <c r="AE906">
        <v>-12.628399999999999</v>
      </c>
      <c r="AF906">
        <v>6.63565070168488</v>
      </c>
      <c r="AG906">
        <v>-1.0965954794338999</v>
      </c>
      <c r="AH906">
        <v>10.7156565575365</v>
      </c>
      <c r="AI906">
        <v>94.972484355636297</v>
      </c>
      <c r="AJ906">
        <v>58.232213479134799</v>
      </c>
      <c r="AK906">
        <v>12.651469374715401</v>
      </c>
    </row>
    <row r="907" spans="1:37" x14ac:dyDescent="0.2">
      <c r="A907" t="str">
        <f>"20200111160116512"</f>
        <v>20200111160116512</v>
      </c>
      <c r="B907" t="str">
        <f>"1578729676501507"</f>
        <v>1578729676501507</v>
      </c>
      <c r="C907" t="s">
        <v>37</v>
      </c>
      <c r="D907">
        <v>5.1866430000000001</v>
      </c>
      <c r="E907">
        <v>0.6328338</v>
      </c>
      <c r="F907" t="s">
        <v>38</v>
      </c>
      <c r="G907">
        <v>-190.25819999999999</v>
      </c>
      <c r="H907" s="1">
        <v>-3.7019439999999998E-7</v>
      </c>
      <c r="I907">
        <v>340.2919</v>
      </c>
      <c r="J907">
        <v>-191.43289999999999</v>
      </c>
      <c r="K907">
        <v>1.0965609999999999</v>
      </c>
      <c r="L907">
        <v>352.9787</v>
      </c>
      <c r="M907">
        <v>0.60084680000000001</v>
      </c>
      <c r="N907">
        <v>0</v>
      </c>
      <c r="O907">
        <v>-0.79922150000000003</v>
      </c>
      <c r="P907">
        <v>0.40100479999999999</v>
      </c>
      <c r="Q907">
        <v>-1.9453850000000002E-2</v>
      </c>
      <c r="R907">
        <v>-0.9158695</v>
      </c>
      <c r="S907">
        <v>0.3201447</v>
      </c>
      <c r="T907">
        <v>-0.26755129999999999</v>
      </c>
      <c r="U907">
        <v>-3.1453859999999998</v>
      </c>
      <c r="V907">
        <v>0.22969819999999999</v>
      </c>
      <c r="W907">
        <v>-9.1640139999999998E-3</v>
      </c>
      <c r="X907">
        <v>0.97321880000000005</v>
      </c>
      <c r="Y907">
        <v>0.51689110000000005</v>
      </c>
      <c r="Z907">
        <v>5.3316240000000001E-2</v>
      </c>
      <c r="AA907">
        <v>0.85438930000000002</v>
      </c>
      <c r="AB907">
        <v>22</v>
      </c>
      <c r="AC907">
        <v>1.1747000000000001</v>
      </c>
      <c r="AD907">
        <v>-1.0965613701943999</v>
      </c>
      <c r="AE907">
        <v>-12.6868</v>
      </c>
      <c r="AF907">
        <v>6.6355890291870798</v>
      </c>
      <c r="AG907">
        <v>-1.0965613701943999</v>
      </c>
      <c r="AH907">
        <v>10.766862946796699</v>
      </c>
      <c r="AI907">
        <v>94.955301388676801</v>
      </c>
      <c r="AJ907">
        <v>58.354582168414098</v>
      </c>
      <c r="AK907">
        <v>12.694834631375601</v>
      </c>
    </row>
    <row r="908" spans="1:37" x14ac:dyDescent="0.2">
      <c r="A908" t="str">
        <f>"20200111160116532"</f>
        <v>20200111160116532</v>
      </c>
      <c r="B908" t="str">
        <f>"1578729676522003"</f>
        <v>1578729676522003</v>
      </c>
      <c r="C908" t="s">
        <v>37</v>
      </c>
      <c r="D908">
        <v>5.3285099999999996</v>
      </c>
      <c r="E908">
        <v>0.63279439999999998</v>
      </c>
      <c r="F908" t="s">
        <v>38</v>
      </c>
      <c r="G908">
        <v>-190.2388</v>
      </c>
      <c r="H908" s="1">
        <v>-3.21961099999999E-6</v>
      </c>
      <c r="I908">
        <v>336.945999999999</v>
      </c>
      <c r="J908">
        <v>-191.3142</v>
      </c>
      <c r="K908">
        <v>1.0965290000000001</v>
      </c>
      <c r="L908">
        <v>352.79599999999999</v>
      </c>
      <c r="M908">
        <v>0.59053520000000004</v>
      </c>
      <c r="N908">
        <v>0</v>
      </c>
      <c r="O908">
        <v>-0.80687019999999998</v>
      </c>
      <c r="P908">
        <v>0.38973469999999999</v>
      </c>
      <c r="Q908">
        <v>-1.988152E-2</v>
      </c>
      <c r="R908">
        <v>-0.9207128</v>
      </c>
      <c r="S908">
        <v>0.23591609999999999</v>
      </c>
      <c r="T908">
        <v>-0.21665229999999899</v>
      </c>
      <c r="U908">
        <v>-3.1676329999999999</v>
      </c>
      <c r="V908">
        <v>0.22913209999999901</v>
      </c>
      <c r="W908">
        <v>-9.5783469999999992E-3</v>
      </c>
      <c r="X908">
        <v>0.9733482</v>
      </c>
      <c r="Y908">
        <v>0.52900609999999904</v>
      </c>
      <c r="Z908">
        <v>4.3425529999999997E-2</v>
      </c>
      <c r="AA908">
        <v>0.84750619999999999</v>
      </c>
      <c r="AB908">
        <v>22</v>
      </c>
      <c r="AC908">
        <v>1.0753999999999999</v>
      </c>
      <c r="AD908">
        <v>-1.0965322196109999</v>
      </c>
      <c r="AE908">
        <v>-15.85</v>
      </c>
      <c r="AF908">
        <v>8.4529741621090597</v>
      </c>
      <c r="AG908">
        <v>-1.0965322196109999</v>
      </c>
      <c r="AH908">
        <v>13.3618308551676</v>
      </c>
      <c r="AI908">
        <v>93.967224316452302</v>
      </c>
      <c r="AJ908">
        <v>57.681697345724501</v>
      </c>
      <c r="AK908">
        <v>15.849090790831999</v>
      </c>
    </row>
    <row r="909" spans="1:37" x14ac:dyDescent="0.2">
      <c r="A909" t="str">
        <f>"20200111160116554"</f>
        <v>20200111160116554</v>
      </c>
      <c r="B909" t="str">
        <f>"1578729676551282"</f>
        <v>1578729676551282</v>
      </c>
      <c r="C909" t="s">
        <v>37</v>
      </c>
      <c r="D909">
        <v>5.2978290000000001</v>
      </c>
      <c r="E909">
        <v>0.63515049999999995</v>
      </c>
      <c r="F909" t="s">
        <v>38</v>
      </c>
      <c r="G909">
        <v>-190.3828</v>
      </c>
      <c r="H909" s="1">
        <v>-3.64769799999999E-6</v>
      </c>
      <c r="I909">
        <v>337.8546</v>
      </c>
      <c r="J909">
        <v>-191.19980000000001</v>
      </c>
      <c r="K909">
        <v>1.0965049999999901</v>
      </c>
      <c r="L909">
        <v>352.6148</v>
      </c>
      <c r="M909">
        <v>0.5802389</v>
      </c>
      <c r="N909">
        <v>0</v>
      </c>
      <c r="O909">
        <v>-0.81430579999999997</v>
      </c>
      <c r="P909">
        <v>0.37889790000000001</v>
      </c>
      <c r="Q909">
        <v>-2.1094539999999998E-2</v>
      </c>
      <c r="R909">
        <v>-0.92519839999999998</v>
      </c>
      <c r="S909">
        <v>0.19758609999999999</v>
      </c>
      <c r="T909">
        <v>-0.2326202</v>
      </c>
      <c r="U909">
        <v>-3.169708</v>
      </c>
      <c r="V909">
        <v>0.228158</v>
      </c>
      <c r="W909">
        <v>-1.076561E-2</v>
      </c>
      <c r="X909">
        <v>0.9735646</v>
      </c>
      <c r="Y909">
        <v>0.52846709999999997</v>
      </c>
      <c r="Z909">
        <v>4.7392299999999998E-2</v>
      </c>
      <c r="AA909">
        <v>0.847629999999999</v>
      </c>
      <c r="AB909">
        <v>22</v>
      </c>
      <c r="AC909">
        <v>0.81700000000000705</v>
      </c>
      <c r="AD909">
        <v>-1.0965086476979999</v>
      </c>
      <c r="AE909">
        <v>-14.7601999999999</v>
      </c>
      <c r="AF909">
        <v>7.8568311802582</v>
      </c>
      <c r="AG909">
        <v>-1.0965086476979999</v>
      </c>
      <c r="AH909">
        <v>12.4264329183342</v>
      </c>
      <c r="AI909">
        <v>94.265379998773199</v>
      </c>
      <c r="AJ909">
        <v>57.696157774265998</v>
      </c>
      <c r="AK909">
        <v>14.7427393140968</v>
      </c>
    </row>
    <row r="910" spans="1:37" x14ac:dyDescent="0.2">
      <c r="A910" t="str">
        <f>"20200111160116576"</f>
        <v>20200111160116576</v>
      </c>
      <c r="B910" t="str">
        <f>"1578729676571778"</f>
        <v>1578729676571778</v>
      </c>
      <c r="C910" t="s">
        <v>37</v>
      </c>
      <c r="D910">
        <v>5.282241</v>
      </c>
      <c r="E910">
        <v>0.63574819999999999</v>
      </c>
      <c r="F910" t="s">
        <v>38</v>
      </c>
      <c r="G910">
        <v>-190.57380000000001</v>
      </c>
      <c r="H910" s="1">
        <v>-4.0788800000000003E-6</v>
      </c>
      <c r="I910">
        <v>338.74119999999999</v>
      </c>
      <c r="J910">
        <v>-191.08189999999999</v>
      </c>
      <c r="K910">
        <v>1.0964909999999899</v>
      </c>
      <c r="L910">
        <v>352.42219999999998</v>
      </c>
      <c r="M910">
        <v>0.56922530000000005</v>
      </c>
      <c r="N910">
        <v>0</v>
      </c>
      <c r="O910">
        <v>-0.82204200000000005</v>
      </c>
      <c r="P910">
        <v>0.36750620000000001</v>
      </c>
      <c r="Q910">
        <v>-2.2177809999999999E-2</v>
      </c>
      <c r="R910">
        <v>-0.92975680000000005</v>
      </c>
      <c r="S910">
        <v>0.1434021</v>
      </c>
      <c r="T910">
        <v>-0.25118289999999999</v>
      </c>
      <c r="U910">
        <v>-3.1781009999999998</v>
      </c>
      <c r="V910">
        <v>0.22697519999999999</v>
      </c>
      <c r="W910">
        <v>-1.1815559999999999E-2</v>
      </c>
      <c r="X910">
        <v>0.9738289</v>
      </c>
      <c r="Y910">
        <v>0.53157600000000005</v>
      </c>
      <c r="Z910">
        <v>5.1833850000000001E-2</v>
      </c>
      <c r="AA910">
        <v>0.84542320000000004</v>
      </c>
      <c r="AB910">
        <v>22</v>
      </c>
      <c r="AC910">
        <v>0.50809999999998401</v>
      </c>
      <c r="AD910">
        <v>-1.0964950788799901</v>
      </c>
      <c r="AE910">
        <v>-13.6809999999999</v>
      </c>
      <c r="AF910">
        <v>7.3237576567885698</v>
      </c>
      <c r="AG910">
        <v>-1.0964950788799901</v>
      </c>
      <c r="AH910">
        <v>11.4633694223962</v>
      </c>
      <c r="AI910">
        <v>94.608411107192595</v>
      </c>
      <c r="AJ910">
        <v>57.426161849951797</v>
      </c>
      <c r="AK910">
        <v>13.647291533037</v>
      </c>
    </row>
    <row r="911" spans="1:37" x14ac:dyDescent="0.2">
      <c r="A911" t="str">
        <f>"20200111160116600"</f>
        <v>20200111160116600</v>
      </c>
      <c r="B911" t="str">
        <f>"1578729676591299"</f>
        <v>1578729676591299</v>
      </c>
      <c r="C911" t="s">
        <v>37</v>
      </c>
      <c r="D911">
        <v>5.2931280000000003</v>
      </c>
      <c r="E911">
        <v>0.63568029999999998</v>
      </c>
      <c r="F911" t="s">
        <v>38</v>
      </c>
      <c r="G911">
        <v>-190.65870000000001</v>
      </c>
      <c r="H911" s="1">
        <v>-4.1836099999999999E-6</v>
      </c>
      <c r="I911">
        <v>338.93720000000002</v>
      </c>
      <c r="J911">
        <v>-190.9658</v>
      </c>
      <c r="K911">
        <v>1.096476</v>
      </c>
      <c r="L911">
        <v>352.22660000000002</v>
      </c>
      <c r="M911">
        <v>0.55797069999999904</v>
      </c>
      <c r="N911">
        <v>0</v>
      </c>
      <c r="O911">
        <v>-0.82972219999999997</v>
      </c>
      <c r="P911">
        <v>0.35630319999999999</v>
      </c>
      <c r="Q911">
        <v>-2.2492939999999999E-2</v>
      </c>
      <c r="R911">
        <v>-0.93410000000000004</v>
      </c>
      <c r="S911">
        <v>9.9822999999999995E-2</v>
      </c>
      <c r="T911">
        <v>-0.25865879999999902</v>
      </c>
      <c r="U911">
        <v>-3.1810610000000001</v>
      </c>
      <c r="V911">
        <v>0.22540160000000001</v>
      </c>
      <c r="W911">
        <v>-1.2086670000000001E-2</v>
      </c>
      <c r="X911">
        <v>0.97419100000000003</v>
      </c>
      <c r="Y911">
        <v>0.53163329999999998</v>
      </c>
      <c r="Z911">
        <v>5.4228289999999998E-2</v>
      </c>
      <c r="AA911">
        <v>0.84523689999999996</v>
      </c>
      <c r="AB911">
        <v>22</v>
      </c>
      <c r="AC911">
        <v>0.30709999999999099</v>
      </c>
      <c r="AD911">
        <v>-1.09648018361</v>
      </c>
      <c r="AE911">
        <v>-13.289400000000001</v>
      </c>
      <c r="AF911">
        <v>7.1127165508987904</v>
      </c>
      <c r="AG911">
        <v>-1.09648018361</v>
      </c>
      <c r="AH911">
        <v>11.123466550943199</v>
      </c>
      <c r="AI911">
        <v>94.747353475129898</v>
      </c>
      <c r="AJ911">
        <v>57.403791470009701</v>
      </c>
      <c r="AK911">
        <v>13.2485664747712</v>
      </c>
    </row>
    <row r="912" spans="1:37" x14ac:dyDescent="0.2">
      <c r="A912" t="str">
        <f>"20200111160116622"</f>
        <v>20200111160116622</v>
      </c>
      <c r="B912" t="str">
        <f>"1578729676611794"</f>
        <v>1578729676611794</v>
      </c>
      <c r="C912" t="s">
        <v>37</v>
      </c>
      <c r="D912">
        <v>5.2932730000000001</v>
      </c>
      <c r="E912">
        <v>0.63521780000000005</v>
      </c>
      <c r="F912" t="s">
        <v>38</v>
      </c>
      <c r="G912">
        <v>-190.70859999999999</v>
      </c>
      <c r="H912" s="1">
        <v>-4.2477239999999998E-6</v>
      </c>
      <c r="I912">
        <v>339.09949999999998</v>
      </c>
      <c r="J912">
        <v>-190.85310000000001</v>
      </c>
      <c r="K912">
        <v>1.0964670000000001</v>
      </c>
      <c r="L912">
        <v>352.03070000000002</v>
      </c>
      <c r="M912">
        <v>0.54662480000000002</v>
      </c>
      <c r="N912">
        <v>0</v>
      </c>
      <c r="O912">
        <v>-0.83723999999999998</v>
      </c>
      <c r="P912">
        <v>0.34448249999999903</v>
      </c>
      <c r="Q912">
        <v>-2.203635E-2</v>
      </c>
      <c r="R912">
        <v>-0.93853399999999998</v>
      </c>
      <c r="S912">
        <v>6.2332150000000003E-2</v>
      </c>
      <c r="T912">
        <v>-0.2657446</v>
      </c>
      <c r="U912">
        <v>-3.1814879999999999</v>
      </c>
      <c r="V912">
        <v>0.2244546</v>
      </c>
      <c r="W912">
        <v>-1.1599480000000001E-2</v>
      </c>
      <c r="X912">
        <v>0.97441549999999999</v>
      </c>
      <c r="Y912">
        <v>0.53006009999999903</v>
      </c>
      <c r="Z912">
        <v>5.6656320000000003E-2</v>
      </c>
      <c r="AA912">
        <v>0.84606519999999996</v>
      </c>
      <c r="AB912">
        <v>22</v>
      </c>
      <c r="AC912">
        <v>0.144500000000022</v>
      </c>
      <c r="AD912">
        <v>-1.096471247724</v>
      </c>
      <c r="AE912">
        <v>-12.9312</v>
      </c>
      <c r="AF912">
        <v>6.8987399408316401</v>
      </c>
      <c r="AG912">
        <v>-1.096471247724</v>
      </c>
      <c r="AH912">
        <v>10.8289142930466</v>
      </c>
      <c r="AI912">
        <v>94.881041210723595</v>
      </c>
      <c r="AJ912">
        <v>57.500147952761402</v>
      </c>
      <c r="AK912">
        <v>12.886436541358499</v>
      </c>
    </row>
    <row r="913" spans="1:37" x14ac:dyDescent="0.2">
      <c r="A913" t="str">
        <f>"20200111160116644"</f>
        <v>20200111160116644</v>
      </c>
      <c r="B913" t="str">
        <f>"1578729676642051"</f>
        <v>1578729676642051</v>
      </c>
      <c r="C913" t="s">
        <v>37</v>
      </c>
      <c r="D913">
        <v>5.3362920000000003</v>
      </c>
      <c r="E913">
        <v>0.63371319999999998</v>
      </c>
      <c r="F913" t="s">
        <v>38</v>
      </c>
      <c r="G913">
        <v>-190.7475</v>
      </c>
      <c r="H913" s="1">
        <v>-4.2304109999999901E-6</v>
      </c>
      <c r="I913">
        <v>339.02839999999998</v>
      </c>
      <c r="J913">
        <v>-190.74760000000001</v>
      </c>
      <c r="K913">
        <v>1.0964659999999999</v>
      </c>
      <c r="L913">
        <v>351.84129999999999</v>
      </c>
      <c r="M913">
        <v>0.53560459999999999</v>
      </c>
      <c r="N913">
        <v>0</v>
      </c>
      <c r="O913">
        <v>-0.84433230000000004</v>
      </c>
      <c r="P913">
        <v>0.33277519999999999</v>
      </c>
      <c r="Q913">
        <v>-2.2001360000000001E-2</v>
      </c>
      <c r="R913">
        <v>-0.94274950000000002</v>
      </c>
      <c r="S913">
        <v>2.5833129999999999E-2</v>
      </c>
      <c r="T913">
        <v>-0.26822579999999902</v>
      </c>
      <c r="U913">
        <v>-3.1806950000000001</v>
      </c>
      <c r="V913">
        <v>0.22381210000000001</v>
      </c>
      <c r="W913">
        <v>-1.154109E-2</v>
      </c>
      <c r="X913">
        <v>0.97456399999999999</v>
      </c>
      <c r="Y913">
        <v>0.52865090000000003</v>
      </c>
      <c r="Z913">
        <v>5.8106310000000001E-2</v>
      </c>
      <c r="AA913">
        <v>0.84684820000000005</v>
      </c>
      <c r="AB913">
        <v>22</v>
      </c>
      <c r="AC913">
        <v>1.0000000000331901E-4</v>
      </c>
      <c r="AD913">
        <v>-1.0964702304109999</v>
      </c>
      <c r="AE913">
        <v>-12.812900000000001</v>
      </c>
      <c r="AF913">
        <v>6.81345932342228</v>
      </c>
      <c r="AG913">
        <v>-1.0964702304109999</v>
      </c>
      <c r="AH913">
        <v>10.7409888620414</v>
      </c>
      <c r="AI913">
        <v>94.926841483326697</v>
      </c>
      <c r="AJ913">
        <v>57.611331727050199</v>
      </c>
      <c r="AK913">
        <v>12.7669227558016</v>
      </c>
    </row>
    <row r="914" spans="1:37" x14ac:dyDescent="0.2">
      <c r="A914" t="str">
        <f>"20200111160116666"</f>
        <v>20200111160116666</v>
      </c>
      <c r="B914" t="str">
        <f>"1578729676661570"</f>
        <v>1578729676661570</v>
      </c>
      <c r="C914" t="s">
        <v>37</v>
      </c>
      <c r="D914">
        <v>5.3832559999999896</v>
      </c>
      <c r="E914">
        <v>0.63259659999999995</v>
      </c>
      <c r="F914" t="s">
        <v>38</v>
      </c>
      <c r="G914">
        <v>-190.7552</v>
      </c>
      <c r="H914" s="1">
        <v>-4.3158969999999998E-6</v>
      </c>
      <c r="I914">
        <v>339.2756</v>
      </c>
      <c r="J914">
        <v>-190.64330000000001</v>
      </c>
      <c r="K914">
        <v>1.0964719999999999</v>
      </c>
      <c r="L914">
        <v>351.64800000000002</v>
      </c>
      <c r="M914">
        <v>0.52429959999999998</v>
      </c>
      <c r="N914">
        <v>0</v>
      </c>
      <c r="O914">
        <v>-0.85139819999999999</v>
      </c>
      <c r="P914">
        <v>0.32001380000000001</v>
      </c>
      <c r="Q914">
        <v>-2.1571590000000002E-2</v>
      </c>
      <c r="R914">
        <v>-0.94716699999999998</v>
      </c>
      <c r="S914">
        <v>-1.907349E-3</v>
      </c>
      <c r="T914">
        <v>-0.27717129999999901</v>
      </c>
      <c r="U914">
        <v>-3.1764220000000001</v>
      </c>
      <c r="V914">
        <v>0.22399269999999999</v>
      </c>
      <c r="W914">
        <v>-1.110615E-2</v>
      </c>
      <c r="X914">
        <v>0.97452749999999999</v>
      </c>
      <c r="Y914">
        <v>0.52471020000000002</v>
      </c>
      <c r="Z914">
        <v>6.1121920000000003E-2</v>
      </c>
      <c r="AA914">
        <v>0.84908379999999894</v>
      </c>
      <c r="AB914">
        <v>22</v>
      </c>
      <c r="AC914">
        <v>-0.11189999999999101</v>
      </c>
      <c r="AD914">
        <v>-1.0964763158969999</v>
      </c>
      <c r="AE914">
        <v>-12.372400000000001</v>
      </c>
      <c r="AF914">
        <v>6.5315814984297997</v>
      </c>
      <c r="AG914">
        <v>-1.0964763158969999</v>
      </c>
      <c r="AH914">
        <v>10.394746629154</v>
      </c>
      <c r="AI914">
        <v>95.103835574024899</v>
      </c>
      <c r="AJ914">
        <v>57.856631901708603</v>
      </c>
      <c r="AK914">
        <v>12.325363064277701</v>
      </c>
    </row>
    <row r="915" spans="1:37" x14ac:dyDescent="0.2">
      <c r="A915" t="str">
        <f>"20200111160116689"</f>
        <v>20200111160116689</v>
      </c>
      <c r="B915" t="str">
        <f>"1578729676682067"</f>
        <v>1578729676682067</v>
      </c>
      <c r="C915" t="s">
        <v>37</v>
      </c>
      <c r="D915">
        <v>5.3689960000000001</v>
      </c>
      <c r="E915">
        <v>0.631884</v>
      </c>
      <c r="F915" t="s">
        <v>38</v>
      </c>
      <c r="G915">
        <v>-190.78399999999999</v>
      </c>
      <c r="H915" s="1">
        <v>-4.3112049999999998E-6</v>
      </c>
      <c r="I915">
        <v>339.24680000000001</v>
      </c>
      <c r="J915">
        <v>-190.53620000000001</v>
      </c>
      <c r="K915">
        <v>1.0964780000000001</v>
      </c>
      <c r="L915">
        <v>351.44299999999998</v>
      </c>
      <c r="M915">
        <v>0.51226249999999995</v>
      </c>
      <c r="N915">
        <v>0</v>
      </c>
      <c r="O915">
        <v>-0.85869439999999997</v>
      </c>
      <c r="P915">
        <v>0.30673230000000001</v>
      </c>
      <c r="Q915">
        <v>-2.082705E-2</v>
      </c>
      <c r="R915">
        <v>-0.95156839999999998</v>
      </c>
      <c r="S915">
        <v>-3.6010739999999999E-2</v>
      </c>
      <c r="T915">
        <v>-0.2805609</v>
      </c>
      <c r="U915">
        <v>-3.1731569999999998</v>
      </c>
      <c r="V915">
        <v>0.22393060000000001</v>
      </c>
      <c r="W915">
        <v>-1.034913E-2</v>
      </c>
      <c r="X915">
        <v>0.97455009999999997</v>
      </c>
      <c r="Y915">
        <v>0.52185079999999995</v>
      </c>
      <c r="Z915">
        <v>6.2947100000000006E-2</v>
      </c>
      <c r="AA915">
        <v>0.850711199999999</v>
      </c>
      <c r="AB915">
        <v>22</v>
      </c>
      <c r="AC915">
        <v>-0.24780000000001201</v>
      </c>
      <c r="AD915">
        <v>-1.0964823112049999</v>
      </c>
      <c r="AE915">
        <v>-12.196199999999999</v>
      </c>
      <c r="AF915">
        <v>6.4094032388078697</v>
      </c>
      <c r="AG915">
        <v>-1.0964823112049999</v>
      </c>
      <c r="AH915">
        <v>10.264138170033901</v>
      </c>
      <c r="AI915">
        <v>95.177503951562599</v>
      </c>
      <c r="AJ915">
        <v>58.017435171818597</v>
      </c>
      <c r="AK915">
        <v>12.150524914997501</v>
      </c>
    </row>
    <row r="916" spans="1:37" x14ac:dyDescent="0.2">
      <c r="A916" t="str">
        <f>"20200111160116714"</f>
        <v>20200111160116714</v>
      </c>
      <c r="B916" t="str">
        <f>"1578729676701588"</f>
        <v>1578729676701588</v>
      </c>
      <c r="C916" t="s">
        <v>37</v>
      </c>
      <c r="D916">
        <v>5.1920260000000003</v>
      </c>
      <c r="E916">
        <v>0.63157890000000005</v>
      </c>
      <c r="F916" t="s">
        <v>38</v>
      </c>
      <c r="G916">
        <v>-190.82810000000001</v>
      </c>
      <c r="H916" s="1">
        <v>-4.2645480000000001E-6</v>
      </c>
      <c r="I916">
        <v>339.08670000000001</v>
      </c>
      <c r="J916">
        <v>-190.4272</v>
      </c>
      <c r="K916">
        <v>1.0964969999999901</v>
      </c>
      <c r="L916">
        <v>351.22590000000002</v>
      </c>
      <c r="M916">
        <v>0.49948209999999998</v>
      </c>
      <c r="N916">
        <v>0</v>
      </c>
      <c r="O916">
        <v>-0.86619049999999997</v>
      </c>
      <c r="P916">
        <v>0.29273899999999897</v>
      </c>
      <c r="Q916">
        <v>-2.059385E-2</v>
      </c>
      <c r="R916">
        <v>-0.95597080000000001</v>
      </c>
      <c r="S916">
        <v>-7.4905399999999997E-2</v>
      </c>
      <c r="T916">
        <v>-0.28136620000000001</v>
      </c>
      <c r="U916">
        <v>-3.170715</v>
      </c>
      <c r="V916">
        <v>0.22379479999999999</v>
      </c>
      <c r="W916">
        <v>-1.0098630000000001E-2</v>
      </c>
      <c r="X916">
        <v>0.97458400000000001</v>
      </c>
      <c r="Y916">
        <v>0.51965229999999996</v>
      </c>
      <c r="Z916">
        <v>6.4201889999999998E-2</v>
      </c>
      <c r="AA916">
        <v>0.851962199999999</v>
      </c>
      <c r="AB916">
        <v>22</v>
      </c>
      <c r="AC916">
        <v>-0.40090000000000697</v>
      </c>
      <c r="AD916">
        <v>-1.0965012645479999</v>
      </c>
      <c r="AE916">
        <v>-12.139200000000001</v>
      </c>
      <c r="AF916">
        <v>6.3594808923929103</v>
      </c>
      <c r="AG916">
        <v>-1.0965012645479999</v>
      </c>
      <c r="AH916">
        <v>10.232416676259399</v>
      </c>
      <c r="AI916">
        <v>95.200382978662205</v>
      </c>
      <c r="AJ916">
        <v>58.138911747532902</v>
      </c>
      <c r="AK916">
        <v>12.097423828256</v>
      </c>
    </row>
    <row r="917" spans="1:37" x14ac:dyDescent="0.2">
      <c r="A917" t="str">
        <f>"20200111160116735"</f>
        <v>20200111160116735</v>
      </c>
      <c r="B917" t="str">
        <f>"1578729676731843"</f>
        <v>1578729676731843</v>
      </c>
      <c r="C917" t="s">
        <v>37</v>
      </c>
      <c r="D917">
        <v>5.0650490000000001</v>
      </c>
      <c r="E917">
        <v>0.63104530000000003</v>
      </c>
      <c r="F917" t="s">
        <v>38</v>
      </c>
      <c r="G917">
        <v>-190.8914</v>
      </c>
      <c r="H917" s="1">
        <v>-4.1926389999999902E-6</v>
      </c>
      <c r="I917">
        <v>338.8424</v>
      </c>
      <c r="J917">
        <v>-190.3356</v>
      </c>
      <c r="K917">
        <v>1.0965259999999999</v>
      </c>
      <c r="L917">
        <v>351.03699999999998</v>
      </c>
      <c r="M917">
        <v>0.48833679999999902</v>
      </c>
      <c r="N917">
        <v>0</v>
      </c>
      <c r="O917">
        <v>-0.87252269999999899</v>
      </c>
      <c r="P917">
        <v>0.28008169999999999</v>
      </c>
      <c r="Q917">
        <v>-2.0249119999999999E-2</v>
      </c>
      <c r="R917">
        <v>-0.95976289999999997</v>
      </c>
      <c r="S917">
        <v>-0.118774399999999</v>
      </c>
      <c r="T917">
        <v>-0.28055219999999997</v>
      </c>
      <c r="U917">
        <v>-3.1684570000000001</v>
      </c>
      <c r="V917">
        <v>0.22418939999999901</v>
      </c>
      <c r="W917">
        <v>-9.7486269999999993E-3</v>
      </c>
      <c r="X917">
        <v>0.97449680000000005</v>
      </c>
      <c r="Y917">
        <v>0.52050189999999996</v>
      </c>
      <c r="Z917">
        <v>6.4845059999999996E-2</v>
      </c>
      <c r="AA917">
        <v>0.85139469999999995</v>
      </c>
      <c r="AB917">
        <v>22</v>
      </c>
      <c r="AC917">
        <v>-0.55580000000000496</v>
      </c>
      <c r="AD917">
        <v>-1.0965301926390001</v>
      </c>
      <c r="AE917">
        <v>-12.1945999999999</v>
      </c>
      <c r="AF917">
        <v>6.3892122129253099</v>
      </c>
      <c r="AG917">
        <v>-1.0965301926390001</v>
      </c>
      <c r="AH917">
        <v>10.286845393888999</v>
      </c>
      <c r="AI917">
        <v>95.174071147316198</v>
      </c>
      <c r="AJ917">
        <v>58.155373037246797</v>
      </c>
      <c r="AK917">
        <v>12.159095333244901</v>
      </c>
    </row>
    <row r="918" spans="1:37" x14ac:dyDescent="0.2">
      <c r="A918" t="str">
        <f>"20200111160116757"</f>
        <v>20200111160116757</v>
      </c>
      <c r="B918" t="str">
        <f>"1578729676751364"</f>
        <v>1578729676751364</v>
      </c>
      <c r="C918" t="s">
        <v>37</v>
      </c>
      <c r="D918">
        <v>5.1385149999999999</v>
      </c>
      <c r="E918">
        <v>0.63072289999999998</v>
      </c>
      <c r="F918" t="s">
        <v>38</v>
      </c>
      <c r="G918">
        <v>-190.95840000000001</v>
      </c>
      <c r="H918" s="1">
        <v>-4.0516170000000001E-6</v>
      </c>
      <c r="I918">
        <v>338.4391</v>
      </c>
      <c r="J918">
        <v>-190.24760000000001</v>
      </c>
      <c r="K918">
        <v>1.0965609999999999</v>
      </c>
      <c r="L918">
        <v>350.84969999999998</v>
      </c>
      <c r="M918">
        <v>0.47726039999999997</v>
      </c>
      <c r="N918">
        <v>0</v>
      </c>
      <c r="O918">
        <v>-0.87862999999999902</v>
      </c>
      <c r="P918">
        <v>0.26750059999999998</v>
      </c>
      <c r="Q918">
        <v>-1.946411E-2</v>
      </c>
      <c r="R918">
        <v>-0.96336109999999897</v>
      </c>
      <c r="S918">
        <v>-0.15650939999999999</v>
      </c>
      <c r="T918">
        <v>-0.27553430000000001</v>
      </c>
      <c r="U918">
        <v>-3.1655880000000001</v>
      </c>
      <c r="V918">
        <v>0.22463530000000001</v>
      </c>
      <c r="W918">
        <v>-8.958064E-3</v>
      </c>
      <c r="X918">
        <v>0.97440170000000004</v>
      </c>
      <c r="Y918">
        <v>0.51987109999999903</v>
      </c>
      <c r="Z918">
        <v>6.4531569999999996E-2</v>
      </c>
      <c r="AA918">
        <v>0.8518038</v>
      </c>
      <c r="AB918">
        <v>22</v>
      </c>
      <c r="AC918">
        <v>-0.71080000000000598</v>
      </c>
      <c r="AD918">
        <v>-1.096565051617</v>
      </c>
      <c r="AE918">
        <v>-12.410599999999899</v>
      </c>
      <c r="AF918">
        <v>6.4978147632794903</v>
      </c>
      <c r="AG918">
        <v>-1.096565051617</v>
      </c>
      <c r="AH918">
        <v>10.4847272067991</v>
      </c>
      <c r="AI918">
        <v>95.080182346645998</v>
      </c>
      <c r="AJ918">
        <v>58.211809793706898</v>
      </c>
      <c r="AK918">
        <v>12.383600292778899</v>
      </c>
    </row>
    <row r="919" spans="1:37" x14ac:dyDescent="0.2">
      <c r="A919" t="str">
        <f>"20200111160116780"</f>
        <v>20200111160116780</v>
      </c>
      <c r="B919" t="str">
        <f>"1578729676771859"</f>
        <v>1578729676771859</v>
      </c>
      <c r="C919" t="s">
        <v>37</v>
      </c>
      <c r="D919">
        <v>5.2441889999999898</v>
      </c>
      <c r="E919">
        <v>0.63048319999999902</v>
      </c>
      <c r="F919" t="s">
        <v>38</v>
      </c>
      <c r="G919">
        <v>-191.04069999999999</v>
      </c>
      <c r="H919" s="1">
        <v>-3.8856469999999999E-6</v>
      </c>
      <c r="I919">
        <v>338.00119999999998</v>
      </c>
      <c r="J919">
        <v>-190.14940000000001</v>
      </c>
      <c r="K919">
        <v>1.096603</v>
      </c>
      <c r="L919">
        <v>350.63319999999999</v>
      </c>
      <c r="M919">
        <v>0.46444239999999998</v>
      </c>
      <c r="N919">
        <v>0</v>
      </c>
      <c r="O919">
        <v>-0.885472699999999</v>
      </c>
      <c r="P919">
        <v>0.25338709999999998</v>
      </c>
      <c r="Q919">
        <v>-1.827987E-2</v>
      </c>
      <c r="R919">
        <v>-0.96719249999999901</v>
      </c>
      <c r="S919">
        <v>-0.19525149999999999</v>
      </c>
      <c r="T919">
        <v>-0.26994259999999998</v>
      </c>
      <c r="U919">
        <v>-3.1629330000000002</v>
      </c>
      <c r="V919">
        <v>0.2247564</v>
      </c>
      <c r="W919">
        <v>-7.7579419999999899E-3</v>
      </c>
      <c r="X919">
        <v>0.97438409999999998</v>
      </c>
      <c r="Y919">
        <v>0.51790749999999997</v>
      </c>
      <c r="Z919">
        <v>6.4174350000000005E-2</v>
      </c>
      <c r="AA919">
        <v>0.85302610000000001</v>
      </c>
      <c r="AB919">
        <v>21</v>
      </c>
      <c r="AC919">
        <v>-0.891299999999972</v>
      </c>
      <c r="AD919">
        <v>-1.0966068856469999</v>
      </c>
      <c r="AE919">
        <v>-12.632</v>
      </c>
      <c r="AF919">
        <v>6.6072805849070999</v>
      </c>
      <c r="AG919">
        <v>-1.0966068856469999</v>
      </c>
      <c r="AH919">
        <v>10.6923980095207</v>
      </c>
      <c r="AI919">
        <v>94.986196407121795</v>
      </c>
      <c r="AJ919">
        <v>58.2863443174097</v>
      </c>
      <c r="AK919">
        <v>12.6168965511865</v>
      </c>
    </row>
    <row r="920" spans="1:37" x14ac:dyDescent="0.2">
      <c r="A920" t="str">
        <f>"20200111160116802"</f>
        <v>20200111160116802</v>
      </c>
      <c r="B920" t="str">
        <f>"1578729676791378"</f>
        <v>1578729676791378</v>
      </c>
      <c r="C920" t="s">
        <v>37</v>
      </c>
      <c r="D920">
        <v>5.1571959999999999</v>
      </c>
      <c r="E920">
        <v>0.60572530000000002</v>
      </c>
      <c r="F920" t="s">
        <v>38</v>
      </c>
      <c r="G920">
        <v>-191.13929999999999</v>
      </c>
      <c r="H920" s="1">
        <v>-3.732253E-6</v>
      </c>
      <c r="I920">
        <v>337.58249999999998</v>
      </c>
      <c r="J920">
        <v>-190.06460000000001</v>
      </c>
      <c r="K920">
        <v>1.096646</v>
      </c>
      <c r="L920">
        <v>350.43900000000002</v>
      </c>
      <c r="M920">
        <v>0.45293279999999903</v>
      </c>
      <c r="N920">
        <v>0</v>
      </c>
      <c r="O920">
        <v>-0.89141489999999901</v>
      </c>
      <c r="P920">
        <v>0.24095900000000001</v>
      </c>
      <c r="Q920">
        <v>-1.8847329999999999E-2</v>
      </c>
      <c r="R920">
        <v>-0.97035249999999995</v>
      </c>
      <c r="S920">
        <v>-0.2396393</v>
      </c>
      <c r="T920">
        <v>-0.26548620000000001</v>
      </c>
      <c r="U920">
        <v>-3.15954599999999</v>
      </c>
      <c r="V920">
        <v>0.224618399999999</v>
      </c>
      <c r="W920">
        <v>-8.3072679999999996E-3</v>
      </c>
      <c r="X920">
        <v>0.97441139999999904</v>
      </c>
      <c r="Y920">
        <v>0.51882019999999995</v>
      </c>
      <c r="Z920">
        <v>6.3870150000000001E-2</v>
      </c>
      <c r="AA920">
        <v>0.85249409999999903</v>
      </c>
      <c r="AB920">
        <v>21</v>
      </c>
      <c r="AC920">
        <v>-1.07469999999997</v>
      </c>
      <c r="AD920">
        <v>-1.096649732253</v>
      </c>
      <c r="AE920">
        <v>-12.8565</v>
      </c>
      <c r="AF920">
        <v>6.7332676576596304</v>
      </c>
      <c r="AG920">
        <v>-1.096649732253</v>
      </c>
      <c r="AH920">
        <v>10.8962478753455</v>
      </c>
      <c r="AI920">
        <v>94.893556895539703</v>
      </c>
      <c r="AJ920">
        <v>58.286269345002403</v>
      </c>
      <c r="AK920">
        <v>12.8556505765327</v>
      </c>
    </row>
    <row r="921" spans="1:37" x14ac:dyDescent="0.2">
      <c r="A921" t="str">
        <f>"20200111160116825"</f>
        <v>20200111160116825</v>
      </c>
      <c r="B921" t="str">
        <f>"1578729676821635"</f>
        <v>1578729676821635</v>
      </c>
      <c r="C921" t="s">
        <v>37</v>
      </c>
      <c r="D921">
        <v>5.1347809999999896</v>
      </c>
      <c r="E921">
        <v>0.60364039999999997</v>
      </c>
      <c r="F921" t="s">
        <v>38</v>
      </c>
      <c r="G921">
        <v>-190.3809</v>
      </c>
      <c r="H921" s="1">
        <v>-4.1827039999999999E-6</v>
      </c>
      <c r="I921">
        <v>339.10289999999998</v>
      </c>
      <c r="J921">
        <v>-189.9785</v>
      </c>
      <c r="K921">
        <v>1.0966910000000001</v>
      </c>
      <c r="L921">
        <v>350.23469999999998</v>
      </c>
      <c r="M921">
        <v>0.4408166</v>
      </c>
      <c r="N921">
        <v>0</v>
      </c>
      <c r="O921">
        <v>-0.89746840000000005</v>
      </c>
      <c r="P921">
        <v>0.229405899999999</v>
      </c>
      <c r="Q921">
        <v>-1.9456979999999999E-2</v>
      </c>
      <c r="R921">
        <v>-0.97313669999999997</v>
      </c>
      <c r="S921">
        <v>-8.6700440000000004E-2</v>
      </c>
      <c r="T921">
        <v>-0.30060399999999998</v>
      </c>
      <c r="U921">
        <v>-3.107361</v>
      </c>
      <c r="V921">
        <v>0.22298779999999899</v>
      </c>
      <c r="W921">
        <v>-8.8658869999999994E-3</v>
      </c>
      <c r="X921">
        <v>0.97478089999999995</v>
      </c>
      <c r="Y921">
        <v>0.46551690000000001</v>
      </c>
      <c r="Z921">
        <v>7.5934829999999995E-2</v>
      </c>
      <c r="AA921">
        <v>0.88177539999999999</v>
      </c>
      <c r="AB921">
        <v>21</v>
      </c>
      <c r="AC921">
        <v>-0.40239999999999998</v>
      </c>
      <c r="AD921">
        <v>-1.0966951827039999</v>
      </c>
      <c r="AE921">
        <v>-11.131799999999901</v>
      </c>
      <c r="AF921">
        <v>5.2182502816251297</v>
      </c>
      <c r="AG921">
        <v>-1.0966951827039999</v>
      </c>
      <c r="AH921">
        <v>9.7199696231564801</v>
      </c>
      <c r="AI921">
        <v>95.677074575444294</v>
      </c>
      <c r="AJ921">
        <v>61.770485615172603</v>
      </c>
      <c r="AK921">
        <v>11.086509180104001</v>
      </c>
    </row>
    <row r="922" spans="1:37" x14ac:dyDescent="0.2">
      <c r="A922" t="str">
        <f>"20200111160116846"</f>
        <v>20200111160116846</v>
      </c>
      <c r="B922" t="str">
        <f>"1578729676842132"</f>
        <v>1578729676842132</v>
      </c>
      <c r="C922" t="s">
        <v>37</v>
      </c>
      <c r="D922">
        <v>5.1324120000000004</v>
      </c>
      <c r="E922">
        <v>0.60223130000000002</v>
      </c>
      <c r="F922" t="s">
        <v>38</v>
      </c>
      <c r="G922">
        <v>-190.37549999999999</v>
      </c>
      <c r="H922" s="1">
        <v>-4.0456370000000002E-6</v>
      </c>
      <c r="I922">
        <v>338.7867</v>
      </c>
      <c r="J922">
        <v>-189.90110000000001</v>
      </c>
      <c r="K922">
        <v>1.09674</v>
      </c>
      <c r="L922">
        <v>350.04419999999999</v>
      </c>
      <c r="M922">
        <v>0.42951059999999902</v>
      </c>
      <c r="N922">
        <v>0</v>
      </c>
      <c r="O922">
        <v>-0.90293369999999995</v>
      </c>
      <c r="P922">
        <v>0.22062019999999999</v>
      </c>
      <c r="Q922">
        <v>-1.6932760000000002E-2</v>
      </c>
      <c r="R922">
        <v>-0.97521309999999894</v>
      </c>
      <c r="S922">
        <v>-0.10760499999999899</v>
      </c>
      <c r="T922">
        <v>-0.297184</v>
      </c>
      <c r="U922">
        <v>-3.1022029999999998</v>
      </c>
      <c r="V922">
        <v>0.219605299999999</v>
      </c>
      <c r="W922">
        <v>-6.2526889999999996E-3</v>
      </c>
      <c r="X922">
        <v>0.97556880000000001</v>
      </c>
      <c r="Y922">
        <v>0.46038069999999998</v>
      </c>
      <c r="Z922">
        <v>7.609784E-2</v>
      </c>
      <c r="AA922">
        <v>0.88445399999999996</v>
      </c>
      <c r="AB922">
        <v>21</v>
      </c>
      <c r="AC922">
        <v>-0.47439999999997401</v>
      </c>
      <c r="AD922">
        <v>-1.0967440456369999</v>
      </c>
      <c r="AE922">
        <v>-11.257499999999901</v>
      </c>
      <c r="AF922">
        <v>5.2147690619943496</v>
      </c>
      <c r="AG922">
        <v>-1.0967440456369999</v>
      </c>
      <c r="AH922">
        <v>9.8686682239890207</v>
      </c>
      <c r="AI922">
        <v>95.611825540251004</v>
      </c>
      <c r="AJ922">
        <v>62.147279228912602</v>
      </c>
      <c r="AK922">
        <v>11.215492694783601</v>
      </c>
    </row>
    <row r="923" spans="1:37" x14ac:dyDescent="0.2">
      <c r="A923" t="str">
        <f>"20200111160116870"</f>
        <v>20200111160116870</v>
      </c>
      <c r="B923" t="str">
        <f>"1578729676861651"</f>
        <v>1578729676861651</v>
      </c>
      <c r="C923" t="s">
        <v>37</v>
      </c>
      <c r="D923">
        <v>5.1417779999999897</v>
      </c>
      <c r="E923">
        <v>0.60069189999999995</v>
      </c>
      <c r="F923" t="s">
        <v>38</v>
      </c>
      <c r="G923">
        <v>-190.3707</v>
      </c>
      <c r="H923" s="1">
        <v>-3.847606E-6</v>
      </c>
      <c r="I923">
        <v>338.32799999999997</v>
      </c>
      <c r="J923">
        <v>-189.81379999999999</v>
      </c>
      <c r="K923">
        <v>1.096808</v>
      </c>
      <c r="L923">
        <v>349.820999999999</v>
      </c>
      <c r="M923">
        <v>0.41625489999999998</v>
      </c>
      <c r="N923">
        <v>0</v>
      </c>
      <c r="O923">
        <v>-0.90912099999999996</v>
      </c>
      <c r="P923">
        <v>0.21213370000000001</v>
      </c>
      <c r="Q923">
        <v>-1.124433E-2</v>
      </c>
      <c r="R923">
        <v>-0.97717609999999999</v>
      </c>
      <c r="S923">
        <v>-0.1242371</v>
      </c>
      <c r="T923">
        <v>-0.29012379999999999</v>
      </c>
      <c r="U923">
        <v>-3.0993040000000001</v>
      </c>
      <c r="V923">
        <v>0.21395400000000001</v>
      </c>
      <c r="W923">
        <v>-4.2334479999999998E-4</v>
      </c>
      <c r="X923">
        <v>0.97684369999999998</v>
      </c>
      <c r="Y923">
        <v>0.45215929999999999</v>
      </c>
      <c r="Z923">
        <v>7.5424679999999994E-2</v>
      </c>
      <c r="AA923">
        <v>0.88874240000000004</v>
      </c>
      <c r="AB923">
        <v>21</v>
      </c>
      <c r="AC923">
        <v>-0.55690000000001205</v>
      </c>
      <c r="AD923">
        <v>-1.096811847606</v>
      </c>
      <c r="AE923">
        <v>-11.492999999999901</v>
      </c>
      <c r="AF923">
        <v>5.243276736915</v>
      </c>
      <c r="AG923">
        <v>-1.096811847606</v>
      </c>
      <c r="AH923">
        <v>10.1258896966766</v>
      </c>
      <c r="AI923">
        <v>95.494223468504899</v>
      </c>
      <c r="AJ923">
        <v>62.624472711591999</v>
      </c>
      <c r="AK923">
        <v>11.455504760515099</v>
      </c>
    </row>
    <row r="924" spans="1:37" x14ac:dyDescent="0.2">
      <c r="A924" t="str">
        <f>"20200111160116890"</f>
        <v>20200111160116890</v>
      </c>
      <c r="B924" t="str">
        <f>"1578729676882147"</f>
        <v>1578729676882147</v>
      </c>
      <c r="C924" t="s">
        <v>37</v>
      </c>
      <c r="D924">
        <v>4.8628849999999897</v>
      </c>
      <c r="E924">
        <v>0.59985790000000005</v>
      </c>
      <c r="F924" t="s">
        <v>38</v>
      </c>
      <c r="G924">
        <v>-190.3708</v>
      </c>
      <c r="H924" s="1">
        <v>-3.4482650000000002E-6</v>
      </c>
      <c r="I924">
        <v>337.39710000000002</v>
      </c>
      <c r="J924">
        <v>-189.74039999999999</v>
      </c>
      <c r="K924">
        <v>1.096868</v>
      </c>
      <c r="L924">
        <v>349.62470000000002</v>
      </c>
      <c r="M924">
        <v>0.40460809999999903</v>
      </c>
      <c r="N924">
        <v>0</v>
      </c>
      <c r="O924">
        <v>-0.91436390000000001</v>
      </c>
      <c r="P924">
        <v>0.20687620000000001</v>
      </c>
      <c r="Q924">
        <v>-4.53583299999999E-3</v>
      </c>
      <c r="R924">
        <v>-0.97835680000000003</v>
      </c>
      <c r="S924">
        <v>-0.13885500000000001</v>
      </c>
      <c r="T924">
        <v>-0.27342030000000001</v>
      </c>
      <c r="U924">
        <v>-3.0971069999999998</v>
      </c>
      <c r="V924">
        <v>0.20687249999999999</v>
      </c>
      <c r="W924">
        <v>6.4552019999999898E-3</v>
      </c>
      <c r="X924">
        <v>0.97834659999999996</v>
      </c>
      <c r="Y924">
        <v>0.44499490000000003</v>
      </c>
      <c r="Z924">
        <v>7.2005689999999997E-2</v>
      </c>
      <c r="AA924">
        <v>0.89263359999999903</v>
      </c>
      <c r="AB924">
        <v>21</v>
      </c>
      <c r="AC924">
        <v>-0.63040000000000795</v>
      </c>
      <c r="AD924">
        <v>-1.0968714482649999</v>
      </c>
      <c r="AE924">
        <v>-12.227599999999899</v>
      </c>
      <c r="AF924">
        <v>5.4804551515204096</v>
      </c>
      <c r="AG924">
        <v>-1.0968714482649999</v>
      </c>
      <c r="AH924">
        <v>10.8396782134758</v>
      </c>
      <c r="AI924">
        <v>95.160073572624995</v>
      </c>
      <c r="AJ924">
        <v>63.179201800440502</v>
      </c>
      <c r="AK924">
        <v>12.195783673612301</v>
      </c>
    </row>
    <row r="925" spans="1:37" x14ac:dyDescent="0.2">
      <c r="A925" t="str">
        <f>"20200111160116914"</f>
        <v>20200111160116914</v>
      </c>
      <c r="B925" t="str">
        <f>"1578729676901666"</f>
        <v>1578729676901666</v>
      </c>
      <c r="C925" t="s">
        <v>37</v>
      </c>
      <c r="D925">
        <v>5.0264360000000003</v>
      </c>
      <c r="E925">
        <v>0.61065259999999999</v>
      </c>
      <c r="F925" t="s">
        <v>38</v>
      </c>
      <c r="G925">
        <v>-190.3861</v>
      </c>
      <c r="H925" s="1">
        <v>-2.9383310000000001E-6</v>
      </c>
      <c r="I925">
        <v>336.19900000000001</v>
      </c>
      <c r="J925">
        <v>-189.66560000000001</v>
      </c>
      <c r="K925">
        <v>1.0969199999999999</v>
      </c>
      <c r="L925">
        <v>349.4162</v>
      </c>
      <c r="M925">
        <v>0.3922485</v>
      </c>
      <c r="N925">
        <v>0</v>
      </c>
      <c r="O925">
        <v>-0.91973389999999999</v>
      </c>
      <c r="P925">
        <v>0.20026930000000001</v>
      </c>
      <c r="Q925">
        <v>-1.1366320000000001E-3</v>
      </c>
      <c r="R925">
        <v>-0.97974050000000001</v>
      </c>
      <c r="S925">
        <v>-0.148925799999999</v>
      </c>
      <c r="T925">
        <v>-0.25299699999999897</v>
      </c>
      <c r="U925">
        <v>-3.0966800000000001</v>
      </c>
      <c r="V925">
        <v>0.200352</v>
      </c>
      <c r="W925">
        <v>1.000942E-2</v>
      </c>
      <c r="X925">
        <v>0.97967280000000001</v>
      </c>
      <c r="Y925">
        <v>0.43584060000000002</v>
      </c>
      <c r="Z925">
        <v>6.7505209999999996E-2</v>
      </c>
      <c r="AA925">
        <v>0.89748869999999903</v>
      </c>
      <c r="AB925">
        <v>21</v>
      </c>
      <c r="AC925">
        <v>-0.72049999999998704</v>
      </c>
      <c r="AD925">
        <v>-1.096922938331</v>
      </c>
      <c r="AE925">
        <v>-13.217199999999901</v>
      </c>
      <c r="AF925">
        <v>5.8078852655308797</v>
      </c>
      <c r="AG925">
        <v>-1.096922938331</v>
      </c>
      <c r="AH925">
        <v>11.7940683767353</v>
      </c>
      <c r="AI925">
        <v>94.769604700076897</v>
      </c>
      <c r="AJ925">
        <v>63.782464849923002</v>
      </c>
      <c r="AK925">
        <v>13.1922257434186</v>
      </c>
    </row>
    <row r="926" spans="1:37" x14ac:dyDescent="0.2">
      <c r="A926" t="str">
        <f>"20200111160116935"</f>
        <v>20200111160116935</v>
      </c>
      <c r="B926" t="str">
        <f>"1578729676931923"</f>
        <v>1578729676931923</v>
      </c>
      <c r="C926" t="s">
        <v>37</v>
      </c>
      <c r="D926">
        <v>4.8129429999999997</v>
      </c>
      <c r="E926">
        <v>0.61066500000000001</v>
      </c>
      <c r="F926" t="s">
        <v>38</v>
      </c>
      <c r="G926">
        <v>-191.36580000000001</v>
      </c>
      <c r="H926" s="1">
        <v>-4.2789970000000002E-6</v>
      </c>
      <c r="I926">
        <v>328.84890000000001</v>
      </c>
      <c r="J926">
        <v>-189.5976</v>
      </c>
      <c r="K926">
        <v>1.0969770000000001</v>
      </c>
      <c r="L926">
        <v>349.2192</v>
      </c>
      <c r="M926">
        <v>0.38059569999999998</v>
      </c>
      <c r="N926">
        <v>0</v>
      </c>
      <c r="O926">
        <v>-0.92461700000000002</v>
      </c>
      <c r="P926">
        <v>0.1934167</v>
      </c>
      <c r="Q926">
        <v>-1.006348E-3</v>
      </c>
      <c r="R926">
        <v>-0.98111619999999999</v>
      </c>
      <c r="S926">
        <v>-0.25746149999999901</v>
      </c>
      <c r="T926">
        <v>-0.16610549999999999</v>
      </c>
      <c r="U926">
        <v>-3.114471</v>
      </c>
      <c r="V926">
        <v>0.19481870000000001</v>
      </c>
      <c r="W926">
        <v>1.027453E-2</v>
      </c>
      <c r="X926">
        <v>0.98078549999999998</v>
      </c>
      <c r="Y926">
        <v>0.45541189999999998</v>
      </c>
      <c r="Z926">
        <v>4.421655E-2</v>
      </c>
      <c r="AA926">
        <v>0.88918220000000003</v>
      </c>
      <c r="AB926">
        <v>21</v>
      </c>
      <c r="AC926">
        <v>-1.7682</v>
      </c>
      <c r="AD926">
        <v>-1.0969812789969999</v>
      </c>
      <c r="AE926">
        <v>-20.370299999999901</v>
      </c>
      <c r="AF926">
        <v>9.3618908356907298</v>
      </c>
      <c r="AG926">
        <v>-1.0969812789969999</v>
      </c>
      <c r="AH926">
        <v>18.1117163422639</v>
      </c>
      <c r="AI926">
        <v>93.0798112742916</v>
      </c>
      <c r="AJ926">
        <v>62.665695688885101</v>
      </c>
      <c r="AK926">
        <v>20.417704004331299</v>
      </c>
    </row>
    <row r="927" spans="1:37" x14ac:dyDescent="0.2">
      <c r="A927" t="str">
        <f>"20200111160116959"</f>
        <v>20200111160116959</v>
      </c>
      <c r="B927" t="str">
        <f>"1578729676951443"</f>
        <v>1578729676951443</v>
      </c>
      <c r="C927" t="s">
        <v>37</v>
      </c>
      <c r="D927">
        <v>4.8355499999999996</v>
      </c>
      <c r="E927">
        <v>0.60964390000000002</v>
      </c>
      <c r="F927" t="s">
        <v>38</v>
      </c>
      <c r="G927">
        <v>-191.45840000000001</v>
      </c>
      <c r="H927" s="1">
        <v>-4.1711130000000003E-6</v>
      </c>
      <c r="I927">
        <v>328.48360000000002</v>
      </c>
      <c r="J927">
        <v>-189.52670000000001</v>
      </c>
      <c r="K927">
        <v>1.0970549999999999</v>
      </c>
      <c r="L927">
        <v>349.00459999999998</v>
      </c>
      <c r="M927">
        <v>0.367973299999999</v>
      </c>
      <c r="N927">
        <v>0</v>
      </c>
      <c r="O927">
        <v>-0.92971280000000001</v>
      </c>
      <c r="P927">
        <v>0.18494579999999999</v>
      </c>
      <c r="Q927">
        <v>-1.7682010000000001E-3</v>
      </c>
      <c r="R927">
        <v>-0.98274740000000005</v>
      </c>
      <c r="S927">
        <v>-0.2793274</v>
      </c>
      <c r="T927">
        <v>-0.164668799999999</v>
      </c>
      <c r="U927">
        <v>-3.1126399999999999</v>
      </c>
      <c r="V927">
        <v>0.18990879999999999</v>
      </c>
      <c r="W927">
        <v>9.6398930000000001E-3</v>
      </c>
      <c r="X927">
        <v>0.98175440000000003</v>
      </c>
      <c r="Y927">
        <v>0.44952819999999999</v>
      </c>
      <c r="Z927">
        <v>4.4329899999999998E-2</v>
      </c>
      <c r="AA927">
        <v>0.89216549999999994</v>
      </c>
      <c r="AB927">
        <v>21</v>
      </c>
      <c r="AC927">
        <v>-1.9317</v>
      </c>
      <c r="AD927">
        <v>-1.097059171113</v>
      </c>
      <c r="AE927">
        <v>-20.520999999999901</v>
      </c>
      <c r="AF927">
        <v>9.3217726063319208</v>
      </c>
      <c r="AG927">
        <v>-1.097059171113</v>
      </c>
      <c r="AH927">
        <v>18.3180395715275</v>
      </c>
      <c r="AI927">
        <v>93.055309081328105</v>
      </c>
      <c r="AJ927">
        <v>63.029146835103603</v>
      </c>
      <c r="AK927">
        <v>20.582749016910501</v>
      </c>
    </row>
    <row r="928" spans="1:37" x14ac:dyDescent="0.2">
      <c r="A928" t="str">
        <f>"20200111160116981"</f>
        <v>20200111160116981</v>
      </c>
      <c r="B928" t="str">
        <f>"1578729676971939"</f>
        <v>1578729676971939</v>
      </c>
      <c r="C928" t="s">
        <v>37</v>
      </c>
      <c r="D928">
        <v>4.8656489999999897</v>
      </c>
      <c r="E928">
        <v>0.60964390000000002</v>
      </c>
      <c r="F928" t="s">
        <v>38</v>
      </c>
      <c r="G928">
        <v>-191.51990000000001</v>
      </c>
      <c r="H928" s="1">
        <v>-4.0973730000000003E-6</v>
      </c>
      <c r="I928">
        <v>328.23489999999998</v>
      </c>
      <c r="J928">
        <v>-189.45859999999999</v>
      </c>
      <c r="K928">
        <v>1.0971519999999999</v>
      </c>
      <c r="L928">
        <v>348.78949999999998</v>
      </c>
      <c r="M928">
        <v>0.35544029999999999</v>
      </c>
      <c r="N928">
        <v>0</v>
      </c>
      <c r="O928">
        <v>-0.93457649999999903</v>
      </c>
      <c r="P928">
        <v>0.17743129999999999</v>
      </c>
      <c r="Q928">
        <v>-3.1825220000000001E-3</v>
      </c>
      <c r="R928">
        <v>-0.98412819999999901</v>
      </c>
      <c r="S928">
        <v>-0.2983093</v>
      </c>
      <c r="T928">
        <v>-0.1641909</v>
      </c>
      <c r="U928">
        <v>-3.1084900000000002</v>
      </c>
      <c r="V928">
        <v>0.18417800000000001</v>
      </c>
      <c r="W928">
        <v>8.3768030000000004E-3</v>
      </c>
      <c r="X928">
        <v>0.98285719999999999</v>
      </c>
      <c r="Y928">
        <v>0.44301489999999999</v>
      </c>
      <c r="Z928">
        <v>4.4718300000000002E-2</v>
      </c>
      <c r="AA928">
        <v>0.89539829999999998</v>
      </c>
      <c r="AB928">
        <v>21</v>
      </c>
      <c r="AC928">
        <v>-2.0613000000000099</v>
      </c>
      <c r="AD928">
        <v>-1.0971560973729999</v>
      </c>
      <c r="AE928">
        <v>-20.554599999999901</v>
      </c>
      <c r="AF928">
        <v>9.2074603852396404</v>
      </c>
      <c r="AG928">
        <v>-1.0971560973729999</v>
      </c>
      <c r="AH928">
        <v>18.427312814516199</v>
      </c>
      <c r="AI928">
        <v>93.048753287197698</v>
      </c>
      <c r="AJ928">
        <v>63.450363057646598</v>
      </c>
      <c r="AK928">
        <v>20.628789004975399</v>
      </c>
    </row>
    <row r="929" spans="1:37" x14ac:dyDescent="0.2">
      <c r="A929" t="str">
        <f>"20200111160117004"</f>
        <v>20200111160117004</v>
      </c>
      <c r="B929" t="str">
        <f>"1578729676991458"</f>
        <v>1578729676991458</v>
      </c>
      <c r="C929" t="s">
        <v>37</v>
      </c>
      <c r="D929">
        <v>4.8794050000000002</v>
      </c>
      <c r="E929">
        <v>0.57673299999999905</v>
      </c>
      <c r="F929" t="s">
        <v>38</v>
      </c>
      <c r="G929">
        <v>-191.5617</v>
      </c>
      <c r="H929" s="1">
        <v>-4.1971739999999999E-6</v>
      </c>
      <c r="I929">
        <v>328.50630000000001</v>
      </c>
      <c r="J929">
        <v>-189.3981</v>
      </c>
      <c r="K929">
        <v>1.0972819999999901</v>
      </c>
      <c r="L929">
        <v>348.59</v>
      </c>
      <c r="M929">
        <v>0.34397559999999999</v>
      </c>
      <c r="N929">
        <v>0</v>
      </c>
      <c r="O929">
        <v>-0.9388571</v>
      </c>
      <c r="P929">
        <v>0.1709302</v>
      </c>
      <c r="Q929">
        <v>-4.4489909999999898E-3</v>
      </c>
      <c r="R929">
        <v>-0.98527289999999901</v>
      </c>
      <c r="S929">
        <v>-0.32203670000000001</v>
      </c>
      <c r="T929">
        <v>-0.1680044</v>
      </c>
      <c r="U929">
        <v>-3.105896</v>
      </c>
      <c r="V929">
        <v>0.17860770000000001</v>
      </c>
      <c r="W929">
        <v>7.25960699999999E-3</v>
      </c>
      <c r="X929">
        <v>0.98389359999999904</v>
      </c>
      <c r="Y929">
        <v>0.43887579999999998</v>
      </c>
      <c r="Z929">
        <v>4.617595E-2</v>
      </c>
      <c r="AA929">
        <v>0.89736050000000001</v>
      </c>
      <c r="AB929">
        <v>21</v>
      </c>
      <c r="AC929">
        <v>-2.1636000000000002</v>
      </c>
      <c r="AD929">
        <v>-1.09728619717399</v>
      </c>
      <c r="AE929">
        <v>-20.083699999999901</v>
      </c>
      <c r="AF929">
        <v>8.9143293739299008</v>
      </c>
      <c r="AG929">
        <v>-1.09728619717399</v>
      </c>
      <c r="AH929">
        <v>18.060272570922699</v>
      </c>
      <c r="AI929">
        <v>93.118485318777303</v>
      </c>
      <c r="AJ929">
        <v>63.729617736291203</v>
      </c>
      <c r="AK929">
        <v>20.1703433416846</v>
      </c>
    </row>
    <row r="930" spans="1:37" x14ac:dyDescent="0.2">
      <c r="A930" t="str">
        <f>"20200111160117026"</f>
        <v>20200111160117026</v>
      </c>
      <c r="B930" t="str">
        <f>"1578729677021715"</f>
        <v>1578729677021715</v>
      </c>
      <c r="C930" t="s">
        <v>37</v>
      </c>
      <c r="D930">
        <v>4.8939729999999999</v>
      </c>
      <c r="E930">
        <v>0.56395169999999994</v>
      </c>
      <c r="F930" t="s">
        <v>38</v>
      </c>
      <c r="G930">
        <v>-189.8227</v>
      </c>
      <c r="H930" s="1">
        <v>-1.3735489999999999E-6</v>
      </c>
      <c r="I930">
        <v>332.76119999999997</v>
      </c>
      <c r="J930">
        <v>-189.33709999999999</v>
      </c>
      <c r="K930">
        <v>1.0974539999999999</v>
      </c>
      <c r="L930">
        <v>348.3802</v>
      </c>
      <c r="M930">
        <v>0.33212709999999901</v>
      </c>
      <c r="N930">
        <v>0</v>
      </c>
      <c r="O930">
        <v>-0.94311429999999996</v>
      </c>
      <c r="P930">
        <v>0.163999799999999</v>
      </c>
      <c r="Q930">
        <v>-7.0643210000000001E-3</v>
      </c>
      <c r="R930">
        <v>-0.98643510000000001</v>
      </c>
      <c r="S930">
        <v>-8.2015989999999997E-2</v>
      </c>
      <c r="T930">
        <v>-0.21199689999999999</v>
      </c>
      <c r="U930">
        <v>-3.0581360000000002</v>
      </c>
      <c r="V930">
        <v>0.17307919999999999</v>
      </c>
      <c r="W930">
        <v>4.7982199999999997E-3</v>
      </c>
      <c r="X930">
        <v>0.9848962</v>
      </c>
      <c r="Y930">
        <v>0.35725269999999998</v>
      </c>
      <c r="Z930">
        <v>6.0968830000000002E-2</v>
      </c>
      <c r="AA930">
        <v>0.932015699999999</v>
      </c>
      <c r="AB930">
        <v>21</v>
      </c>
      <c r="AC930">
        <v>-0.48560000000000503</v>
      </c>
      <c r="AD930">
        <v>-1.097455373549</v>
      </c>
      <c r="AE930">
        <v>-15.619</v>
      </c>
      <c r="AF930">
        <v>5.6183988527287099</v>
      </c>
      <c r="AG930">
        <v>-1.097455373549</v>
      </c>
      <c r="AH930">
        <v>14.499360366980801</v>
      </c>
      <c r="AI930">
        <v>94.037046468778101</v>
      </c>
      <c r="AJ930">
        <v>68.819005373636401</v>
      </c>
      <c r="AK930">
        <v>15.5885299183999</v>
      </c>
    </row>
    <row r="931" spans="1:37" x14ac:dyDescent="0.2">
      <c r="A931" t="str">
        <f>"20200111160117048"</f>
        <v>20200111160117048</v>
      </c>
      <c r="B931" t="str">
        <f>"1578729677041235"</f>
        <v>1578729677041235</v>
      </c>
      <c r="C931" t="s">
        <v>37</v>
      </c>
      <c r="D931">
        <v>4.9052619999999996</v>
      </c>
      <c r="E931">
        <v>0.56079290000000004</v>
      </c>
      <c r="F931" t="s">
        <v>38</v>
      </c>
      <c r="G931">
        <v>-189.34970000000001</v>
      </c>
      <c r="H931" s="1">
        <v>-1.7989189999999999E-6</v>
      </c>
      <c r="I931">
        <v>333.5573</v>
      </c>
      <c r="J931">
        <v>-189.28139999999999</v>
      </c>
      <c r="K931">
        <v>1.0976459999999999</v>
      </c>
      <c r="L931">
        <v>348.18079999999998</v>
      </c>
      <c r="M931">
        <v>0.32110420000000001</v>
      </c>
      <c r="N931">
        <v>0</v>
      </c>
      <c r="O931">
        <v>-0.94692459999999901</v>
      </c>
      <c r="P931">
        <v>0.16157769999999999</v>
      </c>
      <c r="Q931">
        <v>-1.20286E-2</v>
      </c>
      <c r="R931">
        <v>-0.98678670000000002</v>
      </c>
      <c r="S931">
        <v>-2.5939940000000001E-3</v>
      </c>
      <c r="T931">
        <v>-0.22507859999999999</v>
      </c>
      <c r="U931">
        <v>-3.0400700000000001</v>
      </c>
      <c r="V931">
        <v>0.16390170000000001</v>
      </c>
      <c r="W931" s="1">
        <v>5.4626729999999999E-5</v>
      </c>
      <c r="X931">
        <v>0.98647669999999998</v>
      </c>
      <c r="Y931">
        <v>0.3219225</v>
      </c>
      <c r="Z931">
        <v>6.6008460000000005E-2</v>
      </c>
      <c r="AA931">
        <v>0.94446219999999903</v>
      </c>
      <c r="AB931">
        <v>21</v>
      </c>
      <c r="AC931">
        <v>-6.8300000000021996E-2</v>
      </c>
      <c r="AD931">
        <v>-1.0976477989190001</v>
      </c>
      <c r="AE931">
        <v>-14.6234999999999</v>
      </c>
      <c r="AF931">
        <v>4.7342076335097296</v>
      </c>
      <c r="AG931">
        <v>-1.0976477989190001</v>
      </c>
      <c r="AH931">
        <v>13.749518022430101</v>
      </c>
      <c r="AI931">
        <v>94.316648863323707</v>
      </c>
      <c r="AJ931">
        <v>71.000488370656598</v>
      </c>
      <c r="AK931">
        <v>14.583099754742999</v>
      </c>
    </row>
    <row r="932" spans="1:37" x14ac:dyDescent="0.2">
      <c r="A932" t="str">
        <f>"20200111160117082"</f>
        <v>20200111160117082</v>
      </c>
      <c r="B932" t="str">
        <f>"1578729677071491"</f>
        <v>1578729677071491</v>
      </c>
      <c r="C932" t="s">
        <v>37</v>
      </c>
      <c r="D932">
        <v>4.874784</v>
      </c>
      <c r="E932">
        <v>0.55747990000000003</v>
      </c>
      <c r="F932" t="s">
        <v>38</v>
      </c>
      <c r="G932">
        <v>-189.21430000000001</v>
      </c>
      <c r="H932" s="1">
        <v>-2.101986E-6</v>
      </c>
      <c r="I932">
        <v>334.20769999999999</v>
      </c>
      <c r="J932">
        <v>-189.19589999999999</v>
      </c>
      <c r="K932">
        <v>1.0980110000000001</v>
      </c>
      <c r="L932">
        <v>347.858</v>
      </c>
      <c r="M932">
        <v>0.30390650000000002</v>
      </c>
      <c r="N932">
        <v>0</v>
      </c>
      <c r="O932">
        <v>-0.95258489999999996</v>
      </c>
      <c r="P932">
        <v>0.15545390000000001</v>
      </c>
      <c r="Q932">
        <v>-1.7181140000000001E-2</v>
      </c>
      <c r="R932">
        <v>-0.98769379999999996</v>
      </c>
      <c r="S932">
        <v>1.4572140000000001E-2</v>
      </c>
      <c r="T932">
        <v>-0.23840529999999999</v>
      </c>
      <c r="U932">
        <v>-3.0349119999999998</v>
      </c>
      <c r="V932">
        <v>0.1520434</v>
      </c>
      <c r="W932">
        <v>-4.8138820000000002E-3</v>
      </c>
      <c r="X932">
        <v>0.98836209999999902</v>
      </c>
      <c r="Y932">
        <v>0.29935329999999999</v>
      </c>
      <c r="Z932">
        <v>7.0966650000000006E-2</v>
      </c>
      <c r="AA932">
        <v>0.95149950000000005</v>
      </c>
      <c r="AB932">
        <v>21</v>
      </c>
      <c r="AC932">
        <v>-1.8400000000013898E-2</v>
      </c>
      <c r="AD932">
        <v>-1.098013101986</v>
      </c>
      <c r="AE932">
        <v>-13.6503</v>
      </c>
      <c r="AF932">
        <v>4.1396217910097102</v>
      </c>
      <c r="AG932">
        <v>-1.098013101986</v>
      </c>
      <c r="AH932">
        <v>12.915358956097601</v>
      </c>
      <c r="AI932">
        <v>94.628522750274897</v>
      </c>
      <c r="AJ932">
        <v>72.228342599142806</v>
      </c>
      <c r="AK932">
        <v>13.606931994743899</v>
      </c>
    </row>
    <row r="933" spans="1:37" x14ac:dyDescent="0.2">
      <c r="A933" t="str">
        <f>"20200111160117104"</f>
        <v>20200111160117104</v>
      </c>
      <c r="B933" t="str">
        <f>"1578729677091986"</f>
        <v>1578729677091986</v>
      </c>
      <c r="C933" t="s">
        <v>37</v>
      </c>
      <c r="D933">
        <v>4.856446</v>
      </c>
      <c r="E933">
        <v>0.55602799999999997</v>
      </c>
      <c r="F933" t="s">
        <v>38</v>
      </c>
      <c r="G933">
        <v>-189.10429999999999</v>
      </c>
      <c r="H933" s="1">
        <v>-2.3176539999999999E-6</v>
      </c>
      <c r="I933">
        <v>334.66489999999999</v>
      </c>
      <c r="J933">
        <v>-189.14449999999999</v>
      </c>
      <c r="K933">
        <v>1.0982479999999999</v>
      </c>
      <c r="L933">
        <v>347.65410000000003</v>
      </c>
      <c r="M933">
        <v>0.29341799999999901</v>
      </c>
      <c r="N933">
        <v>0</v>
      </c>
      <c r="O933">
        <v>-0.95586859999999996</v>
      </c>
      <c r="P933">
        <v>0.1526122</v>
      </c>
      <c r="Q933">
        <v>-1.7473329999999999E-2</v>
      </c>
      <c r="R933">
        <v>-0.9881318</v>
      </c>
      <c r="S933">
        <v>2.1041870000000001E-2</v>
      </c>
      <c r="T933">
        <v>-0.25215110000000002</v>
      </c>
      <c r="U933">
        <v>-3.0296939999999899</v>
      </c>
      <c r="V933">
        <v>0.14401610000000001</v>
      </c>
      <c r="W933">
        <v>-4.9351239999999999E-3</v>
      </c>
      <c r="X933">
        <v>0.98956299999999997</v>
      </c>
      <c r="Y933">
        <v>0.28680319999999998</v>
      </c>
      <c r="Z933">
        <v>7.5727719999999998E-2</v>
      </c>
      <c r="AA933">
        <v>0.95499179999999995</v>
      </c>
      <c r="AB933">
        <v>21</v>
      </c>
      <c r="AC933">
        <v>4.0199999999998598E-2</v>
      </c>
      <c r="AD933">
        <v>-1.0982503176539999</v>
      </c>
      <c r="AE933">
        <v>-12.9892</v>
      </c>
      <c r="AF933">
        <v>3.74647349412546</v>
      </c>
      <c r="AG933">
        <v>-1.0982503176539999</v>
      </c>
      <c r="AH933">
        <v>12.340915072516699</v>
      </c>
      <c r="AI933">
        <v>94.8672837837088</v>
      </c>
      <c r="AJ933">
        <v>73.112680582042202</v>
      </c>
      <c r="AK933">
        <v>12.9437398857317</v>
      </c>
    </row>
    <row r="934" spans="1:37" x14ac:dyDescent="0.2">
      <c r="A934" t="str">
        <f>"20200111160117130"</f>
        <v>20200111160117130</v>
      </c>
      <c r="B934" t="str">
        <f>"1578729677121267"</f>
        <v>1578729677121267</v>
      </c>
      <c r="C934" t="s">
        <v>37</v>
      </c>
      <c r="D934">
        <v>5.0838760000000001</v>
      </c>
      <c r="E934">
        <v>0.55464399999999903</v>
      </c>
      <c r="F934" t="s">
        <v>38</v>
      </c>
      <c r="G934">
        <v>-189.04230000000001</v>
      </c>
      <c r="H934" s="1">
        <v>-2.271832E-6</v>
      </c>
      <c r="I934">
        <v>334.53250000000003</v>
      </c>
      <c r="J934">
        <v>-189.0857</v>
      </c>
      <c r="K934">
        <v>1.0985240000000001</v>
      </c>
      <c r="L934">
        <v>347.41129999999998</v>
      </c>
      <c r="M934">
        <v>0.28132269999999998</v>
      </c>
      <c r="N934">
        <v>0</v>
      </c>
      <c r="O934">
        <v>-0.95949910000000005</v>
      </c>
      <c r="P934">
        <v>0.1478546</v>
      </c>
      <c r="Q934">
        <v>-1.417449E-2</v>
      </c>
      <c r="R934">
        <v>-0.9889078</v>
      </c>
      <c r="S934">
        <v>2.3574830000000001E-2</v>
      </c>
      <c r="T934">
        <v>-0.25342629999999999</v>
      </c>
      <c r="U934">
        <v>-3.027863</v>
      </c>
      <c r="V934">
        <v>0.13634360000000001</v>
      </c>
      <c r="W934">
        <v>-1.4827970000000001E-3</v>
      </c>
      <c r="X934">
        <v>0.99066049999999894</v>
      </c>
      <c r="Y934">
        <v>0.27387849999999903</v>
      </c>
      <c r="Z934">
        <v>7.6764620000000006E-2</v>
      </c>
      <c r="AA934">
        <v>0.95869590000000005</v>
      </c>
      <c r="AB934">
        <v>21</v>
      </c>
      <c r="AC934">
        <v>4.3399999999991203E-2</v>
      </c>
      <c r="AD934">
        <v>-1.0985262718319999</v>
      </c>
      <c r="AE934">
        <v>-12.878799999999901</v>
      </c>
      <c r="AF934">
        <v>3.5559771396834301</v>
      </c>
      <c r="AG934">
        <v>-1.0985262718319999</v>
      </c>
      <c r="AH934">
        <v>12.281407326570401</v>
      </c>
      <c r="AI934">
        <v>94.910642091057198</v>
      </c>
      <c r="AJ934">
        <v>73.852075969924798</v>
      </c>
      <c r="AK934">
        <v>12.832953647114699</v>
      </c>
    </row>
    <row r="935" spans="1:37" x14ac:dyDescent="0.2">
      <c r="A935" t="str">
        <f>"20200111160117147"</f>
        <v>20200111160117147</v>
      </c>
      <c r="B935" t="str">
        <f>"1578729677141763"</f>
        <v>1578729677141763</v>
      </c>
      <c r="C935" t="s">
        <v>37</v>
      </c>
      <c r="D935">
        <v>4.8282889999999998</v>
      </c>
      <c r="E935">
        <v>0.55354939999999997</v>
      </c>
      <c r="F935" t="s">
        <v>38</v>
      </c>
      <c r="G935">
        <v>-188.9931</v>
      </c>
      <c r="H935" s="1">
        <v>-1.82727999999999E-6</v>
      </c>
      <c r="I935">
        <v>333.47590000000002</v>
      </c>
      <c r="J935">
        <v>-189.04679999999999</v>
      </c>
      <c r="K935">
        <v>1.098719</v>
      </c>
      <c r="L935">
        <v>347.24340000000001</v>
      </c>
      <c r="M935">
        <v>0.27325850000000002</v>
      </c>
      <c r="N935">
        <v>0</v>
      </c>
      <c r="O935">
        <v>-0.96182749999999995</v>
      </c>
      <c r="P935">
        <v>0.14646149999999999</v>
      </c>
      <c r="Q935">
        <v>-1.061818E-2</v>
      </c>
      <c r="R935">
        <v>-0.98915940000000002</v>
      </c>
      <c r="S935">
        <v>2.012634E-2</v>
      </c>
      <c r="T935">
        <v>-0.2386335</v>
      </c>
      <c r="U935">
        <v>-3.0271910000000002</v>
      </c>
      <c r="V935">
        <v>0.12948319999999999</v>
      </c>
      <c r="W935">
        <v>2.1966120000000001E-3</v>
      </c>
      <c r="X935">
        <v>0.99157919999999999</v>
      </c>
      <c r="Y935">
        <v>0.2668895</v>
      </c>
      <c r="Z935">
        <v>7.2678740000000006E-2</v>
      </c>
      <c r="AA935">
        <v>0.96098269999999997</v>
      </c>
      <c r="AB935">
        <v>21</v>
      </c>
      <c r="AC935">
        <v>5.3699999999991997E-2</v>
      </c>
      <c r="AD935">
        <v>-1.09872082727999</v>
      </c>
      <c r="AE935">
        <v>-13.767499999999901</v>
      </c>
      <c r="AF935">
        <v>3.68735606969922</v>
      </c>
      <c r="AG935">
        <v>-1.09872082727999</v>
      </c>
      <c r="AH935">
        <v>13.174173254956701</v>
      </c>
      <c r="AI935">
        <v>94.5917433570188</v>
      </c>
      <c r="AJ935">
        <v>74.363449962735501</v>
      </c>
      <c r="AK935">
        <v>13.7245263376432</v>
      </c>
    </row>
    <row r="936" spans="1:37" x14ac:dyDescent="0.2">
      <c r="A936" t="str">
        <f>"20200111160117172"</f>
        <v>20200111160117172</v>
      </c>
      <c r="B936" t="str">
        <f>"1578729677162259"</f>
        <v>1578729677162259</v>
      </c>
      <c r="C936" t="s">
        <v>37</v>
      </c>
      <c r="D936">
        <v>4.9629059999999896</v>
      </c>
      <c r="E936">
        <v>0.55256899999999998</v>
      </c>
      <c r="F936" t="s">
        <v>38</v>
      </c>
      <c r="G936">
        <v>-188.9256</v>
      </c>
      <c r="H936" s="1">
        <v>-1.4729450000000001E-6</v>
      </c>
      <c r="I936">
        <v>332.62199999999899</v>
      </c>
      <c r="J936">
        <v>-188.99639999999999</v>
      </c>
      <c r="K936">
        <v>1.0989549999999999</v>
      </c>
      <c r="L936">
        <v>347.01769999999999</v>
      </c>
      <c r="M936">
        <v>0.26274439999999999</v>
      </c>
      <c r="N936">
        <v>0</v>
      </c>
      <c r="O936">
        <v>-0.96475370000000005</v>
      </c>
      <c r="P936">
        <v>0.14248089999999999</v>
      </c>
      <c r="Q936">
        <v>-8.4203019999999993E-3</v>
      </c>
      <c r="R936">
        <v>-0.98976189999999997</v>
      </c>
      <c r="S936">
        <v>2.5085449999999999E-2</v>
      </c>
      <c r="T936">
        <v>-0.22744349999999999</v>
      </c>
      <c r="U936">
        <v>-3.0267330000000001</v>
      </c>
      <c r="V936">
        <v>0.1226805</v>
      </c>
      <c r="W936">
        <v>4.5040139999999998E-3</v>
      </c>
      <c r="X936">
        <v>0.99243599999999998</v>
      </c>
      <c r="Y936">
        <v>0.25477569999999999</v>
      </c>
      <c r="Z936">
        <v>6.9751199999999999E-2</v>
      </c>
      <c r="AA936">
        <v>0.96448120000000004</v>
      </c>
      <c r="AB936">
        <v>21</v>
      </c>
      <c r="AC936">
        <v>7.07999999999913E-2</v>
      </c>
      <c r="AD936">
        <v>-1.0989564729449901</v>
      </c>
      <c r="AE936">
        <v>-14.3957</v>
      </c>
      <c r="AF936">
        <v>3.6929647045679301</v>
      </c>
      <c r="AG936">
        <v>-1.0989564729449901</v>
      </c>
      <c r="AH936">
        <v>13.827824960168201</v>
      </c>
      <c r="AI936">
        <v>94.390735682426097</v>
      </c>
      <c r="AJ936">
        <v>75.047135646439202</v>
      </c>
      <c r="AK936">
        <v>14.3545963638015</v>
      </c>
    </row>
    <row r="937" spans="1:37" x14ac:dyDescent="0.2">
      <c r="A937" t="str">
        <f>"20200111160117195"</f>
        <v>20200111160117195</v>
      </c>
      <c r="B937" t="str">
        <f>"1578729677191539"</f>
        <v>1578729677191539</v>
      </c>
      <c r="C937" t="s">
        <v>37</v>
      </c>
      <c r="D937">
        <v>4.9311239999999996</v>
      </c>
      <c r="E937">
        <v>0.53597659999999903</v>
      </c>
      <c r="F937" t="s">
        <v>38</v>
      </c>
      <c r="G937">
        <v>-188.8922</v>
      </c>
      <c r="H937" s="1">
        <v>-1.1971049999999899E-6</v>
      </c>
      <c r="I937">
        <v>331.96519999999998</v>
      </c>
      <c r="J937">
        <v>-188.95249999999999</v>
      </c>
      <c r="K937">
        <v>1.099186</v>
      </c>
      <c r="L937">
        <v>346.81279999999998</v>
      </c>
      <c r="M937">
        <v>0.2535501</v>
      </c>
      <c r="N937">
        <v>0</v>
      </c>
      <c r="O937">
        <v>-0.96721179999999995</v>
      </c>
      <c r="P937">
        <v>0.140734</v>
      </c>
      <c r="Q937">
        <v>-5.7653460000000002E-3</v>
      </c>
      <c r="R937">
        <v>-0.99003109999999905</v>
      </c>
      <c r="S937">
        <v>2.0965580000000001E-2</v>
      </c>
      <c r="T937">
        <v>-0.22093389999999999</v>
      </c>
      <c r="U937">
        <v>-3.026154</v>
      </c>
      <c r="V937">
        <v>0.11501889999999899</v>
      </c>
      <c r="W937">
        <v>7.2753440000000004E-3</v>
      </c>
      <c r="X937">
        <v>0.99333669999999996</v>
      </c>
      <c r="Y937">
        <v>0.246875599999999</v>
      </c>
      <c r="Z937">
        <v>6.8120990000000006E-2</v>
      </c>
      <c r="AA937">
        <v>0.96664989999999995</v>
      </c>
      <c r="AB937">
        <v>21</v>
      </c>
      <c r="AC937">
        <v>6.0299999999983797E-2</v>
      </c>
      <c r="AD937">
        <v>-1.099187197105</v>
      </c>
      <c r="AE937">
        <v>-14.8476</v>
      </c>
      <c r="AF937">
        <v>3.6864797247481298</v>
      </c>
      <c r="AG937">
        <v>-1.099187197105</v>
      </c>
      <c r="AH937">
        <v>14.2992316196066</v>
      </c>
      <c r="AI937">
        <v>94.257041986439901</v>
      </c>
      <c r="AJ937">
        <v>75.543398370978807</v>
      </c>
      <c r="AK937">
        <v>14.807645665885399</v>
      </c>
    </row>
    <row r="938" spans="1:37" x14ac:dyDescent="0.2">
      <c r="A938" t="str">
        <f>"20200111160117216"</f>
        <v>20200111160117216</v>
      </c>
      <c r="B938" t="str">
        <f>"1578729677212035"</f>
        <v>1578729677212035</v>
      </c>
      <c r="C938" t="s">
        <v>37</v>
      </c>
      <c r="D938">
        <v>4.9784889999999997</v>
      </c>
      <c r="E938">
        <v>0.53732639999999998</v>
      </c>
      <c r="F938" t="s">
        <v>38</v>
      </c>
      <c r="G938">
        <v>-188.0564</v>
      </c>
      <c r="H938" s="1">
        <v>-4.0418799999999997E-6</v>
      </c>
      <c r="I938">
        <v>328.2509</v>
      </c>
      <c r="J938">
        <v>-188.91050000000001</v>
      </c>
      <c r="K938">
        <v>1.0994189999999999</v>
      </c>
      <c r="L938">
        <v>346.60899999999998</v>
      </c>
      <c r="M938">
        <v>0.24470980000000001</v>
      </c>
      <c r="N938">
        <v>0</v>
      </c>
      <c r="O938">
        <v>-0.96948709999999905</v>
      </c>
      <c r="P938">
        <v>0.13848769999999999</v>
      </c>
      <c r="Q938">
        <v>-1.1936219999999899E-3</v>
      </c>
      <c r="R938">
        <v>-0.99036349999999995</v>
      </c>
      <c r="S938">
        <v>0.1452484</v>
      </c>
      <c r="T938">
        <v>-0.17815780000000001</v>
      </c>
      <c r="U938">
        <v>-3.0085449999999998</v>
      </c>
      <c r="V938">
        <v>0.108257399999999</v>
      </c>
      <c r="W938">
        <v>1.194193E-2</v>
      </c>
      <c r="X938">
        <v>0.99405119999999902</v>
      </c>
      <c r="Y938">
        <v>0.19776820000000001</v>
      </c>
      <c r="Z938">
        <v>5.5808249999999997E-2</v>
      </c>
      <c r="AA938">
        <v>0.9786589</v>
      </c>
      <c r="AB938">
        <v>21</v>
      </c>
      <c r="AC938">
        <v>0.85410000000001596</v>
      </c>
      <c r="AD938">
        <v>-1.09942304188</v>
      </c>
      <c r="AE938">
        <v>-18.3581</v>
      </c>
      <c r="AF938">
        <v>3.6516877136900301</v>
      </c>
      <c r="AG938">
        <v>-1.09942304188</v>
      </c>
      <c r="AH938">
        <v>17.944635769945599</v>
      </c>
      <c r="AI938">
        <v>93.435743322816805</v>
      </c>
      <c r="AJ938">
        <v>78.497515622797906</v>
      </c>
      <c r="AK938">
        <v>18.345394710916999</v>
      </c>
    </row>
    <row r="939" spans="1:37" x14ac:dyDescent="0.2">
      <c r="A939" t="str">
        <f>"20200111160117238"</f>
        <v>20200111160117238</v>
      </c>
      <c r="B939" t="str">
        <f>"1578729677231555"</f>
        <v>1578729677231555</v>
      </c>
      <c r="C939" t="s">
        <v>37</v>
      </c>
      <c r="D939">
        <v>4.9748359999999998</v>
      </c>
      <c r="E939">
        <v>0.53721619999999903</v>
      </c>
      <c r="F939" t="s">
        <v>38</v>
      </c>
      <c r="G939">
        <v>-188.0471</v>
      </c>
      <c r="H939" s="1">
        <v>-3.1894840000000001E-6</v>
      </c>
      <c r="I939">
        <v>326.26</v>
      </c>
      <c r="J939">
        <v>-188.87049999999999</v>
      </c>
      <c r="K939">
        <v>1.0996569999999899</v>
      </c>
      <c r="L939">
        <v>346.40820000000002</v>
      </c>
      <c r="M939">
        <v>0.2362995</v>
      </c>
      <c r="N939">
        <v>0</v>
      </c>
      <c r="O939">
        <v>-0.9715724</v>
      </c>
      <c r="P939">
        <v>0.13566549999999999</v>
      </c>
      <c r="Q939">
        <v>2.3674779999999901E-3</v>
      </c>
      <c r="R939">
        <v>-0.99075249999999904</v>
      </c>
      <c r="S939">
        <v>0.12776179999999901</v>
      </c>
      <c r="T939">
        <v>-0.1626869</v>
      </c>
      <c r="U939">
        <v>-3.011139</v>
      </c>
      <c r="V939">
        <v>0.1025078</v>
      </c>
      <c r="W939">
        <v>1.557794E-2</v>
      </c>
      <c r="X939">
        <v>0.994610199999999</v>
      </c>
      <c r="Y939">
        <v>0.1949747</v>
      </c>
      <c r="Z939">
        <v>5.1121949999999999E-2</v>
      </c>
      <c r="AA939">
        <v>0.97947510000000004</v>
      </c>
      <c r="AB939">
        <v>21</v>
      </c>
      <c r="AC939">
        <v>0.82339999999999203</v>
      </c>
      <c r="AD939">
        <v>-1.0996601894839999</v>
      </c>
      <c r="AE939">
        <v>-20.148199999999999</v>
      </c>
      <c r="AF939">
        <v>3.9496862929375598</v>
      </c>
      <c r="AG939">
        <v>-1.0996601894839999</v>
      </c>
      <c r="AH939">
        <v>19.7134514920226</v>
      </c>
      <c r="AI939">
        <v>93.130686783602499</v>
      </c>
      <c r="AJ939">
        <v>78.6705175408744</v>
      </c>
      <c r="AK939">
        <v>20.135278594379599</v>
      </c>
    </row>
    <row r="940" spans="1:37" x14ac:dyDescent="0.2">
      <c r="A940" t="str">
        <f>"20200111160117260"</f>
        <v>20200111160117260</v>
      </c>
      <c r="B940" t="str">
        <f>"1578729677252051"</f>
        <v>1578729677252051</v>
      </c>
      <c r="C940" t="s">
        <v>37</v>
      </c>
      <c r="D940">
        <v>5.0044930000000001</v>
      </c>
      <c r="E940">
        <v>0.53739079999999995</v>
      </c>
      <c r="F940" t="s">
        <v>38</v>
      </c>
      <c r="G940">
        <v>-188.02379999999999</v>
      </c>
      <c r="H940" s="1">
        <v>-2.7691680000000001E-6</v>
      </c>
      <c r="I940">
        <v>325.2706</v>
      </c>
      <c r="J940">
        <v>-188.8296</v>
      </c>
      <c r="K940">
        <v>1.0999129999999999</v>
      </c>
      <c r="L940">
        <v>346.19510000000002</v>
      </c>
      <c r="M940">
        <v>0.22774059999999999</v>
      </c>
      <c r="N940">
        <v>0</v>
      </c>
      <c r="O940">
        <v>-0.9736148</v>
      </c>
      <c r="P940">
        <v>0.13305520000000001</v>
      </c>
      <c r="Q940">
        <v>3.8599390000000002E-3</v>
      </c>
      <c r="R940">
        <v>-0.99110109999999996</v>
      </c>
      <c r="S940">
        <v>0.1206512</v>
      </c>
      <c r="T940">
        <v>-0.15668969999999999</v>
      </c>
      <c r="U940">
        <v>-3.01187099999999</v>
      </c>
      <c r="V940">
        <v>9.6378329999999998E-2</v>
      </c>
      <c r="W940">
        <v>1.7145569999999999E-2</v>
      </c>
      <c r="X940">
        <v>0.99519709999999995</v>
      </c>
      <c r="Y940">
        <v>0.18865479999999901</v>
      </c>
      <c r="Z940">
        <v>4.9423460000000002E-2</v>
      </c>
      <c r="AA940">
        <v>0.98079899999999998</v>
      </c>
      <c r="AB940">
        <v>21</v>
      </c>
      <c r="AC940">
        <v>0.80580000000000496</v>
      </c>
      <c r="AD940">
        <v>-1.0999157691679999</v>
      </c>
      <c r="AE940">
        <v>-20.924499999999998</v>
      </c>
      <c r="AF940">
        <v>3.9702799851286699</v>
      </c>
      <c r="AG940">
        <v>-1.0999157691679999</v>
      </c>
      <c r="AH940">
        <v>20.501493569097299</v>
      </c>
      <c r="AI940">
        <v>93.015092500020302</v>
      </c>
      <c r="AJ940">
        <v>79.039879200326396</v>
      </c>
      <c r="AK940">
        <v>20.9113408566575</v>
      </c>
    </row>
    <row r="941" spans="1:37" x14ac:dyDescent="0.2">
      <c r="A941" t="str">
        <f>"20200111160117284"</f>
        <v>20200111160117284</v>
      </c>
      <c r="B941" t="str">
        <f>"1578729677271571"</f>
        <v>1578729677271571</v>
      </c>
      <c r="C941" t="s">
        <v>37</v>
      </c>
      <c r="D941">
        <v>5.062481</v>
      </c>
      <c r="E941">
        <v>0.53734989999999905</v>
      </c>
      <c r="F941" t="s">
        <v>38</v>
      </c>
      <c r="G941">
        <v>-188.0651</v>
      </c>
      <c r="H941" s="1">
        <v>-2.9244260000000002E-6</v>
      </c>
      <c r="I941">
        <v>325.64960000000002</v>
      </c>
      <c r="J941">
        <v>-188.7901</v>
      </c>
      <c r="K941">
        <v>1.1001829999999999</v>
      </c>
      <c r="L941">
        <v>345.9819</v>
      </c>
      <c r="M941">
        <v>0.21956819999999999</v>
      </c>
      <c r="N941">
        <v>0</v>
      </c>
      <c r="O941">
        <v>-0.97549140000000001</v>
      </c>
      <c r="P941">
        <v>0.13144310000000001</v>
      </c>
      <c r="Q941">
        <v>4.5356509999999999E-3</v>
      </c>
      <c r="R941">
        <v>-0.99131329999999995</v>
      </c>
      <c r="S941">
        <v>0.11210630000000001</v>
      </c>
      <c r="T941">
        <v>-0.16127659999999999</v>
      </c>
      <c r="U941">
        <v>-3.0125120000000001</v>
      </c>
      <c r="V941">
        <v>8.964337E-2</v>
      </c>
      <c r="W941">
        <v>1.7898859999999999E-2</v>
      </c>
      <c r="X941">
        <v>0.99581309999999901</v>
      </c>
      <c r="Y941">
        <v>0.1832058</v>
      </c>
      <c r="Z941">
        <v>5.1035549999999999E-2</v>
      </c>
      <c r="AA941">
        <v>0.98174889999999904</v>
      </c>
      <c r="AB941">
        <v>21</v>
      </c>
      <c r="AC941">
        <v>0.72499999999999398</v>
      </c>
      <c r="AD941">
        <v>-1.1001859244259999</v>
      </c>
      <c r="AE941">
        <v>-20.332299999999901</v>
      </c>
      <c r="AF941">
        <v>3.7465273150046299</v>
      </c>
      <c r="AG941">
        <v>-1.1001859244259999</v>
      </c>
      <c r="AH941">
        <v>19.936934077785502</v>
      </c>
      <c r="AI941">
        <v>93.104339001072901</v>
      </c>
      <c r="AJ941">
        <v>79.357158769268807</v>
      </c>
      <c r="AK941">
        <v>20.315713534413302</v>
      </c>
    </row>
    <row r="942" spans="1:37" x14ac:dyDescent="0.2">
      <c r="A942" t="str">
        <f>"20200111160117304"</f>
        <v>20200111160117304</v>
      </c>
      <c r="B942" t="str">
        <f>"1578729677301827"</f>
        <v>1578729677301827</v>
      </c>
      <c r="C942" t="s">
        <v>37</v>
      </c>
      <c r="D942">
        <v>5.0442859999999996</v>
      </c>
      <c r="E942">
        <v>0.53720869999999998</v>
      </c>
      <c r="F942" t="s">
        <v>38</v>
      </c>
      <c r="G942">
        <v>-188.08690000000001</v>
      </c>
      <c r="H942" s="1">
        <v>-3.2219839999999998E-6</v>
      </c>
      <c r="I942">
        <v>326.35230000000001</v>
      </c>
      <c r="J942">
        <v>-188.75569999999999</v>
      </c>
      <c r="K942">
        <v>1.1004179999999999</v>
      </c>
      <c r="L942">
        <v>345.78980000000001</v>
      </c>
      <c r="M942">
        <v>0.21257210000000001</v>
      </c>
      <c r="N942">
        <v>0</v>
      </c>
      <c r="O942">
        <v>-0.97704080000000004</v>
      </c>
      <c r="P942">
        <v>0.1307741</v>
      </c>
      <c r="Q942">
        <v>5.0109179999999996E-3</v>
      </c>
      <c r="R942">
        <v>-0.9913999</v>
      </c>
      <c r="S942">
        <v>0.107940699999999</v>
      </c>
      <c r="T942">
        <v>-0.1688598</v>
      </c>
      <c r="U942">
        <v>-3.0128169999999899</v>
      </c>
      <c r="V942">
        <v>8.3169530000000005E-2</v>
      </c>
      <c r="W942">
        <v>1.8441409999999998E-2</v>
      </c>
      <c r="X942">
        <v>0.99636480000000005</v>
      </c>
      <c r="Y942">
        <v>0.17752179999999901</v>
      </c>
      <c r="Z942">
        <v>5.3582600000000001E-2</v>
      </c>
      <c r="AA942">
        <v>0.98265709999999995</v>
      </c>
      <c r="AB942">
        <v>21</v>
      </c>
      <c r="AC942">
        <v>0.66879999999997597</v>
      </c>
      <c r="AD942">
        <v>-1.1004212219839999</v>
      </c>
      <c r="AE942">
        <v>-19.4375</v>
      </c>
      <c r="AF942">
        <v>3.4676798135449101</v>
      </c>
      <c r="AG942">
        <v>-1.1004212219839999</v>
      </c>
      <c r="AH942">
        <v>19.074292195640801</v>
      </c>
      <c r="AI942">
        <v>93.2486773364448</v>
      </c>
      <c r="AJ942">
        <v>79.696239016899796</v>
      </c>
      <c r="AK942">
        <v>19.418144940228999</v>
      </c>
    </row>
    <row r="943" spans="1:37" x14ac:dyDescent="0.2">
      <c r="A943" t="str">
        <f>"20200111160117328"</f>
        <v>20200111160117328</v>
      </c>
      <c r="B943" t="str">
        <f>"1578729677321347"</f>
        <v>1578729677321347</v>
      </c>
      <c r="C943" t="s">
        <v>37</v>
      </c>
      <c r="D943">
        <v>5.1059049999999999</v>
      </c>
      <c r="E943">
        <v>0.53713999999999995</v>
      </c>
      <c r="F943" t="s">
        <v>38</v>
      </c>
      <c r="G943">
        <v>-188.10299999999901</v>
      </c>
      <c r="H943" s="1">
        <v>-3.703586E-6</v>
      </c>
      <c r="I943">
        <v>327.48160000000001</v>
      </c>
      <c r="J943">
        <v>-188.7191</v>
      </c>
      <c r="K943">
        <v>1.1006959999999999</v>
      </c>
      <c r="L943">
        <v>345.57929999999999</v>
      </c>
      <c r="M943">
        <v>0.20531289999999999</v>
      </c>
      <c r="N943">
        <v>0</v>
      </c>
      <c r="O943">
        <v>-0.97859259999999904</v>
      </c>
      <c r="P943">
        <v>0.12887770000000001</v>
      </c>
      <c r="Q943">
        <v>5.4774159999999997E-3</v>
      </c>
      <c r="R943">
        <v>-0.99164549999999996</v>
      </c>
      <c r="S943">
        <v>0.1074066</v>
      </c>
      <c r="T943">
        <v>-0.18108650000000001</v>
      </c>
      <c r="U943">
        <v>-3.0128169999999899</v>
      </c>
      <c r="V943">
        <v>7.7666830000000006E-2</v>
      </c>
      <c r="W943">
        <v>1.8959170000000001E-2</v>
      </c>
      <c r="X943">
        <v>0.99679910000000005</v>
      </c>
      <c r="Y943">
        <v>0.17039299999999999</v>
      </c>
      <c r="Z943">
        <v>5.7626230000000001E-2</v>
      </c>
      <c r="AA943">
        <v>0.983689699999999</v>
      </c>
      <c r="AB943">
        <v>21</v>
      </c>
      <c r="AC943">
        <v>0.61610000000001697</v>
      </c>
      <c r="AD943">
        <v>-1.100699703586</v>
      </c>
      <c r="AE943">
        <v>-18.0976999999999</v>
      </c>
      <c r="AF943">
        <v>3.1016367295606502</v>
      </c>
      <c r="AG943">
        <v>-1.100699703586</v>
      </c>
      <c r="AH943">
        <v>17.7729135953828</v>
      </c>
      <c r="AI943">
        <v>93.491244642820803</v>
      </c>
      <c r="AJ943">
        <v>80.100729713670603</v>
      </c>
      <c r="AK943">
        <v>18.075069789867399</v>
      </c>
    </row>
    <row r="944" spans="1:37" x14ac:dyDescent="0.2">
      <c r="A944" t="str">
        <f>"20200111160117350"</f>
        <v>20200111160117350</v>
      </c>
      <c r="B944" t="str">
        <f>"1578729677341842"</f>
        <v>1578729677341842</v>
      </c>
      <c r="C944" t="s">
        <v>37</v>
      </c>
      <c r="D944">
        <v>5.0790980000000001</v>
      </c>
      <c r="E944">
        <v>0.536746099999999</v>
      </c>
      <c r="F944" t="s">
        <v>38</v>
      </c>
      <c r="G944">
        <v>-188.1268</v>
      </c>
      <c r="H944" s="1">
        <v>-4.0314890000000002E-6</v>
      </c>
      <c r="I944">
        <v>328.25569999999999</v>
      </c>
      <c r="J944">
        <v>-188.6831</v>
      </c>
      <c r="K944">
        <v>1.1009899999999999</v>
      </c>
      <c r="L944">
        <v>345.36590000000001</v>
      </c>
      <c r="M944">
        <v>0.19842509999999999</v>
      </c>
      <c r="N944">
        <v>0</v>
      </c>
      <c r="O944">
        <v>-0.98001349999999998</v>
      </c>
      <c r="P944">
        <v>0.12699649999999901</v>
      </c>
      <c r="Q944">
        <v>4.7712839999999998E-3</v>
      </c>
      <c r="R944">
        <v>-0.99189159999999899</v>
      </c>
      <c r="S944">
        <v>0.1030121</v>
      </c>
      <c r="T944">
        <v>-0.19143370000000001</v>
      </c>
      <c r="U944">
        <v>-3.0129090000000001</v>
      </c>
      <c r="V944">
        <v>7.2525399999999907E-2</v>
      </c>
      <c r="W944">
        <v>1.829457E-2</v>
      </c>
      <c r="X944">
        <v>0.99719880000000005</v>
      </c>
      <c r="Y944">
        <v>0.16490079999999999</v>
      </c>
      <c r="Z944">
        <v>6.107013E-2</v>
      </c>
      <c r="AA944">
        <v>0.98441769999999995</v>
      </c>
      <c r="AB944">
        <v>21</v>
      </c>
      <c r="AC944">
        <v>0.55629999999999302</v>
      </c>
      <c r="AD944">
        <v>-1.1009940314890001</v>
      </c>
      <c r="AE944">
        <v>-17.110199999999999</v>
      </c>
      <c r="AF944">
        <v>2.8384577109111699</v>
      </c>
      <c r="AG944">
        <v>-1.1009940314890001</v>
      </c>
      <c r="AH944">
        <v>16.8107749626665</v>
      </c>
      <c r="AI944">
        <v>93.694988244969693</v>
      </c>
      <c r="AJ944">
        <v>80.416144226900101</v>
      </c>
      <c r="AK944">
        <v>17.084237907481199</v>
      </c>
    </row>
    <row r="945" spans="1:37" x14ac:dyDescent="0.2">
      <c r="A945" t="str">
        <f>"20200111160117373"</f>
        <v>20200111160117373</v>
      </c>
      <c r="B945" t="str">
        <f>"1578729677362339"</f>
        <v>1578729677362339</v>
      </c>
      <c r="C945" t="s">
        <v>37</v>
      </c>
      <c r="D945">
        <v>5.3452400000000004</v>
      </c>
      <c r="E945">
        <v>0.53631049999999902</v>
      </c>
      <c r="F945" t="s">
        <v>38</v>
      </c>
      <c r="G945">
        <v>-188.12979999999999</v>
      </c>
      <c r="H945" s="1">
        <v>-4.3033939999999996E-6</v>
      </c>
      <c r="I945">
        <v>328.89080000000001</v>
      </c>
      <c r="J945">
        <v>-188.6491</v>
      </c>
      <c r="K945">
        <v>1.1012519999999999</v>
      </c>
      <c r="L945">
        <v>345.15899999999999</v>
      </c>
      <c r="M945">
        <v>0.19220279999999901</v>
      </c>
      <c r="N945">
        <v>0</v>
      </c>
      <c r="O945">
        <v>-0.98125359999999995</v>
      </c>
      <c r="P945">
        <v>0.126746</v>
      </c>
      <c r="Q945">
        <v>3.2363659999999901E-3</v>
      </c>
      <c r="R945">
        <v>-0.99193009999999904</v>
      </c>
      <c r="S945">
        <v>0.1011658</v>
      </c>
      <c r="T945">
        <v>-0.20132130000000001</v>
      </c>
      <c r="U945">
        <v>-3.012543</v>
      </c>
      <c r="V945">
        <v>6.6423800000000005E-2</v>
      </c>
      <c r="W945">
        <v>1.6803249999999999E-2</v>
      </c>
      <c r="X945">
        <v>0.99765000000000004</v>
      </c>
      <c r="Y945">
        <v>0.1592451</v>
      </c>
      <c r="Z945">
        <v>6.4373910000000006E-2</v>
      </c>
      <c r="AA945">
        <v>0.98513809999999902</v>
      </c>
      <c r="AB945">
        <v>21</v>
      </c>
      <c r="AC945">
        <v>0.51930000000001497</v>
      </c>
      <c r="AD945">
        <v>-1.1012563033939999</v>
      </c>
      <c r="AE945">
        <v>-16.268199999999901</v>
      </c>
      <c r="AF945">
        <v>2.60556194124079</v>
      </c>
      <c r="AG945">
        <v>-1.1012563033939999</v>
      </c>
      <c r="AH945">
        <v>15.9914375235821</v>
      </c>
      <c r="AI945">
        <v>93.888360356342105</v>
      </c>
      <c r="AJ945">
        <v>80.745843206646498</v>
      </c>
      <c r="AK945">
        <v>16.239698043560999</v>
      </c>
    </row>
    <row r="946" spans="1:37" x14ac:dyDescent="0.2">
      <c r="A946" t="str">
        <f>"20200111160117395"</f>
        <v>20200111160117395</v>
      </c>
      <c r="B946" t="str">
        <f>"1578729677391619"</f>
        <v>1578729677391619</v>
      </c>
      <c r="C946" t="s">
        <v>37</v>
      </c>
      <c r="D946">
        <v>5.3030949999999999</v>
      </c>
      <c r="E946">
        <v>0.53581489999999998</v>
      </c>
      <c r="F946" t="s">
        <v>42</v>
      </c>
      <c r="G946">
        <v>-188.61850000000001</v>
      </c>
      <c r="H946">
        <v>1.038154</v>
      </c>
      <c r="I946">
        <v>344.26900000000001</v>
      </c>
      <c r="J946">
        <v>-188.61670000000001</v>
      </c>
      <c r="K946">
        <v>1.101472</v>
      </c>
      <c r="L946">
        <v>344.95659999999998</v>
      </c>
      <c r="M946">
        <v>0.18645729999999999</v>
      </c>
      <c r="N946">
        <v>0</v>
      </c>
      <c r="O946">
        <v>-0.98236229999999902</v>
      </c>
      <c r="P946">
        <v>0.12688440000000001</v>
      </c>
      <c r="Q946">
        <v>2.2062430000000001E-3</v>
      </c>
      <c r="R946">
        <v>-0.99191509999999905</v>
      </c>
      <c r="S946">
        <v>0.1038208</v>
      </c>
      <c r="T946">
        <v>-0.213534</v>
      </c>
      <c r="U946">
        <v>-3.0119020000000001</v>
      </c>
      <c r="V946">
        <v>6.0427679999999998E-2</v>
      </c>
      <c r="W946">
        <v>1.580585E-2</v>
      </c>
      <c r="X946">
        <v>0.99804740000000003</v>
      </c>
      <c r="Y946">
        <v>0.15259900000000001</v>
      </c>
      <c r="Z946">
        <v>6.8428050000000004E-2</v>
      </c>
      <c r="AA946">
        <v>0.98591640000000003</v>
      </c>
      <c r="AB946">
        <v>21</v>
      </c>
      <c r="AC946">
        <v>-1.8000000000029099E-3</v>
      </c>
      <c r="AD946">
        <v>-6.3317999999999902E-2</v>
      </c>
      <c r="AE946">
        <v>-0.68759999999997401</v>
      </c>
      <c r="AF946">
        <v>0.12889616161637801</v>
      </c>
      <c r="AG946">
        <v>-6.3317999999999902E-2</v>
      </c>
      <c r="AH946">
        <v>0.66952616805851195</v>
      </c>
      <c r="AI946">
        <v>95.305615737814406</v>
      </c>
      <c r="AJ946">
        <v>79.102826753183905</v>
      </c>
      <c r="AK946">
        <v>0.684754466446587</v>
      </c>
    </row>
    <row r="947" spans="1:37" x14ac:dyDescent="0.2">
      <c r="A947" t="str">
        <f>"20200111160117417"</f>
        <v>20200111160117417</v>
      </c>
      <c r="B947" t="str">
        <f>"1578729677412115"</f>
        <v>1578729677412115</v>
      </c>
      <c r="C947" t="s">
        <v>37</v>
      </c>
      <c r="D947">
        <v>5.1152049999999996</v>
      </c>
      <c r="E947">
        <v>0.53559409999999996</v>
      </c>
      <c r="F947" t="s">
        <v>42</v>
      </c>
      <c r="G947">
        <v>-188.5857</v>
      </c>
      <c r="H947">
        <v>1.036448</v>
      </c>
      <c r="I947">
        <v>344.08909999999997</v>
      </c>
      <c r="J947">
        <v>-188.5838</v>
      </c>
      <c r="K947">
        <v>1.101666</v>
      </c>
      <c r="L947">
        <v>344.74590000000001</v>
      </c>
      <c r="M947">
        <v>0.180811</v>
      </c>
      <c r="N947">
        <v>0</v>
      </c>
      <c r="O947">
        <v>-0.98341789999999996</v>
      </c>
      <c r="P947">
        <v>0.1262161</v>
      </c>
      <c r="Q947">
        <v>1.4990260000000001E-3</v>
      </c>
      <c r="R947">
        <v>-0.99200149999999998</v>
      </c>
      <c r="S947">
        <v>0.10804749999999901</v>
      </c>
      <c r="T947">
        <v>-0.22567970000000001</v>
      </c>
      <c r="U947">
        <v>-3.0111080000000001</v>
      </c>
      <c r="V947">
        <v>5.5353029999999998E-2</v>
      </c>
      <c r="W947">
        <v>1.511499E-2</v>
      </c>
      <c r="X947">
        <v>0.99835239999999903</v>
      </c>
      <c r="Y947">
        <v>0.1455369</v>
      </c>
      <c r="Z947">
        <v>7.2474230000000001E-2</v>
      </c>
      <c r="AA947">
        <v>0.98669479999999998</v>
      </c>
      <c r="AB947">
        <v>21</v>
      </c>
      <c r="AC947">
        <v>-1.90000000000623E-3</v>
      </c>
      <c r="AD947">
        <v>-6.5217999999999998E-2</v>
      </c>
      <c r="AE947">
        <v>-0.65680000000003202</v>
      </c>
      <c r="AF947">
        <v>0.11945918367276501</v>
      </c>
      <c r="AG947">
        <v>-6.5217999999999998E-2</v>
      </c>
      <c r="AH947">
        <v>0.63932523517718198</v>
      </c>
      <c r="AI947">
        <v>95.726204820957406</v>
      </c>
      <c r="AJ947">
        <v>79.416216968719098</v>
      </c>
      <c r="AK947">
        <v>0.653651773058196</v>
      </c>
    </row>
    <row r="948" spans="1:37" x14ac:dyDescent="0.2">
      <c r="A948" t="str">
        <f>"20200111160117440"</f>
        <v>20200111160117440</v>
      </c>
      <c r="B948" t="str">
        <f>"1578729677431635"</f>
        <v>1578729677431635</v>
      </c>
      <c r="C948" t="s">
        <v>37</v>
      </c>
      <c r="D948">
        <v>5.1799210000000002</v>
      </c>
      <c r="E948">
        <v>0.55889789999999995</v>
      </c>
      <c r="F948" t="s">
        <v>42</v>
      </c>
      <c r="G948">
        <v>-188.5539</v>
      </c>
      <c r="H948">
        <v>1.036921</v>
      </c>
      <c r="I948">
        <v>343.90699999999998</v>
      </c>
      <c r="J948">
        <v>-188.55189999999999</v>
      </c>
      <c r="K948">
        <v>1.101828</v>
      </c>
      <c r="L948">
        <v>344.53579999999999</v>
      </c>
      <c r="M948">
        <v>0.175519799999999</v>
      </c>
      <c r="N948">
        <v>0</v>
      </c>
      <c r="O948">
        <v>-0.9843769</v>
      </c>
      <c r="P948">
        <v>0.1249073</v>
      </c>
      <c r="Q948">
        <v>1.344643E-3</v>
      </c>
      <c r="R948">
        <v>-0.99216779999999904</v>
      </c>
      <c r="S948">
        <v>0.10768129999999999</v>
      </c>
      <c r="T948">
        <v>-0.23238300000000001</v>
      </c>
      <c r="U948">
        <v>-3.0108950000000001</v>
      </c>
      <c r="V948">
        <v>5.1292780000000003E-2</v>
      </c>
      <c r="W948">
        <v>1.496575E-2</v>
      </c>
      <c r="X948">
        <v>0.99857149999999995</v>
      </c>
      <c r="Y948">
        <v>0.14033760000000001</v>
      </c>
      <c r="Z948">
        <v>7.4759060000000002E-2</v>
      </c>
      <c r="AA948">
        <v>0.98727730000000002</v>
      </c>
      <c r="AB948">
        <v>21</v>
      </c>
      <c r="AC948">
        <v>-2.0000000000095402E-3</v>
      </c>
      <c r="AD948">
        <v>-6.4907000000000006E-2</v>
      </c>
      <c r="AE948">
        <v>-0.62880000000001202</v>
      </c>
      <c r="AF948">
        <v>0.111162120954182</v>
      </c>
      <c r="AG948">
        <v>-6.4907000000000006E-2</v>
      </c>
      <c r="AH948">
        <v>0.612162857060499</v>
      </c>
      <c r="AI948">
        <v>95.955719506594704</v>
      </c>
      <c r="AJ948">
        <v>79.707857757967901</v>
      </c>
      <c r="AK948">
        <v>0.62555039712920402</v>
      </c>
    </row>
    <row r="949" spans="1:37" x14ac:dyDescent="0.2">
      <c r="A949" t="str">
        <f>"20200111160117462"</f>
        <v>20200111160117462</v>
      </c>
      <c r="B949" t="str">
        <f>"1578729677452131"</f>
        <v>1578729677452131</v>
      </c>
      <c r="C949" t="s">
        <v>37</v>
      </c>
      <c r="D949">
        <v>5.1635999999999997</v>
      </c>
      <c r="E949">
        <v>0.56990180000000001</v>
      </c>
      <c r="F949" t="s">
        <v>38</v>
      </c>
      <c r="G949">
        <v>-188.8955</v>
      </c>
      <c r="H949" s="1">
        <v>-9.7838439999999998E-7</v>
      </c>
      <c r="I949">
        <v>331.45679999999999</v>
      </c>
      <c r="J949">
        <v>-188.52180000000001</v>
      </c>
      <c r="K949">
        <v>1.1019969999999999</v>
      </c>
      <c r="L949">
        <v>344.33260000000001</v>
      </c>
      <c r="M949">
        <v>0.17072329999999999</v>
      </c>
      <c r="N949">
        <v>0</v>
      </c>
      <c r="O949">
        <v>-0.9852206</v>
      </c>
      <c r="P949">
        <v>0.12367259999999999</v>
      </c>
      <c r="Q949">
        <v>9.8262580000000005E-4</v>
      </c>
      <c r="R949">
        <v>-0.99232260000000005</v>
      </c>
      <c r="S949">
        <v>-7.9711909999999997E-2</v>
      </c>
      <c r="T949">
        <v>-0.25560509999999997</v>
      </c>
      <c r="U949">
        <v>-3.034119</v>
      </c>
      <c r="V949">
        <v>4.7662580000000003E-2</v>
      </c>
      <c r="W949">
        <v>1.460578E-2</v>
      </c>
      <c r="X949">
        <v>0.99875669999999905</v>
      </c>
      <c r="Y949">
        <v>0.196464</v>
      </c>
      <c r="Z949">
        <v>8.1265799999999999E-2</v>
      </c>
      <c r="AA949">
        <v>0.97713749999999999</v>
      </c>
      <c r="AB949">
        <v>21</v>
      </c>
      <c r="AC949">
        <v>-0.37369999999998499</v>
      </c>
      <c r="AD949">
        <v>-1.1019979783843901</v>
      </c>
      <c r="AE949">
        <v>-12.8758</v>
      </c>
      <c r="AF949">
        <v>2.5479764258028399</v>
      </c>
      <c r="AG949">
        <v>-1.1019979783843901</v>
      </c>
      <c r="AH949">
        <v>12.5312130632857</v>
      </c>
      <c r="AI949">
        <v>94.925402407901601</v>
      </c>
      <c r="AJ949">
        <v>78.506707481934299</v>
      </c>
      <c r="AK949">
        <v>12.835025681636701</v>
      </c>
    </row>
    <row r="950" spans="1:37" x14ac:dyDescent="0.2">
      <c r="A950" t="str">
        <f>"20200111160117486"</f>
        <v>20200111160117486</v>
      </c>
      <c r="B950" t="str">
        <f>"1578729677481410"</f>
        <v>1578729677481410</v>
      </c>
      <c r="C950" t="s">
        <v>37</v>
      </c>
      <c r="D950">
        <v>5.1589539999999996</v>
      </c>
      <c r="E950">
        <v>0.57481959999999999</v>
      </c>
      <c r="F950" t="s">
        <v>38</v>
      </c>
      <c r="G950">
        <v>-189.3416</v>
      </c>
      <c r="H950" s="1">
        <v>-2.3678030000000001E-7</v>
      </c>
      <c r="I950">
        <v>329.82900000000001</v>
      </c>
      <c r="J950">
        <v>-188.49090000000001</v>
      </c>
      <c r="K950">
        <v>1.1021939999999999</v>
      </c>
      <c r="L950">
        <v>344.11959999999999</v>
      </c>
      <c r="M950">
        <v>0.16602529999999999</v>
      </c>
      <c r="N950">
        <v>0</v>
      </c>
      <c r="O950">
        <v>-0.98602369999999995</v>
      </c>
      <c r="P950">
        <v>0.1222283</v>
      </c>
      <c r="Q950">
        <v>1.250777E-3</v>
      </c>
      <c r="R950">
        <v>-0.99250119999999897</v>
      </c>
      <c r="S950">
        <v>-0.1721039</v>
      </c>
      <c r="T950">
        <v>-0.23135229999999901</v>
      </c>
      <c r="U950">
        <v>-3.044861</v>
      </c>
      <c r="V950">
        <v>4.4349159999999999E-2</v>
      </c>
      <c r="W950">
        <v>1.487374E-2</v>
      </c>
      <c r="X950">
        <v>0.99890540000000005</v>
      </c>
      <c r="Y950">
        <v>0.22126669999999901</v>
      </c>
      <c r="Z950">
        <v>7.3186840000000003E-2</v>
      </c>
      <c r="AA950">
        <v>0.97246330000000003</v>
      </c>
      <c r="AB950">
        <v>21</v>
      </c>
      <c r="AC950">
        <v>-0.85069999999998902</v>
      </c>
      <c r="AD950">
        <v>-1.1021942367802999</v>
      </c>
      <c r="AE950">
        <v>-14.2905999999999</v>
      </c>
      <c r="AF950">
        <v>3.1927956161430999</v>
      </c>
      <c r="AG950">
        <v>-1.1021942367802999</v>
      </c>
      <c r="AH950">
        <v>13.8687693893485</v>
      </c>
      <c r="AI950">
        <v>94.428563045281606</v>
      </c>
      <c r="AJ950">
        <v>77.035548632166694</v>
      </c>
      <c r="AK950">
        <v>14.27415637987</v>
      </c>
    </row>
    <row r="951" spans="1:37" x14ac:dyDescent="0.2">
      <c r="A951" t="str">
        <f>"20200111160117507"</f>
        <v>20200111160117507</v>
      </c>
      <c r="B951" t="str">
        <f>"1578729677501907"</f>
        <v>1578729677501907</v>
      </c>
      <c r="C951" t="s">
        <v>37</v>
      </c>
      <c r="D951">
        <v>5.2512669999999897</v>
      </c>
      <c r="E951">
        <v>0.57679659999999999</v>
      </c>
      <c r="F951" t="s">
        <v>38</v>
      </c>
      <c r="G951">
        <v>-189.6113</v>
      </c>
      <c r="H951" s="1">
        <v>-3.810869E-6</v>
      </c>
      <c r="I951">
        <v>328.3553</v>
      </c>
      <c r="J951">
        <v>-188.46350000000001</v>
      </c>
      <c r="K951">
        <v>1.102398</v>
      </c>
      <c r="L951">
        <v>343.9271</v>
      </c>
      <c r="M951">
        <v>0.1620722</v>
      </c>
      <c r="N951">
        <v>0</v>
      </c>
      <c r="O951">
        <v>-0.9866819</v>
      </c>
      <c r="P951">
        <v>0.12065619999999901</v>
      </c>
      <c r="Q951">
        <v>1.84365299999999E-3</v>
      </c>
      <c r="R951">
        <v>-0.99269309999999999</v>
      </c>
      <c r="S951">
        <v>-0.2167511</v>
      </c>
      <c r="T951">
        <v>-0.21322089999999999</v>
      </c>
      <c r="U951">
        <v>-3.0496219999999998</v>
      </c>
      <c r="V951">
        <v>4.1922870000000001E-2</v>
      </c>
      <c r="W951">
        <v>1.5464469999999999E-2</v>
      </c>
      <c r="X951">
        <v>0.99900109999999998</v>
      </c>
      <c r="Y951">
        <v>0.23146990000000001</v>
      </c>
      <c r="Z951">
        <v>6.732979E-2</v>
      </c>
      <c r="AA951">
        <v>0.97050939999999997</v>
      </c>
      <c r="AB951">
        <v>21</v>
      </c>
      <c r="AC951">
        <v>-1.1477999999999799</v>
      </c>
      <c r="AD951">
        <v>-1.1024018108689999</v>
      </c>
      <c r="AE951">
        <v>-15.5717999999999</v>
      </c>
      <c r="AF951">
        <v>3.63848222099121</v>
      </c>
      <c r="AG951">
        <v>-1.1024018108689999</v>
      </c>
      <c r="AH951">
        <v>15.1045463897409</v>
      </c>
      <c r="AI951">
        <v>94.058629160279295</v>
      </c>
      <c r="AJ951">
        <v>76.456246749434399</v>
      </c>
      <c r="AK951">
        <v>15.5756593524933</v>
      </c>
    </row>
    <row r="952" spans="1:37" x14ac:dyDescent="0.2">
      <c r="A952" t="str">
        <f>"20200111160117529"</f>
        <v>20200111160117529</v>
      </c>
      <c r="B952" t="str">
        <f>"1578729677521427"</f>
        <v>1578729677521427</v>
      </c>
      <c r="C952" t="s">
        <v>37</v>
      </c>
      <c r="D952">
        <v>5.1718679999999999</v>
      </c>
      <c r="E952">
        <v>0.57725740000000003</v>
      </c>
      <c r="F952" t="s">
        <v>38</v>
      </c>
      <c r="G952">
        <v>-189.7406</v>
      </c>
      <c r="H952" s="1">
        <v>-3.4381209999999899E-6</v>
      </c>
      <c r="I952">
        <v>327.53989999999999</v>
      </c>
      <c r="J952">
        <v>-188.4357</v>
      </c>
      <c r="K952">
        <v>1.102608</v>
      </c>
      <c r="L952">
        <v>343.72919999999999</v>
      </c>
      <c r="M952">
        <v>0.15830639999999899</v>
      </c>
      <c r="N952">
        <v>0</v>
      </c>
      <c r="O952">
        <v>-0.98729359999999999</v>
      </c>
      <c r="P952">
        <v>0.1188482</v>
      </c>
      <c r="Q952">
        <v>1.454838E-3</v>
      </c>
      <c r="R952">
        <v>-0.99291149999999995</v>
      </c>
      <c r="S952">
        <v>-0.2378082</v>
      </c>
      <c r="T952">
        <v>-0.2052717</v>
      </c>
      <c r="U952">
        <v>-3.051361</v>
      </c>
      <c r="V952">
        <v>3.9920169999999998E-2</v>
      </c>
      <c r="W952">
        <v>1.507256E-2</v>
      </c>
      <c r="X952">
        <v>0.99908920000000001</v>
      </c>
      <c r="Y952">
        <v>0.23439199999999999</v>
      </c>
      <c r="Z952">
        <v>6.481576E-2</v>
      </c>
      <c r="AA952">
        <v>0.96997900000000004</v>
      </c>
      <c r="AB952">
        <v>21</v>
      </c>
      <c r="AC952">
        <v>-1.3048999999999999</v>
      </c>
      <c r="AD952">
        <v>-1.1026114381209999</v>
      </c>
      <c r="AE952">
        <v>-16.189299999999999</v>
      </c>
      <c r="AF952">
        <v>3.8338868122797098</v>
      </c>
      <c r="AG952">
        <v>-1.1026114381209999</v>
      </c>
      <c r="AH952">
        <v>15.7061361504734</v>
      </c>
      <c r="AI952">
        <v>93.901537630925404</v>
      </c>
      <c r="AJ952">
        <v>76.282290298550507</v>
      </c>
      <c r="AK952">
        <v>16.204849670702099</v>
      </c>
    </row>
    <row r="953" spans="1:37" x14ac:dyDescent="0.2">
      <c r="A953" t="str">
        <f>"20200111160117552"</f>
        <v>20200111160117552</v>
      </c>
      <c r="B953" t="str">
        <f>"1578729677541923"</f>
        <v>1578729677541923</v>
      </c>
      <c r="C953" t="s">
        <v>37</v>
      </c>
      <c r="D953">
        <v>5.1606009999999998</v>
      </c>
      <c r="E953">
        <v>0.57780589999999998</v>
      </c>
      <c r="F953" t="s">
        <v>38</v>
      </c>
      <c r="G953">
        <v>-189.76740000000001</v>
      </c>
      <c r="H953" s="1">
        <v>-3.331064E-6</v>
      </c>
      <c r="I953">
        <v>327.3014</v>
      </c>
      <c r="J953">
        <v>-188.4057</v>
      </c>
      <c r="K953">
        <v>1.102824</v>
      </c>
      <c r="L953">
        <v>343.51240000000001</v>
      </c>
      <c r="M953">
        <v>0.15457009999999999</v>
      </c>
      <c r="N953">
        <v>0</v>
      </c>
      <c r="O953">
        <v>-0.98788609999999899</v>
      </c>
      <c r="P953">
        <v>0.117398</v>
      </c>
      <c r="Q953">
        <v>-6.8614000000000001E-4</v>
      </c>
      <c r="R953">
        <v>-0.993085</v>
      </c>
      <c r="S953">
        <v>-0.2473602</v>
      </c>
      <c r="T953">
        <v>-0.20480499999999999</v>
      </c>
      <c r="U953">
        <v>-3.0513919999999999</v>
      </c>
      <c r="V953">
        <v>3.7581950000000003E-2</v>
      </c>
      <c r="W953">
        <v>1.2929380000000001E-2</v>
      </c>
      <c r="X953">
        <v>0.99920989999999998</v>
      </c>
      <c r="Y953">
        <v>0.23373139999999901</v>
      </c>
      <c r="Z953">
        <v>6.4725160000000004E-2</v>
      </c>
      <c r="AA953">
        <v>0.97014449999999997</v>
      </c>
      <c r="AB953">
        <v>20</v>
      </c>
      <c r="AC953">
        <v>-1.3617000000000099</v>
      </c>
      <c r="AD953">
        <v>-1.102827331064</v>
      </c>
      <c r="AE953">
        <v>-16.210999999999999</v>
      </c>
      <c r="AF953">
        <v>3.8336865464650298</v>
      </c>
      <c r="AG953">
        <v>-1.102827331064</v>
      </c>
      <c r="AH953">
        <v>15.733334193160401</v>
      </c>
      <c r="AI953">
        <v>93.895962755299706</v>
      </c>
      <c r="AJ953">
        <v>76.305798728253805</v>
      </c>
      <c r="AK953">
        <v>16.231179423946902</v>
      </c>
    </row>
    <row r="954" spans="1:37" x14ac:dyDescent="0.2">
      <c r="A954" t="str">
        <f>"20200111160117575"</f>
        <v>20200111160117575</v>
      </c>
      <c r="B954" t="str">
        <f>"1578729677572178"</f>
        <v>1578729677572178</v>
      </c>
      <c r="C954" t="s">
        <v>37</v>
      </c>
      <c r="D954">
        <v>5.1887049999999997</v>
      </c>
      <c r="E954">
        <v>0.57806579999999996</v>
      </c>
      <c r="F954" t="s">
        <v>38</v>
      </c>
      <c r="G954">
        <v>-189.7937</v>
      </c>
      <c r="H954" s="1">
        <v>-3.21193199999999E-6</v>
      </c>
      <c r="I954">
        <v>327.03449999999998</v>
      </c>
      <c r="J954">
        <v>-188.3784</v>
      </c>
      <c r="K954">
        <v>1.1029979999999999</v>
      </c>
      <c r="L954">
        <v>343.31270000000001</v>
      </c>
      <c r="M954">
        <v>0.15145699999999901</v>
      </c>
      <c r="N954">
        <v>0</v>
      </c>
      <c r="O954">
        <v>-0.98836819999999903</v>
      </c>
      <c r="P954">
        <v>0.11647730000000001</v>
      </c>
      <c r="Q954">
        <v>-2.934964E-3</v>
      </c>
      <c r="R954">
        <v>-0.99318890000000004</v>
      </c>
      <c r="S954">
        <v>-0.2570038</v>
      </c>
      <c r="T954">
        <v>-0.20420469999999999</v>
      </c>
      <c r="U954">
        <v>-3.0511169999999899</v>
      </c>
      <c r="V954">
        <v>3.5345149999999999E-2</v>
      </c>
      <c r="W954">
        <v>1.067648E-2</v>
      </c>
      <c r="X954">
        <v>0.99931809999999999</v>
      </c>
      <c r="Y954">
        <v>0.23372190000000001</v>
      </c>
      <c r="Z954">
        <v>6.4582000000000001E-2</v>
      </c>
      <c r="AA954">
        <v>0.97015629999999997</v>
      </c>
      <c r="AB954">
        <v>20</v>
      </c>
      <c r="AC954">
        <v>-1.4153</v>
      </c>
      <c r="AD954">
        <v>-1.1030012119319901</v>
      </c>
      <c r="AE954">
        <v>-16.278199999999998</v>
      </c>
      <c r="AF954">
        <v>3.84711932791086</v>
      </c>
      <c r="AG954">
        <v>-1.1030012119319901</v>
      </c>
      <c r="AH954">
        <v>15.8039821019077</v>
      </c>
      <c r="AI954">
        <v>93.879422500175195</v>
      </c>
      <c r="AJ954">
        <v>76.318741386435505</v>
      </c>
      <c r="AK954">
        <v>16.302846042152499</v>
      </c>
    </row>
    <row r="955" spans="1:37" x14ac:dyDescent="0.2">
      <c r="A955" t="str">
        <f>"20200111160117596"</f>
        <v>20200111160117596</v>
      </c>
      <c r="B955" t="str">
        <f>"1578729677591699"</f>
        <v>1578729677591699</v>
      </c>
      <c r="C955" t="s">
        <v>37</v>
      </c>
      <c r="D955">
        <v>5.2117800000000001</v>
      </c>
      <c r="E955">
        <v>0.5784764</v>
      </c>
      <c r="F955" t="s">
        <v>38</v>
      </c>
      <c r="G955">
        <v>-189.785</v>
      </c>
      <c r="H955" s="1">
        <v>-3.2007209999999899E-6</v>
      </c>
      <c r="I955">
        <v>327.00479999999999</v>
      </c>
      <c r="J955">
        <v>-188.3511</v>
      </c>
      <c r="K955">
        <v>1.103132</v>
      </c>
      <c r="L955">
        <v>343.11090000000002</v>
      </c>
      <c r="M955">
        <v>0.14857409999999999</v>
      </c>
      <c r="N955">
        <v>0</v>
      </c>
      <c r="O955">
        <v>-0.98880630000000003</v>
      </c>
      <c r="P955">
        <v>0.1153216</v>
      </c>
      <c r="Q955">
        <v>-4.1702019999999996E-3</v>
      </c>
      <c r="R955">
        <v>-0.99331970000000003</v>
      </c>
      <c r="S955">
        <v>-0.26313779999999998</v>
      </c>
      <c r="T955">
        <v>-0.20634449999999999</v>
      </c>
      <c r="U955">
        <v>-3.0508120000000001</v>
      </c>
      <c r="V955">
        <v>3.3584919999999997E-2</v>
      </c>
      <c r="W955">
        <v>9.4329549999999998E-3</v>
      </c>
      <c r="X955">
        <v>0.99939140000000004</v>
      </c>
      <c r="Y955">
        <v>0.23282700000000001</v>
      </c>
      <c r="Z955">
        <v>6.5308130000000006E-2</v>
      </c>
      <c r="AA955">
        <v>0.97032280000000004</v>
      </c>
      <c r="AB955">
        <v>20</v>
      </c>
      <c r="AC955">
        <v>-1.43389999999999</v>
      </c>
      <c r="AD955">
        <v>-1.103135200721</v>
      </c>
      <c r="AE955">
        <v>-16.106100000000001</v>
      </c>
      <c r="AF955">
        <v>3.79350078923291</v>
      </c>
      <c r="AG955">
        <v>-1.103135200721</v>
      </c>
      <c r="AH955">
        <v>15.6414497446523</v>
      </c>
      <c r="AI955">
        <v>93.920889398141696</v>
      </c>
      <c r="AJ955">
        <v>76.367351412387606</v>
      </c>
      <c r="AK955">
        <v>16.1326533968676</v>
      </c>
    </row>
    <row r="956" spans="1:37" x14ac:dyDescent="0.2">
      <c r="A956" t="str">
        <f>"20200111160117618"</f>
        <v>20200111160117618</v>
      </c>
      <c r="B956" t="str">
        <f>"1578729677612195"</f>
        <v>1578729677612195</v>
      </c>
      <c r="C956" t="s">
        <v>37</v>
      </c>
      <c r="D956">
        <v>5.152253</v>
      </c>
      <c r="E956">
        <v>0.57882069999999997</v>
      </c>
      <c r="F956" t="s">
        <v>38</v>
      </c>
      <c r="G956">
        <v>-189.77440000000001</v>
      </c>
      <c r="H956" s="1">
        <v>-3.2178489999999998E-6</v>
      </c>
      <c r="I956">
        <v>327.04039999999998</v>
      </c>
      <c r="J956">
        <v>-188.32499999999999</v>
      </c>
      <c r="K956">
        <v>1.103232</v>
      </c>
      <c r="L956">
        <v>342.91559999999998</v>
      </c>
      <c r="M956">
        <v>0.146007</v>
      </c>
      <c r="N956">
        <v>0</v>
      </c>
      <c r="O956">
        <v>-0.98918869999999903</v>
      </c>
      <c r="P956">
        <v>0.1136783</v>
      </c>
      <c r="Q956">
        <v>-5.6227680000000002E-3</v>
      </c>
      <c r="R956">
        <v>-0.99350190000000005</v>
      </c>
      <c r="S956">
        <v>-0.27018740000000002</v>
      </c>
      <c r="T956">
        <v>-0.20940539999999999</v>
      </c>
      <c r="U956">
        <v>-3.0506289999999998</v>
      </c>
      <c r="V956">
        <v>3.2636199999999997E-2</v>
      </c>
      <c r="W956">
        <v>7.9676899999999995E-3</v>
      </c>
      <c r="X956">
        <v>0.99943549999999903</v>
      </c>
      <c r="Y956">
        <v>0.23252729999999899</v>
      </c>
      <c r="Z956">
        <v>6.6311419999999996E-2</v>
      </c>
      <c r="AA956">
        <v>0.97032669999999999</v>
      </c>
      <c r="AB956">
        <v>20</v>
      </c>
      <c r="AC956">
        <v>-1.44940000000002</v>
      </c>
      <c r="AD956">
        <v>-1.1032352178489999</v>
      </c>
      <c r="AE956">
        <v>-15.8752</v>
      </c>
      <c r="AF956">
        <v>3.7340879954602402</v>
      </c>
      <c r="AG956">
        <v>-1.1032352178489999</v>
      </c>
      <c r="AH956">
        <v>15.419547455698201</v>
      </c>
      <c r="AI956">
        <v>93.977823769769202</v>
      </c>
      <c r="AJ956">
        <v>76.386988358139007</v>
      </c>
      <c r="AK956">
        <v>15.9035525855789</v>
      </c>
    </row>
    <row r="957" spans="1:37" x14ac:dyDescent="0.2">
      <c r="A957" t="str">
        <f>"20200111160117641"</f>
        <v>20200111160117641</v>
      </c>
      <c r="B957" t="str">
        <f>"1578729677631719"</f>
        <v>1578729677631719</v>
      </c>
      <c r="C957" t="s">
        <v>37</v>
      </c>
      <c r="D957">
        <v>5.303839</v>
      </c>
      <c r="E957">
        <v>0.57893879999999998</v>
      </c>
      <c r="F957" t="s">
        <v>38</v>
      </c>
      <c r="G957">
        <v>-189.74709999999999</v>
      </c>
      <c r="H957" s="1">
        <v>-3.3345150000000002E-6</v>
      </c>
      <c r="I957">
        <v>327.30110000000002</v>
      </c>
      <c r="J957">
        <v>-188.29750000000001</v>
      </c>
      <c r="K957">
        <v>1.1033200000000001</v>
      </c>
      <c r="L957">
        <v>342.70760000000001</v>
      </c>
      <c r="M957">
        <v>0.14348540000000001</v>
      </c>
      <c r="N957">
        <v>0</v>
      </c>
      <c r="O957">
        <v>-0.9895583</v>
      </c>
      <c r="P957">
        <v>0.11163720000000001</v>
      </c>
      <c r="Q957">
        <v>-7.7808679999999998E-3</v>
      </c>
      <c r="R957">
        <v>-0.99371889999999996</v>
      </c>
      <c r="S957">
        <v>-0.27780149999999998</v>
      </c>
      <c r="T957">
        <v>-0.21550939999999999</v>
      </c>
      <c r="U957">
        <v>-3.0502009999999999</v>
      </c>
      <c r="V957">
        <v>3.2131970000000003E-2</v>
      </c>
      <c r="W957">
        <v>5.7952719999999997E-3</v>
      </c>
      <c r="X957">
        <v>0.99946679999999999</v>
      </c>
      <c r="Y957">
        <v>0.23245089999999999</v>
      </c>
      <c r="Z957">
        <v>6.8276399999999904E-2</v>
      </c>
      <c r="AA957">
        <v>0.97020869999999904</v>
      </c>
      <c r="AB957">
        <v>20</v>
      </c>
      <c r="AC957">
        <v>-1.44959999999997</v>
      </c>
      <c r="AD957">
        <v>-1.103323334515</v>
      </c>
      <c r="AE957">
        <v>-15.4064999999999</v>
      </c>
      <c r="AF957">
        <v>3.6269731203958102</v>
      </c>
      <c r="AG957">
        <v>-1.103323334515</v>
      </c>
      <c r="AH957">
        <v>14.9629690791265</v>
      </c>
      <c r="AI957">
        <v>94.098905580393307</v>
      </c>
      <c r="AJ957">
        <v>76.374499983777</v>
      </c>
      <c r="AK957">
        <v>15.435760430229999</v>
      </c>
    </row>
    <row r="958" spans="1:37" x14ac:dyDescent="0.2">
      <c r="A958" t="str">
        <f>"20200111160117662"</f>
        <v>20200111160117662</v>
      </c>
      <c r="B958" t="str">
        <f>"1578729677652216"</f>
        <v>1578729677652216</v>
      </c>
      <c r="C958" t="s">
        <v>37</v>
      </c>
      <c r="D958">
        <v>5.1939489999999999</v>
      </c>
      <c r="E958">
        <v>0.57909840000000001</v>
      </c>
      <c r="F958" t="s">
        <v>38</v>
      </c>
      <c r="G958">
        <v>-189.70269999999999</v>
      </c>
      <c r="H958" s="1">
        <v>-3.4936509999999998E-6</v>
      </c>
      <c r="I958">
        <v>327.65359999999998</v>
      </c>
      <c r="J958">
        <v>-188.27180000000001</v>
      </c>
      <c r="K958">
        <v>1.1033999999999999</v>
      </c>
      <c r="L958">
        <v>342.51069999999999</v>
      </c>
      <c r="M958">
        <v>0.14126820000000001</v>
      </c>
      <c r="N958">
        <v>0</v>
      </c>
      <c r="O958">
        <v>-0.98987719999999901</v>
      </c>
      <c r="P958">
        <v>0.10993310000000001</v>
      </c>
      <c r="Q958">
        <v>-9.3403289999999996E-3</v>
      </c>
      <c r="R958">
        <v>-0.99389539999999998</v>
      </c>
      <c r="S958">
        <v>-0.28462219999999999</v>
      </c>
      <c r="T958">
        <v>-0.22348170000000001</v>
      </c>
      <c r="U958">
        <v>-3.0492249999999999</v>
      </c>
      <c r="V958">
        <v>3.1599660000000002E-2</v>
      </c>
      <c r="W958">
        <v>4.2231600000000001E-3</v>
      </c>
      <c r="X958">
        <v>0.99949169999999998</v>
      </c>
      <c r="Y958">
        <v>0.23243520000000001</v>
      </c>
      <c r="Z958">
        <v>7.0839289999999999E-2</v>
      </c>
      <c r="AA958">
        <v>0.97002869999999997</v>
      </c>
      <c r="AB958">
        <v>20</v>
      </c>
      <c r="AC958">
        <v>-1.4308999999999801</v>
      </c>
      <c r="AD958">
        <v>-1.103403493651</v>
      </c>
      <c r="AE958">
        <v>-14.857100000000001</v>
      </c>
      <c r="AF958">
        <v>3.4964705323516299</v>
      </c>
      <c r="AG958">
        <v>-1.103403493651</v>
      </c>
      <c r="AH958">
        <v>14.4270720162865</v>
      </c>
      <c r="AI958">
        <v>94.250960526264805</v>
      </c>
      <c r="AJ958">
        <v>76.376761684659996</v>
      </c>
      <c r="AK958">
        <v>14.885671379434701</v>
      </c>
    </row>
    <row r="959" spans="1:37" x14ac:dyDescent="0.2">
      <c r="A959" t="str">
        <f>"20200111160117687"</f>
        <v>20200111160117687</v>
      </c>
      <c r="B959" t="str">
        <f>"1578729677681495"</f>
        <v>1578729677681495</v>
      </c>
      <c r="C959" t="s">
        <v>37</v>
      </c>
      <c r="D959">
        <v>5.1729659999999997</v>
      </c>
      <c r="E959">
        <v>0.57907810000000004</v>
      </c>
      <c r="F959" t="s">
        <v>38</v>
      </c>
      <c r="G959">
        <v>-189.6737</v>
      </c>
      <c r="H959" s="1">
        <v>-3.57260299999999E-6</v>
      </c>
      <c r="I959">
        <v>327.82569999999998</v>
      </c>
      <c r="J959">
        <v>-188.244</v>
      </c>
      <c r="K959">
        <v>1.1034870000000001</v>
      </c>
      <c r="L959">
        <v>342.29559999999998</v>
      </c>
      <c r="M959">
        <v>0.13899120000000001</v>
      </c>
      <c r="N959">
        <v>0</v>
      </c>
      <c r="O959">
        <v>-0.99019969999999902</v>
      </c>
      <c r="P959">
        <v>0.10800129999999999</v>
      </c>
      <c r="Q959">
        <v>-8.1685219999999992E-3</v>
      </c>
      <c r="R959">
        <v>-0.99411709999999998</v>
      </c>
      <c r="S959">
        <v>-0.29101559999999999</v>
      </c>
      <c r="T959">
        <v>-0.2290536</v>
      </c>
      <c r="U959">
        <v>-3.0484309999999999</v>
      </c>
      <c r="V959">
        <v>3.1246759999999998E-2</v>
      </c>
      <c r="W959">
        <v>5.3832910000000001E-3</v>
      </c>
      <c r="X959">
        <v>0.99949719999999997</v>
      </c>
      <c r="Y959">
        <v>0.23222559999999901</v>
      </c>
      <c r="Z959">
        <v>7.2645370000000001E-2</v>
      </c>
      <c r="AA959">
        <v>0.96994530000000001</v>
      </c>
      <c r="AB959">
        <v>20</v>
      </c>
      <c r="AC959">
        <v>-1.42969999999996</v>
      </c>
      <c r="AD959">
        <v>-1.103490572603</v>
      </c>
      <c r="AE959">
        <v>-14.4698999999999</v>
      </c>
      <c r="AF959">
        <v>3.4075700219913299</v>
      </c>
      <c r="AG959">
        <v>-1.103490572603</v>
      </c>
      <c r="AH959">
        <v>14.0497690844704</v>
      </c>
      <c r="AI959">
        <v>94.364846650683802</v>
      </c>
      <c r="AJ959">
        <v>76.366975866318896</v>
      </c>
      <c r="AK959">
        <v>14.499146051596901</v>
      </c>
    </row>
    <row r="960" spans="1:37" x14ac:dyDescent="0.2">
      <c r="A960" t="str">
        <f>"20200111160117709"</f>
        <v>20200111160117709</v>
      </c>
      <c r="B960" t="str">
        <f>"1578729677701992"</f>
        <v>1578729677701992</v>
      </c>
      <c r="C960" t="s">
        <v>37</v>
      </c>
      <c r="D960">
        <v>5.1513650000000002</v>
      </c>
      <c r="E960">
        <v>0.57916699999999999</v>
      </c>
      <c r="F960" t="s">
        <v>38</v>
      </c>
      <c r="G960">
        <v>-189.6944</v>
      </c>
      <c r="H960" s="1">
        <v>-3.3837529999999999E-6</v>
      </c>
      <c r="I960">
        <v>327.39400000000001</v>
      </c>
      <c r="J960">
        <v>-188.21809999999999</v>
      </c>
      <c r="K960">
        <v>1.103559</v>
      </c>
      <c r="L960">
        <v>342.09269999999998</v>
      </c>
      <c r="M960">
        <v>0.13695399999999999</v>
      </c>
      <c r="N960">
        <v>0</v>
      </c>
      <c r="O960">
        <v>-0.99048400000000003</v>
      </c>
      <c r="P960">
        <v>0.10552889999999999</v>
      </c>
      <c r="Q960">
        <v>-5.5214859999999999E-3</v>
      </c>
      <c r="R960">
        <v>-0.99440119999999899</v>
      </c>
      <c r="S960">
        <v>-0.29667659999999901</v>
      </c>
      <c r="T960">
        <v>-0.2257199</v>
      </c>
      <c r="U960">
        <v>-3.0481259999999999</v>
      </c>
      <c r="V960">
        <v>3.168377E-2</v>
      </c>
      <c r="W960">
        <v>8.0182340000000008E-3</v>
      </c>
      <c r="X960">
        <v>0.99946579999999996</v>
      </c>
      <c r="Y960">
        <v>0.23202629999999999</v>
      </c>
      <c r="Z960">
        <v>7.1627769999999993E-2</v>
      </c>
      <c r="AA960">
        <v>0.97006870000000001</v>
      </c>
      <c r="AB960">
        <v>20</v>
      </c>
      <c r="AC960">
        <v>-1.4762999999999999</v>
      </c>
      <c r="AD960">
        <v>-1.103562383753</v>
      </c>
      <c r="AE960">
        <v>-14.698699999999899</v>
      </c>
      <c r="AF960">
        <v>3.4563306621333099</v>
      </c>
      <c r="AG960">
        <v>-1.103562383753</v>
      </c>
      <c r="AH960">
        <v>14.278289814192</v>
      </c>
      <c r="AI960">
        <v>94.295987440686304</v>
      </c>
      <c r="AJ960">
        <v>76.3922333620784</v>
      </c>
      <c r="AK960">
        <v>14.732061349278201</v>
      </c>
    </row>
    <row r="961" spans="1:37" x14ac:dyDescent="0.2">
      <c r="A961" t="str">
        <f>"20200111160117732"</f>
        <v>20200111160117732</v>
      </c>
      <c r="B961" t="str">
        <f>"1578729677722320"</f>
        <v>1578729677722320</v>
      </c>
      <c r="C961" t="s">
        <v>37</v>
      </c>
      <c r="D961">
        <v>5.1637550000000001</v>
      </c>
      <c r="E961">
        <v>0.57917369999999901</v>
      </c>
      <c r="F961" t="s">
        <v>38</v>
      </c>
      <c r="G961">
        <v>-189.75139999999999</v>
      </c>
      <c r="H961" s="1">
        <v>-3.088878E-6</v>
      </c>
      <c r="I961">
        <v>326.7303</v>
      </c>
      <c r="J961">
        <v>-188.19309999999999</v>
      </c>
      <c r="K961">
        <v>1.103613</v>
      </c>
      <c r="L961">
        <v>341.89449999999999</v>
      </c>
      <c r="M961">
        <v>0.1350537</v>
      </c>
      <c r="N961">
        <v>0</v>
      </c>
      <c r="O961">
        <v>-0.99074499999999999</v>
      </c>
      <c r="P961">
        <v>0.1026299</v>
      </c>
      <c r="Q961">
        <v>-3.8438690000000002E-3</v>
      </c>
      <c r="R961">
        <v>-0.99471270000000001</v>
      </c>
      <c r="S961">
        <v>-0.3042145</v>
      </c>
      <c r="T961">
        <v>-0.2189478</v>
      </c>
      <c r="U961">
        <v>-3.0479129999999999</v>
      </c>
      <c r="V961">
        <v>3.2683539999999997E-2</v>
      </c>
      <c r="W961">
        <v>9.6842379999999995E-3</v>
      </c>
      <c r="X961">
        <v>0.9994189</v>
      </c>
      <c r="Y961">
        <v>0.232558399999999</v>
      </c>
      <c r="Z961">
        <v>6.9509799999999997E-2</v>
      </c>
      <c r="AA961">
        <v>0.97009529999999999</v>
      </c>
      <c r="AB961">
        <v>20</v>
      </c>
      <c r="AC961">
        <v>-1.5583</v>
      </c>
      <c r="AD961">
        <v>-1.103616088878</v>
      </c>
      <c r="AE961">
        <v>-15.1641999999999</v>
      </c>
      <c r="AF961">
        <v>3.5734618523982098</v>
      </c>
      <c r="AG961">
        <v>-1.103616088878</v>
      </c>
      <c r="AH961">
        <v>14.737527338344</v>
      </c>
      <c r="AI961">
        <v>94.162415562616204</v>
      </c>
      <c r="AJ961">
        <v>76.370332167377796</v>
      </c>
      <c r="AK961">
        <v>15.2046805336585</v>
      </c>
    </row>
    <row r="962" spans="1:37" x14ac:dyDescent="0.2">
      <c r="A962" t="str">
        <f>"20200111160117754"</f>
        <v>20200111160117754</v>
      </c>
      <c r="B962" t="str">
        <f>"1578729677741839"</f>
        <v>1578729677741839</v>
      </c>
      <c r="C962" t="s">
        <v>37</v>
      </c>
      <c r="D962">
        <v>5.384506</v>
      </c>
      <c r="E962">
        <v>0.57935300000000001</v>
      </c>
      <c r="F962" t="s">
        <v>38</v>
      </c>
      <c r="G962">
        <v>-189.8075</v>
      </c>
      <c r="H962" s="1">
        <v>-2.8416949999999999E-6</v>
      </c>
      <c r="I962">
        <v>326.1773</v>
      </c>
      <c r="J962">
        <v>-188.1678</v>
      </c>
      <c r="K962">
        <v>1.1036299999999899</v>
      </c>
      <c r="L962">
        <v>341.6918</v>
      </c>
      <c r="M962">
        <v>0.13317300000000001</v>
      </c>
      <c r="N962">
        <v>0</v>
      </c>
      <c r="O962">
        <v>-0.99099950000000003</v>
      </c>
      <c r="P962">
        <v>9.9990570000000001E-2</v>
      </c>
      <c r="Q962">
        <v>-4.7654050000000003E-3</v>
      </c>
      <c r="R962">
        <v>-0.99497709999999995</v>
      </c>
      <c r="S962">
        <v>-0.31303409999999998</v>
      </c>
      <c r="T962">
        <v>-0.213982899999999</v>
      </c>
      <c r="U962">
        <v>-3.0474549999999998</v>
      </c>
      <c r="V962">
        <v>3.3435010000000001E-2</v>
      </c>
      <c r="W962">
        <v>8.7511059999999998E-3</v>
      </c>
      <c r="X962">
        <v>0.99940260000000003</v>
      </c>
      <c r="Y962">
        <v>0.23351729999999901</v>
      </c>
      <c r="Z962">
        <v>6.7960279999999998E-2</v>
      </c>
      <c r="AA962">
        <v>0.96997479999999903</v>
      </c>
      <c r="AB962">
        <v>20</v>
      </c>
      <c r="AC962">
        <v>-1.6396999999999999</v>
      </c>
      <c r="AD962">
        <v>-1.1036328416949901</v>
      </c>
      <c r="AE962">
        <v>-15.5144999999999</v>
      </c>
      <c r="AF962">
        <v>3.6730146260847301</v>
      </c>
      <c r="AG962">
        <v>-1.1036328416949901</v>
      </c>
      <c r="AH962">
        <v>15.082421682080399</v>
      </c>
      <c r="AI962">
        <v>94.066635039021193</v>
      </c>
      <c r="AJ962">
        <v>76.313208738864205</v>
      </c>
      <c r="AK962">
        <v>15.5624061664252</v>
      </c>
    </row>
    <row r="963" spans="1:37" x14ac:dyDescent="0.2">
      <c r="A963" t="str">
        <f>"20200111160117777"</f>
        <v>20200111160117777</v>
      </c>
      <c r="B963" t="str">
        <f>"1578729677772095"</f>
        <v>1578729677772095</v>
      </c>
      <c r="C963" t="s">
        <v>37</v>
      </c>
      <c r="D963">
        <v>5.198569</v>
      </c>
      <c r="E963">
        <v>0.57901729999999996</v>
      </c>
      <c r="F963" t="s">
        <v>38</v>
      </c>
      <c r="G963">
        <v>-189.81979999999999</v>
      </c>
      <c r="H963" s="1">
        <v>-2.8085190000000002E-6</v>
      </c>
      <c r="I963">
        <v>326.10500000000002</v>
      </c>
      <c r="J963">
        <v>-188.14099999999999</v>
      </c>
      <c r="K963">
        <v>1.1036139999999901</v>
      </c>
      <c r="L963">
        <v>341.4744</v>
      </c>
      <c r="M963">
        <v>0.13119819999999999</v>
      </c>
      <c r="N963">
        <v>0</v>
      </c>
      <c r="O963">
        <v>-0.99126309999999995</v>
      </c>
      <c r="P963">
        <v>9.7786709999999999E-2</v>
      </c>
      <c r="Q963">
        <v>-7.6980879999999996E-3</v>
      </c>
      <c r="R963">
        <v>-0.99517770000000005</v>
      </c>
      <c r="S963">
        <v>-0.32290649999999999</v>
      </c>
      <c r="T963">
        <v>-0.2157143</v>
      </c>
      <c r="U963">
        <v>-3.04657</v>
      </c>
      <c r="V963">
        <v>3.3648560000000001E-2</v>
      </c>
      <c r="W963">
        <v>5.8071930000000004E-3</v>
      </c>
      <c r="X963">
        <v>0.99941679999999999</v>
      </c>
      <c r="Y963">
        <v>0.23471359999999999</v>
      </c>
      <c r="Z963">
        <v>6.8533410000000003E-2</v>
      </c>
      <c r="AA963">
        <v>0.96964570000000005</v>
      </c>
      <c r="AB963">
        <v>20</v>
      </c>
      <c r="AC963">
        <v>-1.6787999999999901</v>
      </c>
      <c r="AD963">
        <v>-1.1036168085189999</v>
      </c>
      <c r="AE963">
        <v>-15.369399999999899</v>
      </c>
      <c r="AF963">
        <v>3.66224933819672</v>
      </c>
      <c r="AG963">
        <v>-1.1036168085189999</v>
      </c>
      <c r="AH963">
        <v>14.940124083693201</v>
      </c>
      <c r="AI963">
        <v>94.103668606215194</v>
      </c>
      <c r="AJ963">
        <v>76.226757063739996</v>
      </c>
      <c r="AK963">
        <v>15.421976135091001</v>
      </c>
    </row>
    <row r="964" spans="1:37" x14ac:dyDescent="0.2">
      <c r="A964" t="str">
        <f>"20200111160117797"</f>
        <v>20200111160117797</v>
      </c>
      <c r="B964" t="str">
        <f>"1578729677791616"</f>
        <v>1578729677791616</v>
      </c>
      <c r="C964" t="s">
        <v>37</v>
      </c>
      <c r="D964">
        <v>5.1613489999999898</v>
      </c>
      <c r="E964">
        <v>0.57885710000000001</v>
      </c>
      <c r="F964" t="s">
        <v>38</v>
      </c>
      <c r="G964">
        <v>-189.76320000000001</v>
      </c>
      <c r="H964" s="1">
        <v>-2.9446140000000001E-6</v>
      </c>
      <c r="I964">
        <v>326.39890000000003</v>
      </c>
      <c r="J964">
        <v>-188.12</v>
      </c>
      <c r="K964">
        <v>1.1035790000000001</v>
      </c>
      <c r="L964">
        <v>341.301999999999</v>
      </c>
      <c r="M964">
        <v>0.1296445</v>
      </c>
      <c r="N964">
        <v>0</v>
      </c>
      <c r="O964">
        <v>-0.99146780000000001</v>
      </c>
      <c r="P964">
        <v>9.5975770000000002E-2</v>
      </c>
      <c r="Q964">
        <v>-1.056031E-2</v>
      </c>
      <c r="R964">
        <v>-0.99532790000000004</v>
      </c>
      <c r="S964">
        <v>-0.32766719999999999</v>
      </c>
      <c r="T964">
        <v>-0.222913099999999</v>
      </c>
      <c r="U964">
        <v>-3.045013</v>
      </c>
      <c r="V964">
        <v>3.3891400000000002E-2</v>
      </c>
      <c r="W964">
        <v>2.935231E-3</v>
      </c>
      <c r="X964">
        <v>0.99942119999999901</v>
      </c>
      <c r="Y964">
        <v>0.234723299999999</v>
      </c>
      <c r="Z964">
        <v>7.086083E-2</v>
      </c>
      <c r="AA964">
        <v>0.969476</v>
      </c>
      <c r="AB964">
        <v>20</v>
      </c>
      <c r="AC964">
        <v>-1.6432</v>
      </c>
      <c r="AD964">
        <v>-1.1035819446140001</v>
      </c>
      <c r="AE964">
        <v>-14.903099999999901</v>
      </c>
      <c r="AF964">
        <v>3.5424208831184201</v>
      </c>
      <c r="AG964">
        <v>-1.1035819446140001</v>
      </c>
      <c r="AH964">
        <v>14.485772886603201</v>
      </c>
      <c r="AI964">
        <v>94.232356267785704</v>
      </c>
      <c r="AJ964">
        <v>76.258304396793903</v>
      </c>
      <c r="AK964">
        <v>14.953402788124199</v>
      </c>
    </row>
    <row r="965" spans="1:37" x14ac:dyDescent="0.2">
      <c r="A965" t="str">
        <f>"20200111160117818"</f>
        <v>20200111160117818</v>
      </c>
      <c r="B965" t="str">
        <f>"1578729677812112"</f>
        <v>1578729677812112</v>
      </c>
      <c r="C965" t="s">
        <v>37</v>
      </c>
      <c r="D965">
        <v>5.1798690000000001</v>
      </c>
      <c r="E965">
        <v>0.57871010000000001</v>
      </c>
      <c r="F965" t="s">
        <v>38</v>
      </c>
      <c r="G965">
        <v>-189.71709999999999</v>
      </c>
      <c r="H965" s="1">
        <v>-3.075537E-6</v>
      </c>
      <c r="I965">
        <v>326.685</v>
      </c>
      <c r="J965">
        <v>-188.0966</v>
      </c>
      <c r="K965">
        <v>1.103539</v>
      </c>
      <c r="L965">
        <v>341.10649999999998</v>
      </c>
      <c r="M965">
        <v>0.12787419999999999</v>
      </c>
      <c r="N965">
        <v>0</v>
      </c>
      <c r="O965">
        <v>-0.99169769999999902</v>
      </c>
      <c r="P965">
        <v>9.3901219999999994E-2</v>
      </c>
      <c r="Q965">
        <v>-1.306161E-2</v>
      </c>
      <c r="R965">
        <v>-0.99549599999999905</v>
      </c>
      <c r="S965">
        <v>-0.33256529999999901</v>
      </c>
      <c r="T965">
        <v>-0.22979829999999901</v>
      </c>
      <c r="U965">
        <v>-3.043701</v>
      </c>
      <c r="V965">
        <v>3.4180809999999999E-2</v>
      </c>
      <c r="W965">
        <v>4.2325669999999899E-4</v>
      </c>
      <c r="X965">
        <v>0.99941559999999896</v>
      </c>
      <c r="Y965">
        <v>0.2345566</v>
      </c>
      <c r="Z965">
        <v>7.3089660000000001E-2</v>
      </c>
      <c r="AA965">
        <v>0.96935090000000002</v>
      </c>
      <c r="AB965">
        <v>20</v>
      </c>
      <c r="AC965">
        <v>-1.6204999999999901</v>
      </c>
      <c r="AD965">
        <v>-1.103542075537</v>
      </c>
      <c r="AE965">
        <v>-14.421499999999901</v>
      </c>
      <c r="AF965">
        <v>3.4316580106483201</v>
      </c>
      <c r="AG965">
        <v>-1.103542075537</v>
      </c>
      <c r="AH965">
        <v>14.014805005988</v>
      </c>
      <c r="AI965">
        <v>94.3735677489301</v>
      </c>
      <c r="AJ965">
        <v>76.241294298866094</v>
      </c>
      <c r="AK965">
        <v>14.4709654539838</v>
      </c>
    </row>
    <row r="966" spans="1:37" x14ac:dyDescent="0.2">
      <c r="A966" t="str">
        <f>"20200111160117842"</f>
        <v>20200111160117842</v>
      </c>
      <c r="B966" t="str">
        <f>"1578729677831632"</f>
        <v>1578729677831632</v>
      </c>
      <c r="C966" t="s">
        <v>37</v>
      </c>
      <c r="D966">
        <v>5.3426960000000001</v>
      </c>
      <c r="E966">
        <v>0.57851969999999997</v>
      </c>
      <c r="F966" t="s">
        <v>38</v>
      </c>
      <c r="G966">
        <v>-189.6711</v>
      </c>
      <c r="H966" s="1">
        <v>-3.18880299999999E-6</v>
      </c>
      <c r="I966">
        <v>326.93</v>
      </c>
      <c r="J966">
        <v>-188.07210000000001</v>
      </c>
      <c r="K966">
        <v>1.103488</v>
      </c>
      <c r="L966">
        <v>340.8981</v>
      </c>
      <c r="M966">
        <v>0.12595899999999999</v>
      </c>
      <c r="N966">
        <v>0</v>
      </c>
      <c r="O966">
        <v>-0.99194289999999996</v>
      </c>
      <c r="P966">
        <v>9.1523800000000002E-2</v>
      </c>
      <c r="Q966">
        <v>-1.432924E-2</v>
      </c>
      <c r="R966">
        <v>-0.99570000000000003</v>
      </c>
      <c r="S966">
        <v>-0.33790589999999998</v>
      </c>
      <c r="T966">
        <v>-0.23682439999999999</v>
      </c>
      <c r="U966">
        <v>-3.0423279999999999</v>
      </c>
      <c r="V966">
        <v>3.4632240000000002E-2</v>
      </c>
      <c r="W966">
        <v>-8.5930320000000002E-4</v>
      </c>
      <c r="X966">
        <v>0.99939979999999995</v>
      </c>
      <c r="Y966">
        <v>0.23438899999999999</v>
      </c>
      <c r="Z966">
        <v>7.5367690000000001E-2</v>
      </c>
      <c r="AA966">
        <v>0.96921689999999905</v>
      </c>
      <c r="AB966">
        <v>20</v>
      </c>
      <c r="AC966">
        <v>-1.59899999999998</v>
      </c>
      <c r="AD966">
        <v>-1.1034911888029999</v>
      </c>
      <c r="AE966">
        <v>-13.9680999999999</v>
      </c>
      <c r="AF966">
        <v>3.3253463307000102</v>
      </c>
      <c r="AG966">
        <v>-1.1034911888029999</v>
      </c>
      <c r="AH966">
        <v>13.571795230055701</v>
      </c>
      <c r="AI966">
        <v>94.515375295818799</v>
      </c>
      <c r="AJ966">
        <v>76.232677778772498</v>
      </c>
      <c r="AK966">
        <v>14.016748795260201</v>
      </c>
    </row>
    <row r="967" spans="1:37" x14ac:dyDescent="0.2">
      <c r="A967" t="str">
        <f>"20200111160117864"</f>
        <v>20200111160117864</v>
      </c>
      <c r="B967" t="str">
        <f>"1578729677861888"</f>
        <v>1578729677861888</v>
      </c>
      <c r="C967" t="s">
        <v>37</v>
      </c>
      <c r="D967">
        <v>5.1996159999999998</v>
      </c>
      <c r="E967">
        <v>0.5781541</v>
      </c>
      <c r="F967" t="s">
        <v>38</v>
      </c>
      <c r="G967">
        <v>-189.64619999999999</v>
      </c>
      <c r="H967" s="1">
        <v>-3.2070040000000001E-6</v>
      </c>
      <c r="I967">
        <v>326.96210000000002</v>
      </c>
      <c r="J967">
        <v>-188.0487</v>
      </c>
      <c r="K967">
        <v>1.1034360000000001</v>
      </c>
      <c r="L967">
        <v>340.695999999999</v>
      </c>
      <c r="M967">
        <v>0.12405619999999901</v>
      </c>
      <c r="N967">
        <v>0</v>
      </c>
      <c r="O967">
        <v>-0.99218300000000004</v>
      </c>
      <c r="P967">
        <v>8.9144050000000002E-2</v>
      </c>
      <c r="Q967">
        <v>-1.534722E-2</v>
      </c>
      <c r="R967">
        <v>-0.99590029999999996</v>
      </c>
      <c r="S967">
        <v>-0.34350589999999998</v>
      </c>
      <c r="T967">
        <v>-0.24079809999999999</v>
      </c>
      <c r="U967">
        <v>-3.0410459999999899</v>
      </c>
      <c r="V967">
        <v>3.5099119999999998E-2</v>
      </c>
      <c r="W967">
        <v>-1.914694E-3</v>
      </c>
      <c r="X967">
        <v>0.99938199999999999</v>
      </c>
      <c r="Y967">
        <v>0.23432069999999999</v>
      </c>
      <c r="Z967">
        <v>7.6677609999999993E-2</v>
      </c>
      <c r="AA967">
        <v>0.96913069999999901</v>
      </c>
      <c r="AB967">
        <v>20</v>
      </c>
      <c r="AC967">
        <v>-1.5974999999999899</v>
      </c>
      <c r="AD967">
        <v>-1.103439207004</v>
      </c>
      <c r="AE967">
        <v>-13.733899999999901</v>
      </c>
      <c r="AF967">
        <v>3.2682729862234599</v>
      </c>
      <c r="AG967">
        <v>-1.103439207004</v>
      </c>
      <c r="AH967">
        <v>13.344598881633299</v>
      </c>
      <c r="AI967">
        <v>94.591821005518</v>
      </c>
      <c r="AJ967">
        <v>76.238372548704504</v>
      </c>
      <c r="AK967">
        <v>13.783232774197799</v>
      </c>
    </row>
    <row r="968" spans="1:37" x14ac:dyDescent="0.2">
      <c r="A968" t="str">
        <f>"20200111160117887"</f>
        <v>20200111160117887</v>
      </c>
      <c r="B968" t="str">
        <f>"1578729677881407"</f>
        <v>1578729677881407</v>
      </c>
      <c r="C968" t="s">
        <v>37</v>
      </c>
      <c r="D968">
        <v>5.242216</v>
      </c>
      <c r="E968">
        <v>0.57792519999999903</v>
      </c>
      <c r="F968" t="s">
        <v>38</v>
      </c>
      <c r="G968">
        <v>-189.61490000000001</v>
      </c>
      <c r="H968" s="1">
        <v>-3.2270219999999999E-6</v>
      </c>
      <c r="I968">
        <v>326.99579999999997</v>
      </c>
      <c r="J968">
        <v>-188.0266</v>
      </c>
      <c r="K968">
        <v>1.1033709999999901</v>
      </c>
      <c r="L968">
        <v>340.5016</v>
      </c>
      <c r="M968">
        <v>0.1221781</v>
      </c>
      <c r="N968">
        <v>0</v>
      </c>
      <c r="O968">
        <v>-0.992417199999999</v>
      </c>
      <c r="P968">
        <v>8.6714550000000001E-2</v>
      </c>
      <c r="Q968">
        <v>-1.641391E-2</v>
      </c>
      <c r="R968">
        <v>-0.99609820000000004</v>
      </c>
      <c r="S968">
        <v>-0.34750370000000003</v>
      </c>
      <c r="T968">
        <v>-0.2448207</v>
      </c>
      <c r="U968">
        <v>-3.0396730000000001</v>
      </c>
      <c r="V968">
        <v>3.5640030000000003E-2</v>
      </c>
      <c r="W968">
        <v>-3.0627809999999901E-3</v>
      </c>
      <c r="X968">
        <v>0.99936000000000003</v>
      </c>
      <c r="Y968">
        <v>0.23377600000000001</v>
      </c>
      <c r="Z968">
        <v>7.8012699999999893E-2</v>
      </c>
      <c r="AA968">
        <v>0.96915569999999895</v>
      </c>
      <c r="AB968">
        <v>20</v>
      </c>
      <c r="AC968">
        <v>-1.5883</v>
      </c>
      <c r="AD968">
        <v>-1.1033742270219999</v>
      </c>
      <c r="AE968">
        <v>-13.505800000000001</v>
      </c>
      <c r="AF968">
        <v>3.2055576589674502</v>
      </c>
      <c r="AG968">
        <v>-1.1033742270219999</v>
      </c>
      <c r="AH968">
        <v>13.124126482658401</v>
      </c>
      <c r="AI968">
        <v>94.669059771026696</v>
      </c>
      <c r="AJ968">
        <v>76.274287011453694</v>
      </c>
      <c r="AK968">
        <v>13.5549153639053</v>
      </c>
    </row>
    <row r="969" spans="1:37" x14ac:dyDescent="0.2">
      <c r="A969" t="str">
        <f>"20200111160117908"</f>
        <v>20200111160117908</v>
      </c>
      <c r="B969" t="str">
        <f>"1578729677901904"</f>
        <v>1578729677901904</v>
      </c>
      <c r="C969" t="s">
        <v>37</v>
      </c>
      <c r="D969">
        <v>5.1769769999999999</v>
      </c>
      <c r="E969">
        <v>0.5776365</v>
      </c>
      <c r="F969" t="s">
        <v>38</v>
      </c>
      <c r="G969">
        <v>-189.5932</v>
      </c>
      <c r="H969" s="1">
        <v>-3.2392039999999902E-6</v>
      </c>
      <c r="I969">
        <v>327.01530000000002</v>
      </c>
      <c r="J969">
        <v>-188.00470000000001</v>
      </c>
      <c r="K969">
        <v>1.103299</v>
      </c>
      <c r="L969">
        <v>340.30459999999999</v>
      </c>
      <c r="M969">
        <v>0.12023389999999901</v>
      </c>
      <c r="N969">
        <v>0</v>
      </c>
      <c r="O969">
        <v>-0.99265639999999999</v>
      </c>
      <c r="P969">
        <v>8.3820220000000001E-2</v>
      </c>
      <c r="Q969">
        <v>-1.6713809999999999E-2</v>
      </c>
      <c r="R969">
        <v>-0.99634100000000003</v>
      </c>
      <c r="S969">
        <v>-0.35295100000000001</v>
      </c>
      <c r="T969">
        <v>-0.24858569999999999</v>
      </c>
      <c r="U969">
        <v>-3.0384220000000002</v>
      </c>
      <c r="V969">
        <v>3.6583600000000001E-2</v>
      </c>
      <c r="W969">
        <v>-3.5003459999999901E-3</v>
      </c>
      <c r="X969">
        <v>0.9993244</v>
      </c>
      <c r="Y969">
        <v>0.23361979999999999</v>
      </c>
      <c r="Z969">
        <v>7.9259239999999995E-2</v>
      </c>
      <c r="AA969">
        <v>0.96909219999999896</v>
      </c>
      <c r="AB969">
        <v>20</v>
      </c>
      <c r="AC969">
        <v>-1.58849999999998</v>
      </c>
      <c r="AD969">
        <v>-1.1033022392039999</v>
      </c>
      <c r="AE969">
        <v>-13.2892999999999</v>
      </c>
      <c r="AF969">
        <v>3.1535103980542099</v>
      </c>
      <c r="AG969">
        <v>-1.1033022392039999</v>
      </c>
      <c r="AH969">
        <v>12.914110128227501</v>
      </c>
      <c r="AI969">
        <v>94.744401836578504</v>
      </c>
      <c r="AJ969">
        <v>76.277431122668204</v>
      </c>
      <c r="AK969">
        <v>13.339270747145701</v>
      </c>
    </row>
    <row r="970" spans="1:37" x14ac:dyDescent="0.2">
      <c r="A970" t="str">
        <f>"20200111160117931"</f>
        <v>20200111160117931</v>
      </c>
      <c r="B970" t="str">
        <f>"1578729677922400"</f>
        <v>1578729677922400</v>
      </c>
      <c r="C970" t="s">
        <v>37</v>
      </c>
      <c r="D970">
        <v>5.2183209999999898</v>
      </c>
      <c r="E970">
        <v>0.57737680000000002</v>
      </c>
      <c r="F970" t="s">
        <v>38</v>
      </c>
      <c r="G970">
        <v>-189.5932</v>
      </c>
      <c r="H970" s="1">
        <v>-3.1796980000000002E-6</v>
      </c>
      <c r="I970">
        <v>326.8766</v>
      </c>
      <c r="J970">
        <v>-187.9829</v>
      </c>
      <c r="K970">
        <v>1.1032329999999999</v>
      </c>
      <c r="L970">
        <v>340.10469999999998</v>
      </c>
      <c r="M970">
        <v>0.11821959999999999</v>
      </c>
      <c r="N970">
        <v>0</v>
      </c>
      <c r="O970">
        <v>-0.99290040000000002</v>
      </c>
      <c r="P970">
        <v>8.0937220000000004E-2</v>
      </c>
      <c r="Q970">
        <v>-1.6999589999999998E-2</v>
      </c>
      <c r="R970">
        <v>-0.99657450000000003</v>
      </c>
      <c r="S970">
        <v>-0.35928339999999998</v>
      </c>
      <c r="T970">
        <v>-0.24953320000000001</v>
      </c>
      <c r="U970">
        <v>-3.0370180000000002</v>
      </c>
      <c r="V970">
        <v>3.7444829999999998E-2</v>
      </c>
      <c r="W970">
        <v>-3.9656070000000003E-3</v>
      </c>
      <c r="X970">
        <v>0.99929080000000003</v>
      </c>
      <c r="Y970">
        <v>0.23368829999999999</v>
      </c>
      <c r="Z970">
        <v>7.9615019999999995E-2</v>
      </c>
      <c r="AA970">
        <v>0.96904659999999998</v>
      </c>
      <c r="AB970">
        <v>20</v>
      </c>
      <c r="AC970">
        <v>-1.6102999999999901</v>
      </c>
      <c r="AD970">
        <v>-1.1032361796979999</v>
      </c>
      <c r="AE970">
        <v>-13.2280999999999</v>
      </c>
      <c r="AF970">
        <v>3.1414298646362599</v>
      </c>
      <c r="AG970">
        <v>-1.1032361796979999</v>
      </c>
      <c r="AH970">
        <v>12.856813538398001</v>
      </c>
      <c r="AI970">
        <v>94.765001668763801</v>
      </c>
      <c r="AJ970">
        <v>76.269395275551602</v>
      </c>
      <c r="AK970">
        <v>13.280939952569501</v>
      </c>
    </row>
    <row r="971" spans="1:37" x14ac:dyDescent="0.2">
      <c r="A971" t="str">
        <f>"20200111160117953"</f>
        <v>20200111160117953</v>
      </c>
      <c r="B971" t="str">
        <f>"1578729677942896"</f>
        <v>1578729677942896</v>
      </c>
      <c r="C971" t="s">
        <v>37</v>
      </c>
      <c r="D971">
        <v>5.2277829999999996</v>
      </c>
      <c r="E971">
        <v>0.57710660000000003</v>
      </c>
      <c r="F971" t="s">
        <v>38</v>
      </c>
      <c r="G971">
        <v>-189.59710000000001</v>
      </c>
      <c r="H971" s="1">
        <v>-3.1081369999999999E-6</v>
      </c>
      <c r="I971">
        <v>326.71140000000003</v>
      </c>
      <c r="J971">
        <v>-187.96170000000001</v>
      </c>
      <c r="K971">
        <v>1.1031759999999999</v>
      </c>
      <c r="L971">
        <v>339.9067</v>
      </c>
      <c r="M971">
        <v>0.1161857</v>
      </c>
      <c r="N971">
        <v>0</v>
      </c>
      <c r="O971">
        <v>-0.993143</v>
      </c>
      <c r="P971">
        <v>7.7890139999999997E-2</v>
      </c>
      <c r="Q971">
        <v>-1.6526079999999999E-2</v>
      </c>
      <c r="R971">
        <v>-0.99682499999999996</v>
      </c>
      <c r="S971">
        <v>-0.36589050000000001</v>
      </c>
      <c r="T971">
        <v>-0.25005919999999998</v>
      </c>
      <c r="U971">
        <v>-3.035736</v>
      </c>
      <c r="V971">
        <v>3.845407E-2</v>
      </c>
      <c r="W971">
        <v>-3.6816029999999999E-3</v>
      </c>
      <c r="X971">
        <v>0.99925359999999996</v>
      </c>
      <c r="Y971">
        <v>0.2338219</v>
      </c>
      <c r="Z971">
        <v>7.9832959999999994E-2</v>
      </c>
      <c r="AA971">
        <v>0.96899639999999998</v>
      </c>
      <c r="AB971">
        <v>20</v>
      </c>
      <c r="AC971">
        <v>-1.6354</v>
      </c>
      <c r="AD971">
        <v>-1.1031791081369999</v>
      </c>
      <c r="AE971">
        <v>-13.1952999999999</v>
      </c>
      <c r="AF971">
        <v>3.1359686346597102</v>
      </c>
      <c r="AG971">
        <v>-1.1031791081369999</v>
      </c>
      <c r="AH971">
        <v>12.827590268372701</v>
      </c>
      <c r="AI971">
        <v>94.775417517693597</v>
      </c>
      <c r="AJ971">
        <v>76.262317828129497</v>
      </c>
      <c r="AK971">
        <v>13.2513537238823</v>
      </c>
    </row>
    <row r="972" spans="1:37" x14ac:dyDescent="0.2">
      <c r="A972" t="str">
        <f>"20200111160117976"</f>
        <v>20200111160117976</v>
      </c>
      <c r="B972" t="str">
        <f>"1578729677972176"</f>
        <v>1578729677972176</v>
      </c>
      <c r="C972" t="s">
        <v>37</v>
      </c>
      <c r="D972">
        <v>5.2982709999999997</v>
      </c>
      <c r="E972">
        <v>0.57662209999999903</v>
      </c>
      <c r="F972" t="s">
        <v>38</v>
      </c>
      <c r="G972">
        <v>-189.62360000000001</v>
      </c>
      <c r="H972" s="1">
        <v>-2.9647120000000001E-6</v>
      </c>
      <c r="I972">
        <v>326.38799999999998</v>
      </c>
      <c r="J972">
        <v>-187.94059999999999</v>
      </c>
      <c r="K972">
        <v>1.1031329999999999</v>
      </c>
      <c r="L972">
        <v>339.70479999999998</v>
      </c>
      <c r="M972">
        <v>0.1140811</v>
      </c>
      <c r="N972">
        <v>0</v>
      </c>
      <c r="O972">
        <v>-0.99338930000000003</v>
      </c>
      <c r="P972">
        <v>7.568809E-2</v>
      </c>
      <c r="Q972">
        <v>-1.637011E-2</v>
      </c>
      <c r="R972">
        <v>-0.99699720000000003</v>
      </c>
      <c r="S972">
        <v>-0.37306209999999901</v>
      </c>
      <c r="T972">
        <v>-0.247640099999999</v>
      </c>
      <c r="U972">
        <v>-3.0346679999999999</v>
      </c>
      <c r="V972">
        <v>3.8543800000000003E-2</v>
      </c>
      <c r="W972">
        <v>-3.70982E-3</v>
      </c>
      <c r="X972">
        <v>0.99925010000000003</v>
      </c>
      <c r="Y972">
        <v>0.2340661</v>
      </c>
      <c r="Z972">
        <v>7.9109310000000002E-2</v>
      </c>
      <c r="AA972">
        <v>0.96899679999999999</v>
      </c>
      <c r="AB972">
        <v>20</v>
      </c>
      <c r="AC972">
        <v>-1.68300000000002</v>
      </c>
      <c r="AD972">
        <v>-1.10313596471199</v>
      </c>
      <c r="AE972">
        <v>-13.316800000000001</v>
      </c>
      <c r="AF972">
        <v>3.1699194149427798</v>
      </c>
      <c r="AG972">
        <v>-1.10313596471199</v>
      </c>
      <c r="AH972">
        <v>12.9503622309241</v>
      </c>
      <c r="AI972">
        <v>94.729837528039198</v>
      </c>
      <c r="AJ972">
        <v>76.245884458456203</v>
      </c>
      <c r="AK972">
        <v>13.3782353083663</v>
      </c>
    </row>
    <row r="973" spans="1:37" x14ac:dyDescent="0.2">
      <c r="A973" t="str">
        <f>"20200111160117998"</f>
        <v>20200111160117998</v>
      </c>
      <c r="B973" t="str">
        <f>"1578729677991695"</f>
        <v>1578729677991695</v>
      </c>
      <c r="C973" t="s">
        <v>37</v>
      </c>
      <c r="D973">
        <v>5.3556819999999998</v>
      </c>
      <c r="E973">
        <v>0.5762775</v>
      </c>
      <c r="F973" t="s">
        <v>38</v>
      </c>
      <c r="G973">
        <v>-189.62970000000001</v>
      </c>
      <c r="H973" s="1">
        <v>-2.8352730000000001E-6</v>
      </c>
      <c r="I973">
        <v>326.08879999999999</v>
      </c>
      <c r="J973">
        <v>-187.92</v>
      </c>
      <c r="K973">
        <v>1.1030879999999901</v>
      </c>
      <c r="L973">
        <v>339.50360000000001</v>
      </c>
      <c r="M973">
        <v>0.11195339999999999</v>
      </c>
      <c r="N973">
        <v>0</v>
      </c>
      <c r="O973">
        <v>-0.99363389999999996</v>
      </c>
      <c r="P973">
        <v>7.3612349999999993E-2</v>
      </c>
      <c r="Q973">
        <v>-1.5781719999999999E-2</v>
      </c>
      <c r="R973">
        <v>-0.99716249999999995</v>
      </c>
      <c r="S973">
        <v>-0.37632749999999998</v>
      </c>
      <c r="T973">
        <v>-0.24577179999999901</v>
      </c>
      <c r="U973">
        <v>-3.033569</v>
      </c>
      <c r="V973">
        <v>3.8485810000000002E-2</v>
      </c>
      <c r="W973">
        <v>-3.2979659999999998E-3</v>
      </c>
      <c r="X973">
        <v>0.99925370000000002</v>
      </c>
      <c r="Y973">
        <v>0.23305909999999999</v>
      </c>
      <c r="Z973">
        <v>7.8578259999999997E-2</v>
      </c>
      <c r="AA973">
        <v>0.96928269999999905</v>
      </c>
      <c r="AB973">
        <v>20</v>
      </c>
      <c r="AC973">
        <v>-1.70970000000002</v>
      </c>
      <c r="AD973">
        <v>-1.10309083527299</v>
      </c>
      <c r="AE973">
        <v>-13.4148</v>
      </c>
      <c r="AF973">
        <v>3.1797446649626702</v>
      </c>
      <c r="AG973">
        <v>-1.10309083527299</v>
      </c>
      <c r="AH973">
        <v>13.0521880539529</v>
      </c>
      <c r="AI973">
        <v>94.694158011467707</v>
      </c>
      <c r="AJ973">
        <v>76.3084357117895</v>
      </c>
      <c r="AK973">
        <v>13.4791393835427</v>
      </c>
    </row>
    <row r="974" spans="1:37" x14ac:dyDescent="0.2">
      <c r="A974" t="str">
        <f>"20200111160118020"</f>
        <v>20200111160118020</v>
      </c>
      <c r="B974" t="str">
        <f>"1578729678012192"</f>
        <v>1578729678012192</v>
      </c>
      <c r="C974" t="s">
        <v>37</v>
      </c>
      <c r="D974">
        <v>5.3176259999999997</v>
      </c>
      <c r="E974">
        <v>0.57599469999999997</v>
      </c>
      <c r="F974" t="s">
        <v>38</v>
      </c>
      <c r="G974">
        <v>-189.6456</v>
      </c>
      <c r="H974" s="1">
        <v>-2.6767149999999999E-6</v>
      </c>
      <c r="I974">
        <v>325.72570000000002</v>
      </c>
      <c r="J974">
        <v>-187.8998</v>
      </c>
      <c r="K974">
        <v>1.1030389999999901</v>
      </c>
      <c r="L974">
        <v>339.301999999999</v>
      </c>
      <c r="M974">
        <v>0.10978399999999899</v>
      </c>
      <c r="N974">
        <v>0</v>
      </c>
      <c r="O974">
        <v>-0.99387780000000003</v>
      </c>
      <c r="P974">
        <v>7.2150030000000004E-2</v>
      </c>
      <c r="Q974">
        <v>-1.541973E-2</v>
      </c>
      <c r="R974">
        <v>-0.99727459999999901</v>
      </c>
      <c r="S974">
        <v>-0.37983699999999998</v>
      </c>
      <c r="T974">
        <v>-0.24280979999999999</v>
      </c>
      <c r="U974">
        <v>-3.0327449999999998</v>
      </c>
      <c r="V974">
        <v>3.7770539999999998E-2</v>
      </c>
      <c r="W974">
        <v>-3.1037079999999902E-3</v>
      </c>
      <c r="X974">
        <v>0.99928159999999899</v>
      </c>
      <c r="Y974">
        <v>0.23208179999999901</v>
      </c>
      <c r="Z974">
        <v>7.7690780000000001E-2</v>
      </c>
      <c r="AA974">
        <v>0.96958860000000002</v>
      </c>
      <c r="AB974">
        <v>20</v>
      </c>
      <c r="AC974">
        <v>-1.7458</v>
      </c>
      <c r="AD974">
        <v>-1.103041676715</v>
      </c>
      <c r="AE974">
        <v>-13.5762999999999</v>
      </c>
      <c r="AF974">
        <v>3.2050087559697502</v>
      </c>
      <c r="AG974">
        <v>-1.103041676715</v>
      </c>
      <c r="AH974">
        <v>13.2167225797706</v>
      </c>
      <c r="AI974">
        <v>94.636959087812798</v>
      </c>
      <c r="AJ974">
        <v>76.369095818498806</v>
      </c>
      <c r="AK974">
        <v>13.644432484241699</v>
      </c>
    </row>
    <row r="975" spans="1:37" x14ac:dyDescent="0.2">
      <c r="A975" t="str">
        <f>"20200111160118042"</f>
        <v>20200111160118042</v>
      </c>
      <c r="B975" t="str">
        <f>"1578729678031675"</f>
        <v>1578729678031675</v>
      </c>
      <c r="C975" t="s">
        <v>37</v>
      </c>
      <c r="D975">
        <v>5.337161</v>
      </c>
      <c r="E975">
        <v>0.57583450000000003</v>
      </c>
      <c r="F975" t="s">
        <v>38</v>
      </c>
      <c r="G975">
        <v>-189.64439999999999</v>
      </c>
      <c r="H975" s="1">
        <v>-2.5591729999999999E-6</v>
      </c>
      <c r="I975">
        <v>325.45119999999997</v>
      </c>
      <c r="J975">
        <v>-187.88059999999999</v>
      </c>
      <c r="K975">
        <v>1.1029819999999999</v>
      </c>
      <c r="L975">
        <v>339.10500000000002</v>
      </c>
      <c r="M975">
        <v>0.1076114</v>
      </c>
      <c r="N975">
        <v>0</v>
      </c>
      <c r="O975">
        <v>-0.99411729999999998</v>
      </c>
      <c r="P975">
        <v>7.0987449999999994E-2</v>
      </c>
      <c r="Q975">
        <v>-1.45242999999999E-2</v>
      </c>
      <c r="R975">
        <v>-0.99737189999999998</v>
      </c>
      <c r="S975">
        <v>-0.38189699999999999</v>
      </c>
      <c r="T975">
        <v>-0.24146880000000001</v>
      </c>
      <c r="U975">
        <v>-3.0321039999999999</v>
      </c>
      <c r="V975">
        <v>3.6754540000000002E-2</v>
      </c>
      <c r="W975">
        <v>-2.3601059999999998E-3</v>
      </c>
      <c r="X975">
        <v>0.99932149999999997</v>
      </c>
      <c r="Y975">
        <v>0.23063320000000001</v>
      </c>
      <c r="Z975">
        <v>7.7319170000000007E-2</v>
      </c>
      <c r="AA975">
        <v>0.96996399999999905</v>
      </c>
      <c r="AB975">
        <v>20</v>
      </c>
      <c r="AC975">
        <v>-1.7638</v>
      </c>
      <c r="AD975">
        <v>-1.1029845591730001</v>
      </c>
      <c r="AE975">
        <v>-13.6538</v>
      </c>
      <c r="AF975">
        <v>3.2024160777025599</v>
      </c>
      <c r="AG975">
        <v>-1.1029845591730001</v>
      </c>
      <c r="AH975">
        <v>13.299317791426599</v>
      </c>
      <c r="AI975">
        <v>94.609830337152303</v>
      </c>
      <c r="AJ975">
        <v>76.461177251714801</v>
      </c>
      <c r="AK975">
        <v>13.7238441185353</v>
      </c>
    </row>
    <row r="976" spans="1:37" x14ac:dyDescent="0.2">
      <c r="A976" t="str">
        <f>"20200111160118066"</f>
        <v>20200111160118066</v>
      </c>
      <c r="B976" t="str">
        <f>"1578729678061931"</f>
        <v>1578729678061931</v>
      </c>
      <c r="C976" t="s">
        <v>37</v>
      </c>
      <c r="D976">
        <v>5.3519290000000002</v>
      </c>
      <c r="E976">
        <v>0.57534680000000005</v>
      </c>
      <c r="F976" t="s">
        <v>38</v>
      </c>
      <c r="G976">
        <v>-189.65379999999999</v>
      </c>
      <c r="H976" s="1">
        <v>-2.40963699999999E-6</v>
      </c>
      <c r="I976">
        <v>325.10660000000001</v>
      </c>
      <c r="J976">
        <v>-187.86060000000001</v>
      </c>
      <c r="K976">
        <v>1.102916</v>
      </c>
      <c r="L976">
        <v>338.89370000000002</v>
      </c>
      <c r="M976">
        <v>0.10520549999999999</v>
      </c>
      <c r="N976">
        <v>0</v>
      </c>
      <c r="O976">
        <v>-0.99437659999999894</v>
      </c>
      <c r="P976">
        <v>6.9356000000000001E-2</v>
      </c>
      <c r="Q976">
        <v>-1.3014299999999999E-2</v>
      </c>
      <c r="R976">
        <v>-0.99750729999999999</v>
      </c>
      <c r="S976">
        <v>-0.38403320000000002</v>
      </c>
      <c r="T976">
        <v>-0.2388827</v>
      </c>
      <c r="U976">
        <v>-3.0317689999999899</v>
      </c>
      <c r="V976">
        <v>3.5976979999999999E-2</v>
      </c>
      <c r="W976">
        <v>-9.9810859999999993E-4</v>
      </c>
      <c r="X976">
        <v>0.99935209999999997</v>
      </c>
      <c r="Y976">
        <v>0.22897229999999999</v>
      </c>
      <c r="Z976">
        <v>7.6546799999999998E-2</v>
      </c>
      <c r="AA976">
        <v>0.97041860000000002</v>
      </c>
      <c r="AB976">
        <v>20</v>
      </c>
      <c r="AC976">
        <v>-1.7931999999999799</v>
      </c>
      <c r="AD976">
        <v>-1.1029184096369999</v>
      </c>
      <c r="AE976">
        <v>-13.787100000000001</v>
      </c>
      <c r="AF976">
        <v>3.2136093864944399</v>
      </c>
      <c r="AG976">
        <v>-1.1029184096369999</v>
      </c>
      <c r="AH976">
        <v>13.4373480639023</v>
      </c>
      <c r="AI976">
        <v>94.564097463629395</v>
      </c>
      <c r="AJ976">
        <v>76.550051948899807</v>
      </c>
      <c r="AK976">
        <v>13.8602322238028</v>
      </c>
    </row>
    <row r="977" spans="1:37" x14ac:dyDescent="0.2">
      <c r="A977" t="str">
        <f>"20200111160118088"</f>
        <v>20200111160118088</v>
      </c>
      <c r="B977" t="str">
        <f>"1578729678081450"</f>
        <v>1578729678081450</v>
      </c>
      <c r="C977" t="s">
        <v>37</v>
      </c>
      <c r="D977">
        <v>5.3354169999999996</v>
      </c>
      <c r="E977">
        <v>0.57505099999999998</v>
      </c>
      <c r="F977" t="s">
        <v>38</v>
      </c>
      <c r="G977">
        <v>-189.67169999999999</v>
      </c>
      <c r="H977" s="1">
        <v>-2.2013980000000002E-6</v>
      </c>
      <c r="I977">
        <v>324.62849999999997</v>
      </c>
      <c r="J977">
        <v>-187.84270000000001</v>
      </c>
      <c r="K977">
        <v>1.1028500000000001</v>
      </c>
      <c r="L977">
        <v>338.6995</v>
      </c>
      <c r="M977">
        <v>0.10290679999999899</v>
      </c>
      <c r="N977">
        <v>0</v>
      </c>
      <c r="O977">
        <v>-0.99461869999999997</v>
      </c>
      <c r="P977">
        <v>6.796423E-2</v>
      </c>
      <c r="Q977">
        <v>-1.1688230000000001E-2</v>
      </c>
      <c r="R977">
        <v>-0.9976197</v>
      </c>
      <c r="S977">
        <v>-0.38484190000000001</v>
      </c>
      <c r="T977">
        <v>-0.23435549999999999</v>
      </c>
      <c r="U977">
        <v>-3.031158</v>
      </c>
      <c r="V977">
        <v>3.5066729999999997E-2</v>
      </c>
      <c r="W977">
        <v>2.0820309999999999E-4</v>
      </c>
      <c r="X977">
        <v>0.99938490000000002</v>
      </c>
      <c r="Y977">
        <v>0.22701469999999899</v>
      </c>
      <c r="Z977">
        <v>7.5163820000000006E-2</v>
      </c>
      <c r="AA977">
        <v>0.97098649999999997</v>
      </c>
      <c r="AB977">
        <v>20</v>
      </c>
      <c r="AC977">
        <v>-1.82899999999997</v>
      </c>
      <c r="AD977">
        <v>-1.102852201398</v>
      </c>
      <c r="AE977">
        <v>-14.071</v>
      </c>
      <c r="AF977">
        <v>3.2477743921114</v>
      </c>
      <c r="AG977">
        <v>-1.102852201398</v>
      </c>
      <c r="AH977">
        <v>13.725142767721501</v>
      </c>
      <c r="AI977">
        <v>94.471051370003096</v>
      </c>
      <c r="AJ977">
        <v>76.687000808551105</v>
      </c>
      <c r="AK977">
        <v>14.1472211219914</v>
      </c>
    </row>
    <row r="978" spans="1:37" x14ac:dyDescent="0.2">
      <c r="A978" t="str">
        <f>"20200111160118110"</f>
        <v>20200111160118110</v>
      </c>
      <c r="B978" t="str">
        <f>"1578729678101947"</f>
        <v>1578729678101947</v>
      </c>
      <c r="C978" t="s">
        <v>37</v>
      </c>
      <c r="D978">
        <v>5.3727669999999996</v>
      </c>
      <c r="E978">
        <v>0.57474530000000001</v>
      </c>
      <c r="F978" t="s">
        <v>38</v>
      </c>
      <c r="G978">
        <v>-189.6875</v>
      </c>
      <c r="H978" s="1">
        <v>-2.0289810000000001E-6</v>
      </c>
      <c r="I978">
        <v>324.23320000000001</v>
      </c>
      <c r="J978">
        <v>-187.82429999999999</v>
      </c>
      <c r="K978">
        <v>1.1027769999999999</v>
      </c>
      <c r="L978">
        <v>338.49259999999998</v>
      </c>
      <c r="M978">
        <v>0.10034510000000001</v>
      </c>
      <c r="N978">
        <v>0</v>
      </c>
      <c r="O978">
        <v>-0.99488159999999903</v>
      </c>
      <c r="P978">
        <v>6.5503019999999995E-2</v>
      </c>
      <c r="Q978">
        <v>-1.036334E-2</v>
      </c>
      <c r="R978">
        <v>-0.99779859999999898</v>
      </c>
      <c r="S978">
        <v>-0.3864899</v>
      </c>
      <c r="T978">
        <v>-0.23105979999999901</v>
      </c>
      <c r="U978">
        <v>-3.030853</v>
      </c>
      <c r="V978">
        <v>3.4964130000000003E-2</v>
      </c>
      <c r="W978">
        <v>1.4174610000000001E-3</v>
      </c>
      <c r="X978">
        <v>0.99938760000000004</v>
      </c>
      <c r="Y978">
        <v>0.225048</v>
      </c>
      <c r="Z978">
        <v>7.4164820000000006E-2</v>
      </c>
      <c r="AA978">
        <v>0.97152099999999997</v>
      </c>
      <c r="AB978">
        <v>20</v>
      </c>
      <c r="AC978">
        <v>-1.8632</v>
      </c>
      <c r="AD978">
        <v>-1.102779028981</v>
      </c>
      <c r="AE978">
        <v>-14.2593999999999</v>
      </c>
      <c r="AF978">
        <v>3.2655532202687598</v>
      </c>
      <c r="AG978">
        <v>-1.102779028981</v>
      </c>
      <c r="AH978">
        <v>13.918592213395501</v>
      </c>
      <c r="AI978">
        <v>94.410837544934395</v>
      </c>
      <c r="AJ978">
        <v>76.796188392188597</v>
      </c>
      <c r="AK978">
        <v>14.339008634628801</v>
      </c>
    </row>
    <row r="979" spans="1:37" x14ac:dyDescent="0.2">
      <c r="A979" t="str">
        <f>"20200111160118134"</f>
        <v>20200111160118134</v>
      </c>
      <c r="B979" t="str">
        <f>"1578729678121467"</f>
        <v>1578729678121467</v>
      </c>
      <c r="C979" t="s">
        <v>37</v>
      </c>
      <c r="D979">
        <v>5.3858670000000002</v>
      </c>
      <c r="E979">
        <v>0.57449799999999995</v>
      </c>
      <c r="F979" t="s">
        <v>38</v>
      </c>
      <c r="G979">
        <v>-189.72099999999901</v>
      </c>
      <c r="H979" s="1">
        <v>-1.8395529999999999E-6</v>
      </c>
      <c r="I979">
        <v>323.80549999999999</v>
      </c>
      <c r="J979">
        <v>-187.8066</v>
      </c>
      <c r="K979">
        <v>1.1027</v>
      </c>
      <c r="L979">
        <v>338.28489999999999</v>
      </c>
      <c r="M979">
        <v>9.763877E-2</v>
      </c>
      <c r="N979">
        <v>0</v>
      </c>
      <c r="O979">
        <v>-0.99515209999999998</v>
      </c>
      <c r="P979">
        <v>6.2980850000000005E-2</v>
      </c>
      <c r="Q979">
        <v>-9.0042579999999994E-3</v>
      </c>
      <c r="R979">
        <v>-0.99797449999999999</v>
      </c>
      <c r="S979">
        <v>-0.39128109999999999</v>
      </c>
      <c r="T979">
        <v>-0.22750479999999901</v>
      </c>
      <c r="U979">
        <v>-3.0299680000000002</v>
      </c>
      <c r="V979">
        <v>3.4777999999999899E-2</v>
      </c>
      <c r="W979">
        <v>2.6748779999999999E-3</v>
      </c>
      <c r="X979">
        <v>0.99939149999999999</v>
      </c>
      <c r="Y979">
        <v>0.2239554</v>
      </c>
      <c r="Z979">
        <v>7.3083480000000006E-2</v>
      </c>
      <c r="AA979">
        <v>0.97185529999999998</v>
      </c>
      <c r="AB979">
        <v>20</v>
      </c>
      <c r="AC979">
        <v>-1.9143999999999699</v>
      </c>
      <c r="AD979">
        <v>-1.1027018395529999</v>
      </c>
      <c r="AE979">
        <v>-14.479399999999901</v>
      </c>
      <c r="AF979">
        <v>3.3002883722970102</v>
      </c>
      <c r="AG979">
        <v>-1.1027018395529999</v>
      </c>
      <c r="AH979">
        <v>14.1426582439197</v>
      </c>
      <c r="AI979">
        <v>94.342131939297204</v>
      </c>
      <c r="AJ979">
        <v>76.864691436545797</v>
      </c>
      <c r="AK979">
        <v>14.5644305378406</v>
      </c>
    </row>
    <row r="980" spans="1:37" x14ac:dyDescent="0.2">
      <c r="A980" t="str">
        <f>"20200111160118154"</f>
        <v>20200111160118154</v>
      </c>
      <c r="B980" t="str">
        <f>"1578729678151723"</f>
        <v>1578729678151723</v>
      </c>
      <c r="C980" t="s">
        <v>37</v>
      </c>
      <c r="D980">
        <v>5.361694</v>
      </c>
      <c r="E980">
        <v>0.57435879999999995</v>
      </c>
      <c r="F980" t="s">
        <v>38</v>
      </c>
      <c r="G980">
        <v>-189.7664</v>
      </c>
      <c r="H980" s="1">
        <v>-1.6256839999999999E-6</v>
      </c>
      <c r="I980">
        <v>323.32569999999998</v>
      </c>
      <c r="J980">
        <v>-187.79089999999999</v>
      </c>
      <c r="K980">
        <v>1.102646</v>
      </c>
      <c r="L980">
        <v>338.09399999999999</v>
      </c>
      <c r="M980">
        <v>9.5054570000000005E-2</v>
      </c>
      <c r="N980">
        <v>0</v>
      </c>
      <c r="O980">
        <v>-0.99540280000000003</v>
      </c>
      <c r="P980">
        <v>6.0309710000000002E-2</v>
      </c>
      <c r="Q980">
        <v>-7.6848730000000001E-3</v>
      </c>
      <c r="R980">
        <v>-0.99814990000000003</v>
      </c>
      <c r="S980">
        <v>-0.3968506</v>
      </c>
      <c r="T980">
        <v>-0.22329109999999999</v>
      </c>
      <c r="U980">
        <v>-3.0291440000000001</v>
      </c>
      <c r="V980">
        <v>3.4863989999999997E-2</v>
      </c>
      <c r="W980">
        <v>3.9117869999999999E-3</v>
      </c>
      <c r="X980">
        <v>0.99938439999999995</v>
      </c>
      <c r="Y980">
        <v>0.22322839999999999</v>
      </c>
      <c r="Z980">
        <v>7.1781639999999994E-2</v>
      </c>
      <c r="AA980">
        <v>0.97211959999999997</v>
      </c>
      <c r="AB980">
        <v>20</v>
      </c>
      <c r="AC980">
        <v>-1.97550000000001</v>
      </c>
      <c r="AD980">
        <v>-1.1026476256840001</v>
      </c>
      <c r="AE980">
        <v>-14.7683</v>
      </c>
      <c r="AF980">
        <v>3.35208702422474</v>
      </c>
      <c r="AG980">
        <v>-1.1026476256840001</v>
      </c>
      <c r="AH980">
        <v>14.434575335271401</v>
      </c>
      <c r="AI980">
        <v>94.255494925756096</v>
      </c>
      <c r="AJ980">
        <v>76.926149492925106</v>
      </c>
      <c r="AK980">
        <v>14.8596529001868</v>
      </c>
    </row>
    <row r="981" spans="1:37" x14ac:dyDescent="0.2">
      <c r="A981" t="str">
        <f>"20200111160118176"</f>
        <v>20200111160118176</v>
      </c>
      <c r="B981" t="str">
        <f>"1578729678172219"</f>
        <v>1578729678172219</v>
      </c>
      <c r="C981" t="s">
        <v>37</v>
      </c>
      <c r="D981">
        <v>5.2867949999999997</v>
      </c>
      <c r="E981">
        <v>0.60692449999999998</v>
      </c>
      <c r="F981" t="s">
        <v>38</v>
      </c>
      <c r="G981">
        <v>-189.81819999999999</v>
      </c>
      <c r="H981" s="1">
        <v>-1.430993E-6</v>
      </c>
      <c r="I981">
        <v>322.89330000000001</v>
      </c>
      <c r="J981">
        <v>-187.77539999999999</v>
      </c>
      <c r="K981">
        <v>1.102589</v>
      </c>
      <c r="L981">
        <v>337.8981</v>
      </c>
      <c r="M981">
        <v>9.2300579999999993E-2</v>
      </c>
      <c r="N981">
        <v>0</v>
      </c>
      <c r="O981">
        <v>-0.99566290000000002</v>
      </c>
      <c r="P981">
        <v>5.7231360000000002E-2</v>
      </c>
      <c r="Q981">
        <v>-6.0363300000000003E-3</v>
      </c>
      <c r="R981">
        <v>-0.99834279999999997</v>
      </c>
      <c r="S981">
        <v>-0.4038696</v>
      </c>
      <c r="T981">
        <v>-0.21966759999999999</v>
      </c>
      <c r="U981">
        <v>-3.0282589999999998</v>
      </c>
      <c r="V981">
        <v>3.5189079999999998E-2</v>
      </c>
      <c r="W981">
        <v>5.4848559999999998E-3</v>
      </c>
      <c r="X981">
        <v>0.99936559999999897</v>
      </c>
      <c r="Y981">
        <v>0.22279389999999999</v>
      </c>
      <c r="Z981">
        <v>7.0664260000000007E-2</v>
      </c>
      <c r="AA981">
        <v>0.97230110000000003</v>
      </c>
      <c r="AB981">
        <v>20</v>
      </c>
      <c r="AC981">
        <v>-2.0428000000000002</v>
      </c>
      <c r="AD981">
        <v>-1.1025904309929999</v>
      </c>
      <c r="AE981">
        <v>-15.0047999999999</v>
      </c>
      <c r="AF981">
        <v>3.4010937891802602</v>
      </c>
      <c r="AG981">
        <v>-1.1025904309929999</v>
      </c>
      <c r="AH981">
        <v>14.674379159726501</v>
      </c>
      <c r="AI981">
        <v>94.186404091461398</v>
      </c>
      <c r="AJ981">
        <v>76.950906595744001</v>
      </c>
      <c r="AK981">
        <v>15.1036600976297</v>
      </c>
    </row>
    <row r="982" spans="1:37" x14ac:dyDescent="0.2">
      <c r="A982" t="str">
        <f>"20200111160118199"</f>
        <v>20200111160118199</v>
      </c>
      <c r="B982" t="str">
        <f>"1578729678191739"</f>
        <v>1578729678191739</v>
      </c>
      <c r="C982" t="s">
        <v>37</v>
      </c>
      <c r="D982">
        <v>5.2578899999999997</v>
      </c>
      <c r="E982">
        <v>0.61680880000000005</v>
      </c>
      <c r="F982" t="s">
        <v>38</v>
      </c>
      <c r="G982">
        <v>-191.2619</v>
      </c>
      <c r="H982" s="1">
        <v>-1.428639E-6</v>
      </c>
      <c r="I982">
        <v>322.13659999999999</v>
      </c>
      <c r="J982">
        <v>-187.7593</v>
      </c>
      <c r="K982">
        <v>1.1025309999999999</v>
      </c>
      <c r="L982">
        <v>337.68520000000001</v>
      </c>
      <c r="M982">
        <v>8.9182559999999994E-2</v>
      </c>
      <c r="N982">
        <v>0</v>
      </c>
      <c r="O982">
        <v>-0.99594769999999899</v>
      </c>
      <c r="P982">
        <v>5.4613050000000003E-2</v>
      </c>
      <c r="Q982">
        <v>-4.7319190000000002E-3</v>
      </c>
      <c r="R982">
        <v>-0.99849650000000001</v>
      </c>
      <c r="S982">
        <v>-0.67295839999999996</v>
      </c>
      <c r="T982">
        <v>-0.21281900000000001</v>
      </c>
      <c r="U982">
        <v>-3.0422359999999999</v>
      </c>
      <c r="V982">
        <v>3.4687309999999999E-2</v>
      </c>
      <c r="W982">
        <v>6.7217479999999996E-3</v>
      </c>
      <c r="X982">
        <v>0.99937559999999903</v>
      </c>
      <c r="Y982">
        <v>0.30171569999999998</v>
      </c>
      <c r="Z982">
        <v>6.6934060000000004E-2</v>
      </c>
      <c r="AA982">
        <v>0.95104549999999999</v>
      </c>
      <c r="AB982">
        <v>20</v>
      </c>
      <c r="AC982">
        <v>-3.5026000000000002</v>
      </c>
      <c r="AD982">
        <v>-1.1025324286389999</v>
      </c>
      <c r="AE982">
        <v>-15.5486</v>
      </c>
      <c r="AF982">
        <v>4.85217982970447</v>
      </c>
      <c r="AG982">
        <v>-1.1025324286389999</v>
      </c>
      <c r="AH982">
        <v>15.1019768202253</v>
      </c>
      <c r="AI982">
        <v>93.976026255614599</v>
      </c>
      <c r="AJ982">
        <v>72.188081533086205</v>
      </c>
      <c r="AK982">
        <v>15.900595294976</v>
      </c>
    </row>
    <row r="983" spans="1:37" x14ac:dyDescent="0.2">
      <c r="A983" t="str">
        <f>"20200111160118221"</f>
        <v>20200111160118221</v>
      </c>
      <c r="B983" t="str">
        <f>"1578729678212236"</f>
        <v>1578729678212236</v>
      </c>
      <c r="C983" t="s">
        <v>37</v>
      </c>
      <c r="D983">
        <v>5.5294089999999896</v>
      </c>
      <c r="E983">
        <v>0.61487449999999999</v>
      </c>
      <c r="F983" t="s">
        <v>38</v>
      </c>
      <c r="G983">
        <v>-191.8245</v>
      </c>
      <c r="H983" s="1">
        <v>-1.2588999999999999E-6</v>
      </c>
      <c r="I983">
        <v>321.39210000000003</v>
      </c>
      <c r="J983">
        <v>-187.74539999999999</v>
      </c>
      <c r="K983">
        <v>1.1024670000000001</v>
      </c>
      <c r="L983">
        <v>337.4914</v>
      </c>
      <c r="M983">
        <v>8.6229539999999993E-2</v>
      </c>
      <c r="N983">
        <v>0</v>
      </c>
      <c r="O983">
        <v>-0.99620839999999999</v>
      </c>
      <c r="P983">
        <v>5.2408339999999998E-2</v>
      </c>
      <c r="Q983">
        <v>-3.3525029999999902E-3</v>
      </c>
      <c r="R983">
        <v>-0.99862050000000002</v>
      </c>
      <c r="S983">
        <v>-0.75975039999999905</v>
      </c>
      <c r="T983">
        <v>-0.2060553</v>
      </c>
      <c r="U983">
        <v>-3.0450740000000001</v>
      </c>
      <c r="V983">
        <v>3.3938259999999998E-2</v>
      </c>
      <c r="W983">
        <v>8.0497030000000001E-3</v>
      </c>
      <c r="X983">
        <v>0.99939149999999999</v>
      </c>
      <c r="Y983">
        <v>0.32434059999999998</v>
      </c>
      <c r="Z983">
        <v>6.4328410000000003E-2</v>
      </c>
      <c r="AA983">
        <v>0.94375049999999905</v>
      </c>
      <c r="AB983">
        <v>20</v>
      </c>
      <c r="AC983">
        <v>-4.0791000000000102</v>
      </c>
      <c r="AD983">
        <v>-1.1024682589000001</v>
      </c>
      <c r="AE983">
        <v>-16.0992999999999</v>
      </c>
      <c r="AF983">
        <v>5.4283123041507197</v>
      </c>
      <c r="AG983">
        <v>-1.1024682589000001</v>
      </c>
      <c r="AH983">
        <v>15.618740153027</v>
      </c>
      <c r="AI983">
        <v>93.814502785982597</v>
      </c>
      <c r="AJ983">
        <v>70.835041838806504</v>
      </c>
      <c r="AK983">
        <v>16.5718754129113</v>
      </c>
    </row>
    <row r="984" spans="1:37" x14ac:dyDescent="0.2">
      <c r="A984" t="str">
        <f>"20200111160118245"</f>
        <v>20200111160118245</v>
      </c>
      <c r="B984" t="str">
        <f>"1578729678241514"</f>
        <v>1578729678241514</v>
      </c>
      <c r="C984" t="s">
        <v>37</v>
      </c>
      <c r="D984">
        <v>5.5071979999999998</v>
      </c>
      <c r="E984">
        <v>0.61352019999999996</v>
      </c>
      <c r="F984" t="s">
        <v>38</v>
      </c>
      <c r="G984">
        <v>-191.27969999999999</v>
      </c>
      <c r="H984" s="1">
        <v>-1.868223E-6</v>
      </c>
      <c r="I984">
        <v>323.15030000000002</v>
      </c>
      <c r="J984">
        <v>-187.73050000000001</v>
      </c>
      <c r="K984">
        <v>1.1023940000000001</v>
      </c>
      <c r="L984">
        <v>337.27339999999998</v>
      </c>
      <c r="M984">
        <v>8.2781590000000002E-2</v>
      </c>
      <c r="N984">
        <v>0</v>
      </c>
      <c r="O984">
        <v>-0.99650130000000003</v>
      </c>
      <c r="P984">
        <v>4.9478559999999998E-2</v>
      </c>
      <c r="Q984">
        <v>-2.1301060000000001E-3</v>
      </c>
      <c r="R984">
        <v>-0.99877309999999997</v>
      </c>
      <c r="S984">
        <v>-0.74987789999999999</v>
      </c>
      <c r="T984">
        <v>-0.23391020000000001</v>
      </c>
      <c r="U984">
        <v>-3.0427550000000001</v>
      </c>
      <c r="V984">
        <v>3.3418719999999999E-2</v>
      </c>
      <c r="W984">
        <v>9.2212470000000001E-3</v>
      </c>
      <c r="X984">
        <v>0.99939889999999998</v>
      </c>
      <c r="Y984">
        <v>0.3181985</v>
      </c>
      <c r="Z984">
        <v>7.3171319999999998E-2</v>
      </c>
      <c r="AA984">
        <v>0.94519609999999998</v>
      </c>
      <c r="AB984">
        <v>20</v>
      </c>
      <c r="AC984">
        <v>-3.5491999999999799</v>
      </c>
      <c r="AD984">
        <v>-1.102395868223</v>
      </c>
      <c r="AE984">
        <v>-14.1230999999999</v>
      </c>
      <c r="AF984">
        <v>4.6794095874805697</v>
      </c>
      <c r="AG984">
        <v>-1.102395868223</v>
      </c>
      <c r="AH984">
        <v>13.702265580717899</v>
      </c>
      <c r="AI984">
        <v>94.3538834194906</v>
      </c>
      <c r="AJ984">
        <v>71.144642314423805</v>
      </c>
      <c r="AK984">
        <v>14.5211649939737</v>
      </c>
    </row>
    <row r="985" spans="1:37" x14ac:dyDescent="0.2">
      <c r="A985" t="str">
        <f>"20200111160118266"</f>
        <v>20200111160118266</v>
      </c>
      <c r="B985" t="str">
        <f>"1578729678262011"</f>
        <v>1578729678262011</v>
      </c>
      <c r="C985" t="s">
        <v>37</v>
      </c>
      <c r="D985">
        <v>5.5401239999999996</v>
      </c>
      <c r="E985">
        <v>0.61245850000000002</v>
      </c>
      <c r="F985" t="s">
        <v>38</v>
      </c>
      <c r="G985">
        <v>-190.9074</v>
      </c>
      <c r="H985" s="1">
        <v>-2.2776180000000001E-6</v>
      </c>
      <c r="I985">
        <v>324.33550000000002</v>
      </c>
      <c r="J985">
        <v>-187.7176</v>
      </c>
      <c r="K985">
        <v>1.102314</v>
      </c>
      <c r="L985">
        <v>337.07209999999998</v>
      </c>
      <c r="M985">
        <v>7.9479040000000001E-2</v>
      </c>
      <c r="N985">
        <v>0</v>
      </c>
      <c r="O985">
        <v>-0.99677070000000001</v>
      </c>
      <c r="P985">
        <v>4.6163780000000001E-2</v>
      </c>
      <c r="Q985">
        <v>-8.0769030000000001E-4</v>
      </c>
      <c r="R985">
        <v>-0.99893359999999998</v>
      </c>
      <c r="S985">
        <v>-0.74650569999999905</v>
      </c>
      <c r="T985">
        <v>-0.2590385</v>
      </c>
      <c r="U985">
        <v>-3.0401310000000001</v>
      </c>
      <c r="V985">
        <v>3.3431500000000003E-2</v>
      </c>
      <c r="W985">
        <v>1.050102E-2</v>
      </c>
      <c r="X985">
        <v>0.99938579999999999</v>
      </c>
      <c r="Y985">
        <v>0.31410759999999899</v>
      </c>
      <c r="Z985">
        <v>8.1148319999999996E-2</v>
      </c>
      <c r="AA985">
        <v>0.945912999999999</v>
      </c>
      <c r="AB985">
        <v>20</v>
      </c>
      <c r="AC985">
        <v>-3.1897999999999902</v>
      </c>
      <c r="AD985">
        <v>-1.102316277618</v>
      </c>
      <c r="AE985">
        <v>-12.7365999999999</v>
      </c>
      <c r="AF985">
        <v>4.1627268012872003</v>
      </c>
      <c r="AG985">
        <v>-1.102316277618</v>
      </c>
      <c r="AH985">
        <v>12.355677267967099</v>
      </c>
      <c r="AI985">
        <v>94.8326375720534</v>
      </c>
      <c r="AJ985">
        <v>71.380916111076004</v>
      </c>
      <c r="AK985">
        <v>13.084577041242699</v>
      </c>
    </row>
    <row r="986" spans="1:37" x14ac:dyDescent="0.2">
      <c r="A986" t="str">
        <f>"20200111160118288"</f>
        <v>20200111160118288</v>
      </c>
      <c r="B986" t="str">
        <f>"1578729678281531"</f>
        <v>1578729678281531</v>
      </c>
      <c r="C986" t="s">
        <v>37</v>
      </c>
      <c r="D986">
        <v>5.565842</v>
      </c>
      <c r="E986">
        <v>0.61142149999999995</v>
      </c>
      <c r="F986" t="s">
        <v>38</v>
      </c>
      <c r="G986">
        <v>-190.77799999999999</v>
      </c>
      <c r="H986" s="1">
        <v>-2.373745E-6</v>
      </c>
      <c r="I986">
        <v>324.63990000000001</v>
      </c>
      <c r="J986">
        <v>-187.70590000000001</v>
      </c>
      <c r="K986">
        <v>1.102244</v>
      </c>
      <c r="L986">
        <v>336.8777</v>
      </c>
      <c r="M986">
        <v>7.6184180000000004E-2</v>
      </c>
      <c r="N986">
        <v>0</v>
      </c>
      <c r="O986">
        <v>-0.99702809999999897</v>
      </c>
      <c r="P986">
        <v>4.3055309999999999E-2</v>
      </c>
      <c r="Q986">
        <v>7.914819E-4</v>
      </c>
      <c r="R986">
        <v>-0.99907239999999997</v>
      </c>
      <c r="S986">
        <v>-0.74774169999999995</v>
      </c>
      <c r="T986">
        <v>-0.26932840000000002</v>
      </c>
      <c r="U986">
        <v>-3.0375669999999899</v>
      </c>
      <c r="V986">
        <v>3.3247600000000002E-2</v>
      </c>
      <c r="W986">
        <v>1.2065899999999999E-2</v>
      </c>
      <c r="X986">
        <v>0.99937430000000005</v>
      </c>
      <c r="Y986">
        <v>0.31145089999999997</v>
      </c>
      <c r="Z986">
        <v>8.4484210000000004E-2</v>
      </c>
      <c r="AA986">
        <v>0.94649919999999998</v>
      </c>
      <c r="AB986">
        <v>20</v>
      </c>
      <c r="AC986">
        <v>-3.0720999999999701</v>
      </c>
      <c r="AD986">
        <v>-1.1022463737449999</v>
      </c>
      <c r="AE986">
        <v>-12.237799999999901</v>
      </c>
      <c r="AF986">
        <v>3.9652972017764299</v>
      </c>
      <c r="AG986">
        <v>-1.1022463737449999</v>
      </c>
      <c r="AH986">
        <v>11.877525267205201</v>
      </c>
      <c r="AI986">
        <v>95.030503491305595</v>
      </c>
      <c r="AJ986">
        <v>71.538476174322994</v>
      </c>
      <c r="AK986">
        <v>12.5703673550119</v>
      </c>
    </row>
    <row r="987" spans="1:37" x14ac:dyDescent="0.2">
      <c r="A987" t="str">
        <f>"20200111160118312"</f>
        <v>20200111160118312</v>
      </c>
      <c r="B987" t="str">
        <f>"1578729678302026"</f>
        <v>1578729678302026</v>
      </c>
      <c r="C987" t="s">
        <v>37</v>
      </c>
      <c r="D987">
        <v>5.5511309999999998</v>
      </c>
      <c r="E987">
        <v>0.61071039999999999</v>
      </c>
      <c r="F987" t="s">
        <v>38</v>
      </c>
      <c r="G987">
        <v>-190.6788</v>
      </c>
      <c r="H987" s="1">
        <v>-2.4250079999999999E-6</v>
      </c>
      <c r="I987">
        <v>324.82089999999999</v>
      </c>
      <c r="J987">
        <v>-187.69380000000001</v>
      </c>
      <c r="K987">
        <v>1.102168</v>
      </c>
      <c r="L987">
        <v>336.66129999999998</v>
      </c>
      <c r="M987">
        <v>7.2389629999999996E-2</v>
      </c>
      <c r="N987">
        <v>0</v>
      </c>
      <c r="O987">
        <v>-0.99731130000000001</v>
      </c>
      <c r="P987">
        <v>3.8295450000000002E-2</v>
      </c>
      <c r="Q987">
        <v>1.8698709999999999E-3</v>
      </c>
      <c r="R987">
        <v>-0.99926499999999996</v>
      </c>
      <c r="S987">
        <v>-0.74841309999999905</v>
      </c>
      <c r="T987">
        <v>-0.27748859999999997</v>
      </c>
      <c r="U987">
        <v>-3.0352779999999999</v>
      </c>
      <c r="V987">
        <v>3.4212920000000001E-2</v>
      </c>
      <c r="W987">
        <v>1.31057999999999E-2</v>
      </c>
      <c r="X987">
        <v>0.99932860000000001</v>
      </c>
      <c r="Y987">
        <v>0.30814179999999902</v>
      </c>
      <c r="Z987">
        <v>8.7171159999999998E-2</v>
      </c>
      <c r="AA987">
        <v>0.94733829999999997</v>
      </c>
      <c r="AB987">
        <v>20</v>
      </c>
      <c r="AC987">
        <v>-2.9849999999999799</v>
      </c>
      <c r="AD987">
        <v>-1.102170425008</v>
      </c>
      <c r="AE987">
        <v>-11.840399999999899</v>
      </c>
      <c r="AF987">
        <v>3.8033590327505298</v>
      </c>
      <c r="AG987">
        <v>-1.102170425008</v>
      </c>
      <c r="AH987">
        <v>11.499546493258</v>
      </c>
      <c r="AI987">
        <v>95.199413194396996</v>
      </c>
      <c r="AJ987">
        <v>71.698887781041293</v>
      </c>
      <c r="AK987">
        <v>12.1622320783798</v>
      </c>
    </row>
    <row r="988" spans="1:37" x14ac:dyDescent="0.2">
      <c r="A988" t="str">
        <f>"20200111160118333"</f>
        <v>20200111160118333</v>
      </c>
      <c r="B988" t="str">
        <f>"1578729678322523"</f>
        <v>1578729678322523</v>
      </c>
      <c r="C988" t="s">
        <v>37</v>
      </c>
      <c r="D988">
        <v>5.5554269999999999</v>
      </c>
      <c r="E988">
        <v>0.60983659999999995</v>
      </c>
      <c r="F988" t="s">
        <v>38</v>
      </c>
      <c r="G988">
        <v>-190.6071</v>
      </c>
      <c r="H988" s="1">
        <v>-2.4749269999999999E-6</v>
      </c>
      <c r="I988">
        <v>324.98169999999999</v>
      </c>
      <c r="J988">
        <v>-187.68389999999999</v>
      </c>
      <c r="K988">
        <v>1.1021179999999999</v>
      </c>
      <c r="L988">
        <v>336.4674</v>
      </c>
      <c r="M988">
        <v>6.8890060000000003E-2</v>
      </c>
      <c r="N988">
        <v>0</v>
      </c>
      <c r="O988">
        <v>-0.99755919999999898</v>
      </c>
      <c r="P988">
        <v>3.3286490000000002E-2</v>
      </c>
      <c r="Q988">
        <v>2.4159960000000001E-3</v>
      </c>
      <c r="R988">
        <v>-0.99944310000000003</v>
      </c>
      <c r="S988">
        <v>-0.7562103</v>
      </c>
      <c r="T988">
        <v>-0.28610099999999999</v>
      </c>
      <c r="U988">
        <v>-3.0317689999999899</v>
      </c>
      <c r="V988">
        <v>3.5720040000000002E-2</v>
      </c>
      <c r="W988">
        <v>1.361835E-2</v>
      </c>
      <c r="X988">
        <v>0.99926909999999902</v>
      </c>
      <c r="Y988">
        <v>0.30729459999999997</v>
      </c>
      <c r="Z988">
        <v>8.9973960000000006E-2</v>
      </c>
      <c r="AA988">
        <v>0.94735139999999995</v>
      </c>
      <c r="AB988">
        <v>20</v>
      </c>
      <c r="AC988">
        <v>-2.9232</v>
      </c>
      <c r="AD988">
        <v>-1.1021204749269999</v>
      </c>
      <c r="AE988">
        <v>-11.4857</v>
      </c>
      <c r="AF988">
        <v>3.6757703812526401</v>
      </c>
      <c r="AG988">
        <v>-1.1021204749269999</v>
      </c>
      <c r="AH988">
        <v>11.1605074942089</v>
      </c>
      <c r="AI988">
        <v>95.358411878270601</v>
      </c>
      <c r="AJ988">
        <v>71.770436323607797</v>
      </c>
      <c r="AK988">
        <v>11.801817019647499</v>
      </c>
    </row>
    <row r="989" spans="1:37" x14ac:dyDescent="0.2">
      <c r="A989" t="str">
        <f>"20200111160118357"</f>
        <v>20200111160118357</v>
      </c>
      <c r="B989" t="str">
        <f>"1578729678351803"</f>
        <v>1578729678351803</v>
      </c>
      <c r="C989" t="s">
        <v>37</v>
      </c>
      <c r="D989">
        <v>5.5743140000000002</v>
      </c>
      <c r="E989">
        <v>0.60874269999999997</v>
      </c>
      <c r="F989" t="s">
        <v>38</v>
      </c>
      <c r="G989">
        <v>-190.54429999999999</v>
      </c>
      <c r="H989" s="1">
        <v>-2.5211439999999998E-6</v>
      </c>
      <c r="I989">
        <v>325.1284</v>
      </c>
      <c r="J989">
        <v>-187.6738</v>
      </c>
      <c r="K989">
        <v>1.102071</v>
      </c>
      <c r="L989">
        <v>336.25459999999998</v>
      </c>
      <c r="M989">
        <v>6.4966380000000004E-2</v>
      </c>
      <c r="N989">
        <v>0</v>
      </c>
      <c r="O989">
        <v>-0.99782280000000001</v>
      </c>
      <c r="P989">
        <v>2.8061269999999999E-2</v>
      </c>
      <c r="Q989">
        <v>3.7116789999999998E-3</v>
      </c>
      <c r="R989">
        <v>-0.99959940000000003</v>
      </c>
      <c r="S989">
        <v>-0.76382450000000002</v>
      </c>
      <c r="T989">
        <v>-0.29429709999999998</v>
      </c>
      <c r="U989">
        <v>-3.0278320000000001</v>
      </c>
      <c r="V989">
        <v>3.7022140000000002E-2</v>
      </c>
      <c r="W989">
        <v>1.4883749999999999E-2</v>
      </c>
      <c r="X989">
        <v>0.99920359999999997</v>
      </c>
      <c r="Y989">
        <v>0.30602309999999999</v>
      </c>
      <c r="Z989">
        <v>9.2673699999999998E-2</v>
      </c>
      <c r="AA989">
        <v>0.94750270000000003</v>
      </c>
      <c r="AB989">
        <v>20</v>
      </c>
      <c r="AC989">
        <v>-2.8704999999999901</v>
      </c>
      <c r="AD989">
        <v>-1.102073521144</v>
      </c>
      <c r="AE989">
        <v>-11.1261999999999</v>
      </c>
      <c r="AF989">
        <v>3.55461177725044</v>
      </c>
      <c r="AG989">
        <v>-1.102073521144</v>
      </c>
      <c r="AH989">
        <v>10.8166913484145</v>
      </c>
      <c r="AI989">
        <v>95.528654213738506</v>
      </c>
      <c r="AJ989">
        <v>71.808295960663699</v>
      </c>
      <c r="AK989">
        <v>11.438996575742101</v>
      </c>
    </row>
    <row r="990" spans="1:37" x14ac:dyDescent="0.2">
      <c r="A990" t="str">
        <f>"20200111160118378"</f>
        <v>20200111160118378</v>
      </c>
      <c r="B990" t="str">
        <f>"1578729678372300"</f>
        <v>1578729678372300</v>
      </c>
      <c r="C990" t="s">
        <v>37</v>
      </c>
      <c r="D990">
        <v>5.5665129999999996</v>
      </c>
      <c r="E990">
        <v>0.60806110000000002</v>
      </c>
      <c r="F990" t="s">
        <v>38</v>
      </c>
      <c r="G990">
        <v>-190.49549999999999</v>
      </c>
      <c r="H990" s="1">
        <v>-2.52902E-6</v>
      </c>
      <c r="I990">
        <v>325.17700000000002</v>
      </c>
      <c r="J990">
        <v>-187.6653</v>
      </c>
      <c r="K990">
        <v>1.102042</v>
      </c>
      <c r="L990">
        <v>336.0575</v>
      </c>
      <c r="M990">
        <v>6.1263539999999998E-2</v>
      </c>
      <c r="N990">
        <v>0</v>
      </c>
      <c r="O990">
        <v>-0.99805710000000003</v>
      </c>
      <c r="P990">
        <v>2.3132759999999999E-2</v>
      </c>
      <c r="Q990">
        <v>4.3162540000000003E-3</v>
      </c>
      <c r="R990">
        <v>-0.99972329999999998</v>
      </c>
      <c r="S990">
        <v>-0.7702637</v>
      </c>
      <c r="T990">
        <v>-0.30084279999999902</v>
      </c>
      <c r="U990">
        <v>-3.0239560000000001</v>
      </c>
      <c r="V990">
        <v>3.8245109999999999E-2</v>
      </c>
      <c r="W990">
        <v>1.546399E-2</v>
      </c>
      <c r="X990">
        <v>0.999148699999999</v>
      </c>
      <c r="Y990">
        <v>0.30462459999999902</v>
      </c>
      <c r="Z990">
        <v>9.486414E-2</v>
      </c>
      <c r="AA990">
        <v>0.94773660000000004</v>
      </c>
      <c r="AB990">
        <v>20</v>
      </c>
      <c r="AC990">
        <v>-2.8301999999999898</v>
      </c>
      <c r="AD990">
        <v>-1.1020445290200001</v>
      </c>
      <c r="AE990">
        <v>-10.8804999999999</v>
      </c>
      <c r="AF990">
        <v>3.45827429254956</v>
      </c>
      <c r="AG990">
        <v>-1.1020445290200001</v>
      </c>
      <c r="AH990">
        <v>10.5849522101255</v>
      </c>
      <c r="AI990">
        <v>95.651939609401495</v>
      </c>
      <c r="AJ990">
        <v>71.906951504705205</v>
      </c>
      <c r="AK990">
        <v>11.1899676727457</v>
      </c>
    </row>
    <row r="991" spans="1:37" x14ac:dyDescent="0.2">
      <c r="A991" t="str">
        <f>"20200111160118400"</f>
        <v>20200111160118400</v>
      </c>
      <c r="B991" t="str">
        <f>"1578729678391819"</f>
        <v>1578729678391819</v>
      </c>
      <c r="C991" t="s">
        <v>37</v>
      </c>
      <c r="D991">
        <v>5.5786989999999896</v>
      </c>
      <c r="E991">
        <v>0.60746359999999999</v>
      </c>
      <c r="F991" t="s">
        <v>38</v>
      </c>
      <c r="G991">
        <v>-190.47980000000001</v>
      </c>
      <c r="H991" s="1">
        <v>-2.513848E-6</v>
      </c>
      <c r="I991">
        <v>325.15140000000002</v>
      </c>
      <c r="J991">
        <v>-187.65729999999999</v>
      </c>
      <c r="K991">
        <v>1.1020110000000001</v>
      </c>
      <c r="L991">
        <v>335.8519</v>
      </c>
      <c r="M991">
        <v>5.7339099999999997E-2</v>
      </c>
      <c r="N991">
        <v>0</v>
      </c>
      <c r="O991">
        <v>-0.99829040000000002</v>
      </c>
      <c r="P991">
        <v>1.818407E-2</v>
      </c>
      <c r="Q991">
        <v>4.6435189999999996E-3</v>
      </c>
      <c r="R991">
        <v>-0.99982439999999995</v>
      </c>
      <c r="S991">
        <v>-0.77940369999999903</v>
      </c>
      <c r="T991">
        <v>-0.30518699999999999</v>
      </c>
      <c r="U991">
        <v>-3.020203</v>
      </c>
      <c r="V991">
        <v>3.9265130000000002E-2</v>
      </c>
      <c r="W991">
        <v>1.576961E-2</v>
      </c>
      <c r="X991">
        <v>0.9991044</v>
      </c>
      <c r="Y991">
        <v>0.3038188</v>
      </c>
      <c r="Z991">
        <v>9.6347600000000005E-2</v>
      </c>
      <c r="AA991">
        <v>0.94784559999999995</v>
      </c>
      <c r="AB991">
        <v>20</v>
      </c>
      <c r="AC991">
        <v>-2.8225000000000202</v>
      </c>
      <c r="AD991">
        <v>-1.1020135138480001</v>
      </c>
      <c r="AE991">
        <v>-10.7004999999999</v>
      </c>
      <c r="AF991">
        <v>3.3977586465701499</v>
      </c>
      <c r="AG991">
        <v>-1.1020135138480001</v>
      </c>
      <c r="AH991">
        <v>10.417736400453199</v>
      </c>
      <c r="AI991">
        <v>95.742847595921702</v>
      </c>
      <c r="AJ991">
        <v>71.936193975918798</v>
      </c>
      <c r="AK991">
        <v>11.0131026198058</v>
      </c>
    </row>
    <row r="992" spans="1:37" x14ac:dyDescent="0.2">
      <c r="A992" t="str">
        <f>"20200111160118425"</f>
        <v>20200111160118425</v>
      </c>
      <c r="B992" t="str">
        <f>"1578729678422075"</f>
        <v>1578729678422075</v>
      </c>
      <c r="C992" t="s">
        <v>37</v>
      </c>
      <c r="D992">
        <v>5.4689170000000003</v>
      </c>
      <c r="E992">
        <v>0.60669269999999997</v>
      </c>
      <c r="F992" t="s">
        <v>38</v>
      </c>
      <c r="G992">
        <v>-190.46080000000001</v>
      </c>
      <c r="H992" s="1">
        <v>-2.5034180000000001E-6</v>
      </c>
      <c r="I992">
        <v>325.1388</v>
      </c>
      <c r="J992">
        <v>-187.6497</v>
      </c>
      <c r="K992">
        <v>1.1019749999999999</v>
      </c>
      <c r="L992">
        <v>335.63350000000003</v>
      </c>
      <c r="M992">
        <v>5.310981E-2</v>
      </c>
      <c r="N992">
        <v>0</v>
      </c>
      <c r="O992">
        <v>-0.99852439999999998</v>
      </c>
      <c r="P992">
        <v>1.3132069999999999E-2</v>
      </c>
      <c r="Q992">
        <v>4.8794850000000002E-3</v>
      </c>
      <c r="R992">
        <v>-0.99990190000000001</v>
      </c>
      <c r="S992">
        <v>-0.78935239999999995</v>
      </c>
      <c r="T992">
        <v>-0.31027399999999999</v>
      </c>
      <c r="U992">
        <v>-3.0162960000000001</v>
      </c>
      <c r="V992">
        <v>4.0083349999999997E-2</v>
      </c>
      <c r="W992">
        <v>1.5987020000000001E-2</v>
      </c>
      <c r="X992">
        <v>0.99906839999999997</v>
      </c>
      <c r="Y992">
        <v>0.30296770000000001</v>
      </c>
      <c r="Z992">
        <v>9.806848E-2</v>
      </c>
      <c r="AA992">
        <v>0.94794149999999999</v>
      </c>
      <c r="AB992">
        <v>20</v>
      </c>
      <c r="AC992">
        <v>-2.8111000000000099</v>
      </c>
      <c r="AD992">
        <v>-1.1019775034179999</v>
      </c>
      <c r="AE992">
        <v>-10.4947</v>
      </c>
      <c r="AF992">
        <v>3.3302789680123599</v>
      </c>
      <c r="AG992">
        <v>-1.1019775034179999</v>
      </c>
      <c r="AH992">
        <v>10.225385819353701</v>
      </c>
      <c r="AI992">
        <v>95.850738699940294</v>
      </c>
      <c r="AJ992">
        <v>71.960224892921104</v>
      </c>
      <c r="AK992">
        <v>10.810348170964</v>
      </c>
    </row>
    <row r="993" spans="1:37" x14ac:dyDescent="0.2">
      <c r="A993" t="str">
        <f>"20200111160118447"</f>
        <v>20200111160118447</v>
      </c>
      <c r="B993" t="str">
        <f>"1578729678441595"</f>
        <v>1578729678441595</v>
      </c>
      <c r="C993" t="s">
        <v>37</v>
      </c>
      <c r="D993">
        <v>5.4835580000000004</v>
      </c>
      <c r="E993">
        <v>0.60625309999999999</v>
      </c>
      <c r="F993" t="s">
        <v>38</v>
      </c>
      <c r="G993">
        <v>-190.44550000000001</v>
      </c>
      <c r="H993" s="1">
        <v>-2.4743939999999998E-6</v>
      </c>
      <c r="I993">
        <v>325.08069999999998</v>
      </c>
      <c r="J993">
        <v>-187.64330000000001</v>
      </c>
      <c r="K993">
        <v>1.101944</v>
      </c>
      <c r="L993">
        <v>335.42410000000001</v>
      </c>
      <c r="M993">
        <v>4.9004520000000003E-2</v>
      </c>
      <c r="N993">
        <v>0</v>
      </c>
      <c r="O993">
        <v>-0.99873449999999997</v>
      </c>
      <c r="P993">
        <v>8.1905650000000003E-3</v>
      </c>
      <c r="Q993">
        <v>4.7425369999999998E-3</v>
      </c>
      <c r="R993">
        <v>-0.99995540000000005</v>
      </c>
      <c r="S993">
        <v>-0.79808040000000002</v>
      </c>
      <c r="T993">
        <v>-0.31455870000000002</v>
      </c>
      <c r="U993">
        <v>-3.0122990000000001</v>
      </c>
      <c r="V993">
        <v>4.0913900000000003E-2</v>
      </c>
      <c r="W993">
        <v>1.58335E-2</v>
      </c>
      <c r="X993">
        <v>0.99903719999999996</v>
      </c>
      <c r="Y993">
        <v>0.30189070000000001</v>
      </c>
      <c r="Z993">
        <v>9.9548999999999999E-2</v>
      </c>
      <c r="AA993">
        <v>0.94813080000000005</v>
      </c>
      <c r="AB993">
        <v>20</v>
      </c>
      <c r="AC993">
        <v>-2.8021999999999898</v>
      </c>
      <c r="AD993">
        <v>-1.101946474394</v>
      </c>
      <c r="AE993">
        <v>-10.343400000000001</v>
      </c>
      <c r="AF993">
        <v>3.2711499169517602</v>
      </c>
      <c r="AG993">
        <v>-1.101946474394</v>
      </c>
      <c r="AH993">
        <v>10.086983579405199</v>
      </c>
      <c r="AI993">
        <v>95.932693614093196</v>
      </c>
      <c r="AJ993">
        <v>72.032423814373303</v>
      </c>
      <c r="AK993">
        <v>10.6612356480285</v>
      </c>
    </row>
    <row r="994" spans="1:37" x14ac:dyDescent="0.2">
      <c r="A994" t="str">
        <f>"20200111160118468"</f>
        <v>20200111160118468</v>
      </c>
      <c r="B994" t="str">
        <f>"1578729678462092"</f>
        <v>1578729678462092</v>
      </c>
      <c r="C994" t="s">
        <v>37</v>
      </c>
      <c r="D994">
        <v>5.4245260000000002</v>
      </c>
      <c r="E994">
        <v>0.60580540000000005</v>
      </c>
      <c r="F994" t="s">
        <v>38</v>
      </c>
      <c r="G994">
        <v>-190.45269999999999</v>
      </c>
      <c r="H994" s="1">
        <v>-2.4332409999999999E-6</v>
      </c>
      <c r="I994">
        <v>324.9803</v>
      </c>
      <c r="J994">
        <v>-187.63810000000001</v>
      </c>
      <c r="K994">
        <v>1.101912</v>
      </c>
      <c r="L994">
        <v>335.22410000000002</v>
      </c>
      <c r="M994">
        <v>4.5037710000000002E-2</v>
      </c>
      <c r="N994">
        <v>0</v>
      </c>
      <c r="O994">
        <v>-0.99892130000000001</v>
      </c>
      <c r="P994">
        <v>2.9482419999999998E-3</v>
      </c>
      <c r="Q994">
        <v>4.6622549999999997E-3</v>
      </c>
      <c r="R994">
        <v>-0.99998539999999903</v>
      </c>
      <c r="S994">
        <v>-0.80923459999999903</v>
      </c>
      <c r="T994">
        <v>-0.31741079999999999</v>
      </c>
      <c r="U994">
        <v>-3.0083009999999999</v>
      </c>
      <c r="V994">
        <v>4.2184359999999997E-2</v>
      </c>
      <c r="W994">
        <v>1.5736710000000001E-2</v>
      </c>
      <c r="X994">
        <v>0.99898589999999998</v>
      </c>
      <c r="Y994">
        <v>0.30167369999999999</v>
      </c>
      <c r="Z994">
        <v>0.10055549999999901</v>
      </c>
      <c r="AA994">
        <v>0.94809370000000004</v>
      </c>
      <c r="AB994">
        <v>20</v>
      </c>
      <c r="AC994">
        <v>-2.81459999999998</v>
      </c>
      <c r="AD994">
        <v>-1.101914433241</v>
      </c>
      <c r="AE994">
        <v>-10.2438</v>
      </c>
      <c r="AF994">
        <v>3.2382901492896301</v>
      </c>
      <c r="AG994">
        <v>-1.101914433241</v>
      </c>
      <c r="AH994">
        <v>9.9990546357612704</v>
      </c>
      <c r="AI994">
        <v>95.985071507990497</v>
      </c>
      <c r="AJ994">
        <v>72.054954451344301</v>
      </c>
      <c r="AK994">
        <v>10.567962533909199</v>
      </c>
    </row>
    <row r="995" spans="1:37" x14ac:dyDescent="0.2">
      <c r="A995" t="str">
        <f>"20200111160118490"</f>
        <v>20200111160118490</v>
      </c>
      <c r="B995" t="str">
        <f>"1578729678481611"</f>
        <v>1578729678481611</v>
      </c>
      <c r="C995" t="s">
        <v>37</v>
      </c>
      <c r="D995">
        <v>5.3896499999999996</v>
      </c>
      <c r="E995">
        <v>0.60533709999999996</v>
      </c>
      <c r="F995" t="s">
        <v>38</v>
      </c>
      <c r="G995">
        <v>-190.48240000000001</v>
      </c>
      <c r="H995" s="1">
        <v>-2.372956E-6</v>
      </c>
      <c r="I995">
        <v>324.82130000000001</v>
      </c>
      <c r="J995">
        <v>-187.63390000000001</v>
      </c>
      <c r="K995">
        <v>1.101882</v>
      </c>
      <c r="L995">
        <v>335.0283</v>
      </c>
      <c r="M995">
        <v>4.111484E-2</v>
      </c>
      <c r="N995">
        <v>0</v>
      </c>
      <c r="O995">
        <v>-0.99909040000000005</v>
      </c>
      <c r="P995">
        <v>-2.2569199999999999E-3</v>
      </c>
      <c r="Q995">
        <v>4.1108150000000003E-3</v>
      </c>
      <c r="R995">
        <v>-0.99998899999999902</v>
      </c>
      <c r="S995">
        <v>-0.82135009999999997</v>
      </c>
      <c r="T995">
        <v>-0.31819619999999998</v>
      </c>
      <c r="U995">
        <v>-3.0039669999999998</v>
      </c>
      <c r="V995">
        <v>4.3459530000000003E-2</v>
      </c>
      <c r="W995">
        <v>1.516934E-2</v>
      </c>
      <c r="X995">
        <v>0.99893999999999905</v>
      </c>
      <c r="Y995">
        <v>0.30182720000000002</v>
      </c>
      <c r="Z995">
        <v>0.10091269999999999</v>
      </c>
      <c r="AA995">
        <v>0.94800689999999999</v>
      </c>
      <c r="AB995">
        <v>20</v>
      </c>
      <c r="AC995">
        <v>-2.8485</v>
      </c>
      <c r="AD995">
        <v>-1.1018843729559999</v>
      </c>
      <c r="AE995">
        <v>-10.206999999999899</v>
      </c>
      <c r="AF995">
        <v>3.2308453099985801</v>
      </c>
      <c r="AG995">
        <v>-1.1018843729559999</v>
      </c>
      <c r="AH995">
        <v>9.9734128237596806</v>
      </c>
      <c r="AI995">
        <v>96.000034133051102</v>
      </c>
      <c r="AJ995">
        <v>72.050485548259402</v>
      </c>
      <c r="AK995">
        <v>10.541417074646001</v>
      </c>
    </row>
    <row r="996" spans="1:37" x14ac:dyDescent="0.2">
      <c r="A996" t="str">
        <f>"20200111160118513"</f>
        <v>20200111160118513</v>
      </c>
      <c r="B996" t="str">
        <f>"1578729678502107"</f>
        <v>1578729678502107</v>
      </c>
      <c r="C996" t="s">
        <v>37</v>
      </c>
      <c r="D996">
        <v>5.3751179999999996</v>
      </c>
      <c r="E996">
        <v>0.60481589999999996</v>
      </c>
      <c r="F996" t="s">
        <v>38</v>
      </c>
      <c r="G996">
        <v>-190.50040000000001</v>
      </c>
      <c r="H996" s="1">
        <v>-2.3296219999999999E-6</v>
      </c>
      <c r="I996">
        <v>324.70920000000001</v>
      </c>
      <c r="J996">
        <v>-187.6302</v>
      </c>
      <c r="K996">
        <v>1.101858</v>
      </c>
      <c r="L996">
        <v>334.81659999999999</v>
      </c>
      <c r="M996">
        <v>3.6828310000000003E-2</v>
      </c>
      <c r="N996">
        <v>0</v>
      </c>
      <c r="O996">
        <v>-0.99925769999999903</v>
      </c>
      <c r="P996">
        <v>-7.3176109999999999E-3</v>
      </c>
      <c r="Q996">
        <v>3.7857529999999898E-3</v>
      </c>
      <c r="R996">
        <v>-0.99996649999999998</v>
      </c>
      <c r="S996">
        <v>-0.83320620000000001</v>
      </c>
      <c r="T996">
        <v>-0.32028719999999999</v>
      </c>
      <c r="U996">
        <v>-2.9994809999999998</v>
      </c>
      <c r="V996">
        <v>4.4228499999999997E-2</v>
      </c>
      <c r="W996">
        <v>1.483226E-2</v>
      </c>
      <c r="X996">
        <v>0.99891129999999995</v>
      </c>
      <c r="Y996">
        <v>0.30156139999999998</v>
      </c>
      <c r="Z996">
        <v>0.1016923</v>
      </c>
      <c r="AA996">
        <v>0.94800810000000002</v>
      </c>
      <c r="AB996">
        <v>20</v>
      </c>
      <c r="AC996">
        <v>-2.8702000000000099</v>
      </c>
      <c r="AD996">
        <v>-1.101860329622</v>
      </c>
      <c r="AE996">
        <v>-10.107399999999901</v>
      </c>
      <c r="AF996">
        <v>3.2052649982495498</v>
      </c>
      <c r="AG996">
        <v>-1.101860329622</v>
      </c>
      <c r="AH996">
        <v>9.8861086055936997</v>
      </c>
      <c r="AI996">
        <v>96.052016277124096</v>
      </c>
      <c r="AJ996">
        <v>72.036316775125499</v>
      </c>
      <c r="AK996">
        <v>10.4509790573224</v>
      </c>
    </row>
    <row r="997" spans="1:37" x14ac:dyDescent="0.2">
      <c r="A997" t="str">
        <f>"20200111160118536"</f>
        <v>20200111160118536</v>
      </c>
      <c r="B997" t="str">
        <f>"1578729678531386"</f>
        <v>1578729678531386</v>
      </c>
      <c r="C997" t="s">
        <v>37</v>
      </c>
      <c r="D997">
        <v>5.3465230000000004</v>
      </c>
      <c r="E997">
        <v>0.60391629999999996</v>
      </c>
      <c r="F997" t="s">
        <v>38</v>
      </c>
      <c r="G997">
        <v>-190.51939999999999</v>
      </c>
      <c r="H997" s="1">
        <v>-2.2737509999999999E-6</v>
      </c>
      <c r="I997">
        <v>324.56709999999998</v>
      </c>
      <c r="J997">
        <v>-187.6276</v>
      </c>
      <c r="K997">
        <v>1.101842</v>
      </c>
      <c r="L997">
        <v>334.6114</v>
      </c>
      <c r="M997">
        <v>3.2647019999999999E-2</v>
      </c>
      <c r="N997">
        <v>0</v>
      </c>
      <c r="O997">
        <v>-0.99940309999999899</v>
      </c>
      <c r="P997">
        <v>-1.225732E-2</v>
      </c>
      <c r="Q997">
        <v>2.935273E-3</v>
      </c>
      <c r="R997">
        <v>-0.9999207</v>
      </c>
      <c r="S997">
        <v>-0.84429929999999997</v>
      </c>
      <c r="T997">
        <v>-0.32199529999999998</v>
      </c>
      <c r="U997">
        <v>-2.9951779999999899</v>
      </c>
      <c r="V997">
        <v>4.497926E-2</v>
      </c>
      <c r="W997">
        <v>1.3972129999999999E-2</v>
      </c>
      <c r="X997">
        <v>0.99889019999999995</v>
      </c>
      <c r="Y997">
        <v>0.30116329999999902</v>
      </c>
      <c r="Z997">
        <v>0.1023486</v>
      </c>
      <c r="AA997">
        <v>0.94806399999999902</v>
      </c>
      <c r="AB997">
        <v>20</v>
      </c>
      <c r="AC997">
        <v>-2.8917999999999799</v>
      </c>
      <c r="AD997">
        <v>-1.1018442737509999</v>
      </c>
      <c r="AE997">
        <v>-10.0443</v>
      </c>
      <c r="AF997">
        <v>3.18282610948147</v>
      </c>
      <c r="AG997">
        <v>-1.1018442737509999</v>
      </c>
      <c r="AH997">
        <v>9.8352350683716594</v>
      </c>
      <c r="AI997">
        <v>96.084068600734398</v>
      </c>
      <c r="AJ997">
        <v>72.0676595491353</v>
      </c>
      <c r="AK997">
        <v>10.395974783392001</v>
      </c>
    </row>
    <row r="998" spans="1:37" x14ac:dyDescent="0.2">
      <c r="A998" t="str">
        <f>"20200111160118557"</f>
        <v>20200111160118557</v>
      </c>
      <c r="B998" t="str">
        <f>"1578729678551882"</f>
        <v>1578729678551882</v>
      </c>
      <c r="C998" t="s">
        <v>37</v>
      </c>
      <c r="D998">
        <v>7.3676619999999904</v>
      </c>
      <c r="E998">
        <v>0.60391629999999996</v>
      </c>
      <c r="F998" t="s">
        <v>38</v>
      </c>
      <c r="G998">
        <v>-190.50040000000001</v>
      </c>
      <c r="H998" s="1">
        <v>-2.2507100000000002E-6</v>
      </c>
      <c r="I998">
        <v>324.52519999999998</v>
      </c>
      <c r="J998">
        <v>-187.6259</v>
      </c>
      <c r="K998">
        <v>1.1018319999999999</v>
      </c>
      <c r="L998">
        <v>334.41160000000002</v>
      </c>
      <c r="M998">
        <v>2.8554599999999999E-2</v>
      </c>
      <c r="N998">
        <v>0</v>
      </c>
      <c r="O998">
        <v>-0.99952849999999904</v>
      </c>
      <c r="P998">
        <v>-1.7002920000000001E-2</v>
      </c>
      <c r="Q998">
        <v>3.062773E-3</v>
      </c>
      <c r="R998">
        <v>-0.99985079999999904</v>
      </c>
      <c r="S998">
        <v>-0.85180659999999897</v>
      </c>
      <c r="T998">
        <v>-0.3267118</v>
      </c>
      <c r="U998">
        <v>-2.9906919999999899</v>
      </c>
      <c r="V998">
        <v>4.563101E-2</v>
      </c>
      <c r="W998">
        <v>1.409181E-2</v>
      </c>
      <c r="X998">
        <v>0.99885900000000005</v>
      </c>
      <c r="Y998">
        <v>0.29978840000000001</v>
      </c>
      <c r="Z998">
        <v>0.10398779999999901</v>
      </c>
      <c r="AA998">
        <v>0.94832139999999998</v>
      </c>
      <c r="AB998">
        <v>20</v>
      </c>
      <c r="AC998">
        <v>-2.87450000000001</v>
      </c>
      <c r="AD998">
        <v>-1.1018342507100001</v>
      </c>
      <c r="AE998">
        <v>-9.8864000000000303</v>
      </c>
      <c r="AF998">
        <v>3.1199161345147899</v>
      </c>
      <c r="AG998">
        <v>-1.1018342507100001</v>
      </c>
      <c r="AH998">
        <v>9.6893129555608102</v>
      </c>
      <c r="AI998">
        <v>96.177837707959398</v>
      </c>
      <c r="AJ998">
        <v>72.151669891131405</v>
      </c>
      <c r="AK998">
        <v>10.238686485738301</v>
      </c>
    </row>
    <row r="999" spans="1:37" x14ac:dyDescent="0.2">
      <c r="A999" t="str">
        <f>"20200111160118579"</f>
        <v>20200111160118579</v>
      </c>
      <c r="B999" t="str">
        <f>"1578729678571402"</f>
        <v>1578729678571402</v>
      </c>
      <c r="C999" t="s">
        <v>37</v>
      </c>
      <c r="D999">
        <v>5.3415080000000001</v>
      </c>
      <c r="E999">
        <v>0.6032729</v>
      </c>
      <c r="F999" t="s">
        <v>38</v>
      </c>
      <c r="G999">
        <v>-190.54220000000001</v>
      </c>
      <c r="H999" s="1">
        <v>-2.1860560000000002E-6</v>
      </c>
      <c r="I999">
        <v>324.34859999999998</v>
      </c>
      <c r="J999">
        <v>-187.625</v>
      </c>
      <c r="K999">
        <v>1.1018239999999999</v>
      </c>
      <c r="L999">
        <v>334.21210000000002</v>
      </c>
      <c r="M999">
        <v>2.4459370000000001E-2</v>
      </c>
      <c r="N999">
        <v>0</v>
      </c>
      <c r="O999">
        <v>-0.999637</v>
      </c>
      <c r="P999">
        <v>-2.2583180000000001E-2</v>
      </c>
      <c r="Q999">
        <v>3.310038E-3</v>
      </c>
      <c r="R999">
        <v>-0.99973959999999995</v>
      </c>
      <c r="S999">
        <v>-0.86555479999999996</v>
      </c>
      <c r="T999">
        <v>-0.32702829999999999</v>
      </c>
      <c r="U999">
        <v>-2.9867249999999999</v>
      </c>
      <c r="V999">
        <v>4.711518E-2</v>
      </c>
      <c r="W999">
        <v>1.4327339999999999E-2</v>
      </c>
      <c r="X999">
        <v>0.99878670000000003</v>
      </c>
      <c r="Y999">
        <v>0.30024109999999998</v>
      </c>
      <c r="Z999">
        <v>0.1041646</v>
      </c>
      <c r="AA999">
        <v>0.94815869999999902</v>
      </c>
      <c r="AB999">
        <v>20</v>
      </c>
      <c r="AC999">
        <v>-2.9171999999999998</v>
      </c>
      <c r="AD999">
        <v>-1.1018261860559999</v>
      </c>
      <c r="AE999">
        <v>-9.8635000000000392</v>
      </c>
      <c r="AF999">
        <v>3.12177570971226</v>
      </c>
      <c r="AG999">
        <v>-1.1018261860559999</v>
      </c>
      <c r="AH999">
        <v>9.6781364050872796</v>
      </c>
      <c r="AI999">
        <v>96.183861423667295</v>
      </c>
      <c r="AJ999">
        <v>72.122396087130895</v>
      </c>
      <c r="AK999">
        <v>10.2286767864423</v>
      </c>
    </row>
    <row r="1000" spans="1:37" x14ac:dyDescent="0.2">
      <c r="A1000" t="str">
        <f>"20200111160118601"</f>
        <v>20200111160118601</v>
      </c>
      <c r="B1000" t="str">
        <f>"1578729678591899"</f>
        <v>1578729678591899</v>
      </c>
      <c r="C1000" t="s">
        <v>37</v>
      </c>
      <c r="D1000">
        <v>5.2763089999999897</v>
      </c>
      <c r="E1000">
        <v>0.60254669999999999</v>
      </c>
      <c r="F1000" t="s">
        <v>38</v>
      </c>
      <c r="G1000">
        <v>-190.55799999999999</v>
      </c>
      <c r="H1000" s="1">
        <v>-2.14154E-6</v>
      </c>
      <c r="I1000">
        <v>324.23500000000001</v>
      </c>
      <c r="J1000">
        <v>-187.625</v>
      </c>
      <c r="K1000">
        <v>1.101826</v>
      </c>
      <c r="L1000">
        <v>334.00360000000001</v>
      </c>
      <c r="M1000">
        <v>2.01771E-2</v>
      </c>
      <c r="N1000">
        <v>0</v>
      </c>
      <c r="O1000">
        <v>-0.99973259999999897</v>
      </c>
      <c r="P1000">
        <v>-2.82635E-2</v>
      </c>
      <c r="Q1000">
        <v>3.3010609999999901E-3</v>
      </c>
      <c r="R1000">
        <v>-0.99959519999999902</v>
      </c>
      <c r="S1000">
        <v>-0.87664789999999904</v>
      </c>
      <c r="T1000">
        <v>-0.32932449999999902</v>
      </c>
      <c r="U1000">
        <v>-2.982056</v>
      </c>
      <c r="V1000">
        <v>4.8511819999999997E-2</v>
      </c>
      <c r="W1000">
        <v>1.430731E-2</v>
      </c>
      <c r="X1000">
        <v>0.998720099999999</v>
      </c>
      <c r="Y1000">
        <v>0.29977919999999902</v>
      </c>
      <c r="Z1000">
        <v>0.10501379999999901</v>
      </c>
      <c r="AA1000">
        <v>0.94821119999999903</v>
      </c>
      <c r="AB1000">
        <v>20</v>
      </c>
      <c r="AC1000">
        <v>-2.9329999999999901</v>
      </c>
      <c r="AD1000">
        <v>-1.10182814154</v>
      </c>
      <c r="AE1000">
        <v>-9.7685999999999904</v>
      </c>
      <c r="AF1000">
        <v>3.0934167141409601</v>
      </c>
      <c r="AG1000">
        <v>-1.10182814154</v>
      </c>
      <c r="AH1000">
        <v>9.5954473210360494</v>
      </c>
      <c r="AI1000">
        <v>96.237061600270096</v>
      </c>
      <c r="AJ1000">
        <v>72.131519694123099</v>
      </c>
      <c r="AK1000">
        <v>10.1417878853579</v>
      </c>
    </row>
    <row r="1001" spans="1:37" x14ac:dyDescent="0.2">
      <c r="A1001" t="str">
        <f>"20200111160118625"</f>
        <v>20200111160118625</v>
      </c>
      <c r="B1001" t="str">
        <f>"1578729678622155"</f>
        <v>1578729678622155</v>
      </c>
      <c r="C1001" t="s">
        <v>37</v>
      </c>
      <c r="D1001">
        <v>5.1507829999999997</v>
      </c>
      <c r="E1001">
        <v>0.60206610000000005</v>
      </c>
      <c r="F1001" t="s">
        <v>38</v>
      </c>
      <c r="G1001">
        <v>-190.5814</v>
      </c>
      <c r="H1001" s="1">
        <v>-2.0847839999999999E-6</v>
      </c>
      <c r="I1001">
        <v>324.08819999999997</v>
      </c>
      <c r="J1001">
        <v>-187.6258</v>
      </c>
      <c r="K1001">
        <v>1.1018299999999901</v>
      </c>
      <c r="L1001">
        <v>333.78899999999999</v>
      </c>
      <c r="M1001">
        <v>1.5778859999999999E-2</v>
      </c>
      <c r="N1001">
        <v>0</v>
      </c>
      <c r="O1001">
        <v>-0.99981169999999997</v>
      </c>
      <c r="P1001">
        <v>-3.4742839999999997E-2</v>
      </c>
      <c r="Q1001">
        <v>3.0284349999999999E-3</v>
      </c>
      <c r="R1001">
        <v>-0.99939199999999995</v>
      </c>
      <c r="S1001">
        <v>-0.88769529999999996</v>
      </c>
      <c r="T1001">
        <v>-0.33083379999999901</v>
      </c>
      <c r="U1001">
        <v>-2.9772029999999998</v>
      </c>
      <c r="V1001">
        <v>5.0590599999999999E-2</v>
      </c>
      <c r="W1001">
        <v>1.4020289999999999E-2</v>
      </c>
      <c r="X1001">
        <v>0.99862099999999898</v>
      </c>
      <c r="Y1001">
        <v>0.29921940000000002</v>
      </c>
      <c r="Z1001">
        <v>0.1056211</v>
      </c>
      <c r="AA1001">
        <v>0.94832059999999996</v>
      </c>
      <c r="AB1001">
        <v>20</v>
      </c>
      <c r="AC1001">
        <v>-2.9556</v>
      </c>
      <c r="AD1001">
        <v>-1.101832084784</v>
      </c>
      <c r="AE1001">
        <v>-9.7008000000000099</v>
      </c>
      <c r="AF1001">
        <v>3.0720440041335602</v>
      </c>
      <c r="AG1001">
        <v>-1.101832084784</v>
      </c>
      <c r="AH1001">
        <v>9.5403300619567304</v>
      </c>
      <c r="AI1001">
        <v>96.273516930134704</v>
      </c>
      <c r="AJ1001">
        <v>72.151127347626897</v>
      </c>
      <c r="AK1001">
        <v>10.083123821389201</v>
      </c>
    </row>
    <row r="1002" spans="1:37" x14ac:dyDescent="0.2">
      <c r="A1002" t="str">
        <f>"20200111160118646"</f>
        <v>20200111160118646</v>
      </c>
      <c r="B1002" t="str">
        <f>"1578729678641675"</f>
        <v>1578729678641675</v>
      </c>
      <c r="C1002" t="s">
        <v>37</v>
      </c>
      <c r="D1002">
        <v>4.8836599999999999</v>
      </c>
      <c r="E1002">
        <v>0.60253829999999997</v>
      </c>
      <c r="F1002" t="s">
        <v>38</v>
      </c>
      <c r="G1002">
        <v>-190.66079999999999</v>
      </c>
      <c r="H1002" s="1">
        <v>-1.984846E-6</v>
      </c>
      <c r="I1002">
        <v>323.80599999999998</v>
      </c>
      <c r="J1002">
        <v>-187.6275</v>
      </c>
      <c r="K1002">
        <v>1.1018539999999999</v>
      </c>
      <c r="L1002">
        <v>333.58690000000001</v>
      </c>
      <c r="M1002">
        <v>1.16636E-2</v>
      </c>
      <c r="N1002">
        <v>0</v>
      </c>
      <c r="O1002">
        <v>-0.99986830000000004</v>
      </c>
      <c r="P1002">
        <v>-4.0594890000000002E-2</v>
      </c>
      <c r="Q1002">
        <v>3.0103719999999999E-3</v>
      </c>
      <c r="R1002">
        <v>-0.99917119999999904</v>
      </c>
      <c r="S1002">
        <v>-0.90336609999999995</v>
      </c>
      <c r="T1002">
        <v>-0.32795990000000003</v>
      </c>
      <c r="U1002">
        <v>-2.9714360000000002</v>
      </c>
      <c r="V1002">
        <v>5.2327930000000002E-2</v>
      </c>
      <c r="W1002">
        <v>1.399073E-2</v>
      </c>
      <c r="X1002">
        <v>0.99853189999999903</v>
      </c>
      <c r="Y1002">
        <v>0.30040800000000001</v>
      </c>
      <c r="Z1002">
        <v>0.1048188</v>
      </c>
      <c r="AA1002">
        <v>0.94803379999999904</v>
      </c>
      <c r="AB1002">
        <v>20</v>
      </c>
      <c r="AC1002">
        <v>-3.0332999999999899</v>
      </c>
      <c r="AD1002">
        <v>-1.1018559848459999</v>
      </c>
      <c r="AE1002">
        <v>-9.7809000000000292</v>
      </c>
      <c r="AF1002">
        <v>3.11116223030221</v>
      </c>
      <c r="AG1002">
        <v>-1.1018559848459999</v>
      </c>
      <c r="AH1002">
        <v>9.6333242617192099</v>
      </c>
      <c r="AI1002">
        <v>96.211851311852001</v>
      </c>
      <c r="AJ1002">
        <v>72.101705842905801</v>
      </c>
      <c r="AK1002">
        <v>10.183042441531301</v>
      </c>
    </row>
    <row r="1003" spans="1:37" x14ac:dyDescent="0.2">
      <c r="A1003" t="str">
        <f>"20200111160118669"</f>
        <v>20200111160118669</v>
      </c>
      <c r="B1003" t="str">
        <f>"1578729678662172"</f>
        <v>1578729678662172</v>
      </c>
      <c r="C1003" t="s">
        <v>37</v>
      </c>
      <c r="D1003">
        <v>4.8338169999999998</v>
      </c>
      <c r="E1003">
        <v>0.60296569999999905</v>
      </c>
      <c r="F1003" t="s">
        <v>38</v>
      </c>
      <c r="G1003">
        <v>-190.7955</v>
      </c>
      <c r="H1003" s="1">
        <v>-1.8591829999999899E-6</v>
      </c>
      <c r="I1003">
        <v>323.42950000000002</v>
      </c>
      <c r="J1003">
        <v>-187.63</v>
      </c>
      <c r="K1003">
        <v>1.1018749999999999</v>
      </c>
      <c r="L1003">
        <v>333.38229999999999</v>
      </c>
      <c r="M1003">
        <v>7.5304739999999997E-3</v>
      </c>
      <c r="N1003">
        <v>0</v>
      </c>
      <c r="O1003">
        <v>-0.99990809999999997</v>
      </c>
      <c r="P1003">
        <v>-4.8463279999999997E-2</v>
      </c>
      <c r="Q1003">
        <v>3.728758E-3</v>
      </c>
      <c r="R1003">
        <v>-0.99881819999999899</v>
      </c>
      <c r="S1003">
        <v>-0.9250488</v>
      </c>
      <c r="T1003">
        <v>-0.32173579999999902</v>
      </c>
      <c r="U1003">
        <v>-2.9659119999999999</v>
      </c>
      <c r="V1003">
        <v>5.6068300000000001E-2</v>
      </c>
      <c r="W1003">
        <v>1.4685399999999901E-2</v>
      </c>
      <c r="X1003">
        <v>0.99831890000000001</v>
      </c>
      <c r="Y1003">
        <v>0.30334749999999999</v>
      </c>
      <c r="Z1003">
        <v>0.10288319999999999</v>
      </c>
      <c r="AA1003">
        <v>0.94730959999999997</v>
      </c>
      <c r="AB1003">
        <v>20</v>
      </c>
      <c r="AC1003">
        <v>-3.1655000000000002</v>
      </c>
      <c r="AD1003">
        <v>-1.1018768591829999</v>
      </c>
      <c r="AE1003">
        <v>-9.9527999999999608</v>
      </c>
      <c r="AF1003">
        <v>3.2046934852056799</v>
      </c>
      <c r="AG1003">
        <v>-1.1018768591829999</v>
      </c>
      <c r="AH1003">
        <v>9.8193809329188202</v>
      </c>
      <c r="AI1003">
        <v>96.089110708865903</v>
      </c>
      <c r="AJ1003">
        <v>71.925175934111493</v>
      </c>
      <c r="AK1003">
        <v>10.387705947546401</v>
      </c>
    </row>
    <row r="1004" spans="1:37" x14ac:dyDescent="0.2">
      <c r="A1004" t="str">
        <f>"20200111160118694"</f>
        <v>20200111160118694</v>
      </c>
      <c r="B1004" t="str">
        <f>"1578729678682667"</f>
        <v>1578729678682667</v>
      </c>
      <c r="C1004" t="s">
        <v>37</v>
      </c>
      <c r="D1004">
        <v>4.8435350000000001</v>
      </c>
      <c r="E1004">
        <v>0.6033385</v>
      </c>
      <c r="F1004" t="s">
        <v>38</v>
      </c>
      <c r="G1004">
        <v>-190.94630000000001</v>
      </c>
      <c r="H1004" s="1">
        <v>-1.744729E-6</v>
      </c>
      <c r="I1004">
        <v>323.06920000000002</v>
      </c>
      <c r="J1004">
        <v>-187.6337</v>
      </c>
      <c r="K1004">
        <v>1.101904</v>
      </c>
      <c r="L1004">
        <v>333.15530000000001</v>
      </c>
      <c r="M1004">
        <v>3.018682E-3</v>
      </c>
      <c r="N1004">
        <v>0</v>
      </c>
      <c r="O1004">
        <v>-0.99993180000000004</v>
      </c>
      <c r="P1004">
        <v>-5.7495930000000001E-2</v>
      </c>
      <c r="Q1004">
        <v>3.210227E-3</v>
      </c>
      <c r="R1004">
        <v>-0.99834059999999902</v>
      </c>
      <c r="S1004">
        <v>-0.95137019999999906</v>
      </c>
      <c r="T1004">
        <v>-0.31610120000000003</v>
      </c>
      <c r="U1004">
        <v>-2.9585569999999999</v>
      </c>
      <c r="V1004">
        <v>6.0589469999999999E-2</v>
      </c>
      <c r="W1004">
        <v>1.413996E-2</v>
      </c>
      <c r="X1004">
        <v>0.99806260000000002</v>
      </c>
      <c r="Y1004">
        <v>0.30742979999999998</v>
      </c>
      <c r="Z1004">
        <v>0.1011427</v>
      </c>
      <c r="AA1004">
        <v>0.94618029999999997</v>
      </c>
      <c r="AB1004">
        <v>20</v>
      </c>
      <c r="AC1004">
        <v>-3.3126000000000002</v>
      </c>
      <c r="AD1004">
        <v>-1.1019057447289999</v>
      </c>
      <c r="AE1004">
        <v>-10.086099999999901</v>
      </c>
      <c r="AF1004">
        <v>3.3074014757438701</v>
      </c>
      <c r="AG1004">
        <v>-1.1019057447289999</v>
      </c>
      <c r="AH1004">
        <v>9.9686569760609398</v>
      </c>
      <c r="AI1004">
        <v>95.989186371449506</v>
      </c>
      <c r="AJ1004">
        <v>71.645185564750506</v>
      </c>
      <c r="AK1004">
        <v>10.560644994430399</v>
      </c>
    </row>
    <row r="1005" spans="1:37" x14ac:dyDescent="0.2">
      <c r="A1005" t="str">
        <f>"20200111160118716"</f>
        <v>20200111160118716</v>
      </c>
      <c r="B1005" t="str">
        <f>"1578729678711947"</f>
        <v>1578729678711947</v>
      </c>
      <c r="C1005" t="s">
        <v>37</v>
      </c>
      <c r="D1005">
        <v>4.8286040000000003</v>
      </c>
      <c r="E1005">
        <v>0.60378690000000002</v>
      </c>
      <c r="F1005" t="s">
        <v>38</v>
      </c>
      <c r="G1005">
        <v>-191.04079999999999</v>
      </c>
      <c r="H1005" s="1">
        <v>-1.6972269999999999E-6</v>
      </c>
      <c r="I1005">
        <v>322.8999</v>
      </c>
      <c r="J1005">
        <v>-187.63800000000001</v>
      </c>
      <c r="K1005">
        <v>1.1019350000000001</v>
      </c>
      <c r="L1005">
        <v>332.94400000000002</v>
      </c>
      <c r="M1005">
        <v>-1.107125E-3</v>
      </c>
      <c r="N1005">
        <v>0</v>
      </c>
      <c r="O1005">
        <v>-0.99993569999999998</v>
      </c>
      <c r="P1005">
        <v>-6.7323220000000003E-2</v>
      </c>
      <c r="Q1005">
        <v>1.026683E-3</v>
      </c>
      <c r="R1005">
        <v>-0.99773080000000003</v>
      </c>
      <c r="S1005">
        <v>-0.97993469999999905</v>
      </c>
      <c r="T1005">
        <v>-0.31692550000000003</v>
      </c>
      <c r="U1005">
        <v>-2.9496150000000001</v>
      </c>
      <c r="V1005">
        <v>6.6284700000000002E-2</v>
      </c>
      <c r="W1005">
        <v>1.1924290000000001E-2</v>
      </c>
      <c r="X1005">
        <v>0.99772950000000005</v>
      </c>
      <c r="Y1005">
        <v>0.31260290000000002</v>
      </c>
      <c r="Z1005">
        <v>0.10145849999999999</v>
      </c>
      <c r="AA1005">
        <v>0.94444989999999995</v>
      </c>
      <c r="AB1005">
        <v>21</v>
      </c>
      <c r="AC1005">
        <v>-3.4027999999999801</v>
      </c>
      <c r="AD1005">
        <v>-1.1019366972269999</v>
      </c>
      <c r="AE1005">
        <v>-10.0441</v>
      </c>
      <c r="AF1005">
        <v>3.35544831008013</v>
      </c>
      <c r="AG1005">
        <v>-1.1019366972269999</v>
      </c>
      <c r="AH1005">
        <v>9.9405333327856606</v>
      </c>
      <c r="AI1005">
        <v>95.995826146211101</v>
      </c>
      <c r="AJ1005">
        <v>71.347779317084004</v>
      </c>
      <c r="AK1005">
        <v>10.549289112852</v>
      </c>
    </row>
    <row r="1006" spans="1:37" x14ac:dyDescent="0.2">
      <c r="A1006" t="str">
        <f>"20200111160118741"</f>
        <v>20200111160118741</v>
      </c>
      <c r="B1006" t="str">
        <f>"1578729678731467"</f>
        <v>1578729678731467</v>
      </c>
      <c r="C1006" t="s">
        <v>37</v>
      </c>
      <c r="D1006">
        <v>5.2660260000000001</v>
      </c>
      <c r="E1006">
        <v>0.60350749999999997</v>
      </c>
      <c r="F1006" t="s">
        <v>38</v>
      </c>
      <c r="G1006">
        <v>-191.12989999999999</v>
      </c>
      <c r="H1006" s="1">
        <v>-1.6799330000000001E-6</v>
      </c>
      <c r="I1006">
        <v>322.80430000000001</v>
      </c>
      <c r="J1006">
        <v>-187.64340000000001</v>
      </c>
      <c r="K1006">
        <v>1.1019779999999999</v>
      </c>
      <c r="L1006">
        <v>332.72140000000002</v>
      </c>
      <c r="M1006">
        <v>-5.3773079999999999E-3</v>
      </c>
      <c r="N1006">
        <v>0</v>
      </c>
      <c r="O1006">
        <v>-0.99992209999999904</v>
      </c>
      <c r="P1006">
        <v>-7.7525010000000005E-2</v>
      </c>
      <c r="Q1006">
        <v>-2.1817249999999998E-3</v>
      </c>
      <c r="R1006">
        <v>-0.99698809999999904</v>
      </c>
      <c r="S1006">
        <v>-1.0120849999999999</v>
      </c>
      <c r="T1006">
        <v>-0.31938030000000001</v>
      </c>
      <c r="U1006">
        <v>-2.9388429999999999</v>
      </c>
      <c r="V1006">
        <v>7.2209850000000006E-2</v>
      </c>
      <c r="W1006">
        <v>8.6833969999999903E-3</v>
      </c>
      <c r="X1006">
        <v>0.9973516</v>
      </c>
      <c r="Y1006">
        <v>0.31881720000000002</v>
      </c>
      <c r="Z1006">
        <v>0.10230359999999999</v>
      </c>
      <c r="AA1006">
        <v>0.94227890000000003</v>
      </c>
      <c r="AB1006">
        <v>21</v>
      </c>
      <c r="AC1006">
        <v>-3.4864999999999702</v>
      </c>
      <c r="AD1006">
        <v>-1.1019796799329999</v>
      </c>
      <c r="AE1006">
        <v>-9.9170999999999996</v>
      </c>
      <c r="AF1006">
        <v>3.3958016792911598</v>
      </c>
      <c r="AG1006">
        <v>-1.1019796799329999</v>
      </c>
      <c r="AH1006">
        <v>9.8277069111997708</v>
      </c>
      <c r="AI1006">
        <v>96.049709295281303</v>
      </c>
      <c r="AJ1006">
        <v>70.938255622430702</v>
      </c>
      <c r="AK1006">
        <v>10.456082028776599</v>
      </c>
    </row>
    <row r="1007" spans="1:37" x14ac:dyDescent="0.2">
      <c r="A1007" t="str">
        <f>"20200111160118783"</f>
        <v>20200111160118783</v>
      </c>
      <c r="B1007" t="str">
        <f>"1578729678771483"</f>
        <v>1578729678771483</v>
      </c>
      <c r="C1007" t="s">
        <v>37</v>
      </c>
      <c r="D1007">
        <v>5.2140180000000003</v>
      </c>
      <c r="E1007">
        <v>0.66002399999999894</v>
      </c>
      <c r="F1007" t="s">
        <v>38</v>
      </c>
      <c r="G1007">
        <v>-191.14359999999999</v>
      </c>
      <c r="H1007" s="1">
        <v>-1.711431E-6</v>
      </c>
      <c r="I1007">
        <v>322.86919999999998</v>
      </c>
      <c r="J1007">
        <v>-187.65479999999999</v>
      </c>
      <c r="K1007">
        <v>1.1020430000000001</v>
      </c>
      <c r="L1007">
        <v>332.32979999999998</v>
      </c>
      <c r="M1007">
        <v>-1.26737E-2</v>
      </c>
      <c r="N1007">
        <v>0</v>
      </c>
      <c r="O1007">
        <v>-0.99985609999999903</v>
      </c>
      <c r="P1007">
        <v>-9.8576209999999997E-2</v>
      </c>
      <c r="Q1007">
        <v>-8.5231579999999994E-3</v>
      </c>
      <c r="R1007">
        <v>-0.99509300000000001</v>
      </c>
      <c r="S1007">
        <v>-1.040054</v>
      </c>
      <c r="T1007">
        <v>-0.32744099999999998</v>
      </c>
      <c r="U1007">
        <v>-2.92746</v>
      </c>
      <c r="V1007">
        <v>8.5968719999999998E-2</v>
      </c>
      <c r="W1007">
        <v>2.2676609999999998E-3</v>
      </c>
      <c r="X1007">
        <v>0.99629529999999999</v>
      </c>
      <c r="Y1007">
        <v>0.3209554</v>
      </c>
      <c r="Z1007">
        <v>0.105028199999999</v>
      </c>
      <c r="AA1007">
        <v>0.94125270000000005</v>
      </c>
      <c r="AB1007">
        <v>21</v>
      </c>
      <c r="AC1007">
        <v>-3.4887999999999901</v>
      </c>
      <c r="AD1007">
        <v>-1.1020447114309999</v>
      </c>
      <c r="AE1007">
        <v>-9.4605999999999995</v>
      </c>
      <c r="AF1007">
        <v>3.3288482885457098</v>
      </c>
      <c r="AG1007">
        <v>-1.1020447114309999</v>
      </c>
      <c r="AH1007">
        <v>9.3918731079044608</v>
      </c>
      <c r="AI1007">
        <v>96.311184731653299</v>
      </c>
      <c r="AJ1007">
        <v>70.483676414314402</v>
      </c>
      <c r="AK1007">
        <v>10.0251191488742</v>
      </c>
    </row>
    <row r="1008" spans="1:37" x14ac:dyDescent="0.2">
      <c r="A1008" t="str">
        <f>"20200111160118848"</f>
        <v>20200111160118848</v>
      </c>
      <c r="B1008" t="str">
        <f>"1578729678841755"</f>
        <v>1578729678841755</v>
      </c>
      <c r="C1008" t="s">
        <v>37</v>
      </c>
      <c r="D1008">
        <v>5.1518839999999999</v>
      </c>
      <c r="E1008">
        <v>0.64255130000000005</v>
      </c>
      <c r="F1008" t="s">
        <v>38</v>
      </c>
      <c r="G1008">
        <v>-192.34809999999999</v>
      </c>
      <c r="H1008" s="1">
        <v>-2.3791099999999899E-6</v>
      </c>
      <c r="I1008">
        <v>323.67860000000002</v>
      </c>
      <c r="J1008">
        <v>-187.67779999999999</v>
      </c>
      <c r="K1008">
        <v>1.1021110000000001</v>
      </c>
      <c r="L1008">
        <v>331.71789999999999</v>
      </c>
      <c r="M1008">
        <v>-2.3663549999999998E-2</v>
      </c>
      <c r="N1008">
        <v>0</v>
      </c>
      <c r="O1008">
        <v>-0.99965659999999901</v>
      </c>
      <c r="P1008">
        <v>-0.1267327</v>
      </c>
      <c r="Q1008">
        <v>-9.4953650000000004E-3</v>
      </c>
      <c r="R1008">
        <v>-0.99189150000000004</v>
      </c>
      <c r="S1008">
        <v>-1.550476</v>
      </c>
      <c r="T1008">
        <v>-0.36407600000000001</v>
      </c>
      <c r="U1008">
        <v>-2.858063</v>
      </c>
      <c r="V1008">
        <v>0.1032312</v>
      </c>
      <c r="W1008">
        <v>1.1962089999999999E-3</v>
      </c>
      <c r="X1008">
        <v>0.99465669999999995</v>
      </c>
      <c r="Y1008">
        <v>0.4529223</v>
      </c>
      <c r="Z1008">
        <v>0.111877</v>
      </c>
      <c r="AA1008">
        <v>0.88450260000000003</v>
      </c>
      <c r="AB1008">
        <v>21</v>
      </c>
      <c r="AC1008">
        <v>-4.6702999999999903</v>
      </c>
      <c r="AD1008">
        <v>-1.10211337911</v>
      </c>
      <c r="AE1008">
        <v>-8.0392999999999599</v>
      </c>
      <c r="AF1008">
        <v>4.4166799528614398</v>
      </c>
      <c r="AG1008">
        <v>-1.10211337911</v>
      </c>
      <c r="AH1008">
        <v>8.0346709895970605</v>
      </c>
      <c r="AI1008">
        <v>96.854372353784797</v>
      </c>
      <c r="AJ1008">
        <v>61.202287954353103</v>
      </c>
      <c r="AK1008">
        <v>9.2345900622330799</v>
      </c>
    </row>
    <row r="1009" spans="1:37" x14ac:dyDescent="0.2">
      <c r="A1009" t="str">
        <f>"20200111160118871"</f>
        <v>20200111160118871</v>
      </c>
      <c r="B1009" t="str">
        <f>"1578729678862251"</f>
        <v>1578729678862251</v>
      </c>
      <c r="C1009" t="s">
        <v>37</v>
      </c>
      <c r="D1009">
        <v>5.2052779999999998</v>
      </c>
      <c r="E1009">
        <v>0.64900880000000005</v>
      </c>
      <c r="F1009" t="s">
        <v>38</v>
      </c>
      <c r="G1009">
        <v>-193.38079999999999</v>
      </c>
      <c r="H1009" s="1">
        <v>-1.4783369999999899E-6</v>
      </c>
      <c r="I1009">
        <v>320.93830000000003</v>
      </c>
      <c r="J1009">
        <v>-187.68680000000001</v>
      </c>
      <c r="K1009">
        <v>1.1020969999999899</v>
      </c>
      <c r="L1009">
        <v>331.51830000000001</v>
      </c>
      <c r="M1009">
        <v>-2.7213230000000001E-2</v>
      </c>
      <c r="N1009">
        <v>0</v>
      </c>
      <c r="O1009">
        <v>-0.99956639999999997</v>
      </c>
      <c r="P1009">
        <v>-0.1360537</v>
      </c>
      <c r="Q1009">
        <v>-9.4481840000000001E-3</v>
      </c>
      <c r="R1009">
        <v>-0.990656599999999</v>
      </c>
      <c r="S1009">
        <v>-1.4974369999999999</v>
      </c>
      <c r="T1009">
        <v>-0.28938150000000001</v>
      </c>
      <c r="U1009">
        <v>-2.83041399999999</v>
      </c>
      <c r="V1009">
        <v>0.10904990000000001</v>
      </c>
      <c r="W1009">
        <v>1.2047919999999899E-3</v>
      </c>
      <c r="X1009">
        <v>0.99403549999999996</v>
      </c>
      <c r="Y1009">
        <v>0.44149430000000001</v>
      </c>
      <c r="Z1009">
        <v>9.0543310000000002E-2</v>
      </c>
      <c r="AA1009">
        <v>0.89268400000000003</v>
      </c>
      <c r="AB1009">
        <v>21</v>
      </c>
      <c r="AC1009">
        <v>-5.6939999999999804</v>
      </c>
      <c r="AD1009">
        <v>-1.10209847833699</v>
      </c>
      <c r="AE1009">
        <v>-10.579999999999901</v>
      </c>
      <c r="AF1009">
        <v>5.3588675551376399</v>
      </c>
      <c r="AG1009">
        <v>-1.10209847833699</v>
      </c>
      <c r="AH1009">
        <v>10.641506064381</v>
      </c>
      <c r="AI1009">
        <v>95.284785177810306</v>
      </c>
      <c r="AJ1009">
        <v>63.271011790733802</v>
      </c>
      <c r="AK1009">
        <v>11.9655227151896</v>
      </c>
    </row>
    <row r="1010" spans="1:37" x14ac:dyDescent="0.2">
      <c r="A1010" t="str">
        <f>"20200111160118893"</f>
        <v>20200111160118893</v>
      </c>
      <c r="B1010" t="str">
        <f>"1578729678881771"</f>
        <v>1578729678881771</v>
      </c>
      <c r="C1010" t="s">
        <v>37</v>
      </c>
      <c r="D1010">
        <v>5.1409459999999996</v>
      </c>
      <c r="E1010">
        <v>0.65232970000000001</v>
      </c>
      <c r="F1010" t="s">
        <v>38</v>
      </c>
      <c r="G1010">
        <v>-193.39869999999999</v>
      </c>
      <c r="H1010" s="1">
        <v>-1.6476429999999901E-6</v>
      </c>
      <c r="I1010">
        <v>321.3218</v>
      </c>
      <c r="J1010">
        <v>-187.69710000000001</v>
      </c>
      <c r="K1010">
        <v>1.102069</v>
      </c>
      <c r="L1010">
        <v>331.3057</v>
      </c>
      <c r="M1010">
        <v>-3.1014679999999999E-2</v>
      </c>
      <c r="N1010">
        <v>0</v>
      </c>
      <c r="O1010">
        <v>-0.99945550000000005</v>
      </c>
      <c r="P1010">
        <v>-0.14529839999999999</v>
      </c>
      <c r="Q1010">
        <v>-1.058539E-2</v>
      </c>
      <c r="R1010">
        <v>-0.98933130000000002</v>
      </c>
      <c r="S1010">
        <v>-1.573715</v>
      </c>
      <c r="T1010">
        <v>-0.30364159999999901</v>
      </c>
      <c r="U1010">
        <v>-2.8092649999999999</v>
      </c>
      <c r="V1010">
        <v>0.1145443</v>
      </c>
      <c r="W1010" s="1">
        <v>2.6604390000000002E-5</v>
      </c>
      <c r="X1010">
        <v>0.99341819999999903</v>
      </c>
      <c r="Y1010">
        <v>0.45924959999999998</v>
      </c>
      <c r="Z1010">
        <v>9.4546630000000006E-2</v>
      </c>
      <c r="AA1010">
        <v>0.88326139999999997</v>
      </c>
      <c r="AB1010">
        <v>21</v>
      </c>
      <c r="AC1010">
        <v>-5.7015999999999796</v>
      </c>
      <c r="AD1010">
        <v>-1.102070647643</v>
      </c>
      <c r="AE1010">
        <v>-9.9839000000000002</v>
      </c>
      <c r="AF1010">
        <v>5.3401234108611302</v>
      </c>
      <c r="AG1010">
        <v>-1.102070647643</v>
      </c>
      <c r="AH1010">
        <v>10.0634754317849</v>
      </c>
      <c r="AI1010">
        <v>95.525371250156098</v>
      </c>
      <c r="AJ1010">
        <v>62.047608816536098</v>
      </c>
      <c r="AK1010">
        <v>11.445742244247899</v>
      </c>
    </row>
    <row r="1011" spans="1:37" x14ac:dyDescent="0.2">
      <c r="A1011" t="str">
        <f>"20200111160118916"</f>
        <v>20200111160118916</v>
      </c>
      <c r="B1011" t="str">
        <f>"1578729678912026"</f>
        <v>1578729678912026</v>
      </c>
      <c r="C1011" t="s">
        <v>37</v>
      </c>
      <c r="D1011">
        <v>5.2184339999999896</v>
      </c>
      <c r="E1011">
        <v>0.65421870000000004</v>
      </c>
      <c r="F1011" t="s">
        <v>38</v>
      </c>
      <c r="G1011">
        <v>-193.2996</v>
      </c>
      <c r="H1011" s="1">
        <v>-1.7769389999999999E-6</v>
      </c>
      <c r="I1011">
        <v>321.68470000000002</v>
      </c>
      <c r="J1011">
        <v>-187.70849999999999</v>
      </c>
      <c r="K1011">
        <v>1.102044</v>
      </c>
      <c r="L1011">
        <v>331.08960000000002</v>
      </c>
      <c r="M1011">
        <v>-3.4910679999999999E-2</v>
      </c>
      <c r="N1011">
        <v>0</v>
      </c>
      <c r="O1011">
        <v>-0.99932719999999897</v>
      </c>
      <c r="P1011">
        <v>-0.1553049</v>
      </c>
      <c r="Q1011">
        <v>-1.103867E-2</v>
      </c>
      <c r="R1011">
        <v>-0.98780509999999999</v>
      </c>
      <c r="S1011">
        <v>-1.624878</v>
      </c>
      <c r="T1011">
        <v>-0.31962929999999901</v>
      </c>
      <c r="U1011">
        <v>-2.7903439999999899</v>
      </c>
      <c r="V1011">
        <v>0.12072229999999901</v>
      </c>
      <c r="W1011">
        <v>-4.742665E-4</v>
      </c>
      <c r="X1011">
        <v>0.99268619999999996</v>
      </c>
      <c r="Y1011">
        <v>0.47026200000000001</v>
      </c>
      <c r="Z1011">
        <v>9.9308540000000001E-2</v>
      </c>
      <c r="AA1011">
        <v>0.87692159999999997</v>
      </c>
      <c r="AB1011">
        <v>21</v>
      </c>
      <c r="AC1011">
        <v>-5.5911000000000097</v>
      </c>
      <c r="AD1011">
        <v>-1.102045776939</v>
      </c>
      <c r="AE1011">
        <v>-9.4048999999999907</v>
      </c>
      <c r="AF1011">
        <v>5.2065181860996903</v>
      </c>
      <c r="AG1011">
        <v>-1.102045776939</v>
      </c>
      <c r="AH1011">
        <v>9.4980088525782893</v>
      </c>
      <c r="AI1011">
        <v>95.809574128970297</v>
      </c>
      <c r="AJ1011">
        <v>61.269793186189197</v>
      </c>
      <c r="AK1011">
        <v>10.887355449341699</v>
      </c>
    </row>
    <row r="1012" spans="1:37" x14ac:dyDescent="0.2">
      <c r="A1012" t="str">
        <f>"20200111160118940"</f>
        <v>20200111160118940</v>
      </c>
      <c r="B1012" t="str">
        <f>"1578729678931547"</f>
        <v>1578729678931547</v>
      </c>
      <c r="C1012" t="s">
        <v>37</v>
      </c>
      <c r="D1012">
        <v>5.2357829999999996</v>
      </c>
      <c r="E1012">
        <v>0.65474370000000004</v>
      </c>
      <c r="F1012" t="s">
        <v>38</v>
      </c>
      <c r="G1012">
        <v>-193.13140000000001</v>
      </c>
      <c r="H1012" s="1">
        <v>-1.897821E-6</v>
      </c>
      <c r="I1012">
        <v>322.07080000000002</v>
      </c>
      <c r="J1012">
        <v>-187.7209</v>
      </c>
      <c r="K1012">
        <v>1.1020129999999999</v>
      </c>
      <c r="L1012">
        <v>330.8698</v>
      </c>
      <c r="M1012">
        <v>-3.8923079999999999E-2</v>
      </c>
      <c r="N1012">
        <v>0</v>
      </c>
      <c r="O1012">
        <v>-0.99917880000000003</v>
      </c>
      <c r="P1012">
        <v>-0.16634479999999999</v>
      </c>
      <c r="Q1012">
        <v>-1.116865E-2</v>
      </c>
      <c r="R1012">
        <v>-0.9860044</v>
      </c>
      <c r="S1012">
        <v>-1.666336</v>
      </c>
      <c r="T1012">
        <v>-0.33863290000000001</v>
      </c>
      <c r="U1012">
        <v>-2.771271</v>
      </c>
      <c r="V1012">
        <v>0.12783620000000001</v>
      </c>
      <c r="W1012">
        <v>-6.6048259999999998E-4</v>
      </c>
      <c r="X1012">
        <v>0.99179509999999904</v>
      </c>
      <c r="Y1012">
        <v>0.47871379999999902</v>
      </c>
      <c r="Z1012">
        <v>0.10510989999999901</v>
      </c>
      <c r="AA1012">
        <v>0.87165649999999995</v>
      </c>
      <c r="AB1012">
        <v>21</v>
      </c>
      <c r="AC1012">
        <v>-5.4105000000000096</v>
      </c>
      <c r="AD1012">
        <v>-1.10201489782099</v>
      </c>
      <c r="AE1012">
        <v>-8.7989999999999693</v>
      </c>
      <c r="AF1012">
        <v>5.00690386878955</v>
      </c>
      <c r="AG1012">
        <v>-1.10201489782099</v>
      </c>
      <c r="AH1012">
        <v>8.9016178133686097</v>
      </c>
      <c r="AI1012">
        <v>96.158493681881396</v>
      </c>
      <c r="AJ1012">
        <v>60.643498922036997</v>
      </c>
      <c r="AK1012">
        <v>10.2724058954852</v>
      </c>
    </row>
    <row r="1013" spans="1:37" x14ac:dyDescent="0.2">
      <c r="A1013" t="str">
        <f>"20200111160118983"</f>
        <v>20200111160118983</v>
      </c>
      <c r="B1013" t="str">
        <f>"1578729678971564"</f>
        <v>1578729678971564</v>
      </c>
      <c r="C1013" t="s">
        <v>37</v>
      </c>
      <c r="D1013">
        <v>5.2456180000000003</v>
      </c>
      <c r="E1013">
        <v>0.65478990000000004</v>
      </c>
      <c r="F1013" t="s">
        <v>38</v>
      </c>
      <c r="G1013">
        <v>-193.08320000000001</v>
      </c>
      <c r="H1013" s="1">
        <v>-1.936537E-6</v>
      </c>
      <c r="I1013">
        <v>322.1909</v>
      </c>
      <c r="J1013">
        <v>-187.7456</v>
      </c>
      <c r="K1013">
        <v>1.101947</v>
      </c>
      <c r="L1013">
        <v>330.47629999999998</v>
      </c>
      <c r="M1013">
        <v>-4.6270690000000003E-2</v>
      </c>
      <c r="N1013">
        <v>0</v>
      </c>
      <c r="O1013">
        <v>-0.99886549999999996</v>
      </c>
      <c r="P1013">
        <v>-0.1873744</v>
      </c>
      <c r="Q1013">
        <v>-1.0287640000000001E-2</v>
      </c>
      <c r="R1013">
        <v>-0.98223499999999997</v>
      </c>
      <c r="S1013">
        <v>-1.70022599999999</v>
      </c>
      <c r="T1013">
        <v>-0.34941830000000001</v>
      </c>
      <c r="U1013">
        <v>-2.7518310000000001</v>
      </c>
      <c r="V1013">
        <v>0.14172470000000001</v>
      </c>
      <c r="W1013">
        <v>1.052059E-4</v>
      </c>
      <c r="X1013">
        <v>0.98990610000000001</v>
      </c>
      <c r="Y1013">
        <v>0.48259619999999998</v>
      </c>
      <c r="Z1013">
        <v>0.108565699999999</v>
      </c>
      <c r="AA1013">
        <v>0.86908830000000004</v>
      </c>
      <c r="AB1013">
        <v>21</v>
      </c>
      <c r="AC1013">
        <v>-5.3376000000000001</v>
      </c>
      <c r="AD1013">
        <v>-1.1019489365370001</v>
      </c>
      <c r="AE1013">
        <v>-8.2853999999999797</v>
      </c>
      <c r="AF1013">
        <v>4.8873910629706101</v>
      </c>
      <c r="AG1013">
        <v>-1.1019489365370001</v>
      </c>
      <c r="AH1013">
        <v>8.4182803333180001</v>
      </c>
      <c r="AI1013">
        <v>96.458628106961996</v>
      </c>
      <c r="AJ1013">
        <v>59.861885805259099</v>
      </c>
      <c r="AK1013">
        <v>9.7963425129723092</v>
      </c>
    </row>
    <row r="1014" spans="1:37" x14ac:dyDescent="0.2">
      <c r="A1014" t="str">
        <f>"20200111160119004"</f>
        <v>20200111160119004</v>
      </c>
      <c r="B1014" t="str">
        <f>"1578729679001818"</f>
        <v>1578729679001818</v>
      </c>
      <c r="C1014" t="s">
        <v>37</v>
      </c>
      <c r="D1014">
        <v>5.3190850000000003</v>
      </c>
      <c r="E1014">
        <v>0.65403319999999998</v>
      </c>
      <c r="F1014" t="s">
        <v>38</v>
      </c>
      <c r="G1014">
        <v>-193.1883</v>
      </c>
      <c r="H1014" s="1">
        <v>-1.9137049999999999E-6</v>
      </c>
      <c r="I1014">
        <v>322.07249999999999</v>
      </c>
      <c r="J1014">
        <v>-187.75960000000001</v>
      </c>
      <c r="K1014">
        <v>1.1019079999999899</v>
      </c>
      <c r="L1014">
        <v>330.27170000000001</v>
      </c>
      <c r="M1014">
        <v>-5.0177949999999999E-2</v>
      </c>
      <c r="N1014">
        <v>0</v>
      </c>
      <c r="O1014">
        <v>-0.99867680000000003</v>
      </c>
      <c r="P1014">
        <v>-0.19743929999999901</v>
      </c>
      <c r="Q1014">
        <v>-8.4679009999999999E-3</v>
      </c>
      <c r="R1014">
        <v>-0.98027869999999995</v>
      </c>
      <c r="S1014">
        <v>-1.7584689999999901</v>
      </c>
      <c r="T1014">
        <v>-0.35602430000000002</v>
      </c>
      <c r="U1014">
        <v>-2.7151489999999998</v>
      </c>
      <c r="V1014">
        <v>0.14801149999999999</v>
      </c>
      <c r="W1014">
        <v>1.8685489999999999E-3</v>
      </c>
      <c r="X1014">
        <v>0.98898390000000003</v>
      </c>
      <c r="Y1014">
        <v>0.4974692</v>
      </c>
      <c r="Z1014">
        <v>0.1107296</v>
      </c>
      <c r="AA1014">
        <v>0.86038559999999997</v>
      </c>
      <c r="AB1014">
        <v>21</v>
      </c>
      <c r="AC1014">
        <v>-5.4286999999999903</v>
      </c>
      <c r="AD1014">
        <v>-1.1019099137049999</v>
      </c>
      <c r="AE1014">
        <v>-8.19920000000001</v>
      </c>
      <c r="AF1014">
        <v>4.9482812431171901</v>
      </c>
      <c r="AG1014">
        <v>-1.1019099137049999</v>
      </c>
      <c r="AH1014">
        <v>8.3563599447238897</v>
      </c>
      <c r="AI1014">
        <v>96.473314364551001</v>
      </c>
      <c r="AJ1014">
        <v>59.3677853837779</v>
      </c>
      <c r="AK1014">
        <v>9.7738653686600703</v>
      </c>
    </row>
    <row r="1015" spans="1:37" x14ac:dyDescent="0.2">
      <c r="A1015" t="str">
        <f>"20200111160119030"</f>
        <v>20200111160119030</v>
      </c>
      <c r="B1015" t="str">
        <f>"1578729679021339"</f>
        <v>1578729679021339</v>
      </c>
      <c r="C1015" t="s">
        <v>37</v>
      </c>
      <c r="D1015">
        <v>5.3451149999999998</v>
      </c>
      <c r="E1015">
        <v>0.6532038</v>
      </c>
      <c r="F1015" t="s">
        <v>38</v>
      </c>
      <c r="G1015">
        <v>-193.26929999999999</v>
      </c>
      <c r="H1015" s="1">
        <v>-1.8693489999999999E-6</v>
      </c>
      <c r="I1015">
        <v>321.91890000000001</v>
      </c>
      <c r="J1015">
        <v>-187.77670000000001</v>
      </c>
      <c r="K1015">
        <v>1.1018649999999901</v>
      </c>
      <c r="L1015">
        <v>330.0376</v>
      </c>
      <c r="M1015">
        <v>-5.4723029999999999E-2</v>
      </c>
      <c r="N1015">
        <v>0</v>
      </c>
      <c r="O1015">
        <v>-0.9984381</v>
      </c>
      <c r="P1015">
        <v>-0.20743259999999999</v>
      </c>
      <c r="Q1015">
        <v>-6.7426150000000004E-3</v>
      </c>
      <c r="R1015">
        <v>-0.97822619999999905</v>
      </c>
      <c r="S1015">
        <v>-1.7801209999999901</v>
      </c>
      <c r="T1015">
        <v>-0.35601450000000001</v>
      </c>
      <c r="U1015">
        <v>-2.6987000000000001</v>
      </c>
      <c r="V1015">
        <v>0.153609</v>
      </c>
      <c r="W1015">
        <v>3.5379489999999999E-3</v>
      </c>
      <c r="X1015">
        <v>0.98812540000000004</v>
      </c>
      <c r="Y1015">
        <v>0.50073239999999997</v>
      </c>
      <c r="Z1015">
        <v>0.11091089999999899</v>
      </c>
      <c r="AA1015">
        <v>0.85846719999999899</v>
      </c>
      <c r="AB1015">
        <v>21</v>
      </c>
      <c r="AC1015">
        <v>-5.4925999999999799</v>
      </c>
      <c r="AD1015">
        <v>-1.1018668693489999</v>
      </c>
      <c r="AE1015">
        <v>-8.1186999999999898</v>
      </c>
      <c r="AF1015">
        <v>4.9771681805108701</v>
      </c>
      <c r="AG1015">
        <v>-1.1018668693489999</v>
      </c>
      <c r="AH1015">
        <v>8.3022154879156602</v>
      </c>
      <c r="AI1015">
        <v>96.494099883534901</v>
      </c>
      <c r="AJ1015">
        <v>59.0573635292508</v>
      </c>
      <c r="AK1015">
        <v>9.7423352284062599</v>
      </c>
    </row>
    <row r="1016" spans="1:37" x14ac:dyDescent="0.2">
      <c r="A1016" t="str">
        <f>"20200111160119050"</f>
        <v>20200111160119050</v>
      </c>
      <c r="B1016" t="str">
        <f>"1578729679041834"</f>
        <v>1578729679041834</v>
      </c>
      <c r="C1016" t="s">
        <v>37</v>
      </c>
      <c r="D1016">
        <v>5.3707960000000003</v>
      </c>
      <c r="E1016">
        <v>0.6164615</v>
      </c>
      <c r="F1016" t="s">
        <v>38</v>
      </c>
      <c r="G1016">
        <v>-193.3827</v>
      </c>
      <c r="H1016" s="1">
        <v>-1.8010929999999901E-6</v>
      </c>
      <c r="I1016">
        <v>321.68950000000001</v>
      </c>
      <c r="J1016">
        <v>-187.79249999999999</v>
      </c>
      <c r="K1016">
        <v>1.1018239999999999</v>
      </c>
      <c r="L1016">
        <v>329.83460000000002</v>
      </c>
      <c r="M1016">
        <v>-5.8745459999999999E-2</v>
      </c>
      <c r="N1016">
        <v>0</v>
      </c>
      <c r="O1016">
        <v>-0.99820949999999997</v>
      </c>
      <c r="P1016">
        <v>-0.21581710000000001</v>
      </c>
      <c r="Q1016">
        <v>-5.5758219999999898E-3</v>
      </c>
      <c r="R1016">
        <v>-0.97641829999999996</v>
      </c>
      <c r="S1016">
        <v>-1.8013459999999999</v>
      </c>
      <c r="T1016">
        <v>-0.35405399999999998</v>
      </c>
      <c r="U1016">
        <v>-2.6824340000000002</v>
      </c>
      <c r="V1016">
        <v>0.15810959999999999</v>
      </c>
      <c r="W1016">
        <v>4.6556459999999899E-3</v>
      </c>
      <c r="X1016">
        <v>0.98741060000000003</v>
      </c>
      <c r="Y1016">
        <v>0.50436340000000002</v>
      </c>
      <c r="Z1016">
        <v>0.1104752</v>
      </c>
      <c r="AA1016">
        <v>0.85639519999999902</v>
      </c>
      <c r="AB1016">
        <v>21</v>
      </c>
      <c r="AC1016">
        <v>-5.5902000000000003</v>
      </c>
      <c r="AD1016">
        <v>-1.101825801093</v>
      </c>
      <c r="AE1016">
        <v>-8.14510000000001</v>
      </c>
      <c r="AF1016">
        <v>5.0393390080025799</v>
      </c>
      <c r="AG1016">
        <v>-1.101825801093</v>
      </c>
      <c r="AH1016">
        <v>8.3555118420818602</v>
      </c>
      <c r="AI1016">
        <v>96.442576895686599</v>
      </c>
      <c r="AJ1016">
        <v>58.905168641268297</v>
      </c>
      <c r="AK1016">
        <v>9.8195486595210095</v>
      </c>
    </row>
    <row r="1017" spans="1:37" x14ac:dyDescent="0.2">
      <c r="A1017" t="str">
        <f>"20200111160119074"</f>
        <v>20200111160119074</v>
      </c>
      <c r="B1017" t="str">
        <f>"1578729679061355"</f>
        <v>1578729679061355</v>
      </c>
      <c r="C1017" t="s">
        <v>37</v>
      </c>
      <c r="D1017">
        <v>5.3959869999999999</v>
      </c>
      <c r="E1017">
        <v>0.59103409999999901</v>
      </c>
      <c r="F1017" t="s">
        <v>38</v>
      </c>
      <c r="G1017">
        <v>-194.55850000000001</v>
      </c>
      <c r="H1017" s="1">
        <v>-4.8716960000000002E-6</v>
      </c>
      <c r="I1017">
        <v>317.86669999999998</v>
      </c>
      <c r="J1017">
        <v>-187.80969999999999</v>
      </c>
      <c r="K1017">
        <v>1.1017709999999901</v>
      </c>
      <c r="L1017">
        <v>329.62599999999998</v>
      </c>
      <c r="M1017">
        <v>-6.2941209999999997E-2</v>
      </c>
      <c r="N1017">
        <v>0</v>
      </c>
      <c r="O1017">
        <v>-0.9979536</v>
      </c>
      <c r="P1017">
        <v>-0.22239220000000001</v>
      </c>
      <c r="Q1017">
        <v>-5.0751620000000002E-3</v>
      </c>
      <c r="R1017">
        <v>-0.97494429999999999</v>
      </c>
      <c r="S1017">
        <v>-1.5433349999999999</v>
      </c>
      <c r="T1017">
        <v>-0.25133109999999997</v>
      </c>
      <c r="U1017">
        <v>-2.72991899999999</v>
      </c>
      <c r="V1017">
        <v>0.1606157</v>
      </c>
      <c r="W1017">
        <v>5.1229409999999998E-3</v>
      </c>
      <c r="X1017">
        <v>0.98700370000000004</v>
      </c>
      <c r="Y1017">
        <v>0.43476189999999998</v>
      </c>
      <c r="Z1017">
        <v>8.0882990000000002E-2</v>
      </c>
      <c r="AA1017">
        <v>0.89690579999999998</v>
      </c>
      <c r="AB1017">
        <v>21</v>
      </c>
      <c r="AC1017">
        <v>-6.7488000000000099</v>
      </c>
      <c r="AD1017">
        <v>-1.10177587169599</v>
      </c>
      <c r="AE1017">
        <v>-11.7592999999999</v>
      </c>
      <c r="AF1017">
        <v>5.95589550586085</v>
      </c>
      <c r="AG1017">
        <v>-1.10177587169599</v>
      </c>
      <c r="AH1017">
        <v>12.081008434004</v>
      </c>
      <c r="AI1017">
        <v>94.676310530596496</v>
      </c>
      <c r="AJ1017">
        <v>63.756861642711002</v>
      </c>
      <c r="AK1017">
        <v>13.514339278361399</v>
      </c>
    </row>
    <row r="1018" spans="1:37" x14ac:dyDescent="0.2">
      <c r="A1018" t="str">
        <f>"20200111160119095"</f>
        <v>20200111160119095</v>
      </c>
      <c r="B1018" t="str">
        <f>"1578729679091611"</f>
        <v>1578729679091611</v>
      </c>
      <c r="C1018" t="s">
        <v>37</v>
      </c>
      <c r="D1018">
        <v>5.2321739999999997</v>
      </c>
      <c r="E1018">
        <v>0.57700580000000001</v>
      </c>
      <c r="F1018" t="s">
        <v>38</v>
      </c>
      <c r="G1018">
        <v>-193.8913</v>
      </c>
      <c r="H1018" s="1">
        <v>-4.5354919999999998E-6</v>
      </c>
      <c r="I1018">
        <v>317.29930000000002</v>
      </c>
      <c r="J1018">
        <v>-187.82730000000001</v>
      </c>
      <c r="K1018">
        <v>1.101734</v>
      </c>
      <c r="L1018">
        <v>329.42439999999999</v>
      </c>
      <c r="M1018">
        <v>-6.7051230000000003E-2</v>
      </c>
      <c r="N1018">
        <v>0</v>
      </c>
      <c r="O1018">
        <v>-0.99768579999999996</v>
      </c>
      <c r="P1018">
        <v>-0.22745270000000001</v>
      </c>
      <c r="Q1018">
        <v>-5.2759649999999996E-3</v>
      </c>
      <c r="R1018">
        <v>-0.97377519999999995</v>
      </c>
      <c r="S1018">
        <v>-1.3640139999999901</v>
      </c>
      <c r="T1018">
        <v>-0.24711469999999999</v>
      </c>
      <c r="U1018">
        <v>-2.7647089999999999</v>
      </c>
      <c r="V1018">
        <v>0.16167570000000001</v>
      </c>
      <c r="W1018">
        <v>4.9012150000000004E-3</v>
      </c>
      <c r="X1018">
        <v>0.98683180000000004</v>
      </c>
      <c r="Y1018">
        <v>0.37987549999999998</v>
      </c>
      <c r="Z1018">
        <v>8.07808E-2</v>
      </c>
      <c r="AA1018">
        <v>0.92150370000000004</v>
      </c>
      <c r="AB1018">
        <v>21</v>
      </c>
      <c r="AC1018">
        <v>-6.0639999999999903</v>
      </c>
      <c r="AD1018">
        <v>-1.101738535492</v>
      </c>
      <c r="AE1018">
        <v>-12.1250999999999</v>
      </c>
      <c r="AF1018">
        <v>5.2029344865596698</v>
      </c>
      <c r="AG1018">
        <v>-1.101738535492</v>
      </c>
      <c r="AH1018">
        <v>12.422391194392199</v>
      </c>
      <c r="AI1018">
        <v>94.676629171843501</v>
      </c>
      <c r="AJ1018">
        <v>67.274349501017795</v>
      </c>
      <c r="AK1018">
        <v>13.5129625936925</v>
      </c>
    </row>
    <row r="1019" spans="1:37" x14ac:dyDescent="0.2">
      <c r="A1019" t="str">
        <f>"20200111160119117"</f>
        <v>20200111160119117</v>
      </c>
      <c r="B1019" t="str">
        <f>"1578729679112106"</f>
        <v>1578729679112106</v>
      </c>
      <c r="C1019" t="s">
        <v>37</v>
      </c>
      <c r="D1019">
        <v>5.2343979999999997</v>
      </c>
      <c r="E1019">
        <v>0.57260639999999996</v>
      </c>
      <c r="F1019" t="s">
        <v>38</v>
      </c>
      <c r="G1019">
        <v>-193.17670000000001</v>
      </c>
      <c r="H1019" s="1">
        <v>-4.5570599999999997E-6</v>
      </c>
      <c r="I1019">
        <v>317.68560000000002</v>
      </c>
      <c r="J1019">
        <v>-187.84690000000001</v>
      </c>
      <c r="K1019">
        <v>1.101701</v>
      </c>
      <c r="L1019">
        <v>329.21</v>
      </c>
      <c r="M1019">
        <v>-7.1482840000000006E-2</v>
      </c>
      <c r="N1019">
        <v>0</v>
      </c>
      <c r="O1019">
        <v>-0.99737809999999905</v>
      </c>
      <c r="P1019">
        <v>-0.22996710000000001</v>
      </c>
      <c r="Q1019">
        <v>-4.8886939999999999E-3</v>
      </c>
      <c r="R1019">
        <v>-0.973186199999999</v>
      </c>
      <c r="S1019">
        <v>-1.2682799999999901</v>
      </c>
      <c r="T1019">
        <v>-0.26120949999999998</v>
      </c>
      <c r="U1019">
        <v>-2.7831419999999998</v>
      </c>
      <c r="V1019">
        <v>0.15984300000000001</v>
      </c>
      <c r="W1019">
        <v>5.2917390000000002E-3</v>
      </c>
      <c r="X1019">
        <v>0.98712829999999996</v>
      </c>
      <c r="Y1019">
        <v>0.34703040000000002</v>
      </c>
      <c r="Z1019">
        <v>8.5969450000000003E-2</v>
      </c>
      <c r="AA1019">
        <v>0.93390529999999905</v>
      </c>
      <c r="AB1019">
        <v>21</v>
      </c>
      <c r="AC1019">
        <v>-5.3297999999999996</v>
      </c>
      <c r="AD1019">
        <v>-1.1017055570600001</v>
      </c>
      <c r="AE1019">
        <v>-11.524399999999901</v>
      </c>
      <c r="AF1019">
        <v>4.4587462604096304</v>
      </c>
      <c r="AG1019">
        <v>-1.1017055570600001</v>
      </c>
      <c r="AH1019">
        <v>11.7871869436204</v>
      </c>
      <c r="AI1019">
        <v>94.996148506687206</v>
      </c>
      <c r="AJ1019">
        <v>69.279843260441496</v>
      </c>
      <c r="AK1019">
        <v>12.650373488282</v>
      </c>
    </row>
    <row r="1020" spans="1:37" x14ac:dyDescent="0.2">
      <c r="A1020" t="str">
        <f>"20200111160119143"</f>
        <v>20200111160119143</v>
      </c>
      <c r="B1020" t="str">
        <f>"1578729679131627"</f>
        <v>1578729679131627</v>
      </c>
      <c r="C1020" t="s">
        <v>37</v>
      </c>
      <c r="D1020">
        <v>5.2891879999999896</v>
      </c>
      <c r="E1020">
        <v>0.56915760000000004</v>
      </c>
      <c r="F1020" t="s">
        <v>38</v>
      </c>
      <c r="G1020">
        <v>-192.99289999999999</v>
      </c>
      <c r="H1020" s="1">
        <v>-4.5098719999999999E-6</v>
      </c>
      <c r="I1020">
        <v>317.64760000000001</v>
      </c>
      <c r="J1020">
        <v>-187.86940000000001</v>
      </c>
      <c r="K1020">
        <v>1.101677</v>
      </c>
      <c r="L1020">
        <v>328.97640000000001</v>
      </c>
      <c r="M1020">
        <v>-7.6362269999999996E-2</v>
      </c>
      <c r="N1020">
        <v>0</v>
      </c>
      <c r="O1020">
        <v>-0.99701640000000002</v>
      </c>
      <c r="P1020">
        <v>-0.23294039999999999</v>
      </c>
      <c r="Q1020">
        <v>-3.6429629999999999E-3</v>
      </c>
      <c r="R1020">
        <v>-0.97248440000000003</v>
      </c>
      <c r="S1020">
        <v>-1.240875</v>
      </c>
      <c r="T1020">
        <v>-0.2656598</v>
      </c>
      <c r="U1020">
        <v>-2.7880859999999998</v>
      </c>
      <c r="V1020">
        <v>0.15803729999999999</v>
      </c>
      <c r="W1020">
        <v>6.5438919999999999E-3</v>
      </c>
      <c r="X1020">
        <v>0.98741139999999905</v>
      </c>
      <c r="Y1020">
        <v>0.3340941</v>
      </c>
      <c r="Z1020">
        <v>8.7612809999999999E-2</v>
      </c>
      <c r="AA1020">
        <v>0.93845889999999998</v>
      </c>
      <c r="AB1020">
        <v>21</v>
      </c>
      <c r="AC1020">
        <v>-5.1234999999999697</v>
      </c>
      <c r="AD1020">
        <v>-1.1016815098720001</v>
      </c>
      <c r="AE1020">
        <v>-11.328799999999999</v>
      </c>
      <c r="AF1020">
        <v>4.2103349632602898</v>
      </c>
      <c r="AG1020">
        <v>-1.1016815098720001</v>
      </c>
      <c r="AH1020">
        <v>11.5959444159695</v>
      </c>
      <c r="AI1020">
        <v>95.103064720627401</v>
      </c>
      <c r="AJ1020">
        <v>70.0447059964212</v>
      </c>
      <c r="AK1020">
        <v>12.3857397659688</v>
      </c>
    </row>
    <row r="1021" spans="1:37" x14ac:dyDescent="0.2">
      <c r="A1021" t="str">
        <f>"20200111160119164"</f>
        <v>20200111160119164</v>
      </c>
      <c r="B1021" t="str">
        <f>"1578729679161882"</f>
        <v>1578729679161882</v>
      </c>
      <c r="C1021" t="s">
        <v>37</v>
      </c>
      <c r="D1021">
        <v>5.3089319999999898</v>
      </c>
      <c r="E1021">
        <v>0.56578099999999998</v>
      </c>
      <c r="F1021" t="s">
        <v>38</v>
      </c>
      <c r="G1021">
        <v>-192.8965</v>
      </c>
      <c r="H1021" s="1">
        <v>-4.4342129999999902E-6</v>
      </c>
      <c r="I1021">
        <v>317.49509999999998</v>
      </c>
      <c r="J1021">
        <v>-187.88939999999999</v>
      </c>
      <c r="K1021">
        <v>1.101669</v>
      </c>
      <c r="L1021">
        <v>328.779</v>
      </c>
      <c r="M1021">
        <v>-8.0508460000000004E-2</v>
      </c>
      <c r="N1021">
        <v>0</v>
      </c>
      <c r="O1021">
        <v>-0.99668999999999996</v>
      </c>
      <c r="P1021">
        <v>-0.23306479999999899</v>
      </c>
      <c r="Q1021">
        <v>-2.2605849999999999E-3</v>
      </c>
      <c r="R1021">
        <v>-0.97245869999999901</v>
      </c>
      <c r="S1021">
        <v>-1.2221070000000001</v>
      </c>
      <c r="T1021">
        <v>-0.26782259999999902</v>
      </c>
      <c r="U1021">
        <v>-2.7911380000000001</v>
      </c>
      <c r="V1021">
        <v>0.1540637</v>
      </c>
      <c r="W1021">
        <v>7.9548169999999994E-3</v>
      </c>
      <c r="X1021">
        <v>0.98802889999999999</v>
      </c>
      <c r="Y1021">
        <v>0.32446510000000001</v>
      </c>
      <c r="Z1021">
        <v>8.8455480000000003E-2</v>
      </c>
      <c r="AA1021">
        <v>0.94175259999999905</v>
      </c>
      <c r="AB1021">
        <v>21</v>
      </c>
      <c r="AC1021">
        <v>-5.0071000000000003</v>
      </c>
      <c r="AD1021">
        <v>-1.1016734342129999</v>
      </c>
      <c r="AE1021">
        <v>-11.283899999999999</v>
      </c>
      <c r="AF1021">
        <v>4.0500825849163098</v>
      </c>
      <c r="AG1021">
        <v>-1.1016734342129999</v>
      </c>
      <c r="AH1021">
        <v>11.558356467284201</v>
      </c>
      <c r="AI1021">
        <v>95.1400152514544</v>
      </c>
      <c r="AJ1021">
        <v>70.6893868994824</v>
      </c>
      <c r="AK1021">
        <v>12.296847462870501</v>
      </c>
    </row>
    <row r="1022" spans="1:37" x14ac:dyDescent="0.2">
      <c r="A1022" t="str">
        <f>"20200111160119184"</f>
        <v>20200111160119184</v>
      </c>
      <c r="B1022" t="str">
        <f>"1578729679171643"</f>
        <v>1578729679171643</v>
      </c>
      <c r="C1022" t="s">
        <v>37</v>
      </c>
      <c r="D1022">
        <v>5.2907000000000002</v>
      </c>
      <c r="E1022">
        <v>0.56489809999999996</v>
      </c>
      <c r="F1022" t="s">
        <v>38</v>
      </c>
      <c r="G1022">
        <v>-192.71250000000001</v>
      </c>
      <c r="H1022" s="1">
        <v>-4.3988089999999997E-6</v>
      </c>
      <c r="I1022">
        <v>317.48790000000002</v>
      </c>
      <c r="J1022">
        <v>-187.90860000000001</v>
      </c>
      <c r="K1022">
        <v>1.1016680000000001</v>
      </c>
      <c r="L1022">
        <v>328.59640000000002</v>
      </c>
      <c r="M1022">
        <v>-8.4345100000000006E-2</v>
      </c>
      <c r="N1022">
        <v>0</v>
      </c>
      <c r="O1022">
        <v>-0.99637279999999995</v>
      </c>
      <c r="P1022">
        <v>-0.2319447</v>
      </c>
      <c r="Q1022">
        <v>-2.3558629999999902E-3</v>
      </c>
      <c r="R1022">
        <v>-0.97272649999999905</v>
      </c>
      <c r="S1022">
        <v>-1.1951449999999999</v>
      </c>
      <c r="T1022">
        <v>-0.27298689999999998</v>
      </c>
      <c r="U1022">
        <v>-2.7978519999999998</v>
      </c>
      <c r="V1022">
        <v>0.14911949999999999</v>
      </c>
      <c r="W1022">
        <v>7.9004580000000008E-3</v>
      </c>
      <c r="X1022">
        <v>0.98878759999999999</v>
      </c>
      <c r="Y1022">
        <v>0.31225589999999998</v>
      </c>
      <c r="Z1022">
        <v>9.0260389999999996E-2</v>
      </c>
      <c r="AA1022">
        <v>0.9457004</v>
      </c>
      <c r="AB1022">
        <v>21</v>
      </c>
      <c r="AC1022">
        <v>-4.8038999999999898</v>
      </c>
      <c r="AD1022">
        <v>-1.101672398809</v>
      </c>
      <c r="AE1022">
        <v>-11.1084999999999</v>
      </c>
      <c r="AF1022">
        <v>3.8181359483427699</v>
      </c>
      <c r="AG1022">
        <v>-1.101672398809</v>
      </c>
      <c r="AH1022">
        <v>11.379830425745</v>
      </c>
      <c r="AI1022">
        <v>95.243969696205994</v>
      </c>
      <c r="AJ1022">
        <v>71.4524791807236</v>
      </c>
      <c r="AK1022">
        <v>12.0537290791289</v>
      </c>
    </row>
    <row r="1023" spans="1:37" x14ac:dyDescent="0.2">
      <c r="A1023" t="str">
        <f>"20200111160119228"</f>
        <v>20200111160119228</v>
      </c>
      <c r="B1023" t="str">
        <f>"1578729679221418"</f>
        <v>1578729679221418</v>
      </c>
      <c r="C1023" t="s">
        <v>37</v>
      </c>
      <c r="D1023">
        <v>5.2789729999999997</v>
      </c>
      <c r="E1023">
        <v>0.5610754</v>
      </c>
      <c r="F1023" t="s">
        <v>38</v>
      </c>
      <c r="G1023">
        <v>-192.64519999999999</v>
      </c>
      <c r="H1023" s="1">
        <v>-4.3528309999999999E-6</v>
      </c>
      <c r="I1023">
        <v>317.39929999999998</v>
      </c>
      <c r="J1023">
        <v>-187.95480000000001</v>
      </c>
      <c r="K1023">
        <v>1.1017399999999999</v>
      </c>
      <c r="L1023">
        <v>328.18099999999998</v>
      </c>
      <c r="M1023">
        <v>-9.2948420000000004E-2</v>
      </c>
      <c r="N1023">
        <v>0</v>
      </c>
      <c r="O1023">
        <v>-0.99560700000000002</v>
      </c>
      <c r="P1023">
        <v>-0.22924059999999999</v>
      </c>
      <c r="Q1023">
        <v>-2.8807209999999902E-3</v>
      </c>
      <c r="R1023">
        <v>-0.97336610000000001</v>
      </c>
      <c r="S1023">
        <v>-1.1848299999999901</v>
      </c>
      <c r="T1023">
        <v>-0.27557709999999902</v>
      </c>
      <c r="U1023">
        <v>-2.8009029999999999</v>
      </c>
      <c r="V1023">
        <v>0.13781669999999999</v>
      </c>
      <c r="W1023">
        <v>7.4856230000000003E-3</v>
      </c>
      <c r="X1023">
        <v>0.99042949999999996</v>
      </c>
      <c r="Y1023">
        <v>0.30067650000000001</v>
      </c>
      <c r="Z1023">
        <v>9.1149809999999998E-2</v>
      </c>
      <c r="AA1023">
        <v>0.94936049999999905</v>
      </c>
      <c r="AB1023">
        <v>21</v>
      </c>
      <c r="AC1023">
        <v>-4.6903999999999799</v>
      </c>
      <c r="AD1023">
        <v>-1.101744352831</v>
      </c>
      <c r="AE1023">
        <v>-10.781700000000001</v>
      </c>
      <c r="AF1023">
        <v>3.6359614823637698</v>
      </c>
      <c r="AG1023">
        <v>-1.101744352831</v>
      </c>
      <c r="AH1023">
        <v>11.073780453888</v>
      </c>
      <c r="AI1023">
        <v>95.399915815505196</v>
      </c>
      <c r="AJ1023">
        <v>71.822939739334203</v>
      </c>
      <c r="AK1023">
        <v>11.7073767369612</v>
      </c>
    </row>
    <row r="1024" spans="1:37" x14ac:dyDescent="0.2">
      <c r="A1024" t="str">
        <f>"20200111160119250"</f>
        <v>20200111160119250</v>
      </c>
      <c r="B1024" t="str">
        <f>"1578729679241914"</f>
        <v>1578729679241914</v>
      </c>
      <c r="C1024" t="s">
        <v>37</v>
      </c>
      <c r="D1024">
        <v>5.2567649999999997</v>
      </c>
      <c r="E1024">
        <v>0.5603766</v>
      </c>
      <c r="F1024" t="s">
        <v>38</v>
      </c>
      <c r="G1024">
        <v>-192.3871</v>
      </c>
      <c r="H1024" s="1">
        <v>-4.276314E-6</v>
      </c>
      <c r="I1024">
        <v>317.31920000000002</v>
      </c>
      <c r="J1024">
        <v>-187.97919999999999</v>
      </c>
      <c r="K1024">
        <v>1.101809</v>
      </c>
      <c r="L1024">
        <v>327.97370000000001</v>
      </c>
      <c r="M1024">
        <v>-9.7122600000000003E-2</v>
      </c>
      <c r="N1024">
        <v>0</v>
      </c>
      <c r="O1024">
        <v>-0.995208599999999</v>
      </c>
      <c r="P1024">
        <v>-0.22903029999999999</v>
      </c>
      <c r="Q1024">
        <v>-1.768744E-3</v>
      </c>
      <c r="R1024">
        <v>-0.97341800000000001</v>
      </c>
      <c r="S1024">
        <v>-1.1471100000000001</v>
      </c>
      <c r="T1024">
        <v>-0.2851378</v>
      </c>
      <c r="U1024">
        <v>-2.811096</v>
      </c>
      <c r="V1024">
        <v>0.13345309999999999</v>
      </c>
      <c r="W1024">
        <v>8.650497E-3</v>
      </c>
      <c r="X1024">
        <v>0.99101740000000005</v>
      </c>
      <c r="Y1024">
        <v>0.28441719999999998</v>
      </c>
      <c r="Z1024">
        <v>9.4385070000000001E-2</v>
      </c>
      <c r="AA1024">
        <v>0.95404310000000003</v>
      </c>
      <c r="AB1024">
        <v>21</v>
      </c>
      <c r="AC1024">
        <v>-4.4079000000000104</v>
      </c>
      <c r="AD1024">
        <v>-1.1018132763140001</v>
      </c>
      <c r="AE1024">
        <v>-10.654499999999899</v>
      </c>
      <c r="AF1024">
        <v>3.32186710347202</v>
      </c>
      <c r="AG1024">
        <v>-1.1018132763140001</v>
      </c>
      <c r="AH1024">
        <v>10.9324298493762</v>
      </c>
      <c r="AI1024">
        <v>95.508035679145493</v>
      </c>
      <c r="AJ1024">
        <v>73.098364110325605</v>
      </c>
      <c r="AK1024">
        <v>11.478972774622401</v>
      </c>
    </row>
    <row r="1025" spans="1:37" x14ac:dyDescent="0.2">
      <c r="A1025" t="str">
        <f>"20200111160119273"</f>
        <v>20200111160119273</v>
      </c>
      <c r="B1025" t="str">
        <f>"1578729679261435"</f>
        <v>1578729679261435</v>
      </c>
      <c r="C1025" t="s">
        <v>37</v>
      </c>
      <c r="D1025">
        <v>5.4736079999999996</v>
      </c>
      <c r="E1025">
        <v>0.55948319999999996</v>
      </c>
      <c r="F1025" t="s">
        <v>38</v>
      </c>
      <c r="G1025">
        <v>-192.39320000000001</v>
      </c>
      <c r="H1025" s="1">
        <v>-4.1785690000000003E-6</v>
      </c>
      <c r="I1025">
        <v>317.08420000000001</v>
      </c>
      <c r="J1025">
        <v>-188.0042</v>
      </c>
      <c r="K1025">
        <v>1.1019049999999999</v>
      </c>
      <c r="L1025">
        <v>327.76710000000003</v>
      </c>
      <c r="M1025">
        <v>-0.1011069</v>
      </c>
      <c r="N1025">
        <v>0</v>
      </c>
      <c r="O1025">
        <v>-0.99481140000000001</v>
      </c>
      <c r="P1025">
        <v>-0.2288239</v>
      </c>
      <c r="Q1025">
        <v>-1.235882E-3</v>
      </c>
      <c r="R1025">
        <v>-0.97346719999999898</v>
      </c>
      <c r="S1025">
        <v>-1.1403049999999999</v>
      </c>
      <c r="T1025">
        <v>-0.2846378</v>
      </c>
      <c r="U1025">
        <v>-2.8131409999999999</v>
      </c>
      <c r="V1025">
        <v>0.12927420000000001</v>
      </c>
      <c r="W1025">
        <v>9.2660699999999995E-3</v>
      </c>
      <c r="X1025">
        <v>0.99156559999999905</v>
      </c>
      <c r="Y1025">
        <v>0.2783563</v>
      </c>
      <c r="Z1025">
        <v>9.4228359999999997E-2</v>
      </c>
      <c r="AA1025">
        <v>0.95584460000000004</v>
      </c>
      <c r="AB1025">
        <v>21</v>
      </c>
      <c r="AC1025">
        <v>-4.3890000000000002</v>
      </c>
      <c r="AD1025">
        <v>-1.1019091785689901</v>
      </c>
      <c r="AE1025">
        <v>-10.6829</v>
      </c>
      <c r="AF1025">
        <v>3.25667718421801</v>
      </c>
      <c r="AG1025">
        <v>-1.1019091785689901</v>
      </c>
      <c r="AH1025">
        <v>10.972059039796999</v>
      </c>
      <c r="AI1025">
        <v>95.499326375718596</v>
      </c>
      <c r="AJ1025">
        <v>73.468295195783696</v>
      </c>
      <c r="AK1025">
        <v>11.498096785677699</v>
      </c>
    </row>
    <row r="1026" spans="1:37" x14ac:dyDescent="0.2">
      <c r="A1026" t="str">
        <f>"20200111160119295"</f>
        <v>20200111160119295</v>
      </c>
      <c r="B1026" t="str">
        <f>"1578729679291690"</f>
        <v>1578729679291690</v>
      </c>
      <c r="C1026" t="s">
        <v>37</v>
      </c>
      <c r="D1026">
        <v>5.5337389999999997</v>
      </c>
      <c r="E1026">
        <v>0.55852029999999997</v>
      </c>
      <c r="F1026" t="s">
        <v>38</v>
      </c>
      <c r="G1026">
        <v>-192.37099999999899</v>
      </c>
      <c r="H1026" s="1">
        <v>-4.088295E-6</v>
      </c>
      <c r="I1026">
        <v>316.90570000000002</v>
      </c>
      <c r="J1026">
        <v>-188.0307</v>
      </c>
      <c r="K1026">
        <v>1.1020379999999901</v>
      </c>
      <c r="L1026">
        <v>327.55270000000002</v>
      </c>
      <c r="M1026">
        <v>-0.1050441</v>
      </c>
      <c r="N1026">
        <v>0</v>
      </c>
      <c r="O1026">
        <v>-0.99440280000000003</v>
      </c>
      <c r="P1026">
        <v>-0.228525799999999</v>
      </c>
      <c r="Q1026">
        <v>-3.2217309999999998E-3</v>
      </c>
      <c r="R1026">
        <v>-0.97353259999999897</v>
      </c>
      <c r="S1026">
        <v>-1.1319269999999999</v>
      </c>
      <c r="T1026">
        <v>-0.28562509999999902</v>
      </c>
      <c r="U1026">
        <v>-2.815369</v>
      </c>
      <c r="V1026">
        <v>0.12503139999999999</v>
      </c>
      <c r="W1026">
        <v>7.39645699999999E-3</v>
      </c>
      <c r="X1026">
        <v>0.99212520000000004</v>
      </c>
      <c r="Y1026">
        <v>0.27182770000000001</v>
      </c>
      <c r="Z1026">
        <v>9.4565699999999905E-2</v>
      </c>
      <c r="AA1026">
        <v>0.9576884</v>
      </c>
      <c r="AB1026">
        <v>21</v>
      </c>
      <c r="AC1026">
        <v>-4.3402999999999796</v>
      </c>
      <c r="AD1026">
        <v>-1.1020420882949999</v>
      </c>
      <c r="AE1026">
        <v>-10.646999999999901</v>
      </c>
      <c r="AF1026">
        <v>3.1686969687132098</v>
      </c>
      <c r="AG1026">
        <v>-1.1020420882949999</v>
      </c>
      <c r="AH1026">
        <v>10.943502482765499</v>
      </c>
      <c r="AI1026">
        <v>95.525008306101995</v>
      </c>
      <c r="AJ1026">
        <v>73.851598662987598</v>
      </c>
      <c r="AK1026">
        <v>11.4461951684479</v>
      </c>
    </row>
    <row r="1027" spans="1:37" x14ac:dyDescent="0.2">
      <c r="A1027" t="str">
        <f>"20200111160119318"</f>
        <v>20200111160119318</v>
      </c>
      <c r="B1027" t="str">
        <f>"1578729679312187"</f>
        <v>1578729679312187</v>
      </c>
      <c r="C1027" t="s">
        <v>37</v>
      </c>
      <c r="D1027">
        <v>5.2915939999999999</v>
      </c>
      <c r="E1027">
        <v>0.55818069999999997</v>
      </c>
      <c r="F1027" t="s">
        <v>38</v>
      </c>
      <c r="G1027">
        <v>-192.25409999999999</v>
      </c>
      <c r="H1027" s="1">
        <v>-4.0811359999999999E-6</v>
      </c>
      <c r="I1027">
        <v>316.95639999999997</v>
      </c>
      <c r="J1027">
        <v>-188.05709999999999</v>
      </c>
      <c r="K1027">
        <v>1.1022099999999999</v>
      </c>
      <c r="L1027">
        <v>327.34449999999998</v>
      </c>
      <c r="M1027">
        <v>-0.1086328</v>
      </c>
      <c r="N1027">
        <v>0</v>
      </c>
      <c r="O1027">
        <v>-0.99401609999999996</v>
      </c>
      <c r="P1027">
        <v>-0.227435</v>
      </c>
      <c r="Q1027">
        <v>-6.9489159999999899E-3</v>
      </c>
      <c r="R1027">
        <v>-0.97376879999999999</v>
      </c>
      <c r="S1027">
        <v>-1.1227719999999899</v>
      </c>
      <c r="T1027">
        <v>-0.29297800000000002</v>
      </c>
      <c r="U1027">
        <v>-2.8170169999999999</v>
      </c>
      <c r="V1027">
        <v>0.120318699999999</v>
      </c>
      <c r="W1027">
        <v>3.8455070000000002E-3</v>
      </c>
      <c r="X1027">
        <v>0.9927279</v>
      </c>
      <c r="Y1027">
        <v>0.26538489999999998</v>
      </c>
      <c r="Z1027">
        <v>9.7012879999999996E-2</v>
      </c>
      <c r="AA1027">
        <v>0.95924940000000003</v>
      </c>
      <c r="AB1027">
        <v>21</v>
      </c>
      <c r="AC1027">
        <v>-4.1970000000000001</v>
      </c>
      <c r="AD1027">
        <v>-1.1022140811359999</v>
      </c>
      <c r="AE1027">
        <v>-10.3881</v>
      </c>
      <c r="AF1027">
        <v>3.01442231045564</v>
      </c>
      <c r="AG1027">
        <v>-1.1022140811359999</v>
      </c>
      <c r="AH1027">
        <v>10.679220972481099</v>
      </c>
      <c r="AI1027">
        <v>95.672571715668596</v>
      </c>
      <c r="AJ1027">
        <v>74.237225771519306</v>
      </c>
      <c r="AK1027">
        <v>11.1511155641715</v>
      </c>
    </row>
    <row r="1028" spans="1:37" x14ac:dyDescent="0.2">
      <c r="A1028" t="str">
        <f>"20200111160119361"</f>
        <v>20200111160119361</v>
      </c>
      <c r="B1028" t="str">
        <f>"1578729679352203"</f>
        <v>1578729679352203</v>
      </c>
      <c r="C1028" t="s">
        <v>37</v>
      </c>
      <c r="D1028">
        <v>5.1660259999999996</v>
      </c>
      <c r="E1028">
        <v>0.49656729999999999</v>
      </c>
      <c r="F1028" t="s">
        <v>38</v>
      </c>
      <c r="G1028">
        <v>-192.10339999999999</v>
      </c>
      <c r="H1028" s="1">
        <v>-4.1256309999999997E-6</v>
      </c>
      <c r="I1028">
        <v>317.13529999999997</v>
      </c>
      <c r="J1028">
        <v>-188.1097</v>
      </c>
      <c r="K1028">
        <v>1.102676</v>
      </c>
      <c r="L1028">
        <v>326.9393</v>
      </c>
      <c r="M1028">
        <v>-0.11474230000000001</v>
      </c>
      <c r="N1028">
        <v>0</v>
      </c>
      <c r="O1028">
        <v>-0.99332480000000001</v>
      </c>
      <c r="P1028">
        <v>-0.222987399999999</v>
      </c>
      <c r="Q1028">
        <v>-1.0704750000000001E-2</v>
      </c>
      <c r="R1028">
        <v>-0.97476269999999998</v>
      </c>
      <c r="S1028">
        <v>-1.116806</v>
      </c>
      <c r="T1028">
        <v>-0.30422169999999998</v>
      </c>
      <c r="U1028">
        <v>-2.8178099999999899</v>
      </c>
      <c r="V1028">
        <v>0.10966330000000001</v>
      </c>
      <c r="W1028">
        <v>6.3211099999999998E-4</v>
      </c>
      <c r="X1028">
        <v>0.99396859999999998</v>
      </c>
      <c r="Y1028">
        <v>0.257467</v>
      </c>
      <c r="Z1028">
        <v>0.10071469999999901</v>
      </c>
      <c r="AA1028">
        <v>0.96102410000000005</v>
      </c>
      <c r="AB1028">
        <v>21</v>
      </c>
      <c r="AC1028">
        <v>-3.9936999999999898</v>
      </c>
      <c r="AD1028">
        <v>-1.1026801256309999</v>
      </c>
      <c r="AE1028">
        <v>-9.8040000000000305</v>
      </c>
      <c r="AF1028">
        <v>2.8117996295836898</v>
      </c>
      <c r="AG1028">
        <v>-1.1026801256309999</v>
      </c>
      <c r="AH1028">
        <v>10.088064396863601</v>
      </c>
      <c r="AI1028">
        <v>96.010638103694603</v>
      </c>
      <c r="AJ1028">
        <v>74.425496701115705</v>
      </c>
      <c r="AK1028">
        <v>10.5304873529982</v>
      </c>
    </row>
    <row r="1029" spans="1:37" x14ac:dyDescent="0.2">
      <c r="A1029" t="str">
        <f>"20200111160119384"</f>
        <v>20200111160119384</v>
      </c>
      <c r="B1029" t="str">
        <f>"1578729679371723"</f>
        <v>1578729679371723</v>
      </c>
      <c r="C1029" t="s">
        <v>37</v>
      </c>
      <c r="D1029">
        <v>5.2974269999999999</v>
      </c>
      <c r="E1029">
        <v>0.49604290000000001</v>
      </c>
      <c r="F1029" t="s">
        <v>42</v>
      </c>
      <c r="G1029">
        <v>-188.27510000000001</v>
      </c>
      <c r="H1029">
        <v>1.02616</v>
      </c>
      <c r="I1029">
        <v>326.166</v>
      </c>
      <c r="J1029">
        <v>-188.1371</v>
      </c>
      <c r="K1029">
        <v>1.102919</v>
      </c>
      <c r="L1029">
        <v>326.73169999999999</v>
      </c>
      <c r="M1029">
        <v>-0.11740390000000001</v>
      </c>
      <c r="N1029">
        <v>0</v>
      </c>
      <c r="O1029">
        <v>-0.99301149999999905</v>
      </c>
      <c r="P1029">
        <v>-0.22105630000000001</v>
      </c>
      <c r="Q1029">
        <v>-1.068909E-2</v>
      </c>
      <c r="R1029">
        <v>-0.97520239999999903</v>
      </c>
      <c r="S1029">
        <v>-0.62622069999999996</v>
      </c>
      <c r="T1029">
        <v>-0.29007759999999999</v>
      </c>
      <c r="U1029">
        <v>-2.931305</v>
      </c>
      <c r="V1029">
        <v>0.1050301</v>
      </c>
      <c r="W1029">
        <v>9.124917E-4</v>
      </c>
      <c r="X1029">
        <v>0.99446859999999904</v>
      </c>
      <c r="Y1029">
        <v>9.16772E-2</v>
      </c>
      <c r="Z1029">
        <v>9.6182409999999996E-2</v>
      </c>
      <c r="AA1029">
        <v>0.99113280000000004</v>
      </c>
      <c r="AB1029">
        <v>21</v>
      </c>
      <c r="AC1029">
        <v>-0.13800000000000501</v>
      </c>
      <c r="AD1029">
        <v>-7.6758999999999994E-2</v>
      </c>
      <c r="AE1029">
        <v>-0.56569999999999199</v>
      </c>
      <c r="AF1029">
        <v>6.94189908872756E-2</v>
      </c>
      <c r="AG1029">
        <v>-7.6758999999999994E-2</v>
      </c>
      <c r="AH1029">
        <v>0.56811776758834798</v>
      </c>
      <c r="AI1029">
        <v>97.638562639521496</v>
      </c>
      <c r="AJ1029">
        <v>83.033494633465693</v>
      </c>
      <c r="AK1029">
        <v>0.57746752136061796</v>
      </c>
    </row>
    <row r="1030" spans="1:37" x14ac:dyDescent="0.2">
      <c r="A1030" t="str">
        <f>"20200111160119407"</f>
        <v>20200111160119407</v>
      </c>
      <c r="B1030" t="str">
        <f>"1578729679401980"</f>
        <v>1578729679401980</v>
      </c>
      <c r="C1030" t="s">
        <v>37</v>
      </c>
      <c r="D1030">
        <v>5.1810279999999898</v>
      </c>
      <c r="E1030">
        <v>0.49713489999999999</v>
      </c>
      <c r="F1030" t="s">
        <v>42</v>
      </c>
      <c r="G1030">
        <v>-188.29499999999999</v>
      </c>
      <c r="H1030">
        <v>1.0286200000000001</v>
      </c>
      <c r="I1030">
        <v>325.9796</v>
      </c>
      <c r="J1030">
        <v>-188.16489999999999</v>
      </c>
      <c r="K1030">
        <v>1.103167</v>
      </c>
      <c r="L1030">
        <v>326.5215</v>
      </c>
      <c r="M1030">
        <v>-0.11974169999999899</v>
      </c>
      <c r="N1030">
        <v>0</v>
      </c>
      <c r="O1030">
        <v>-0.99273020000000001</v>
      </c>
      <c r="P1030">
        <v>-0.21859919999999999</v>
      </c>
      <c r="Q1030">
        <v>-1.1482529999999999E-2</v>
      </c>
      <c r="R1030">
        <v>-0.97574719999999904</v>
      </c>
      <c r="S1030">
        <v>-0.61579899999999999</v>
      </c>
      <c r="T1030">
        <v>-0.2898384</v>
      </c>
      <c r="U1030">
        <v>-2.9335330000000002</v>
      </c>
      <c r="V1030">
        <v>0.1001812</v>
      </c>
      <c r="W1030">
        <v>3.5745349999999999E-4</v>
      </c>
      <c r="X1030">
        <v>0.99496909999999905</v>
      </c>
      <c r="Y1030">
        <v>8.5809179999999999E-2</v>
      </c>
      <c r="Z1030">
        <v>9.6052680000000001E-2</v>
      </c>
      <c r="AA1030">
        <v>0.99167070000000002</v>
      </c>
      <c r="AB1030">
        <v>21</v>
      </c>
      <c r="AC1030">
        <v>-0.130099999999998</v>
      </c>
      <c r="AD1030">
        <v>-7.4546999999999905E-2</v>
      </c>
      <c r="AE1030">
        <v>-0.54189999999999805</v>
      </c>
      <c r="AF1030">
        <v>6.3141161204384594E-2</v>
      </c>
      <c r="AG1030">
        <v>-7.4546999999999905E-2</v>
      </c>
      <c r="AH1030">
        <v>0.54384892312121003</v>
      </c>
      <c r="AI1030">
        <v>97.753621350467697</v>
      </c>
      <c r="AJ1030">
        <v>83.377577349200706</v>
      </c>
      <c r="AK1030">
        <v>0.55255380971208401</v>
      </c>
    </row>
    <row r="1031" spans="1:37" x14ac:dyDescent="0.2">
      <c r="A1031" t="str">
        <f>"20200111160119430"</f>
        <v>20200111160119430</v>
      </c>
      <c r="B1031" t="str">
        <f>"1578729679421498"</f>
        <v>1578729679421498</v>
      </c>
      <c r="C1031" t="s">
        <v>37</v>
      </c>
      <c r="D1031">
        <v>5.1904659999999998</v>
      </c>
      <c r="E1031">
        <v>0.49776209999999999</v>
      </c>
      <c r="F1031" t="s">
        <v>42</v>
      </c>
      <c r="G1031">
        <v>-188.31799999999899</v>
      </c>
      <c r="H1031">
        <v>1.030734</v>
      </c>
      <c r="I1031">
        <v>325.79410000000001</v>
      </c>
      <c r="J1031">
        <v>-188.1927</v>
      </c>
      <c r="K1031">
        <v>1.1034310000000001</v>
      </c>
      <c r="L1031">
        <v>326.31240000000003</v>
      </c>
      <c r="M1031">
        <v>-0.12164999999999999</v>
      </c>
      <c r="N1031">
        <v>0</v>
      </c>
      <c r="O1031">
        <v>-0.99249659999999995</v>
      </c>
      <c r="P1031">
        <v>-0.21512429999999999</v>
      </c>
      <c r="Q1031">
        <v>-1.1988759999999999E-2</v>
      </c>
      <c r="R1031">
        <v>-0.97651319999999997</v>
      </c>
      <c r="S1031">
        <v>-0.61682130000000002</v>
      </c>
      <c r="T1031">
        <v>-0.29217539999999997</v>
      </c>
      <c r="U1031">
        <v>-2.9329529999999999</v>
      </c>
      <c r="V1031">
        <v>9.4724859999999994E-2</v>
      </c>
      <c r="W1031" s="1">
        <v>8.2637420000000004E-5</v>
      </c>
      <c r="X1031">
        <v>0.99550349999999999</v>
      </c>
      <c r="Y1031">
        <v>8.4248749999999997E-2</v>
      </c>
      <c r="Z1031">
        <v>9.6807710000000005E-2</v>
      </c>
      <c r="AA1031">
        <v>0.99173099999999903</v>
      </c>
      <c r="AB1031">
        <v>21</v>
      </c>
      <c r="AC1031">
        <v>-0.12529999999998101</v>
      </c>
      <c r="AD1031">
        <v>-7.2696999999999998E-2</v>
      </c>
      <c r="AE1031">
        <v>-0.51830000000000997</v>
      </c>
      <c r="AF1031">
        <v>6.0194464634212901E-2</v>
      </c>
      <c r="AG1031">
        <v>-7.2696999999999998E-2</v>
      </c>
      <c r="AH1031">
        <v>0.52002831276190897</v>
      </c>
      <c r="AI1031">
        <v>97.905937656061596</v>
      </c>
      <c r="AJ1031">
        <v>83.397267167843395</v>
      </c>
      <c r="AK1031">
        <v>0.52852405191778895</v>
      </c>
    </row>
    <row r="1032" spans="1:37" x14ac:dyDescent="0.2">
      <c r="A1032" t="str">
        <f>"20200111160119452"</f>
        <v>20200111160119452</v>
      </c>
      <c r="B1032" t="str">
        <f>"1578729679441995"</f>
        <v>1578729679441995</v>
      </c>
      <c r="C1032" t="s">
        <v>37</v>
      </c>
      <c r="D1032">
        <v>5.2036369999999996</v>
      </c>
      <c r="E1032">
        <v>0.49818689999999999</v>
      </c>
      <c r="F1032" t="s">
        <v>42</v>
      </c>
      <c r="G1032">
        <v>-188.37569999999999</v>
      </c>
      <c r="H1032">
        <v>1.0157369999999999</v>
      </c>
      <c r="I1032">
        <v>325.43520000000001</v>
      </c>
      <c r="J1032">
        <v>-188.22069999999999</v>
      </c>
      <c r="K1032">
        <v>1.10372</v>
      </c>
      <c r="L1032">
        <v>326.10160000000002</v>
      </c>
      <c r="M1032">
        <v>-0.1231237</v>
      </c>
      <c r="N1032">
        <v>0</v>
      </c>
      <c r="O1032">
        <v>-0.99231279999999999</v>
      </c>
      <c r="P1032">
        <v>-0.2108331</v>
      </c>
      <c r="Q1032">
        <v>-1.152798E-2</v>
      </c>
      <c r="R1032">
        <v>-0.97745419999999905</v>
      </c>
      <c r="S1032">
        <v>-0.61184689999999997</v>
      </c>
      <c r="T1032">
        <v>-0.29325559999999901</v>
      </c>
      <c r="U1032">
        <v>-2.9338069999999998</v>
      </c>
      <c r="V1032">
        <v>8.8872889999999996E-2</v>
      </c>
      <c r="W1032">
        <v>7.7087110000000005E-4</v>
      </c>
      <c r="X1032">
        <v>0.99604269999999995</v>
      </c>
      <c r="Y1032">
        <v>8.1092570000000003E-2</v>
      </c>
      <c r="Z1032">
        <v>9.7137500000000002E-2</v>
      </c>
      <c r="AA1032">
        <v>0.9919618</v>
      </c>
      <c r="AB1032">
        <v>21</v>
      </c>
      <c r="AC1032">
        <v>-0.155000000000001</v>
      </c>
      <c r="AD1032">
        <v>-8.7982999999999895E-2</v>
      </c>
      <c r="AE1032">
        <v>-0.66640000000000998</v>
      </c>
      <c r="AF1032">
        <v>7.0597009444175907E-2</v>
      </c>
      <c r="AG1032">
        <v>-8.7982999999999895E-2</v>
      </c>
      <c r="AH1032">
        <v>0.66934575485037595</v>
      </c>
      <c r="AI1032">
        <v>97.447542668342393</v>
      </c>
      <c r="AJ1032">
        <v>83.979178794159694</v>
      </c>
      <c r="AK1032">
        <v>0.67878471223774695</v>
      </c>
    </row>
    <row r="1033" spans="1:37" x14ac:dyDescent="0.2">
      <c r="A1033" t="str">
        <f>"20200111160119497"</f>
        <v>20200111160119497</v>
      </c>
      <c r="B1033" t="str">
        <f>"1578729679491770"</f>
        <v>1578729679491770</v>
      </c>
      <c r="C1033" t="s">
        <v>37</v>
      </c>
      <c r="D1033">
        <v>5.0430099999999998</v>
      </c>
      <c r="E1033">
        <v>0.4998956</v>
      </c>
      <c r="F1033" t="s">
        <v>42</v>
      </c>
      <c r="G1033">
        <v>-188.3956</v>
      </c>
      <c r="H1033">
        <v>1.0188200000000001</v>
      </c>
      <c r="I1033">
        <v>325.24990000000003</v>
      </c>
      <c r="J1033">
        <v>-188.27420000000001</v>
      </c>
      <c r="K1033">
        <v>1.1041799999999999</v>
      </c>
      <c r="L1033">
        <v>325.6952</v>
      </c>
      <c r="M1033">
        <v>-0.12505730000000001</v>
      </c>
      <c r="N1033">
        <v>0</v>
      </c>
      <c r="O1033">
        <v>-0.99206779999999894</v>
      </c>
      <c r="P1033">
        <v>-0.20212060000000001</v>
      </c>
      <c r="Q1033">
        <v>-7.0554980000000003E-3</v>
      </c>
      <c r="R1033">
        <v>-0.97933519999999896</v>
      </c>
      <c r="S1033">
        <v>-0.60279850000000001</v>
      </c>
      <c r="T1033">
        <v>-0.29267749999999998</v>
      </c>
      <c r="U1033">
        <v>-2.93573</v>
      </c>
      <c r="V1033">
        <v>7.8053999999999998E-2</v>
      </c>
      <c r="W1033">
        <v>5.6012029999999999E-3</v>
      </c>
      <c r="X1033">
        <v>0.99693339999999997</v>
      </c>
      <c r="Y1033">
        <v>7.6091590000000001E-2</v>
      </c>
      <c r="Z1033">
        <v>9.6899869999999999E-2</v>
      </c>
      <c r="AA1033">
        <v>0.99238119999999996</v>
      </c>
      <c r="AB1033">
        <v>21</v>
      </c>
      <c r="AC1033">
        <v>-0.121399999999994</v>
      </c>
      <c r="AD1033">
        <v>-8.5359999999999797E-2</v>
      </c>
      <c r="AE1033">
        <v>-0.44529999999997399</v>
      </c>
      <c r="AF1033">
        <v>6.2612704661715202E-2</v>
      </c>
      <c r="AG1033">
        <v>-8.5359999999999797E-2</v>
      </c>
      <c r="AH1033">
        <v>0.441873277726129</v>
      </c>
      <c r="AI1033">
        <v>100.828011376681</v>
      </c>
      <c r="AJ1033">
        <v>81.934975469696894</v>
      </c>
      <c r="AK1033">
        <v>0.45437723749489001</v>
      </c>
    </row>
    <row r="1034" spans="1:37" x14ac:dyDescent="0.2">
      <c r="A1034" t="str">
        <f>"20200111160119518"</f>
        <v>20200111160119518</v>
      </c>
      <c r="B1034" t="str">
        <f>"1578729679512267"</f>
        <v>1578729679512267</v>
      </c>
      <c r="C1034" t="s">
        <v>37</v>
      </c>
      <c r="D1034">
        <v>5.116409</v>
      </c>
      <c r="E1034">
        <v>0.50074659999999904</v>
      </c>
      <c r="F1034" t="s">
        <v>42</v>
      </c>
      <c r="G1034">
        <v>-188.43770000000001</v>
      </c>
      <c r="H1034">
        <v>1.0265059999999999</v>
      </c>
      <c r="I1034">
        <v>324.87990000000002</v>
      </c>
      <c r="J1034">
        <v>-188.29990000000001</v>
      </c>
      <c r="K1034">
        <v>1.1043459999999901</v>
      </c>
      <c r="L1034">
        <v>325.49810000000002</v>
      </c>
      <c r="M1034">
        <v>-0.12558039999999901</v>
      </c>
      <c r="N1034">
        <v>0</v>
      </c>
      <c r="O1034">
        <v>-0.99200059999999901</v>
      </c>
      <c r="P1034">
        <v>-0.1977566</v>
      </c>
      <c r="Q1034">
        <v>-6.21447699999999E-3</v>
      </c>
      <c r="R1034">
        <v>-0.98023189999999905</v>
      </c>
      <c r="S1034">
        <v>-0.58938599999999997</v>
      </c>
      <c r="T1034">
        <v>-0.28004429999999902</v>
      </c>
      <c r="U1034">
        <v>-2.9396360000000001</v>
      </c>
      <c r="V1034">
        <v>7.3084079999999996E-2</v>
      </c>
      <c r="W1034">
        <v>6.575839E-3</v>
      </c>
      <c r="X1034">
        <v>0.99730409999999903</v>
      </c>
      <c r="Y1034">
        <v>7.1035119999999993E-2</v>
      </c>
      <c r="Z1034">
        <v>9.2684299999999997E-2</v>
      </c>
      <c r="AA1034">
        <v>0.9931584</v>
      </c>
      <c r="AB1034">
        <v>21</v>
      </c>
      <c r="AC1034">
        <v>-0.13779999999999801</v>
      </c>
      <c r="AD1034">
        <v>-7.7839999999999895E-2</v>
      </c>
      <c r="AE1034">
        <v>-0.61820000000000097</v>
      </c>
      <c r="AF1034">
        <v>5.8189843014372501E-2</v>
      </c>
      <c r="AG1034">
        <v>-7.7839999999999895E-2</v>
      </c>
      <c r="AH1034">
        <v>0.62122862972679405</v>
      </c>
      <c r="AI1034">
        <v>97.111137562585398</v>
      </c>
      <c r="AJ1034">
        <v>84.648777481628997</v>
      </c>
      <c r="AK1034">
        <v>0.62878464820816604</v>
      </c>
    </row>
    <row r="1035" spans="1:37" x14ac:dyDescent="0.2">
      <c r="A1035" t="str">
        <f>"20200111160119542"</f>
        <v>20200111160119542</v>
      </c>
      <c r="B1035" t="str">
        <f>"1578729679532005"</f>
        <v>1578729679532005</v>
      </c>
      <c r="C1035" t="s">
        <v>37</v>
      </c>
      <c r="D1035">
        <v>5.1027009999999997</v>
      </c>
      <c r="E1035">
        <v>0.50139840000000002</v>
      </c>
      <c r="F1035" t="s">
        <v>42</v>
      </c>
      <c r="G1035">
        <v>-188.459</v>
      </c>
      <c r="H1035">
        <v>1.0278639999999899</v>
      </c>
      <c r="I1035">
        <v>324.69650000000001</v>
      </c>
      <c r="J1035">
        <v>-188.3279</v>
      </c>
      <c r="K1035">
        <v>1.1044929999999999</v>
      </c>
      <c r="L1035">
        <v>325.28149999999999</v>
      </c>
      <c r="M1035">
        <v>-0.12587470000000001</v>
      </c>
      <c r="N1035">
        <v>0</v>
      </c>
      <c r="O1035">
        <v>-0.99196200000000001</v>
      </c>
      <c r="P1035">
        <v>-0.193245</v>
      </c>
      <c r="Q1035">
        <v>-6.3911489999999996E-3</v>
      </c>
      <c r="R1035">
        <v>-0.98112969999999899</v>
      </c>
      <c r="S1035">
        <v>-0.58288569999999995</v>
      </c>
      <c r="T1035">
        <v>-0.28081459999999903</v>
      </c>
      <c r="U1035">
        <v>-2.94110099999999</v>
      </c>
      <c r="V1035">
        <v>6.8196999999999994E-2</v>
      </c>
      <c r="W1035">
        <v>6.522913E-3</v>
      </c>
      <c r="X1035">
        <v>0.99765059999999905</v>
      </c>
      <c r="Y1035">
        <v>6.852801E-2</v>
      </c>
      <c r="Z1035">
        <v>9.2914679999999999E-2</v>
      </c>
      <c r="AA1035">
        <v>0.993312999999999</v>
      </c>
      <c r="AB1035">
        <v>21</v>
      </c>
      <c r="AC1035">
        <v>-0.13110000000000299</v>
      </c>
      <c r="AD1035">
        <v>-7.6629000000000003E-2</v>
      </c>
      <c r="AE1035">
        <v>-0.58499999999997898</v>
      </c>
      <c r="AF1035">
        <v>5.5507360118671398E-2</v>
      </c>
      <c r="AG1035">
        <v>-7.6629000000000003E-2</v>
      </c>
      <c r="AH1035">
        <v>0.58725530952518401</v>
      </c>
      <c r="AI1035">
        <v>97.401710339397397</v>
      </c>
      <c r="AJ1035">
        <v>84.600445855097306</v>
      </c>
      <c r="AK1035">
        <v>0.59482927738458102</v>
      </c>
    </row>
    <row r="1036" spans="1:37" x14ac:dyDescent="0.2">
      <c r="A1036" t="str">
        <f>"20200111160119563"</f>
        <v>20200111160119563</v>
      </c>
      <c r="B1036" t="str">
        <f>"1578729679551525"</f>
        <v>1578729679551525</v>
      </c>
      <c r="C1036" t="s">
        <v>37</v>
      </c>
      <c r="D1036">
        <v>5.0627719999999998</v>
      </c>
      <c r="E1036">
        <v>0.50188009999999905</v>
      </c>
      <c r="F1036" t="s">
        <v>42</v>
      </c>
      <c r="G1036">
        <v>-188.47810000000001</v>
      </c>
      <c r="H1036">
        <v>1.0303309999999899</v>
      </c>
      <c r="I1036">
        <v>324.5127</v>
      </c>
      <c r="J1036">
        <v>-188.3518</v>
      </c>
      <c r="K1036">
        <v>1.104622</v>
      </c>
      <c r="L1036">
        <v>325.09559999999999</v>
      </c>
      <c r="M1036">
        <v>-0.12588279999999999</v>
      </c>
      <c r="N1036">
        <v>0</v>
      </c>
      <c r="O1036">
        <v>-0.99195990000000001</v>
      </c>
      <c r="P1036">
        <v>-0.189174799999999</v>
      </c>
      <c r="Q1036">
        <v>-6.5256289999999998E-3</v>
      </c>
      <c r="R1036">
        <v>-0.98192190000000001</v>
      </c>
      <c r="S1036">
        <v>-0.57423400000000002</v>
      </c>
      <c r="T1036">
        <v>-0.284020099999999</v>
      </c>
      <c r="U1036">
        <v>-2.94278</v>
      </c>
      <c r="V1036">
        <v>6.4049330000000002E-2</v>
      </c>
      <c r="W1036">
        <v>6.4833349999999998E-3</v>
      </c>
      <c r="X1036">
        <v>0.99792569999999903</v>
      </c>
      <c r="Y1036">
        <v>6.5581020000000004E-2</v>
      </c>
      <c r="Z1036">
        <v>9.3949039999999998E-2</v>
      </c>
      <c r="AA1036">
        <v>0.99341469999999898</v>
      </c>
      <c r="AB1036">
        <v>21</v>
      </c>
      <c r="AC1036">
        <v>-0.12630000000001401</v>
      </c>
      <c r="AD1036">
        <v>-7.4291000000000093E-2</v>
      </c>
      <c r="AE1036">
        <v>-0.58289999999999498</v>
      </c>
      <c r="AF1036">
        <v>5.11187196578336E-2</v>
      </c>
      <c r="AG1036">
        <v>-7.4291000000000093E-2</v>
      </c>
      <c r="AH1036">
        <v>0.58508490945133296</v>
      </c>
      <c r="AI1036">
        <v>97.209219516530297</v>
      </c>
      <c r="AJ1036">
        <v>85.0067618123297</v>
      </c>
      <c r="AK1036">
        <v>0.59199377314979496</v>
      </c>
    </row>
    <row r="1037" spans="1:37" x14ac:dyDescent="0.2">
      <c r="A1037" t="str">
        <f>"20200111160119586"</f>
        <v>20200111160119586</v>
      </c>
      <c r="B1037" t="str">
        <f>"1578729679581781"</f>
        <v>1578729679581781</v>
      </c>
      <c r="C1037" t="s">
        <v>37</v>
      </c>
      <c r="D1037">
        <v>5.2565850000000003</v>
      </c>
      <c r="E1037">
        <v>0.50235039999999997</v>
      </c>
      <c r="F1037" t="s">
        <v>42</v>
      </c>
      <c r="G1037">
        <v>-188.499</v>
      </c>
      <c r="H1037">
        <v>1.0307139999999999</v>
      </c>
      <c r="I1037">
        <v>324.33049999999997</v>
      </c>
      <c r="J1037">
        <v>-188.37870000000001</v>
      </c>
      <c r="K1037">
        <v>1.104779</v>
      </c>
      <c r="L1037">
        <v>324.8836</v>
      </c>
      <c r="M1037">
        <v>-0.12563930000000001</v>
      </c>
      <c r="N1037">
        <v>0</v>
      </c>
      <c r="O1037">
        <v>-0.99198989999999998</v>
      </c>
      <c r="P1037">
        <v>-0.18526799999999999</v>
      </c>
      <c r="Q1037">
        <v>-6.0453219999999997E-3</v>
      </c>
      <c r="R1037">
        <v>-0.98266980000000004</v>
      </c>
      <c r="S1037">
        <v>-0.5661621</v>
      </c>
      <c r="T1037">
        <v>-0.28455649999999999</v>
      </c>
      <c r="U1037">
        <v>-2.9442750000000002</v>
      </c>
      <c r="V1037">
        <v>6.0321449999999999E-2</v>
      </c>
      <c r="W1037">
        <v>7.0607730000000002E-3</v>
      </c>
      <c r="X1037">
        <v>0.99815399999999999</v>
      </c>
      <c r="Y1037">
        <v>6.3102710000000006E-2</v>
      </c>
      <c r="Z1037">
        <v>9.4114359999999994E-2</v>
      </c>
      <c r="AA1037">
        <v>0.99355949999999904</v>
      </c>
      <c r="AB1037">
        <v>21</v>
      </c>
      <c r="AC1037">
        <v>-0.12030000000001401</v>
      </c>
      <c r="AD1037">
        <v>-7.40650000000002E-2</v>
      </c>
      <c r="AE1037">
        <v>-0.55310000000002801</v>
      </c>
      <c r="AF1037">
        <v>4.9010408112900097E-2</v>
      </c>
      <c r="AG1037">
        <v>-7.40650000000002E-2</v>
      </c>
      <c r="AH1037">
        <v>0.55434096203145</v>
      </c>
      <c r="AI1037">
        <v>97.580942046694503</v>
      </c>
      <c r="AJ1037">
        <v>84.947501264044007</v>
      </c>
      <c r="AK1037">
        <v>0.56141031920899498</v>
      </c>
    </row>
    <row r="1038" spans="1:37" x14ac:dyDescent="0.2">
      <c r="A1038" t="str">
        <f>"20200111160119610"</f>
        <v>20200111160119610</v>
      </c>
      <c r="B1038" t="str">
        <f>"1578729679602277"</f>
        <v>1578729679602277</v>
      </c>
      <c r="C1038" t="s">
        <v>37</v>
      </c>
      <c r="D1038">
        <v>5.2483459999999997</v>
      </c>
      <c r="E1038">
        <v>0.50265990000000005</v>
      </c>
      <c r="F1038" t="s">
        <v>42</v>
      </c>
      <c r="G1038">
        <v>-188.51840000000001</v>
      </c>
      <c r="H1038">
        <v>1.0344519999999999</v>
      </c>
      <c r="I1038">
        <v>324.14679999999998</v>
      </c>
      <c r="J1038">
        <v>-188.40440000000001</v>
      </c>
      <c r="K1038">
        <v>1.1049420000000001</v>
      </c>
      <c r="L1038">
        <v>324.67770000000002</v>
      </c>
      <c r="M1038">
        <v>-0.12516540000000001</v>
      </c>
      <c r="N1038">
        <v>0</v>
      </c>
      <c r="O1038">
        <v>-0.99204890000000001</v>
      </c>
      <c r="P1038">
        <v>-0.181675</v>
      </c>
      <c r="Q1038">
        <v>-6.1240640000000002E-3</v>
      </c>
      <c r="R1038">
        <v>-0.98333939999999997</v>
      </c>
      <c r="S1038">
        <v>-0.55860900000000002</v>
      </c>
      <c r="T1038">
        <v>-0.28123749999999997</v>
      </c>
      <c r="U1038">
        <v>-2.94589199999999</v>
      </c>
      <c r="V1038">
        <v>5.7146879999999997E-2</v>
      </c>
      <c r="W1038">
        <v>7.0664930000000001E-3</v>
      </c>
      <c r="X1038">
        <v>0.99834080000000003</v>
      </c>
      <c r="Y1038">
        <v>6.1039629999999998E-2</v>
      </c>
      <c r="Z1038">
        <v>9.3012929999999994E-2</v>
      </c>
      <c r="AA1038">
        <v>0.99379209999999996</v>
      </c>
      <c r="AB1038">
        <v>20</v>
      </c>
      <c r="AC1038">
        <v>-0.114000000000004</v>
      </c>
      <c r="AD1038">
        <v>-7.04899999999999E-2</v>
      </c>
      <c r="AE1038">
        <v>-0.53090000000003101</v>
      </c>
      <c r="AF1038">
        <v>4.5874215145969101E-2</v>
      </c>
      <c r="AG1038">
        <v>-7.04899999999999E-2</v>
      </c>
      <c r="AH1038">
        <v>0.53202853654056004</v>
      </c>
      <c r="AI1038">
        <v>97.519744649457095</v>
      </c>
      <c r="AJ1038">
        <v>85.071854619563496</v>
      </c>
      <c r="AK1038">
        <v>0.53863498531820997</v>
      </c>
    </row>
    <row r="1039" spans="1:37" x14ac:dyDescent="0.2">
      <c r="A1039" t="str">
        <f>"20200111160119631"</f>
        <v>20200111160119631</v>
      </c>
      <c r="B1039" t="str">
        <f>"1578729679621796"</f>
        <v>1578729679621796</v>
      </c>
      <c r="C1039" t="s">
        <v>37</v>
      </c>
      <c r="D1039">
        <v>5.1046449999999997</v>
      </c>
      <c r="E1039">
        <v>0.50268919999999995</v>
      </c>
      <c r="F1039" t="s">
        <v>42</v>
      </c>
      <c r="G1039">
        <v>-188.53790000000001</v>
      </c>
      <c r="H1039">
        <v>1.0374030000000001</v>
      </c>
      <c r="I1039">
        <v>323.96370000000002</v>
      </c>
      <c r="J1039">
        <v>-188.42939999999999</v>
      </c>
      <c r="K1039">
        <v>1.105089</v>
      </c>
      <c r="L1039">
        <v>324.47399999999999</v>
      </c>
      <c r="M1039">
        <v>-0.12445779999999999</v>
      </c>
      <c r="N1039">
        <v>0</v>
      </c>
      <c r="O1039">
        <v>-0.9921373</v>
      </c>
      <c r="P1039">
        <v>-0.17831949999999999</v>
      </c>
      <c r="Q1039">
        <v>-6.2114140000000002E-3</v>
      </c>
      <c r="R1039">
        <v>-0.98395330000000003</v>
      </c>
      <c r="S1039">
        <v>-0.55024719999999905</v>
      </c>
      <c r="T1039">
        <v>-0.27907959999999998</v>
      </c>
      <c r="U1039">
        <v>-2.9473569999999998</v>
      </c>
      <c r="V1039">
        <v>5.4450470000000001E-2</v>
      </c>
      <c r="W1039">
        <v>7.0507579999999999E-3</v>
      </c>
      <c r="X1039">
        <v>0.99849159999999904</v>
      </c>
      <c r="Y1039">
        <v>5.8950009999999997E-2</v>
      </c>
      <c r="Z1039">
        <v>9.2302659999999995E-2</v>
      </c>
      <c r="AA1039">
        <v>0.99398449999999905</v>
      </c>
      <c r="AB1039">
        <v>20</v>
      </c>
      <c r="AC1039">
        <v>-0.10850000000002</v>
      </c>
      <c r="AD1039">
        <v>-6.7685999999999899E-2</v>
      </c>
      <c r="AE1039">
        <v>-0.510299999999972</v>
      </c>
      <c r="AF1039">
        <v>4.3409239900435097E-2</v>
      </c>
      <c r="AG1039">
        <v>-6.7685999999999899E-2</v>
      </c>
      <c r="AH1039">
        <v>0.51123130795109395</v>
      </c>
      <c r="AI1039">
        <v>97.515249366673501</v>
      </c>
      <c r="AJ1039">
        <v>85.146591151206493</v>
      </c>
      <c r="AK1039">
        <v>0.51751638325189298</v>
      </c>
    </row>
    <row r="1040" spans="1:37" x14ac:dyDescent="0.2">
      <c r="A1040" t="str">
        <f>"20200111160119653"</f>
        <v>20200111160119653</v>
      </c>
      <c r="B1040" t="str">
        <f>"1578729679642293"</f>
        <v>1578729679642293</v>
      </c>
      <c r="C1040" t="s">
        <v>37</v>
      </c>
      <c r="D1040">
        <v>5.0593329999999996</v>
      </c>
      <c r="E1040">
        <v>0.45892040000000001</v>
      </c>
      <c r="F1040" t="s">
        <v>42</v>
      </c>
      <c r="G1040">
        <v>-188.58779999999999</v>
      </c>
      <c r="H1040">
        <v>1.023255</v>
      </c>
      <c r="I1040">
        <v>323.61009999999999</v>
      </c>
      <c r="J1040">
        <v>-188.4528</v>
      </c>
      <c r="K1040">
        <v>1.1052120000000001</v>
      </c>
      <c r="L1040">
        <v>324.2801</v>
      </c>
      <c r="M1040">
        <v>-0.123585999999999</v>
      </c>
      <c r="N1040">
        <v>0</v>
      </c>
      <c r="O1040">
        <v>-0.99224570000000001</v>
      </c>
      <c r="P1040">
        <v>-0.17523179999999999</v>
      </c>
      <c r="Q1040">
        <v>-6.0582530000000004E-3</v>
      </c>
      <c r="R1040">
        <v>-0.98450919999999897</v>
      </c>
      <c r="S1040">
        <v>-0.54028319999999996</v>
      </c>
      <c r="T1040">
        <v>-0.27968320000000002</v>
      </c>
      <c r="U1040">
        <v>-2.9492799999999999</v>
      </c>
      <c r="V1040">
        <v>5.2192750000000003E-2</v>
      </c>
      <c r="W1040">
        <v>7.2615149999999996E-3</v>
      </c>
      <c r="X1040">
        <v>0.99861060000000001</v>
      </c>
      <c r="Y1040">
        <v>5.645969E-2</v>
      </c>
      <c r="Z1040">
        <v>9.2491539999999997E-2</v>
      </c>
      <c r="AA1040">
        <v>0.99411149999999904</v>
      </c>
      <c r="AB1040">
        <v>20</v>
      </c>
      <c r="AC1040">
        <v>-0.13499999999998999</v>
      </c>
      <c r="AD1040">
        <v>-8.1957000000000002E-2</v>
      </c>
      <c r="AE1040">
        <v>-0.67000000000001503</v>
      </c>
      <c r="AF1040">
        <v>5.0429876617476201E-2</v>
      </c>
      <c r="AG1040">
        <v>-8.1957000000000002E-2</v>
      </c>
      <c r="AH1040">
        <v>0.67188706388538</v>
      </c>
      <c r="AI1040">
        <v>96.935283477839207</v>
      </c>
      <c r="AJ1040">
        <v>85.707594915811498</v>
      </c>
      <c r="AK1040">
        <v>0.67874321279934002</v>
      </c>
    </row>
    <row r="1041" spans="1:37" x14ac:dyDescent="0.2">
      <c r="A1041" t="str">
        <f>"20200111160119675"</f>
        <v>20200111160119675</v>
      </c>
      <c r="B1041" t="str">
        <f>"1578729679671573"</f>
        <v>1578729679671573</v>
      </c>
      <c r="C1041" t="s">
        <v>37</v>
      </c>
      <c r="D1041">
        <v>5.0111160000000003</v>
      </c>
      <c r="E1041">
        <v>0.44708609999999999</v>
      </c>
      <c r="F1041" t="s">
        <v>38</v>
      </c>
      <c r="G1041">
        <v>-189.29040000000001</v>
      </c>
      <c r="H1041" s="1">
        <v>-7.2603800000000001E-7</v>
      </c>
      <c r="I1041">
        <v>310.90089999999998</v>
      </c>
      <c r="J1041">
        <v>-188.4769</v>
      </c>
      <c r="K1041">
        <v>1.1052899999999899</v>
      </c>
      <c r="L1041">
        <v>324.07619999999997</v>
      </c>
      <c r="M1041">
        <v>-0.12249639999999901</v>
      </c>
      <c r="N1041">
        <v>0</v>
      </c>
      <c r="O1041">
        <v>-0.99238029999999999</v>
      </c>
      <c r="P1041">
        <v>-0.17228199999999999</v>
      </c>
      <c r="Q1041">
        <v>-5.8913739999999996E-3</v>
      </c>
      <c r="R1041">
        <v>-0.98503030000000003</v>
      </c>
      <c r="S1041">
        <v>-0.18858339999999901</v>
      </c>
      <c r="T1041">
        <v>-0.2488214</v>
      </c>
      <c r="U1041">
        <v>-3.0121150000000001</v>
      </c>
      <c r="V1041">
        <v>5.0295869999999999E-2</v>
      </c>
      <c r="W1041">
        <v>7.476562E-3</v>
      </c>
      <c r="X1041">
        <v>0.99870639999999999</v>
      </c>
      <c r="Y1041">
        <v>-6.0460310000000003E-2</v>
      </c>
      <c r="Z1041">
        <v>8.1244709999999998E-2</v>
      </c>
      <c r="AA1041">
        <v>0.99485869999999998</v>
      </c>
      <c r="AB1041">
        <v>20</v>
      </c>
      <c r="AC1041">
        <v>-0.813500000000004</v>
      </c>
      <c r="AD1041">
        <v>-1.1052907260379901</v>
      </c>
      <c r="AE1041">
        <v>-13.175299999999901</v>
      </c>
      <c r="AF1041">
        <v>-0.80108005995809395</v>
      </c>
      <c r="AG1041">
        <v>-1.1052907260379901</v>
      </c>
      <c r="AH1041">
        <v>13.0839865902339</v>
      </c>
      <c r="AI1041">
        <v>94.819705672002698</v>
      </c>
      <c r="AJ1041">
        <v>93.5036174005334</v>
      </c>
      <c r="AK1041">
        <v>13.1550029245511</v>
      </c>
    </row>
    <row r="1042" spans="1:37" x14ac:dyDescent="0.2">
      <c r="A1042" t="str">
        <f>"20200111160119700"</f>
        <v>20200111160119700</v>
      </c>
      <c r="B1042" t="str">
        <f>"1578729679692069"</f>
        <v>1578729679692069</v>
      </c>
      <c r="C1042" t="s">
        <v>37</v>
      </c>
      <c r="D1042">
        <v>4.9490540000000003</v>
      </c>
      <c r="E1042">
        <v>0.4468491</v>
      </c>
      <c r="F1042" t="s">
        <v>38</v>
      </c>
      <c r="G1042">
        <v>-188.917</v>
      </c>
      <c r="H1042" s="1">
        <v>-4.1803149999999998E-6</v>
      </c>
      <c r="I1042">
        <v>308.92939999999999</v>
      </c>
      <c r="J1042">
        <v>-188.50290000000001</v>
      </c>
      <c r="K1042">
        <v>1.1053379999999999</v>
      </c>
      <c r="L1042">
        <v>323.85289999999998</v>
      </c>
      <c r="M1042">
        <v>-0.12113119999999999</v>
      </c>
      <c r="N1042">
        <v>0</v>
      </c>
      <c r="O1042">
        <v>-0.99254719999999996</v>
      </c>
      <c r="P1042">
        <v>-0.16870250000000001</v>
      </c>
      <c r="Q1042">
        <v>-5.9223519999999997E-3</v>
      </c>
      <c r="R1042">
        <v>-0.98564959999999902</v>
      </c>
      <c r="S1042">
        <v>-8.7997439999999996E-2</v>
      </c>
      <c r="T1042">
        <v>-0.22102329999999901</v>
      </c>
      <c r="U1042">
        <v>-3.02887</v>
      </c>
      <c r="V1042">
        <v>4.8040510000000002E-2</v>
      </c>
      <c r="W1042">
        <v>7.4865769999999899E-3</v>
      </c>
      <c r="X1042">
        <v>0.99881730000000002</v>
      </c>
      <c r="Y1042">
        <v>-9.2338899999999904E-2</v>
      </c>
      <c r="Z1042">
        <v>7.1805519999999998E-2</v>
      </c>
      <c r="AA1042">
        <v>0.993135199999999</v>
      </c>
      <c r="AB1042">
        <v>20</v>
      </c>
      <c r="AC1042">
        <v>-0.41409999999998998</v>
      </c>
      <c r="AD1042">
        <v>-1.1053421803149901</v>
      </c>
      <c r="AE1042">
        <v>-14.923499999999899</v>
      </c>
      <c r="AF1042">
        <v>-1.3891962896766299</v>
      </c>
      <c r="AG1042">
        <v>-1.1053421803149901</v>
      </c>
      <c r="AH1042">
        <v>14.782721286616701</v>
      </c>
      <c r="AI1042">
        <v>94.257507031356099</v>
      </c>
      <c r="AJ1042">
        <v>95.368565807119097</v>
      </c>
      <c r="AK1042">
        <v>14.8889387232477</v>
      </c>
    </row>
    <row r="1043" spans="1:37" x14ac:dyDescent="0.2">
      <c r="A1043" t="str">
        <f>"20200111160119831"</f>
        <v>20200111160119831</v>
      </c>
      <c r="B1043" t="str">
        <f>"1578729679821877"</f>
        <v>1578729679821877</v>
      </c>
      <c r="C1043" t="s">
        <v>37</v>
      </c>
      <c r="D1043">
        <v>4.6649349999999998</v>
      </c>
      <c r="E1043">
        <v>0.4477544</v>
      </c>
      <c r="F1043" t="s">
        <v>38</v>
      </c>
      <c r="G1043">
        <v>-188.8784</v>
      </c>
      <c r="H1043" s="1">
        <v>-4.0704479999999997E-6</v>
      </c>
      <c r="I1043">
        <v>308.65730000000002</v>
      </c>
      <c r="J1043">
        <v>-188.63120000000001</v>
      </c>
      <c r="K1043">
        <v>1.10554</v>
      </c>
      <c r="L1043">
        <v>322.67759999999998</v>
      </c>
      <c r="M1043">
        <v>-0.1118347</v>
      </c>
      <c r="N1043">
        <v>0</v>
      </c>
      <c r="O1043">
        <v>-0.99363590000000002</v>
      </c>
      <c r="P1043">
        <v>-0.145321799999999</v>
      </c>
      <c r="Q1043">
        <v>-7.5808129999999996E-3</v>
      </c>
      <c r="R1043">
        <v>-0.9893556</v>
      </c>
      <c r="S1043">
        <v>-7.4874880000000005E-2</v>
      </c>
      <c r="T1043">
        <v>-0.22037179999999901</v>
      </c>
      <c r="U1043">
        <v>-3.029541</v>
      </c>
      <c r="V1043">
        <v>3.3739560000000002E-2</v>
      </c>
      <c r="W1043">
        <v>5.9521490000000003E-3</v>
      </c>
      <c r="X1043">
        <v>0.999412999999999</v>
      </c>
      <c r="Y1043">
        <v>-8.7321720000000005E-2</v>
      </c>
      <c r="Z1043">
        <v>7.1718089999999998E-2</v>
      </c>
      <c r="AA1043">
        <v>0.99359519999999901</v>
      </c>
      <c r="AB1043">
        <v>20</v>
      </c>
      <c r="AC1043">
        <v>-0.24719999999999201</v>
      </c>
      <c r="AD1043">
        <v>-1.105544070448</v>
      </c>
      <c r="AE1043">
        <v>-14.020299999999899</v>
      </c>
      <c r="AF1043">
        <v>-1.31427933664846</v>
      </c>
      <c r="AG1043">
        <v>-1.105544070448</v>
      </c>
      <c r="AH1043">
        <v>13.873742775170401</v>
      </c>
      <c r="AI1043">
        <v>94.535826879359306</v>
      </c>
      <c r="AJ1043">
        <v>95.411561181609699</v>
      </c>
      <c r="AK1043">
        <v>13.9796386383209</v>
      </c>
    </row>
    <row r="1044" spans="1:37" x14ac:dyDescent="0.2">
      <c r="A1044" t="str">
        <f>"20200111160119856"</f>
        <v>20200111160119856</v>
      </c>
      <c r="B1044" t="str">
        <f>"1578729679852133"</f>
        <v>1578729679852133</v>
      </c>
      <c r="C1044" t="s">
        <v>37</v>
      </c>
      <c r="D1044">
        <v>4.5901819999999898</v>
      </c>
      <c r="E1044">
        <v>0.450152</v>
      </c>
      <c r="F1044" t="s">
        <v>38</v>
      </c>
      <c r="G1044">
        <v>-188.67429999999999</v>
      </c>
      <c r="H1044" s="1">
        <v>-3.8913039999999996E-6</v>
      </c>
      <c r="I1044">
        <v>308.15530000000001</v>
      </c>
      <c r="J1044">
        <v>-188.6525</v>
      </c>
      <c r="K1044">
        <v>1.105585</v>
      </c>
      <c r="L1044">
        <v>322.46600000000001</v>
      </c>
      <c r="M1044">
        <v>-0.109770399999999</v>
      </c>
      <c r="N1044">
        <v>0</v>
      </c>
      <c r="O1044">
        <v>-0.99386609999999997</v>
      </c>
      <c r="P1044">
        <v>-0.140065299999999</v>
      </c>
      <c r="Q1044">
        <v>-9.2044859999999996E-3</v>
      </c>
      <c r="R1044">
        <v>-0.99009969999999903</v>
      </c>
      <c r="S1044">
        <v>-8.9874269999999992E-3</v>
      </c>
      <c r="T1044">
        <v>-0.23060539999999999</v>
      </c>
      <c r="U1044">
        <v>-3.0292050000000001</v>
      </c>
      <c r="V1044">
        <v>3.0512850000000001E-2</v>
      </c>
      <c r="W1044">
        <v>4.3395059999999999E-3</v>
      </c>
      <c r="X1044">
        <v>0.999525</v>
      </c>
      <c r="Y1044">
        <v>-0.1068384</v>
      </c>
      <c r="Z1044">
        <v>7.5002830000000006E-2</v>
      </c>
      <c r="AA1044">
        <v>0.99144349999999903</v>
      </c>
      <c r="AB1044">
        <v>20</v>
      </c>
      <c r="AC1044">
        <v>-2.17999999999847E-2</v>
      </c>
      <c r="AD1044">
        <v>-1.105588891304</v>
      </c>
      <c r="AE1044">
        <v>-14.310699999999899</v>
      </c>
      <c r="AF1044">
        <v>-1.5401724172695099</v>
      </c>
      <c r="AG1044">
        <v>-1.105588891304</v>
      </c>
      <c r="AH1044">
        <v>14.1421900185811</v>
      </c>
      <c r="AI1044">
        <v>94.443929936602203</v>
      </c>
      <c r="AJ1044">
        <v>96.215371242362195</v>
      </c>
      <c r="AK1044">
        <v>14.2687068928178</v>
      </c>
    </row>
    <row r="1045" spans="1:37" x14ac:dyDescent="0.2">
      <c r="A1045" t="str">
        <f>"20200111160119877"</f>
        <v>20200111160119877</v>
      </c>
      <c r="B1045" t="str">
        <f>"1578729679871652"</f>
        <v>1578729679871652</v>
      </c>
      <c r="C1045" t="s">
        <v>37</v>
      </c>
      <c r="D1045">
        <v>4.5831119999999999</v>
      </c>
      <c r="E1045">
        <v>0.45106990000000002</v>
      </c>
      <c r="F1045" t="s">
        <v>38</v>
      </c>
      <c r="G1045">
        <v>-188.70500000000001</v>
      </c>
      <c r="H1045" s="1">
        <v>-4.0437869999999903E-6</v>
      </c>
      <c r="I1045">
        <v>308.52350000000001</v>
      </c>
      <c r="J1045">
        <v>-188.67179999999999</v>
      </c>
      <c r="K1045">
        <v>1.1056250000000001</v>
      </c>
      <c r="L1045">
        <v>322.26979999999998</v>
      </c>
      <c r="M1045">
        <v>-0.10774880000000001</v>
      </c>
      <c r="N1045">
        <v>0</v>
      </c>
      <c r="O1045">
        <v>-0.994087099999999</v>
      </c>
      <c r="P1045">
        <v>-0.13331309999999999</v>
      </c>
      <c r="Q1045">
        <v>-1.03232999999999E-2</v>
      </c>
      <c r="R1045">
        <v>-0.99102060000000003</v>
      </c>
      <c r="S1045">
        <v>-1.138306E-2</v>
      </c>
      <c r="T1045">
        <v>-0.23996229999999999</v>
      </c>
      <c r="U1045">
        <v>-3.026154</v>
      </c>
      <c r="V1045">
        <v>2.5736390000000001E-2</v>
      </c>
      <c r="W1045">
        <v>3.2237149999999998E-3</v>
      </c>
      <c r="X1045">
        <v>0.99966359999999999</v>
      </c>
      <c r="Y1045">
        <v>-0.1040288</v>
      </c>
      <c r="Z1045">
        <v>7.8143630000000006E-2</v>
      </c>
      <c r="AA1045">
        <v>0.99149969999999998</v>
      </c>
      <c r="AB1045">
        <v>20</v>
      </c>
      <c r="AC1045">
        <v>-3.3200000000022101E-2</v>
      </c>
      <c r="AD1045">
        <v>-1.105629043787</v>
      </c>
      <c r="AE1045">
        <v>-13.7462999999999</v>
      </c>
      <c r="AF1045">
        <v>-1.4389659045063701</v>
      </c>
      <c r="AG1045">
        <v>-1.105629043787</v>
      </c>
      <c r="AH1045">
        <v>13.581970870798401</v>
      </c>
      <c r="AI1045">
        <v>94.628065165261106</v>
      </c>
      <c r="AJ1045">
        <v>96.047741879117694</v>
      </c>
      <c r="AK1045">
        <v>13.7026629233888</v>
      </c>
    </row>
    <row r="1046" spans="1:37" x14ac:dyDescent="0.2">
      <c r="A1046" t="str">
        <f>"20200111160119898"</f>
        <v>20200111160119898</v>
      </c>
      <c r="B1046" t="str">
        <f>"1578729679892149"</f>
        <v>1578729679892149</v>
      </c>
      <c r="C1046" t="s">
        <v>37</v>
      </c>
      <c r="D1046">
        <v>5.3056939999999999</v>
      </c>
      <c r="E1046">
        <v>0.45205719999999999</v>
      </c>
      <c r="F1046" t="s">
        <v>38</v>
      </c>
      <c r="G1046">
        <v>-188.66099999999901</v>
      </c>
      <c r="H1046" s="1">
        <v>-4.0181240000000004E-6</v>
      </c>
      <c r="I1046">
        <v>308.44549999999998</v>
      </c>
      <c r="J1046">
        <v>-188.6902</v>
      </c>
      <c r="K1046">
        <v>1.1056680000000001</v>
      </c>
      <c r="L1046">
        <v>322.07729999999998</v>
      </c>
      <c r="M1046">
        <v>-0.105651299999999</v>
      </c>
      <c r="N1046">
        <v>0</v>
      </c>
      <c r="O1046">
        <v>-0.99431190000000003</v>
      </c>
      <c r="P1046">
        <v>-0.1245952</v>
      </c>
      <c r="Q1046">
        <v>-1.1169419999999999E-2</v>
      </c>
      <c r="R1046">
        <v>-0.99214480000000005</v>
      </c>
      <c r="S1046">
        <v>2.3651119999999999E-3</v>
      </c>
      <c r="T1046">
        <v>-0.24192459999999999</v>
      </c>
      <c r="U1046">
        <v>-3.0249329999999999</v>
      </c>
      <c r="V1046">
        <v>1.905948E-2</v>
      </c>
      <c r="W1046">
        <v>2.371134E-3</v>
      </c>
      <c r="X1046">
        <v>0.99981549999999997</v>
      </c>
      <c r="Y1046">
        <v>-0.106434999999999</v>
      </c>
      <c r="Z1046">
        <v>7.8827170000000002E-2</v>
      </c>
      <c r="AA1046">
        <v>0.99119009999999996</v>
      </c>
      <c r="AB1046">
        <v>20</v>
      </c>
      <c r="AC1046">
        <v>2.9200000000031399E-2</v>
      </c>
      <c r="AD1046">
        <v>-1.1056720181240001</v>
      </c>
      <c r="AE1046">
        <v>-13.631799999999901</v>
      </c>
      <c r="AF1046">
        <v>-1.4597812061061299</v>
      </c>
      <c r="AG1046">
        <v>-1.1056720181240001</v>
      </c>
      <c r="AH1046">
        <v>13.463831527260099</v>
      </c>
      <c r="AI1046">
        <v>94.667457183894101</v>
      </c>
      <c r="AJ1046">
        <v>96.187975237937295</v>
      </c>
      <c r="AK1046">
        <v>13.5877971421348</v>
      </c>
    </row>
    <row r="1047" spans="1:37" x14ac:dyDescent="0.2">
      <c r="A1047" t="str">
        <f>"20200111160119920"</f>
        <v>20200111160119920</v>
      </c>
      <c r="B1047" t="str">
        <f>"1578729679911668"</f>
        <v>1578729679911668</v>
      </c>
      <c r="C1047" t="s">
        <v>37</v>
      </c>
      <c r="D1047">
        <v>4.5636109999999999</v>
      </c>
      <c r="E1047">
        <v>0.45282410000000001</v>
      </c>
      <c r="F1047" t="s">
        <v>38</v>
      </c>
      <c r="G1047">
        <v>-188.59389999999999</v>
      </c>
      <c r="H1047" s="1">
        <v>-3.8965699999999997E-6</v>
      </c>
      <c r="I1047">
        <v>308.13440000000003</v>
      </c>
      <c r="J1047">
        <v>-188.708</v>
      </c>
      <c r="K1047">
        <v>1.10571</v>
      </c>
      <c r="L1047">
        <v>321.88589999999999</v>
      </c>
      <c r="M1047">
        <v>-0.1034479</v>
      </c>
      <c r="N1047">
        <v>0</v>
      </c>
      <c r="O1047">
        <v>-0.99454359999999997</v>
      </c>
      <c r="P1047">
        <v>-0.11489629999999899</v>
      </c>
      <c r="Q1047">
        <v>-1.25422E-2</v>
      </c>
      <c r="R1047">
        <v>-0.99329859999999903</v>
      </c>
      <c r="S1047">
        <v>2.087402E-2</v>
      </c>
      <c r="T1047">
        <v>-0.23977559999999901</v>
      </c>
      <c r="U1047">
        <v>-3.0236509999999899</v>
      </c>
      <c r="V1047">
        <v>1.151256E-2</v>
      </c>
      <c r="W1047">
        <v>9.8687809999999901E-4</v>
      </c>
      <c r="X1047">
        <v>0.99993319999999997</v>
      </c>
      <c r="Y1047">
        <v>-0.11029899999999999</v>
      </c>
      <c r="Z1047">
        <v>7.8173999999999993E-2</v>
      </c>
      <c r="AA1047">
        <v>0.99081929999999996</v>
      </c>
      <c r="AB1047">
        <v>20</v>
      </c>
      <c r="AC1047">
        <v>0.114100000000007</v>
      </c>
      <c r="AD1047">
        <v>-1.10571389657</v>
      </c>
      <c r="AE1047">
        <v>-13.751499999999901</v>
      </c>
      <c r="AF1047">
        <v>-1.5263133625191201</v>
      </c>
      <c r="AG1047">
        <v>-1.10571389657</v>
      </c>
      <c r="AH1047">
        <v>13.5781236209317</v>
      </c>
      <c r="AI1047">
        <v>94.626511377721201</v>
      </c>
      <c r="AJ1047">
        <v>96.413679865156197</v>
      </c>
      <c r="AK1047">
        <v>13.708306852670599</v>
      </c>
    </row>
    <row r="1048" spans="1:37" x14ac:dyDescent="0.2">
      <c r="A1048" t="str">
        <f>"20200111160119945"</f>
        <v>20200111160119945</v>
      </c>
      <c r="B1048" t="str">
        <f>"1578729679941701"</f>
        <v>1578729679941701</v>
      </c>
      <c r="C1048" t="s">
        <v>37</v>
      </c>
      <c r="D1048">
        <v>4.5375259999999997</v>
      </c>
      <c r="E1048">
        <v>0.45408219999999999</v>
      </c>
      <c r="F1048" t="s">
        <v>38</v>
      </c>
      <c r="G1048">
        <v>-188.5026</v>
      </c>
      <c r="H1048" s="1">
        <v>-3.8730050000000004E-6</v>
      </c>
      <c r="I1048">
        <v>308.04169999999999</v>
      </c>
      <c r="J1048">
        <v>-188.72730000000001</v>
      </c>
      <c r="K1048">
        <v>1.1057649999999899</v>
      </c>
      <c r="L1048">
        <v>321.67149999999998</v>
      </c>
      <c r="M1048">
        <v>-0.10085039999999899</v>
      </c>
      <c r="N1048">
        <v>0</v>
      </c>
      <c r="O1048">
        <v>-0.99480999999999997</v>
      </c>
      <c r="P1048">
        <v>-0.1045856</v>
      </c>
      <c r="Q1048">
        <v>-1.486912E-2</v>
      </c>
      <c r="R1048">
        <v>-0.99440490000000004</v>
      </c>
      <c r="S1048">
        <v>4.4845580000000003E-2</v>
      </c>
      <c r="T1048">
        <v>-0.24139459999999999</v>
      </c>
      <c r="U1048">
        <v>-3.0224000000000002</v>
      </c>
      <c r="V1048">
        <v>3.7615829999999898E-3</v>
      </c>
      <c r="W1048">
        <v>-1.353899E-3</v>
      </c>
      <c r="X1048">
        <v>0.99999199999999999</v>
      </c>
      <c r="Y1048">
        <v>-0.1155616</v>
      </c>
      <c r="Z1048">
        <v>7.8735449999999998E-2</v>
      </c>
      <c r="AA1048">
        <v>0.99017479999999902</v>
      </c>
      <c r="AB1048">
        <v>20</v>
      </c>
      <c r="AC1048">
        <v>0.224700000000012</v>
      </c>
      <c r="AD1048">
        <v>-1.1057688730049999</v>
      </c>
      <c r="AE1048">
        <v>-13.6297999999999</v>
      </c>
      <c r="AF1048">
        <v>-1.5878023645774999</v>
      </c>
      <c r="AG1048">
        <v>-1.1057688730049999</v>
      </c>
      <c r="AH1048">
        <v>13.449137483734001</v>
      </c>
      <c r="AI1048">
        <v>94.667931452073105</v>
      </c>
      <c r="AJ1048">
        <v>96.733160681460205</v>
      </c>
      <c r="AK1048">
        <v>13.587609804739101</v>
      </c>
    </row>
    <row r="1049" spans="1:37" x14ac:dyDescent="0.2">
      <c r="A1049" t="str">
        <f>"20200111160119968"</f>
        <v>20200111160119968</v>
      </c>
      <c r="B1049" t="str">
        <f>"1578729679962198"</f>
        <v>1578729679962198</v>
      </c>
      <c r="C1049" t="s">
        <v>37</v>
      </c>
      <c r="D1049">
        <v>4.5952330000000003</v>
      </c>
      <c r="E1049">
        <v>0.4550129</v>
      </c>
      <c r="F1049" t="s">
        <v>38</v>
      </c>
      <c r="G1049">
        <v>-188.42959999999999</v>
      </c>
      <c r="H1049" s="1">
        <v>-3.9491539999999901E-6</v>
      </c>
      <c r="I1049">
        <v>308.18900000000002</v>
      </c>
      <c r="J1049">
        <v>-188.74469999999999</v>
      </c>
      <c r="K1049">
        <v>1.1058129999999999</v>
      </c>
      <c r="L1049">
        <v>321.47120000000001</v>
      </c>
      <c r="M1049">
        <v>-9.8307220000000001E-2</v>
      </c>
      <c r="N1049">
        <v>0</v>
      </c>
      <c r="O1049">
        <v>-0.99506450000000002</v>
      </c>
      <c r="P1049">
        <v>-9.5322809999999994E-2</v>
      </c>
      <c r="Q1049">
        <v>-1.8091489999999998E-2</v>
      </c>
      <c r="R1049">
        <v>-0.99528209999999995</v>
      </c>
      <c r="S1049">
        <v>6.6680909999999996E-2</v>
      </c>
      <c r="T1049">
        <v>-0.2477027</v>
      </c>
      <c r="U1049">
        <v>-3.020203</v>
      </c>
      <c r="V1049">
        <v>-2.9752529999999902E-3</v>
      </c>
      <c r="W1049">
        <v>-4.5915209999999899E-3</v>
      </c>
      <c r="X1049">
        <v>0.99998500000000001</v>
      </c>
      <c r="Y1049">
        <v>-0.1201844</v>
      </c>
      <c r="Z1049">
        <v>8.0841070000000001E-2</v>
      </c>
      <c r="AA1049">
        <v>0.98945459999999996</v>
      </c>
      <c r="AB1049">
        <v>20</v>
      </c>
      <c r="AC1049">
        <v>0.31510000000000099</v>
      </c>
      <c r="AD1049">
        <v>-1.105816949154</v>
      </c>
      <c r="AE1049">
        <v>-13.2821999999999</v>
      </c>
      <c r="AF1049">
        <v>-1.6082870729832699</v>
      </c>
      <c r="AG1049">
        <v>-1.105816949154</v>
      </c>
      <c r="AH1049">
        <v>13.0961466232772</v>
      </c>
      <c r="AI1049">
        <v>94.790691332684503</v>
      </c>
      <c r="AJ1049">
        <v>97.001217409939798</v>
      </c>
      <c r="AK1049">
        <v>13.2407883002688</v>
      </c>
    </row>
    <row r="1050" spans="1:37" x14ac:dyDescent="0.2">
      <c r="A1050" t="str">
        <f>"20200111160119987"</f>
        <v>20200111160119987</v>
      </c>
      <c r="B1050" t="str">
        <f>"1578729679981718"</f>
        <v>1578729679981718</v>
      </c>
      <c r="C1050" t="s">
        <v>37</v>
      </c>
      <c r="D1050">
        <v>4.554468</v>
      </c>
      <c r="E1050">
        <v>0.45549840000000003</v>
      </c>
      <c r="F1050" t="s">
        <v>38</v>
      </c>
      <c r="G1050">
        <v>-188.36660000000001</v>
      </c>
      <c r="H1050" s="1">
        <v>-4.0662040000000002E-6</v>
      </c>
      <c r="I1050">
        <v>308.43579999999997</v>
      </c>
      <c r="J1050">
        <v>-188.7594</v>
      </c>
      <c r="K1050">
        <v>1.1058539999999999</v>
      </c>
      <c r="L1050">
        <v>321.29469999999998</v>
      </c>
      <c r="M1050">
        <v>-9.5972840000000004E-2</v>
      </c>
      <c r="N1050">
        <v>0</v>
      </c>
      <c r="O1050">
        <v>-0.99529230000000002</v>
      </c>
      <c r="P1050">
        <v>-8.7448650000000003E-2</v>
      </c>
      <c r="Q1050">
        <v>-2.0371009999999998E-2</v>
      </c>
      <c r="R1050">
        <v>-0.99596119999999899</v>
      </c>
      <c r="S1050">
        <v>8.7524409999999997E-2</v>
      </c>
      <c r="T1050">
        <v>-0.25601790000000002</v>
      </c>
      <c r="U1050">
        <v>-3.017944</v>
      </c>
      <c r="V1050">
        <v>-8.5239389999999995E-3</v>
      </c>
      <c r="W1050">
        <v>-6.8860550000000003E-3</v>
      </c>
      <c r="X1050">
        <v>0.99993999999999905</v>
      </c>
      <c r="Y1050">
        <v>-0.12469329999999899</v>
      </c>
      <c r="Z1050">
        <v>8.3595820000000001E-2</v>
      </c>
      <c r="AA1050">
        <v>0.98866739999999997</v>
      </c>
      <c r="AB1050">
        <v>20</v>
      </c>
      <c r="AC1050">
        <v>0.39279999999999399</v>
      </c>
      <c r="AD1050">
        <v>-1.1058580662040001</v>
      </c>
      <c r="AE1050">
        <v>-12.8589</v>
      </c>
      <c r="AF1050">
        <v>-1.61328367048085</v>
      </c>
      <c r="AG1050">
        <v>-1.1058580662040001</v>
      </c>
      <c r="AH1050">
        <v>12.6682246836054</v>
      </c>
      <c r="AI1050">
        <v>94.949152759779395</v>
      </c>
      <c r="AJ1050">
        <v>97.2574857829742</v>
      </c>
      <c r="AK1050">
        <v>12.818327617062099</v>
      </c>
    </row>
    <row r="1051" spans="1:37" x14ac:dyDescent="0.2">
      <c r="A1051" t="str">
        <f>"20200111160120011"</f>
        <v>20200111160120011</v>
      </c>
      <c r="B1051" t="str">
        <f>"1578729680002214"</f>
        <v>1578729680002214</v>
      </c>
      <c r="C1051" t="s">
        <v>37</v>
      </c>
      <c r="D1051">
        <v>4.544448</v>
      </c>
      <c r="E1051">
        <v>0.47218939999999998</v>
      </c>
      <c r="F1051" t="s">
        <v>38</v>
      </c>
      <c r="G1051">
        <v>-188.30619999999999</v>
      </c>
      <c r="H1051" s="1">
        <v>-4.1354210000000002E-6</v>
      </c>
      <c r="I1051">
        <v>308.57220000000001</v>
      </c>
      <c r="J1051">
        <v>-188.77599999999899</v>
      </c>
      <c r="K1051">
        <v>1.1058920000000001</v>
      </c>
      <c r="L1051">
        <v>321.08870000000002</v>
      </c>
      <c r="M1051">
        <v>-9.3151319999999996E-2</v>
      </c>
      <c r="N1051">
        <v>0</v>
      </c>
      <c r="O1051">
        <v>-0.99556029999999995</v>
      </c>
      <c r="P1051">
        <v>-8.0624479999999998E-2</v>
      </c>
      <c r="Q1051">
        <v>-2.2475439999999999E-2</v>
      </c>
      <c r="R1051">
        <v>-0.99649140000000003</v>
      </c>
      <c r="S1051">
        <v>0.10743709999999999</v>
      </c>
      <c r="T1051">
        <v>-0.26217279999999998</v>
      </c>
      <c r="U1051">
        <v>-3.0162049999999998</v>
      </c>
      <c r="V1051">
        <v>-1.2525029999999999E-2</v>
      </c>
      <c r="W1051">
        <v>-9.0010939999999994E-3</v>
      </c>
      <c r="X1051">
        <v>0.99988099999999902</v>
      </c>
      <c r="Y1051">
        <v>-0.12841059999999899</v>
      </c>
      <c r="Z1051">
        <v>8.564476E-2</v>
      </c>
      <c r="AA1051">
        <v>0.98801609999999995</v>
      </c>
      <c r="AB1051">
        <v>20</v>
      </c>
      <c r="AC1051">
        <v>0.469799999999992</v>
      </c>
      <c r="AD1051">
        <v>-1.105896135421</v>
      </c>
      <c r="AE1051">
        <v>-12.516500000000001</v>
      </c>
      <c r="AF1051">
        <v>-1.6211539099604599</v>
      </c>
      <c r="AG1051">
        <v>-1.105896135421</v>
      </c>
      <c r="AH1051">
        <v>12.322241665642199</v>
      </c>
      <c r="AI1051">
        <v>95.084854712284496</v>
      </c>
      <c r="AJ1051">
        <v>97.494972404601597</v>
      </c>
      <c r="AK1051">
        <v>12.4775312433433</v>
      </c>
    </row>
    <row r="1052" spans="1:37" x14ac:dyDescent="0.2">
      <c r="A1052" t="str">
        <f>"20200111160120031"</f>
        <v>20200111160120031</v>
      </c>
      <c r="B1052" t="str">
        <f>"1578729680021733"</f>
        <v>1578729680021733</v>
      </c>
      <c r="C1052" t="s">
        <v>37</v>
      </c>
      <c r="D1052">
        <v>4.8272589999999997</v>
      </c>
      <c r="E1052">
        <v>0.4624549</v>
      </c>
      <c r="F1052" t="s">
        <v>38</v>
      </c>
      <c r="G1052">
        <v>-188.8006</v>
      </c>
      <c r="H1052" s="1">
        <v>-3.8536480000000003E-6</v>
      </c>
      <c r="I1052">
        <v>308.1198</v>
      </c>
      <c r="J1052">
        <v>-188.78989999999999</v>
      </c>
      <c r="K1052">
        <v>1.105918</v>
      </c>
      <c r="L1052">
        <v>320.90820000000002</v>
      </c>
      <c r="M1052">
        <v>-9.0603160000000002E-2</v>
      </c>
      <c r="N1052">
        <v>0</v>
      </c>
      <c r="O1052">
        <v>-0.9957954</v>
      </c>
      <c r="P1052">
        <v>-7.5349470000000002E-2</v>
      </c>
      <c r="Q1052">
        <v>-2.4250819999999999E-2</v>
      </c>
      <c r="R1052">
        <v>-0.99686249999999998</v>
      </c>
      <c r="S1052">
        <v>-5.7067869999999996E-3</v>
      </c>
      <c r="T1052">
        <v>-0.25619150000000002</v>
      </c>
      <c r="U1052">
        <v>-3.0043639999999998</v>
      </c>
      <c r="V1052">
        <v>-1.524617E-2</v>
      </c>
      <c r="W1052">
        <v>-1.07838E-2</v>
      </c>
      <c r="X1052">
        <v>0.99982559999999998</v>
      </c>
      <c r="Y1052">
        <v>-8.8725730000000003E-2</v>
      </c>
      <c r="Z1052">
        <v>8.4273529999999999E-2</v>
      </c>
      <c r="AA1052">
        <v>0.99248459999999905</v>
      </c>
      <c r="AB1052">
        <v>20</v>
      </c>
      <c r="AC1052">
        <v>-1.0700000000014099E-2</v>
      </c>
      <c r="AD1052">
        <v>-1.105921853648</v>
      </c>
      <c r="AE1052">
        <v>-12.788399999999999</v>
      </c>
      <c r="AF1052">
        <v>-1.1395967553707</v>
      </c>
      <c r="AG1052">
        <v>-1.105921853648</v>
      </c>
      <c r="AH1052">
        <v>12.6422170148038</v>
      </c>
      <c r="AI1052">
        <v>94.979333607632796</v>
      </c>
      <c r="AJ1052">
        <v>95.150844206627895</v>
      </c>
      <c r="AK1052">
        <v>12.7415617159209</v>
      </c>
    </row>
    <row r="1053" spans="1:37" x14ac:dyDescent="0.2">
      <c r="A1053" t="str">
        <f>"20200111160120053"</f>
        <v>20200111160120053</v>
      </c>
      <c r="B1053" t="str">
        <f>"1578729680041813"</f>
        <v>1578729680041813</v>
      </c>
      <c r="C1053" t="s">
        <v>37</v>
      </c>
      <c r="D1053">
        <v>4.6913839999999896</v>
      </c>
      <c r="E1053">
        <v>0.46596689999999902</v>
      </c>
      <c r="F1053" t="s">
        <v>54</v>
      </c>
      <c r="G1053">
        <v>-188.08029999999999</v>
      </c>
      <c r="H1053" s="1">
        <v>2.09041699999999E-6</v>
      </c>
      <c r="I1053">
        <v>293.23180000000002</v>
      </c>
      <c r="J1053">
        <v>-188.80430000000001</v>
      </c>
      <c r="K1053">
        <v>1.105925</v>
      </c>
      <c r="L1053">
        <v>320.71379999999999</v>
      </c>
      <c r="M1053">
        <v>-8.7801699999999996E-2</v>
      </c>
      <c r="N1053">
        <v>0</v>
      </c>
      <c r="O1053">
        <v>-0.99604619999999999</v>
      </c>
      <c r="P1053">
        <v>-7.1368230000000005E-2</v>
      </c>
      <c r="Q1053">
        <v>-2.7103240000000001E-2</v>
      </c>
      <c r="R1053">
        <v>-0.99708209999999997</v>
      </c>
      <c r="S1053">
        <v>7.7239989999999994E-2</v>
      </c>
      <c r="T1053">
        <v>-0.1203688</v>
      </c>
      <c r="U1053">
        <v>-3.0123289999999998</v>
      </c>
      <c r="V1053">
        <v>-1.6407439999999999E-2</v>
      </c>
      <c r="W1053">
        <v>-1.363814E-2</v>
      </c>
      <c r="X1053">
        <v>0.99977240000000001</v>
      </c>
      <c r="Y1053">
        <v>-0.113294399999999</v>
      </c>
      <c r="Z1053">
        <v>3.9560459999999999E-2</v>
      </c>
      <c r="AA1053">
        <v>0.99277359999999903</v>
      </c>
      <c r="AB1053">
        <v>20</v>
      </c>
      <c r="AC1053">
        <v>0.72400000000001696</v>
      </c>
      <c r="AD1053">
        <v>-1.1059229095830001</v>
      </c>
      <c r="AE1053">
        <v>-27.4819999999999</v>
      </c>
      <c r="AF1053">
        <v>-3.1293262065191301</v>
      </c>
      <c r="AG1053">
        <v>-1.1059229095830001</v>
      </c>
      <c r="AH1053">
        <v>27.268142795284199</v>
      </c>
      <c r="AI1053">
        <v>92.307362727644005</v>
      </c>
      <c r="AJ1053">
        <v>96.546695328249299</v>
      </c>
      <c r="AK1053">
        <v>27.469389499818799</v>
      </c>
    </row>
    <row r="1054" spans="1:37" x14ac:dyDescent="0.2">
      <c r="A1054" t="str">
        <f>"20200111160120076"</f>
        <v>20200111160120076</v>
      </c>
      <c r="B1054" t="str">
        <f>"1578729680072069"</f>
        <v>1578729680072069</v>
      </c>
      <c r="C1054" t="s">
        <v>37</v>
      </c>
      <c r="D1054">
        <v>4.5876640000000002</v>
      </c>
      <c r="E1054">
        <v>0.47937279999999999</v>
      </c>
      <c r="F1054" t="s">
        <v>55</v>
      </c>
      <c r="G1054">
        <v>-186.03630000000001</v>
      </c>
      <c r="H1054">
        <v>49.625570000000003</v>
      </c>
      <c r="I1054">
        <v>-81.831620000000001</v>
      </c>
      <c r="J1054">
        <v>-188.81899999999999</v>
      </c>
      <c r="K1054">
        <v>1.105912</v>
      </c>
      <c r="L1054">
        <v>320.50740000000002</v>
      </c>
      <c r="M1054">
        <v>-8.4790999999999894E-2</v>
      </c>
      <c r="N1054">
        <v>0</v>
      </c>
      <c r="O1054">
        <v>-0.99630699999999905</v>
      </c>
      <c r="P1054">
        <v>-6.8681149999999996E-2</v>
      </c>
      <c r="Q1054">
        <v>-3.0339830000000002E-2</v>
      </c>
      <c r="R1054">
        <v>-0.99717749999999905</v>
      </c>
      <c r="S1054">
        <v>2.0767210000000001E-2</v>
      </c>
      <c r="T1054">
        <v>0.36402770000000001</v>
      </c>
      <c r="U1054">
        <v>-3.0201720000000001</v>
      </c>
      <c r="V1054">
        <v>-1.605958E-2</v>
      </c>
      <c r="W1054">
        <v>-1.6871029999999999E-2</v>
      </c>
      <c r="X1054">
        <v>0.99972870000000003</v>
      </c>
      <c r="Y1054">
        <v>-9.1597860000000003E-2</v>
      </c>
      <c r="Z1054">
        <v>-0.118767899999999</v>
      </c>
      <c r="AA1054">
        <v>0.98868809999999996</v>
      </c>
      <c r="AB1054">
        <v>20</v>
      </c>
      <c r="AC1054">
        <v>2.7827000000000002</v>
      </c>
      <c r="AD1054">
        <v>48.519658</v>
      </c>
      <c r="AE1054">
        <v>-402.33902</v>
      </c>
      <c r="AF1054">
        <v>-36.361744088313699</v>
      </c>
      <c r="AG1054">
        <v>48.519658</v>
      </c>
      <c r="AH1054">
        <v>394.91098706214598</v>
      </c>
      <c r="AI1054">
        <v>83.0248268022264</v>
      </c>
      <c r="AJ1054">
        <v>95.260721340784499</v>
      </c>
      <c r="AK1054">
        <v>399.53851046924098</v>
      </c>
    </row>
    <row r="1055" spans="1:37" x14ac:dyDescent="0.2">
      <c r="A1055" t="str">
        <f>"20200111160120098"</f>
        <v>20200111160120098</v>
      </c>
      <c r="B1055" t="str">
        <f>"1578729680091588"</f>
        <v>1578729680091588</v>
      </c>
      <c r="C1055" t="s">
        <v>37</v>
      </c>
      <c r="D1055">
        <v>4.8296109999999999</v>
      </c>
      <c r="E1055">
        <v>0.47967330000000002</v>
      </c>
      <c r="F1055" t="s">
        <v>38</v>
      </c>
      <c r="G1055">
        <v>-188.92609999999999</v>
      </c>
      <c r="H1055" s="1">
        <v>-3.8609279999999997E-6</v>
      </c>
      <c r="I1055">
        <v>308.18869999999998</v>
      </c>
      <c r="J1055">
        <v>-188.83189999999999</v>
      </c>
      <c r="K1055">
        <v>1.105882</v>
      </c>
      <c r="L1055">
        <v>320.31659999999999</v>
      </c>
      <c r="M1055">
        <v>-8.1993620000000003E-2</v>
      </c>
      <c r="N1055">
        <v>0</v>
      </c>
      <c r="O1055">
        <v>-0.9965408</v>
      </c>
      <c r="P1055">
        <v>-6.6667439999999994E-2</v>
      </c>
      <c r="Q1055">
        <v>-3.3672010000000002E-2</v>
      </c>
      <c r="R1055">
        <v>-0.99720719999999996</v>
      </c>
      <c r="S1055">
        <v>-2.607727E-2</v>
      </c>
      <c r="T1055">
        <v>-0.26918799999999998</v>
      </c>
      <c r="U1055">
        <v>-2.9984739999999999</v>
      </c>
      <c r="V1055">
        <v>-1.5250619999999999E-2</v>
      </c>
      <c r="W1055">
        <v>-2.019843E-2</v>
      </c>
      <c r="X1055">
        <v>0.99967969999999895</v>
      </c>
      <c r="Y1055">
        <v>-7.3364879999999993E-2</v>
      </c>
      <c r="Z1055">
        <v>8.8842299999999999E-2</v>
      </c>
      <c r="AA1055">
        <v>0.99334009999999995</v>
      </c>
      <c r="AB1055">
        <v>20</v>
      </c>
      <c r="AC1055">
        <v>-9.42000000000007E-2</v>
      </c>
      <c r="AD1055">
        <v>-1.105885860928</v>
      </c>
      <c r="AE1055">
        <v>-12.1279</v>
      </c>
      <c r="AF1055">
        <v>-0.89319267807578095</v>
      </c>
      <c r="AG1055">
        <v>-1.105885860928</v>
      </c>
      <c r="AH1055">
        <v>11.995050717355401</v>
      </c>
      <c r="AI1055">
        <v>95.253042167852897</v>
      </c>
      <c r="AJ1055">
        <v>94.258581153600801</v>
      </c>
      <c r="AK1055">
        <v>12.078990786050699</v>
      </c>
    </row>
    <row r="1056" spans="1:37" x14ac:dyDescent="0.2">
      <c r="A1056" t="str">
        <f>"20200111160120165"</f>
        <v>20200111160120165</v>
      </c>
      <c r="B1056" t="str">
        <f>"1578729680162392"</f>
        <v>1578729680162392</v>
      </c>
      <c r="C1056" t="s">
        <v>37</v>
      </c>
      <c r="D1056">
        <v>4.5898659999999998</v>
      </c>
      <c r="E1056">
        <v>0.48140129999999998</v>
      </c>
      <c r="F1056" t="s">
        <v>38</v>
      </c>
      <c r="G1056">
        <v>-188.9238</v>
      </c>
      <c r="H1056" s="1">
        <v>-3.8847990000000002E-6</v>
      </c>
      <c r="I1056">
        <v>308.24329999999998</v>
      </c>
      <c r="J1056">
        <v>-188.8682</v>
      </c>
      <c r="K1056">
        <v>1.1057569999999901</v>
      </c>
      <c r="L1056">
        <v>319.73439999999999</v>
      </c>
      <c r="M1056">
        <v>-7.3503689999999997E-2</v>
      </c>
      <c r="N1056">
        <v>0</v>
      </c>
      <c r="O1056">
        <v>-0.99720309999999901</v>
      </c>
      <c r="P1056">
        <v>-6.4900749999999993E-2</v>
      </c>
      <c r="Q1056">
        <v>-4.5651900000000002E-2</v>
      </c>
      <c r="R1056">
        <v>-0.99684709999999999</v>
      </c>
      <c r="S1056">
        <v>-2.2796629999999998E-2</v>
      </c>
      <c r="T1056">
        <v>-0.27457819999999999</v>
      </c>
      <c r="U1056">
        <v>-2.9976500000000001</v>
      </c>
      <c r="V1056">
        <v>-8.4329969999999994E-3</v>
      </c>
      <c r="W1056">
        <v>-3.2152149999999997E-2</v>
      </c>
      <c r="X1056">
        <v>0.99944739999999999</v>
      </c>
      <c r="Y1056">
        <v>-6.5955399999999997E-2</v>
      </c>
      <c r="Z1056">
        <v>9.0745759999999995E-2</v>
      </c>
      <c r="AA1056">
        <v>0.9936876</v>
      </c>
      <c r="AB1056">
        <v>20</v>
      </c>
      <c r="AC1056">
        <v>-5.5599999999998297E-2</v>
      </c>
      <c r="AD1056">
        <v>-1.1057608847989999</v>
      </c>
      <c r="AE1056">
        <v>-11.491099999999999</v>
      </c>
      <c r="AF1056">
        <v>-0.78202486905844704</v>
      </c>
      <c r="AG1056">
        <v>-1.1057608847989999</v>
      </c>
      <c r="AH1056">
        <v>11.358919137019599</v>
      </c>
      <c r="AI1056">
        <v>95.547025762082299</v>
      </c>
      <c r="AJ1056">
        <v>93.938414543479794</v>
      </c>
      <c r="AK1056">
        <v>11.4393755944775</v>
      </c>
    </row>
    <row r="1057" spans="1:37" x14ac:dyDescent="0.2">
      <c r="A1057" t="str">
        <f>"20200111160120187"</f>
        <v>20200111160120187</v>
      </c>
      <c r="B1057" t="str">
        <f>"1578729680181911"</f>
        <v>1578729680181911</v>
      </c>
      <c r="C1057" t="s">
        <v>37</v>
      </c>
      <c r="D1057">
        <v>4.6869009999999998</v>
      </c>
      <c r="E1057">
        <v>0.48193000000000003</v>
      </c>
      <c r="F1057" t="s">
        <v>38</v>
      </c>
      <c r="G1057">
        <v>-188.98670000000001</v>
      </c>
      <c r="H1057" s="1">
        <v>-3.9173779999999998E-6</v>
      </c>
      <c r="I1057">
        <v>308.34530000000001</v>
      </c>
      <c r="J1057">
        <v>-188.8792</v>
      </c>
      <c r="K1057">
        <v>1.10572</v>
      </c>
      <c r="L1057">
        <v>319.53919999999999</v>
      </c>
      <c r="M1057">
        <v>-7.0692840000000007E-2</v>
      </c>
      <c r="N1057">
        <v>0</v>
      </c>
      <c r="O1057">
        <v>-0.99740620000000002</v>
      </c>
      <c r="P1057">
        <v>-6.4819769999999999E-2</v>
      </c>
      <c r="Q1057">
        <v>-4.8646080000000001E-2</v>
      </c>
      <c r="R1057">
        <v>-0.99671080000000001</v>
      </c>
      <c r="S1057">
        <v>-3.1143190000000001E-2</v>
      </c>
      <c r="T1057">
        <v>-0.29069909999999999</v>
      </c>
      <c r="U1057">
        <v>-2.9941409999999999</v>
      </c>
      <c r="V1057">
        <v>-5.6792319999999898E-3</v>
      </c>
      <c r="W1057">
        <v>-3.5137460000000002E-2</v>
      </c>
      <c r="X1057">
        <v>0.99936630000000004</v>
      </c>
      <c r="Y1057">
        <v>-6.036876E-2</v>
      </c>
      <c r="Z1057">
        <v>9.6182199999999995E-2</v>
      </c>
      <c r="AA1057">
        <v>0.99353139999999995</v>
      </c>
      <c r="AB1057">
        <v>20</v>
      </c>
      <c r="AC1057">
        <v>-0.107500000000015</v>
      </c>
      <c r="AD1057">
        <v>-1.105723917378</v>
      </c>
      <c r="AE1057">
        <v>-11.1938999999999</v>
      </c>
      <c r="AF1057">
        <v>-0.67755959824241996</v>
      </c>
      <c r="AG1057">
        <v>-1.105723917378</v>
      </c>
      <c r="AH1057">
        <v>11.065529410092701</v>
      </c>
      <c r="AI1057">
        <v>95.695745822951494</v>
      </c>
      <c r="AJ1057">
        <v>93.503935071134293</v>
      </c>
      <c r="AK1057">
        <v>11.1412590633311</v>
      </c>
    </row>
    <row r="1058" spans="1:37" x14ac:dyDescent="0.2">
      <c r="A1058" t="str">
        <f>"20200111160120211"</f>
        <v>20200111160120211</v>
      </c>
      <c r="B1058" t="str">
        <f>"1578729680202407"</f>
        <v>1578729680202407</v>
      </c>
      <c r="C1058" t="s">
        <v>37</v>
      </c>
      <c r="D1058">
        <v>4.6794399999999996</v>
      </c>
      <c r="E1058">
        <v>0.481849799999999</v>
      </c>
      <c r="F1058" t="s">
        <v>38</v>
      </c>
      <c r="G1058">
        <v>-189.0103</v>
      </c>
      <c r="H1058" s="1">
        <v>-3.8872800000000003E-6</v>
      </c>
      <c r="I1058">
        <v>308.28489999999999</v>
      </c>
      <c r="J1058">
        <v>-188.89</v>
      </c>
      <c r="K1058">
        <v>1.1056839999999999</v>
      </c>
      <c r="L1058">
        <v>319.3383</v>
      </c>
      <c r="M1058">
        <v>-6.7815689999999998E-2</v>
      </c>
      <c r="N1058">
        <v>0</v>
      </c>
      <c r="O1058">
        <v>-0.99760609999999905</v>
      </c>
      <c r="P1058">
        <v>-6.4883869999999996E-2</v>
      </c>
      <c r="Q1058">
        <v>-5.1202150000000002E-2</v>
      </c>
      <c r="R1058">
        <v>-0.99657859999999998</v>
      </c>
      <c r="S1058">
        <v>-3.4851069999999998E-2</v>
      </c>
      <c r="T1058">
        <v>-0.29408299999999998</v>
      </c>
      <c r="U1058">
        <v>-2.9932560000000001</v>
      </c>
      <c r="V1058">
        <v>-2.7177690000000001E-3</v>
      </c>
      <c r="W1058">
        <v>-3.7684500000000003E-2</v>
      </c>
      <c r="X1058">
        <v>0.99928600000000001</v>
      </c>
      <c r="Y1058">
        <v>-5.625687E-2</v>
      </c>
      <c r="Z1058">
        <v>9.7360039999999995E-2</v>
      </c>
      <c r="AA1058">
        <v>0.99365800000000004</v>
      </c>
      <c r="AB1058">
        <v>20</v>
      </c>
      <c r="AC1058">
        <v>-0.12030000000001401</v>
      </c>
      <c r="AD1058">
        <v>-1.10568788727999</v>
      </c>
      <c r="AE1058">
        <v>-11.0534</v>
      </c>
      <c r="AF1058">
        <v>-0.62340237097779405</v>
      </c>
      <c r="AG1058">
        <v>-1.10568788727999</v>
      </c>
      <c r="AH1058">
        <v>10.9267842191396</v>
      </c>
      <c r="AI1058">
        <v>95.768808569657196</v>
      </c>
      <c r="AJ1058">
        <v>93.265338191459307</v>
      </c>
      <c r="AK1058">
        <v>11.000263160118401</v>
      </c>
    </row>
    <row r="1059" spans="1:37" x14ac:dyDescent="0.2">
      <c r="A1059" t="str">
        <f>"20200111160120232"</f>
        <v>20200111160120232</v>
      </c>
      <c r="B1059" t="str">
        <f>"1578729680221927"</f>
        <v>1578729680221927</v>
      </c>
      <c r="C1059" t="s">
        <v>37</v>
      </c>
      <c r="D1059">
        <v>4.7917180000000004</v>
      </c>
      <c r="E1059">
        <v>0.48222009999999998</v>
      </c>
      <c r="F1059" t="s">
        <v>38</v>
      </c>
      <c r="G1059">
        <v>-189.0231</v>
      </c>
      <c r="H1059" s="1">
        <v>-3.7461360000000002E-6</v>
      </c>
      <c r="I1059">
        <v>307.96120000000002</v>
      </c>
      <c r="J1059">
        <v>-188.89959999999999</v>
      </c>
      <c r="K1059">
        <v>1.105661</v>
      </c>
      <c r="L1059">
        <v>319.1497</v>
      </c>
      <c r="M1059">
        <v>-6.5128850000000002E-2</v>
      </c>
      <c r="N1059">
        <v>0</v>
      </c>
      <c r="O1059">
        <v>-0.99778500000000003</v>
      </c>
      <c r="P1059">
        <v>-6.5401050000000002E-2</v>
      </c>
      <c r="Q1059">
        <v>-5.1591390000000001E-2</v>
      </c>
      <c r="R1059">
        <v>-0.99652450000000004</v>
      </c>
      <c r="S1059">
        <v>-3.5003659999999999E-2</v>
      </c>
      <c r="T1059">
        <v>-0.29087829999999998</v>
      </c>
      <c r="U1059">
        <v>-2.993042</v>
      </c>
      <c r="V1059">
        <v>4.9104260000000001E-4</v>
      </c>
      <c r="W1059">
        <v>-3.8063230000000003E-2</v>
      </c>
      <c r="X1059">
        <v>0.99927520000000003</v>
      </c>
      <c r="Y1059">
        <v>-5.3515279999999998E-2</v>
      </c>
      <c r="Z1059">
        <v>9.6349030000000002E-2</v>
      </c>
      <c r="AA1059">
        <v>0.99390789999999996</v>
      </c>
      <c r="AB1059">
        <v>20</v>
      </c>
      <c r="AC1059">
        <v>-0.12350000000000699</v>
      </c>
      <c r="AD1059">
        <v>-1.1056647461360001</v>
      </c>
      <c r="AE1059">
        <v>-11.1884999999999</v>
      </c>
      <c r="AF1059">
        <v>-0.59966773825555197</v>
      </c>
      <c r="AG1059">
        <v>-1.1056647461360001</v>
      </c>
      <c r="AH1059">
        <v>11.064743313557701</v>
      </c>
      <c r="AI1059">
        <v>95.698135300889206</v>
      </c>
      <c r="AJ1059">
        <v>93.102182229254197</v>
      </c>
      <c r="AK1059">
        <v>11.136006488956101</v>
      </c>
    </row>
    <row r="1060" spans="1:37" x14ac:dyDescent="0.2">
      <c r="A1060" t="str">
        <f>"20200111160120256"</f>
        <v>20200111160120256</v>
      </c>
      <c r="B1060" t="str">
        <f>"1578729680252225"</f>
        <v>1578729680252225</v>
      </c>
      <c r="C1060" t="s">
        <v>37</v>
      </c>
      <c r="D1060">
        <v>4.8129029999999897</v>
      </c>
      <c r="E1060">
        <v>0.48237399999999903</v>
      </c>
      <c r="F1060" t="s">
        <v>38</v>
      </c>
      <c r="G1060">
        <v>-189.0547</v>
      </c>
      <c r="H1060" s="1">
        <v>-3.577052E-6</v>
      </c>
      <c r="I1060">
        <v>307.58010000000002</v>
      </c>
      <c r="J1060">
        <v>-188.9093</v>
      </c>
      <c r="K1060">
        <v>1.105645</v>
      </c>
      <c r="L1060">
        <v>318.94920000000002</v>
      </c>
      <c r="M1060">
        <v>-6.2282900000000002E-2</v>
      </c>
      <c r="N1060">
        <v>0</v>
      </c>
      <c r="O1060">
        <v>-0.99796659999999904</v>
      </c>
      <c r="P1060">
        <v>-6.6158010000000003E-2</v>
      </c>
      <c r="Q1060">
        <v>-5.094307E-2</v>
      </c>
      <c r="R1060">
        <v>-0.99650810000000001</v>
      </c>
      <c r="S1060">
        <v>-4.0115360000000003E-2</v>
      </c>
      <c r="T1060">
        <v>-0.28603309999999998</v>
      </c>
      <c r="U1060">
        <v>-2.993042</v>
      </c>
      <c r="V1060">
        <v>4.09184799999999E-3</v>
      </c>
      <c r="W1060">
        <v>-3.7403069999999997E-2</v>
      </c>
      <c r="X1060">
        <v>0.99929190000000001</v>
      </c>
      <c r="Y1060">
        <v>-4.896768E-2</v>
      </c>
      <c r="Z1060">
        <v>9.4794760000000006E-2</v>
      </c>
      <c r="AA1060">
        <v>0.99429179999999995</v>
      </c>
      <c r="AB1060">
        <v>20</v>
      </c>
      <c r="AC1060">
        <v>-0.14539999999999501</v>
      </c>
      <c r="AD1060">
        <v>-1.1056485770519999</v>
      </c>
      <c r="AE1060">
        <v>-11.3691</v>
      </c>
      <c r="AF1060">
        <v>-0.55777348901725698</v>
      </c>
      <c r="AG1060">
        <v>-1.1056485770519999</v>
      </c>
      <c r="AH1060">
        <v>11.2497019525689</v>
      </c>
      <c r="AI1060">
        <v>95.606301400735404</v>
      </c>
      <c r="AJ1060">
        <v>92.838467908172007</v>
      </c>
      <c r="AK1060">
        <v>11.317657180822399</v>
      </c>
    </row>
    <row r="1061" spans="1:37" x14ac:dyDescent="0.2">
      <c r="A1061" t="str">
        <f>"20200111160120300"</f>
        <v>20200111160120300</v>
      </c>
      <c r="B1061" t="str">
        <f>"1578729680292241"</f>
        <v>1578729680292241</v>
      </c>
      <c r="C1061" t="s">
        <v>37</v>
      </c>
      <c r="D1061">
        <v>4.8747160000000003</v>
      </c>
      <c r="E1061">
        <v>0.52433999999999903</v>
      </c>
      <c r="F1061" t="s">
        <v>38</v>
      </c>
      <c r="G1061">
        <v>-189.0864</v>
      </c>
      <c r="H1061" s="1">
        <v>-3.289314E-6</v>
      </c>
      <c r="I1061">
        <v>306.92250000000001</v>
      </c>
      <c r="J1061">
        <v>-188.92619999999999</v>
      </c>
      <c r="K1061">
        <v>1.105612</v>
      </c>
      <c r="L1061">
        <v>318.56599999999997</v>
      </c>
      <c r="M1061">
        <v>-5.6889910000000002E-2</v>
      </c>
      <c r="N1061">
        <v>0</v>
      </c>
      <c r="O1061">
        <v>-0.99828879999999998</v>
      </c>
      <c r="P1061">
        <v>-6.9223580000000007E-2</v>
      </c>
      <c r="Q1061">
        <v>-4.772158E-2</v>
      </c>
      <c r="R1061">
        <v>-0.99645910000000004</v>
      </c>
      <c r="S1061">
        <v>-4.4082639999999999E-2</v>
      </c>
      <c r="T1061">
        <v>-0.27520259999999902</v>
      </c>
      <c r="U1061">
        <v>-2.9935299999999998</v>
      </c>
      <c r="V1061">
        <v>1.253633E-2</v>
      </c>
      <c r="W1061">
        <v>-3.415526E-2</v>
      </c>
      <c r="X1061">
        <v>0.9993379</v>
      </c>
      <c r="Y1061">
        <v>-4.2249889999999998E-2</v>
      </c>
      <c r="Z1061">
        <v>9.1278620000000005E-2</v>
      </c>
      <c r="AA1061">
        <v>0.9949287</v>
      </c>
      <c r="AB1061">
        <v>20</v>
      </c>
      <c r="AC1061">
        <v>-0.16020000000000301</v>
      </c>
      <c r="AD1061">
        <v>-1.1056152893140001</v>
      </c>
      <c r="AE1061">
        <v>-11.6434999999999</v>
      </c>
      <c r="AF1061">
        <v>-0.49802813462037898</v>
      </c>
      <c r="AG1061">
        <v>-1.1056152893140001</v>
      </c>
      <c r="AH1061">
        <v>11.5298143903831</v>
      </c>
      <c r="AI1061">
        <v>95.472378949771596</v>
      </c>
      <c r="AJ1061">
        <v>92.473342790790397</v>
      </c>
      <c r="AK1061">
        <v>11.5934048953499</v>
      </c>
    </row>
    <row r="1062" spans="1:37" x14ac:dyDescent="0.2">
      <c r="A1062" t="str">
        <f>"20200111160120322"</f>
        <v>20200111160120322</v>
      </c>
      <c r="B1062" t="str">
        <f>"1578729680311761"</f>
        <v>1578729680311761</v>
      </c>
      <c r="C1062" t="s">
        <v>37</v>
      </c>
      <c r="D1062">
        <v>4.8726379999999896</v>
      </c>
      <c r="E1062">
        <v>0.52237009999999995</v>
      </c>
      <c r="F1062" t="s">
        <v>42</v>
      </c>
      <c r="G1062">
        <v>-189.029</v>
      </c>
      <c r="H1062">
        <v>1.0242639999999901</v>
      </c>
      <c r="I1062">
        <v>317.77330000000001</v>
      </c>
      <c r="J1062">
        <v>-188.93389999999999</v>
      </c>
      <c r="K1062">
        <v>1.105585</v>
      </c>
      <c r="L1062">
        <v>318.37360000000001</v>
      </c>
      <c r="M1062">
        <v>-5.422975E-2</v>
      </c>
      <c r="N1062">
        <v>0</v>
      </c>
      <c r="O1062">
        <v>-0.99843700000000002</v>
      </c>
      <c r="P1062">
        <v>-7.0736489999999999E-2</v>
      </c>
      <c r="Q1062">
        <v>-4.6899620000000003E-2</v>
      </c>
      <c r="R1062">
        <v>-0.9963921</v>
      </c>
      <c r="S1062">
        <v>-0.38458249999999999</v>
      </c>
      <c r="T1062">
        <v>-0.30499660000000001</v>
      </c>
      <c r="U1062">
        <v>-2.9692989999999999</v>
      </c>
      <c r="V1062">
        <v>1.6706510000000001E-2</v>
      </c>
      <c r="W1062">
        <v>-3.3323020000000002E-2</v>
      </c>
      <c r="X1062">
        <v>0.999304999999999</v>
      </c>
      <c r="Y1062">
        <v>7.3809650000000004E-2</v>
      </c>
      <c r="Z1062">
        <v>0.10139669999999899</v>
      </c>
      <c r="AA1062">
        <v>0.99210419999999999</v>
      </c>
      <c r="AB1062">
        <v>20</v>
      </c>
      <c r="AC1062">
        <v>-9.5100000000030604E-2</v>
      </c>
      <c r="AD1062">
        <v>-8.1321000000000199E-2</v>
      </c>
      <c r="AE1062">
        <v>-0.60030000000000405</v>
      </c>
      <c r="AF1062">
        <v>6.1305444748452502E-2</v>
      </c>
      <c r="AG1062">
        <v>-8.1321000000000199E-2</v>
      </c>
      <c r="AH1062">
        <v>0.59394141601975203</v>
      </c>
      <c r="AI1062">
        <v>97.755621762995204</v>
      </c>
      <c r="AJ1062">
        <v>84.106913360804498</v>
      </c>
      <c r="AK1062">
        <v>0.60260921687305302</v>
      </c>
    </row>
    <row r="1063" spans="1:37" x14ac:dyDescent="0.2">
      <c r="A1063" t="str">
        <f>"20200111160120346"</f>
        <v>20200111160120346</v>
      </c>
      <c r="B1063" t="str">
        <f>"1578729680342016"</f>
        <v>1578729680342016</v>
      </c>
      <c r="C1063" t="s">
        <v>37</v>
      </c>
      <c r="D1063">
        <v>4.9366240000000001</v>
      </c>
      <c r="E1063">
        <v>0.52264299999999997</v>
      </c>
      <c r="F1063" t="s">
        <v>42</v>
      </c>
      <c r="G1063">
        <v>-189.0317</v>
      </c>
      <c r="H1063">
        <v>1.027914</v>
      </c>
      <c r="I1063">
        <v>317.59809999999999</v>
      </c>
      <c r="J1063">
        <v>-188.9418</v>
      </c>
      <c r="K1063">
        <v>1.105539</v>
      </c>
      <c r="L1063">
        <v>318.16609999999997</v>
      </c>
      <c r="M1063">
        <v>-5.1420220000000003E-2</v>
      </c>
      <c r="N1063">
        <v>0</v>
      </c>
      <c r="O1063">
        <v>-0.99858559999999996</v>
      </c>
      <c r="P1063">
        <v>-7.1614730000000001E-2</v>
      </c>
      <c r="Q1063">
        <v>-4.5854939999999997E-2</v>
      </c>
      <c r="R1063">
        <v>-0.99637819999999899</v>
      </c>
      <c r="S1063">
        <v>-0.37384029999999902</v>
      </c>
      <c r="T1063">
        <v>-0.29777219999999999</v>
      </c>
      <c r="U1063">
        <v>-2.9703369999999998</v>
      </c>
      <c r="V1063">
        <v>2.0387329999999999E-2</v>
      </c>
      <c r="W1063">
        <v>-3.2272130000000003E-2</v>
      </c>
      <c r="X1063">
        <v>0.99927119999999903</v>
      </c>
      <c r="Y1063">
        <v>7.307081E-2</v>
      </c>
      <c r="Z1063">
        <v>9.9031919999999996E-2</v>
      </c>
      <c r="AA1063">
        <v>0.9923978</v>
      </c>
      <c r="AB1063">
        <v>19</v>
      </c>
      <c r="AC1063">
        <v>-8.9899999999999994E-2</v>
      </c>
      <c r="AD1063">
        <v>-7.7625E-2</v>
      </c>
      <c r="AE1063">
        <v>-0.56799999999998296</v>
      </c>
      <c r="AF1063">
        <v>5.9487796278781598E-2</v>
      </c>
      <c r="AG1063">
        <v>-7.7625E-2</v>
      </c>
      <c r="AH1063">
        <v>0.56163820972794098</v>
      </c>
      <c r="AI1063">
        <v>97.825867578533206</v>
      </c>
      <c r="AJ1063">
        <v>83.953867848045803</v>
      </c>
      <c r="AK1063">
        <v>0.57008939400545999</v>
      </c>
    </row>
    <row r="1064" spans="1:37" x14ac:dyDescent="0.2">
      <c r="A1064" t="str">
        <f>"20200111160120367"</f>
        <v>20200111160120367</v>
      </c>
      <c r="B1064" t="str">
        <f>"1578729680361537"</f>
        <v>1578729680361537</v>
      </c>
      <c r="C1064" t="s">
        <v>37</v>
      </c>
      <c r="D1064">
        <v>5.2237989999999996</v>
      </c>
      <c r="E1064">
        <v>0.52295769999999997</v>
      </c>
      <c r="F1064" t="s">
        <v>42</v>
      </c>
      <c r="G1064">
        <v>-189.03659999999999</v>
      </c>
      <c r="H1064">
        <v>1.0317149999999999</v>
      </c>
      <c r="I1064">
        <v>317.42320000000001</v>
      </c>
      <c r="J1064">
        <v>-188.94829999999999</v>
      </c>
      <c r="K1064">
        <v>1.105499</v>
      </c>
      <c r="L1064">
        <v>317.9853</v>
      </c>
      <c r="M1064">
        <v>-4.9040720000000003E-2</v>
      </c>
      <c r="N1064">
        <v>0</v>
      </c>
      <c r="O1064">
        <v>-0.99870550000000002</v>
      </c>
      <c r="P1064">
        <v>-7.3138590000000003E-2</v>
      </c>
      <c r="Q1064">
        <v>-4.4670660000000001E-2</v>
      </c>
      <c r="R1064">
        <v>-0.99632129999999997</v>
      </c>
      <c r="S1064">
        <v>-0.37870789999999999</v>
      </c>
      <c r="T1064">
        <v>-0.29532509999999901</v>
      </c>
      <c r="U1064">
        <v>-2.970062</v>
      </c>
      <c r="V1064">
        <v>2.4284050000000001E-2</v>
      </c>
      <c r="W1064">
        <v>-3.1082410000000001E-2</v>
      </c>
      <c r="X1064">
        <v>0.99922180000000005</v>
      </c>
      <c r="Y1064">
        <v>7.7068750000000005E-2</v>
      </c>
      <c r="Z1064">
        <v>9.8227729999999999E-2</v>
      </c>
      <c r="AA1064">
        <v>0.99217520000000003</v>
      </c>
      <c r="AB1064">
        <v>19</v>
      </c>
      <c r="AC1064">
        <v>-8.8300000000003806E-2</v>
      </c>
      <c r="AD1064">
        <v>-7.3784000000000002E-2</v>
      </c>
      <c r="AE1064">
        <v>-0.56209999999998606</v>
      </c>
      <c r="AF1064">
        <v>5.96228452867947E-2</v>
      </c>
      <c r="AG1064">
        <v>-7.3784000000000002E-2</v>
      </c>
      <c r="AH1064">
        <v>0.55639811586391197</v>
      </c>
      <c r="AI1064">
        <v>97.511415762374099</v>
      </c>
      <c r="AJ1064">
        <v>83.883604454295906</v>
      </c>
      <c r="AK1064">
        <v>0.56442698878863395</v>
      </c>
    </row>
    <row r="1065" spans="1:37" x14ac:dyDescent="0.2">
      <c r="A1065" t="str">
        <f>"20200111160120387"</f>
        <v>20200111160120387</v>
      </c>
      <c r="B1065" t="str">
        <f>"1578729680382033"</f>
        <v>1578729680382033</v>
      </c>
      <c r="C1065" t="s">
        <v>37</v>
      </c>
      <c r="D1065">
        <v>4.9082840000000001</v>
      </c>
      <c r="E1065">
        <v>0.5227948</v>
      </c>
      <c r="F1065" t="s">
        <v>42</v>
      </c>
      <c r="G1065">
        <v>-189.04400000000001</v>
      </c>
      <c r="H1065">
        <v>1.0333760000000001</v>
      </c>
      <c r="I1065">
        <v>317.24979999999999</v>
      </c>
      <c r="J1065">
        <v>-188.9545</v>
      </c>
      <c r="K1065">
        <v>1.105453</v>
      </c>
      <c r="L1065">
        <v>317.80149999999998</v>
      </c>
      <c r="M1065">
        <v>-4.6700560000000002E-2</v>
      </c>
      <c r="N1065">
        <v>0</v>
      </c>
      <c r="O1065">
        <v>-0.99881759999999997</v>
      </c>
      <c r="P1065">
        <v>-7.4206839999999996E-2</v>
      </c>
      <c r="Q1065">
        <v>-4.3687829999999997E-2</v>
      </c>
      <c r="R1065">
        <v>-0.99628589999999995</v>
      </c>
      <c r="S1065">
        <v>-0.38578800000000002</v>
      </c>
      <c r="T1065">
        <v>-0.29149540000000002</v>
      </c>
      <c r="U1065">
        <v>-2.9696959999999999</v>
      </c>
      <c r="V1065">
        <v>2.7685270000000001E-2</v>
      </c>
      <c r="W1065">
        <v>-3.0097780000000001E-2</v>
      </c>
      <c r="X1065">
        <v>0.99916340000000003</v>
      </c>
      <c r="Y1065">
        <v>8.1762219999999997E-2</v>
      </c>
      <c r="Z1065">
        <v>9.6961350000000002E-2</v>
      </c>
      <c r="AA1065">
        <v>0.99192409999999998</v>
      </c>
      <c r="AB1065">
        <v>19</v>
      </c>
      <c r="AC1065">
        <v>-8.9500000000015206E-2</v>
      </c>
      <c r="AD1065">
        <v>-7.2076999999999905E-2</v>
      </c>
      <c r="AE1065">
        <v>-0.55169999999998198</v>
      </c>
      <c r="AF1065">
        <v>6.2594306113748499E-2</v>
      </c>
      <c r="AG1065">
        <v>-7.2076999999999905E-2</v>
      </c>
      <c r="AH1065">
        <v>0.54619453140788499</v>
      </c>
      <c r="AI1065">
        <v>97.469108501813295</v>
      </c>
      <c r="AJ1065">
        <v>83.4623810555821</v>
      </c>
      <c r="AK1065">
        <v>0.55447417183015901</v>
      </c>
    </row>
    <row r="1066" spans="1:37" x14ac:dyDescent="0.2">
      <c r="A1066" t="str">
        <f>"20200111160120412"</f>
        <v>20200111160120412</v>
      </c>
      <c r="B1066" t="str">
        <f>"1578729680401552"</f>
        <v>1578729680401552</v>
      </c>
      <c r="C1066" t="s">
        <v>37</v>
      </c>
      <c r="D1066">
        <v>4.8892119999999997</v>
      </c>
      <c r="E1066">
        <v>0.5225455</v>
      </c>
      <c r="F1066" t="s">
        <v>42</v>
      </c>
      <c r="G1066">
        <v>-189.04920000000001</v>
      </c>
      <c r="H1066">
        <v>1.0345359999999999</v>
      </c>
      <c r="I1066">
        <v>317.07659999999998</v>
      </c>
      <c r="J1066">
        <v>-188.96080000000001</v>
      </c>
      <c r="K1066">
        <v>1.1053949999999999</v>
      </c>
      <c r="L1066">
        <v>317.60230000000001</v>
      </c>
      <c r="M1066">
        <v>-4.4270440000000001E-2</v>
      </c>
      <c r="N1066">
        <v>0</v>
      </c>
      <c r="O1066">
        <v>-0.99892839999999905</v>
      </c>
      <c r="P1066">
        <v>-7.4658920000000004E-2</v>
      </c>
      <c r="Q1066">
        <v>-4.3009369999999998E-2</v>
      </c>
      <c r="R1066">
        <v>-0.99628139999999998</v>
      </c>
      <c r="S1066">
        <v>-0.38734439999999998</v>
      </c>
      <c r="T1066">
        <v>-0.29092079999999998</v>
      </c>
      <c r="U1066">
        <v>-2.9695429999999998</v>
      </c>
      <c r="V1066">
        <v>3.0559630000000001E-2</v>
      </c>
      <c r="W1066">
        <v>-2.9421429999999998E-2</v>
      </c>
      <c r="X1066">
        <v>0.99909989999999904</v>
      </c>
      <c r="Y1066">
        <v>8.4706589999999998E-2</v>
      </c>
      <c r="Z1066">
        <v>9.6777779999999994E-2</v>
      </c>
      <c r="AA1066">
        <v>0.99169490000000005</v>
      </c>
      <c r="AB1066">
        <v>19</v>
      </c>
      <c r="AC1066">
        <v>-8.8400000000007098E-2</v>
      </c>
      <c r="AD1066">
        <v>-7.0859000000000005E-2</v>
      </c>
      <c r="AE1066">
        <v>-0.52570000000002803</v>
      </c>
      <c r="AF1066">
        <v>6.3909036563420202E-2</v>
      </c>
      <c r="AG1066">
        <v>-7.0859000000000005E-2</v>
      </c>
      <c r="AH1066">
        <v>0.51991220241867298</v>
      </c>
      <c r="AI1066">
        <v>97.703762259607302</v>
      </c>
      <c r="AJ1066">
        <v>82.992200193644507</v>
      </c>
      <c r="AK1066">
        <v>0.52859631199933699</v>
      </c>
    </row>
    <row r="1067" spans="1:37" x14ac:dyDescent="0.2">
      <c r="A1067" t="str">
        <f>"20200111160120433"</f>
        <v>20200111160120433</v>
      </c>
      <c r="B1067" t="str">
        <f>"1578729680422048"</f>
        <v>1578729680422048</v>
      </c>
      <c r="C1067" t="s">
        <v>37</v>
      </c>
      <c r="D1067">
        <v>5.2408190000000001</v>
      </c>
      <c r="E1067">
        <v>0.52186409999999905</v>
      </c>
      <c r="F1067" t="s">
        <v>42</v>
      </c>
      <c r="G1067">
        <v>-189.07320000000001</v>
      </c>
      <c r="H1067">
        <v>1.021047</v>
      </c>
      <c r="I1067">
        <v>316.73919999999998</v>
      </c>
      <c r="J1067">
        <v>-188.9666</v>
      </c>
      <c r="K1067">
        <v>1.1053459999999999</v>
      </c>
      <c r="L1067">
        <v>317.41109999999998</v>
      </c>
      <c r="M1067">
        <v>-4.2043520000000001E-2</v>
      </c>
      <c r="N1067">
        <v>0</v>
      </c>
      <c r="O1067">
        <v>-0.99902459999999904</v>
      </c>
      <c r="P1067">
        <v>-7.4635859999999998E-2</v>
      </c>
      <c r="Q1067">
        <v>-4.1025140000000002E-2</v>
      </c>
      <c r="R1067">
        <v>-0.99636689999999895</v>
      </c>
      <c r="S1067">
        <v>-0.38636779999999998</v>
      </c>
      <c r="T1067">
        <v>-0.29048299999999999</v>
      </c>
      <c r="U1067">
        <v>-2.9696660000000001</v>
      </c>
      <c r="V1067">
        <v>3.2748979999999997E-2</v>
      </c>
      <c r="W1067">
        <v>-2.744137E-2</v>
      </c>
      <c r="X1067">
        <v>0.99908680000000005</v>
      </c>
      <c r="Y1067">
        <v>8.660342E-2</v>
      </c>
      <c r="Z1067">
        <v>9.6637639999999997E-2</v>
      </c>
      <c r="AA1067">
        <v>0.9915448</v>
      </c>
      <c r="AB1067">
        <v>19</v>
      </c>
      <c r="AC1067">
        <v>-0.106600000000014</v>
      </c>
      <c r="AD1067">
        <v>-8.4298999999999902E-2</v>
      </c>
      <c r="AE1067">
        <v>-0.67189999999999295</v>
      </c>
      <c r="AF1067">
        <v>7.7070718426320906E-2</v>
      </c>
      <c r="AG1067">
        <v>-8.4298999999999902E-2</v>
      </c>
      <c r="AH1067">
        <v>0.66556847944379505</v>
      </c>
      <c r="AI1067">
        <v>97.171069398127798</v>
      </c>
      <c r="AJ1067">
        <v>83.394748733346304</v>
      </c>
      <c r="AK1067">
        <v>0.67529816960278699</v>
      </c>
    </row>
    <row r="1068" spans="1:37" x14ac:dyDescent="0.2">
      <c r="A1068" t="str">
        <f>"20200111160120478"</f>
        <v>20200111160120478</v>
      </c>
      <c r="B1068" t="str">
        <f>"1578729680472332"</f>
        <v>1578729680472332</v>
      </c>
      <c r="C1068" t="s">
        <v>37</v>
      </c>
      <c r="D1068">
        <v>5.0212329999999996</v>
      </c>
      <c r="E1068">
        <v>0.52161150000000001</v>
      </c>
      <c r="F1068" t="s">
        <v>42</v>
      </c>
      <c r="G1068">
        <v>-189.07499999999999</v>
      </c>
      <c r="H1068">
        <v>1.023855</v>
      </c>
      <c r="I1068">
        <v>316.56569999999999</v>
      </c>
      <c r="J1068">
        <v>-188.97710000000001</v>
      </c>
      <c r="K1068">
        <v>1.105262</v>
      </c>
      <c r="L1068">
        <v>317.02780000000001</v>
      </c>
      <c r="M1068">
        <v>-3.7844709999999997E-2</v>
      </c>
      <c r="N1068">
        <v>0</v>
      </c>
      <c r="O1068">
        <v>-0.99919259999999999</v>
      </c>
      <c r="P1068">
        <v>-7.4845079999999994E-2</v>
      </c>
      <c r="Q1068">
        <v>-3.4081550000000002E-2</v>
      </c>
      <c r="R1068">
        <v>-0.99661299999999997</v>
      </c>
      <c r="S1068">
        <v>-0.38056950000000001</v>
      </c>
      <c r="T1068">
        <v>-0.28669729999999999</v>
      </c>
      <c r="U1068">
        <v>-2.9706419999999998</v>
      </c>
      <c r="V1068">
        <v>3.7121319999999999E-2</v>
      </c>
      <c r="W1068">
        <v>-2.0504689999999999E-2</v>
      </c>
      <c r="X1068">
        <v>0.9991004</v>
      </c>
      <c r="Y1068">
        <v>8.8859800000000003E-2</v>
      </c>
      <c r="Z1068">
        <v>9.5385200000000003E-2</v>
      </c>
      <c r="AA1068">
        <v>0.99146639999999997</v>
      </c>
      <c r="AB1068">
        <v>19</v>
      </c>
      <c r="AC1068">
        <v>-9.7899999999981405E-2</v>
      </c>
      <c r="AD1068">
        <v>-8.1407000000000201E-2</v>
      </c>
      <c r="AE1068">
        <v>-0.46210000000001999</v>
      </c>
      <c r="AF1068">
        <v>7.8022802316382797E-2</v>
      </c>
      <c r="AG1068">
        <v>-8.1407000000000201E-2</v>
      </c>
      <c r="AH1068">
        <v>0.45204759361246899</v>
      </c>
      <c r="AI1068">
        <v>100.06300912716399</v>
      </c>
      <c r="AJ1068">
        <v>80.207307782108003</v>
      </c>
      <c r="AK1068">
        <v>0.46589879182192001</v>
      </c>
    </row>
    <row r="1069" spans="1:37" x14ac:dyDescent="0.2">
      <c r="A1069" t="str">
        <f>"20200111160120678"</f>
        <v>20200111160120678</v>
      </c>
      <c r="B1069" t="str">
        <f>"1578729680671435"</f>
        <v>1578729680671435</v>
      </c>
      <c r="C1069" t="s">
        <v>37</v>
      </c>
      <c r="D1069">
        <v>5.0943839999999998</v>
      </c>
      <c r="E1069">
        <v>0.5210785</v>
      </c>
      <c r="F1069" t="s">
        <v>42</v>
      </c>
      <c r="G1069">
        <v>-189.1156</v>
      </c>
      <c r="H1069">
        <v>1.0408790000000001</v>
      </c>
      <c r="I1069">
        <v>314.67790000000002</v>
      </c>
      <c r="J1069">
        <v>-189.01349999999999</v>
      </c>
      <c r="K1069">
        <v>1.104654</v>
      </c>
      <c r="L1069">
        <v>315.31920000000002</v>
      </c>
      <c r="M1069">
        <v>-2.46993E-2</v>
      </c>
      <c r="N1069">
        <v>0</v>
      </c>
      <c r="O1069">
        <v>-0.99960459999999995</v>
      </c>
      <c r="P1069">
        <v>-7.5596969999999999E-2</v>
      </c>
      <c r="Q1069">
        <v>-1.7183759999999999E-2</v>
      </c>
      <c r="R1069">
        <v>-0.99699059999999995</v>
      </c>
      <c r="S1069">
        <v>-0.38002009999999897</v>
      </c>
      <c r="T1069">
        <v>-0.2299167</v>
      </c>
      <c r="U1069">
        <v>-2.9759829999999998</v>
      </c>
      <c r="V1069">
        <v>5.0949220000000003E-2</v>
      </c>
      <c r="W1069">
        <v>-3.7129300000000001E-3</v>
      </c>
      <c r="X1069">
        <v>0.99869439999999998</v>
      </c>
      <c r="Y1069">
        <v>0.1017549</v>
      </c>
      <c r="Z1069">
        <v>7.6484239999999995E-2</v>
      </c>
      <c r="AA1069">
        <v>0.991865</v>
      </c>
      <c r="AB1069">
        <v>19</v>
      </c>
      <c r="AC1069">
        <v>-0.102100000000007</v>
      </c>
      <c r="AD1069">
        <v>-6.3774999999999901E-2</v>
      </c>
      <c r="AE1069">
        <v>-0.64130000000000098</v>
      </c>
      <c r="AF1069">
        <v>8.5404022932022705E-2</v>
      </c>
      <c r="AG1069">
        <v>-6.3774999999999901E-2</v>
      </c>
      <c r="AH1069">
        <v>0.637477798444815</v>
      </c>
      <c r="AI1069">
        <v>95.662755836556101</v>
      </c>
      <c r="AJ1069">
        <v>82.369419397765796</v>
      </c>
      <c r="AK1069">
        <v>0.64632734838317196</v>
      </c>
    </row>
    <row r="1070" spans="1:37" x14ac:dyDescent="0.2">
      <c r="A1070" t="str">
        <f>"20200111160120701"</f>
        <v>20200111160120701</v>
      </c>
      <c r="B1070" t="str">
        <f>"1578729680691931"</f>
        <v>1578729680691931</v>
      </c>
      <c r="C1070" t="s">
        <v>37</v>
      </c>
      <c r="D1070">
        <v>5.3163229999999997</v>
      </c>
      <c r="E1070">
        <v>0.4790063</v>
      </c>
      <c r="F1070" t="s">
        <v>42</v>
      </c>
      <c r="G1070">
        <v>-189.1163</v>
      </c>
      <c r="H1070">
        <v>1.0420100000000001</v>
      </c>
      <c r="I1070">
        <v>314.50749999999999</v>
      </c>
      <c r="J1070">
        <v>-189.01750000000001</v>
      </c>
      <c r="K1070">
        <v>1.104535</v>
      </c>
      <c r="L1070">
        <v>315.12040000000002</v>
      </c>
      <c r="M1070">
        <v>-2.4061240000000001E-2</v>
      </c>
      <c r="N1070">
        <v>0</v>
      </c>
      <c r="O1070">
        <v>-0.99962039999999996</v>
      </c>
      <c r="P1070">
        <v>-7.5111490000000003E-2</v>
      </c>
      <c r="Q1070">
        <v>-1.5987299999999999E-2</v>
      </c>
      <c r="R1070">
        <v>-0.99704740000000003</v>
      </c>
      <c r="S1070">
        <v>-0.37651059999999997</v>
      </c>
      <c r="T1070">
        <v>-0.2299081</v>
      </c>
      <c r="U1070">
        <v>-2.9765630000000001</v>
      </c>
      <c r="V1070">
        <v>5.1098350000000001E-2</v>
      </c>
      <c r="W1070">
        <v>-2.5365129999999998E-3</v>
      </c>
      <c r="X1070">
        <v>0.99869039999999998</v>
      </c>
      <c r="Y1070">
        <v>0.10121479999999999</v>
      </c>
      <c r="Z1070">
        <v>7.6476240000000001E-2</v>
      </c>
      <c r="AA1070">
        <v>0.99192080000000005</v>
      </c>
      <c r="AB1070">
        <v>19</v>
      </c>
      <c r="AC1070">
        <v>-9.8799999999982901E-2</v>
      </c>
      <c r="AD1070">
        <v>-6.25249999999999E-2</v>
      </c>
      <c r="AE1070">
        <v>-0.61290000000002398</v>
      </c>
      <c r="AF1070">
        <v>8.3179202342377204E-2</v>
      </c>
      <c r="AG1070">
        <v>-6.25249999999999E-2</v>
      </c>
      <c r="AH1070">
        <v>0.60892338946880598</v>
      </c>
      <c r="AI1070">
        <v>95.809081063520495</v>
      </c>
      <c r="AJ1070">
        <v>82.221514298133499</v>
      </c>
      <c r="AK1070">
        <v>0.617750637044992</v>
      </c>
    </row>
    <row r="1071" spans="1:37" x14ac:dyDescent="0.2">
      <c r="A1071" t="str">
        <f>"20200111160120726"</f>
        <v>20200111160120726</v>
      </c>
      <c r="B1071" t="str">
        <f>"1578729680722187"</f>
        <v>1578729680722187</v>
      </c>
      <c r="C1071" t="s">
        <v>37</v>
      </c>
      <c r="D1071">
        <v>5.120196</v>
      </c>
      <c r="E1071">
        <v>0.45640559999999902</v>
      </c>
      <c r="F1071" t="s">
        <v>42</v>
      </c>
      <c r="G1071">
        <v>-189.0264</v>
      </c>
      <c r="H1071">
        <v>1.033328</v>
      </c>
      <c r="I1071">
        <v>314.3372</v>
      </c>
      <c r="J1071">
        <v>-189.02160000000001</v>
      </c>
      <c r="K1071">
        <v>1.1044</v>
      </c>
      <c r="L1071">
        <v>314.92189999999999</v>
      </c>
      <c r="M1071">
        <v>-2.3670960000000001E-2</v>
      </c>
      <c r="N1071">
        <v>0</v>
      </c>
      <c r="O1071">
        <v>-0.99962929999999905</v>
      </c>
      <c r="P1071">
        <v>-7.5225710000000001E-2</v>
      </c>
      <c r="Q1071">
        <v>-1.5634060000000002E-2</v>
      </c>
      <c r="R1071">
        <v>-0.99704400000000004</v>
      </c>
      <c r="S1071">
        <v>-3.3905030000000003E-2</v>
      </c>
      <c r="T1071">
        <v>-0.2731189</v>
      </c>
      <c r="U1071">
        <v>-3.0019230000000001</v>
      </c>
      <c r="V1071">
        <v>5.1601620000000001E-2</v>
      </c>
      <c r="W1071">
        <v>-2.2056049999999998E-3</v>
      </c>
      <c r="X1071">
        <v>0.99866529999999998</v>
      </c>
      <c r="Y1071">
        <v>-1.242746E-2</v>
      </c>
      <c r="Z1071">
        <v>9.0562719999999999E-2</v>
      </c>
      <c r="AA1071">
        <v>0.99581319999999995</v>
      </c>
      <c r="AB1071">
        <v>19</v>
      </c>
      <c r="AC1071">
        <v>-4.7999999999888097E-3</v>
      </c>
      <c r="AD1071">
        <v>-7.1071999999999996E-2</v>
      </c>
      <c r="AE1071">
        <v>-0.584699999999997</v>
      </c>
      <c r="AF1071">
        <v>-8.9113505065344899E-3</v>
      </c>
      <c r="AG1071">
        <v>-7.1071999999999996E-2</v>
      </c>
      <c r="AH1071">
        <v>0.57613784085672404</v>
      </c>
      <c r="AI1071">
        <v>97.031609977342001</v>
      </c>
      <c r="AJ1071">
        <v>90.886145686167097</v>
      </c>
      <c r="AK1071">
        <v>0.58057338297488104</v>
      </c>
    </row>
    <row r="1072" spans="1:37" x14ac:dyDescent="0.2">
      <c r="A1072" t="str">
        <f>"20200111160120747"</f>
        <v>20200111160120747</v>
      </c>
      <c r="B1072" t="str">
        <f>"1578729680741708"</f>
        <v>1578729680741708</v>
      </c>
      <c r="C1072" t="s">
        <v>37</v>
      </c>
      <c r="D1072">
        <v>5.0728099999999996</v>
      </c>
      <c r="E1072">
        <v>0.45172629999999903</v>
      </c>
      <c r="F1072" t="s">
        <v>54</v>
      </c>
      <c r="G1072">
        <v>-188.2919</v>
      </c>
      <c r="H1072" s="1">
        <v>1.5204060000000001E-7</v>
      </c>
      <c r="I1072">
        <v>299.18619999999999</v>
      </c>
      <c r="J1072">
        <v>-189.0256</v>
      </c>
      <c r="K1072">
        <v>1.1042650000000001</v>
      </c>
      <c r="L1072">
        <v>314.7389</v>
      </c>
      <c r="M1072">
        <v>-2.3529439999999999E-2</v>
      </c>
      <c r="N1072">
        <v>0</v>
      </c>
      <c r="O1072">
        <v>-0.99963279999999999</v>
      </c>
      <c r="P1072">
        <v>-7.6074240000000001E-2</v>
      </c>
      <c r="Q1072">
        <v>-1.520181E-2</v>
      </c>
      <c r="R1072">
        <v>-0.9969865</v>
      </c>
      <c r="S1072">
        <v>0.13986209999999999</v>
      </c>
      <c r="T1072">
        <v>-0.2116826</v>
      </c>
      <c r="U1072">
        <v>-3.0160830000000001</v>
      </c>
      <c r="V1072">
        <v>5.2591989999999998E-2</v>
      </c>
      <c r="W1072">
        <v>-1.795105E-3</v>
      </c>
      <c r="X1072">
        <v>0.99861449999999996</v>
      </c>
      <c r="Y1072">
        <v>-6.9702520000000004E-2</v>
      </c>
      <c r="Z1072">
        <v>6.9860779999999997E-2</v>
      </c>
      <c r="AA1072">
        <v>0.99511859999999996</v>
      </c>
      <c r="AB1072">
        <v>19</v>
      </c>
      <c r="AC1072">
        <v>0.73369999999999802</v>
      </c>
      <c r="AD1072">
        <v>-1.1042648479593999</v>
      </c>
      <c r="AE1072">
        <v>-15.5527</v>
      </c>
      <c r="AF1072">
        <v>-1.09397350542543</v>
      </c>
      <c r="AG1072">
        <v>-1.1042648479593999</v>
      </c>
      <c r="AH1072">
        <v>15.4533974071944</v>
      </c>
      <c r="AI1072">
        <v>94.077110640915606</v>
      </c>
      <c r="AJ1072">
        <v>94.049314871076902</v>
      </c>
      <c r="AK1072">
        <v>15.531376961161399</v>
      </c>
    </row>
    <row r="1073" spans="1:37" x14ac:dyDescent="0.2">
      <c r="A1073" t="str">
        <f>"20200111160120770"</f>
        <v>20200111160120770</v>
      </c>
      <c r="B1073" t="str">
        <f>"1578729680762203"</f>
        <v>1578729680762203</v>
      </c>
      <c r="C1073" t="s">
        <v>37</v>
      </c>
      <c r="D1073">
        <v>5.1035069999999996</v>
      </c>
      <c r="E1073">
        <v>0.44911089999999998</v>
      </c>
      <c r="F1073" t="s">
        <v>54</v>
      </c>
      <c r="G1073">
        <v>-188.07380000000001</v>
      </c>
      <c r="H1073" s="1">
        <v>4.906685E-7</v>
      </c>
      <c r="I1073">
        <v>298.22829999999999</v>
      </c>
      <c r="J1073">
        <v>-189.03</v>
      </c>
      <c r="K1073">
        <v>1.1041239999999899</v>
      </c>
      <c r="L1073">
        <v>314.548</v>
      </c>
      <c r="M1073">
        <v>-2.3607240000000002E-2</v>
      </c>
      <c r="N1073">
        <v>0</v>
      </c>
      <c r="O1073">
        <v>-0.99963099999999905</v>
      </c>
      <c r="P1073">
        <v>-7.8193310000000002E-2</v>
      </c>
      <c r="Q1073">
        <v>-1.5444630000000001E-2</v>
      </c>
      <c r="R1073">
        <v>-0.99681869999999995</v>
      </c>
      <c r="S1073">
        <v>0.17404169999999999</v>
      </c>
      <c r="T1073">
        <v>-0.201934</v>
      </c>
      <c r="U1073">
        <v>-3.0192570000000001</v>
      </c>
      <c r="V1073">
        <v>5.4635929999999999E-2</v>
      </c>
      <c r="W1073">
        <v>-2.0619729999999999E-3</v>
      </c>
      <c r="X1073">
        <v>0.99850419999999995</v>
      </c>
      <c r="Y1073">
        <v>-8.0974909999999997E-2</v>
      </c>
      <c r="Z1073">
        <v>6.6540450000000001E-2</v>
      </c>
      <c r="AA1073">
        <v>0.994492499999999</v>
      </c>
      <c r="AB1073">
        <v>19</v>
      </c>
      <c r="AC1073">
        <v>0.95619999999999505</v>
      </c>
      <c r="AD1073">
        <v>-1.1041235093314901</v>
      </c>
      <c r="AE1073">
        <v>-16.319700000000001</v>
      </c>
      <c r="AF1073">
        <v>-1.3351408757635399</v>
      </c>
      <c r="AG1073">
        <v>-1.1041235093314901</v>
      </c>
      <c r="AH1073">
        <v>16.218592115887802</v>
      </c>
      <c r="AI1073">
        <v>93.881462967746799</v>
      </c>
      <c r="AJ1073">
        <v>94.706070103600695</v>
      </c>
      <c r="AK1073">
        <v>16.310868159099599</v>
      </c>
    </row>
    <row r="1074" spans="1:37" x14ac:dyDescent="0.2">
      <c r="A1074" t="str">
        <f>"20200111160120792"</f>
        <v>20200111160120792</v>
      </c>
      <c r="B1074" t="str">
        <f>"1578729680782701"</f>
        <v>1578729680782701</v>
      </c>
      <c r="C1074" t="s">
        <v>37</v>
      </c>
      <c r="D1074">
        <v>5.0697599999999996</v>
      </c>
      <c r="E1074">
        <v>0.44762839999999998</v>
      </c>
      <c r="F1074" t="s">
        <v>54</v>
      </c>
      <c r="G1074">
        <v>-187.9744</v>
      </c>
      <c r="H1074" s="1">
        <v>7.2006259999999996E-7</v>
      </c>
      <c r="I1074">
        <v>297.57940000000002</v>
      </c>
      <c r="J1074">
        <v>-189.03469999999999</v>
      </c>
      <c r="K1074">
        <v>1.104001</v>
      </c>
      <c r="L1074">
        <v>314.35899999999998</v>
      </c>
      <c r="M1074">
        <v>-2.3931930000000001E-2</v>
      </c>
      <c r="N1074">
        <v>0</v>
      </c>
      <c r="O1074">
        <v>-0.99962359999999995</v>
      </c>
      <c r="P1074">
        <v>-8.0679100000000004E-2</v>
      </c>
      <c r="Q1074">
        <v>-1.5795699999999999E-2</v>
      </c>
      <c r="R1074">
        <v>-0.99661549999999999</v>
      </c>
      <c r="S1074">
        <v>0.18794249999999901</v>
      </c>
      <c r="T1074">
        <v>-0.1965874</v>
      </c>
      <c r="U1074">
        <v>-3.0212400000000001</v>
      </c>
      <c r="V1074">
        <v>5.6800620000000003E-2</v>
      </c>
      <c r="W1074">
        <v>-2.4362310000000001E-3</v>
      </c>
      <c r="X1074">
        <v>0.99838259999999901</v>
      </c>
      <c r="Y1074">
        <v>-8.5826890000000003E-2</v>
      </c>
      <c r="Z1074">
        <v>6.4721139999999996E-2</v>
      </c>
      <c r="AA1074">
        <v>0.99420569999999897</v>
      </c>
      <c r="AB1074">
        <v>19</v>
      </c>
      <c r="AC1074">
        <v>1.06029999999998</v>
      </c>
      <c r="AD1074">
        <v>-1.1040002799374</v>
      </c>
      <c r="AE1074">
        <v>-16.779599999999999</v>
      </c>
      <c r="AF1074">
        <v>-1.45532573838334</v>
      </c>
      <c r="AG1074">
        <v>-1.1040002799374</v>
      </c>
      <c r="AH1074">
        <v>16.677508244035799</v>
      </c>
      <c r="AI1074">
        <v>93.772984291468802</v>
      </c>
      <c r="AJ1074">
        <v>94.987155904834495</v>
      </c>
      <c r="AK1074">
        <v>16.777248607944799</v>
      </c>
    </row>
    <row r="1075" spans="1:37" x14ac:dyDescent="0.2">
      <c r="A1075" t="str">
        <f>"20200111160120812"</f>
        <v>20200111160120812</v>
      </c>
      <c r="B1075" t="str">
        <f>"1578729680802219"</f>
        <v>1578729680802219</v>
      </c>
      <c r="C1075" t="s">
        <v>37</v>
      </c>
      <c r="D1075">
        <v>5.0755530000000002</v>
      </c>
      <c r="E1075">
        <v>0.44643859999999902</v>
      </c>
      <c r="F1075" t="s">
        <v>54</v>
      </c>
      <c r="G1075">
        <v>-187.94909999999999</v>
      </c>
      <c r="H1075" s="1">
        <v>8.285005E-7</v>
      </c>
      <c r="I1075">
        <v>297.27260000000001</v>
      </c>
      <c r="J1075">
        <v>-189.0393</v>
      </c>
      <c r="K1075">
        <v>1.103917</v>
      </c>
      <c r="L1075">
        <v>314.18329999999997</v>
      </c>
      <c r="M1075">
        <v>-2.4401369999999999E-2</v>
      </c>
      <c r="N1075">
        <v>0</v>
      </c>
      <c r="O1075">
        <v>-0.99961239999999996</v>
      </c>
      <c r="P1075">
        <v>-8.3435560000000006E-2</v>
      </c>
      <c r="Q1075">
        <v>-1.4510210000000001E-2</v>
      </c>
      <c r="R1075">
        <v>-0.99640810000000002</v>
      </c>
      <c r="S1075">
        <v>0.1920471</v>
      </c>
      <c r="T1075">
        <v>-0.19530120000000001</v>
      </c>
      <c r="U1075">
        <v>-3.0226439999999899</v>
      </c>
      <c r="V1075">
        <v>5.9093449999999999E-2</v>
      </c>
      <c r="W1075">
        <v>-1.16997E-3</v>
      </c>
      <c r="X1075">
        <v>0.99825180000000002</v>
      </c>
      <c r="Y1075">
        <v>-8.7612659999999995E-2</v>
      </c>
      <c r="Z1075">
        <v>6.4260929999999994E-2</v>
      </c>
      <c r="AA1075">
        <v>0.99407979999999996</v>
      </c>
      <c r="AB1075">
        <v>19</v>
      </c>
      <c r="AC1075">
        <v>1.09020000000001</v>
      </c>
      <c r="AD1075">
        <v>-1.1039161714995001</v>
      </c>
      <c r="AE1075">
        <v>-16.910699999999899</v>
      </c>
      <c r="AF1075">
        <v>-1.4962071394082499</v>
      </c>
      <c r="AG1075">
        <v>-1.1039161714995001</v>
      </c>
      <c r="AH1075">
        <v>16.8077315601553</v>
      </c>
      <c r="AI1075">
        <v>93.742977596186506</v>
      </c>
      <c r="AJ1075">
        <v>95.087003082218303</v>
      </c>
      <c r="AK1075">
        <v>16.9102663171209</v>
      </c>
    </row>
    <row r="1076" spans="1:37" x14ac:dyDescent="0.2">
      <c r="A1076" t="str">
        <f>"20200111160120837"</f>
        <v>20200111160120837</v>
      </c>
      <c r="B1076" t="str">
        <f>"1578729680831499"</f>
        <v>1578729680831499</v>
      </c>
      <c r="C1076" t="s">
        <v>37</v>
      </c>
      <c r="D1076">
        <v>5.2036819999999997</v>
      </c>
      <c r="E1076">
        <v>0.444826099999999</v>
      </c>
      <c r="F1076" t="s">
        <v>54</v>
      </c>
      <c r="G1076">
        <v>-187.91299999999899</v>
      </c>
      <c r="H1076" s="1">
        <v>1.1023569999999999E-6</v>
      </c>
      <c r="I1076">
        <v>296.49790000000002</v>
      </c>
      <c r="J1076">
        <v>-189.04499999999999</v>
      </c>
      <c r="K1076">
        <v>1.1038509999999999</v>
      </c>
      <c r="L1076">
        <v>313.98180000000002</v>
      </c>
      <c r="M1076">
        <v>-2.513112E-2</v>
      </c>
      <c r="N1076">
        <v>0</v>
      </c>
      <c r="O1076">
        <v>-0.99959399999999998</v>
      </c>
      <c r="P1076">
        <v>-8.759815E-2</v>
      </c>
      <c r="Q1076">
        <v>-1.2697180000000001E-2</v>
      </c>
      <c r="R1076">
        <v>-0.99607489999999999</v>
      </c>
      <c r="S1076">
        <v>0.1925964</v>
      </c>
      <c r="T1076">
        <v>-0.18876709999999999</v>
      </c>
      <c r="U1076">
        <v>-3.0241699999999998</v>
      </c>
      <c r="V1076">
        <v>6.2536659999999994E-2</v>
      </c>
      <c r="W1076">
        <v>6.2162079999999998E-4</v>
      </c>
      <c r="X1076">
        <v>0.99804249999999906</v>
      </c>
      <c r="Y1076">
        <v>-8.8496710000000006E-2</v>
      </c>
      <c r="Z1076">
        <v>6.208383E-2</v>
      </c>
      <c r="AA1076">
        <v>0.99413980000000002</v>
      </c>
      <c r="AB1076">
        <v>19</v>
      </c>
      <c r="AC1076">
        <v>1.1319999999999999</v>
      </c>
      <c r="AD1076">
        <v>-1.103849897643</v>
      </c>
      <c r="AE1076">
        <v>-17.483899999999998</v>
      </c>
      <c r="AF1076">
        <v>-1.5648604227084</v>
      </c>
      <c r="AG1076">
        <v>-1.103849897643</v>
      </c>
      <c r="AH1076">
        <v>17.380933791871701</v>
      </c>
      <c r="AI1076">
        <v>93.619330598111105</v>
      </c>
      <c r="AJ1076">
        <v>95.144649311625898</v>
      </c>
      <c r="AK1076">
        <v>17.486112553009399</v>
      </c>
    </row>
    <row r="1077" spans="1:37" x14ac:dyDescent="0.2">
      <c r="A1077" t="str">
        <f>"20200111160120858"</f>
        <v>20200111160120858</v>
      </c>
      <c r="B1077" t="str">
        <f>"1578729680851996"</f>
        <v>1578729680851996</v>
      </c>
      <c r="C1077" t="s">
        <v>37</v>
      </c>
      <c r="D1077">
        <v>5.2400820000000001</v>
      </c>
      <c r="E1077">
        <v>0.44373859999999898</v>
      </c>
      <c r="F1077" t="s">
        <v>54</v>
      </c>
      <c r="G1077">
        <v>-187.875</v>
      </c>
      <c r="H1077" s="1">
        <v>1.4147969999999999E-6</v>
      </c>
      <c r="I1077">
        <v>295.57010000000002</v>
      </c>
      <c r="J1077">
        <v>-189.0504</v>
      </c>
      <c r="K1077">
        <v>1.103788</v>
      </c>
      <c r="L1077">
        <v>313.79899999999998</v>
      </c>
      <c r="M1077">
        <v>-2.594345E-2</v>
      </c>
      <c r="N1077">
        <v>0</v>
      </c>
      <c r="O1077">
        <v>-0.99957320000000005</v>
      </c>
      <c r="P1077">
        <v>-9.2041629999999999E-2</v>
      </c>
      <c r="Q1077">
        <v>-1.212209E-2</v>
      </c>
      <c r="R1077">
        <v>-0.99568129999999999</v>
      </c>
      <c r="S1077">
        <v>0.19230649999999999</v>
      </c>
      <c r="T1077">
        <v>-0.18144549999999901</v>
      </c>
      <c r="U1077">
        <v>-3.0264279999999899</v>
      </c>
      <c r="V1077">
        <v>6.6178810000000005E-2</v>
      </c>
      <c r="W1077">
        <v>1.1757060000000001E-3</v>
      </c>
      <c r="X1077">
        <v>0.99780709999999995</v>
      </c>
      <c r="Y1077">
        <v>-8.9173730000000007E-2</v>
      </c>
      <c r="Z1077">
        <v>5.963682E-2</v>
      </c>
      <c r="AA1077">
        <v>0.99422909999999998</v>
      </c>
      <c r="AB1077">
        <v>19</v>
      </c>
      <c r="AC1077">
        <v>1.17539999999999</v>
      </c>
      <c r="AD1077">
        <v>-1.103786585203</v>
      </c>
      <c r="AE1077">
        <v>-18.228899999999999</v>
      </c>
      <c r="AF1077">
        <v>-1.6419721802584</v>
      </c>
      <c r="AG1077">
        <v>-1.103786585203</v>
      </c>
      <c r="AH1077">
        <v>18.1260828373014</v>
      </c>
      <c r="AI1077">
        <v>93.470544174715101</v>
      </c>
      <c r="AJ1077">
        <v>95.176077268807006</v>
      </c>
      <c r="AK1077">
        <v>18.2337406061162</v>
      </c>
    </row>
    <row r="1078" spans="1:37" x14ac:dyDescent="0.2">
      <c r="A1078" t="str">
        <f>"20200111160120882"</f>
        <v>20200111160120882</v>
      </c>
      <c r="B1078" t="str">
        <f>"1578729680871515"</f>
        <v>1578729680871515</v>
      </c>
      <c r="C1078" t="s">
        <v>37</v>
      </c>
      <c r="D1078">
        <v>5.0670809999999999</v>
      </c>
      <c r="E1078">
        <v>0.44304480000000002</v>
      </c>
      <c r="F1078" t="s">
        <v>54</v>
      </c>
      <c r="G1078">
        <v>-187.87530000000001</v>
      </c>
      <c r="H1078" s="1">
        <v>1.55205E-6</v>
      </c>
      <c r="I1078">
        <v>294.79090000000002</v>
      </c>
      <c r="J1078">
        <v>-189.0565</v>
      </c>
      <c r="K1078">
        <v>1.1037090000000001</v>
      </c>
      <c r="L1078">
        <v>313.60550000000001</v>
      </c>
      <c r="M1078">
        <v>-2.6952159999999999E-2</v>
      </c>
      <c r="N1078">
        <v>0</v>
      </c>
      <c r="O1078">
        <v>-0.99954679999999996</v>
      </c>
      <c r="P1078">
        <v>-9.7769620000000002E-2</v>
      </c>
      <c r="Q1078">
        <v>-1.285645E-2</v>
      </c>
      <c r="R1078">
        <v>-0.99512630000000002</v>
      </c>
      <c r="S1078">
        <v>0.18719479999999999</v>
      </c>
      <c r="T1078">
        <v>-0.17584320000000001</v>
      </c>
      <c r="U1078">
        <v>-3.028168</v>
      </c>
      <c r="V1078">
        <v>7.0911699999999994E-2</v>
      </c>
      <c r="W1078">
        <v>4.1515049999999999E-4</v>
      </c>
      <c r="X1078">
        <v>0.99748250000000005</v>
      </c>
      <c r="Y1078">
        <v>-8.8477710000000001E-2</v>
      </c>
      <c r="Z1078">
        <v>5.777127E-2</v>
      </c>
      <c r="AA1078">
        <v>0.99440139999999999</v>
      </c>
      <c r="AB1078">
        <v>19</v>
      </c>
      <c r="AC1078">
        <v>1.18119999999998</v>
      </c>
      <c r="AD1078">
        <v>-1.10370744795</v>
      </c>
      <c r="AE1078">
        <v>-18.814599999999899</v>
      </c>
      <c r="AF1078">
        <v>-1.68214454236571</v>
      </c>
      <c r="AG1078">
        <v>-1.10370744795</v>
      </c>
      <c r="AH1078">
        <v>18.711785746707601</v>
      </c>
      <c r="AI1078">
        <v>93.362131149261103</v>
      </c>
      <c r="AJ1078">
        <v>95.136944291211705</v>
      </c>
      <c r="AK1078">
        <v>18.819636187311399</v>
      </c>
    </row>
    <row r="1079" spans="1:37" x14ac:dyDescent="0.2">
      <c r="A1079" t="str">
        <f>"20200111160120904"</f>
        <v>20200111160120904</v>
      </c>
      <c r="B1079" t="str">
        <f>"1578729680901771"</f>
        <v>1578729680901771</v>
      </c>
      <c r="C1079" t="s">
        <v>37</v>
      </c>
      <c r="D1079">
        <v>5.3503189999999998</v>
      </c>
      <c r="E1079">
        <v>0.44325019999999998</v>
      </c>
      <c r="F1079" t="s">
        <v>54</v>
      </c>
      <c r="G1079">
        <v>-187.96299999999999</v>
      </c>
      <c r="H1079" s="1">
        <v>1.5801050000000001E-6</v>
      </c>
      <c r="I1079">
        <v>294.67570000000001</v>
      </c>
      <c r="J1079">
        <v>-189.06299999999999</v>
      </c>
      <c r="K1079">
        <v>1.103629</v>
      </c>
      <c r="L1079">
        <v>313.4119</v>
      </c>
      <c r="M1079">
        <v>-2.8109209999999999E-2</v>
      </c>
      <c r="N1079">
        <v>0</v>
      </c>
      <c r="O1079">
        <v>-0.99951460000000003</v>
      </c>
      <c r="P1079">
        <v>-0.1032665</v>
      </c>
      <c r="Q1079">
        <v>-1.3483180000000001E-2</v>
      </c>
      <c r="R1079">
        <v>-0.99456230000000001</v>
      </c>
      <c r="S1079">
        <v>0.17501829999999999</v>
      </c>
      <c r="T1079">
        <v>-0.1766443</v>
      </c>
      <c r="U1079">
        <v>-3.029633</v>
      </c>
      <c r="V1079">
        <v>7.5266470000000002E-2</v>
      </c>
      <c r="W1079">
        <v>-2.384621E-4</v>
      </c>
      <c r="X1079">
        <v>0.99716340000000003</v>
      </c>
      <c r="Y1079">
        <v>-8.5617579999999999E-2</v>
      </c>
      <c r="Z1079">
        <v>5.8017060000000002E-2</v>
      </c>
      <c r="AA1079">
        <v>0.9946374</v>
      </c>
      <c r="AB1079">
        <v>19</v>
      </c>
      <c r="AC1079">
        <v>1.0999999999999901</v>
      </c>
      <c r="AD1079">
        <v>-1.103627419895</v>
      </c>
      <c r="AE1079">
        <v>-18.7362</v>
      </c>
      <c r="AF1079">
        <v>-1.62066877695214</v>
      </c>
      <c r="AG1079">
        <v>-1.103627419895</v>
      </c>
      <c r="AH1079">
        <v>18.633443390042402</v>
      </c>
      <c r="AI1079">
        <v>93.376853519737296</v>
      </c>
      <c r="AJ1079">
        <v>94.970867918747899</v>
      </c>
      <c r="AK1079">
        <v>18.736322300186</v>
      </c>
    </row>
    <row r="1080" spans="1:37" x14ac:dyDescent="0.2">
      <c r="A1080" t="str">
        <f>"20200111160120927"</f>
        <v>20200111160120927</v>
      </c>
      <c r="B1080" t="str">
        <f>"1578729680922268"</f>
        <v>1578729680922268</v>
      </c>
      <c r="C1080" t="s">
        <v>37</v>
      </c>
      <c r="D1080">
        <v>5.1231770000000001</v>
      </c>
      <c r="E1080">
        <v>0.50838939999999999</v>
      </c>
      <c r="F1080" t="s">
        <v>54</v>
      </c>
      <c r="G1080">
        <v>-188.1003</v>
      </c>
      <c r="H1080" s="1">
        <v>1.573552E-6</v>
      </c>
      <c r="I1080">
        <v>294.78210000000001</v>
      </c>
      <c r="J1080">
        <v>-189.06960000000001</v>
      </c>
      <c r="K1080">
        <v>1.1035549999999901</v>
      </c>
      <c r="L1080">
        <v>313.22829999999999</v>
      </c>
      <c r="M1080">
        <v>-2.934784E-2</v>
      </c>
      <c r="N1080">
        <v>0</v>
      </c>
      <c r="O1080">
        <v>-0.99947900000000001</v>
      </c>
      <c r="P1080">
        <v>-0.10956680000000001</v>
      </c>
      <c r="Q1080">
        <v>-1.3904730000000001E-2</v>
      </c>
      <c r="R1080">
        <v>-0.99388240000000005</v>
      </c>
      <c r="S1080">
        <v>0.15658569999999999</v>
      </c>
      <c r="T1080">
        <v>-0.17950949999999999</v>
      </c>
      <c r="U1080">
        <v>-3.0302119999999899</v>
      </c>
      <c r="V1080">
        <v>8.0347349999999998E-2</v>
      </c>
      <c r="W1080">
        <v>-6.8936170000000001E-4</v>
      </c>
      <c r="X1080">
        <v>0.99676669999999901</v>
      </c>
      <c r="Y1080">
        <v>-8.0805230000000006E-2</v>
      </c>
      <c r="Z1080">
        <v>5.8962109999999998E-2</v>
      </c>
      <c r="AA1080">
        <v>0.99498439999999999</v>
      </c>
      <c r="AB1080">
        <v>19</v>
      </c>
      <c r="AC1080">
        <v>0.96930000000000405</v>
      </c>
      <c r="AD1080">
        <v>-1.10355342644799</v>
      </c>
      <c r="AE1080">
        <v>-18.446199999999902</v>
      </c>
      <c r="AF1080">
        <v>-1.5049159782347901</v>
      </c>
      <c r="AG1080">
        <v>-1.10355342644799</v>
      </c>
      <c r="AH1080">
        <v>18.3443283575332</v>
      </c>
      <c r="AI1080">
        <v>93.431137082961399</v>
      </c>
      <c r="AJ1080">
        <v>94.689878801123498</v>
      </c>
      <c r="AK1080">
        <v>18.439007162956699</v>
      </c>
    </row>
    <row r="1081" spans="1:37" x14ac:dyDescent="0.2">
      <c r="A1081" t="str">
        <f>"20200111160120951"</f>
        <v>20200111160120951</v>
      </c>
      <c r="B1081" t="str">
        <f>"1578729680941787"</f>
        <v>1578729680941787</v>
      </c>
      <c r="C1081" t="s">
        <v>37</v>
      </c>
      <c r="D1081">
        <v>5.1575519999999999</v>
      </c>
      <c r="E1081">
        <v>0.60362740000000004</v>
      </c>
      <c r="F1081" t="s">
        <v>54</v>
      </c>
      <c r="G1081">
        <v>-191.41640000000001</v>
      </c>
      <c r="H1081" s="1">
        <v>1.52154E-6</v>
      </c>
      <c r="I1081">
        <v>294.9461</v>
      </c>
      <c r="J1081">
        <v>-189.0772</v>
      </c>
      <c r="K1081">
        <v>1.103486</v>
      </c>
      <c r="L1081">
        <v>313.02820000000003</v>
      </c>
      <c r="M1081">
        <v>-3.0856910000000001E-2</v>
      </c>
      <c r="N1081">
        <v>0</v>
      </c>
      <c r="O1081">
        <v>-0.99943379999999904</v>
      </c>
      <c r="P1081">
        <v>-0.1158898</v>
      </c>
      <c r="Q1081">
        <v>-1.416824E-2</v>
      </c>
      <c r="R1081">
        <v>-0.99316130000000002</v>
      </c>
      <c r="S1081">
        <v>-0.38174439999999998</v>
      </c>
      <c r="T1081">
        <v>-0.179508</v>
      </c>
      <c r="U1081">
        <v>-2.973846</v>
      </c>
      <c r="V1081">
        <v>8.5183880000000003E-2</v>
      </c>
      <c r="W1081">
        <v>-9.835674E-4</v>
      </c>
      <c r="X1081">
        <v>0.99636480000000005</v>
      </c>
      <c r="Y1081">
        <v>9.6425289999999997E-2</v>
      </c>
      <c r="Z1081">
        <v>5.982473E-2</v>
      </c>
      <c r="AA1081">
        <v>0.99354069999999906</v>
      </c>
      <c r="AB1081">
        <v>19</v>
      </c>
      <c r="AC1081">
        <v>-2.3391999999999999</v>
      </c>
      <c r="AD1081">
        <v>-1.10348447846</v>
      </c>
      <c r="AE1081">
        <v>-18.082100000000001</v>
      </c>
      <c r="AF1081">
        <v>1.77358148793168</v>
      </c>
      <c r="AG1081">
        <v>-1.10348447846</v>
      </c>
      <c r="AH1081">
        <v>18.079451470266999</v>
      </c>
      <c r="AI1081">
        <v>93.476086629769895</v>
      </c>
      <c r="AJ1081">
        <v>84.397251023156798</v>
      </c>
      <c r="AK1081">
        <v>18.199720732865</v>
      </c>
    </row>
    <row r="1082" spans="1:37" x14ac:dyDescent="0.2">
      <c r="A1082" t="str">
        <f>"20200111160120992"</f>
        <v>20200111160120992</v>
      </c>
      <c r="B1082" t="str">
        <f>"1578729680981804"</f>
        <v>1578729680981804</v>
      </c>
      <c r="C1082" t="s">
        <v>37</v>
      </c>
      <c r="D1082">
        <v>5.2937149999999997</v>
      </c>
      <c r="E1082">
        <v>0.5975568</v>
      </c>
      <c r="F1082" t="s">
        <v>38</v>
      </c>
      <c r="G1082">
        <v>-193.44040000000001</v>
      </c>
      <c r="H1082" s="1">
        <v>-1.9800679999999999E-6</v>
      </c>
      <c r="I1082">
        <v>302.07089999999999</v>
      </c>
      <c r="J1082">
        <v>-189.0917</v>
      </c>
      <c r="K1082">
        <v>1.1033959999999901</v>
      </c>
      <c r="L1082">
        <v>312.67919999999998</v>
      </c>
      <c r="M1082">
        <v>-3.3867939999999999E-2</v>
      </c>
      <c r="N1082">
        <v>0</v>
      </c>
      <c r="O1082">
        <v>-0.99933629999999996</v>
      </c>
      <c r="P1082">
        <v>-0.12827269999999999</v>
      </c>
      <c r="Q1082">
        <v>-1.259629E-2</v>
      </c>
      <c r="R1082">
        <v>-0.99165899999999996</v>
      </c>
      <c r="S1082">
        <v>-1.1478269999999999</v>
      </c>
      <c r="T1082">
        <v>-0.29029759999999999</v>
      </c>
      <c r="U1082">
        <v>-2.882568</v>
      </c>
      <c r="V1082">
        <v>9.461232E-2</v>
      </c>
      <c r="W1082">
        <v>5.3388250000000002E-4</v>
      </c>
      <c r="X1082">
        <v>0.99551399999999901</v>
      </c>
      <c r="Y1082">
        <v>0.33664260000000001</v>
      </c>
      <c r="Z1082">
        <v>9.3651410000000004E-2</v>
      </c>
      <c r="AA1082">
        <v>0.93696380000000001</v>
      </c>
      <c r="AB1082">
        <v>19</v>
      </c>
      <c r="AC1082">
        <v>-4.3487</v>
      </c>
      <c r="AD1082">
        <v>-1.1033979800679901</v>
      </c>
      <c r="AE1082">
        <v>-10.6082999999999</v>
      </c>
      <c r="AF1082">
        <v>3.9503027870659002</v>
      </c>
      <c r="AG1082">
        <v>-1.1033979800679901</v>
      </c>
      <c r="AH1082">
        <v>10.650857758936899</v>
      </c>
      <c r="AI1082">
        <v>95.547826511595403</v>
      </c>
      <c r="AJ1082">
        <v>69.650657306512997</v>
      </c>
      <c r="AK1082">
        <v>11.413288317265399</v>
      </c>
    </row>
    <row r="1083" spans="1:37" x14ac:dyDescent="0.2">
      <c r="A1083" t="str">
        <f>"20200111160121015"</f>
        <v>20200111160121015</v>
      </c>
      <c r="B1083" t="str">
        <f>"1578729681012060"</f>
        <v>1578729681012060</v>
      </c>
      <c r="C1083" t="s">
        <v>37</v>
      </c>
      <c r="D1083">
        <v>5.0970899999999997</v>
      </c>
      <c r="E1083">
        <v>0.59712109999999996</v>
      </c>
      <c r="F1083" t="s">
        <v>38</v>
      </c>
      <c r="G1083">
        <v>-193.0702</v>
      </c>
      <c r="H1083" s="1">
        <v>-2.0997870000000001E-6</v>
      </c>
      <c r="I1083">
        <v>302.5795</v>
      </c>
      <c r="J1083">
        <v>-189.10040000000001</v>
      </c>
      <c r="K1083">
        <v>1.103372</v>
      </c>
      <c r="L1083">
        <v>312.48649999999998</v>
      </c>
      <c r="M1083">
        <v>-3.5693999999999997E-2</v>
      </c>
      <c r="N1083">
        <v>0</v>
      </c>
      <c r="O1083">
        <v>-0.99927259999999996</v>
      </c>
      <c r="P1083">
        <v>-0.1341849</v>
      </c>
      <c r="Q1083">
        <v>-1.2128079999999999E-2</v>
      </c>
      <c r="R1083">
        <v>-0.99088229999999999</v>
      </c>
      <c r="S1083">
        <v>-1.1324459999999901</v>
      </c>
      <c r="T1083">
        <v>-0.3140732</v>
      </c>
      <c r="U1083">
        <v>-2.8747859999999998</v>
      </c>
      <c r="V1083">
        <v>9.873055E-2</v>
      </c>
      <c r="W1083">
        <v>9.7924800000000005E-4</v>
      </c>
      <c r="X1083">
        <v>0.99511369999999899</v>
      </c>
      <c r="Y1083">
        <v>0.3311694</v>
      </c>
      <c r="Z1083">
        <v>0.1016802</v>
      </c>
      <c r="AA1083">
        <v>0.93807669999999999</v>
      </c>
      <c r="AB1083">
        <v>19</v>
      </c>
      <c r="AC1083">
        <v>-3.96979999999999</v>
      </c>
      <c r="AD1083">
        <v>-1.1033740997870001</v>
      </c>
      <c r="AE1083">
        <v>-9.9069999999999805</v>
      </c>
      <c r="AF1083">
        <v>3.5754040451571498</v>
      </c>
      <c r="AG1083">
        <v>-1.1033740997870001</v>
      </c>
      <c r="AH1083">
        <v>9.9361997051767492</v>
      </c>
      <c r="AI1083">
        <v>95.965026595470903</v>
      </c>
      <c r="AJ1083">
        <v>70.209433900445504</v>
      </c>
      <c r="AK1083">
        <v>10.617392008933299</v>
      </c>
    </row>
    <row r="1084" spans="1:37" x14ac:dyDescent="0.2">
      <c r="A1084" t="str">
        <f>"20200111160121037"</f>
        <v>20200111160121037</v>
      </c>
      <c r="B1084" t="str">
        <f>"1578729681031579"</f>
        <v>1578729681031579</v>
      </c>
      <c r="C1084" t="s">
        <v>37</v>
      </c>
      <c r="D1084">
        <v>5.0994679999999999</v>
      </c>
      <c r="E1084">
        <v>0.59715200000000002</v>
      </c>
      <c r="F1084" t="s">
        <v>38</v>
      </c>
      <c r="G1084">
        <v>-193.16139999999999</v>
      </c>
      <c r="H1084" s="1">
        <v>-2.0144659999999998E-6</v>
      </c>
      <c r="I1084">
        <v>302.32409999999999</v>
      </c>
      <c r="J1084">
        <v>-189.1088</v>
      </c>
      <c r="K1084">
        <v>1.1033599999999999</v>
      </c>
      <c r="L1084">
        <v>312.30889999999999</v>
      </c>
      <c r="M1084">
        <v>-3.746149E-2</v>
      </c>
      <c r="N1084">
        <v>0</v>
      </c>
      <c r="O1084">
        <v>-0.99920819999999999</v>
      </c>
      <c r="P1084">
        <v>-0.13957429999999901</v>
      </c>
      <c r="Q1084">
        <v>-1.277786E-2</v>
      </c>
      <c r="R1084">
        <v>-0.99012960000000005</v>
      </c>
      <c r="S1084">
        <v>-1.1462859999999999</v>
      </c>
      <c r="T1084">
        <v>-0.31145070000000002</v>
      </c>
      <c r="U1084">
        <v>-2.8685610000000001</v>
      </c>
      <c r="V1084">
        <v>0.1023824</v>
      </c>
      <c r="W1084">
        <v>3.0929269999999999E-4</v>
      </c>
      <c r="X1084">
        <v>0.99474509999999905</v>
      </c>
      <c r="Y1084">
        <v>0.33413300000000001</v>
      </c>
      <c r="Z1084">
        <v>0.100891699999999</v>
      </c>
      <c r="AA1084">
        <v>0.93711049999999996</v>
      </c>
      <c r="AB1084">
        <v>19</v>
      </c>
      <c r="AC1084">
        <v>-4.0525999999999804</v>
      </c>
      <c r="AD1084">
        <v>-1.1033620144659999</v>
      </c>
      <c r="AE1084">
        <v>-9.9847999999999999</v>
      </c>
      <c r="AF1084">
        <v>3.6375395661589498</v>
      </c>
      <c r="AG1084">
        <v>-1.1033620144659999</v>
      </c>
      <c r="AH1084">
        <v>10.0245224358026</v>
      </c>
      <c r="AI1084">
        <v>95.907101355873195</v>
      </c>
      <c r="AJ1084">
        <v>70.055981743575202</v>
      </c>
      <c r="AK1084">
        <v>10.7210144993954</v>
      </c>
    </row>
    <row r="1085" spans="1:37" x14ac:dyDescent="0.2">
      <c r="A1085" t="str">
        <f>"20200111160121060"</f>
        <v>20200111160121060</v>
      </c>
      <c r="B1085" t="str">
        <f>"1578729681052076"</f>
        <v>1578729681052076</v>
      </c>
      <c r="C1085" t="s">
        <v>37</v>
      </c>
      <c r="D1085">
        <v>5.0989879999999896</v>
      </c>
      <c r="E1085">
        <v>0.59678430000000005</v>
      </c>
      <c r="F1085" t="s">
        <v>38</v>
      </c>
      <c r="G1085">
        <v>-193.22839999999999</v>
      </c>
      <c r="H1085" s="1">
        <v>-1.9630239999999999E-6</v>
      </c>
      <c r="I1085">
        <v>302.16269999999997</v>
      </c>
      <c r="J1085">
        <v>-189.11859999999999</v>
      </c>
      <c r="K1085">
        <v>1.1033360000000001</v>
      </c>
      <c r="L1085">
        <v>312.1121</v>
      </c>
      <c r="M1085">
        <v>-3.9537830000000003E-2</v>
      </c>
      <c r="N1085">
        <v>0</v>
      </c>
      <c r="O1085">
        <v>-0.99912800000000002</v>
      </c>
      <c r="P1085">
        <v>-0.14521909999999999</v>
      </c>
      <c r="Q1085">
        <v>-1.229382E-2</v>
      </c>
      <c r="R1085">
        <v>-0.98932339999999996</v>
      </c>
      <c r="S1085">
        <v>-1.162048</v>
      </c>
      <c r="T1085">
        <v>-0.31123820000000002</v>
      </c>
      <c r="U1085">
        <v>-2.8620610000000002</v>
      </c>
      <c r="V1085">
        <v>0.10598879999999999</v>
      </c>
      <c r="W1085">
        <v>7.7039419999999897E-4</v>
      </c>
      <c r="X1085">
        <v>0.994367</v>
      </c>
      <c r="Y1085">
        <v>0.33734749999999902</v>
      </c>
      <c r="Z1085">
        <v>0.10086299999999999</v>
      </c>
      <c r="AA1085">
        <v>0.93596119999999905</v>
      </c>
      <c r="AB1085">
        <v>19</v>
      </c>
      <c r="AC1085">
        <v>-4.1097999999999999</v>
      </c>
      <c r="AD1085">
        <v>-1.1033379630239999</v>
      </c>
      <c r="AE1085">
        <v>-9.9494000000000202</v>
      </c>
      <c r="AF1085">
        <v>3.6745706245260501</v>
      </c>
      <c r="AG1085">
        <v>-1.1033379630239999</v>
      </c>
      <c r="AH1085">
        <v>9.9990836126747098</v>
      </c>
      <c r="AI1085">
        <v>95.913136029215394</v>
      </c>
      <c r="AJ1085">
        <v>69.822087415168198</v>
      </c>
      <c r="AK1085">
        <v>10.7098784787008</v>
      </c>
    </row>
    <row r="1086" spans="1:37" x14ac:dyDescent="0.2">
      <c r="A1086" t="str">
        <f>"20200111160121083"</f>
        <v>20200111160121083</v>
      </c>
      <c r="B1086" t="str">
        <f>"1578729681072571"</f>
        <v>1578729681072571</v>
      </c>
      <c r="C1086" t="s">
        <v>37</v>
      </c>
      <c r="D1086">
        <v>4.9733479999999997</v>
      </c>
      <c r="E1086">
        <v>0.5968755</v>
      </c>
      <c r="F1086" t="s">
        <v>38</v>
      </c>
      <c r="G1086">
        <v>-193.3212</v>
      </c>
      <c r="H1086" s="1">
        <v>-1.8755160000000001E-6</v>
      </c>
      <c r="I1086">
        <v>301.90109999999999</v>
      </c>
      <c r="J1086">
        <v>-189.12809999999999</v>
      </c>
      <c r="K1086">
        <v>1.1032959999999901</v>
      </c>
      <c r="L1086">
        <v>311.93189999999998</v>
      </c>
      <c r="M1086">
        <v>-4.1559810000000003E-2</v>
      </c>
      <c r="N1086">
        <v>0</v>
      </c>
      <c r="O1086">
        <v>-0.99904599999999899</v>
      </c>
      <c r="P1086">
        <v>-0.14939240000000001</v>
      </c>
      <c r="Q1086">
        <v>-1.106995E-2</v>
      </c>
      <c r="R1086">
        <v>-0.98871620000000005</v>
      </c>
      <c r="S1086">
        <v>-1.175446</v>
      </c>
      <c r="T1086">
        <v>-0.30860189999999998</v>
      </c>
      <c r="U1086">
        <v>-2.855988</v>
      </c>
      <c r="V1086">
        <v>0.1081749</v>
      </c>
      <c r="W1086">
        <v>1.972976E-3</v>
      </c>
      <c r="X1086">
        <v>0.99412990000000001</v>
      </c>
      <c r="Y1086">
        <v>0.33992739999999999</v>
      </c>
      <c r="Z1086">
        <v>0.10006760000000001</v>
      </c>
      <c r="AA1086">
        <v>0.93511279999999997</v>
      </c>
      <c r="AB1086">
        <v>19</v>
      </c>
      <c r="AC1086">
        <v>-4.19310000000001</v>
      </c>
      <c r="AD1086">
        <v>-1.1032978755159999</v>
      </c>
      <c r="AE1086">
        <v>-10.030799999999999</v>
      </c>
      <c r="AF1086">
        <v>3.7341054673833098</v>
      </c>
      <c r="AG1086">
        <v>-1.1032978755159999</v>
      </c>
      <c r="AH1086">
        <v>10.0924753263283</v>
      </c>
      <c r="AI1086">
        <v>95.853873057985197</v>
      </c>
      <c r="AJ1086">
        <v>69.696077588144107</v>
      </c>
      <c r="AK1086">
        <v>10.817525967438399</v>
      </c>
    </row>
    <row r="1087" spans="1:37" x14ac:dyDescent="0.2">
      <c r="A1087" t="str">
        <f>"20200111160121104"</f>
        <v>20200111160121104</v>
      </c>
      <c r="B1087" t="str">
        <f>"1578729681101851"</f>
        <v>1578729681101851</v>
      </c>
      <c r="C1087" t="s">
        <v>37</v>
      </c>
      <c r="D1087">
        <v>4.9222799999999998</v>
      </c>
      <c r="E1087">
        <v>0.597311699999999</v>
      </c>
      <c r="F1087" t="s">
        <v>38</v>
      </c>
      <c r="G1087">
        <v>-193.52269999999999</v>
      </c>
      <c r="H1087" s="1">
        <v>-1.7119949999999999E-6</v>
      </c>
      <c r="I1087">
        <v>301.39499999999998</v>
      </c>
      <c r="J1087">
        <v>-189.13829999999999</v>
      </c>
      <c r="K1087">
        <v>1.1032219999999999</v>
      </c>
      <c r="L1087">
        <v>311.74650000000003</v>
      </c>
      <c r="M1087">
        <v>-4.3772249999999999E-2</v>
      </c>
      <c r="N1087">
        <v>0</v>
      </c>
      <c r="O1087">
        <v>-0.99895129999999999</v>
      </c>
      <c r="P1087">
        <v>-0.1528513</v>
      </c>
      <c r="Q1087">
        <v>-8.0234759999999999E-3</v>
      </c>
      <c r="R1087">
        <v>-0.98821669999999995</v>
      </c>
      <c r="S1087">
        <v>-1.189163</v>
      </c>
      <c r="T1087">
        <v>-0.29854910000000001</v>
      </c>
      <c r="U1087">
        <v>-2.8512569999999999</v>
      </c>
      <c r="V1087">
        <v>0.10946019999999899</v>
      </c>
      <c r="W1087">
        <v>4.98799799999999E-3</v>
      </c>
      <c r="X1087">
        <v>0.99397869999999999</v>
      </c>
      <c r="Y1087">
        <v>0.3423525</v>
      </c>
      <c r="Z1087">
        <v>9.6845020000000004E-2</v>
      </c>
      <c r="AA1087">
        <v>0.93456719999999904</v>
      </c>
      <c r="AB1087">
        <v>19</v>
      </c>
      <c r="AC1087">
        <v>-4.3843999999999896</v>
      </c>
      <c r="AD1087">
        <v>-1.1032237119949999</v>
      </c>
      <c r="AE1087">
        <v>-10.3515</v>
      </c>
      <c r="AF1087">
        <v>3.88958794567692</v>
      </c>
      <c r="AG1087">
        <v>-1.1032237119949999</v>
      </c>
      <c r="AH1087">
        <v>10.43303095047</v>
      </c>
      <c r="AI1087">
        <v>95.658488497924495</v>
      </c>
      <c r="AJ1087">
        <v>69.553802280815404</v>
      </c>
      <c r="AK1087">
        <v>11.1890183554827</v>
      </c>
    </row>
    <row r="1088" spans="1:37" x14ac:dyDescent="0.2">
      <c r="A1088" t="str">
        <f>"20200111160121130"</f>
        <v>20200111160121130</v>
      </c>
      <c r="B1088" t="str">
        <f>"1578729681122347"</f>
        <v>1578729681122347</v>
      </c>
      <c r="C1088" t="s">
        <v>37</v>
      </c>
      <c r="D1088">
        <v>4.9098160000000002</v>
      </c>
      <c r="E1088">
        <v>0.59738190000000002</v>
      </c>
      <c r="F1088" t="s">
        <v>38</v>
      </c>
      <c r="G1088">
        <v>-193.88059999999999</v>
      </c>
      <c r="H1088" s="1">
        <v>-1.4364999999999999E-6</v>
      </c>
      <c r="I1088">
        <v>300.5308</v>
      </c>
      <c r="J1088">
        <v>-189.1506</v>
      </c>
      <c r="K1088">
        <v>1.103105</v>
      </c>
      <c r="L1088">
        <v>311.53719999999998</v>
      </c>
      <c r="M1088">
        <v>-4.6446929999999997E-2</v>
      </c>
      <c r="N1088">
        <v>0</v>
      </c>
      <c r="O1088">
        <v>-0.99883140000000004</v>
      </c>
      <c r="P1088">
        <v>-0.15724969999999999</v>
      </c>
      <c r="Q1088">
        <v>-5.4674719999999897E-3</v>
      </c>
      <c r="R1088">
        <v>-0.98754419999999898</v>
      </c>
      <c r="S1088">
        <v>-1.2039340000000001</v>
      </c>
      <c r="T1088">
        <v>-0.28007779999999999</v>
      </c>
      <c r="U1088">
        <v>-2.84735099999999</v>
      </c>
      <c r="V1088">
        <v>0.11123279999999899</v>
      </c>
      <c r="W1088">
        <v>7.4508150000000004E-3</v>
      </c>
      <c r="X1088">
        <v>0.99376640000000005</v>
      </c>
      <c r="Y1088">
        <v>0.3446321</v>
      </c>
      <c r="Z1088">
        <v>9.0878730000000005E-2</v>
      </c>
      <c r="AA1088">
        <v>0.93432850000000001</v>
      </c>
      <c r="AB1088">
        <v>18</v>
      </c>
      <c r="AC1088">
        <v>-4.7299999999999898</v>
      </c>
      <c r="AD1088">
        <v>-1.1031064365000001</v>
      </c>
      <c r="AE1088">
        <v>-11.0063999999999</v>
      </c>
      <c r="AF1088">
        <v>4.1782083902163398</v>
      </c>
      <c r="AG1088">
        <v>-1.1031064365000001</v>
      </c>
      <c r="AH1088">
        <v>11.119947587725401</v>
      </c>
      <c r="AI1088">
        <v>95.305379138623806</v>
      </c>
      <c r="AJ1088">
        <v>69.406795443357595</v>
      </c>
      <c r="AK1088">
        <v>11.930109115849801</v>
      </c>
    </row>
    <row r="1089" spans="1:37" x14ac:dyDescent="0.2">
      <c r="A1089" t="str">
        <f>"20200111160121151"</f>
        <v>20200111160121151</v>
      </c>
      <c r="B1089" t="str">
        <f>"1578729681141868"</f>
        <v>1578729681141868</v>
      </c>
      <c r="C1089" t="s">
        <v>37</v>
      </c>
      <c r="D1089">
        <v>4.8592139999999997</v>
      </c>
      <c r="E1089">
        <v>0.59735539999999998</v>
      </c>
      <c r="F1089" t="s">
        <v>38</v>
      </c>
      <c r="G1089">
        <v>-194.1884</v>
      </c>
      <c r="H1089" s="1">
        <v>-1.198751E-6</v>
      </c>
      <c r="I1089">
        <v>299.78570000000002</v>
      </c>
      <c r="J1089">
        <v>-189.1619</v>
      </c>
      <c r="K1089">
        <v>1.1029789999999999</v>
      </c>
      <c r="L1089">
        <v>311.35610000000003</v>
      </c>
      <c r="M1089">
        <v>-4.8951120000000001E-2</v>
      </c>
      <c r="N1089">
        <v>0</v>
      </c>
      <c r="O1089">
        <v>-0.99871350000000003</v>
      </c>
      <c r="P1089">
        <v>-0.16153529999999999</v>
      </c>
      <c r="Q1089">
        <v>-3.677577E-3</v>
      </c>
      <c r="R1089">
        <v>-0.98686010000000002</v>
      </c>
      <c r="S1089">
        <v>-1.218491</v>
      </c>
      <c r="T1089">
        <v>-0.26680490000000001</v>
      </c>
      <c r="U1089">
        <v>-2.8423159999999998</v>
      </c>
      <c r="V1089">
        <v>0.1130625</v>
      </c>
      <c r="W1089">
        <v>9.0686689999999997E-3</v>
      </c>
      <c r="X1089">
        <v>0.9935465</v>
      </c>
      <c r="Y1089">
        <v>0.34707199999999999</v>
      </c>
      <c r="Z1089">
        <v>8.6608450000000003E-2</v>
      </c>
      <c r="AA1089">
        <v>0.93383079999999996</v>
      </c>
      <c r="AB1089">
        <v>18</v>
      </c>
      <c r="AC1089">
        <v>-5.0264999999999898</v>
      </c>
      <c r="AD1089">
        <v>-1.102980198751</v>
      </c>
      <c r="AE1089">
        <v>-11.570399999999999</v>
      </c>
      <c r="AF1089">
        <v>4.42024824821178</v>
      </c>
      <c r="AG1089">
        <v>-1.102980198751</v>
      </c>
      <c r="AH1089">
        <v>11.7130590401504</v>
      </c>
      <c r="AI1089">
        <v>95.034871169356407</v>
      </c>
      <c r="AJ1089">
        <v>69.324607673915295</v>
      </c>
      <c r="AK1089">
        <v>12.5678523214074</v>
      </c>
    </row>
    <row r="1090" spans="1:37" x14ac:dyDescent="0.2">
      <c r="A1090" t="str">
        <f>"20200111160121173"</f>
        <v>20200111160121173</v>
      </c>
      <c r="B1090" t="str">
        <f>"1578729681163339"</f>
        <v>1578729681163339</v>
      </c>
      <c r="C1090" t="s">
        <v>37</v>
      </c>
      <c r="D1090">
        <v>5.1202920000000001</v>
      </c>
      <c r="E1090">
        <v>0.59708539999999999</v>
      </c>
      <c r="F1090" t="s">
        <v>54</v>
      </c>
      <c r="G1090">
        <v>-194.44990000000001</v>
      </c>
      <c r="H1090" s="1">
        <v>7.7824990000000001E-8</v>
      </c>
      <c r="I1090">
        <v>299.17439999999999</v>
      </c>
      <c r="J1090">
        <v>-189.17359999999999</v>
      </c>
      <c r="K1090">
        <v>1.1028610000000001</v>
      </c>
      <c r="L1090">
        <v>311.17970000000003</v>
      </c>
      <c r="M1090">
        <v>-5.1522419999999999E-2</v>
      </c>
      <c r="N1090">
        <v>0</v>
      </c>
      <c r="O1090">
        <v>-0.99858649999999904</v>
      </c>
      <c r="P1090">
        <v>-0.16616689999999901</v>
      </c>
      <c r="Q1090">
        <v>-2.7631040000000002E-3</v>
      </c>
      <c r="R1090">
        <v>-0.98609409999999897</v>
      </c>
      <c r="S1090">
        <v>-1.2316739999999999</v>
      </c>
      <c r="T1090">
        <v>-0.25690389999999902</v>
      </c>
      <c r="U1090">
        <v>-2.8373409999999999</v>
      </c>
      <c r="V1090">
        <v>0.11517329999999899</v>
      </c>
      <c r="W1090">
        <v>9.7791249999999996E-3</v>
      </c>
      <c r="X1090">
        <v>0.99329730000000005</v>
      </c>
      <c r="Y1090">
        <v>0.34901599999999999</v>
      </c>
      <c r="Z1090">
        <v>8.3431340000000007E-2</v>
      </c>
      <c r="AA1090">
        <v>0.93339539999999999</v>
      </c>
      <c r="AB1090">
        <v>18</v>
      </c>
      <c r="AC1090">
        <v>-5.2763000000000204</v>
      </c>
      <c r="AD1090">
        <v>-1.1028609221750101</v>
      </c>
      <c r="AE1090">
        <v>-12.0053</v>
      </c>
      <c r="AF1090">
        <v>4.6180333114773404</v>
      </c>
      <c r="AG1090">
        <v>-1.1028609221750101</v>
      </c>
      <c r="AH1090">
        <v>12.1751098879169</v>
      </c>
      <c r="AI1090">
        <v>94.841133370570105</v>
      </c>
      <c r="AJ1090">
        <v>69.228205347101095</v>
      </c>
      <c r="AK1090">
        <v>13.0681228438681</v>
      </c>
    </row>
    <row r="1091" spans="1:37" x14ac:dyDescent="0.2">
      <c r="A1091" t="str">
        <f>"20200111160121195"</f>
        <v>20200111160121195</v>
      </c>
      <c r="B1091" t="str">
        <f>"1578729681192620"</f>
        <v>1578729681192620</v>
      </c>
      <c r="C1091" t="s">
        <v>37</v>
      </c>
      <c r="D1091">
        <v>4.8790529999999999</v>
      </c>
      <c r="E1091">
        <v>0.59691559999999999</v>
      </c>
      <c r="F1091" t="s">
        <v>54</v>
      </c>
      <c r="G1091">
        <v>-194.67959999999999</v>
      </c>
      <c r="H1091" s="1">
        <v>1.7147270000000001E-7</v>
      </c>
      <c r="I1091">
        <v>298.64269999999999</v>
      </c>
      <c r="J1091">
        <v>-189.18629999999999</v>
      </c>
      <c r="K1091">
        <v>1.1027629999999999</v>
      </c>
      <c r="L1091">
        <v>310.9957</v>
      </c>
      <c r="M1091">
        <v>-5.4343099999999998E-2</v>
      </c>
      <c r="N1091">
        <v>0</v>
      </c>
      <c r="O1091">
        <v>-0.99843969999999904</v>
      </c>
      <c r="P1091">
        <v>-0.1715691</v>
      </c>
      <c r="Q1091">
        <v>-2.3154370000000001E-3</v>
      </c>
      <c r="R1091">
        <v>-0.98516979999999998</v>
      </c>
      <c r="S1091">
        <v>-1.24379</v>
      </c>
      <c r="T1091">
        <v>-0.2491322</v>
      </c>
      <c r="U1091">
        <v>-2.8320620000000001</v>
      </c>
      <c r="V1091">
        <v>0.11781369999999999</v>
      </c>
      <c r="W1091">
        <v>9.9865379999999997E-3</v>
      </c>
      <c r="X1091">
        <v>0.99298549999999997</v>
      </c>
      <c r="Y1091">
        <v>0.35043999999999997</v>
      </c>
      <c r="Z1091">
        <v>8.0955929999999995E-2</v>
      </c>
      <c r="AA1091">
        <v>0.93307980000000001</v>
      </c>
      <c r="AB1091">
        <v>18</v>
      </c>
      <c r="AC1091">
        <v>-5.4932999999999996</v>
      </c>
      <c r="AD1091">
        <v>-1.1027628285272999</v>
      </c>
      <c r="AE1091">
        <v>-12.353</v>
      </c>
      <c r="AF1091">
        <v>4.7820083798015496</v>
      </c>
      <c r="AG1091">
        <v>-1.1027628285272999</v>
      </c>
      <c r="AH1091">
        <v>12.5497903675688</v>
      </c>
      <c r="AI1091">
        <v>94.694135159837202</v>
      </c>
      <c r="AJ1091">
        <v>69.141013561784504</v>
      </c>
      <c r="AK1091">
        <v>13.4751967803961</v>
      </c>
    </row>
    <row r="1092" spans="1:37" x14ac:dyDescent="0.2">
      <c r="A1092" t="str">
        <f>"20200111160121217"</f>
        <v>20200111160121217</v>
      </c>
      <c r="B1092" t="str">
        <f>"1578729681212139"</f>
        <v>1578729681212139</v>
      </c>
      <c r="C1092" t="s">
        <v>37</v>
      </c>
      <c r="D1092">
        <v>4.8501289999999999</v>
      </c>
      <c r="E1092">
        <v>0.59675269999999903</v>
      </c>
      <c r="F1092" t="s">
        <v>54</v>
      </c>
      <c r="G1092">
        <v>-194.88679999999999</v>
      </c>
      <c r="H1092" s="1">
        <v>2.5004999999999999E-7</v>
      </c>
      <c r="I1092">
        <v>298.19650000000001</v>
      </c>
      <c r="J1092">
        <v>-189.2</v>
      </c>
      <c r="K1092">
        <v>1.1026639999999901</v>
      </c>
      <c r="L1092">
        <v>310.80950000000001</v>
      </c>
      <c r="M1092">
        <v>-5.7344239999999998E-2</v>
      </c>
      <c r="N1092">
        <v>0</v>
      </c>
      <c r="O1092">
        <v>-0.99827520000000003</v>
      </c>
      <c r="P1092">
        <v>-0.17750550000000001</v>
      </c>
      <c r="Q1092">
        <v>-2.1185520000000001E-3</v>
      </c>
      <c r="R1092">
        <v>-0.98411759999999904</v>
      </c>
      <c r="S1092">
        <v>-1.2583770000000001</v>
      </c>
      <c r="T1092">
        <v>-0.24343609999999999</v>
      </c>
      <c r="U1092">
        <v>-2.8254389999999998</v>
      </c>
      <c r="V1092">
        <v>0.12081600000000001</v>
      </c>
      <c r="W1092">
        <v>9.8911740000000008E-3</v>
      </c>
      <c r="X1092">
        <v>0.99262569999999894</v>
      </c>
      <c r="Y1092">
        <v>0.35251679999999902</v>
      </c>
      <c r="Z1092">
        <v>7.9155100000000006E-2</v>
      </c>
      <c r="AA1092">
        <v>0.93245180000000005</v>
      </c>
      <c r="AB1092">
        <v>19</v>
      </c>
      <c r="AC1092">
        <v>-5.6867999999999999</v>
      </c>
      <c r="AD1092">
        <v>-1.1026637499499901</v>
      </c>
      <c r="AE1092">
        <v>-12.613</v>
      </c>
      <c r="AF1092">
        <v>4.9228327706755701</v>
      </c>
      <c r="AG1092">
        <v>-1.1026637499499901</v>
      </c>
      <c r="AH1092">
        <v>12.836838374290901</v>
      </c>
      <c r="AI1092">
        <v>94.585479158277593</v>
      </c>
      <c r="AJ1092">
        <v>69.018549852213596</v>
      </c>
      <c r="AK1092">
        <v>13.7925548496701</v>
      </c>
    </row>
    <row r="1093" spans="1:37" x14ac:dyDescent="0.2">
      <c r="A1093" t="str">
        <f>"20200111160121240"</f>
        <v>20200111160121240</v>
      </c>
      <c r="B1093" t="str">
        <f>"1578729681231660"</f>
        <v>1578729681231660</v>
      </c>
      <c r="C1093" t="s">
        <v>37</v>
      </c>
      <c r="D1093">
        <v>7.7467699999999997</v>
      </c>
      <c r="E1093">
        <v>0.59661049999999904</v>
      </c>
      <c r="F1093" t="s">
        <v>54</v>
      </c>
      <c r="G1093">
        <v>-195.0427</v>
      </c>
      <c r="H1093" s="1">
        <v>3.0342159999999998E-7</v>
      </c>
      <c r="I1093">
        <v>297.89350000000002</v>
      </c>
      <c r="J1093">
        <v>-189.21459999999999</v>
      </c>
      <c r="K1093">
        <v>1.102563</v>
      </c>
      <c r="L1093">
        <v>310.6191</v>
      </c>
      <c r="M1093">
        <v>-6.0542140000000001E-2</v>
      </c>
      <c r="N1093">
        <v>0</v>
      </c>
      <c r="O1093">
        <v>-0.99809040000000004</v>
      </c>
      <c r="P1093">
        <v>-0.18423989999999901</v>
      </c>
      <c r="Q1093">
        <v>-2.6150660000000001E-3</v>
      </c>
      <c r="R1093">
        <v>-0.98287789999999997</v>
      </c>
      <c r="S1093">
        <v>-1.274734</v>
      </c>
      <c r="T1093">
        <v>-0.24057409999999901</v>
      </c>
      <c r="U1093">
        <v>-2.8179630000000002</v>
      </c>
      <c r="V1093">
        <v>0.12443029999999999</v>
      </c>
      <c r="W1093">
        <v>9.0352909999999904E-3</v>
      </c>
      <c r="X1093">
        <v>0.99218719999999905</v>
      </c>
      <c r="Y1093">
        <v>0.35497020000000001</v>
      </c>
      <c r="Z1093">
        <v>7.8270210000000007E-2</v>
      </c>
      <c r="AA1093">
        <v>0.93159539999999996</v>
      </c>
      <c r="AB1093">
        <v>19</v>
      </c>
      <c r="AC1093">
        <v>-5.8281000000000001</v>
      </c>
      <c r="AD1093">
        <v>-1.1025626965783999</v>
      </c>
      <c r="AE1093">
        <v>-12.725599999999901</v>
      </c>
      <c r="AF1093">
        <v>5.0157907047852301</v>
      </c>
      <c r="AG1093">
        <v>-1.1025626965783999</v>
      </c>
      <c r="AH1093">
        <v>12.9746153587874</v>
      </c>
      <c r="AI1093">
        <v>94.531894375098702</v>
      </c>
      <c r="AJ1093">
        <v>68.864249605122097</v>
      </c>
      <c r="AK1093">
        <v>13.954011774489</v>
      </c>
    </row>
    <row r="1094" spans="1:37" x14ac:dyDescent="0.2">
      <c r="A1094" t="str">
        <f>"20200111160121262"</f>
        <v>20200111160121262</v>
      </c>
      <c r="B1094" t="str">
        <f>"1578729681252155"</f>
        <v>1578729681252155</v>
      </c>
      <c r="C1094" t="s">
        <v>37</v>
      </c>
      <c r="D1094">
        <v>4.8506229999999997</v>
      </c>
      <c r="E1094">
        <v>0.54931219999999903</v>
      </c>
      <c r="F1094" t="s">
        <v>54</v>
      </c>
      <c r="G1094">
        <v>-195.12559999999999</v>
      </c>
      <c r="H1094" s="1">
        <v>3.2419879999999999E-7</v>
      </c>
      <c r="I1094">
        <v>297.77550000000002</v>
      </c>
      <c r="J1094">
        <v>-189.22980000000001</v>
      </c>
      <c r="K1094">
        <v>1.1024499999999999</v>
      </c>
      <c r="L1094">
        <v>310.4298</v>
      </c>
      <c r="M1094">
        <v>-6.3822459999999998E-2</v>
      </c>
      <c r="N1094">
        <v>0</v>
      </c>
      <c r="O1094">
        <v>-0.99789050000000001</v>
      </c>
      <c r="P1094">
        <v>-0.19045039999999999</v>
      </c>
      <c r="Q1094">
        <v>-2.771819E-3</v>
      </c>
      <c r="R1094">
        <v>-0.98169300000000004</v>
      </c>
      <c r="S1094">
        <v>-1.2929079999999999</v>
      </c>
      <c r="T1094">
        <v>-0.241162399999999</v>
      </c>
      <c r="U1094">
        <v>-2.8092649999999999</v>
      </c>
      <c r="V1094">
        <v>0.1274409</v>
      </c>
      <c r="W1094">
        <v>8.4855179999999992E-3</v>
      </c>
      <c r="X1094">
        <v>0.99180979999999996</v>
      </c>
      <c r="Y1094">
        <v>0.35795759999999899</v>
      </c>
      <c r="Z1094">
        <v>7.8508999999999995E-2</v>
      </c>
      <c r="AA1094">
        <v>0.93043149999999997</v>
      </c>
      <c r="AB1094">
        <v>19</v>
      </c>
      <c r="AC1094">
        <v>-5.8957999999999799</v>
      </c>
      <c r="AD1094">
        <v>-1.1024496758011999</v>
      </c>
      <c r="AE1094">
        <v>-12.6542999999999</v>
      </c>
      <c r="AF1094">
        <v>5.0446331174183596</v>
      </c>
      <c r="AG1094">
        <v>-1.1024496758011999</v>
      </c>
      <c r="AH1094">
        <v>12.9242099647042</v>
      </c>
      <c r="AI1094">
        <v>94.543316882732</v>
      </c>
      <c r="AJ1094">
        <v>68.678090540808398</v>
      </c>
      <c r="AK1094">
        <v>13.917576002623001</v>
      </c>
    </row>
    <row r="1095" spans="1:37" x14ac:dyDescent="0.2">
      <c r="A1095" t="str">
        <f>"20200111160121285"</f>
        <v>20200111160121285</v>
      </c>
      <c r="B1095" t="str">
        <f>"1578729681282412"</f>
        <v>1578729681282412</v>
      </c>
      <c r="C1095" t="s">
        <v>37</v>
      </c>
      <c r="D1095">
        <v>4.8101279999999997</v>
      </c>
      <c r="E1095">
        <v>0.60054459999999998</v>
      </c>
      <c r="F1095" t="s">
        <v>56</v>
      </c>
      <c r="G1095">
        <v>-233.20330000000001</v>
      </c>
      <c r="H1095">
        <v>22.385079999999999</v>
      </c>
      <c r="I1095">
        <v>184.47409999999999</v>
      </c>
      <c r="J1095">
        <v>-189.24520000000001</v>
      </c>
      <c r="K1095">
        <v>1.1023419999999999</v>
      </c>
      <c r="L1095">
        <v>310.24639999999999</v>
      </c>
      <c r="M1095">
        <v>-6.7077410000000004E-2</v>
      </c>
      <c r="N1095">
        <v>0</v>
      </c>
      <c r="O1095">
        <v>-0.99768129999999999</v>
      </c>
      <c r="P1095">
        <v>-0.19646540000000001</v>
      </c>
      <c r="Q1095">
        <v>-2.1554389999999999E-3</v>
      </c>
      <c r="R1095">
        <v>-0.98050869999999901</v>
      </c>
      <c r="S1095">
        <v>-0.99964900000000001</v>
      </c>
      <c r="T1095">
        <v>0.48381769999999902</v>
      </c>
      <c r="U1095">
        <v>-2.8633419999999998</v>
      </c>
      <c r="V1095">
        <v>0.13028799999999999</v>
      </c>
      <c r="W1095">
        <v>8.70914699999999E-3</v>
      </c>
      <c r="X1095">
        <v>0.99143789999999998</v>
      </c>
      <c r="Y1095">
        <v>0.26136779999999998</v>
      </c>
      <c r="Z1095">
        <v>-0.15859979999999901</v>
      </c>
      <c r="AA1095">
        <v>0.95212019999999997</v>
      </c>
      <c r="AB1095">
        <v>19</v>
      </c>
      <c r="AC1095">
        <v>-43.958100000000002</v>
      </c>
      <c r="AD1095">
        <v>21.282737999999998</v>
      </c>
      <c r="AE1095">
        <v>-125.7723</v>
      </c>
      <c r="AF1095">
        <v>34.540663568596301</v>
      </c>
      <c r="AG1095">
        <v>21.282737999999998</v>
      </c>
      <c r="AH1095">
        <v>125.2419652586</v>
      </c>
      <c r="AI1095">
        <v>80.696607141745005</v>
      </c>
      <c r="AJ1095">
        <v>74.581598623197905</v>
      </c>
      <c r="AK1095">
        <v>131.64939133308599</v>
      </c>
    </row>
    <row r="1096" spans="1:37" x14ac:dyDescent="0.2">
      <c r="A1096" t="str">
        <f>"20200111160121305"</f>
        <v>20200111160121305</v>
      </c>
      <c r="B1096" t="str">
        <f>"1578729681301931"</f>
        <v>1578729681301931</v>
      </c>
      <c r="C1096" t="s">
        <v>37</v>
      </c>
      <c r="D1096">
        <v>4.8348889999999898</v>
      </c>
      <c r="E1096">
        <v>0.6000934</v>
      </c>
      <c r="F1096" t="s">
        <v>54</v>
      </c>
      <c r="G1096">
        <v>-198.28739999999999</v>
      </c>
      <c r="H1096" s="1">
        <v>1.5249410000000001E-6</v>
      </c>
      <c r="I1096">
        <v>291.7987</v>
      </c>
      <c r="J1096">
        <v>-189.26070000000001</v>
      </c>
      <c r="K1096">
        <v>1.1022609999999999</v>
      </c>
      <c r="L1096">
        <v>310.07060000000001</v>
      </c>
      <c r="M1096">
        <v>-7.0257120000000006E-2</v>
      </c>
      <c r="N1096">
        <v>0</v>
      </c>
      <c r="O1096">
        <v>-0.99746599999999996</v>
      </c>
      <c r="P1096">
        <v>-0.2032197</v>
      </c>
      <c r="Q1096" s="1">
        <v>-8.1311910000000004E-5</v>
      </c>
      <c r="R1096">
        <v>-0.97913309999999998</v>
      </c>
      <c r="S1096">
        <v>-1.3654170000000001</v>
      </c>
      <c r="T1096">
        <v>-0.16645979999999999</v>
      </c>
      <c r="U1096">
        <v>-2.7857059999999998</v>
      </c>
      <c r="V1096">
        <v>0.13397029999999999</v>
      </c>
      <c r="W1096">
        <v>1.040804E-2</v>
      </c>
      <c r="X1096">
        <v>0.99093069999999905</v>
      </c>
      <c r="Y1096">
        <v>0.37530219999999997</v>
      </c>
      <c r="Z1096">
        <v>5.4180730000000003E-2</v>
      </c>
      <c r="AA1096">
        <v>0.92531759999999996</v>
      </c>
      <c r="AB1096">
        <v>19</v>
      </c>
      <c r="AC1096">
        <v>-9.0266999999999697</v>
      </c>
      <c r="AD1096">
        <v>-1.102259475059</v>
      </c>
      <c r="AE1096">
        <v>-18.271899999999999</v>
      </c>
      <c r="AF1096">
        <v>7.6980612098258696</v>
      </c>
      <c r="AG1096">
        <v>-1.102259475059</v>
      </c>
      <c r="AH1096">
        <v>18.805960890876001</v>
      </c>
      <c r="AI1096">
        <v>93.104887271826797</v>
      </c>
      <c r="AJ1096">
        <v>67.738675465920394</v>
      </c>
      <c r="AK1096">
        <v>20.350412461906998</v>
      </c>
    </row>
    <row r="1097" spans="1:37" x14ac:dyDescent="0.2">
      <c r="A1097" t="str">
        <f>"20200111160121329"</f>
        <v>20200111160121329</v>
      </c>
      <c r="B1097" t="str">
        <f>"1578729681322428"</f>
        <v>1578729681322428</v>
      </c>
      <c r="C1097" t="s">
        <v>37</v>
      </c>
      <c r="D1097">
        <v>4.8524000000000003</v>
      </c>
      <c r="E1097">
        <v>0.59579799999999905</v>
      </c>
      <c r="F1097" t="s">
        <v>54</v>
      </c>
      <c r="G1097">
        <v>-198.8049</v>
      </c>
      <c r="H1097" s="1">
        <v>1.6412419999999999E-6</v>
      </c>
      <c r="I1097">
        <v>290.8777</v>
      </c>
      <c r="J1097">
        <v>-189.279</v>
      </c>
      <c r="K1097">
        <v>1.1021809999999901</v>
      </c>
      <c r="L1097">
        <v>309.87020000000001</v>
      </c>
      <c r="M1097">
        <v>-7.3938809999999994E-2</v>
      </c>
      <c r="N1097">
        <v>0</v>
      </c>
      <c r="O1097">
        <v>-0.99720429999999904</v>
      </c>
      <c r="P1097">
        <v>-0.21007439999999999</v>
      </c>
      <c r="Q1097">
        <v>3.6113220000000001E-3</v>
      </c>
      <c r="R1097">
        <v>-0.97767919999999997</v>
      </c>
      <c r="S1097">
        <v>-1.3810879999999901</v>
      </c>
      <c r="T1097">
        <v>-0.159500799999999</v>
      </c>
      <c r="U1097">
        <v>-2.7772830000000002</v>
      </c>
      <c r="V1097">
        <v>0.13727129999999901</v>
      </c>
      <c r="W1097">
        <v>1.3697020000000001E-2</v>
      </c>
      <c r="X1097">
        <v>0.99043879999999995</v>
      </c>
      <c r="Y1097">
        <v>0.3772373</v>
      </c>
      <c r="Z1097">
        <v>5.1959279999999997E-2</v>
      </c>
      <c r="AA1097">
        <v>0.92465789999999903</v>
      </c>
      <c r="AB1097">
        <v>19</v>
      </c>
      <c r="AC1097">
        <v>-9.5258999999999805</v>
      </c>
      <c r="AD1097">
        <v>-1.10217935875799</v>
      </c>
      <c r="AE1097">
        <v>-18.9925</v>
      </c>
      <c r="AF1097">
        <v>8.0737326219583405</v>
      </c>
      <c r="AG1097">
        <v>-1.10217935875799</v>
      </c>
      <c r="AH1097">
        <v>19.592162753156</v>
      </c>
      <c r="AI1097">
        <v>92.977434245357301</v>
      </c>
      <c r="AJ1097">
        <v>67.603935066280499</v>
      </c>
      <c r="AK1097">
        <v>21.219161131767201</v>
      </c>
    </row>
    <row r="1098" spans="1:37" x14ac:dyDescent="0.2">
      <c r="A1098" t="str">
        <f>"20200111160121350"</f>
        <v>20200111160121350</v>
      </c>
      <c r="B1098" t="str">
        <f>"1578729681341947"</f>
        <v>1578729681341947</v>
      </c>
      <c r="C1098" t="s">
        <v>37</v>
      </c>
      <c r="D1098">
        <v>4.8615329999999997</v>
      </c>
      <c r="E1098">
        <v>0.59519509999999998</v>
      </c>
      <c r="F1098" t="s">
        <v>54</v>
      </c>
      <c r="G1098">
        <v>-195.54580000000001</v>
      </c>
      <c r="H1098" s="1">
        <v>4.4928410000000001E-7</v>
      </c>
      <c r="I1098">
        <v>297.0652</v>
      </c>
      <c r="J1098">
        <v>-189.29640000000001</v>
      </c>
      <c r="K1098">
        <v>1.1021379999999901</v>
      </c>
      <c r="L1098">
        <v>309.68869999999998</v>
      </c>
      <c r="M1098">
        <v>-7.7311879999999999E-2</v>
      </c>
      <c r="N1098">
        <v>0</v>
      </c>
      <c r="O1098">
        <v>-0.99695180000000005</v>
      </c>
      <c r="P1098">
        <v>-0.21616589999999999</v>
      </c>
      <c r="Q1098">
        <v>7.4910590000000004E-3</v>
      </c>
      <c r="R1098">
        <v>-0.97632799999999997</v>
      </c>
      <c r="S1098">
        <v>-1.3592070000000001</v>
      </c>
      <c r="T1098">
        <v>-0.2390536</v>
      </c>
      <c r="U1098">
        <v>-2.7772830000000002</v>
      </c>
      <c r="V1098">
        <v>0.14011489999999999</v>
      </c>
      <c r="W1098">
        <v>1.7235199999999999E-2</v>
      </c>
      <c r="X1098">
        <v>0.98998519999999901</v>
      </c>
      <c r="Y1098">
        <v>0.36748550000000002</v>
      </c>
      <c r="Z1098">
        <v>7.7989119999999995E-2</v>
      </c>
      <c r="AA1098">
        <v>0.92675359999999996</v>
      </c>
      <c r="AB1098">
        <v>19</v>
      </c>
      <c r="AC1098">
        <v>-6.2493999999999996</v>
      </c>
      <c r="AD1098">
        <v>-1.1021375507158999</v>
      </c>
      <c r="AE1098">
        <v>-12.6234999999999</v>
      </c>
      <c r="AF1098">
        <v>5.2227181038105197</v>
      </c>
      <c r="AG1098">
        <v>-1.1021375507158999</v>
      </c>
      <c r="AH1098">
        <v>12.9893680924488</v>
      </c>
      <c r="AI1098">
        <v>94.501270397110204</v>
      </c>
      <c r="AJ1098">
        <v>68.0961055337917</v>
      </c>
      <c r="AK1098">
        <v>14.0433320481179</v>
      </c>
    </row>
    <row r="1099" spans="1:37" x14ac:dyDescent="0.2">
      <c r="A1099" t="str">
        <f>"20200111160121373"</f>
        <v>20200111160121373</v>
      </c>
      <c r="B1099" t="str">
        <f>"1578729681361467"</f>
        <v>1578729681361467</v>
      </c>
      <c r="C1099" t="s">
        <v>37</v>
      </c>
      <c r="D1099">
        <v>4.8609730000000004</v>
      </c>
      <c r="E1099">
        <v>0.59449390000000002</v>
      </c>
      <c r="F1099" t="s">
        <v>54</v>
      </c>
      <c r="G1099">
        <v>-195.821</v>
      </c>
      <c r="H1099" s="1">
        <v>5.7890200000000003E-7</v>
      </c>
      <c r="I1099">
        <v>296.50760000000002</v>
      </c>
      <c r="J1099">
        <v>-189.315</v>
      </c>
      <c r="K1099">
        <v>1.1020969999999899</v>
      </c>
      <c r="L1099">
        <v>309.50130000000001</v>
      </c>
      <c r="M1099">
        <v>-8.0817529999999999E-2</v>
      </c>
      <c r="N1099">
        <v>0</v>
      </c>
      <c r="O1099">
        <v>-0.99667700000000004</v>
      </c>
      <c r="P1099">
        <v>-0.2215703</v>
      </c>
      <c r="Q1099">
        <v>9.6971460000000002E-3</v>
      </c>
      <c r="R1099">
        <v>-0.97509639999999997</v>
      </c>
      <c r="S1099">
        <v>-1.3715820000000001</v>
      </c>
      <c r="T1099">
        <v>-0.23168929999999999</v>
      </c>
      <c r="U1099">
        <v>-2.770905</v>
      </c>
      <c r="V1099">
        <v>0.142127799999999</v>
      </c>
      <c r="W1099">
        <v>1.9117930000000002E-2</v>
      </c>
      <c r="X1099">
        <v>0.98966369999999904</v>
      </c>
      <c r="Y1099">
        <v>0.36846899999999999</v>
      </c>
      <c r="Z1099">
        <v>7.5638910000000004E-2</v>
      </c>
      <c r="AA1099">
        <v>0.92655779999999999</v>
      </c>
      <c r="AB1099">
        <v>19</v>
      </c>
      <c r="AC1099">
        <v>-6.5060000000000002</v>
      </c>
      <c r="AD1099">
        <v>-1.102096421098</v>
      </c>
      <c r="AE1099">
        <v>-12.993699999999899</v>
      </c>
      <c r="AF1099">
        <v>5.4034623200163603</v>
      </c>
      <c r="AG1099">
        <v>-1.102096421098</v>
      </c>
      <c r="AH1099">
        <v>13.399941694739701</v>
      </c>
      <c r="AI1099">
        <v>94.361970532342596</v>
      </c>
      <c r="AJ1099">
        <v>68.038479660774499</v>
      </c>
      <c r="AK1099">
        <v>14.490357448581401</v>
      </c>
    </row>
    <row r="1100" spans="1:37" x14ac:dyDescent="0.2">
      <c r="A1100" t="str">
        <f>"20200111160121396"</f>
        <v>20200111160121396</v>
      </c>
      <c r="B1100" t="str">
        <f>"1578729681391723"</f>
        <v>1578729681391723</v>
      </c>
      <c r="C1100" t="s">
        <v>37</v>
      </c>
      <c r="D1100">
        <v>4.8746689999999999</v>
      </c>
      <c r="E1100">
        <v>0.59399139999999995</v>
      </c>
      <c r="F1100" t="s">
        <v>54</v>
      </c>
      <c r="G1100">
        <v>-195.96250000000001</v>
      </c>
      <c r="H1100" s="1">
        <v>6.7819869999999997E-7</v>
      </c>
      <c r="I1100">
        <v>296.19119999999998</v>
      </c>
      <c r="J1100">
        <v>-189.33609999999999</v>
      </c>
      <c r="K1100">
        <v>1.1020719999999999</v>
      </c>
      <c r="L1100">
        <v>309.2971</v>
      </c>
      <c r="M1100">
        <v>-8.4641400000000006E-2</v>
      </c>
      <c r="N1100">
        <v>0</v>
      </c>
      <c r="O1100">
        <v>-0.99636270000000005</v>
      </c>
      <c r="P1100">
        <v>-0.227466799999999</v>
      </c>
      <c r="Q1100">
        <v>1.0569200000000001E-2</v>
      </c>
      <c r="R1100">
        <v>-0.97372899999999996</v>
      </c>
      <c r="S1100">
        <v>-1.380997</v>
      </c>
      <c r="T1100">
        <v>-0.22895760000000001</v>
      </c>
      <c r="U1100">
        <v>-2.76513699999999</v>
      </c>
      <c r="V1100">
        <v>0.14432249999999999</v>
      </c>
      <c r="W1100">
        <v>1.9669519999999999E-2</v>
      </c>
      <c r="X1100">
        <v>0.98933519999999897</v>
      </c>
      <c r="Y1100">
        <v>0.36822830000000001</v>
      </c>
      <c r="Z1100">
        <v>7.4805129999999997E-2</v>
      </c>
      <c r="AA1100">
        <v>0.92672119999999902</v>
      </c>
      <c r="AB1100">
        <v>19</v>
      </c>
      <c r="AC1100">
        <v>-6.6264000000000101</v>
      </c>
      <c r="AD1100">
        <v>-1.1020713218013001</v>
      </c>
      <c r="AE1100">
        <v>-13.1059</v>
      </c>
      <c r="AF1100">
        <v>5.4625011303536803</v>
      </c>
      <c r="AG1100">
        <v>-1.1020713218013001</v>
      </c>
      <c r="AH1100">
        <v>13.5434898414863</v>
      </c>
      <c r="AI1100">
        <v>94.315688439187497</v>
      </c>
      <c r="AJ1100">
        <v>68.034281663666704</v>
      </c>
      <c r="AK1100">
        <v>14.6451219484132</v>
      </c>
    </row>
    <row r="1101" spans="1:37" x14ac:dyDescent="0.2">
      <c r="A1101" t="str">
        <f>"20200111160121418"</f>
        <v>20200111160121418</v>
      </c>
      <c r="B1101" t="str">
        <f>"1578729681412219"</f>
        <v>1578729681412219</v>
      </c>
      <c r="C1101" t="s">
        <v>37</v>
      </c>
      <c r="D1101">
        <v>5.0096270000000001</v>
      </c>
      <c r="E1101">
        <v>0.58103309999999997</v>
      </c>
      <c r="F1101" t="s">
        <v>54</v>
      </c>
      <c r="G1101">
        <v>-196.0059</v>
      </c>
      <c r="H1101" s="1">
        <v>7.0722419999999999E-7</v>
      </c>
      <c r="I1101">
        <v>296.09820000000002</v>
      </c>
      <c r="J1101">
        <v>-189.35570000000001</v>
      </c>
      <c r="K1101">
        <v>1.1020669999999999</v>
      </c>
      <c r="L1101">
        <v>309.11360000000002</v>
      </c>
      <c r="M1101">
        <v>-8.8068049999999995E-2</v>
      </c>
      <c r="N1101">
        <v>0</v>
      </c>
      <c r="O1101">
        <v>-0.99606790000000001</v>
      </c>
      <c r="P1101">
        <v>-0.23275899999999999</v>
      </c>
      <c r="Q1101">
        <v>1.1248899999999999E-2</v>
      </c>
      <c r="R1101">
        <v>-0.97246960000000005</v>
      </c>
      <c r="S1101">
        <v>-1.3936770000000001</v>
      </c>
      <c r="T1101">
        <v>-0.23028109999999999</v>
      </c>
      <c r="U1101">
        <v>-2.7579349999999998</v>
      </c>
      <c r="V1101">
        <v>0.1463026</v>
      </c>
      <c r="W1101">
        <v>2.0085720000000001E-2</v>
      </c>
      <c r="X1101">
        <v>0.98903600000000003</v>
      </c>
      <c r="Y1101">
        <v>0.36938290000000001</v>
      </c>
      <c r="Z1101">
        <v>7.528406E-2</v>
      </c>
      <c r="AA1101">
        <v>0.92622269999999896</v>
      </c>
      <c r="AB1101">
        <v>19</v>
      </c>
      <c r="AC1101">
        <v>-6.6501999999999803</v>
      </c>
      <c r="AD1101">
        <v>-1.10206629277579</v>
      </c>
      <c r="AE1101">
        <v>-13.0154</v>
      </c>
      <c r="AF1101">
        <v>5.4470949565021201</v>
      </c>
      <c r="AG1101">
        <v>-1.10206629277579</v>
      </c>
      <c r="AH1101">
        <v>13.473916031500799</v>
      </c>
      <c r="AI1101">
        <v>94.3364594270559</v>
      </c>
      <c r="AJ1101">
        <v>67.988012367270798</v>
      </c>
      <c r="AK1101">
        <v>14.5750405420623</v>
      </c>
    </row>
    <row r="1102" spans="1:37" x14ac:dyDescent="0.2">
      <c r="A1102" t="str">
        <f>"20200111160121438"</f>
        <v>20200111160121438</v>
      </c>
      <c r="B1102" t="str">
        <f>"1578729681431739"</f>
        <v>1578729681431739</v>
      </c>
      <c r="C1102" t="s">
        <v>37</v>
      </c>
      <c r="D1102">
        <v>4.9595900000000004</v>
      </c>
      <c r="E1102">
        <v>0.58545609999999904</v>
      </c>
      <c r="F1102" t="s">
        <v>54</v>
      </c>
      <c r="G1102">
        <v>-193.95820000000001</v>
      </c>
      <c r="H1102" s="1">
        <v>5.7238349999999998E-8</v>
      </c>
      <c r="I1102">
        <v>299.29129999999998</v>
      </c>
      <c r="J1102">
        <v>-189.37540000000001</v>
      </c>
      <c r="K1102">
        <v>1.102063</v>
      </c>
      <c r="L1102">
        <v>308.93380000000002</v>
      </c>
      <c r="M1102">
        <v>-9.1413359999999999E-2</v>
      </c>
      <c r="N1102">
        <v>0</v>
      </c>
      <c r="O1102">
        <v>-0.99576880000000001</v>
      </c>
      <c r="P1102">
        <v>-0.23758509999999999</v>
      </c>
      <c r="Q1102">
        <v>1.188958E-2</v>
      </c>
      <c r="R1102">
        <v>-0.97129399999999999</v>
      </c>
      <c r="S1102">
        <v>-1.301285</v>
      </c>
      <c r="T1102">
        <v>-0.31159330000000002</v>
      </c>
      <c r="U1102">
        <v>-2.7770999999999999</v>
      </c>
      <c r="V1102">
        <v>0.1478941</v>
      </c>
      <c r="W1102">
        <v>2.0489520000000001E-2</v>
      </c>
      <c r="X1102">
        <v>0.98879089999999903</v>
      </c>
      <c r="Y1102">
        <v>0.33752789999999999</v>
      </c>
      <c r="Z1102">
        <v>0.1022701</v>
      </c>
      <c r="AA1102">
        <v>0.93574349999999995</v>
      </c>
      <c r="AB1102">
        <v>19</v>
      </c>
      <c r="AC1102">
        <v>-4.58279999999999</v>
      </c>
      <c r="AD1102">
        <v>-1.10206294276165</v>
      </c>
      <c r="AE1102">
        <v>-9.6425000000000392</v>
      </c>
      <c r="AF1102">
        <v>3.6432960142025199</v>
      </c>
      <c r="AG1102">
        <v>-1.10206294276165</v>
      </c>
      <c r="AH1102">
        <v>9.9154148710132208</v>
      </c>
      <c r="AI1102">
        <v>95.955935396431897</v>
      </c>
      <c r="AJ1102">
        <v>69.824771004771506</v>
      </c>
      <c r="AK1102">
        <v>10.6209039465208</v>
      </c>
    </row>
    <row r="1103" spans="1:37" x14ac:dyDescent="0.2">
      <c r="A1103" t="str">
        <f>"20200111160121461"</f>
        <v>20200111160121461</v>
      </c>
      <c r="B1103" t="str">
        <f>"1578729681452235"</f>
        <v>1578729681452235</v>
      </c>
      <c r="C1103" t="s">
        <v>37</v>
      </c>
      <c r="D1103">
        <v>5.0523999999999996</v>
      </c>
      <c r="E1103">
        <v>0.58329469999999894</v>
      </c>
      <c r="F1103" t="s">
        <v>54</v>
      </c>
      <c r="G1103">
        <v>-194.71680000000001</v>
      </c>
      <c r="H1103" s="1">
        <v>2.7941229999999901E-7</v>
      </c>
      <c r="I1103">
        <v>298.02980000000002</v>
      </c>
      <c r="J1103">
        <v>-189.39859999999999</v>
      </c>
      <c r="K1103">
        <v>1.102055</v>
      </c>
      <c r="L1103">
        <v>308.72949999999997</v>
      </c>
      <c r="M1103">
        <v>-9.5195119999999994E-2</v>
      </c>
      <c r="N1103">
        <v>0</v>
      </c>
      <c r="O1103">
        <v>-0.99541659999999899</v>
      </c>
      <c r="P1103">
        <v>-0.24213899999999999</v>
      </c>
      <c r="Q1103">
        <v>1.282318E-2</v>
      </c>
      <c r="R1103">
        <v>-0.97015699999999905</v>
      </c>
      <c r="S1103">
        <v>-1.3525700000000001</v>
      </c>
      <c r="T1103">
        <v>-0.2790723</v>
      </c>
      <c r="U1103">
        <v>-2.7612000000000001</v>
      </c>
      <c r="V1103">
        <v>0.1487812</v>
      </c>
      <c r="W1103">
        <v>2.1183159999999999E-2</v>
      </c>
      <c r="X1103">
        <v>0.98864319999999895</v>
      </c>
      <c r="Y1103">
        <v>0.35057109999999903</v>
      </c>
      <c r="Z1103">
        <v>9.1545760000000004E-2</v>
      </c>
      <c r="AA1103">
        <v>0.93205110000000002</v>
      </c>
      <c r="AB1103">
        <v>19</v>
      </c>
      <c r="AC1103">
        <v>-5.3182000000000098</v>
      </c>
      <c r="AD1103">
        <v>-1.1020547205877</v>
      </c>
      <c r="AE1103">
        <v>-10.699699999999901</v>
      </c>
      <c r="AF1103">
        <v>4.23937961297983</v>
      </c>
      <c r="AG1103">
        <v>-1.1020547205877</v>
      </c>
      <c r="AH1103">
        <v>11.0632766755154</v>
      </c>
      <c r="AI1103">
        <v>95.314264638067399</v>
      </c>
      <c r="AJ1103">
        <v>69.033474678249405</v>
      </c>
      <c r="AK1103">
        <v>11.8988635973828</v>
      </c>
    </row>
    <row r="1104" spans="1:37" x14ac:dyDescent="0.2">
      <c r="A1104" t="str">
        <f>"20200111160121484"</f>
        <v>20200111160121484</v>
      </c>
      <c r="B1104" t="str">
        <f>"1578729681471755"</f>
        <v>1578729681471755</v>
      </c>
      <c r="C1104" t="s">
        <v>37</v>
      </c>
      <c r="D1104">
        <v>5.0555320000000004</v>
      </c>
      <c r="E1104">
        <v>0.58145119999999995</v>
      </c>
      <c r="F1104" t="s">
        <v>54</v>
      </c>
      <c r="G1104">
        <v>-194.53989999999999</v>
      </c>
      <c r="H1104" s="1">
        <v>2.4837549999999999E-7</v>
      </c>
      <c r="I1104">
        <v>298.20599999999899</v>
      </c>
      <c r="J1104">
        <v>-189.42099999999999</v>
      </c>
      <c r="K1104">
        <v>1.102042</v>
      </c>
      <c r="L1104">
        <v>308.53809999999999</v>
      </c>
      <c r="M1104">
        <v>-9.8718239999999999E-2</v>
      </c>
      <c r="N1104">
        <v>0</v>
      </c>
      <c r="O1104">
        <v>-0.99507520000000005</v>
      </c>
      <c r="P1104">
        <v>-0.24643200000000001</v>
      </c>
      <c r="Q1104">
        <v>1.353595E-2</v>
      </c>
      <c r="R1104">
        <v>-0.96906569999999903</v>
      </c>
      <c r="S1104">
        <v>-1.348206</v>
      </c>
      <c r="T1104">
        <v>-0.28899340000000001</v>
      </c>
      <c r="U1104">
        <v>-2.7595830000000001</v>
      </c>
      <c r="V1104">
        <v>0.1496622</v>
      </c>
      <c r="W1104">
        <v>2.1695639999999999E-2</v>
      </c>
      <c r="X1104">
        <v>0.98849909999999996</v>
      </c>
      <c r="Y1104">
        <v>0.34614400000000001</v>
      </c>
      <c r="Z1104">
        <v>9.4880969999999995E-2</v>
      </c>
      <c r="AA1104">
        <v>0.93337130000000001</v>
      </c>
      <c r="AB1104">
        <v>19</v>
      </c>
      <c r="AC1104">
        <v>-5.1188999999999902</v>
      </c>
      <c r="AD1104">
        <v>-1.1020417516245</v>
      </c>
      <c r="AE1104">
        <v>-10.332100000000001</v>
      </c>
      <c r="AF1104">
        <v>4.0370102697269301</v>
      </c>
      <c r="AG1104">
        <v>-1.1020417516245</v>
      </c>
      <c r="AH1104">
        <v>10.689334157181699</v>
      </c>
      <c r="AI1104">
        <v>95.509034661653402</v>
      </c>
      <c r="AJ1104">
        <v>69.310096799413401</v>
      </c>
      <c r="AK1104">
        <v>11.479277532323</v>
      </c>
    </row>
    <row r="1105" spans="1:37" x14ac:dyDescent="0.2">
      <c r="A1105" t="str">
        <f>"20200111160121506"</f>
        <v>20200111160121506</v>
      </c>
      <c r="B1105" t="str">
        <f>"1578729681502011"</f>
        <v>1578729681502011</v>
      </c>
      <c r="C1105" t="s">
        <v>37</v>
      </c>
      <c r="D1105">
        <v>5.1080610000000002</v>
      </c>
      <c r="E1105">
        <v>0.57953580000000005</v>
      </c>
      <c r="F1105" t="s">
        <v>54</v>
      </c>
      <c r="G1105">
        <v>-194.41239999999999</v>
      </c>
      <c r="H1105" s="1">
        <v>2.3041359999999999E-7</v>
      </c>
      <c r="I1105">
        <v>298.30799999999999</v>
      </c>
      <c r="J1105">
        <v>-189.4442</v>
      </c>
      <c r="K1105">
        <v>1.102028</v>
      </c>
      <c r="L1105">
        <v>308.34559999999999</v>
      </c>
      <c r="M1105">
        <v>-0.1022483</v>
      </c>
      <c r="N1105">
        <v>0</v>
      </c>
      <c r="O1105">
        <v>-0.994720099999999</v>
      </c>
      <c r="P1105">
        <v>-0.25081550000000002</v>
      </c>
      <c r="Q1105">
        <v>1.439999E-2</v>
      </c>
      <c r="R1105">
        <v>-0.96792819999999902</v>
      </c>
      <c r="S1105">
        <v>-1.3455509999999999</v>
      </c>
      <c r="T1105">
        <v>-0.29708229999999902</v>
      </c>
      <c r="U1105">
        <v>-2.7577820000000002</v>
      </c>
      <c r="V1105">
        <v>0.15063379999999901</v>
      </c>
      <c r="W1105">
        <v>2.2386409999999999E-2</v>
      </c>
      <c r="X1105">
        <v>0.98833609999999905</v>
      </c>
      <c r="Y1105">
        <v>0.34221399999999902</v>
      </c>
      <c r="Z1105">
        <v>9.7605789999999998E-2</v>
      </c>
      <c r="AA1105">
        <v>0.9345388</v>
      </c>
      <c r="AB1105">
        <v>19</v>
      </c>
      <c r="AC1105">
        <v>-4.9681999999999897</v>
      </c>
      <c r="AD1105">
        <v>-1.1020277695864</v>
      </c>
      <c r="AE1105">
        <v>-10.0375999999999</v>
      </c>
      <c r="AF1105">
        <v>3.8782431991317301</v>
      </c>
      <c r="AG1105">
        <v>-1.1020277695864</v>
      </c>
      <c r="AH1105">
        <v>10.392379391214799</v>
      </c>
      <c r="AI1105">
        <v>95.673683654242794</v>
      </c>
      <c r="AJ1105">
        <v>69.535358656137703</v>
      </c>
      <c r="AK1105">
        <v>11.147052746241799</v>
      </c>
    </row>
    <row r="1106" spans="1:37" x14ac:dyDescent="0.2">
      <c r="A1106" t="str">
        <f>"20200111160121530"</f>
        <v>20200111160121530</v>
      </c>
      <c r="B1106" t="str">
        <f>"1578729681521531"</f>
        <v>1578729681521531</v>
      </c>
      <c r="C1106" t="s">
        <v>37</v>
      </c>
      <c r="D1106">
        <v>5.169422</v>
      </c>
      <c r="E1106">
        <v>0.57893249999999996</v>
      </c>
      <c r="F1106" t="s">
        <v>54</v>
      </c>
      <c r="G1106">
        <v>-194.28749999999999</v>
      </c>
      <c r="H1106" s="1">
        <v>2.140363E-7</v>
      </c>
      <c r="I1106">
        <v>298.40100000000001</v>
      </c>
      <c r="J1106">
        <v>-189.46979999999999</v>
      </c>
      <c r="K1106">
        <v>1.102012</v>
      </c>
      <c r="L1106">
        <v>308.13900000000001</v>
      </c>
      <c r="M1106">
        <v>-0.1060301</v>
      </c>
      <c r="N1106">
        <v>0</v>
      </c>
      <c r="O1106">
        <v>-0.99432520000000002</v>
      </c>
      <c r="P1106">
        <v>-0.25530199999999997</v>
      </c>
      <c r="Q1106">
        <v>1.521049E-2</v>
      </c>
      <c r="R1106">
        <v>-0.96674159999999998</v>
      </c>
      <c r="S1106">
        <v>-1.3423160000000001</v>
      </c>
      <c r="T1106">
        <v>-0.30542789999999997</v>
      </c>
      <c r="U1106">
        <v>-2.7561650000000002</v>
      </c>
      <c r="V1106">
        <v>0.1514646</v>
      </c>
      <c r="W1106">
        <v>2.30438E-2</v>
      </c>
      <c r="X1106">
        <v>0.98819400000000002</v>
      </c>
      <c r="Y1106">
        <v>0.33784740000000002</v>
      </c>
      <c r="Z1106">
        <v>0.1004167</v>
      </c>
      <c r="AA1106">
        <v>0.93582889999999996</v>
      </c>
      <c r="AB1106">
        <v>19</v>
      </c>
      <c r="AC1106">
        <v>-4.8177000000000003</v>
      </c>
      <c r="AD1106">
        <v>-1.1020117859637</v>
      </c>
      <c r="AE1106">
        <v>-9.7379999999999995</v>
      </c>
      <c r="AF1106">
        <v>3.7197105247916</v>
      </c>
      <c r="AG1106">
        <v>-1.1020117859637</v>
      </c>
      <c r="AH1106">
        <v>10.090131162355201</v>
      </c>
      <c r="AI1106">
        <v>95.850976726771407</v>
      </c>
      <c r="AJ1106">
        <v>69.763673061098402</v>
      </c>
      <c r="AK1106">
        <v>10.810246215428201</v>
      </c>
    </row>
    <row r="1107" spans="1:37" x14ac:dyDescent="0.2">
      <c r="A1107" t="str">
        <f>"20200111160121551"</f>
        <v>20200111160121551</v>
      </c>
      <c r="B1107" t="str">
        <f>"1578729681542028"</f>
        <v>1578729681542028</v>
      </c>
      <c r="C1107" t="s">
        <v>37</v>
      </c>
      <c r="D1107">
        <v>5.148536</v>
      </c>
      <c r="E1107">
        <v>0.57838800000000001</v>
      </c>
      <c r="F1107" t="s">
        <v>54</v>
      </c>
      <c r="G1107">
        <v>-194.2704</v>
      </c>
      <c r="H1107" s="1">
        <v>2.2257499999999999E-7</v>
      </c>
      <c r="I1107">
        <v>298.35250000000002</v>
      </c>
      <c r="J1107">
        <v>-189.49449999999999</v>
      </c>
      <c r="K1107">
        <v>1.1019920000000001</v>
      </c>
      <c r="L1107">
        <v>307.94690000000003</v>
      </c>
      <c r="M1107">
        <v>-0.10955429999999999</v>
      </c>
      <c r="N1107">
        <v>0</v>
      </c>
      <c r="O1107">
        <v>-0.99394419999999895</v>
      </c>
      <c r="P1107">
        <v>-0.25808229999999999</v>
      </c>
      <c r="Q1107">
        <v>1.527192E-2</v>
      </c>
      <c r="R1107">
        <v>-0.96600219999999903</v>
      </c>
      <c r="S1107">
        <v>-1.3497619999999999</v>
      </c>
      <c r="T1107">
        <v>-0.3098515</v>
      </c>
      <c r="U1107">
        <v>-2.7516479999999999</v>
      </c>
      <c r="V1107">
        <v>0.150805299999999</v>
      </c>
      <c r="W1107">
        <v>2.2992789999999999E-2</v>
      </c>
      <c r="X1107">
        <v>0.98829609999999901</v>
      </c>
      <c r="Y1107">
        <v>0.33709479999999897</v>
      </c>
      <c r="Z1107">
        <v>0.1019017</v>
      </c>
      <c r="AA1107">
        <v>0.93593969999999904</v>
      </c>
      <c r="AB1107">
        <v>20</v>
      </c>
      <c r="AC1107">
        <v>-4.7759</v>
      </c>
      <c r="AD1107">
        <v>-1.1019917774250001</v>
      </c>
      <c r="AE1107">
        <v>-9.5944000000000091</v>
      </c>
      <c r="AF1107">
        <v>3.65733730985886</v>
      </c>
      <c r="AG1107">
        <v>-1.1019917774250001</v>
      </c>
      <c r="AH1107">
        <v>9.9546384131397705</v>
      </c>
      <c r="AI1107">
        <v>95.932326037389302</v>
      </c>
      <c r="AJ1107">
        <v>69.826651916032404</v>
      </c>
      <c r="AK1107">
        <v>10.6623322032262</v>
      </c>
    </row>
    <row r="1108" spans="1:37" x14ac:dyDescent="0.2">
      <c r="A1108" t="str">
        <f>"20200111160121598"</f>
        <v>20200111160121598</v>
      </c>
      <c r="B1108" t="str">
        <f>"1578729681591803"</f>
        <v>1578729681591803</v>
      </c>
      <c r="C1108" t="s">
        <v>37</v>
      </c>
      <c r="D1108">
        <v>5.1399749999999997</v>
      </c>
      <c r="E1108">
        <v>0.57712959999999902</v>
      </c>
      <c r="F1108" t="s">
        <v>54</v>
      </c>
      <c r="G1108">
        <v>-194.25970000000001</v>
      </c>
      <c r="H1108" s="1">
        <v>2.3686209999999901E-7</v>
      </c>
      <c r="I1108">
        <v>298.27140000000003</v>
      </c>
      <c r="J1108">
        <v>-189.5496</v>
      </c>
      <c r="K1108">
        <v>1.1019270000000001</v>
      </c>
      <c r="L1108">
        <v>307.53559999999999</v>
      </c>
      <c r="M1108">
        <v>-0.11716219999999999</v>
      </c>
      <c r="N1108">
        <v>0</v>
      </c>
      <c r="O1108">
        <v>-0.99307789999999996</v>
      </c>
      <c r="P1108">
        <v>-0.26142169999999998</v>
      </c>
      <c r="Q1108">
        <v>1.522312E-2</v>
      </c>
      <c r="R1108">
        <v>-0.96510459999999998</v>
      </c>
      <c r="S1108">
        <v>-1.3538059999999901</v>
      </c>
      <c r="T1108">
        <v>-0.31307579999999902</v>
      </c>
      <c r="U1108">
        <v>-2.74880999999999</v>
      </c>
      <c r="V1108">
        <v>0.14665549999999999</v>
      </c>
      <c r="W1108">
        <v>2.27592E-2</v>
      </c>
      <c r="X1108">
        <v>0.98892579999999997</v>
      </c>
      <c r="Y1108">
        <v>0.3313256</v>
      </c>
      <c r="Z1108">
        <v>0.10298599999999999</v>
      </c>
      <c r="AA1108">
        <v>0.93787909999999997</v>
      </c>
      <c r="AB1108">
        <v>20</v>
      </c>
      <c r="AC1108">
        <v>-4.7101000000000104</v>
      </c>
      <c r="AD1108">
        <v>-1.1019267631378999</v>
      </c>
      <c r="AE1108">
        <v>-9.2641999999999598</v>
      </c>
      <c r="AF1108">
        <v>3.5522723517614598</v>
      </c>
      <c r="AG1108">
        <v>-1.1019267631378999</v>
      </c>
      <c r="AH1108">
        <v>9.6438408050184403</v>
      </c>
      <c r="AI1108">
        <v>96.119860869697405</v>
      </c>
      <c r="AJ1108">
        <v>69.7789155995073</v>
      </c>
      <c r="AK1108">
        <v>10.336176610572499</v>
      </c>
    </row>
    <row r="1109" spans="1:37" x14ac:dyDescent="0.2">
      <c r="A1109" t="str">
        <f>"20200111160121618"</f>
        <v>20200111160121618</v>
      </c>
      <c r="B1109" t="str">
        <f>"1578729681612299"</f>
        <v>1578729681612299</v>
      </c>
      <c r="C1109" t="s">
        <v>37</v>
      </c>
      <c r="D1109">
        <v>5.1529870000000004</v>
      </c>
      <c r="E1109">
        <v>0.57699579999999995</v>
      </c>
      <c r="F1109" t="s">
        <v>54</v>
      </c>
      <c r="G1109">
        <v>-194.2046</v>
      </c>
      <c r="H1109" s="1">
        <v>2.6687219999999999E-7</v>
      </c>
      <c r="I1109">
        <v>298.101</v>
      </c>
      <c r="J1109">
        <v>-189.5745</v>
      </c>
      <c r="K1109">
        <v>1.1019019999999999</v>
      </c>
      <c r="L1109">
        <v>307.35700000000003</v>
      </c>
      <c r="M1109">
        <v>-0.1205049</v>
      </c>
      <c r="N1109">
        <v>0</v>
      </c>
      <c r="O1109">
        <v>-0.99267830000000001</v>
      </c>
      <c r="P1109">
        <v>-0.2621271</v>
      </c>
      <c r="Q1109">
        <v>1.5423060000000001E-2</v>
      </c>
      <c r="R1109">
        <v>-0.9649103</v>
      </c>
      <c r="S1109">
        <v>-1.3550869999999999</v>
      </c>
      <c r="T1109">
        <v>-0.32077459999999902</v>
      </c>
      <c r="U1109">
        <v>-2.746429</v>
      </c>
      <c r="V1109">
        <v>0.14405090000000001</v>
      </c>
      <c r="W1109">
        <v>2.2905080000000001E-2</v>
      </c>
      <c r="X1109">
        <v>0.98930509999999905</v>
      </c>
      <c r="Y1109">
        <v>0.32870559999999899</v>
      </c>
      <c r="Z1109">
        <v>0.105545499999999</v>
      </c>
      <c r="AA1109">
        <v>0.93851629999999997</v>
      </c>
      <c r="AB1109">
        <v>20</v>
      </c>
      <c r="AC1109">
        <v>-4.6300999999999899</v>
      </c>
      <c r="AD1109">
        <v>-1.1019017331278</v>
      </c>
      <c r="AE1109">
        <v>-9.2560000000000198</v>
      </c>
      <c r="AF1109">
        <v>3.4419088139474301</v>
      </c>
      <c r="AG1109">
        <v>-1.1019017331278</v>
      </c>
      <c r="AH1109">
        <v>9.6372675936943093</v>
      </c>
      <c r="AI1109">
        <v>96.145723636995697</v>
      </c>
      <c r="AJ1109">
        <v>70.346030782272607</v>
      </c>
      <c r="AK1109">
        <v>10.2926114463468</v>
      </c>
    </row>
    <row r="1110" spans="1:37" x14ac:dyDescent="0.2">
      <c r="A1110" t="str">
        <f>"20200111160121641"</f>
        <v>20200111160121641</v>
      </c>
      <c r="B1110" t="str">
        <f>"1578729681631820"</f>
        <v>1578729681631820</v>
      </c>
      <c r="C1110" t="s">
        <v>37</v>
      </c>
      <c r="D1110">
        <v>5.211239</v>
      </c>
      <c r="E1110">
        <v>0.57686669999999995</v>
      </c>
      <c r="F1110" t="s">
        <v>54</v>
      </c>
      <c r="G1110">
        <v>-194.22819999999999</v>
      </c>
      <c r="H1110" s="1">
        <v>2.9565269999999998E-7</v>
      </c>
      <c r="I1110">
        <v>297.93759999999997</v>
      </c>
      <c r="J1110">
        <v>-189.60390000000001</v>
      </c>
      <c r="K1110">
        <v>1.1018559999999999</v>
      </c>
      <c r="L1110">
        <v>307.15159999999997</v>
      </c>
      <c r="M1110">
        <v>-0.1243956</v>
      </c>
      <c r="N1110">
        <v>0</v>
      </c>
      <c r="O1110">
        <v>-0.99219859999999904</v>
      </c>
      <c r="P1110">
        <v>-0.26381640000000001</v>
      </c>
      <c r="Q1110">
        <v>1.5622530000000001E-2</v>
      </c>
      <c r="R1110">
        <v>-0.96444629999999998</v>
      </c>
      <c r="S1110">
        <v>-1.356552</v>
      </c>
      <c r="T1110">
        <v>-0.3212005</v>
      </c>
      <c r="U1110">
        <v>-2.74572799999999</v>
      </c>
      <c r="V1110">
        <v>0.1419077</v>
      </c>
      <c r="W1110">
        <v>2.3050480000000002E-2</v>
      </c>
      <c r="X1110">
        <v>0.98961149999999998</v>
      </c>
      <c r="Y1110">
        <v>0.32549499999999998</v>
      </c>
      <c r="Z1110">
        <v>0.1056798</v>
      </c>
      <c r="AA1110">
        <v>0.93961949999999905</v>
      </c>
      <c r="AB1110">
        <v>20</v>
      </c>
      <c r="AC1110">
        <v>-4.6242999999999697</v>
      </c>
      <c r="AD1110">
        <v>-1.1018557043472901</v>
      </c>
      <c r="AE1110">
        <v>-9.2140000000000004</v>
      </c>
      <c r="AF1110">
        <v>3.4032828254473801</v>
      </c>
      <c r="AG1110">
        <v>-1.1018557043472901</v>
      </c>
      <c r="AH1110">
        <v>9.6079353755553303</v>
      </c>
      <c r="AI1110">
        <v>96.1697471439727</v>
      </c>
      <c r="AJ1110">
        <v>70.495048514127006</v>
      </c>
      <c r="AK1110">
        <v>10.252260344140399</v>
      </c>
    </row>
    <row r="1111" spans="1:37" x14ac:dyDescent="0.2">
      <c r="A1111" t="str">
        <f>"20200111160121662"</f>
        <v>20200111160121662</v>
      </c>
      <c r="B1111" t="str">
        <f>"1578729681651846"</f>
        <v>1578729681651846</v>
      </c>
      <c r="C1111" t="s">
        <v>37</v>
      </c>
      <c r="D1111">
        <v>5.1928229999999997</v>
      </c>
      <c r="E1111">
        <v>0.57682339999999999</v>
      </c>
      <c r="F1111" t="s">
        <v>54</v>
      </c>
      <c r="G1111">
        <v>-194.26939999999999</v>
      </c>
      <c r="H1111" s="1">
        <v>3.3020609999999998E-7</v>
      </c>
      <c r="I1111">
        <v>297.7414</v>
      </c>
      <c r="J1111">
        <v>-189.63210000000001</v>
      </c>
      <c r="K1111">
        <v>1.1017999999999999</v>
      </c>
      <c r="L1111">
        <v>306.96039999999999</v>
      </c>
      <c r="M1111">
        <v>-0.1280782</v>
      </c>
      <c r="N1111">
        <v>0</v>
      </c>
      <c r="O1111">
        <v>-0.99173040000000001</v>
      </c>
      <c r="P1111">
        <v>-0.26568429999999998</v>
      </c>
      <c r="Q1111">
        <v>1.6284E-2</v>
      </c>
      <c r="R1111">
        <v>-0.96392289999999903</v>
      </c>
      <c r="S1111">
        <v>-1.3602909999999999</v>
      </c>
      <c r="T1111">
        <v>-0.3212622</v>
      </c>
      <c r="U1111">
        <v>-2.7436829999999999</v>
      </c>
      <c r="V1111">
        <v>0.14015810000000001</v>
      </c>
      <c r="W1111">
        <v>2.3667810000000001E-2</v>
      </c>
      <c r="X1111">
        <v>0.98984619999999901</v>
      </c>
      <c r="Y1111">
        <v>0.3232913</v>
      </c>
      <c r="Z1111">
        <v>0.1057056</v>
      </c>
      <c r="AA1111">
        <v>0.94037709999999997</v>
      </c>
      <c r="AB1111">
        <v>20</v>
      </c>
      <c r="AC1111">
        <v>-4.6372999999999802</v>
      </c>
      <c r="AD1111">
        <v>-1.1017996697938901</v>
      </c>
      <c r="AE1111">
        <v>-9.2189999999999905</v>
      </c>
      <c r="AF1111">
        <v>3.37978543583379</v>
      </c>
      <c r="AG1111">
        <v>-1.1017996697938901</v>
      </c>
      <c r="AH1111">
        <v>9.62728053553219</v>
      </c>
      <c r="AI1111">
        <v>96.163178100501</v>
      </c>
      <c r="AJ1111">
        <v>70.6556947794422</v>
      </c>
      <c r="AK1111">
        <v>10.262623573651499</v>
      </c>
    </row>
    <row r="1112" spans="1:37" x14ac:dyDescent="0.2">
      <c r="A1112" t="str">
        <f>"20200111160121686"</f>
        <v>20200111160121686</v>
      </c>
      <c r="B1112" t="str">
        <f>"1578729681682102"</f>
        <v>1578729681682102</v>
      </c>
      <c r="C1112" t="s">
        <v>37</v>
      </c>
      <c r="D1112">
        <v>5.1905929999999998</v>
      </c>
      <c r="E1112">
        <v>0.5768394</v>
      </c>
      <c r="F1112" t="s">
        <v>54</v>
      </c>
      <c r="G1112">
        <v>-194.32589999999999</v>
      </c>
      <c r="H1112" s="1">
        <v>3.6606020000000002E-7</v>
      </c>
      <c r="I1112">
        <v>297.5378</v>
      </c>
      <c r="J1112">
        <v>-189.66540000000001</v>
      </c>
      <c r="K1112">
        <v>1.1017269999999999</v>
      </c>
      <c r="L1112">
        <v>306.74160000000001</v>
      </c>
      <c r="M1112">
        <v>-0.132378</v>
      </c>
      <c r="N1112">
        <v>0</v>
      </c>
      <c r="O1112">
        <v>-0.99116579999999999</v>
      </c>
      <c r="P1112">
        <v>-0.26886079999999901</v>
      </c>
      <c r="Q1112">
        <v>1.6943529999999998E-2</v>
      </c>
      <c r="R1112">
        <v>-0.96303050000000001</v>
      </c>
      <c r="S1112">
        <v>-1.3655090000000001</v>
      </c>
      <c r="T1112">
        <v>-0.32053959999999998</v>
      </c>
      <c r="U1112">
        <v>-2.7412719999999999</v>
      </c>
      <c r="V1112">
        <v>0.13913729999999999</v>
      </c>
      <c r="W1112">
        <v>2.428085E-2</v>
      </c>
      <c r="X1112">
        <v>0.98997539999999995</v>
      </c>
      <c r="Y1112">
        <v>0.3209649</v>
      </c>
      <c r="Z1112">
        <v>0.1054635</v>
      </c>
      <c r="AA1112">
        <v>0.94120079999999995</v>
      </c>
      <c r="AB1112">
        <v>20</v>
      </c>
      <c r="AC1112">
        <v>-4.6604999999999803</v>
      </c>
      <c r="AD1112">
        <v>-1.1017266339398</v>
      </c>
      <c r="AE1112">
        <v>-9.2037999999999993</v>
      </c>
      <c r="AF1112">
        <v>3.3627099217324901</v>
      </c>
      <c r="AG1112">
        <v>-1.1017266339398</v>
      </c>
      <c r="AH1112">
        <v>9.6299366525348198</v>
      </c>
      <c r="AI1112">
        <v>96.164652740267599</v>
      </c>
      <c r="AJ1112">
        <v>70.751137543307195</v>
      </c>
      <c r="AK1112">
        <v>10.259498015277501</v>
      </c>
    </row>
    <row r="1113" spans="1:37" x14ac:dyDescent="0.2">
      <c r="A1113" t="str">
        <f>"20200111160121709"</f>
        <v>20200111160121709</v>
      </c>
      <c r="B1113" t="str">
        <f>"1578729681701622"</f>
        <v>1578729681701622</v>
      </c>
      <c r="C1113" t="s">
        <v>37</v>
      </c>
      <c r="D1113">
        <v>5.2089939999999997</v>
      </c>
      <c r="E1113">
        <v>0.57680980000000004</v>
      </c>
      <c r="F1113" t="s">
        <v>54</v>
      </c>
      <c r="G1113">
        <v>-194.38339999999999</v>
      </c>
      <c r="H1113" s="1">
        <v>4.08125099999999E-7</v>
      </c>
      <c r="I1113">
        <v>297.35140000000001</v>
      </c>
      <c r="J1113">
        <v>-189.69669999999999</v>
      </c>
      <c r="K1113">
        <v>1.101658</v>
      </c>
      <c r="L1113">
        <v>306.5419</v>
      </c>
      <c r="M1113">
        <v>-0.13638459999999999</v>
      </c>
      <c r="N1113">
        <v>0</v>
      </c>
      <c r="O1113">
        <v>-0.99062260000000002</v>
      </c>
      <c r="P1113">
        <v>-0.27316699999999999</v>
      </c>
      <c r="Q1113">
        <v>1.743658E-2</v>
      </c>
      <c r="R1113">
        <v>-0.96180869999999996</v>
      </c>
      <c r="S1113">
        <v>-1.3751370000000001</v>
      </c>
      <c r="T1113">
        <v>-0.32111509999999999</v>
      </c>
      <c r="U1113">
        <v>-2.7369080000000001</v>
      </c>
      <c r="V1113">
        <v>0.139572</v>
      </c>
      <c r="W1113">
        <v>2.4729419999999998E-2</v>
      </c>
      <c r="X1113">
        <v>0.98990309999999904</v>
      </c>
      <c r="Y1113">
        <v>0.32037549999999998</v>
      </c>
      <c r="Z1113">
        <v>0.10564519999999999</v>
      </c>
      <c r="AA1113">
        <v>0.94138120000000003</v>
      </c>
      <c r="AB1113">
        <v>20</v>
      </c>
      <c r="AC1113">
        <v>-4.6867000000000001</v>
      </c>
      <c r="AD1113">
        <v>-1.1016575918749001</v>
      </c>
      <c r="AE1113">
        <v>-9.1904999999999806</v>
      </c>
      <c r="AF1113">
        <v>3.3512057785918001</v>
      </c>
      <c r="AG1113">
        <v>-1.1016575918749001</v>
      </c>
      <c r="AH1113">
        <v>9.6339744762925399</v>
      </c>
      <c r="AI1113">
        <v>96.164253330838903</v>
      </c>
      <c r="AJ1113">
        <v>70.819622477971194</v>
      </c>
      <c r="AK1113">
        <v>10.259517231822301</v>
      </c>
    </row>
    <row r="1114" spans="1:37" x14ac:dyDescent="0.2">
      <c r="A1114" t="str">
        <f>"20200111160121731"</f>
        <v>20200111160121731</v>
      </c>
      <c r="B1114" t="str">
        <f>"1578729681722118"</f>
        <v>1578729681722118</v>
      </c>
      <c r="C1114" t="s">
        <v>37</v>
      </c>
      <c r="D1114">
        <v>5.2332609999999997</v>
      </c>
      <c r="E1114">
        <v>0.57669099999999995</v>
      </c>
      <c r="F1114" t="s">
        <v>54</v>
      </c>
      <c r="G1114">
        <v>-194.46299999999999</v>
      </c>
      <c r="H1114" s="1">
        <v>4.6871369999999999E-7</v>
      </c>
      <c r="I1114">
        <v>297.1601</v>
      </c>
      <c r="J1114">
        <v>-189.7285</v>
      </c>
      <c r="K1114">
        <v>1.101586</v>
      </c>
      <c r="L1114">
        <v>306.34500000000003</v>
      </c>
      <c r="M1114">
        <v>-0.14041779999999901</v>
      </c>
      <c r="N1114">
        <v>0</v>
      </c>
      <c r="O1114">
        <v>-0.99005889999999996</v>
      </c>
      <c r="P1114">
        <v>-0.27828509999999901</v>
      </c>
      <c r="Q1114">
        <v>1.713261E-2</v>
      </c>
      <c r="R1114">
        <v>-0.96034589999999997</v>
      </c>
      <c r="S1114">
        <v>-1.387375</v>
      </c>
      <c r="T1114">
        <v>-0.32067420000000002</v>
      </c>
      <c r="U1114">
        <v>-2.730896</v>
      </c>
      <c r="V1114">
        <v>0.14081399999999999</v>
      </c>
      <c r="W1114">
        <v>2.4385250000000001E-2</v>
      </c>
      <c r="X1114">
        <v>0.9897357</v>
      </c>
      <c r="Y1114">
        <v>0.32071690000000003</v>
      </c>
      <c r="Z1114">
        <v>0.1055101</v>
      </c>
      <c r="AA1114">
        <v>0.94128009999999995</v>
      </c>
      <c r="AB1114">
        <v>20</v>
      </c>
      <c r="AC1114">
        <v>-4.7344999999999899</v>
      </c>
      <c r="AD1114">
        <v>-1.1015855312863001</v>
      </c>
      <c r="AE1114">
        <v>-9.1849000000000203</v>
      </c>
      <c r="AF1114">
        <v>3.3596418338502501</v>
      </c>
      <c r="AG1114">
        <v>-1.1015855312863001</v>
      </c>
      <c r="AH1114">
        <v>9.6490651423227494</v>
      </c>
      <c r="AI1114">
        <v>96.153661226257796</v>
      </c>
      <c r="AJ1114">
        <v>70.802744087485493</v>
      </c>
      <c r="AK1114">
        <v>10.2764362526745</v>
      </c>
    </row>
    <row r="1115" spans="1:37" x14ac:dyDescent="0.2">
      <c r="A1115" t="str">
        <f>"20200111160121777"</f>
        <v>20200111160121777</v>
      </c>
      <c r="B1115" t="str">
        <f>"1578729681771424"</f>
        <v>1578729681771424</v>
      </c>
      <c r="C1115" t="s">
        <v>37</v>
      </c>
      <c r="D1115">
        <v>5.1520039999999998</v>
      </c>
      <c r="E1115">
        <v>0.57657809999999998</v>
      </c>
      <c r="F1115" t="s">
        <v>54</v>
      </c>
      <c r="G1115">
        <v>-194.5087</v>
      </c>
      <c r="H1115" s="1">
        <v>5.0295469999999999E-7</v>
      </c>
      <c r="I1115">
        <v>297.05169999999998</v>
      </c>
      <c r="J1115">
        <v>-189.7979</v>
      </c>
      <c r="K1115">
        <v>1.1014600000000001</v>
      </c>
      <c r="L1115">
        <v>305.93369999999999</v>
      </c>
      <c r="M1115">
        <v>-0.149066</v>
      </c>
      <c r="N1115">
        <v>0</v>
      </c>
      <c r="O1115">
        <v>-0.98879399999999995</v>
      </c>
      <c r="P1115">
        <v>-0.2894777</v>
      </c>
      <c r="Q1115">
        <v>1.7733369999999998E-2</v>
      </c>
      <c r="R1115">
        <v>-0.95702089999999995</v>
      </c>
      <c r="S1115">
        <v>-1.40097</v>
      </c>
      <c r="T1115">
        <v>-0.32285019999999998</v>
      </c>
      <c r="U1115">
        <v>-2.7236630000000002</v>
      </c>
      <c r="V1115">
        <v>0.14373029999999901</v>
      </c>
      <c r="W1115">
        <v>2.4926770000000001E-2</v>
      </c>
      <c r="X1115">
        <v>0.98930289999999999</v>
      </c>
      <c r="Y1115">
        <v>0.31713849999999999</v>
      </c>
      <c r="Z1115">
        <v>0.10621459999999899</v>
      </c>
      <c r="AA1115">
        <v>0.94241269999999999</v>
      </c>
      <c r="AB1115">
        <v>20</v>
      </c>
      <c r="AC1115">
        <v>-4.7107999999999999</v>
      </c>
      <c r="AD1115">
        <v>-1.1014594970453</v>
      </c>
      <c r="AE1115">
        <v>-8.8819999999999997</v>
      </c>
      <c r="AF1115">
        <v>3.2945736590508901</v>
      </c>
      <c r="AG1115">
        <v>-1.1014594970453</v>
      </c>
      <c r="AH1115">
        <v>9.3725084348606291</v>
      </c>
      <c r="AI1115">
        <v>96.326545529209199</v>
      </c>
      <c r="AJ1115">
        <v>70.632680002173998</v>
      </c>
      <c r="AK1115">
        <v>9.9955661660596693</v>
      </c>
    </row>
    <row r="1116" spans="1:37" x14ac:dyDescent="0.2">
      <c r="A1116" t="str">
        <f>"20200111160121798"</f>
        <v>20200111160121798</v>
      </c>
      <c r="B1116" t="str">
        <f>"1578729681791920"</f>
        <v>1578729681791920</v>
      </c>
      <c r="C1116" t="s">
        <v>37</v>
      </c>
      <c r="D1116">
        <v>5.14236</v>
      </c>
      <c r="E1116">
        <v>0.57653559999999904</v>
      </c>
      <c r="F1116" t="s">
        <v>54</v>
      </c>
      <c r="G1116">
        <v>-194.6396</v>
      </c>
      <c r="H1116" s="1">
        <v>5.8873090000000004E-7</v>
      </c>
      <c r="I1116">
        <v>296.77620000000002</v>
      </c>
      <c r="J1116">
        <v>-189.83369999999999</v>
      </c>
      <c r="K1116">
        <v>1.1014189999999999</v>
      </c>
      <c r="L1116">
        <v>305.73</v>
      </c>
      <c r="M1116">
        <v>-0.15342449999999999</v>
      </c>
      <c r="N1116">
        <v>0</v>
      </c>
      <c r="O1116">
        <v>-0.98812690000000003</v>
      </c>
      <c r="P1116">
        <v>-0.29544779999999998</v>
      </c>
      <c r="Q1116">
        <v>1.8563320000000001E-2</v>
      </c>
      <c r="R1116">
        <v>-0.95517859999999999</v>
      </c>
      <c r="S1116">
        <v>-1.4316409999999999</v>
      </c>
      <c r="T1116">
        <v>-0.3256907</v>
      </c>
      <c r="U1116">
        <v>-2.7077640000000001</v>
      </c>
      <c r="V1116">
        <v>0.1455552</v>
      </c>
      <c r="W1116">
        <v>2.573332E-2</v>
      </c>
      <c r="X1116">
        <v>0.98901539999999999</v>
      </c>
      <c r="Y1116">
        <v>0.32353290000000001</v>
      </c>
      <c r="Z1116">
        <v>0.1071976</v>
      </c>
      <c r="AA1116">
        <v>0.94012499999999999</v>
      </c>
      <c r="AB1116">
        <v>20</v>
      </c>
      <c r="AC1116">
        <v>-4.8059000000000003</v>
      </c>
      <c r="AD1116">
        <v>-1.1014184112690999</v>
      </c>
      <c r="AE1116">
        <v>-8.9537999999999993</v>
      </c>
      <c r="AF1116">
        <v>3.3360287158592099</v>
      </c>
      <c r="AG1116">
        <v>-1.1014184112690999</v>
      </c>
      <c r="AH1116">
        <v>9.47385717754781</v>
      </c>
      <c r="AI1116">
        <v>96.257978240560007</v>
      </c>
      <c r="AJ1116">
        <v>70.6013077502828</v>
      </c>
      <c r="AK1116">
        <v>10.104265432494</v>
      </c>
    </row>
    <row r="1117" spans="1:37" x14ac:dyDescent="0.2">
      <c r="A1117" t="str">
        <f>"20200111160121819"</f>
        <v>20200111160121819</v>
      </c>
      <c r="B1117" t="str">
        <f>"1578729681812416"</f>
        <v>1578729681812416</v>
      </c>
      <c r="C1117" t="s">
        <v>37</v>
      </c>
      <c r="D1117">
        <v>5.1565510000000003</v>
      </c>
      <c r="E1117">
        <v>0.57642629999999995</v>
      </c>
      <c r="F1117" t="s">
        <v>54</v>
      </c>
      <c r="G1117">
        <v>-194.72710000000001</v>
      </c>
      <c r="H1117" s="1">
        <v>6.415983E-7</v>
      </c>
      <c r="I1117">
        <v>296.60469999999998</v>
      </c>
      <c r="J1117">
        <v>-189.8682</v>
      </c>
      <c r="K1117">
        <v>1.1013850000000001</v>
      </c>
      <c r="L1117">
        <v>305.53879999999998</v>
      </c>
      <c r="M1117">
        <v>-0.15754409999999999</v>
      </c>
      <c r="N1117">
        <v>0</v>
      </c>
      <c r="O1117">
        <v>-0.98747839999999998</v>
      </c>
      <c r="P1117">
        <v>-0.3007764</v>
      </c>
      <c r="Q1117">
        <v>1.836163E-2</v>
      </c>
      <c r="R1117">
        <v>-0.95351799999999998</v>
      </c>
      <c r="S1117">
        <v>-1.447495</v>
      </c>
      <c r="T1117">
        <v>-0.32580949999999997</v>
      </c>
      <c r="U1117">
        <v>-2.699341</v>
      </c>
      <c r="V1117">
        <v>0.14695250000000001</v>
      </c>
      <c r="W1117">
        <v>2.551643E-2</v>
      </c>
      <c r="X1117">
        <v>0.98881439999999998</v>
      </c>
      <c r="Y1117">
        <v>0.32509650000000001</v>
      </c>
      <c r="Z1117">
        <v>0.107254399999999</v>
      </c>
      <c r="AA1117">
        <v>0.93957900000000005</v>
      </c>
      <c r="AB1117">
        <v>20</v>
      </c>
      <c r="AC1117">
        <v>-4.8589000000000002</v>
      </c>
      <c r="AD1117">
        <v>-1.1013843584017</v>
      </c>
      <c r="AE1117">
        <v>-8.9341000000000008</v>
      </c>
      <c r="AF1117">
        <v>3.3513499825591602</v>
      </c>
      <c r="AG1117">
        <v>-1.1013843584017</v>
      </c>
      <c r="AH1117">
        <v>9.4768894841213207</v>
      </c>
      <c r="AI1117">
        <v>96.252871404946603</v>
      </c>
      <c r="AJ1117">
        <v>70.524675964541601</v>
      </c>
      <c r="AK1117">
        <v>10.1121722940612</v>
      </c>
    </row>
    <row r="1118" spans="1:37" x14ac:dyDescent="0.2">
      <c r="A1118" t="str">
        <f>"20200111160121841"</f>
        <v>20200111160121841</v>
      </c>
      <c r="B1118" t="str">
        <f>"1578729681831936"</f>
        <v>1578729681831936</v>
      </c>
      <c r="C1118" t="s">
        <v>37</v>
      </c>
      <c r="D1118">
        <v>5.093534</v>
      </c>
      <c r="E1118">
        <v>0.57629010000000003</v>
      </c>
      <c r="F1118" t="s">
        <v>54</v>
      </c>
      <c r="G1118">
        <v>-194.76730000000001</v>
      </c>
      <c r="H1118" s="1">
        <v>6.6941329999999996E-7</v>
      </c>
      <c r="I1118">
        <v>296.515999999999</v>
      </c>
      <c r="J1118">
        <v>-189.90459999999999</v>
      </c>
      <c r="K1118">
        <v>1.101359</v>
      </c>
      <c r="L1118">
        <v>305.34179999999998</v>
      </c>
      <c r="M1118">
        <v>-0.16180549999999999</v>
      </c>
      <c r="N1118">
        <v>0</v>
      </c>
      <c r="O1118">
        <v>-0.98678920000000003</v>
      </c>
      <c r="P1118">
        <v>-0.30594270000000001</v>
      </c>
      <c r="Q1118">
        <v>1.7314989999999999E-2</v>
      </c>
      <c r="R1118">
        <v>-0.95189259999999998</v>
      </c>
      <c r="S1118">
        <v>-1.461411</v>
      </c>
      <c r="T1118">
        <v>-0.32854609999999901</v>
      </c>
      <c r="U1118">
        <v>-2.6915589999999998</v>
      </c>
      <c r="V1118">
        <v>0.14803759999999999</v>
      </c>
      <c r="W1118">
        <v>2.445961E-2</v>
      </c>
      <c r="X1118">
        <v>0.98867919999999998</v>
      </c>
      <c r="Y1118">
        <v>0.32586039999999999</v>
      </c>
      <c r="Z1118">
        <v>0.1081641</v>
      </c>
      <c r="AA1118">
        <v>0.93921010000000005</v>
      </c>
      <c r="AB1118">
        <v>21</v>
      </c>
      <c r="AC1118">
        <v>-4.86270000000001</v>
      </c>
      <c r="AD1118">
        <v>-1.1013583305867001</v>
      </c>
      <c r="AE1118">
        <v>-8.8258000000000099</v>
      </c>
      <c r="AF1118">
        <v>3.3307198553513802</v>
      </c>
      <c r="AG1118">
        <v>-1.1013583305867001</v>
      </c>
      <c r="AH1118">
        <v>9.3842266744799296</v>
      </c>
      <c r="AI1118">
        <v>96.311420414037002</v>
      </c>
      <c r="AJ1118">
        <v>70.458828188371498</v>
      </c>
      <c r="AK1118">
        <v>10.018502642870599</v>
      </c>
    </row>
    <row r="1119" spans="1:37" x14ac:dyDescent="0.2">
      <c r="A1119" t="str">
        <f>"20200111160121864"</f>
        <v>20200111160121864</v>
      </c>
      <c r="B1119" t="str">
        <f>"1578729681861723"</f>
        <v>1578729681861723</v>
      </c>
      <c r="C1119" t="s">
        <v>37</v>
      </c>
      <c r="D1119">
        <v>5.0511609999999996</v>
      </c>
      <c r="E1119">
        <v>0.576094199999999</v>
      </c>
      <c r="F1119" t="s">
        <v>54</v>
      </c>
      <c r="G1119">
        <v>-194.78489999999999</v>
      </c>
      <c r="H1119" s="1">
        <v>6.8725889999999995E-7</v>
      </c>
      <c r="I1119">
        <v>296.46100000000001</v>
      </c>
      <c r="J1119">
        <v>-189.9444</v>
      </c>
      <c r="K1119">
        <v>1.101332</v>
      </c>
      <c r="L1119">
        <v>305.13150000000002</v>
      </c>
      <c r="M1119">
        <v>-0.16635939999999999</v>
      </c>
      <c r="N1119">
        <v>0</v>
      </c>
      <c r="O1119">
        <v>-0.98603149999999995</v>
      </c>
      <c r="P1119">
        <v>-0.31112640000000003</v>
      </c>
      <c r="Q1119">
        <v>1.6328769999999999E-2</v>
      </c>
      <c r="R1119">
        <v>-0.95022850000000003</v>
      </c>
      <c r="S1119">
        <v>-1.474777</v>
      </c>
      <c r="T1119">
        <v>-0.33281949999999999</v>
      </c>
      <c r="U1119">
        <v>-2.6836849999999899</v>
      </c>
      <c r="V1119">
        <v>0.14885390000000001</v>
      </c>
      <c r="W1119">
        <v>2.3467599999999901E-2</v>
      </c>
      <c r="X1119">
        <v>0.98858069999999898</v>
      </c>
      <c r="Y1119">
        <v>0.326179099999999</v>
      </c>
      <c r="Z1119">
        <v>0.10957739999999901</v>
      </c>
      <c r="AA1119">
        <v>0.93893559999999998</v>
      </c>
      <c r="AB1119">
        <v>21</v>
      </c>
      <c r="AC1119">
        <v>-4.8404999999999898</v>
      </c>
      <c r="AD1119">
        <v>-1.1013313127411</v>
      </c>
      <c r="AE1119">
        <v>-8.6705000000000005</v>
      </c>
      <c r="AF1119">
        <v>3.2901068728085598</v>
      </c>
      <c r="AG1119">
        <v>-1.1013313127411</v>
      </c>
      <c r="AH1119">
        <v>9.2412868179843493</v>
      </c>
      <c r="AI1119">
        <v>96.405884672914695</v>
      </c>
      <c r="AJ1119">
        <v>70.403121756419793</v>
      </c>
      <c r="AK1119">
        <v>9.8711253637656498</v>
      </c>
    </row>
    <row r="1120" spans="1:37" x14ac:dyDescent="0.2">
      <c r="A1120" t="str">
        <f>"20200111160121909"</f>
        <v>20200111160121909</v>
      </c>
      <c r="B1120" t="str">
        <f>"1578729681901739"</f>
        <v>1578729681901739</v>
      </c>
      <c r="C1120" t="s">
        <v>37</v>
      </c>
      <c r="D1120">
        <v>4.9594009999999997</v>
      </c>
      <c r="E1120">
        <v>0.57013619999999898</v>
      </c>
      <c r="F1120" t="s">
        <v>54</v>
      </c>
      <c r="G1120">
        <v>-194.8169</v>
      </c>
      <c r="H1120" s="1">
        <v>7.1532340000000003E-7</v>
      </c>
      <c r="I1120">
        <v>296.37360000000001</v>
      </c>
      <c r="J1120">
        <v>-190.02599999999899</v>
      </c>
      <c r="K1120">
        <v>1.1012899999999901</v>
      </c>
      <c r="L1120">
        <v>304.71640000000002</v>
      </c>
      <c r="M1120">
        <v>-0.1753226</v>
      </c>
      <c r="N1120">
        <v>0</v>
      </c>
      <c r="O1120">
        <v>-0.9844773</v>
      </c>
      <c r="P1120">
        <v>-0.32047019999999998</v>
      </c>
      <c r="Q1120">
        <v>1.336968E-2</v>
      </c>
      <c r="R1120">
        <v>-0.94716429999999996</v>
      </c>
      <c r="S1120">
        <v>-1.4885250000000001</v>
      </c>
      <c r="T1120">
        <v>-0.33645510000000001</v>
      </c>
      <c r="U1120">
        <v>-2.6755070000000001</v>
      </c>
      <c r="V1120">
        <v>0.14957190000000001</v>
      </c>
      <c r="W1120">
        <v>2.0505249999999999E-2</v>
      </c>
      <c r="X1120">
        <v>0.98853819999999903</v>
      </c>
      <c r="Y1120">
        <v>0.322422599999999</v>
      </c>
      <c r="Z1120">
        <v>0.1107354</v>
      </c>
      <c r="AA1120">
        <v>0.9400965</v>
      </c>
      <c r="AB1120">
        <v>21</v>
      </c>
      <c r="AC1120">
        <v>-4.7909000000000201</v>
      </c>
      <c r="AD1120">
        <v>-1.10128928467659</v>
      </c>
      <c r="AE1120">
        <v>-8.3428000000000093</v>
      </c>
      <c r="AF1120">
        <v>3.2118707469281498</v>
      </c>
      <c r="AG1120">
        <v>-1.10128928467659</v>
      </c>
      <c r="AH1120">
        <v>8.9364480716135404</v>
      </c>
      <c r="AI1120">
        <v>96.6151890109264</v>
      </c>
      <c r="AJ1120">
        <v>70.230930752903802</v>
      </c>
      <c r="AK1120">
        <v>9.5597623359663899</v>
      </c>
    </row>
    <row r="1121" spans="1:37" x14ac:dyDescent="0.2">
      <c r="A1121" t="str">
        <f>"20200111160121931"</f>
        <v>20200111160121931</v>
      </c>
      <c r="B1121" t="str">
        <f>"1578729681922235"</f>
        <v>1578729681922235</v>
      </c>
      <c r="C1121" t="s">
        <v>37</v>
      </c>
      <c r="D1121">
        <v>5.256316</v>
      </c>
      <c r="E1121">
        <v>0.57037990000000005</v>
      </c>
      <c r="F1121" t="s">
        <v>54</v>
      </c>
      <c r="G1121">
        <v>-194.47200000000001</v>
      </c>
      <c r="H1121" s="1">
        <v>6.5922900000000003E-7</v>
      </c>
      <c r="I1121">
        <v>296.6189</v>
      </c>
      <c r="J1121">
        <v>-190.06559999999999</v>
      </c>
      <c r="K1121">
        <v>1.1012770000000001</v>
      </c>
      <c r="L1121">
        <v>304.52159999999998</v>
      </c>
      <c r="M1121">
        <v>-0.17951139999999999</v>
      </c>
      <c r="N1121">
        <v>0</v>
      </c>
      <c r="O1121">
        <v>-0.98372230000000005</v>
      </c>
      <c r="P1121">
        <v>-0.32381739999999998</v>
      </c>
      <c r="Q1121">
        <v>1.2255E-2</v>
      </c>
      <c r="R1121">
        <v>-0.94604069999999996</v>
      </c>
      <c r="S1121">
        <v>-1.4689939999999999</v>
      </c>
      <c r="T1121">
        <v>-0.36387370000000002</v>
      </c>
      <c r="U1121">
        <v>-2.67547599999999</v>
      </c>
      <c r="V1121">
        <v>0.14885019999999999</v>
      </c>
      <c r="W1121">
        <v>1.9397299999999999E-2</v>
      </c>
      <c r="X1121">
        <v>0.98866949999999998</v>
      </c>
      <c r="Y1121">
        <v>0.31261129999999998</v>
      </c>
      <c r="Z1121">
        <v>0.119889</v>
      </c>
      <c r="AA1121">
        <v>0.94228489999999998</v>
      </c>
      <c r="AB1121">
        <v>21</v>
      </c>
      <c r="AC1121">
        <v>-4.4064000000000103</v>
      </c>
      <c r="AD1121">
        <v>-1.101276340771</v>
      </c>
      <c r="AE1121">
        <v>-7.9026999999999799</v>
      </c>
      <c r="AF1121">
        <v>2.8735763500081801</v>
      </c>
      <c r="AG1121">
        <v>-1.101276340771</v>
      </c>
      <c r="AH1121">
        <v>8.4403093874775195</v>
      </c>
      <c r="AI1121">
        <v>97.041277981960206</v>
      </c>
      <c r="AJ1121">
        <v>71.198414334604294</v>
      </c>
      <c r="AK1121">
        <v>8.9838228596967298</v>
      </c>
    </row>
    <row r="1122" spans="1:37" x14ac:dyDescent="0.2">
      <c r="A1122" t="str">
        <f>"20200111160121953"</f>
        <v>20200111160121953</v>
      </c>
      <c r="B1122" t="str">
        <f>"1578729681942263"</f>
        <v>1578729681942263</v>
      </c>
      <c r="C1122" t="s">
        <v>37</v>
      </c>
      <c r="D1122">
        <v>4.9011170000000002</v>
      </c>
      <c r="E1122">
        <v>0.56236140000000001</v>
      </c>
      <c r="F1122" t="s">
        <v>54</v>
      </c>
      <c r="G1122">
        <v>-194.49629999999999</v>
      </c>
      <c r="H1122" s="1">
        <v>6.8682069999999995E-7</v>
      </c>
      <c r="I1122">
        <v>296.53469999999999</v>
      </c>
      <c r="J1122">
        <v>-190.11070000000001</v>
      </c>
      <c r="K1122">
        <v>1.1012629999999901</v>
      </c>
      <c r="L1122">
        <v>304.30500000000001</v>
      </c>
      <c r="M1122">
        <v>-0.18416089999999999</v>
      </c>
      <c r="N1122">
        <v>0</v>
      </c>
      <c r="O1122">
        <v>-0.98286219999999902</v>
      </c>
      <c r="P1122">
        <v>-0.32755069999999997</v>
      </c>
      <c r="Q1122">
        <v>1.178763E-2</v>
      </c>
      <c r="R1122">
        <v>-0.9447603</v>
      </c>
      <c r="S1122">
        <v>-1.480637</v>
      </c>
      <c r="T1122">
        <v>-0.36802509999999999</v>
      </c>
      <c r="U1122">
        <v>-2.6690669999999899</v>
      </c>
      <c r="V1122">
        <v>0.14807579999999901</v>
      </c>
      <c r="W1122">
        <v>1.893628E-2</v>
      </c>
      <c r="X1122">
        <v>0.98879470000000003</v>
      </c>
      <c r="Y1122">
        <v>0.3121468</v>
      </c>
      <c r="Z1122">
        <v>0.1212193</v>
      </c>
      <c r="AA1122">
        <v>0.94226869999999996</v>
      </c>
      <c r="AB1122">
        <v>21</v>
      </c>
      <c r="AC1122">
        <v>-4.3855999999999797</v>
      </c>
      <c r="AD1122">
        <v>-1.10126231317929</v>
      </c>
      <c r="AE1122">
        <v>-7.7703000000000104</v>
      </c>
      <c r="AF1122">
        <v>2.8363427248142301</v>
      </c>
      <c r="AG1122">
        <v>-1.10126231317929</v>
      </c>
      <c r="AH1122">
        <v>8.3183515777876291</v>
      </c>
      <c r="AI1122">
        <v>97.142250866502593</v>
      </c>
      <c r="AJ1122">
        <v>71.171951375706698</v>
      </c>
      <c r="AK1122">
        <v>8.8573467645067208</v>
      </c>
    </row>
    <row r="1123" spans="1:37" x14ac:dyDescent="0.2">
      <c r="A1123" t="str">
        <f>"20200111160121978"</f>
        <v>20200111160121978</v>
      </c>
      <c r="B1123" t="str">
        <f>"1578729681972519"</f>
        <v>1578729681972519</v>
      </c>
      <c r="C1123" t="s">
        <v>37</v>
      </c>
      <c r="D1123">
        <v>4.9535530000000003</v>
      </c>
      <c r="E1123">
        <v>0.5724553</v>
      </c>
      <c r="F1123" t="s">
        <v>54</v>
      </c>
      <c r="G1123">
        <v>-202.6482</v>
      </c>
      <c r="H1123" s="1">
        <v>3.70076799999999E-6</v>
      </c>
      <c r="I1123">
        <v>281.0772</v>
      </c>
      <c r="J1123">
        <v>-190.1592</v>
      </c>
      <c r="K1123">
        <v>1.1012409999999999</v>
      </c>
      <c r="L1123">
        <v>304.07780000000002</v>
      </c>
      <c r="M1123">
        <v>-0.189026</v>
      </c>
      <c r="N1123">
        <v>0</v>
      </c>
      <c r="O1123">
        <v>-0.98193809999999904</v>
      </c>
      <c r="P1123">
        <v>-0.33182099999999998</v>
      </c>
      <c r="Q1123">
        <v>1.0971669999999999E-2</v>
      </c>
      <c r="R1123">
        <v>-0.94327899999999998</v>
      </c>
      <c r="S1123">
        <v>-1.4444889999999999</v>
      </c>
      <c r="T1123">
        <v>-0.12687989999999999</v>
      </c>
      <c r="U1123">
        <v>-2.6761469999999998</v>
      </c>
      <c r="V1123">
        <v>0.14764530000000001</v>
      </c>
      <c r="W1123">
        <v>1.812389E-2</v>
      </c>
      <c r="X1123">
        <v>0.98887429999999998</v>
      </c>
      <c r="Y1123">
        <v>0.29965170000000002</v>
      </c>
      <c r="Z1123">
        <v>4.2143470000000002E-2</v>
      </c>
      <c r="AA1123">
        <v>0.9531174</v>
      </c>
      <c r="AB1123">
        <v>21</v>
      </c>
      <c r="AC1123">
        <v>-12.489000000000001</v>
      </c>
      <c r="AD1123">
        <v>-1.1012372992319901</v>
      </c>
      <c r="AE1123">
        <v>-23.000599999999999</v>
      </c>
      <c r="AF1123">
        <v>7.9019880529575799</v>
      </c>
      <c r="AG1123">
        <v>-1.1012372992319901</v>
      </c>
      <c r="AH1123">
        <v>24.9026561798476</v>
      </c>
      <c r="AI1123">
        <v>92.4136182859027</v>
      </c>
      <c r="AJ1123">
        <v>72.394982695744503</v>
      </c>
      <c r="AK1123">
        <v>26.149501402321299</v>
      </c>
    </row>
    <row r="1124" spans="1:37" x14ac:dyDescent="0.2">
      <c r="A1124" t="str">
        <f>"20200111160122201"</f>
        <v>20200111160122201</v>
      </c>
      <c r="B1124" t="str">
        <f>"1578729682191648"</f>
        <v>1578729682191648</v>
      </c>
      <c r="C1124" t="s">
        <v>37</v>
      </c>
      <c r="D1124">
        <v>5.2142410000000003</v>
      </c>
      <c r="E1124">
        <v>0.61046579999999995</v>
      </c>
      <c r="F1124" t="s">
        <v>54</v>
      </c>
      <c r="G1124">
        <v>-197.45480000000001</v>
      </c>
      <c r="H1124" s="1">
        <v>1.662424E-6</v>
      </c>
      <c r="I1124">
        <v>291.43740000000003</v>
      </c>
      <c r="J1124">
        <v>-190.66210000000001</v>
      </c>
      <c r="K1124">
        <v>1.1010389999999901</v>
      </c>
      <c r="L1124">
        <v>301.98009999999999</v>
      </c>
      <c r="M1124">
        <v>-0.23390449999999999</v>
      </c>
      <c r="N1124">
        <v>0</v>
      </c>
      <c r="O1124">
        <v>-0.97222509999999995</v>
      </c>
      <c r="P1124">
        <v>-0.40226220000000001</v>
      </c>
      <c r="Q1124">
        <v>2.84411E-3</v>
      </c>
      <c r="R1124">
        <v>-0.91552009999999995</v>
      </c>
      <c r="S1124">
        <v>-1.527115</v>
      </c>
      <c r="T1124">
        <v>-0.23051269999999999</v>
      </c>
      <c r="U1124">
        <v>-2.645905</v>
      </c>
      <c r="V1124">
        <v>0.17701979999999901</v>
      </c>
      <c r="W1124">
        <v>9.7390710000000002E-3</v>
      </c>
      <c r="X1124">
        <v>0.98415909999999995</v>
      </c>
      <c r="Y1124">
        <v>0.28195769999999998</v>
      </c>
      <c r="Z1124">
        <v>7.5696109999999997E-2</v>
      </c>
      <c r="AA1124">
        <v>0.95643599999999995</v>
      </c>
      <c r="AB1124">
        <v>22</v>
      </c>
      <c r="AC1124">
        <v>-6.7926999999999902</v>
      </c>
      <c r="AD1124">
        <v>-1.1010373375759901</v>
      </c>
      <c r="AE1124">
        <v>-10.5426999999999</v>
      </c>
      <c r="AF1124">
        <v>4.1065366746664296</v>
      </c>
      <c r="AG1124">
        <v>-1.1010373375759901</v>
      </c>
      <c r="AH1124">
        <v>11.7485672250217</v>
      </c>
      <c r="AI1124">
        <v>95.0556887062464</v>
      </c>
      <c r="AJ1124">
        <v>70.733686877253604</v>
      </c>
      <c r="AK1124">
        <v>12.4941889900853</v>
      </c>
    </row>
    <row r="1125" spans="1:37" x14ac:dyDescent="0.2">
      <c r="A1125" t="str">
        <f>"20200111160122222"</f>
        <v>20200111160122222</v>
      </c>
      <c r="B1125" t="str">
        <f>"1578729682212144"</f>
        <v>1578729682212144</v>
      </c>
      <c r="C1125" t="s">
        <v>37</v>
      </c>
      <c r="D1125">
        <v>5.1268029999999998</v>
      </c>
      <c r="E1125">
        <v>0.614089</v>
      </c>
      <c r="F1125" t="s">
        <v>57</v>
      </c>
      <c r="G1125">
        <v>-210.30420000000001</v>
      </c>
      <c r="H1125">
        <v>8.0001370000000002E-2</v>
      </c>
      <c r="I1125">
        <v>278.56259999999997</v>
      </c>
      <c r="J1125">
        <v>-190.71680000000001</v>
      </c>
      <c r="K1125">
        <v>1.1010200000000001</v>
      </c>
      <c r="L1125">
        <v>301.77449999999999</v>
      </c>
      <c r="M1125">
        <v>-0.23830279999999901</v>
      </c>
      <c r="N1125">
        <v>0</v>
      </c>
      <c r="O1125">
        <v>-0.97115640000000003</v>
      </c>
      <c r="P1125">
        <v>-0.40842779999999901</v>
      </c>
      <c r="Q1125">
        <v>2.5836990000000001E-3</v>
      </c>
      <c r="R1125">
        <v>-0.91278729999999997</v>
      </c>
      <c r="S1125">
        <v>-2.0085599999999899</v>
      </c>
      <c r="T1125">
        <v>-0.10440919999999999</v>
      </c>
      <c r="U1125">
        <v>-2.3946230000000002</v>
      </c>
      <c r="V1125">
        <v>0.1792009</v>
      </c>
      <c r="W1125">
        <v>9.4563200000000007E-3</v>
      </c>
      <c r="X1125">
        <v>0.98376699999999995</v>
      </c>
      <c r="Y1125">
        <v>0.44116070000000002</v>
      </c>
      <c r="Z1125">
        <v>3.4276599999999997E-2</v>
      </c>
      <c r="AA1125">
        <v>0.8967733</v>
      </c>
      <c r="AB1125">
        <v>22</v>
      </c>
      <c r="AC1125">
        <v>-19.587399999999999</v>
      </c>
      <c r="AD1125">
        <v>-1.0210186299999999</v>
      </c>
      <c r="AE1125">
        <v>-23.2119</v>
      </c>
      <c r="AF1125">
        <v>13.4761906569177</v>
      </c>
      <c r="AG1125">
        <v>-1.0210186299999999</v>
      </c>
      <c r="AH1125">
        <v>27.180312667272901</v>
      </c>
      <c r="AI1125">
        <v>91.927567096935903</v>
      </c>
      <c r="AJ1125">
        <v>63.627461623453001</v>
      </c>
      <c r="AK1125">
        <v>30.354894009946999</v>
      </c>
    </row>
    <row r="1126" spans="1:37" x14ac:dyDescent="0.2">
      <c r="A1126" t="str">
        <f>"20200111160122246"</f>
        <v>20200111160122246</v>
      </c>
      <c r="B1126" t="str">
        <f>"1578729682242401"</f>
        <v>1578729682242401</v>
      </c>
      <c r="C1126" t="s">
        <v>37</v>
      </c>
      <c r="D1126">
        <v>4.8748269999999998</v>
      </c>
      <c r="E1126">
        <v>0.61487689999999995</v>
      </c>
      <c r="F1126" t="s">
        <v>58</v>
      </c>
      <c r="G1126">
        <v>-233.30009999999999</v>
      </c>
      <c r="H1126">
        <v>0.46542119999999998</v>
      </c>
      <c r="I1126">
        <v>252.73070000000001</v>
      </c>
      <c r="J1126">
        <v>-190.77629999999999</v>
      </c>
      <c r="K1126">
        <v>1.1009959999999901</v>
      </c>
      <c r="L1126">
        <v>301.55529999999999</v>
      </c>
      <c r="M1126">
        <v>-0.242991399999999</v>
      </c>
      <c r="N1126">
        <v>0</v>
      </c>
      <c r="O1126">
        <v>-0.96999389999999996</v>
      </c>
      <c r="P1126">
        <v>-0.414666799999999</v>
      </c>
      <c r="Q1126">
        <v>2.308133E-3</v>
      </c>
      <c r="R1126">
        <v>-0.90997099999999898</v>
      </c>
      <c r="S1126">
        <v>-2.0552519999999999</v>
      </c>
      <c r="T1126">
        <v>-3.0676599999999901E-2</v>
      </c>
      <c r="U1126">
        <v>-2.3670650000000002</v>
      </c>
      <c r="V1126">
        <v>0.18118099999999901</v>
      </c>
      <c r="W1126">
        <v>9.160217E-3</v>
      </c>
      <c r="X1126">
        <v>0.98340709999999998</v>
      </c>
      <c r="Y1126">
        <v>0.45245029999999897</v>
      </c>
      <c r="Z1126">
        <v>1.006074E-2</v>
      </c>
      <c r="AA1126">
        <v>0.89173289999999905</v>
      </c>
      <c r="AB1126">
        <v>22</v>
      </c>
      <c r="AC1126">
        <v>-42.523800000000001</v>
      </c>
      <c r="AD1126">
        <v>-0.635574799999999</v>
      </c>
      <c r="AE1126">
        <v>-48.824599999999897</v>
      </c>
      <c r="AF1126">
        <v>29.382022030188399</v>
      </c>
      <c r="AG1126">
        <v>-0.635574799999999</v>
      </c>
      <c r="AH1126">
        <v>57.688856108663003</v>
      </c>
      <c r="AI1126">
        <v>90.562471596241195</v>
      </c>
      <c r="AJ1126">
        <v>63.009398172672199</v>
      </c>
      <c r="AK1126">
        <v>64.743426639581699</v>
      </c>
    </row>
    <row r="1127" spans="1:37" x14ac:dyDescent="0.2">
      <c r="A1127" t="str">
        <f>"20200111160122268"</f>
        <v>20200111160122268</v>
      </c>
      <c r="B1127" t="str">
        <f>"1578729682261920"</f>
        <v>1578729682261920</v>
      </c>
      <c r="C1127" t="s">
        <v>37</v>
      </c>
      <c r="D1127">
        <v>4.829091</v>
      </c>
      <c r="E1127">
        <v>0.61602690000000004</v>
      </c>
      <c r="F1127" t="s">
        <v>58</v>
      </c>
      <c r="G1127">
        <v>-233.30009999999999</v>
      </c>
      <c r="H1127">
        <v>0.54007430000000001</v>
      </c>
      <c r="I1127">
        <v>253.4453</v>
      </c>
      <c r="J1127">
        <v>-190.83670000000001</v>
      </c>
      <c r="K1127">
        <v>1.100978</v>
      </c>
      <c r="L1127">
        <v>301.33679999999998</v>
      </c>
      <c r="M1127">
        <v>-0.24766199999999999</v>
      </c>
      <c r="N1127">
        <v>0</v>
      </c>
      <c r="O1127">
        <v>-0.96881189999999995</v>
      </c>
      <c r="P1127">
        <v>-0.42074479999999997</v>
      </c>
      <c r="Q1127">
        <v>2.115904E-3</v>
      </c>
      <c r="R1127">
        <v>-0.90717680000000001</v>
      </c>
      <c r="S1127">
        <v>-2.0773320000000002</v>
      </c>
      <c r="T1127">
        <v>-2.7401450000000001E-2</v>
      </c>
      <c r="U1127">
        <v>-2.3502200000000002</v>
      </c>
      <c r="V1127">
        <v>0.1830203</v>
      </c>
      <c r="W1127">
        <v>8.9480310000000004E-3</v>
      </c>
      <c r="X1127">
        <v>0.98306839999999995</v>
      </c>
      <c r="Y1127">
        <v>0.45603660000000001</v>
      </c>
      <c r="Z1127">
        <v>8.9853550000000004E-3</v>
      </c>
      <c r="AA1127">
        <v>0.88991569999999998</v>
      </c>
      <c r="AB1127">
        <v>22</v>
      </c>
      <c r="AC1127">
        <v>-42.463399999999901</v>
      </c>
      <c r="AD1127">
        <v>-0.56090369999999901</v>
      </c>
      <c r="AE1127">
        <v>-47.891499999999901</v>
      </c>
      <c r="AF1127">
        <v>29.276875611096202</v>
      </c>
      <c r="AG1127">
        <v>-0.56090369999999901</v>
      </c>
      <c r="AH1127">
        <v>56.911962826954699</v>
      </c>
      <c r="AI1127">
        <v>90.502127693414394</v>
      </c>
      <c r="AJ1127">
        <v>62.777626026201602</v>
      </c>
      <c r="AK1127">
        <v>64.003293441235897</v>
      </c>
    </row>
    <row r="1128" spans="1:37" x14ac:dyDescent="0.2">
      <c r="A1128" t="str">
        <f>"20200111160122311"</f>
        <v>20200111160122311</v>
      </c>
      <c r="B1128" t="str">
        <f>"1578729682301936"</f>
        <v>1578729682301936</v>
      </c>
      <c r="C1128" t="s">
        <v>37</v>
      </c>
      <c r="D1128">
        <v>4.8604180000000001</v>
      </c>
      <c r="E1128">
        <v>0.61571450000000005</v>
      </c>
      <c r="F1128" t="s">
        <v>58</v>
      </c>
      <c r="G1128">
        <v>-233.30019999999999</v>
      </c>
      <c r="H1128">
        <v>0.65835809999999995</v>
      </c>
      <c r="I1128">
        <v>254.21799999999999</v>
      </c>
      <c r="J1128">
        <v>-190.95259999999999</v>
      </c>
      <c r="K1128">
        <v>1.100938</v>
      </c>
      <c r="L1128">
        <v>300.92849999999999</v>
      </c>
      <c r="M1128">
        <v>-0.25638939999999999</v>
      </c>
      <c r="N1128">
        <v>0</v>
      </c>
      <c r="O1128">
        <v>-0.96653880000000003</v>
      </c>
      <c r="P1128">
        <v>-0.43285379999999901</v>
      </c>
      <c r="Q1128">
        <v>2.1997570000000001E-3</v>
      </c>
      <c r="R1128">
        <v>-0.90146170000000003</v>
      </c>
      <c r="S1128">
        <v>-2.1018219999999999</v>
      </c>
      <c r="T1128">
        <v>-2.1908279999999999E-2</v>
      </c>
      <c r="U1128">
        <v>-2.3322449999999999</v>
      </c>
      <c r="V1128">
        <v>0.18731709999999999</v>
      </c>
      <c r="W1128">
        <v>8.9876069999999999E-3</v>
      </c>
      <c r="X1128">
        <v>0.98225839999999998</v>
      </c>
      <c r="Y1128">
        <v>0.45659569999999999</v>
      </c>
      <c r="Z1128">
        <v>7.1769540000000001E-3</v>
      </c>
      <c r="AA1128">
        <v>0.88964529999999997</v>
      </c>
      <c r="AB1128">
        <v>22</v>
      </c>
      <c r="AC1128">
        <v>-42.3476</v>
      </c>
      <c r="AD1128">
        <v>-0.44257989999999903</v>
      </c>
      <c r="AE1128">
        <v>-46.710500000000003</v>
      </c>
      <c r="AF1128">
        <v>28.9540679738299</v>
      </c>
      <c r="AG1128">
        <v>-0.44257989999999903</v>
      </c>
      <c r="AH1128">
        <v>56.004109302751999</v>
      </c>
      <c r="AI1128">
        <v>90.402207010961803</v>
      </c>
      <c r="AJ1128">
        <v>62.661081857440202</v>
      </c>
      <c r="AK1128">
        <v>63.047554972382898</v>
      </c>
    </row>
    <row r="1129" spans="1:37" x14ac:dyDescent="0.2">
      <c r="A1129" t="str">
        <f>"20200111160122332"</f>
        <v>20200111160122332</v>
      </c>
      <c r="B1129" t="str">
        <f>"1578729682322433"</f>
        <v>1578729682322433</v>
      </c>
      <c r="C1129" t="s">
        <v>37</v>
      </c>
      <c r="D1129">
        <v>4.8816800000000002</v>
      </c>
      <c r="E1129">
        <v>0.61503399999999997</v>
      </c>
      <c r="F1129" t="s">
        <v>58</v>
      </c>
      <c r="G1129">
        <v>-232.98679999999999</v>
      </c>
      <c r="H1129">
        <v>0.70315050000000001</v>
      </c>
      <c r="I1129">
        <v>255.45689999999999</v>
      </c>
      <c r="J1129">
        <v>-191.01230000000001</v>
      </c>
      <c r="K1129">
        <v>1.1009139999999999</v>
      </c>
      <c r="L1129">
        <v>300.72359999999998</v>
      </c>
      <c r="M1129">
        <v>-0.26077109999999998</v>
      </c>
      <c r="N1129">
        <v>0</v>
      </c>
      <c r="O1129">
        <v>-0.96536580000000005</v>
      </c>
      <c r="P1129">
        <v>-0.43983539999999999</v>
      </c>
      <c r="Q1129">
        <v>1.1592589999999999E-3</v>
      </c>
      <c r="R1129">
        <v>-0.89807780000000004</v>
      </c>
      <c r="S1129">
        <v>-2.13063</v>
      </c>
      <c r="T1129">
        <v>-2.0162940000000001E-2</v>
      </c>
      <c r="U1129">
        <v>-2.3048709999999999</v>
      </c>
      <c r="V1129">
        <v>0.190474799999999</v>
      </c>
      <c r="W1129">
        <v>7.9157169999999992E-3</v>
      </c>
      <c r="X1129">
        <v>0.98166019999999898</v>
      </c>
      <c r="Y1129">
        <v>0.46380769999999999</v>
      </c>
      <c r="Z1129">
        <v>6.6133700000000004E-3</v>
      </c>
      <c r="AA1129">
        <v>0.88591119999999901</v>
      </c>
      <c r="AB1129">
        <v>22</v>
      </c>
      <c r="AC1129">
        <v>-41.9744999999999</v>
      </c>
      <c r="AD1129">
        <v>-0.39776349999999999</v>
      </c>
      <c r="AE1129">
        <v>-45.266699999999901</v>
      </c>
      <c r="AF1129">
        <v>28.716273865823801</v>
      </c>
      <c r="AG1129">
        <v>-0.39776349999999999</v>
      </c>
      <c r="AH1129">
        <v>54.644231008438901</v>
      </c>
      <c r="AI1129">
        <v>90.369184905455697</v>
      </c>
      <c r="AJ1129">
        <v>62.2774737154215</v>
      </c>
      <c r="AK1129">
        <v>61.731471576842999</v>
      </c>
    </row>
    <row r="1130" spans="1:37" x14ac:dyDescent="0.2">
      <c r="A1130" t="str">
        <f>"20200111160122356"</f>
        <v>20200111160122356</v>
      </c>
      <c r="B1130" t="str">
        <f>"1578729682351712"</f>
        <v>1578729682351712</v>
      </c>
      <c r="C1130" t="s">
        <v>37</v>
      </c>
      <c r="D1130">
        <v>5.0326139999999997</v>
      </c>
      <c r="E1130">
        <v>0.5916709</v>
      </c>
      <c r="F1130" t="s">
        <v>58</v>
      </c>
      <c r="G1130">
        <v>-232.98670000000001</v>
      </c>
      <c r="H1130">
        <v>0.6256969</v>
      </c>
      <c r="I1130">
        <v>255.8672</v>
      </c>
      <c r="J1130">
        <v>-191.08109999999999</v>
      </c>
      <c r="K1130">
        <v>1.1008959999999901</v>
      </c>
      <c r="L1130">
        <v>300.49189999999999</v>
      </c>
      <c r="M1130">
        <v>-0.26572689999999999</v>
      </c>
      <c r="N1130">
        <v>0</v>
      </c>
      <c r="O1130">
        <v>-0.96401329999999996</v>
      </c>
      <c r="P1130">
        <v>-0.44699709999999998</v>
      </c>
      <c r="Q1130">
        <v>3.0257370000000001E-4</v>
      </c>
      <c r="R1130">
        <v>-0.89453539999999998</v>
      </c>
      <c r="S1130">
        <v>-2.1435089999999999</v>
      </c>
      <c r="T1130">
        <v>-2.4267790000000001E-2</v>
      </c>
      <c r="U1130">
        <v>-2.29068</v>
      </c>
      <c r="V1130">
        <v>0.1932691</v>
      </c>
      <c r="W1130">
        <v>7.0297780000000004E-3</v>
      </c>
      <c r="X1130">
        <v>0.98112060000000001</v>
      </c>
      <c r="Y1130">
        <v>0.4646402</v>
      </c>
      <c r="Z1130">
        <v>7.9637809999999996E-3</v>
      </c>
      <c r="AA1130">
        <v>0.88546380000000002</v>
      </c>
      <c r="AB1130">
        <v>22</v>
      </c>
      <c r="AC1130">
        <v>-41.9056</v>
      </c>
      <c r="AD1130">
        <v>-0.47519909999999899</v>
      </c>
      <c r="AE1130">
        <v>-44.624699999999898</v>
      </c>
      <c r="AF1130">
        <v>28.538817139691201</v>
      </c>
      <c r="AG1130">
        <v>-0.47519909999999899</v>
      </c>
      <c r="AH1130">
        <v>54.152816087126702</v>
      </c>
      <c r="AI1130">
        <v>90.444782979267401</v>
      </c>
      <c r="AJ1130">
        <v>62.210535057748103</v>
      </c>
      <c r="AK1130">
        <v>61.214519422139901</v>
      </c>
    </row>
    <row r="1131" spans="1:37" x14ac:dyDescent="0.2">
      <c r="A1131" t="str">
        <f>"20200111160122379"</f>
        <v>20200111160122379</v>
      </c>
      <c r="B1131" t="str">
        <f>"1578729682372208"</f>
        <v>1578729682372208</v>
      </c>
      <c r="C1131" t="s">
        <v>37</v>
      </c>
      <c r="D1131">
        <v>4.9644879999999896</v>
      </c>
      <c r="E1131">
        <v>0.59438009999999997</v>
      </c>
      <c r="F1131" t="s">
        <v>39</v>
      </c>
      <c r="G1131">
        <v>-222.71789999999999</v>
      </c>
      <c r="H1131">
        <v>-0.05</v>
      </c>
      <c r="I1131">
        <v>263.04050000000001</v>
      </c>
      <c r="J1131">
        <v>-191.14859999999999</v>
      </c>
      <c r="K1131">
        <v>1.1008709999999999</v>
      </c>
      <c r="L1131">
        <v>300.26839999999999</v>
      </c>
      <c r="M1131">
        <v>-0.27051599999999998</v>
      </c>
      <c r="N1131">
        <v>0</v>
      </c>
      <c r="O1131">
        <v>-0.96268029999999905</v>
      </c>
      <c r="P1131">
        <v>-0.45442870000000002</v>
      </c>
      <c r="Q1131" s="1">
        <v>-4.0948390000000002E-5</v>
      </c>
      <c r="R1131">
        <v>-0.89078289999999904</v>
      </c>
      <c r="S1131">
        <v>-1.9921419999999901</v>
      </c>
      <c r="T1131">
        <v>-7.2470899999999894E-2</v>
      </c>
      <c r="U1131">
        <v>-2.358276</v>
      </c>
      <c r="V1131">
        <v>0.1965565</v>
      </c>
      <c r="W1131">
        <v>6.6511769999999899E-3</v>
      </c>
      <c r="X1131">
        <v>0.98046990000000001</v>
      </c>
      <c r="Y1131">
        <v>0.41440490000000002</v>
      </c>
      <c r="Z1131">
        <v>2.3971889999999999E-2</v>
      </c>
      <c r="AA1131">
        <v>0.9097769</v>
      </c>
      <c r="AB1131">
        <v>22</v>
      </c>
      <c r="AC1131">
        <v>-31.569299999999998</v>
      </c>
      <c r="AD1131">
        <v>-1.150871</v>
      </c>
      <c r="AE1131">
        <v>-37.227899999999899</v>
      </c>
      <c r="AF1131">
        <v>20.3097981649601</v>
      </c>
      <c r="AG1131">
        <v>-1.150871</v>
      </c>
      <c r="AH1131">
        <v>44.355411604522097</v>
      </c>
      <c r="AI1131">
        <v>91.351419710723405</v>
      </c>
      <c r="AJ1131">
        <v>65.3975383273239</v>
      </c>
      <c r="AK1131">
        <v>48.797694045586098</v>
      </c>
    </row>
    <row r="1132" spans="1:37" x14ac:dyDescent="0.2">
      <c r="A1132" t="str">
        <f>"20200111160122401"</f>
        <v>20200111160122401</v>
      </c>
      <c r="B1132" t="str">
        <f>"1578729682391728"</f>
        <v>1578729682391728</v>
      </c>
      <c r="C1132" t="s">
        <v>37</v>
      </c>
      <c r="D1132">
        <v>5.0088749999999997</v>
      </c>
      <c r="E1132">
        <v>0.59442490000000003</v>
      </c>
      <c r="F1132" t="s">
        <v>39</v>
      </c>
      <c r="G1132">
        <v>-228.744</v>
      </c>
      <c r="H1132">
        <v>-0.05</v>
      </c>
      <c r="I1132">
        <v>257.12380000000002</v>
      </c>
      <c r="J1132">
        <v>-191.21209999999999</v>
      </c>
      <c r="K1132">
        <v>1.100846</v>
      </c>
      <c r="L1132">
        <v>300.06150000000002</v>
      </c>
      <c r="M1132">
        <v>-0.27496490000000001</v>
      </c>
      <c r="N1132">
        <v>0</v>
      </c>
      <c r="O1132">
        <v>-0.96141889999999997</v>
      </c>
      <c r="P1132">
        <v>-0.461325599999999</v>
      </c>
      <c r="Q1132">
        <v>-9.0843070000000002E-4</v>
      </c>
      <c r="R1132">
        <v>-0.88723050000000003</v>
      </c>
      <c r="S1132">
        <v>-2.0315859999999999</v>
      </c>
      <c r="T1132">
        <v>-6.2190889999999999E-2</v>
      </c>
      <c r="U1132">
        <v>-2.3314509999999999</v>
      </c>
      <c r="V1132">
        <v>0.1996223</v>
      </c>
      <c r="W1132">
        <v>5.7475900000000003E-3</v>
      </c>
      <c r="X1132">
        <v>0.97985610000000001</v>
      </c>
      <c r="Y1132">
        <v>0.42418149999999899</v>
      </c>
      <c r="Z1132">
        <v>2.05627E-2</v>
      </c>
      <c r="AA1132">
        <v>0.90534369999999997</v>
      </c>
      <c r="AB1132">
        <v>22</v>
      </c>
      <c r="AC1132">
        <v>-37.5319</v>
      </c>
      <c r="AD1132">
        <v>-1.15084599999999</v>
      </c>
      <c r="AE1132">
        <v>-42.9377</v>
      </c>
      <c r="AF1132">
        <v>24.268460165048499</v>
      </c>
      <c r="AG1132">
        <v>-1.15084599999999</v>
      </c>
      <c r="AH1132">
        <v>51.581820094789698</v>
      </c>
      <c r="AI1132">
        <v>91.156546431394105</v>
      </c>
      <c r="AJ1132">
        <v>64.803730429434694</v>
      </c>
      <c r="AK1132">
        <v>57.017249754697097</v>
      </c>
    </row>
    <row r="1133" spans="1:37" x14ac:dyDescent="0.2">
      <c r="A1133" t="str">
        <f>"20200111160122446"</f>
        <v>20200111160122446</v>
      </c>
      <c r="B1133" t="str">
        <f>"1578729682442481"</f>
        <v>1578729682442481</v>
      </c>
      <c r="C1133" t="s">
        <v>37</v>
      </c>
      <c r="D1133">
        <v>5.023193</v>
      </c>
      <c r="E1133">
        <v>0.59140019999999904</v>
      </c>
      <c r="F1133" t="s">
        <v>39</v>
      </c>
      <c r="G1133">
        <v>-228.9615</v>
      </c>
      <c r="H1133">
        <v>-0.05</v>
      </c>
      <c r="I1133">
        <v>257.42239999999998</v>
      </c>
      <c r="J1133">
        <v>-191.34909999999999</v>
      </c>
      <c r="K1133">
        <v>1.1007639999999901</v>
      </c>
      <c r="L1133">
        <v>299.62700000000001</v>
      </c>
      <c r="M1133">
        <v>-0.28439740000000002</v>
      </c>
      <c r="N1133">
        <v>0</v>
      </c>
      <c r="O1133">
        <v>-0.958671099999999</v>
      </c>
      <c r="P1133">
        <v>-0.4736514</v>
      </c>
      <c r="Q1133">
        <v>-1.122882E-3</v>
      </c>
      <c r="R1133">
        <v>-0.88071189999999999</v>
      </c>
      <c r="S1133">
        <v>-2.0498500000000002</v>
      </c>
      <c r="T1133">
        <v>-6.2492730000000003E-2</v>
      </c>
      <c r="U1133">
        <v>-2.315369</v>
      </c>
      <c r="V1133">
        <v>0.2036557</v>
      </c>
      <c r="W1133">
        <v>5.4719800000000004E-3</v>
      </c>
      <c r="X1133">
        <v>0.97902730000000004</v>
      </c>
      <c r="Y1133">
        <v>0.42240739999999999</v>
      </c>
      <c r="Z1133">
        <v>2.0643689999999999E-2</v>
      </c>
      <c r="AA1133">
        <v>0.90617099999999995</v>
      </c>
      <c r="AB1133">
        <v>22</v>
      </c>
      <c r="AC1133">
        <v>-37.612400000000001</v>
      </c>
      <c r="AD1133">
        <v>-1.1507639999999999</v>
      </c>
      <c r="AE1133">
        <v>-42.204599999999999</v>
      </c>
      <c r="AF1133">
        <v>24.0458947460933</v>
      </c>
      <c r="AG1133">
        <v>-1.1507639999999999</v>
      </c>
      <c r="AH1133">
        <v>51.137745066211203</v>
      </c>
      <c r="AI1133">
        <v>91.166623665145494</v>
      </c>
      <c r="AJ1133">
        <v>64.816239785305498</v>
      </c>
      <c r="AK1133">
        <v>56.5207774396346</v>
      </c>
    </row>
    <row r="1134" spans="1:37" x14ac:dyDescent="0.2">
      <c r="A1134" t="str">
        <f>"20200111160122468"</f>
        <v>20200111160122468</v>
      </c>
      <c r="B1134" t="str">
        <f>"1578729682462000"</f>
        <v>1578729682462000</v>
      </c>
      <c r="C1134" t="s">
        <v>37</v>
      </c>
      <c r="D1134">
        <v>5.0003219999999997</v>
      </c>
      <c r="E1134">
        <v>0.59082409999999996</v>
      </c>
      <c r="F1134" t="s">
        <v>39</v>
      </c>
      <c r="G1134">
        <v>-224.39709999999999</v>
      </c>
      <c r="H1134">
        <v>-0.05</v>
      </c>
      <c r="I1134">
        <v>262.7654</v>
      </c>
      <c r="J1134">
        <v>-191.4204</v>
      </c>
      <c r="K1134">
        <v>1.100719</v>
      </c>
      <c r="L1134">
        <v>299.40660000000003</v>
      </c>
      <c r="M1134">
        <v>-0.28923349999999998</v>
      </c>
      <c r="N1134">
        <v>0</v>
      </c>
      <c r="O1134">
        <v>-0.95722299999999905</v>
      </c>
      <c r="P1134">
        <v>-0.47956099999999902</v>
      </c>
      <c r="Q1134" s="1">
        <v>-5.240552E-5</v>
      </c>
      <c r="R1134">
        <v>-0.87750890000000004</v>
      </c>
      <c r="S1134">
        <v>-2.060425</v>
      </c>
      <c r="T1134">
        <v>-7.1746110000000002E-2</v>
      </c>
      <c r="U1134">
        <v>-2.298187</v>
      </c>
      <c r="V1134">
        <v>0.205302599999999</v>
      </c>
      <c r="W1134">
        <v>6.5190959999999899E-3</v>
      </c>
      <c r="X1134">
        <v>0.97867689999999996</v>
      </c>
      <c r="Y1134">
        <v>0.42345249999999901</v>
      </c>
      <c r="Z1134">
        <v>2.3738809999999999E-2</v>
      </c>
      <c r="AA1134">
        <v>0.90560719999999995</v>
      </c>
      <c r="AB1134">
        <v>22</v>
      </c>
      <c r="AC1134">
        <v>-32.976699999999902</v>
      </c>
      <c r="AD1134">
        <v>-1.150719</v>
      </c>
      <c r="AE1134">
        <v>-36.641199999999998</v>
      </c>
      <c r="AF1134">
        <v>20.957487347271101</v>
      </c>
      <c r="AG1134">
        <v>-1.150719</v>
      </c>
      <c r="AH1134">
        <v>44.588988091788003</v>
      </c>
      <c r="AI1134">
        <v>91.337959033280498</v>
      </c>
      <c r="AJ1134">
        <v>64.825777742304894</v>
      </c>
      <c r="AK1134">
        <v>49.282028054632697</v>
      </c>
    </row>
    <row r="1135" spans="1:37" x14ac:dyDescent="0.2">
      <c r="A1135" t="str">
        <f>"20200111160122490"</f>
        <v>20200111160122490</v>
      </c>
      <c r="B1135" t="str">
        <f>"1578729682482497"</f>
        <v>1578729682482497</v>
      </c>
      <c r="C1135" t="s">
        <v>37</v>
      </c>
      <c r="D1135">
        <v>4.94625</v>
      </c>
      <c r="E1135">
        <v>0.59085209999999999</v>
      </c>
      <c r="F1135" t="s">
        <v>39</v>
      </c>
      <c r="G1135">
        <v>-225.1729</v>
      </c>
      <c r="H1135">
        <v>-0.05</v>
      </c>
      <c r="I1135">
        <v>262.14909999999998</v>
      </c>
      <c r="J1135">
        <v>-191.489</v>
      </c>
      <c r="K1135">
        <v>1.100673</v>
      </c>
      <c r="L1135">
        <v>299.19830000000002</v>
      </c>
      <c r="M1135">
        <v>-0.29385359999999899</v>
      </c>
      <c r="N1135">
        <v>0</v>
      </c>
      <c r="O1135">
        <v>-0.95581489999999902</v>
      </c>
      <c r="P1135">
        <v>-0.48480859999999898</v>
      </c>
      <c r="Q1135" s="1">
        <v>1.7993149999999999E-5</v>
      </c>
      <c r="R1135">
        <v>-0.87462070000000003</v>
      </c>
      <c r="S1135">
        <v>-2.0715330000000001</v>
      </c>
      <c r="T1135">
        <v>-7.0624469999999995E-2</v>
      </c>
      <c r="U1135">
        <v>-2.2866520000000001</v>
      </c>
      <c r="V1135">
        <v>0.20643890000000001</v>
      </c>
      <c r="W1135">
        <v>6.5705929999999996E-3</v>
      </c>
      <c r="X1135">
        <v>0.97843740000000001</v>
      </c>
      <c r="Y1135">
        <v>0.423770799999999</v>
      </c>
      <c r="Z1135">
        <v>2.3368960000000001E-2</v>
      </c>
      <c r="AA1135">
        <v>0.90546789999999999</v>
      </c>
      <c r="AB1135">
        <v>23</v>
      </c>
      <c r="AC1135">
        <v>-33.683899999999902</v>
      </c>
      <c r="AD1135">
        <v>-1.1506730000000001</v>
      </c>
      <c r="AE1135">
        <v>-37.049199999999999</v>
      </c>
      <c r="AF1135">
        <v>21.298009358741801</v>
      </c>
      <c r="AG1135">
        <v>-1.1506730000000001</v>
      </c>
      <c r="AH1135">
        <v>45.287935884362703</v>
      </c>
      <c r="AI1135">
        <v>91.317130032222906</v>
      </c>
      <c r="AJ1135">
        <v>64.8133379040558</v>
      </c>
      <c r="AK1135">
        <v>50.059228796138399</v>
      </c>
    </row>
    <row r="1136" spans="1:37" x14ac:dyDescent="0.2">
      <c r="A1136" t="str">
        <f>"20200111160122513"</f>
        <v>20200111160122513</v>
      </c>
      <c r="B1136" t="str">
        <f>"1578729682502017"</f>
        <v>1578729682502017</v>
      </c>
      <c r="C1136" t="s">
        <v>37</v>
      </c>
      <c r="D1136">
        <v>5.0020860000000003</v>
      </c>
      <c r="E1136">
        <v>0.59036269999999902</v>
      </c>
      <c r="F1136" t="s">
        <v>39</v>
      </c>
      <c r="G1136">
        <v>-226.7978</v>
      </c>
      <c r="H1136">
        <v>-0.05</v>
      </c>
      <c r="I1136">
        <v>260.69880000000001</v>
      </c>
      <c r="J1136">
        <v>-191.5652</v>
      </c>
      <c r="K1136">
        <v>1.100617</v>
      </c>
      <c r="L1136">
        <v>298.97129999999999</v>
      </c>
      <c r="M1136">
        <v>-0.29894549999999998</v>
      </c>
      <c r="N1136">
        <v>0</v>
      </c>
      <c r="O1136">
        <v>-0.95423409999999997</v>
      </c>
      <c r="P1136">
        <v>-0.49062</v>
      </c>
      <c r="Q1136">
        <v>-3.8575379999999899E-4</v>
      </c>
      <c r="R1136">
        <v>-0.87137350000000002</v>
      </c>
      <c r="S1136">
        <v>-2.085556</v>
      </c>
      <c r="T1136">
        <v>-6.7965869999999998E-2</v>
      </c>
      <c r="U1136">
        <v>-2.27401699999999</v>
      </c>
      <c r="V1136">
        <v>0.20773320000000001</v>
      </c>
      <c r="W1136">
        <v>6.1438329999999996E-3</v>
      </c>
      <c r="X1136">
        <v>0.97816619999999999</v>
      </c>
      <c r="Y1136">
        <v>0.4244947</v>
      </c>
      <c r="Z1136">
        <v>2.2481770000000002E-2</v>
      </c>
      <c r="AA1136">
        <v>0.90515129999999999</v>
      </c>
      <c r="AB1136">
        <v>23</v>
      </c>
      <c r="AC1136">
        <v>-35.232599999999898</v>
      </c>
      <c r="AD1136">
        <v>-1.150617</v>
      </c>
      <c r="AE1136">
        <v>-38.272499999999901</v>
      </c>
      <c r="AF1136">
        <v>22.168674857232599</v>
      </c>
      <c r="AG1136">
        <v>-1.150617</v>
      </c>
      <c r="AH1136">
        <v>47.032162580151002</v>
      </c>
      <c r="AI1136">
        <v>91.267714346545404</v>
      </c>
      <c r="AJ1136">
        <v>64.763089263476502</v>
      </c>
      <c r="AK1136">
        <v>52.007676177388902</v>
      </c>
    </row>
    <row r="1137" spans="1:37" x14ac:dyDescent="0.2">
      <c r="A1137" t="str">
        <f>"20200111160122535"</f>
        <v>20200111160122535</v>
      </c>
      <c r="B1137" t="str">
        <f>"1578729682532272"</f>
        <v>1578729682532272</v>
      </c>
      <c r="C1137" t="s">
        <v>37</v>
      </c>
      <c r="D1137">
        <v>5.0374749999999997</v>
      </c>
      <c r="E1137">
        <v>0.58971169999999995</v>
      </c>
      <c r="F1137" t="s">
        <v>39</v>
      </c>
      <c r="G1137">
        <v>-227.4983</v>
      </c>
      <c r="H1137">
        <v>-0.05</v>
      </c>
      <c r="I1137">
        <v>260.221</v>
      </c>
      <c r="J1137">
        <v>-191.63650000000001</v>
      </c>
      <c r="K1137">
        <v>1.1005769999999999</v>
      </c>
      <c r="L1137">
        <v>298.76229999999998</v>
      </c>
      <c r="M1137">
        <v>-0.30367729999999998</v>
      </c>
      <c r="N1137">
        <v>0</v>
      </c>
      <c r="O1137">
        <v>-0.9527388</v>
      </c>
      <c r="P1137">
        <v>-0.4961912</v>
      </c>
      <c r="Q1137">
        <v>7.964987E-4</v>
      </c>
      <c r="R1137">
        <v>-0.86821319999999902</v>
      </c>
      <c r="S1137">
        <v>-2.0974270000000002</v>
      </c>
      <c r="T1137">
        <v>-6.716192E-2</v>
      </c>
      <c r="U1137">
        <v>-2.26187099999999</v>
      </c>
      <c r="V1137">
        <v>0.20915400000000001</v>
      </c>
      <c r="W1137">
        <v>7.3029990000000001E-3</v>
      </c>
      <c r="X1137">
        <v>0.97785540000000004</v>
      </c>
      <c r="Y1137">
        <v>0.42498180000000002</v>
      </c>
      <c r="Z1137">
        <v>2.2214569999999999E-2</v>
      </c>
      <c r="AA1137">
        <v>0.90492929999999905</v>
      </c>
      <c r="AB1137">
        <v>23</v>
      </c>
      <c r="AC1137">
        <v>-35.861799999999903</v>
      </c>
      <c r="AD1137">
        <v>-1.150577</v>
      </c>
      <c r="AE1137">
        <v>-38.5412999999999</v>
      </c>
      <c r="AF1137">
        <v>22.452859222520299</v>
      </c>
      <c r="AG1137">
        <v>-1.150577</v>
      </c>
      <c r="AH1137">
        <v>47.589114917151697</v>
      </c>
      <c r="AI1137">
        <v>91.252619113704597</v>
      </c>
      <c r="AJ1137">
        <v>64.741751581147795</v>
      </c>
      <c r="AK1137">
        <v>52.632485912192202</v>
      </c>
    </row>
    <row r="1138" spans="1:37" x14ac:dyDescent="0.2">
      <c r="A1138" t="str">
        <f>"20200111160122580"</f>
        <v>20200111160122580</v>
      </c>
      <c r="B1138" t="str">
        <f>"1578729682571885"</f>
        <v>1578729682571885</v>
      </c>
      <c r="C1138" t="s">
        <v>37</v>
      </c>
      <c r="D1138">
        <v>5.0880159999999997</v>
      </c>
      <c r="E1138">
        <v>0.5896574</v>
      </c>
      <c r="F1138" t="s">
        <v>39</v>
      </c>
      <c r="G1138">
        <v>-233.1377</v>
      </c>
      <c r="H1138">
        <v>-0.05</v>
      </c>
      <c r="I1138">
        <v>254.44040000000001</v>
      </c>
      <c r="J1138">
        <v>-191.79239999999999</v>
      </c>
      <c r="K1138">
        <v>1.1004890000000001</v>
      </c>
      <c r="L1138">
        <v>298.31740000000002</v>
      </c>
      <c r="M1138">
        <v>-0.31386059999999999</v>
      </c>
      <c r="N1138">
        <v>0</v>
      </c>
      <c r="O1138">
        <v>-0.94943269999999902</v>
      </c>
      <c r="P1138">
        <v>-0.50943229999999995</v>
      </c>
      <c r="Q1138">
        <v>9.7067649999999905E-4</v>
      </c>
      <c r="R1138">
        <v>-0.86051049999999996</v>
      </c>
      <c r="S1138">
        <v>-2.107666</v>
      </c>
      <c r="T1138">
        <v>-5.8432820000000003E-2</v>
      </c>
      <c r="U1138">
        <v>-2.2509160000000001</v>
      </c>
      <c r="V1138">
        <v>0.21366439999999901</v>
      </c>
      <c r="W1138">
        <v>7.4202979999999997E-3</v>
      </c>
      <c r="X1138">
        <v>0.97687889999999999</v>
      </c>
      <c r="Y1138">
        <v>0.41971499999999901</v>
      </c>
      <c r="Z1138">
        <v>1.9297109999999999E-2</v>
      </c>
      <c r="AA1138">
        <v>0.9074508</v>
      </c>
      <c r="AB1138">
        <v>23</v>
      </c>
      <c r="AC1138">
        <v>-41.345300000000002</v>
      </c>
      <c r="AD1138">
        <v>-1.1504890000000001</v>
      </c>
      <c r="AE1138">
        <v>-43.877000000000002</v>
      </c>
      <c r="AF1138">
        <v>25.474921174753401</v>
      </c>
      <c r="AG1138">
        <v>-1.1504890000000001</v>
      </c>
      <c r="AH1138">
        <v>54.616916314704099</v>
      </c>
      <c r="AI1138">
        <v>91.093655849372894</v>
      </c>
      <c r="AJ1138">
        <v>64.994283152235596</v>
      </c>
      <c r="AK1138">
        <v>60.276884305066801</v>
      </c>
    </row>
    <row r="1139" spans="1:37" x14ac:dyDescent="0.2">
      <c r="A1139" t="str">
        <f>"20200111160122603"</f>
        <v>20200111160122603</v>
      </c>
      <c r="B1139" t="str">
        <f>"1578729682592381"</f>
        <v>1578729682592381</v>
      </c>
      <c r="C1139" t="s">
        <v>37</v>
      </c>
      <c r="D1139">
        <v>5.3881300000000003</v>
      </c>
      <c r="E1139">
        <v>0.5897076</v>
      </c>
      <c r="F1139" t="s">
        <v>39</v>
      </c>
      <c r="G1139">
        <v>-235.16210000000001</v>
      </c>
      <c r="H1139">
        <v>-0.05</v>
      </c>
      <c r="I1139">
        <v>253.38890000000001</v>
      </c>
      <c r="J1139">
        <v>-191.87099999999899</v>
      </c>
      <c r="K1139">
        <v>1.100449</v>
      </c>
      <c r="L1139">
        <v>298.09870000000001</v>
      </c>
      <c r="M1139">
        <v>-0.31890839999999998</v>
      </c>
      <c r="N1139">
        <v>0</v>
      </c>
      <c r="O1139">
        <v>-0.94774899999999995</v>
      </c>
      <c r="P1139">
        <v>-0.51708460000000001</v>
      </c>
      <c r="Q1139" s="1">
        <v>-9.5443799999999894E-5</v>
      </c>
      <c r="R1139">
        <v>-0.85593459999999999</v>
      </c>
      <c r="S1139">
        <v>-2.1415410000000001</v>
      </c>
      <c r="T1139">
        <v>-5.6809659999999998E-2</v>
      </c>
      <c r="U1139">
        <v>-2.2185060000000001</v>
      </c>
      <c r="V1139">
        <v>0.217167</v>
      </c>
      <c r="W1139">
        <v>6.3154930000000001E-3</v>
      </c>
      <c r="X1139">
        <v>0.97611399999999904</v>
      </c>
      <c r="Y1139">
        <v>0.4286683</v>
      </c>
      <c r="Z1139">
        <v>1.8782070000000001E-2</v>
      </c>
      <c r="AA1139">
        <v>0.90326669999999998</v>
      </c>
      <c r="AB1139">
        <v>23</v>
      </c>
      <c r="AC1139">
        <v>-43.2911</v>
      </c>
      <c r="AD1139">
        <v>-1.1504490000000001</v>
      </c>
      <c r="AE1139">
        <v>-44.709800000000001</v>
      </c>
      <c r="AF1139">
        <v>26.7625476932208</v>
      </c>
      <c r="AG1139">
        <v>-1.1504490000000001</v>
      </c>
      <c r="AH1139">
        <v>56.162317319111402</v>
      </c>
      <c r="AI1139">
        <v>91.059400920548697</v>
      </c>
      <c r="AJ1139">
        <v>64.521199762016295</v>
      </c>
      <c r="AK1139">
        <v>62.223495390295099</v>
      </c>
    </row>
    <row r="1140" spans="1:37" x14ac:dyDescent="0.2">
      <c r="A1140" t="str">
        <f>"20200111160122625"</f>
        <v>20200111160122625</v>
      </c>
      <c r="B1140" t="str">
        <f>"1578729682621660"</f>
        <v>1578729682621660</v>
      </c>
      <c r="C1140" t="s">
        <v>37</v>
      </c>
      <c r="D1140">
        <v>5.6035059999999897</v>
      </c>
      <c r="E1140">
        <v>0.63114989999999904</v>
      </c>
      <c r="F1140" t="s">
        <v>39</v>
      </c>
      <c r="G1140">
        <v>-232.17330000000001</v>
      </c>
      <c r="H1140">
        <v>-0.05</v>
      </c>
      <c r="I1140">
        <v>257.0881</v>
      </c>
      <c r="J1140">
        <v>-191.9511</v>
      </c>
      <c r="K1140">
        <v>1.1004129999999901</v>
      </c>
      <c r="L1140">
        <v>297.8793</v>
      </c>
      <c r="M1140">
        <v>-0.32399250000000002</v>
      </c>
      <c r="N1140">
        <v>0</v>
      </c>
      <c r="O1140">
        <v>-0.94602269999999899</v>
      </c>
      <c r="P1140">
        <v>-0.52472229999999997</v>
      </c>
      <c r="Q1140">
        <v>-3.8476100000000001E-4</v>
      </c>
      <c r="R1140">
        <v>-0.85127319999999995</v>
      </c>
      <c r="S1140">
        <v>-2.16127</v>
      </c>
      <c r="T1140">
        <v>-6.1694499999999999E-2</v>
      </c>
      <c r="U1140">
        <v>-2.199249</v>
      </c>
      <c r="V1140">
        <v>0.22065670000000001</v>
      </c>
      <c r="W1140">
        <v>5.9879109999999899E-3</v>
      </c>
      <c r="X1140">
        <v>0.97533320000000001</v>
      </c>
      <c r="Y1140">
        <v>0.43186779999999902</v>
      </c>
      <c r="Z1140">
        <v>2.0397160000000001E-2</v>
      </c>
      <c r="AA1140">
        <v>0.90170620000000001</v>
      </c>
      <c r="AB1140">
        <v>23</v>
      </c>
      <c r="AC1140">
        <v>-40.222200000000001</v>
      </c>
      <c r="AD1140">
        <v>-1.1504129999999999</v>
      </c>
      <c r="AE1140">
        <v>-40.791200000000003</v>
      </c>
      <c r="AF1140">
        <v>24.8259278443815</v>
      </c>
      <c r="AG1140">
        <v>-1.1504129999999999</v>
      </c>
      <c r="AH1140">
        <v>51.602086945113101</v>
      </c>
      <c r="AI1140">
        <v>91.150907786647707</v>
      </c>
      <c r="AJ1140">
        <v>64.307644988349097</v>
      </c>
      <c r="AK1140">
        <v>57.274999087699797</v>
      </c>
    </row>
    <row r="1141" spans="1:37" x14ac:dyDescent="0.2">
      <c r="A1141" t="str">
        <f>"20200111160122648"</f>
        <v>20200111160122648</v>
      </c>
      <c r="B1141" t="str">
        <f>"1578729682642156"</f>
        <v>1578729682642156</v>
      </c>
      <c r="C1141" t="s">
        <v>37</v>
      </c>
      <c r="D1141">
        <v>5.3875489999999999</v>
      </c>
      <c r="E1141">
        <v>0.6456539</v>
      </c>
      <c r="F1141" t="s">
        <v>42</v>
      </c>
      <c r="G1141">
        <v>-192.41290000000001</v>
      </c>
      <c r="H1141">
        <v>1.2180150000000001</v>
      </c>
      <c r="I1141">
        <v>297.51429999999999</v>
      </c>
      <c r="J1141">
        <v>-192.03380000000001</v>
      </c>
      <c r="K1141">
        <v>1.1003780000000001</v>
      </c>
      <c r="L1141">
        <v>297.65679999999998</v>
      </c>
      <c r="M1141">
        <v>-0.32917150000000001</v>
      </c>
      <c r="N1141">
        <v>0</v>
      </c>
      <c r="O1141">
        <v>-0.94423299999999999</v>
      </c>
      <c r="P1141">
        <v>-0.53231689999999998</v>
      </c>
      <c r="Q1141">
        <v>-1.426004E-4</v>
      </c>
      <c r="R1141">
        <v>-0.84654529999999995</v>
      </c>
      <c r="S1141">
        <v>-2.5057529999999999</v>
      </c>
      <c r="T1141">
        <v>0.63809349999999998</v>
      </c>
      <c r="U1141">
        <v>-1.97991899999999</v>
      </c>
      <c r="V1141">
        <v>0.2240386</v>
      </c>
      <c r="W1141">
        <v>6.1915159999999898E-3</v>
      </c>
      <c r="X1141">
        <v>0.9745606</v>
      </c>
      <c r="Y1141">
        <v>0.51987559999999999</v>
      </c>
      <c r="Z1141">
        <v>-0.20359289999999999</v>
      </c>
      <c r="AA1141">
        <v>0.82962599999999997</v>
      </c>
      <c r="AB1141">
        <v>23</v>
      </c>
      <c r="AC1141">
        <v>-0.379099999999993</v>
      </c>
      <c r="AD1141">
        <v>0.11763699999999901</v>
      </c>
      <c r="AE1141">
        <v>-0.142499999999984</v>
      </c>
      <c r="AF1141">
        <v>0.28686056200694598</v>
      </c>
      <c r="AG1141">
        <v>0.11763699999999901</v>
      </c>
      <c r="AH1141">
        <v>0.23917247154841501</v>
      </c>
      <c r="AI1141">
        <v>72.517159310798505</v>
      </c>
      <c r="AJ1141">
        <v>39.819949303800598</v>
      </c>
      <c r="AK1141">
        <v>0.39157491869439098</v>
      </c>
    </row>
    <row r="1142" spans="1:37" x14ac:dyDescent="0.2">
      <c r="A1142" t="str">
        <f>"20200111160122670"</f>
        <v>20200111160122670</v>
      </c>
      <c r="B1142" t="str">
        <f>"1578729682661678"</f>
        <v>1578729682661678</v>
      </c>
      <c r="C1142" t="s">
        <v>37</v>
      </c>
      <c r="D1142">
        <v>5.3555510000000002</v>
      </c>
      <c r="E1142">
        <v>0.64544389999999996</v>
      </c>
      <c r="F1142" t="s">
        <v>54</v>
      </c>
      <c r="G1142">
        <v>-200.38290000000001</v>
      </c>
      <c r="H1142">
        <v>6.5210660000000004E-2</v>
      </c>
      <c r="I1142">
        <v>291.36509999999998</v>
      </c>
      <c r="J1142">
        <v>-192.11660000000001</v>
      </c>
      <c r="K1142">
        <v>1.1003459999999901</v>
      </c>
      <c r="L1142">
        <v>297.43790000000001</v>
      </c>
      <c r="M1142">
        <v>-0.33429429999999999</v>
      </c>
      <c r="N1142">
        <v>0</v>
      </c>
      <c r="O1142">
        <v>-0.94243149999999998</v>
      </c>
      <c r="P1142">
        <v>-0.53936539999999999</v>
      </c>
      <c r="Q1142">
        <v>-4.4485930000000003E-4</v>
      </c>
      <c r="R1142">
        <v>-0.84207209999999999</v>
      </c>
      <c r="S1142">
        <v>-2.563507</v>
      </c>
      <c r="T1142">
        <v>-0.31783539999999999</v>
      </c>
      <c r="U1142">
        <v>-1.9317930000000001</v>
      </c>
      <c r="V1142">
        <v>0.2268791</v>
      </c>
      <c r="W1142">
        <v>5.8524909999999996E-3</v>
      </c>
      <c r="X1142">
        <v>0.97390529999999997</v>
      </c>
      <c r="Y1142">
        <v>0.54712899999999998</v>
      </c>
      <c r="Z1142">
        <v>0.1027444</v>
      </c>
      <c r="AA1142">
        <v>0.83071859999999997</v>
      </c>
      <c r="AB1142">
        <v>23</v>
      </c>
      <c r="AC1142">
        <v>-8.2662999999999993</v>
      </c>
      <c r="AD1142">
        <v>-1.0351353399999901</v>
      </c>
      <c r="AE1142">
        <v>-6.0728000000000204</v>
      </c>
      <c r="AF1142">
        <v>5.70244536310648</v>
      </c>
      <c r="AG1142">
        <v>-1.0351353399999901</v>
      </c>
      <c r="AH1142">
        <v>8.4013106692128208</v>
      </c>
      <c r="AI1142">
        <v>95.820936300174097</v>
      </c>
      <c r="AJ1142">
        <v>55.833040164896197</v>
      </c>
      <c r="AK1142">
        <v>10.2064395972327</v>
      </c>
    </row>
    <row r="1143" spans="1:37" x14ac:dyDescent="0.2">
      <c r="A1143" t="str">
        <f>"20200111160122691"</f>
        <v>20200111160122691</v>
      </c>
      <c r="B1143" t="str">
        <f>"1578729682682173"</f>
        <v>1578729682682173</v>
      </c>
      <c r="C1143" t="s">
        <v>37</v>
      </c>
      <c r="D1143">
        <v>5.4064620000000003</v>
      </c>
      <c r="E1143">
        <v>0.64456049999999998</v>
      </c>
      <c r="F1143" t="s">
        <v>54</v>
      </c>
      <c r="G1143">
        <v>-200.4562</v>
      </c>
      <c r="H1143">
        <v>7.6798809999999995E-2</v>
      </c>
      <c r="I1143">
        <v>291.2568</v>
      </c>
      <c r="J1143">
        <v>-192.19810000000001</v>
      </c>
      <c r="K1143">
        <v>1.100306</v>
      </c>
      <c r="L1143">
        <v>297.22579999999999</v>
      </c>
      <c r="M1143">
        <v>-0.33928579999999903</v>
      </c>
      <c r="N1143">
        <v>0</v>
      </c>
      <c r="O1143">
        <v>-0.94064579999999998</v>
      </c>
      <c r="P1143">
        <v>-0.54596119999999904</v>
      </c>
      <c r="Q1143">
        <v>-9.1241300000000005E-4</v>
      </c>
      <c r="R1143">
        <v>-0.8378099</v>
      </c>
      <c r="S1143">
        <v>-2.578354</v>
      </c>
      <c r="T1143">
        <v>-0.31644919999999999</v>
      </c>
      <c r="U1143">
        <v>-1.9109799999999999</v>
      </c>
      <c r="V1143">
        <v>0.22935999999999901</v>
      </c>
      <c r="W1143">
        <v>5.3484830000000002E-3</v>
      </c>
      <c r="X1143">
        <v>0.97332700000000005</v>
      </c>
      <c r="Y1143">
        <v>0.54935009999999995</v>
      </c>
      <c r="Z1143">
        <v>0.1023386</v>
      </c>
      <c r="AA1143">
        <v>0.82930159999999997</v>
      </c>
      <c r="AB1143">
        <v>23</v>
      </c>
      <c r="AC1143">
        <v>-8.2580999999999793</v>
      </c>
      <c r="AD1143">
        <v>-1.0235071899999999</v>
      </c>
      <c r="AE1143">
        <v>-5.9689999999999896</v>
      </c>
      <c r="AF1143">
        <v>5.6855869611278296</v>
      </c>
      <c r="AG1143">
        <v>-1.0235071899999999</v>
      </c>
      <c r="AH1143">
        <v>8.3327925265201497</v>
      </c>
      <c r="AI1143">
        <v>95.793466343857204</v>
      </c>
      <c r="AJ1143">
        <v>55.693706565080902</v>
      </c>
      <c r="AK1143">
        <v>10.1394722422105</v>
      </c>
    </row>
    <row r="1144" spans="1:37" x14ac:dyDescent="0.2">
      <c r="A1144" t="str">
        <f>"20200111160122715"</f>
        <v>20200111160122715</v>
      </c>
      <c r="B1144" t="str">
        <f>"1578729682701692"</f>
        <v>1578729682701692</v>
      </c>
      <c r="C1144" t="s">
        <v>37</v>
      </c>
      <c r="D1144">
        <v>5.6556030000000002</v>
      </c>
      <c r="E1144">
        <v>0.64519609999999905</v>
      </c>
      <c r="F1144" t="s">
        <v>54</v>
      </c>
      <c r="G1144">
        <v>-200.5181</v>
      </c>
      <c r="H1144">
        <v>7.0539210000000005E-2</v>
      </c>
      <c r="I1144">
        <v>291.13220000000001</v>
      </c>
      <c r="J1144">
        <v>-192.28579999999999</v>
      </c>
      <c r="K1144">
        <v>1.100257</v>
      </c>
      <c r="L1144">
        <v>297.0016</v>
      </c>
      <c r="M1144">
        <v>-0.34459339999999999</v>
      </c>
      <c r="N1144">
        <v>0</v>
      </c>
      <c r="O1144">
        <v>-0.93871439999999995</v>
      </c>
      <c r="P1144">
        <v>-0.5532878</v>
      </c>
      <c r="Q1144">
        <v>-1.9575560000000001E-3</v>
      </c>
      <c r="R1144">
        <v>-0.83298819999999996</v>
      </c>
      <c r="S1144">
        <v>-2.5868989999999998</v>
      </c>
      <c r="T1144">
        <v>-0.32018229999999998</v>
      </c>
      <c r="U1144">
        <v>-1.8946529999999999</v>
      </c>
      <c r="V1144">
        <v>0.2323896</v>
      </c>
      <c r="W1144">
        <v>4.2584449999999996E-3</v>
      </c>
      <c r="X1144">
        <v>0.97261350000000002</v>
      </c>
      <c r="Y1144">
        <v>0.54924079999999997</v>
      </c>
      <c r="Z1144">
        <v>0.10359059999999901</v>
      </c>
      <c r="AA1144">
        <v>0.82921859999999903</v>
      </c>
      <c r="AB1144">
        <v>23</v>
      </c>
      <c r="AC1144">
        <v>-8.2323000000000093</v>
      </c>
      <c r="AD1144">
        <v>-1.0297177900000001</v>
      </c>
      <c r="AE1144">
        <v>-5.8693999999999802</v>
      </c>
      <c r="AF1144">
        <v>5.6468497387925103</v>
      </c>
      <c r="AG1144">
        <v>-1.0297177900000001</v>
      </c>
      <c r="AH1144">
        <v>8.2610904420497508</v>
      </c>
      <c r="AI1144">
        <v>95.875262989229299</v>
      </c>
      <c r="AJ1144">
        <v>55.645528984859702</v>
      </c>
      <c r="AK1144">
        <v>10.059465492324501</v>
      </c>
    </row>
    <row r="1145" spans="1:37" x14ac:dyDescent="0.2">
      <c r="A1145" t="str">
        <f>"20200111160122739"</f>
        <v>20200111160122739</v>
      </c>
      <c r="B1145" t="str">
        <f>"1578729682731950"</f>
        <v>1578729682731950</v>
      </c>
      <c r="C1145" t="s">
        <v>37</v>
      </c>
      <c r="D1145">
        <v>5.4330360000000004</v>
      </c>
      <c r="E1145">
        <v>0.64385490000000001</v>
      </c>
      <c r="F1145" t="s">
        <v>54</v>
      </c>
      <c r="G1145">
        <v>-200.5498</v>
      </c>
      <c r="H1145">
        <v>7.1760850000000001E-2</v>
      </c>
      <c r="I1145">
        <v>291.07749999999999</v>
      </c>
      <c r="J1145">
        <v>-192.38239999999999</v>
      </c>
      <c r="K1145">
        <v>1.1001909999999999</v>
      </c>
      <c r="L1145">
        <v>296.75889999999998</v>
      </c>
      <c r="M1145">
        <v>-0.3503869</v>
      </c>
      <c r="N1145">
        <v>0</v>
      </c>
      <c r="O1145">
        <v>-0.93656709999999999</v>
      </c>
      <c r="P1145">
        <v>-0.56109790000000004</v>
      </c>
      <c r="Q1145">
        <v>-3.9176719999999996E-3</v>
      </c>
      <c r="R1145">
        <v>-0.82774049999999999</v>
      </c>
      <c r="S1145">
        <v>-2.60717799999999</v>
      </c>
      <c r="T1145">
        <v>-0.32447480000000001</v>
      </c>
      <c r="U1145">
        <v>-1.8689880000000001</v>
      </c>
      <c r="V1145">
        <v>0.2355129</v>
      </c>
      <c r="W1145">
        <v>2.2495429999999901E-3</v>
      </c>
      <c r="X1145">
        <v>0.97186859999999997</v>
      </c>
      <c r="Y1145">
        <v>0.55241509999999905</v>
      </c>
      <c r="Z1145">
        <v>0.1049571</v>
      </c>
      <c r="AA1145">
        <v>0.82693510000000003</v>
      </c>
      <c r="AB1145">
        <v>23</v>
      </c>
      <c r="AC1145">
        <v>-8.1674000000000095</v>
      </c>
      <c r="AD1145">
        <v>-1.0284301499999999</v>
      </c>
      <c r="AE1145">
        <v>-5.6813999999999902</v>
      </c>
      <c r="AF1145">
        <v>5.5990048247128597</v>
      </c>
      <c r="AG1145">
        <v>-1.0284301499999999</v>
      </c>
      <c r="AH1145">
        <v>8.0965402481974404</v>
      </c>
      <c r="AI1145">
        <v>95.964260184836405</v>
      </c>
      <c r="AJ1145">
        <v>55.334958160647702</v>
      </c>
      <c r="AK1145">
        <v>9.8974990574017294</v>
      </c>
    </row>
    <row r="1146" spans="1:37" x14ac:dyDescent="0.2">
      <c r="A1146" t="str">
        <f>"20200111160122763"</f>
        <v>20200111160122763</v>
      </c>
      <c r="B1146" t="str">
        <f>"1578729682752445"</f>
        <v>1578729682752445</v>
      </c>
      <c r="C1146" t="s">
        <v>37</v>
      </c>
      <c r="D1146">
        <v>5.4444999999999997</v>
      </c>
      <c r="E1146">
        <v>0.64283500000000005</v>
      </c>
      <c r="F1146" t="s">
        <v>54</v>
      </c>
      <c r="G1146">
        <v>-200.59829999999999</v>
      </c>
      <c r="H1146">
        <v>4.2698659999999999E-2</v>
      </c>
      <c r="I1146">
        <v>290.94510000000002</v>
      </c>
      <c r="J1146">
        <v>-192.47790000000001</v>
      </c>
      <c r="K1146">
        <v>1.1001179999999999</v>
      </c>
      <c r="L1146">
        <v>296.52319999999997</v>
      </c>
      <c r="M1146">
        <v>-0.35608049999999902</v>
      </c>
      <c r="N1146">
        <v>0</v>
      </c>
      <c r="O1146">
        <v>-0.9344171</v>
      </c>
      <c r="P1146">
        <v>-0.56932539999999998</v>
      </c>
      <c r="Q1146">
        <v>-6.6094250000000004E-3</v>
      </c>
      <c r="R1146">
        <v>-0.82208590000000004</v>
      </c>
      <c r="S1146">
        <v>-2.6147309999999999</v>
      </c>
      <c r="T1146">
        <v>-0.3365493</v>
      </c>
      <c r="U1146">
        <v>-1.85025</v>
      </c>
      <c r="V1146">
        <v>0.23927199999999901</v>
      </c>
      <c r="W1146">
        <v>-4.9745010000000001E-4</v>
      </c>
      <c r="X1146">
        <v>0.9709525</v>
      </c>
      <c r="Y1146">
        <v>0.55205850000000001</v>
      </c>
      <c r="Z1146">
        <v>0.1089339</v>
      </c>
      <c r="AA1146">
        <v>0.82665880000000003</v>
      </c>
      <c r="AB1146">
        <v>23</v>
      </c>
      <c r="AC1146">
        <v>-8.1203999999999894</v>
      </c>
      <c r="AD1146">
        <v>-1.05741934</v>
      </c>
      <c r="AE1146">
        <v>-5.5780999999999397</v>
      </c>
      <c r="AF1146">
        <v>5.5379874232467996</v>
      </c>
      <c r="AG1146">
        <v>-1.05741934</v>
      </c>
      <c r="AH1146">
        <v>8.0117775213794609</v>
      </c>
      <c r="AI1146">
        <v>96.196342381021097</v>
      </c>
      <c r="AJ1146">
        <v>55.346577446483003</v>
      </c>
      <c r="AK1146">
        <v>9.79673514048058</v>
      </c>
    </row>
    <row r="1147" spans="1:37" x14ac:dyDescent="0.2">
      <c r="A1147" t="str">
        <f>"20200111160122803"</f>
        <v>20200111160122803</v>
      </c>
      <c r="B1147" t="str">
        <f>"1578729682792461"</f>
        <v>1578729682792461</v>
      </c>
      <c r="C1147" t="s">
        <v>37</v>
      </c>
      <c r="D1147">
        <v>5.4435180000000001</v>
      </c>
      <c r="E1147">
        <v>0.64146289999999995</v>
      </c>
      <c r="F1147" t="s">
        <v>54</v>
      </c>
      <c r="G1147">
        <v>-200.70670000000001</v>
      </c>
      <c r="H1147">
        <v>7.6116539999999998E-3</v>
      </c>
      <c r="I1147">
        <v>290.79399999999998</v>
      </c>
      <c r="J1147">
        <v>-192.6379</v>
      </c>
      <c r="K1147">
        <v>1.0999669999999999</v>
      </c>
      <c r="L1147">
        <v>296.1377</v>
      </c>
      <c r="M1147">
        <v>-0.36560429999999999</v>
      </c>
      <c r="N1147">
        <v>0</v>
      </c>
      <c r="O1147">
        <v>-0.93073159999999899</v>
      </c>
      <c r="P1147">
        <v>-0.58387990000000001</v>
      </c>
      <c r="Q1147">
        <v>-1.361628E-2</v>
      </c>
      <c r="R1147">
        <v>-0.81172599999999995</v>
      </c>
      <c r="S1147">
        <v>-2.6256409999999999</v>
      </c>
      <c r="T1147">
        <v>-0.34859440000000003</v>
      </c>
      <c r="U1147">
        <v>-1.828033</v>
      </c>
      <c r="V1147">
        <v>0.246614799999999</v>
      </c>
      <c r="W1147">
        <v>-7.6234199999999997E-3</v>
      </c>
      <c r="X1147">
        <v>0.96908359999999905</v>
      </c>
      <c r="Y1147">
        <v>0.549508</v>
      </c>
      <c r="Z1147">
        <v>0.11277709999999901</v>
      </c>
      <c r="AA1147">
        <v>0.82784190000000002</v>
      </c>
      <c r="AB1147">
        <v>23</v>
      </c>
      <c r="AC1147">
        <v>-8.0688000000000102</v>
      </c>
      <c r="AD1147">
        <v>-1.0923553459999999</v>
      </c>
      <c r="AE1147">
        <v>-5.3436999999999504</v>
      </c>
      <c r="AF1147">
        <v>5.4865096538431199</v>
      </c>
      <c r="AG1147">
        <v>-1.0923553459999999</v>
      </c>
      <c r="AH1147">
        <v>7.82414453931578</v>
      </c>
      <c r="AI1147">
        <v>96.5211615588033</v>
      </c>
      <c r="AJ1147">
        <v>54.960783992283801</v>
      </c>
      <c r="AK1147">
        <v>9.6183296967692709</v>
      </c>
    </row>
    <row r="1148" spans="1:37" x14ac:dyDescent="0.2">
      <c r="A1148" t="str">
        <f>"20200111160122826"</f>
        <v>20200111160122826</v>
      </c>
      <c r="B1148" t="str">
        <f>"1578729682821741"</f>
        <v>1578729682821741</v>
      </c>
      <c r="C1148" t="s">
        <v>37</v>
      </c>
      <c r="D1148">
        <v>5.4899639999999996</v>
      </c>
      <c r="E1148">
        <v>0.64013209999999998</v>
      </c>
      <c r="F1148" t="s">
        <v>54</v>
      </c>
      <c r="G1148">
        <v>-200.4949</v>
      </c>
      <c r="H1148" s="1">
        <v>1.8076230000000001E-6</v>
      </c>
      <c r="I1148">
        <v>290.83890000000002</v>
      </c>
      <c r="J1148">
        <v>-192.73570000000001</v>
      </c>
      <c r="K1148">
        <v>1.099866</v>
      </c>
      <c r="L1148">
        <v>295.90780000000001</v>
      </c>
      <c r="M1148">
        <v>-0.37142720000000001</v>
      </c>
      <c r="N1148">
        <v>0</v>
      </c>
      <c r="O1148">
        <v>-0.9284232</v>
      </c>
      <c r="P1148">
        <v>-0.59239799999999998</v>
      </c>
      <c r="Q1148">
        <v>-1.5130970000000001E-2</v>
      </c>
      <c r="R1148">
        <v>-0.80550359999999999</v>
      </c>
      <c r="S1148">
        <v>-2.6473390000000001</v>
      </c>
      <c r="T1148">
        <v>-0.3706219</v>
      </c>
      <c r="U1148">
        <v>-1.7853699999999999</v>
      </c>
      <c r="V1148">
        <v>0.25074400000000002</v>
      </c>
      <c r="W1148">
        <v>-9.2125279999999993E-3</v>
      </c>
      <c r="X1148">
        <v>0.96800959999999903</v>
      </c>
      <c r="Y1148">
        <v>0.55581420000000004</v>
      </c>
      <c r="Z1148">
        <v>0.1201731</v>
      </c>
      <c r="AA1148">
        <v>0.82257459999999905</v>
      </c>
      <c r="AB1148">
        <v>24</v>
      </c>
      <c r="AC1148">
        <v>-7.7591999999999901</v>
      </c>
      <c r="AD1148">
        <v>-1.0998641923770001</v>
      </c>
      <c r="AE1148">
        <v>-5.0688999999999798</v>
      </c>
      <c r="AF1148">
        <v>5.2473879083607198</v>
      </c>
      <c r="AG1148">
        <v>-1.0998641923770001</v>
      </c>
      <c r="AH1148">
        <v>7.4829549347980997</v>
      </c>
      <c r="AI1148">
        <v>96.862111407398203</v>
      </c>
      <c r="AJ1148">
        <v>54.960116839428302</v>
      </c>
      <c r="AK1148">
        <v>9.2054003529831707</v>
      </c>
    </row>
    <row r="1149" spans="1:37" x14ac:dyDescent="0.2">
      <c r="A1149" t="str">
        <f>"20200111160122850"</f>
        <v>20200111160122850</v>
      </c>
      <c r="B1149" t="str">
        <f>"1578729682841770"</f>
        <v>1578729682841770</v>
      </c>
      <c r="C1149" t="s">
        <v>37</v>
      </c>
      <c r="D1149">
        <v>5.6597839999999904</v>
      </c>
      <c r="E1149">
        <v>0.6396155</v>
      </c>
      <c r="F1149" t="s">
        <v>54</v>
      </c>
      <c r="G1149">
        <v>-200.5513</v>
      </c>
      <c r="H1149" s="1">
        <v>1.855888E-6</v>
      </c>
      <c r="I1149">
        <v>290.7208</v>
      </c>
      <c r="J1149">
        <v>-192.8407</v>
      </c>
      <c r="K1149">
        <v>1.0997349999999999</v>
      </c>
      <c r="L1149">
        <v>295.66559999999998</v>
      </c>
      <c r="M1149">
        <v>-0.3777083</v>
      </c>
      <c r="N1149">
        <v>0</v>
      </c>
      <c r="O1149">
        <v>-0.92588510000000002</v>
      </c>
      <c r="P1149">
        <v>-0.6013309</v>
      </c>
      <c r="Q1149">
        <v>-1.551334E-2</v>
      </c>
      <c r="R1149">
        <v>-0.79884980000000005</v>
      </c>
      <c r="S1149">
        <v>-2.6569370000000001</v>
      </c>
      <c r="T1149">
        <v>-0.37390200000000001</v>
      </c>
      <c r="U1149">
        <v>-1.763336</v>
      </c>
      <c r="V1149">
        <v>0.25495899999999999</v>
      </c>
      <c r="W1149">
        <v>-9.6771129999999993E-3</v>
      </c>
      <c r="X1149">
        <v>0.96690339999999997</v>
      </c>
      <c r="Y1149">
        <v>0.55617329999999998</v>
      </c>
      <c r="Z1149">
        <v>0.12132560000000001</v>
      </c>
      <c r="AA1149">
        <v>0.82216259999999997</v>
      </c>
      <c r="AB1149">
        <v>24</v>
      </c>
      <c r="AC1149">
        <v>-7.7105999999999897</v>
      </c>
      <c r="AD1149">
        <v>-1.099733144112</v>
      </c>
      <c r="AE1149">
        <v>-4.9447999999999803</v>
      </c>
      <c r="AF1149">
        <v>5.1967241433396199</v>
      </c>
      <c r="AG1149">
        <v>-1.099733144112</v>
      </c>
      <c r="AH1149">
        <v>7.3845069148452298</v>
      </c>
      <c r="AI1149">
        <v>96.943833733764507</v>
      </c>
      <c r="AJ1149">
        <v>54.864669080437103</v>
      </c>
      <c r="AK1149">
        <v>9.0964991719685404</v>
      </c>
    </row>
    <row r="1150" spans="1:37" x14ac:dyDescent="0.2">
      <c r="A1150" t="str">
        <f>"20200111160122872"</f>
        <v>20200111160122872</v>
      </c>
      <c r="B1150" t="str">
        <f>"1578729682862266"</f>
        <v>1578729682862266</v>
      </c>
      <c r="C1150" t="s">
        <v>37</v>
      </c>
      <c r="D1150">
        <v>5.4272679999999998</v>
      </c>
      <c r="E1150">
        <v>0.62428490000000003</v>
      </c>
      <c r="F1150" t="s">
        <v>54</v>
      </c>
      <c r="G1150">
        <v>-200.66079999999999</v>
      </c>
      <c r="H1150" s="1">
        <v>1.9329639999999998E-6</v>
      </c>
      <c r="I1150">
        <v>290.58620000000002</v>
      </c>
      <c r="J1150">
        <v>-192.93510000000001</v>
      </c>
      <c r="K1150">
        <v>1.0996079999999999</v>
      </c>
      <c r="L1150">
        <v>295.45240000000001</v>
      </c>
      <c r="M1150">
        <v>-0.3834167</v>
      </c>
      <c r="N1150">
        <v>0</v>
      </c>
      <c r="O1150">
        <v>-0.92353549999999995</v>
      </c>
      <c r="P1150">
        <v>-0.61003660000000004</v>
      </c>
      <c r="Q1150">
        <v>-1.541258E-2</v>
      </c>
      <c r="R1150">
        <v>-0.79222389999999998</v>
      </c>
      <c r="S1150">
        <v>-2.6728669999999899</v>
      </c>
      <c r="T1150">
        <v>-0.37588129999999997</v>
      </c>
      <c r="U1150">
        <v>-1.7361150000000001</v>
      </c>
      <c r="V1150">
        <v>0.25956489999999999</v>
      </c>
      <c r="W1150">
        <v>-9.669347E-3</v>
      </c>
      <c r="X1150">
        <v>0.96567729999999996</v>
      </c>
      <c r="Y1150">
        <v>0.55910280000000001</v>
      </c>
      <c r="Z1150">
        <v>0.1220405</v>
      </c>
      <c r="AA1150">
        <v>0.820067199999999</v>
      </c>
      <c r="AB1150">
        <v>24</v>
      </c>
      <c r="AC1150">
        <v>-7.7256999999999802</v>
      </c>
      <c r="AD1150">
        <v>-1.0996060670359999</v>
      </c>
      <c r="AE1150">
        <v>-4.8661999999999903</v>
      </c>
      <c r="AF1150">
        <v>5.1940367822246296</v>
      </c>
      <c r="AG1150">
        <v>-1.0996060670359999</v>
      </c>
      <c r="AH1150">
        <v>7.3499435259669701</v>
      </c>
      <c r="AI1150">
        <v>96.965799071643602</v>
      </c>
      <c r="AJ1150">
        <v>54.752026222381602</v>
      </c>
      <c r="AK1150">
        <v>9.0669080414807706</v>
      </c>
    </row>
    <row r="1151" spans="1:37" x14ac:dyDescent="0.2">
      <c r="A1151" t="str">
        <f>"20200111160122892"</f>
        <v>20200111160122892</v>
      </c>
      <c r="B1151" t="str">
        <f>"1578729682882762"</f>
        <v>1578729682882762</v>
      </c>
      <c r="C1151" t="s">
        <v>37</v>
      </c>
      <c r="D1151">
        <v>5.4277709999999999</v>
      </c>
      <c r="E1151">
        <v>0.62491799999999997</v>
      </c>
      <c r="F1151" t="s">
        <v>54</v>
      </c>
      <c r="G1151">
        <v>-201.13099999999901</v>
      </c>
      <c r="H1151" s="1">
        <v>2.2530669999999998E-6</v>
      </c>
      <c r="I1151">
        <v>289.83080000000001</v>
      </c>
      <c r="J1151">
        <v>-193.0264</v>
      </c>
      <c r="K1151">
        <v>1.0994919999999999</v>
      </c>
      <c r="L1151">
        <v>295.24959999999999</v>
      </c>
      <c r="M1151">
        <v>-0.388974599999999</v>
      </c>
      <c r="N1151">
        <v>0</v>
      </c>
      <c r="O1151">
        <v>-0.92120780000000002</v>
      </c>
      <c r="P1151">
        <v>-0.61841619999999997</v>
      </c>
      <c r="Q1151">
        <v>-1.5746509999999998E-2</v>
      </c>
      <c r="R1151">
        <v>-0.78569309999999903</v>
      </c>
      <c r="S1151">
        <v>-2.5963289999999999</v>
      </c>
      <c r="T1151">
        <v>-0.3483366</v>
      </c>
      <c r="U1151">
        <v>-1.780823</v>
      </c>
      <c r="V1151">
        <v>0.26399539999999999</v>
      </c>
      <c r="W1151">
        <v>-1.00959999999999E-2</v>
      </c>
      <c r="X1151">
        <v>0.96447109999999903</v>
      </c>
      <c r="Y1151">
        <v>0.53405170000000002</v>
      </c>
      <c r="Z1151">
        <v>0.1138009</v>
      </c>
      <c r="AA1151">
        <v>0.8377578</v>
      </c>
      <c r="AB1151">
        <v>24</v>
      </c>
      <c r="AC1151">
        <v>-8.1045999999999694</v>
      </c>
      <c r="AD1151">
        <v>-1.0994897469329901</v>
      </c>
      <c r="AE1151">
        <v>-5.4187999999999699</v>
      </c>
      <c r="AF1151">
        <v>5.2911499070723096</v>
      </c>
      <c r="AG1151">
        <v>-1.0994897469329901</v>
      </c>
      <c r="AH1151">
        <v>8.0423421732100397</v>
      </c>
      <c r="AI1151">
        <v>96.515586488910301</v>
      </c>
      <c r="AJ1151">
        <v>56.658619826221098</v>
      </c>
      <c r="AK1151">
        <v>9.6893969200211192</v>
      </c>
    </row>
    <row r="1152" spans="1:37" x14ac:dyDescent="0.2">
      <c r="A1152" t="str">
        <f>"20200111160122937"</f>
        <v>20200111160122937</v>
      </c>
      <c r="B1152" t="str">
        <f>"1578729682932537"</f>
        <v>1578729682932537</v>
      </c>
      <c r="C1152" t="s">
        <v>37</v>
      </c>
      <c r="D1152">
        <v>5.4288150000000002</v>
      </c>
      <c r="E1152">
        <v>0.62363539999999995</v>
      </c>
      <c r="F1152" t="s">
        <v>54</v>
      </c>
      <c r="G1152">
        <v>-201.26079999999999</v>
      </c>
      <c r="H1152" s="1">
        <v>2.3214419999999998E-6</v>
      </c>
      <c r="I1152">
        <v>289.74900000000002</v>
      </c>
      <c r="J1152">
        <v>-193.23099999999999</v>
      </c>
      <c r="K1152">
        <v>1.0992010000000001</v>
      </c>
      <c r="L1152">
        <v>294.80869999999999</v>
      </c>
      <c r="M1152">
        <v>-0.40157680000000001</v>
      </c>
      <c r="N1152">
        <v>0</v>
      </c>
      <c r="O1152">
        <v>-0.91578349999999897</v>
      </c>
      <c r="P1152">
        <v>-0.63680509999999901</v>
      </c>
      <c r="Q1152">
        <v>-1.653497E-2</v>
      </c>
      <c r="R1152">
        <v>-0.77084759999999997</v>
      </c>
      <c r="S1152">
        <v>-2.6192630000000001</v>
      </c>
      <c r="T1152">
        <v>-0.3497362</v>
      </c>
      <c r="U1152">
        <v>-1.749695</v>
      </c>
      <c r="V1152">
        <v>0.27352650000000001</v>
      </c>
      <c r="W1152">
        <v>-1.1108720000000001E-2</v>
      </c>
      <c r="X1152">
        <v>0.96180030000000005</v>
      </c>
      <c r="Y1152">
        <v>0.53273470000000001</v>
      </c>
      <c r="Z1152">
        <v>0.1139698</v>
      </c>
      <c r="AA1152">
        <v>0.83857299999999901</v>
      </c>
      <c r="AB1152">
        <v>24</v>
      </c>
      <c r="AC1152">
        <v>-8.0297999999999892</v>
      </c>
      <c r="AD1152">
        <v>-1.0991986785579999</v>
      </c>
      <c r="AE1152">
        <v>-5.0596999999999603</v>
      </c>
      <c r="AF1152">
        <v>5.2514652314376304</v>
      </c>
      <c r="AG1152">
        <v>-1.0991986785579999</v>
      </c>
      <c r="AH1152">
        <v>7.7544602277358496</v>
      </c>
      <c r="AI1152">
        <v>96.694112659629894</v>
      </c>
      <c r="AJ1152">
        <v>55.893409409575</v>
      </c>
      <c r="AK1152">
        <v>9.4296223803225097</v>
      </c>
    </row>
    <row r="1153" spans="1:37" x14ac:dyDescent="0.2">
      <c r="A1153" t="str">
        <f>"20200111160122960"</f>
        <v>20200111160122960</v>
      </c>
      <c r="B1153" t="str">
        <f>"1578729682952057"</f>
        <v>1578729682952057</v>
      </c>
      <c r="C1153" t="s">
        <v>37</v>
      </c>
      <c r="D1153">
        <v>5.6194439999999997</v>
      </c>
      <c r="E1153">
        <v>0.59581410000000001</v>
      </c>
      <c r="F1153" t="s">
        <v>54</v>
      </c>
      <c r="G1153">
        <v>-201.36510000000001</v>
      </c>
      <c r="H1153" s="1">
        <v>2.385826E-6</v>
      </c>
      <c r="I1153">
        <v>289.60980000000001</v>
      </c>
      <c r="J1153">
        <v>-193.3391</v>
      </c>
      <c r="K1153">
        <v>1.099045</v>
      </c>
      <c r="L1153">
        <v>294.58240000000001</v>
      </c>
      <c r="M1153">
        <v>-0.408325299999999</v>
      </c>
      <c r="N1153">
        <v>0</v>
      </c>
      <c r="O1153">
        <v>-0.912794199999999</v>
      </c>
      <c r="P1153">
        <v>-0.64673849999999999</v>
      </c>
      <c r="Q1153">
        <v>-1.80184E-2</v>
      </c>
      <c r="R1153">
        <v>-0.76249919999999904</v>
      </c>
      <c r="S1153">
        <v>-2.6508639999999999</v>
      </c>
      <c r="T1153">
        <v>-0.35822329999999902</v>
      </c>
      <c r="U1153">
        <v>-1.694275</v>
      </c>
      <c r="V1153">
        <v>0.27887590000000001</v>
      </c>
      <c r="W1153">
        <v>-1.272478E-2</v>
      </c>
      <c r="X1153">
        <v>0.96024279999999995</v>
      </c>
      <c r="Y1153">
        <v>0.54310939999999996</v>
      </c>
      <c r="Z1153">
        <v>0.11704539999999999</v>
      </c>
      <c r="AA1153">
        <v>0.83146409999999904</v>
      </c>
      <c r="AB1153">
        <v>24</v>
      </c>
      <c r="AC1153">
        <v>-8.0259999999999998</v>
      </c>
      <c r="AD1153">
        <v>-1.099042614174</v>
      </c>
      <c r="AE1153">
        <v>-4.9725999999999999</v>
      </c>
      <c r="AF1153">
        <v>5.2250527434354401</v>
      </c>
      <c r="AG1153">
        <v>-1.099042614174</v>
      </c>
      <c r="AH1153">
        <v>7.7119835265721601</v>
      </c>
      <c r="AI1153">
        <v>96.728754046219095</v>
      </c>
      <c r="AJ1153">
        <v>55.881423513756197</v>
      </c>
      <c r="AK1153">
        <v>9.3799659249686496</v>
      </c>
    </row>
    <row r="1154" spans="1:37" x14ac:dyDescent="0.2">
      <c r="A1154" t="str">
        <f>"20200111160122982"</f>
        <v>20200111160122982</v>
      </c>
      <c r="B1154" t="str">
        <f>"1578729682972553"</f>
        <v>1578729682972553</v>
      </c>
      <c r="C1154" t="s">
        <v>37</v>
      </c>
      <c r="D1154">
        <v>5.484623</v>
      </c>
      <c r="E1154">
        <v>0.61445799999999995</v>
      </c>
      <c r="F1154" t="s">
        <v>58</v>
      </c>
      <c r="G1154">
        <v>-233.30189999999999</v>
      </c>
      <c r="H1154">
        <v>5.8396220000000003</v>
      </c>
      <c r="I1154">
        <v>266.75229999999999</v>
      </c>
      <c r="J1154">
        <v>-193.44319999999999</v>
      </c>
      <c r="K1154">
        <v>1.0988739999999999</v>
      </c>
      <c r="L1154">
        <v>294.3691</v>
      </c>
      <c r="M1154">
        <v>-0.41488149999999901</v>
      </c>
      <c r="N1154">
        <v>0</v>
      </c>
      <c r="O1154">
        <v>-0.90983259999999899</v>
      </c>
      <c r="P1154">
        <v>-0.65608299999999997</v>
      </c>
      <c r="Q1154">
        <v>-2.0062119999999999E-2</v>
      </c>
      <c r="R1154">
        <v>-0.75442219999999904</v>
      </c>
      <c r="S1154">
        <v>-2.5518800000000001</v>
      </c>
      <c r="T1154">
        <v>0.302716599999999</v>
      </c>
      <c r="U1154">
        <v>-1.7771299999999901</v>
      </c>
      <c r="V1154">
        <v>0.28378609999999999</v>
      </c>
      <c r="W1154">
        <v>-1.490232E-2</v>
      </c>
      <c r="X1154">
        <v>0.95877179999999995</v>
      </c>
      <c r="Y1154">
        <v>0.50524239999999998</v>
      </c>
      <c r="Z1154">
        <v>-9.9136909999999995E-2</v>
      </c>
      <c r="AA1154">
        <v>0.85726429999999998</v>
      </c>
      <c r="AB1154">
        <v>24</v>
      </c>
      <c r="AC1154">
        <v>-39.858699999999999</v>
      </c>
      <c r="AD1154">
        <v>4.740748</v>
      </c>
      <c r="AE1154">
        <v>-27.616800000000001</v>
      </c>
      <c r="AF1154">
        <v>24.573142693122801</v>
      </c>
      <c r="AG1154">
        <v>4.740748</v>
      </c>
      <c r="AH1154">
        <v>41.270464085373803</v>
      </c>
      <c r="AI1154">
        <v>84.363196913826997</v>
      </c>
      <c r="AJ1154">
        <v>59.229705314199002</v>
      </c>
      <c r="AK1154">
        <v>48.2655699151912</v>
      </c>
    </row>
    <row r="1155" spans="1:37" x14ac:dyDescent="0.2">
      <c r="A1155" t="str">
        <f>"20200111160123004"</f>
        <v>20200111160123004</v>
      </c>
      <c r="B1155" t="str">
        <f>"1578729683001833"</f>
        <v>1578729683001833</v>
      </c>
      <c r="C1155" t="s">
        <v>37</v>
      </c>
      <c r="D1155">
        <v>5.4188549999999998</v>
      </c>
      <c r="E1155">
        <v>0.61445139999999998</v>
      </c>
      <c r="F1155" t="s">
        <v>54</v>
      </c>
      <c r="G1155">
        <v>-201.54089999999999</v>
      </c>
      <c r="H1155" s="1">
        <v>2.4974099999999999E-6</v>
      </c>
      <c r="I1155">
        <v>289.22500000000002</v>
      </c>
      <c r="J1155">
        <v>-193.55099999999999</v>
      </c>
      <c r="K1155">
        <v>1.0986860000000001</v>
      </c>
      <c r="L1155">
        <v>294.15269999999998</v>
      </c>
      <c r="M1155">
        <v>-0.42177290000000001</v>
      </c>
      <c r="N1155">
        <v>0</v>
      </c>
      <c r="O1155">
        <v>-0.90665830000000003</v>
      </c>
      <c r="P1155">
        <v>-0.66550889999999996</v>
      </c>
      <c r="Q1155">
        <v>-2.2111749999999999E-2</v>
      </c>
      <c r="R1155">
        <v>-0.74606289999999997</v>
      </c>
      <c r="S1155">
        <v>-2.6360929999999998</v>
      </c>
      <c r="T1155">
        <v>-0.35772300000000001</v>
      </c>
      <c r="U1155">
        <v>-1.6745909999999999</v>
      </c>
      <c r="V1155">
        <v>0.28854459999999998</v>
      </c>
      <c r="W1155">
        <v>-1.7106670000000001E-2</v>
      </c>
      <c r="X1155">
        <v>0.95731359999999999</v>
      </c>
      <c r="Y1155">
        <v>0.5329604</v>
      </c>
      <c r="Z1155">
        <v>0.1171801</v>
      </c>
      <c r="AA1155">
        <v>0.83798689999999998</v>
      </c>
      <c r="AB1155">
        <v>24</v>
      </c>
      <c r="AC1155">
        <v>-7.9898999999999996</v>
      </c>
      <c r="AD1155">
        <v>-1.0986835025899999</v>
      </c>
      <c r="AE1155">
        <v>-4.92769999999995</v>
      </c>
      <c r="AF1155">
        <v>5.0961327779632803</v>
      </c>
      <c r="AG1155">
        <v>-1.0986835025899999</v>
      </c>
      <c r="AH1155">
        <v>7.73205433889951</v>
      </c>
      <c r="AI1155">
        <v>96.766117062020896</v>
      </c>
      <c r="AJ1155">
        <v>56.611455145645898</v>
      </c>
      <c r="AK1155">
        <v>9.3253599946162904</v>
      </c>
    </row>
    <row r="1156" spans="1:37" x14ac:dyDescent="0.2">
      <c r="A1156" t="str">
        <f>"20200111160123032"</f>
        <v>20200111160123032</v>
      </c>
      <c r="B1156" t="str">
        <f>"1578729683022331"</f>
        <v>1578729683022331</v>
      </c>
      <c r="C1156" t="s">
        <v>37</v>
      </c>
      <c r="D1156">
        <v>5.3837029999999997</v>
      </c>
      <c r="E1156">
        <v>0.61365099999999995</v>
      </c>
      <c r="F1156" t="s">
        <v>54</v>
      </c>
      <c r="G1156">
        <v>-201.54220000000001</v>
      </c>
      <c r="H1156" s="1">
        <v>2.4988530000000001E-6</v>
      </c>
      <c r="I1156">
        <v>289.21510000000001</v>
      </c>
      <c r="J1156">
        <v>-193.68369999999999</v>
      </c>
      <c r="K1156">
        <v>1.0984129999999901</v>
      </c>
      <c r="L1156">
        <v>293.89260000000002</v>
      </c>
      <c r="M1156">
        <v>-0.4304076</v>
      </c>
      <c r="N1156">
        <v>0</v>
      </c>
      <c r="O1156">
        <v>-0.90259029999999996</v>
      </c>
      <c r="P1156">
        <v>-0.67561919999999898</v>
      </c>
      <c r="Q1156">
        <v>-2.3692970000000001E-2</v>
      </c>
      <c r="R1156">
        <v>-0.73686980000000002</v>
      </c>
      <c r="S1156">
        <v>-2.6559750000000002</v>
      </c>
      <c r="T1156">
        <v>-0.3651605</v>
      </c>
      <c r="U1156">
        <v>-1.6410830000000001</v>
      </c>
      <c r="V1156">
        <v>0.29244709999999902</v>
      </c>
      <c r="W1156">
        <v>-1.8875550000000001E-2</v>
      </c>
      <c r="X1156">
        <v>0.95609539999999904</v>
      </c>
      <c r="Y1156">
        <v>0.5350994</v>
      </c>
      <c r="Z1156">
        <v>0.1195165</v>
      </c>
      <c r="AA1156">
        <v>0.83629200000000004</v>
      </c>
      <c r="AB1156">
        <v>24</v>
      </c>
      <c r="AC1156">
        <v>-7.8585000000000198</v>
      </c>
      <c r="AD1156">
        <v>-1.09841050114699</v>
      </c>
      <c r="AE1156">
        <v>-4.6775000000000002</v>
      </c>
      <c r="AF1156">
        <v>5.00773683349259</v>
      </c>
      <c r="AG1156">
        <v>-1.09841050114699</v>
      </c>
      <c r="AH1156">
        <v>7.49638693683589</v>
      </c>
      <c r="AI1156">
        <v>96.9466939596077</v>
      </c>
      <c r="AJ1156">
        <v>56.256281978423203</v>
      </c>
      <c r="AK1156">
        <v>9.0818363192314902</v>
      </c>
    </row>
    <row r="1157" spans="1:37" x14ac:dyDescent="0.2">
      <c r="A1157" t="str">
        <f>"20200111160123073"</f>
        <v>20200111160123073</v>
      </c>
      <c r="B1157" t="str">
        <f>"1578729683061875"</f>
        <v>1578729683061875</v>
      </c>
      <c r="C1157" t="s">
        <v>37</v>
      </c>
      <c r="D1157">
        <v>5.4188010000000002</v>
      </c>
      <c r="E1157">
        <v>0.61258269999999904</v>
      </c>
      <c r="F1157" t="s">
        <v>54</v>
      </c>
      <c r="G1157">
        <v>-201.62719999999999</v>
      </c>
      <c r="H1157" s="1">
        <v>2.5455E-6</v>
      </c>
      <c r="I1157">
        <v>289.11290000000002</v>
      </c>
      <c r="J1157">
        <v>-193.90090000000001</v>
      </c>
      <c r="K1157">
        <v>1.097944</v>
      </c>
      <c r="L1157">
        <v>293.4821</v>
      </c>
      <c r="M1157">
        <v>-0.44486679999999901</v>
      </c>
      <c r="N1157">
        <v>0</v>
      </c>
      <c r="O1157">
        <v>-0.89555099999999999</v>
      </c>
      <c r="P1157">
        <v>-0.69238869999999997</v>
      </c>
      <c r="Q1157">
        <v>-2.5990800000000001E-2</v>
      </c>
      <c r="R1157">
        <v>-0.721056699999999</v>
      </c>
      <c r="S1157">
        <v>-2.6731259999999999</v>
      </c>
      <c r="T1157">
        <v>-0.36963029999999902</v>
      </c>
      <c r="U1157">
        <v>-1.6084290000000001</v>
      </c>
      <c r="V1157">
        <v>0.29903730000000001</v>
      </c>
      <c r="W1157">
        <v>-2.1508670000000001E-2</v>
      </c>
      <c r="X1157">
        <v>0.95399899999999904</v>
      </c>
      <c r="Y1157">
        <v>0.53127460000000004</v>
      </c>
      <c r="Z1157">
        <v>0.12059729999999901</v>
      </c>
      <c r="AA1157">
        <v>0.83857230000000005</v>
      </c>
      <c r="AB1157">
        <v>24</v>
      </c>
      <c r="AC1157">
        <v>-7.7262999999999797</v>
      </c>
      <c r="AD1157">
        <v>-1.0979414544999999</v>
      </c>
      <c r="AE1157">
        <v>-4.36919999999997</v>
      </c>
      <c r="AF1157">
        <v>4.9008018059751404</v>
      </c>
      <c r="AG1157">
        <v>-1.0979414544999999</v>
      </c>
      <c r="AH1157">
        <v>7.2395467620168397</v>
      </c>
      <c r="AI1157">
        <v>97.158222197636206</v>
      </c>
      <c r="AJ1157">
        <v>55.904015089245597</v>
      </c>
      <c r="AK1157">
        <v>8.8110368912170198</v>
      </c>
    </row>
    <row r="1158" spans="1:37" x14ac:dyDescent="0.2">
      <c r="A1158" t="str">
        <f>"20200111160123118"</f>
        <v>20200111160123118</v>
      </c>
      <c r="B1158" t="str">
        <f>"1578729683112627"</f>
        <v>1578729683112627</v>
      </c>
      <c r="C1158" t="s">
        <v>37</v>
      </c>
      <c r="D1158">
        <v>5.2580019999999896</v>
      </c>
      <c r="E1158">
        <v>0.6220561</v>
      </c>
      <c r="F1158" t="s">
        <v>54</v>
      </c>
      <c r="G1158">
        <v>-201.9144</v>
      </c>
      <c r="H1158" s="1">
        <v>2.6929589999999998E-6</v>
      </c>
      <c r="I1158">
        <v>288.88279999999997</v>
      </c>
      <c r="J1158">
        <v>-194.142</v>
      </c>
      <c r="K1158">
        <v>1.097513</v>
      </c>
      <c r="L1158">
        <v>293.04719999999998</v>
      </c>
      <c r="M1158">
        <v>-0.46120040000000001</v>
      </c>
      <c r="N1158">
        <v>0</v>
      </c>
      <c r="O1158">
        <v>-0.88724879999999995</v>
      </c>
      <c r="P1158">
        <v>-0.70532289999999997</v>
      </c>
      <c r="Q1158">
        <v>-2.953194E-2</v>
      </c>
      <c r="R1158">
        <v>-0.70827099999999998</v>
      </c>
      <c r="S1158">
        <v>-2.703217</v>
      </c>
      <c r="T1158">
        <v>-0.37037109999999901</v>
      </c>
      <c r="U1158">
        <v>-1.5514829999999999</v>
      </c>
      <c r="V1158">
        <v>0.29881069999999998</v>
      </c>
      <c r="W1158">
        <v>-2.5260230000000002E-2</v>
      </c>
      <c r="X1158">
        <v>0.95397809999999905</v>
      </c>
      <c r="Y1158">
        <v>0.533084</v>
      </c>
      <c r="Z1158">
        <v>0.1205956</v>
      </c>
      <c r="AA1158">
        <v>0.83742349999999999</v>
      </c>
      <c r="AB1158">
        <v>24</v>
      </c>
      <c r="AC1158">
        <v>-7.7724000000000002</v>
      </c>
      <c r="AD1158">
        <v>-1.0975103070409999</v>
      </c>
      <c r="AE1158">
        <v>-4.1643999999999997</v>
      </c>
      <c r="AF1158">
        <v>4.8997320976046899</v>
      </c>
      <c r="AG1158">
        <v>-1.0975103070409999</v>
      </c>
      <c r="AH1158">
        <v>7.1687407213063503</v>
      </c>
      <c r="AI1158">
        <v>97.203670744129298</v>
      </c>
      <c r="AJ1158">
        <v>55.647950114691497</v>
      </c>
      <c r="AK1158">
        <v>8.7522995282196998</v>
      </c>
    </row>
    <row r="1159" spans="1:37" x14ac:dyDescent="0.2">
      <c r="A1159" t="str">
        <f>"20200111160123160"</f>
        <v>20200111160123160</v>
      </c>
      <c r="B1159" t="str">
        <f>"1578729683151667"</f>
        <v>1578729683151667</v>
      </c>
      <c r="C1159" t="s">
        <v>37</v>
      </c>
      <c r="D1159">
        <v>5.3422159999999996</v>
      </c>
      <c r="E1159">
        <v>0.61913899999999999</v>
      </c>
      <c r="F1159" t="s">
        <v>54</v>
      </c>
      <c r="G1159">
        <v>-204.76169999999999</v>
      </c>
      <c r="H1159" s="1">
        <v>4.0715540000000001E-6</v>
      </c>
      <c r="I1159">
        <v>287.55680000000001</v>
      </c>
      <c r="J1159">
        <v>-194.37719999999999</v>
      </c>
      <c r="K1159">
        <v>1.0971249999999999</v>
      </c>
      <c r="L1159">
        <v>292.64229999999998</v>
      </c>
      <c r="M1159">
        <v>-0.47740139999999998</v>
      </c>
      <c r="N1159">
        <v>0</v>
      </c>
      <c r="O1159">
        <v>-0.87863670000000005</v>
      </c>
      <c r="P1159">
        <v>-0.71368619999999905</v>
      </c>
      <c r="Q1159">
        <v>-2.9570490000000001E-2</v>
      </c>
      <c r="R1159">
        <v>-0.69984139999999995</v>
      </c>
      <c r="S1159">
        <v>-2.791855</v>
      </c>
      <c r="T1159">
        <v>-0.28852739999999999</v>
      </c>
      <c r="U1159">
        <v>-1.44339</v>
      </c>
      <c r="V1159">
        <v>0.29261159999999897</v>
      </c>
      <c r="W1159">
        <v>-2.5377360000000002E-2</v>
      </c>
      <c r="X1159">
        <v>0.95589460000000004</v>
      </c>
      <c r="Y1159">
        <v>0.55700070000000002</v>
      </c>
      <c r="Z1159">
        <v>9.3699889999999994E-2</v>
      </c>
      <c r="AA1159">
        <v>0.82520939999999998</v>
      </c>
      <c r="AB1159">
        <v>24</v>
      </c>
      <c r="AC1159">
        <v>-10.384499999999999</v>
      </c>
      <c r="AD1159">
        <v>-1.097120928446</v>
      </c>
      <c r="AE1159">
        <v>-5.0854999999999597</v>
      </c>
      <c r="AF1159">
        <v>6.63691338638011</v>
      </c>
      <c r="AG1159">
        <v>-1.097120928446</v>
      </c>
      <c r="AH1159">
        <v>9.3421788642220598</v>
      </c>
      <c r="AI1159">
        <v>95.468672706515903</v>
      </c>
      <c r="AJ1159">
        <v>54.609078290135898</v>
      </c>
      <c r="AK1159">
        <v>11.512106651741099</v>
      </c>
    </row>
    <row r="1160" spans="1:37" x14ac:dyDescent="0.2">
      <c r="A1160" t="str">
        <f>"20200111160123181"</f>
        <v>20200111160123181</v>
      </c>
      <c r="B1160" t="str">
        <f>"1578729683172163"</f>
        <v>1578729683172163</v>
      </c>
      <c r="C1160" t="s">
        <v>37</v>
      </c>
      <c r="D1160">
        <v>5.2452439999999996</v>
      </c>
      <c r="E1160">
        <v>0.6185003</v>
      </c>
      <c r="F1160" t="s">
        <v>54</v>
      </c>
      <c r="G1160">
        <v>-204.56059999999999</v>
      </c>
      <c r="H1160" s="1">
        <v>3.9927930000000001E-6</v>
      </c>
      <c r="I1160">
        <v>287.43729999999999</v>
      </c>
      <c r="J1160">
        <v>-194.50489999999999</v>
      </c>
      <c r="K1160">
        <v>1.096892</v>
      </c>
      <c r="L1160">
        <v>292.43029999999999</v>
      </c>
      <c r="M1160">
        <v>-0.48629609999999901</v>
      </c>
      <c r="N1160">
        <v>0</v>
      </c>
      <c r="O1160">
        <v>-0.87374439999999998</v>
      </c>
      <c r="P1160">
        <v>-0.71908890000000003</v>
      </c>
      <c r="Q1160">
        <v>-2.920176E-2</v>
      </c>
      <c r="R1160">
        <v>-0.69430429999999999</v>
      </c>
      <c r="S1160">
        <v>-2.7917939999999999</v>
      </c>
      <c r="T1160">
        <v>-0.30077789999999999</v>
      </c>
      <c r="U1160">
        <v>-1.426941</v>
      </c>
      <c r="V1160">
        <v>0.29030109999999998</v>
      </c>
      <c r="W1160">
        <v>-2.5076370000000001E-2</v>
      </c>
      <c r="X1160">
        <v>0.95660669999999903</v>
      </c>
      <c r="Y1160">
        <v>0.55204679999999995</v>
      </c>
      <c r="Z1160">
        <v>9.7527520000000006E-2</v>
      </c>
      <c r="AA1160">
        <v>0.82808979999999999</v>
      </c>
      <c r="AB1160">
        <v>24</v>
      </c>
      <c r="AC1160">
        <v>-10.0557</v>
      </c>
      <c r="AD1160">
        <v>-1.096888007207</v>
      </c>
      <c r="AE1160">
        <v>-4.9929999999999897</v>
      </c>
      <c r="AF1160">
        <v>6.29819276652489</v>
      </c>
      <c r="AG1160">
        <v>-1.096888007207</v>
      </c>
      <c r="AH1160">
        <v>9.1655667178309201</v>
      </c>
      <c r="AI1160">
        <v>95.633026554124896</v>
      </c>
      <c r="AJ1160">
        <v>55.504783977540797</v>
      </c>
      <c r="AK1160">
        <v>11.1748829382535</v>
      </c>
    </row>
    <row r="1161" spans="1:37" x14ac:dyDescent="0.2">
      <c r="A1161" t="str">
        <f>"20200111160123228"</f>
        <v>20200111160123228</v>
      </c>
      <c r="B1161" t="str">
        <f>"1578729683221938"</f>
        <v>1578729683221938</v>
      </c>
      <c r="C1161" t="s">
        <v>37</v>
      </c>
      <c r="D1161">
        <v>5.5375370000000004</v>
      </c>
      <c r="E1161">
        <v>0.63579540000000001</v>
      </c>
      <c r="F1161" t="s">
        <v>54</v>
      </c>
      <c r="G1161">
        <v>-204.69380000000001</v>
      </c>
      <c r="H1161" s="1">
        <v>4.0638220000000001E-6</v>
      </c>
      <c r="I1161">
        <v>287.30079999999998</v>
      </c>
      <c r="J1161">
        <v>-194.78039999999999</v>
      </c>
      <c r="K1161">
        <v>1.096312</v>
      </c>
      <c r="L1161">
        <v>291.9907</v>
      </c>
      <c r="M1161">
        <v>-0.50570969999999904</v>
      </c>
      <c r="N1161">
        <v>0</v>
      </c>
      <c r="O1161">
        <v>-0.86265219999999898</v>
      </c>
      <c r="P1161">
        <v>-0.7328498</v>
      </c>
      <c r="Q1161">
        <v>-3.0441820000000001E-2</v>
      </c>
      <c r="R1161">
        <v>-0.67970959999999903</v>
      </c>
      <c r="S1161">
        <v>-2.7991029999999899</v>
      </c>
      <c r="T1161">
        <v>-0.30133720000000003</v>
      </c>
      <c r="U1161">
        <v>-1.4091799999999901</v>
      </c>
      <c r="V1161">
        <v>0.28804350000000001</v>
      </c>
      <c r="W1161">
        <v>-2.6538519999999999E-2</v>
      </c>
      <c r="X1161">
        <v>0.95724949999999998</v>
      </c>
      <c r="Y1161">
        <v>0.53846740000000004</v>
      </c>
      <c r="Z1161">
        <v>9.6828540000000005E-2</v>
      </c>
      <c r="AA1161">
        <v>0.83706460000000005</v>
      </c>
      <c r="AB1161">
        <v>25</v>
      </c>
      <c r="AC1161">
        <v>-9.9134000000000206</v>
      </c>
      <c r="AD1161">
        <v>-1.0963079361779999</v>
      </c>
      <c r="AE1161">
        <v>-4.6899000000000202</v>
      </c>
      <c r="AF1161">
        <v>6.1192124309892701</v>
      </c>
      <c r="AG1161">
        <v>-1.0963079361779999</v>
      </c>
      <c r="AH1161">
        <v>8.9698203280566098</v>
      </c>
      <c r="AI1161">
        <v>95.765335061645203</v>
      </c>
      <c r="AJ1161">
        <v>55.698187227559998</v>
      </c>
      <c r="AK1161">
        <v>10.9134929598235</v>
      </c>
    </row>
    <row r="1162" spans="1:37" x14ac:dyDescent="0.2">
      <c r="A1162" t="str">
        <f>"20200111160123252"</f>
        <v>20200111160123252</v>
      </c>
      <c r="B1162" t="str">
        <f>"1578729683242435"</f>
        <v>1578729683242435</v>
      </c>
      <c r="C1162" t="s">
        <v>37</v>
      </c>
      <c r="D1162">
        <v>8.2480130000000003</v>
      </c>
      <c r="E1162">
        <v>0.63548669999999996</v>
      </c>
      <c r="F1162" t="s">
        <v>54</v>
      </c>
      <c r="G1162">
        <v>-205.23490000000001</v>
      </c>
      <c r="H1162" s="1">
        <v>4.2850319999999997E-6</v>
      </c>
      <c r="I1162">
        <v>287.51499999999999</v>
      </c>
      <c r="J1162">
        <v>-194.9264</v>
      </c>
      <c r="K1162">
        <v>1.096023</v>
      </c>
      <c r="L1162">
        <v>291.7679</v>
      </c>
      <c r="M1162">
        <v>-0.51608880000000001</v>
      </c>
      <c r="N1162">
        <v>0</v>
      </c>
      <c r="O1162">
        <v>-0.85648199999999997</v>
      </c>
      <c r="P1162">
        <v>-0.74114760000000002</v>
      </c>
      <c r="Q1162">
        <v>-3.008831E-2</v>
      </c>
      <c r="R1162">
        <v>-0.67066769999999998</v>
      </c>
      <c r="S1162">
        <v>-2.9210660000000002</v>
      </c>
      <c r="T1162">
        <v>-0.30631700000000001</v>
      </c>
      <c r="U1162">
        <v>-1.2505189999999999</v>
      </c>
      <c r="V1162">
        <v>0.28822959999999997</v>
      </c>
      <c r="W1162">
        <v>-2.6322069999999999E-2</v>
      </c>
      <c r="X1162">
        <v>0.95719949999999998</v>
      </c>
      <c r="Y1162">
        <v>0.57933349999999995</v>
      </c>
      <c r="Z1162">
        <v>9.8122050000000002E-2</v>
      </c>
      <c r="AA1162">
        <v>0.80916299999999997</v>
      </c>
      <c r="AB1162">
        <v>25</v>
      </c>
      <c r="AC1162">
        <v>-10.3085</v>
      </c>
      <c r="AD1162">
        <v>-1.0960187149680001</v>
      </c>
      <c r="AE1162">
        <v>-4.2529000000000101</v>
      </c>
      <c r="AF1162">
        <v>6.5709957635860601</v>
      </c>
      <c r="AG1162">
        <v>-1.0960187149680001</v>
      </c>
      <c r="AH1162">
        <v>8.8772856812233805</v>
      </c>
      <c r="AI1162">
        <v>95.667209789638505</v>
      </c>
      <c r="AJ1162">
        <v>53.491034606015603</v>
      </c>
      <c r="AK1162">
        <v>11.098893792386599</v>
      </c>
    </row>
    <row r="1163" spans="1:37" x14ac:dyDescent="0.2">
      <c r="A1163" t="str">
        <f>"20200111160123274"</f>
        <v>20200111160123274</v>
      </c>
      <c r="B1163" t="str">
        <f>"1578729683261955"</f>
        <v>1578729683261955</v>
      </c>
      <c r="C1163" t="s">
        <v>37</v>
      </c>
      <c r="D1163">
        <v>5.5142329999999999</v>
      </c>
      <c r="E1163">
        <v>0.63534550000000001</v>
      </c>
      <c r="F1163" t="s">
        <v>54</v>
      </c>
      <c r="G1163">
        <v>-205.261</v>
      </c>
      <c r="H1163" s="1">
        <v>4.2993329999999999E-6</v>
      </c>
      <c r="I1163">
        <v>287.48419999999999</v>
      </c>
      <c r="J1163">
        <v>-195.06460000000001</v>
      </c>
      <c r="K1163">
        <v>1.0957589999999999</v>
      </c>
      <c r="L1163">
        <v>291.56299999999999</v>
      </c>
      <c r="M1163">
        <v>-0.52597150000000004</v>
      </c>
      <c r="N1163">
        <v>0</v>
      </c>
      <c r="O1163">
        <v>-0.85044819999999999</v>
      </c>
      <c r="P1163">
        <v>-0.7497606</v>
      </c>
      <c r="Q1163">
        <v>-2.8660970000000001E-2</v>
      </c>
      <c r="R1163">
        <v>-0.66108849999999997</v>
      </c>
      <c r="S1163">
        <v>-2.93446399999999</v>
      </c>
      <c r="T1163">
        <v>-0.31120740000000002</v>
      </c>
      <c r="U1163">
        <v>-1.2163389999999901</v>
      </c>
      <c r="V1163">
        <v>0.28950399999999998</v>
      </c>
      <c r="W1163">
        <v>-2.504553E-2</v>
      </c>
      <c r="X1163">
        <v>0.95684899999999995</v>
      </c>
      <c r="Y1163">
        <v>0.57912209999999997</v>
      </c>
      <c r="Z1163">
        <v>9.9422049999999998E-2</v>
      </c>
      <c r="AA1163">
        <v>0.80915559999999997</v>
      </c>
      <c r="AB1163">
        <v>25</v>
      </c>
      <c r="AC1163">
        <v>-10.196399999999899</v>
      </c>
      <c r="AD1163">
        <v>-1.0957547006669901</v>
      </c>
      <c r="AE1163">
        <v>-4.0788000000000002</v>
      </c>
      <c r="AF1163">
        <v>6.4621425983355403</v>
      </c>
      <c r="AG1163">
        <v>-1.0957547006669901</v>
      </c>
      <c r="AH1163">
        <v>8.7451660365900405</v>
      </c>
      <c r="AI1163">
        <v>95.754336363173607</v>
      </c>
      <c r="AJ1163">
        <v>53.537866500603499</v>
      </c>
      <c r="AK1163">
        <v>10.9287645382625</v>
      </c>
    </row>
    <row r="1164" spans="1:37" x14ac:dyDescent="0.2">
      <c r="A1164" t="str">
        <f>"20200111160123295"</f>
        <v>20200111160123295</v>
      </c>
      <c r="B1164" t="str">
        <f>"1578729683292211"</f>
        <v>1578729683292211</v>
      </c>
      <c r="C1164" t="s">
        <v>37</v>
      </c>
      <c r="D1164">
        <v>5.5104309999999996</v>
      </c>
      <c r="E1164">
        <v>0.63443240000000001</v>
      </c>
      <c r="F1164" t="s">
        <v>54</v>
      </c>
      <c r="G1164">
        <v>-205.62970000000001</v>
      </c>
      <c r="H1164" s="1">
        <v>4.4755039999999999E-6</v>
      </c>
      <c r="I1164">
        <v>287.339</v>
      </c>
      <c r="J1164">
        <v>-195.2</v>
      </c>
      <c r="K1164">
        <v>1.0955189999999999</v>
      </c>
      <c r="L1164">
        <v>291.36739999999998</v>
      </c>
      <c r="M1164">
        <v>-0.53566959999999997</v>
      </c>
      <c r="N1164">
        <v>0</v>
      </c>
      <c r="O1164">
        <v>-0.84437240000000002</v>
      </c>
      <c r="P1164">
        <v>-0.75855459999999997</v>
      </c>
      <c r="Q1164">
        <v>-2.780314E-2</v>
      </c>
      <c r="R1164">
        <v>-0.65101640000000005</v>
      </c>
      <c r="S1164">
        <v>-2.949738</v>
      </c>
      <c r="T1164">
        <v>-0.30593029999999999</v>
      </c>
      <c r="U1164">
        <v>-1.1793209999999901</v>
      </c>
      <c r="V1164">
        <v>0.29136119999999999</v>
      </c>
      <c r="W1164">
        <v>-2.4338800000000001E-2</v>
      </c>
      <c r="X1164">
        <v>0.95630339999999903</v>
      </c>
      <c r="Y1164">
        <v>0.58020569999999905</v>
      </c>
      <c r="Z1164">
        <v>9.7497029999999998E-2</v>
      </c>
      <c r="AA1164">
        <v>0.80861340000000004</v>
      </c>
      <c r="AB1164">
        <v>25</v>
      </c>
      <c r="AC1164">
        <v>-10.4297</v>
      </c>
      <c r="AD1164">
        <v>-1.0955145244960001</v>
      </c>
      <c r="AE1164">
        <v>-4.0283999999999702</v>
      </c>
      <c r="AF1164">
        <v>6.5857419127761396</v>
      </c>
      <c r="AG1164">
        <v>-1.0955145244960001</v>
      </c>
      <c r="AH1164">
        <v>8.90328465475325</v>
      </c>
      <c r="AI1164">
        <v>95.649541117677003</v>
      </c>
      <c r="AJ1164">
        <v>53.509740991505801</v>
      </c>
      <c r="AK1164">
        <v>11.128370332561801</v>
      </c>
    </row>
    <row r="1165" spans="1:37" x14ac:dyDescent="0.2">
      <c r="A1165" t="str">
        <f>"20200111160123319"</f>
        <v>20200111160123319</v>
      </c>
      <c r="B1165" t="str">
        <f>"1578729683311732"</f>
        <v>1578729683311732</v>
      </c>
      <c r="C1165" t="s">
        <v>37</v>
      </c>
      <c r="D1165">
        <v>5.5225839999999904</v>
      </c>
      <c r="E1165">
        <v>0.633683</v>
      </c>
      <c r="F1165" t="s">
        <v>54</v>
      </c>
      <c r="G1165">
        <v>-205.66059999999999</v>
      </c>
      <c r="H1165" s="1">
        <v>4.4908289999999996E-6</v>
      </c>
      <c r="I1165">
        <v>287.32040000000001</v>
      </c>
      <c r="J1165">
        <v>-195.36259999999999</v>
      </c>
      <c r="K1165">
        <v>1.0952440000000001</v>
      </c>
      <c r="L1165">
        <v>291.13959999999997</v>
      </c>
      <c r="M1165">
        <v>-0.54731569999999996</v>
      </c>
      <c r="N1165">
        <v>0</v>
      </c>
      <c r="O1165">
        <v>-0.83686970000000005</v>
      </c>
      <c r="P1165">
        <v>-0.76902700000000002</v>
      </c>
      <c r="Q1165">
        <v>-2.7677899999999998E-2</v>
      </c>
      <c r="R1165">
        <v>-0.63861699999999999</v>
      </c>
      <c r="S1165">
        <v>-2.96050999999999</v>
      </c>
      <c r="T1165">
        <v>-0.31004870000000001</v>
      </c>
      <c r="U1165">
        <v>-1.145386</v>
      </c>
      <c r="V1165">
        <v>0.29362579999999999</v>
      </c>
      <c r="W1165">
        <v>-2.4386700000000001E-2</v>
      </c>
      <c r="X1165">
        <v>0.95560929999999999</v>
      </c>
      <c r="Y1165">
        <v>0.57788059999999997</v>
      </c>
      <c r="Z1165">
        <v>9.8427399999999901E-2</v>
      </c>
      <c r="AA1165">
        <v>0.8101642</v>
      </c>
      <c r="AB1165">
        <v>25</v>
      </c>
      <c r="AC1165">
        <v>-10.298</v>
      </c>
      <c r="AD1165">
        <v>-1.0952395091710001</v>
      </c>
      <c r="AE1165">
        <v>-3.81919999999996</v>
      </c>
      <c r="AF1165">
        <v>6.4638112458743899</v>
      </c>
      <c r="AG1165">
        <v>-1.0952395091710001</v>
      </c>
      <c r="AH1165">
        <v>8.7458820397352799</v>
      </c>
      <c r="AI1165">
        <v>95.750825509324898</v>
      </c>
      <c r="AJ1165">
        <v>53.533037992041798</v>
      </c>
      <c r="AK1165">
        <v>10.930272551849001</v>
      </c>
    </row>
    <row r="1166" spans="1:37" x14ac:dyDescent="0.2">
      <c r="A1166" t="str">
        <f>"20200111160123363"</f>
        <v>20200111160123363</v>
      </c>
      <c r="B1166" t="str">
        <f>"1578729683351747"</f>
        <v>1578729683351747</v>
      </c>
      <c r="C1166" t="s">
        <v>37</v>
      </c>
      <c r="D1166">
        <v>5.5425219999999999</v>
      </c>
      <c r="E1166">
        <v>0.63212349999999995</v>
      </c>
      <c r="F1166" t="s">
        <v>54</v>
      </c>
      <c r="G1166">
        <v>-205.8947</v>
      </c>
      <c r="H1166" s="1">
        <v>4.6016479999999998E-6</v>
      </c>
      <c r="I1166">
        <v>287.24029999999999</v>
      </c>
      <c r="J1166">
        <v>-195.65559999999999</v>
      </c>
      <c r="K1166">
        <v>1.094765</v>
      </c>
      <c r="L1166">
        <v>290.74669999999998</v>
      </c>
      <c r="M1166">
        <v>-0.56824019999999897</v>
      </c>
      <c r="N1166">
        <v>0</v>
      </c>
      <c r="O1166">
        <v>-0.82280330000000002</v>
      </c>
      <c r="P1166">
        <v>-0.78682079999999999</v>
      </c>
      <c r="Q1166">
        <v>-2.911064E-2</v>
      </c>
      <c r="R1166">
        <v>-0.61649480000000001</v>
      </c>
      <c r="S1166">
        <v>-2.9751889999999999</v>
      </c>
      <c r="T1166">
        <v>-0.30939240000000001</v>
      </c>
      <c r="U1166">
        <v>-1.1015010000000001</v>
      </c>
      <c r="V1166">
        <v>0.29660049999999999</v>
      </c>
      <c r="W1166">
        <v>-2.6095179999999999E-2</v>
      </c>
      <c r="X1166">
        <v>0.95464499999999997</v>
      </c>
      <c r="Y1166">
        <v>0.56921540000000004</v>
      </c>
      <c r="Z1166">
        <v>9.7240660000000007E-2</v>
      </c>
      <c r="AA1166">
        <v>0.81641779999999997</v>
      </c>
      <c r="AB1166">
        <v>25</v>
      </c>
      <c r="AC1166">
        <v>-10.239100000000001</v>
      </c>
      <c r="AD1166">
        <v>-1.094760398352</v>
      </c>
      <c r="AE1166">
        <v>-3.5063999999999802</v>
      </c>
      <c r="AF1166">
        <v>6.3674514529658897</v>
      </c>
      <c r="AG1166">
        <v>-1.094760398352</v>
      </c>
      <c r="AH1166">
        <v>8.6156174628337805</v>
      </c>
      <c r="AI1166">
        <v>95.834671207525901</v>
      </c>
      <c r="AJ1166">
        <v>53.533404727467897</v>
      </c>
      <c r="AK1166">
        <v>10.7690205033495</v>
      </c>
    </row>
    <row r="1167" spans="1:37" x14ac:dyDescent="0.2">
      <c r="A1167" t="str">
        <f>"20200111160123384"</f>
        <v>20200111160123384</v>
      </c>
      <c r="B1167" t="str">
        <f>"1578729683372243"</f>
        <v>1578729683372243</v>
      </c>
      <c r="C1167" t="s">
        <v>37</v>
      </c>
      <c r="D1167">
        <v>5.5161470000000001</v>
      </c>
      <c r="E1167">
        <v>0.6311426</v>
      </c>
      <c r="F1167" t="s">
        <v>54</v>
      </c>
      <c r="G1167">
        <v>-206.01660000000001</v>
      </c>
      <c r="H1167" s="1">
        <v>4.6589850000000004E-6</v>
      </c>
      <c r="I1167">
        <v>287.20269999999999</v>
      </c>
      <c r="J1167">
        <v>-195.8066</v>
      </c>
      <c r="K1167">
        <v>1.094535</v>
      </c>
      <c r="L1167">
        <v>290.55270000000002</v>
      </c>
      <c r="M1167">
        <v>-0.57895459999999999</v>
      </c>
      <c r="N1167">
        <v>0</v>
      </c>
      <c r="O1167">
        <v>-0.81529890000000005</v>
      </c>
      <c r="P1167">
        <v>-0.79394919999999902</v>
      </c>
      <c r="Q1167">
        <v>-2.974794E-2</v>
      </c>
      <c r="R1167">
        <v>-0.60725589999999996</v>
      </c>
      <c r="S1167">
        <v>-2.997681</v>
      </c>
      <c r="T1167">
        <v>-0.31673979999999902</v>
      </c>
      <c r="U1167">
        <v>-1.02536</v>
      </c>
      <c r="V1167">
        <v>0.2952244</v>
      </c>
      <c r="W1167">
        <v>-2.679397E-2</v>
      </c>
      <c r="X1167">
        <v>0.95505209999999996</v>
      </c>
      <c r="Y1167">
        <v>0.57859289999999997</v>
      </c>
      <c r="Z1167">
        <v>9.9626779999999998E-2</v>
      </c>
      <c r="AA1167">
        <v>0.80950900000000003</v>
      </c>
      <c r="AB1167">
        <v>25</v>
      </c>
      <c r="AC1167">
        <v>-10.210000000000001</v>
      </c>
      <c r="AD1167">
        <v>-1.094530341015</v>
      </c>
      <c r="AE1167">
        <v>-3.3500000000000201</v>
      </c>
      <c r="AF1167">
        <v>6.3194547795657297</v>
      </c>
      <c r="AG1167">
        <v>-1.094530341015</v>
      </c>
      <c r="AH1167">
        <v>8.5540561913403099</v>
      </c>
      <c r="AI1167">
        <v>95.875957481777306</v>
      </c>
      <c r="AJ1167">
        <v>53.544232835469899</v>
      </c>
      <c r="AK1167">
        <v>10.691369542906299</v>
      </c>
    </row>
    <row r="1168" spans="1:37" x14ac:dyDescent="0.2">
      <c r="A1168" t="str">
        <f>"20200111160123429"</f>
        <v>20200111160123429</v>
      </c>
      <c r="B1168" t="str">
        <f>"1578729683422018"</f>
        <v>1578729683422018</v>
      </c>
      <c r="C1168" t="s">
        <v>37</v>
      </c>
      <c r="D1168">
        <v>5.6677799999999996</v>
      </c>
      <c r="E1168">
        <v>0.62962379999999996</v>
      </c>
      <c r="F1168" t="s">
        <v>54</v>
      </c>
      <c r="G1168">
        <v>-206.10929999999999</v>
      </c>
      <c r="H1168" s="1">
        <v>4.7058790000000002E-6</v>
      </c>
      <c r="I1168">
        <v>287.13639999999998</v>
      </c>
      <c r="J1168">
        <v>-196.13480000000001</v>
      </c>
      <c r="K1168">
        <v>1.094061</v>
      </c>
      <c r="L1168">
        <v>290.14949999999999</v>
      </c>
      <c r="M1168">
        <v>-0.60200430000000005</v>
      </c>
      <c r="N1168">
        <v>0</v>
      </c>
      <c r="O1168">
        <v>-0.79842869999999899</v>
      </c>
      <c r="P1168">
        <v>-0.80632760000000003</v>
      </c>
      <c r="Q1168">
        <v>-3.4122960000000001E-2</v>
      </c>
      <c r="R1168">
        <v>-0.59048440000000002</v>
      </c>
      <c r="S1168">
        <v>-3.0046080000000002</v>
      </c>
      <c r="T1168">
        <v>-0.3192025</v>
      </c>
      <c r="U1168">
        <v>-0.99630739999999995</v>
      </c>
      <c r="V1168">
        <v>0.28768509999999903</v>
      </c>
      <c r="W1168">
        <v>-3.115921E-2</v>
      </c>
      <c r="X1168">
        <v>0.95721809999999996</v>
      </c>
      <c r="Y1168">
        <v>0.56287569999999998</v>
      </c>
      <c r="Z1168">
        <v>9.8893579999999995E-2</v>
      </c>
      <c r="AA1168">
        <v>0.82060409999999995</v>
      </c>
      <c r="AB1168">
        <v>25</v>
      </c>
      <c r="AC1168">
        <v>-9.9744999999999706</v>
      </c>
      <c r="AD1168">
        <v>-1.0940562941209999</v>
      </c>
      <c r="AE1168">
        <v>-3.0131000000000001</v>
      </c>
      <c r="AF1168">
        <v>6.0832758529563797</v>
      </c>
      <c r="AG1168">
        <v>-1.0940562941209999</v>
      </c>
      <c r="AH1168">
        <v>8.3191509892719893</v>
      </c>
      <c r="AI1168">
        <v>96.059640769364904</v>
      </c>
      <c r="AJ1168">
        <v>53.824325548908199</v>
      </c>
      <c r="AK1168">
        <v>10.363950861528201</v>
      </c>
    </row>
    <row r="1169" spans="1:37" x14ac:dyDescent="0.2">
      <c r="A1169" t="str">
        <f>"20200111160123475"</f>
        <v>20200111160123475</v>
      </c>
      <c r="B1169" t="str">
        <f>"1578729683471795"</f>
        <v>1578729683471795</v>
      </c>
      <c r="C1169" t="s">
        <v>37</v>
      </c>
      <c r="D1169">
        <v>5.4790539999999996</v>
      </c>
      <c r="E1169">
        <v>0.62950309999999998</v>
      </c>
      <c r="F1169" t="s">
        <v>54</v>
      </c>
      <c r="G1169">
        <v>-206.29769999999999</v>
      </c>
      <c r="H1169" s="1">
        <v>4.8029600000000002E-6</v>
      </c>
      <c r="I1169">
        <v>286.98180000000002</v>
      </c>
      <c r="J1169">
        <v>-196.47970000000001</v>
      </c>
      <c r="K1169">
        <v>1.093628</v>
      </c>
      <c r="L1169">
        <v>289.75310000000002</v>
      </c>
      <c r="M1169">
        <v>-0.62575459999999905</v>
      </c>
      <c r="N1169">
        <v>0</v>
      </c>
      <c r="O1169">
        <v>-0.77995179999999997</v>
      </c>
      <c r="P1169">
        <v>-0.82020079999999995</v>
      </c>
      <c r="Q1169">
        <v>-3.2550089999999997E-2</v>
      </c>
      <c r="R1169">
        <v>-0.57114919999999902</v>
      </c>
      <c r="S1169">
        <v>-3.017944</v>
      </c>
      <c r="T1169">
        <v>-0.32488859999999897</v>
      </c>
      <c r="U1169">
        <v>-0.9406738</v>
      </c>
      <c r="V1169">
        <v>0.28169260000000002</v>
      </c>
      <c r="W1169">
        <v>-2.9566200000000001E-2</v>
      </c>
      <c r="X1169">
        <v>0.95904909999999999</v>
      </c>
      <c r="Y1169">
        <v>0.55271939999999997</v>
      </c>
      <c r="Z1169">
        <v>9.9216620000000005E-2</v>
      </c>
      <c r="AA1169">
        <v>0.82744030000000002</v>
      </c>
      <c r="AB1169">
        <v>25</v>
      </c>
      <c r="AC1169">
        <v>-9.8179999999999801</v>
      </c>
      <c r="AD1169">
        <v>-1.0936231970400001</v>
      </c>
      <c r="AE1169">
        <v>-2.7712999999999899</v>
      </c>
      <c r="AF1169">
        <v>5.85642594329431</v>
      </c>
      <c r="AG1169">
        <v>-1.0936231970400001</v>
      </c>
      <c r="AH1169">
        <v>8.2112173506962307</v>
      </c>
      <c r="AI1169">
        <v>96.188562881196603</v>
      </c>
      <c r="AJ1169">
        <v>54.5026753704268</v>
      </c>
      <c r="AK1169">
        <v>10.144842379592101</v>
      </c>
    </row>
    <row r="1170" spans="1:37" x14ac:dyDescent="0.2">
      <c r="A1170" t="str">
        <f>"20200111160123563"</f>
        <v>20200111160123563</v>
      </c>
      <c r="B1170" t="str">
        <f>"1578729683551827"</f>
        <v>1578729683551827</v>
      </c>
      <c r="C1170" t="s">
        <v>37</v>
      </c>
      <c r="D1170">
        <v>5.5518450000000001</v>
      </c>
      <c r="E1170">
        <v>0.62896319999999994</v>
      </c>
      <c r="F1170" t="s">
        <v>54</v>
      </c>
      <c r="G1170">
        <v>-207.2893</v>
      </c>
      <c r="H1170" s="1">
        <v>5.2701749999999999E-6</v>
      </c>
      <c r="I1170">
        <v>286.66730000000001</v>
      </c>
      <c r="J1170">
        <v>-197.18960000000001</v>
      </c>
      <c r="K1170">
        <v>1.092938</v>
      </c>
      <c r="L1170">
        <v>289.0111</v>
      </c>
      <c r="M1170">
        <v>-0.6723789</v>
      </c>
      <c r="N1170">
        <v>0</v>
      </c>
      <c r="O1170">
        <v>-0.74013079999999998</v>
      </c>
      <c r="P1170">
        <v>-0.8604155</v>
      </c>
      <c r="Q1170">
        <v>-3.3311449999999999E-2</v>
      </c>
      <c r="R1170">
        <v>-0.50850359999999994</v>
      </c>
      <c r="S1170">
        <v>-3.040924</v>
      </c>
      <c r="T1170">
        <v>-0.30765529999999902</v>
      </c>
      <c r="U1170">
        <v>-0.86810299999999996</v>
      </c>
      <c r="V1170">
        <v>0.29422500000000001</v>
      </c>
      <c r="W1170">
        <v>-3.0832869999999998E-2</v>
      </c>
      <c r="X1170">
        <v>0.955238699999999</v>
      </c>
      <c r="Y1170">
        <v>0.52215080000000003</v>
      </c>
      <c r="Z1170">
        <v>9.0177259999999995E-2</v>
      </c>
      <c r="AA1170">
        <v>0.8480723</v>
      </c>
      <c r="AB1170">
        <v>25</v>
      </c>
      <c r="AC1170">
        <v>-10.099699999999901</v>
      </c>
      <c r="AD1170">
        <v>-1.092932729825</v>
      </c>
      <c r="AE1170">
        <v>-2.3437999999999799</v>
      </c>
      <c r="AF1170">
        <v>5.8346762842714304</v>
      </c>
      <c r="AG1170">
        <v>-1.092932729825</v>
      </c>
      <c r="AH1170">
        <v>8.4323261939779908</v>
      </c>
      <c r="AI1170">
        <v>96.083869859474703</v>
      </c>
      <c r="AJ1170">
        <v>55.3190329339062</v>
      </c>
      <c r="AK1170">
        <v>10.312229358184799</v>
      </c>
    </row>
    <row r="1171" spans="1:37" x14ac:dyDescent="0.2">
      <c r="A1171" t="str">
        <f>"20200111160123586"</f>
        <v>20200111160123586</v>
      </c>
      <c r="B1171" t="str">
        <f>"1578729683582083"</f>
        <v>1578729683582083</v>
      </c>
      <c r="C1171" t="s">
        <v>37</v>
      </c>
      <c r="D1171">
        <v>5.4956370000000003</v>
      </c>
      <c r="E1171">
        <v>0.62794700000000003</v>
      </c>
      <c r="F1171" t="s">
        <v>54</v>
      </c>
      <c r="G1171">
        <v>-207.6317</v>
      </c>
      <c r="H1171" s="1">
        <v>5.4075689999999999E-6</v>
      </c>
      <c r="I1171">
        <v>286.83280000000002</v>
      </c>
      <c r="J1171">
        <v>-197.38229999999999</v>
      </c>
      <c r="K1171">
        <v>1.092827</v>
      </c>
      <c r="L1171">
        <v>288.82499999999999</v>
      </c>
      <c r="M1171">
        <v>-0.68438719999999997</v>
      </c>
      <c r="N1171">
        <v>0</v>
      </c>
      <c r="O1171">
        <v>-0.72903980000000002</v>
      </c>
      <c r="P1171">
        <v>-0.87038329999999997</v>
      </c>
      <c r="Q1171">
        <v>-3.4312269999999999E-2</v>
      </c>
      <c r="R1171">
        <v>-0.491177999999999</v>
      </c>
      <c r="S1171">
        <v>-3.0928499999999999</v>
      </c>
      <c r="T1171">
        <v>-0.32371490000000003</v>
      </c>
      <c r="U1171">
        <v>-0.64520259999999996</v>
      </c>
      <c r="V1171">
        <v>0.29766679999999901</v>
      </c>
      <c r="W1171">
        <v>-3.1934120000000003E-2</v>
      </c>
      <c r="X1171">
        <v>0.95413549999999903</v>
      </c>
      <c r="Y1171">
        <v>0.56810119999999997</v>
      </c>
      <c r="Z1171">
        <v>9.6262319999999998E-2</v>
      </c>
      <c r="AA1171">
        <v>0.81730939999999996</v>
      </c>
      <c r="AB1171">
        <v>25</v>
      </c>
      <c r="AC1171">
        <v>-10.2494</v>
      </c>
      <c r="AD1171">
        <v>-1.0928215924310001</v>
      </c>
      <c r="AE1171">
        <v>-1.99219999999996</v>
      </c>
      <c r="AF1171">
        <v>6.0429381254592904</v>
      </c>
      <c r="AG1171">
        <v>-1.0928215924310001</v>
      </c>
      <c r="AH1171">
        <v>8.3756864964366091</v>
      </c>
      <c r="AI1171">
        <v>96.0400337417516</v>
      </c>
      <c r="AJ1171">
        <v>54.190089955780302</v>
      </c>
      <c r="AK1171">
        <v>10.385734663835899</v>
      </c>
    </row>
    <row r="1172" spans="1:37" x14ac:dyDescent="0.2">
      <c r="A1172" t="str">
        <f>"20200111160123628"</f>
        <v>20200111160123628</v>
      </c>
      <c r="B1172" t="str">
        <f>"1578729683622099"</f>
        <v>1578729683622099</v>
      </c>
      <c r="C1172" t="s">
        <v>37</v>
      </c>
      <c r="D1172">
        <v>5.3679999999999897</v>
      </c>
      <c r="E1172">
        <v>0.62689790000000001</v>
      </c>
      <c r="F1172" t="s">
        <v>54</v>
      </c>
      <c r="G1172">
        <v>-207.79730000000001</v>
      </c>
      <c r="H1172" s="1">
        <v>5.4801149999999996E-6</v>
      </c>
      <c r="I1172">
        <v>286.84300000000002</v>
      </c>
      <c r="J1172">
        <v>-197.75059999999999</v>
      </c>
      <c r="K1172">
        <v>1.0926439999999999</v>
      </c>
      <c r="L1172">
        <v>288.48599999999999</v>
      </c>
      <c r="M1172">
        <v>-0.70648239999999995</v>
      </c>
      <c r="N1172">
        <v>0</v>
      </c>
      <c r="O1172">
        <v>-0.70764689999999997</v>
      </c>
      <c r="P1172">
        <v>-0.88560459999999996</v>
      </c>
      <c r="Q1172">
        <v>-3.7351599999999999E-2</v>
      </c>
      <c r="R1172">
        <v>-0.46293580000000001</v>
      </c>
      <c r="S1172">
        <v>-3.1009060000000002</v>
      </c>
      <c r="T1172">
        <v>-0.32536929999999997</v>
      </c>
      <c r="U1172">
        <v>-0.59011840000000004</v>
      </c>
      <c r="V1172">
        <v>0.29882920000000002</v>
      </c>
      <c r="W1172">
        <v>-3.4967999999999999E-2</v>
      </c>
      <c r="X1172">
        <v>0.95366569999999995</v>
      </c>
      <c r="Y1172">
        <v>0.5572743</v>
      </c>
      <c r="Z1172">
        <v>9.4833920000000002E-2</v>
      </c>
      <c r="AA1172">
        <v>0.82489509999999899</v>
      </c>
      <c r="AB1172">
        <v>25</v>
      </c>
      <c r="AC1172">
        <v>-10.0467</v>
      </c>
      <c r="AD1172">
        <v>-1.0926385198849999</v>
      </c>
      <c r="AE1172">
        <v>-1.64299999999997</v>
      </c>
      <c r="AF1172">
        <v>5.8813659722020599</v>
      </c>
      <c r="AG1172">
        <v>-1.0926385198849999</v>
      </c>
      <c r="AH1172">
        <v>8.1668892822568893</v>
      </c>
      <c r="AI1172">
        <v>96.196141424324196</v>
      </c>
      <c r="AJ1172">
        <v>54.240542367690502</v>
      </c>
      <c r="AK1172">
        <v>10.123359382277901</v>
      </c>
    </row>
    <row r="1173" spans="1:37" x14ac:dyDescent="0.2">
      <c r="A1173" t="str">
        <f>"20200111160123654"</f>
        <v>20200111160123654</v>
      </c>
      <c r="B1173" t="str">
        <f>"1578729683641619"</f>
        <v>1578729683641619</v>
      </c>
      <c r="C1173" t="s">
        <v>37</v>
      </c>
      <c r="D1173">
        <v>5.204542</v>
      </c>
      <c r="E1173">
        <v>0.62642799999999998</v>
      </c>
      <c r="F1173" t="s">
        <v>54</v>
      </c>
      <c r="G1173">
        <v>-207.7037</v>
      </c>
      <c r="H1173" s="1">
        <v>5.4346130000000002E-6</v>
      </c>
      <c r="I1173">
        <v>286.88850000000002</v>
      </c>
      <c r="J1173">
        <v>-197.96510000000001</v>
      </c>
      <c r="K1173">
        <v>1.0925549999999999</v>
      </c>
      <c r="L1173">
        <v>288.29840000000002</v>
      </c>
      <c r="M1173">
        <v>-0.71882000000000001</v>
      </c>
      <c r="N1173">
        <v>0</v>
      </c>
      <c r="O1173">
        <v>-0.6951098</v>
      </c>
      <c r="P1173">
        <v>-0.89153139999999997</v>
      </c>
      <c r="Q1173">
        <v>-4.0504360000000003E-2</v>
      </c>
      <c r="R1173">
        <v>-0.451144499999999</v>
      </c>
      <c r="S1173">
        <v>-3.1120000000000001</v>
      </c>
      <c r="T1173">
        <v>-0.34163109999999902</v>
      </c>
      <c r="U1173">
        <v>-0.49948120000000001</v>
      </c>
      <c r="V1173">
        <v>0.29452430000000002</v>
      </c>
      <c r="W1173">
        <v>-3.7958159999999998E-2</v>
      </c>
      <c r="X1173">
        <v>0.95488980000000001</v>
      </c>
      <c r="Y1173">
        <v>0.56591619999999998</v>
      </c>
      <c r="Z1173">
        <v>9.9197399999999894E-2</v>
      </c>
      <c r="AA1173">
        <v>0.81847349999999996</v>
      </c>
      <c r="AB1173">
        <v>25</v>
      </c>
      <c r="AC1173">
        <v>-9.7385999999999893</v>
      </c>
      <c r="AD1173">
        <v>-1.0925495653870001</v>
      </c>
      <c r="AE1173">
        <v>-1.4098999999999899</v>
      </c>
      <c r="AF1173">
        <v>5.6861805622683601</v>
      </c>
      <c r="AG1173">
        <v>-1.0925495653870001</v>
      </c>
      <c r="AH1173">
        <v>7.8836286163178704</v>
      </c>
      <c r="AI1173">
        <v>96.413057359759605</v>
      </c>
      <c r="AJ1173">
        <v>54.198430566090501</v>
      </c>
      <c r="AK1173">
        <v>9.7815087844141804</v>
      </c>
    </row>
    <row r="1174" spans="1:37" x14ac:dyDescent="0.2">
      <c r="A1174" t="str">
        <f>"20200111160123674"</f>
        <v>20200111160123674</v>
      </c>
      <c r="B1174" t="str">
        <f>"1578729683662115"</f>
        <v>1578729683662115</v>
      </c>
      <c r="C1174" t="s">
        <v>37</v>
      </c>
      <c r="D1174">
        <v>5.2383419999999896</v>
      </c>
      <c r="E1174">
        <v>0.62603940000000002</v>
      </c>
      <c r="F1174" t="s">
        <v>54</v>
      </c>
      <c r="G1174">
        <v>-207.80119999999999</v>
      </c>
      <c r="H1174" s="1">
        <v>5.4818449999999902E-6</v>
      </c>
      <c r="I1174">
        <v>286.84309999999999</v>
      </c>
      <c r="J1174">
        <v>-198.15620000000001</v>
      </c>
      <c r="K1174">
        <v>1.0924879999999999</v>
      </c>
      <c r="L1174">
        <v>288.13659999999999</v>
      </c>
      <c r="M1174">
        <v>-0.72948780000000002</v>
      </c>
      <c r="N1174">
        <v>0</v>
      </c>
      <c r="O1174">
        <v>-0.68390479999999998</v>
      </c>
      <c r="P1174">
        <v>-0.89516090000000004</v>
      </c>
      <c r="Q1174">
        <v>-4.3407889999999998E-2</v>
      </c>
      <c r="R1174">
        <v>-0.44362449999999998</v>
      </c>
      <c r="S1174">
        <v>-3.1159669999999999</v>
      </c>
      <c r="T1174">
        <v>-0.34610770000000002</v>
      </c>
      <c r="U1174">
        <v>-0.46102910000000002</v>
      </c>
      <c r="V1174">
        <v>0.28761179999999997</v>
      </c>
      <c r="W1174">
        <v>-4.0623850000000003E-2</v>
      </c>
      <c r="X1174">
        <v>0.95688519999999899</v>
      </c>
      <c r="Y1174">
        <v>0.56311889999999998</v>
      </c>
      <c r="Z1174">
        <v>9.954201E-2</v>
      </c>
      <c r="AA1174">
        <v>0.82035879999999906</v>
      </c>
      <c r="AB1174">
        <v>26</v>
      </c>
      <c r="AC1174">
        <v>-9.64499999999998</v>
      </c>
      <c r="AD1174">
        <v>-1.092482518155</v>
      </c>
      <c r="AE1174">
        <v>-1.2934999999999901</v>
      </c>
      <c r="AF1174">
        <v>5.5826539043661496</v>
      </c>
      <c r="AG1174">
        <v>-1.092482518155</v>
      </c>
      <c r="AH1174">
        <v>7.82243482698411</v>
      </c>
      <c r="AI1174">
        <v>96.485492706486994</v>
      </c>
      <c r="AJ1174">
        <v>54.485606926708101</v>
      </c>
      <c r="AK1174">
        <v>9.6721264099898399</v>
      </c>
    </row>
    <row r="1175" spans="1:37" x14ac:dyDescent="0.2">
      <c r="A1175" t="str">
        <f>"20200111160123699"</f>
        <v>20200111160123699</v>
      </c>
      <c r="B1175" t="str">
        <f>"1578729683692371"</f>
        <v>1578729683692371</v>
      </c>
      <c r="C1175" t="s">
        <v>37</v>
      </c>
      <c r="D1175">
        <v>5.2311879999999897</v>
      </c>
      <c r="E1175">
        <v>0.62531759999999903</v>
      </c>
      <c r="F1175" t="s">
        <v>54</v>
      </c>
      <c r="G1175">
        <v>-207.95740000000001</v>
      </c>
      <c r="H1175" s="1">
        <v>5.558124E-6</v>
      </c>
      <c r="I1175">
        <v>286.76249999999999</v>
      </c>
      <c r="J1175">
        <v>-198.37479999999999</v>
      </c>
      <c r="K1175">
        <v>1.092422</v>
      </c>
      <c r="L1175">
        <v>287.95760000000001</v>
      </c>
      <c r="M1175">
        <v>-0.7413189</v>
      </c>
      <c r="N1175">
        <v>0</v>
      </c>
      <c r="O1175">
        <v>-0.67106109999999997</v>
      </c>
      <c r="P1175">
        <v>-0.8986828</v>
      </c>
      <c r="Q1175">
        <v>-4.5461099999999997E-2</v>
      </c>
      <c r="R1175">
        <v>-0.43623709999999999</v>
      </c>
      <c r="S1175">
        <v>-3.117874</v>
      </c>
      <c r="T1175">
        <v>-0.34753309999999998</v>
      </c>
      <c r="U1175">
        <v>-0.43710329999999997</v>
      </c>
      <c r="V1175">
        <v>0.27865129999999999</v>
      </c>
      <c r="W1175">
        <v>-4.2372979999999998E-2</v>
      </c>
      <c r="X1175">
        <v>0.95945720000000001</v>
      </c>
      <c r="Y1175">
        <v>0.5549982</v>
      </c>
      <c r="Z1175">
        <v>9.855179E-2</v>
      </c>
      <c r="AA1175">
        <v>0.82599310000000004</v>
      </c>
      <c r="AB1175">
        <v>26</v>
      </c>
      <c r="AC1175">
        <v>-9.58260000000001</v>
      </c>
      <c r="AD1175">
        <v>-1.0924164418760001</v>
      </c>
      <c r="AE1175">
        <v>-1.19510000000002</v>
      </c>
      <c r="AF1175">
        <v>5.4748404028079101</v>
      </c>
      <c r="AG1175">
        <v>-1.0924164418760001</v>
      </c>
      <c r="AH1175">
        <v>7.8063376318606199</v>
      </c>
      <c r="AI1175">
        <v>96.535951735070398</v>
      </c>
      <c r="AJ1175">
        <v>54.956762116413302</v>
      </c>
      <c r="AK1175">
        <v>9.5971953372483902</v>
      </c>
    </row>
    <row r="1176" spans="1:37" x14ac:dyDescent="0.2">
      <c r="A1176" t="str">
        <f>"20200111160123720"</f>
        <v>20200111160123720</v>
      </c>
      <c r="B1176" t="str">
        <f>"1578729683711891"</f>
        <v>1578729683711891</v>
      </c>
      <c r="C1176" t="s">
        <v>37</v>
      </c>
      <c r="D1176">
        <v>5.2712430000000001</v>
      </c>
      <c r="E1176">
        <v>0.61090429999999996</v>
      </c>
      <c r="F1176" t="s">
        <v>54</v>
      </c>
      <c r="G1176">
        <v>-208.31309999999999</v>
      </c>
      <c r="H1176" s="1">
        <v>5.7273420000000001E-6</v>
      </c>
      <c r="I1176">
        <v>286.63130000000001</v>
      </c>
      <c r="J1176">
        <v>-198.57820000000001</v>
      </c>
      <c r="K1176">
        <v>1.092381</v>
      </c>
      <c r="L1176">
        <v>287.79649999999998</v>
      </c>
      <c r="M1176">
        <v>-0.75198609999999999</v>
      </c>
      <c r="N1176">
        <v>0</v>
      </c>
      <c r="O1176">
        <v>-0.65908440000000001</v>
      </c>
      <c r="P1176">
        <v>-0.90032489999999998</v>
      </c>
      <c r="Q1176">
        <v>-4.7991499999999999E-2</v>
      </c>
      <c r="R1176">
        <v>-0.43256440000000002</v>
      </c>
      <c r="S1176">
        <v>-3.1188660000000001</v>
      </c>
      <c r="T1176">
        <v>-0.34282509999999999</v>
      </c>
      <c r="U1176">
        <v>-0.41619869999999998</v>
      </c>
      <c r="V1176">
        <v>0.26701229999999998</v>
      </c>
      <c r="W1176">
        <v>-4.452275E-2</v>
      </c>
      <c r="X1176">
        <v>0.96266409999999902</v>
      </c>
      <c r="Y1176">
        <v>0.54742009999999997</v>
      </c>
      <c r="Z1176">
        <v>9.5930290000000001E-2</v>
      </c>
      <c r="AA1176">
        <v>0.83134140000000001</v>
      </c>
      <c r="AB1176">
        <v>26</v>
      </c>
      <c r="AC1176">
        <v>-9.7348999999999801</v>
      </c>
      <c r="AD1176">
        <v>-1.0923752726580001</v>
      </c>
      <c r="AE1176">
        <v>-1.16519999999997</v>
      </c>
      <c r="AF1176">
        <v>5.4723198441779104</v>
      </c>
      <c r="AG1176">
        <v>-1.0923752726580001</v>
      </c>
      <c r="AH1176">
        <v>7.9897955028984597</v>
      </c>
      <c r="AI1176">
        <v>96.435766396769907</v>
      </c>
      <c r="AJ1176">
        <v>55.592224930560903</v>
      </c>
      <c r="AK1176">
        <v>9.7455836352388001</v>
      </c>
    </row>
    <row r="1177" spans="1:37" x14ac:dyDescent="0.2">
      <c r="A1177" t="str">
        <f>"20200111160123788"</f>
        <v>20200111160123788</v>
      </c>
      <c r="B1177" t="str">
        <f>"1578729683782163"</f>
        <v>1578729683782163</v>
      </c>
      <c r="C1177" t="s">
        <v>37</v>
      </c>
      <c r="D1177">
        <v>5.2581020000000001</v>
      </c>
      <c r="E1177">
        <v>0.61217529999999998</v>
      </c>
      <c r="F1177" t="s">
        <v>57</v>
      </c>
      <c r="G1177">
        <v>-215.88929999999999</v>
      </c>
      <c r="H1177" s="1">
        <v>1.5971979999999899E-6</v>
      </c>
      <c r="I1177">
        <v>284.98379999999997</v>
      </c>
      <c r="J1177">
        <v>-199.22929999999999</v>
      </c>
      <c r="K1177">
        <v>1.0922670000000001</v>
      </c>
      <c r="L1177">
        <v>287.31420000000003</v>
      </c>
      <c r="M1177">
        <v>-0.78402510000000003</v>
      </c>
      <c r="N1177">
        <v>0</v>
      </c>
      <c r="O1177">
        <v>-0.62062629999999996</v>
      </c>
      <c r="P1177">
        <v>-0.90850589999999998</v>
      </c>
      <c r="Q1177">
        <v>-5.2799140000000001E-2</v>
      </c>
      <c r="R1177">
        <v>-0.41452359999999999</v>
      </c>
      <c r="S1177">
        <v>-3.0812529999999998</v>
      </c>
      <c r="T1177">
        <v>-0.19443559999999999</v>
      </c>
      <c r="U1177">
        <v>-0.50064090000000006</v>
      </c>
      <c r="V1177">
        <v>0.23762339999999901</v>
      </c>
      <c r="W1177">
        <v>-4.8368540000000002E-2</v>
      </c>
      <c r="X1177">
        <v>0.97015239999999903</v>
      </c>
      <c r="Y1177">
        <v>0.48493819999999999</v>
      </c>
      <c r="Z1177">
        <v>5.1238300000000001E-2</v>
      </c>
      <c r="AA1177">
        <v>0.87304609999999905</v>
      </c>
      <c r="AB1177">
        <v>26</v>
      </c>
      <c r="AC1177">
        <v>-16.659999999999901</v>
      </c>
      <c r="AD1177">
        <v>-1.092265402802</v>
      </c>
      <c r="AE1177">
        <v>-2.3304000000000502</v>
      </c>
      <c r="AF1177">
        <v>8.4773456936781493</v>
      </c>
      <c r="AG1177">
        <v>-1.092265402802</v>
      </c>
      <c r="AH1177">
        <v>14.448179526577601</v>
      </c>
      <c r="AI1177">
        <v>93.730618249452206</v>
      </c>
      <c r="AJ1177">
        <v>59.598085068309899</v>
      </c>
      <c r="AK1177">
        <v>16.787147624075399</v>
      </c>
    </row>
    <row r="1178" spans="1:37" x14ac:dyDescent="0.2">
      <c r="A1178" t="str">
        <f>"20200111160123831"</f>
        <v>20200111160123831</v>
      </c>
      <c r="B1178" t="str">
        <f>"1578729683822178"</f>
        <v>1578729683822178</v>
      </c>
      <c r="C1178" t="s">
        <v>37</v>
      </c>
      <c r="D1178">
        <v>5.2092660000000004</v>
      </c>
      <c r="E1178">
        <v>0.61342180000000002</v>
      </c>
      <c r="F1178" t="s">
        <v>57</v>
      </c>
      <c r="G1178">
        <v>-216.44130000000001</v>
      </c>
      <c r="H1178" s="1">
        <v>1.890939E-6</v>
      </c>
      <c r="I1178">
        <v>284.92559999999997</v>
      </c>
      <c r="J1178">
        <v>-199.64</v>
      </c>
      <c r="K1178">
        <v>1.09222</v>
      </c>
      <c r="L1178">
        <v>287.0351</v>
      </c>
      <c r="M1178">
        <v>-0.802670199999999</v>
      </c>
      <c r="N1178">
        <v>0</v>
      </c>
      <c r="O1178">
        <v>-0.59631509999999999</v>
      </c>
      <c r="P1178">
        <v>-0.91648090000000004</v>
      </c>
      <c r="Q1178">
        <v>-4.762243E-2</v>
      </c>
      <c r="R1178">
        <v>-0.39723459999999899</v>
      </c>
      <c r="S1178">
        <v>-3.094757</v>
      </c>
      <c r="T1178">
        <v>-0.19639210000000001</v>
      </c>
      <c r="U1178">
        <v>-0.42947390000000002</v>
      </c>
      <c r="V1178">
        <v>0.22658299999999901</v>
      </c>
      <c r="W1178">
        <v>-4.282089E-2</v>
      </c>
      <c r="X1178">
        <v>0.97305010000000003</v>
      </c>
      <c r="Y1178">
        <v>0.47840199999999999</v>
      </c>
      <c r="Z1178">
        <v>5.0284500000000003E-2</v>
      </c>
      <c r="AA1178">
        <v>0.87670000000000003</v>
      </c>
      <c r="AB1178">
        <v>26</v>
      </c>
      <c r="AC1178">
        <v>-16.801300000000001</v>
      </c>
      <c r="AD1178">
        <v>-1.0922181090609999</v>
      </c>
      <c r="AE1178">
        <v>-2.1095000000000201</v>
      </c>
      <c r="AF1178">
        <v>8.2916754594031108</v>
      </c>
      <c r="AG1178">
        <v>-1.0922181090609999</v>
      </c>
      <c r="AH1178">
        <v>14.683688792318399</v>
      </c>
      <c r="AI1178">
        <v>93.705864714279301</v>
      </c>
      <c r="AJ1178">
        <v>60.547185187761301</v>
      </c>
      <c r="AK1178">
        <v>16.898388647190099</v>
      </c>
    </row>
    <row r="1179" spans="1:37" x14ac:dyDescent="0.2">
      <c r="A1179" t="str">
        <f>"20200111160123854"</f>
        <v>20200111160123854</v>
      </c>
      <c r="B1179" t="str">
        <f>"1578729683841699"</f>
        <v>1578729683841699</v>
      </c>
      <c r="C1179" t="s">
        <v>37</v>
      </c>
      <c r="D1179">
        <v>5.2675359999999998</v>
      </c>
      <c r="E1179">
        <v>0.61321649999999905</v>
      </c>
      <c r="F1179" t="s">
        <v>57</v>
      </c>
      <c r="G1179">
        <v>-220.86670000000001</v>
      </c>
      <c r="H1179" s="1">
        <v>-1.0755900000000001E-6</v>
      </c>
      <c r="I1179">
        <v>284.57229999999998</v>
      </c>
      <c r="J1179">
        <v>-199.8691</v>
      </c>
      <c r="K1179">
        <v>1.092198</v>
      </c>
      <c r="L1179">
        <v>286.88740000000001</v>
      </c>
      <c r="M1179">
        <v>-0.81258069999999905</v>
      </c>
      <c r="N1179">
        <v>0</v>
      </c>
      <c r="O1179">
        <v>-0.58273710000000001</v>
      </c>
      <c r="P1179">
        <v>-0.92189030000000005</v>
      </c>
      <c r="Q1179">
        <v>-4.3085060000000001E-2</v>
      </c>
      <c r="R1179">
        <v>-0.38504850000000002</v>
      </c>
      <c r="S1179">
        <v>-3.108765</v>
      </c>
      <c r="T1179">
        <v>-0.1599621</v>
      </c>
      <c r="U1179">
        <v>-0.36068729999999999</v>
      </c>
      <c r="V1179">
        <v>0.22338139999999901</v>
      </c>
      <c r="W1179">
        <v>-3.8169149999999999E-2</v>
      </c>
      <c r="X1179">
        <v>0.973983499999999</v>
      </c>
      <c r="Y1179">
        <v>0.48394470000000001</v>
      </c>
      <c r="Z1179">
        <v>4.0479290000000001E-2</v>
      </c>
      <c r="AA1179">
        <v>0.87416190000000005</v>
      </c>
      <c r="AB1179">
        <v>26</v>
      </c>
      <c r="AC1179">
        <v>-20.997599999999998</v>
      </c>
      <c r="AD1179">
        <v>-1.09219907559</v>
      </c>
      <c r="AE1179">
        <v>-2.3151000000000201</v>
      </c>
      <c r="AF1179">
        <v>10.3279407751804</v>
      </c>
      <c r="AG1179">
        <v>-1.09219907559</v>
      </c>
      <c r="AH1179">
        <v>18.3634492331358</v>
      </c>
      <c r="AI1179">
        <v>92.967575459715306</v>
      </c>
      <c r="AJ1179">
        <v>60.645800449187497</v>
      </c>
      <c r="AK1179">
        <v>21.096813200441201</v>
      </c>
    </row>
    <row r="1180" spans="1:37" x14ac:dyDescent="0.2">
      <c r="A1180" t="str">
        <f>"20200111160123875"</f>
        <v>20200111160123875</v>
      </c>
      <c r="B1180" t="str">
        <f>"1578729683871955"</f>
        <v>1578729683871955</v>
      </c>
      <c r="C1180" t="s">
        <v>37</v>
      </c>
      <c r="D1180">
        <v>5.2640089999999997</v>
      </c>
      <c r="E1180">
        <v>0.61256809999999995</v>
      </c>
      <c r="F1180" t="s">
        <v>57</v>
      </c>
      <c r="G1180">
        <v>-223.86949999999999</v>
      </c>
      <c r="H1180" s="1">
        <v>5.2235200000000002E-7</v>
      </c>
      <c r="I1180">
        <v>284.41379999999998</v>
      </c>
      <c r="J1180">
        <v>-200.08539999999999</v>
      </c>
      <c r="K1180">
        <v>1.0921959999999999</v>
      </c>
      <c r="L1180">
        <v>286.7527</v>
      </c>
      <c r="M1180">
        <v>-0.82163199999999903</v>
      </c>
      <c r="N1180">
        <v>0</v>
      </c>
      <c r="O1180">
        <v>-0.56990410000000002</v>
      </c>
      <c r="P1180">
        <v>-0.92740020000000001</v>
      </c>
      <c r="Q1180">
        <v>-3.7276950000000003E-2</v>
      </c>
      <c r="R1180">
        <v>-0.37220969999999998</v>
      </c>
      <c r="S1180">
        <v>-3.113556</v>
      </c>
      <c r="T1180">
        <v>-0.1416905</v>
      </c>
      <c r="U1180">
        <v>-0.32089229999999902</v>
      </c>
      <c r="V1180">
        <v>0.22191420000000001</v>
      </c>
      <c r="W1180">
        <v>-3.2301219999999999E-2</v>
      </c>
      <c r="X1180">
        <v>0.97453109999999998</v>
      </c>
      <c r="Y1180">
        <v>0.48169440000000002</v>
      </c>
      <c r="Z1180">
        <v>3.5330279999999999E-2</v>
      </c>
      <c r="AA1180">
        <v>0.87562680000000004</v>
      </c>
      <c r="AB1180">
        <v>26</v>
      </c>
      <c r="AC1180">
        <v>-23.784099999999899</v>
      </c>
      <c r="AD1180">
        <v>-1.0921954776479901</v>
      </c>
      <c r="AE1180">
        <v>-2.3389000000000202</v>
      </c>
      <c r="AF1180">
        <v>11.6094511707616</v>
      </c>
      <c r="AG1180">
        <v>-1.0921954776479901</v>
      </c>
      <c r="AH1180">
        <v>20.832575000121299</v>
      </c>
      <c r="AI1180">
        <v>92.622099769663606</v>
      </c>
      <c r="AJ1180">
        <v>60.870215366342201</v>
      </c>
      <c r="AK1180">
        <v>23.8740115729086</v>
      </c>
    </row>
    <row r="1181" spans="1:37" x14ac:dyDescent="0.2">
      <c r="A1181" t="str">
        <f>"20200111160123899"</f>
        <v>20200111160123899</v>
      </c>
      <c r="B1181" t="str">
        <f>"1578729683892450"</f>
        <v>1578729683892450</v>
      </c>
      <c r="C1181" t="s">
        <v>37</v>
      </c>
      <c r="D1181">
        <v>5.2749110000000003</v>
      </c>
      <c r="E1181">
        <v>0.61166540000000003</v>
      </c>
      <c r="F1181" t="s">
        <v>57</v>
      </c>
      <c r="G1181">
        <v>-227.86369999999999</v>
      </c>
      <c r="H1181" s="1">
        <v>2.647866E-6</v>
      </c>
      <c r="I1181">
        <v>284.23700000000002</v>
      </c>
      <c r="J1181">
        <v>-200.3287</v>
      </c>
      <c r="K1181">
        <v>1.0921909999999999</v>
      </c>
      <c r="L1181">
        <v>286.60680000000002</v>
      </c>
      <c r="M1181">
        <v>-0.83146350000000002</v>
      </c>
      <c r="N1181">
        <v>0</v>
      </c>
      <c r="O1181">
        <v>-0.55546130000000005</v>
      </c>
      <c r="P1181">
        <v>-0.93383459999999996</v>
      </c>
      <c r="Q1181">
        <v>-3.1490160000000003E-2</v>
      </c>
      <c r="R1181">
        <v>-0.35631699999999999</v>
      </c>
      <c r="S1181">
        <v>-3.116638</v>
      </c>
      <c r="T1181">
        <v>-0.1225411</v>
      </c>
      <c r="U1181">
        <v>-0.28225709999999998</v>
      </c>
      <c r="V1181">
        <v>0.22180839999999999</v>
      </c>
      <c r="W1181">
        <v>-2.649752E-2</v>
      </c>
      <c r="X1181">
        <v>0.97473019999999999</v>
      </c>
      <c r="Y1181">
        <v>0.47749160000000002</v>
      </c>
      <c r="Z1181">
        <v>3.0016419999999999E-2</v>
      </c>
      <c r="AA1181">
        <v>0.87812349999999995</v>
      </c>
      <c r="AB1181">
        <v>26</v>
      </c>
      <c r="AC1181">
        <v>-27.535</v>
      </c>
      <c r="AD1181">
        <v>-1.0921883521339999</v>
      </c>
      <c r="AE1181">
        <v>-2.3697999999999899</v>
      </c>
      <c r="AF1181">
        <v>13.304320375164799</v>
      </c>
      <c r="AG1181">
        <v>-1.0921883521339999</v>
      </c>
      <c r="AH1181">
        <v>24.1745126737475</v>
      </c>
      <c r="AI1181">
        <v>92.266645850917797</v>
      </c>
      <c r="AJ1181">
        <v>61.174035513146897</v>
      </c>
      <c r="AK1181">
        <v>27.6153015383635</v>
      </c>
    </row>
    <row r="1182" spans="1:37" x14ac:dyDescent="0.2">
      <c r="A1182" t="str">
        <f>"20200111160123921"</f>
        <v>20200111160123921</v>
      </c>
      <c r="B1182" t="str">
        <f>"1578729683911971"</f>
        <v>1578729683911971</v>
      </c>
      <c r="C1182" t="s">
        <v>37</v>
      </c>
      <c r="D1182">
        <v>5.2832600000000003</v>
      </c>
      <c r="E1182">
        <v>0.6033731</v>
      </c>
      <c r="F1182" t="s">
        <v>57</v>
      </c>
      <c r="G1182">
        <v>-230.93450000000001</v>
      </c>
      <c r="H1182" s="1">
        <v>-1.025196E-6</v>
      </c>
      <c r="I1182">
        <v>284.28960000000001</v>
      </c>
      <c r="J1182">
        <v>-200.5557</v>
      </c>
      <c r="K1182">
        <v>1.0921860000000001</v>
      </c>
      <c r="L1182">
        <v>286.47559999999999</v>
      </c>
      <c r="M1182">
        <v>-0.84032340000000005</v>
      </c>
      <c r="N1182">
        <v>0</v>
      </c>
      <c r="O1182">
        <v>-0.54196420000000001</v>
      </c>
      <c r="P1182">
        <v>-0.94035820000000003</v>
      </c>
      <c r="Q1182">
        <v>-2.5667140000000001E-2</v>
      </c>
      <c r="R1182">
        <v>-0.33921659999999998</v>
      </c>
      <c r="S1182">
        <v>-3.1187290000000001</v>
      </c>
      <c r="T1182">
        <v>-0.111294</v>
      </c>
      <c r="U1182">
        <v>-0.2361145</v>
      </c>
      <c r="V1182">
        <v>0.2241129</v>
      </c>
      <c r="W1182">
        <v>-2.0734249999999999E-2</v>
      </c>
      <c r="X1182">
        <v>0.97434259999999995</v>
      </c>
      <c r="Y1182">
        <v>0.4764024</v>
      </c>
      <c r="Z1182">
        <v>2.685885E-2</v>
      </c>
      <c r="AA1182">
        <v>0.87881699999999996</v>
      </c>
      <c r="AB1182">
        <v>26</v>
      </c>
      <c r="AC1182">
        <v>-30.378799999999998</v>
      </c>
      <c r="AD1182">
        <v>-1.092187025196</v>
      </c>
      <c r="AE1182">
        <v>-2.1859999999999702</v>
      </c>
      <c r="AF1182">
        <v>14.6094497095948</v>
      </c>
      <c r="AG1182">
        <v>-1.092187025196</v>
      </c>
      <c r="AH1182">
        <v>26.680197029290099</v>
      </c>
      <c r="AI1182">
        <v>92.056359897138293</v>
      </c>
      <c r="AJ1182">
        <v>61.295921560444498</v>
      </c>
      <c r="AK1182">
        <v>30.437835120732998</v>
      </c>
    </row>
    <row r="1183" spans="1:37" x14ac:dyDescent="0.2">
      <c r="A1183" t="str">
        <f>"20200111160123943"</f>
        <v>20200111160123943</v>
      </c>
      <c r="B1183" t="str">
        <f>"1578729683932467"</f>
        <v>1578729683932467</v>
      </c>
      <c r="C1183" t="s">
        <v>37</v>
      </c>
      <c r="D1183">
        <v>5.2515939999999999</v>
      </c>
      <c r="E1183">
        <v>0.60284859999999996</v>
      </c>
      <c r="F1183" t="s">
        <v>57</v>
      </c>
      <c r="G1183">
        <v>-224.92570000000001</v>
      </c>
      <c r="H1183" s="1">
        <v>1.0844360000000001E-6</v>
      </c>
      <c r="I1183">
        <v>284.55799999999999</v>
      </c>
      <c r="J1183">
        <v>-200.7834</v>
      </c>
      <c r="K1183">
        <v>1.092176</v>
      </c>
      <c r="L1183">
        <v>286.34870000000001</v>
      </c>
      <c r="M1183">
        <v>-0.84891099999999997</v>
      </c>
      <c r="N1183">
        <v>0</v>
      </c>
      <c r="O1183">
        <v>-0.52841099999999996</v>
      </c>
      <c r="P1183">
        <v>-0.94650939999999995</v>
      </c>
      <c r="Q1183">
        <v>-2.1001269999999999E-2</v>
      </c>
      <c r="R1183">
        <v>-0.32199329999999998</v>
      </c>
      <c r="S1183">
        <v>-3.098541</v>
      </c>
      <c r="T1183">
        <v>-0.1388665</v>
      </c>
      <c r="U1183">
        <v>-0.24380489999999999</v>
      </c>
      <c r="V1183">
        <v>0.2264552</v>
      </c>
      <c r="W1183">
        <v>-1.6132509999999999E-2</v>
      </c>
      <c r="X1183">
        <v>0.97388799999999898</v>
      </c>
      <c r="Y1183">
        <v>0.45929120000000001</v>
      </c>
      <c r="Z1183">
        <v>3.281966E-2</v>
      </c>
      <c r="AA1183">
        <v>0.88767929999999995</v>
      </c>
      <c r="AB1183">
        <v>26</v>
      </c>
      <c r="AC1183">
        <v>-24.142299999999999</v>
      </c>
      <c r="AD1183">
        <v>-1.0921749155639999</v>
      </c>
      <c r="AE1183">
        <v>-1.79070000000001</v>
      </c>
      <c r="AF1183">
        <v>11.214826895433299</v>
      </c>
      <c r="AG1183">
        <v>-1.0921749155639999</v>
      </c>
      <c r="AH1183">
        <v>21.398749620998899</v>
      </c>
      <c r="AI1183">
        <v>92.588405240677403</v>
      </c>
      <c r="AJ1183">
        <v>62.341507912160303</v>
      </c>
      <c r="AK1183">
        <v>24.184120279285001</v>
      </c>
    </row>
    <row r="1184" spans="1:37" x14ac:dyDescent="0.2">
      <c r="A1184" t="str">
        <f>"20200111160123964"</f>
        <v>20200111160123964</v>
      </c>
      <c r="B1184" t="str">
        <f>"1578729683961746"</f>
        <v>1578729683961746</v>
      </c>
      <c r="C1184" t="s">
        <v>37</v>
      </c>
      <c r="D1184">
        <v>5.3344629999999897</v>
      </c>
      <c r="E1184">
        <v>0.60834869999999996</v>
      </c>
      <c r="F1184" t="s">
        <v>57</v>
      </c>
      <c r="G1184">
        <v>-226.95570000000001</v>
      </c>
      <c r="H1184" s="1">
        <v>2.164676E-6</v>
      </c>
      <c r="I1184">
        <v>284.73349999999999</v>
      </c>
      <c r="J1184">
        <v>-201.01089999999999</v>
      </c>
      <c r="K1184">
        <v>1.092155</v>
      </c>
      <c r="L1184">
        <v>286.22669999999999</v>
      </c>
      <c r="M1184">
        <v>-0.85719539999999905</v>
      </c>
      <c r="N1184">
        <v>0</v>
      </c>
      <c r="O1184">
        <v>-0.51486229999999999</v>
      </c>
      <c r="P1184">
        <v>-0.95179020000000003</v>
      </c>
      <c r="Q1184">
        <v>-1.9024200000000002E-2</v>
      </c>
      <c r="R1184">
        <v>-0.30615920000000002</v>
      </c>
      <c r="S1184">
        <v>-3.1015320000000002</v>
      </c>
      <c r="T1184">
        <v>-0.12942770000000001</v>
      </c>
      <c r="U1184">
        <v>-0.191406299999999</v>
      </c>
      <c r="V1184">
        <v>0.22730990000000001</v>
      </c>
      <c r="W1184">
        <v>-1.417759E-2</v>
      </c>
      <c r="X1184">
        <v>0.97371919999999901</v>
      </c>
      <c r="Y1184">
        <v>0.46031059999999901</v>
      </c>
      <c r="Z1184">
        <v>3.0139369999999999E-2</v>
      </c>
      <c r="AA1184">
        <v>0.88724609999999904</v>
      </c>
      <c r="AB1184">
        <v>26</v>
      </c>
      <c r="AC1184">
        <v>-25.944800000000001</v>
      </c>
      <c r="AD1184">
        <v>-1.092152835324</v>
      </c>
      <c r="AE1184">
        <v>-1.4932000000000001</v>
      </c>
      <c r="AF1184">
        <v>12.0575420954584</v>
      </c>
      <c r="AG1184">
        <v>-1.092152835324</v>
      </c>
      <c r="AH1184">
        <v>22.9695163516744</v>
      </c>
      <c r="AI1184">
        <v>92.410724697916194</v>
      </c>
      <c r="AJ1184">
        <v>62.303370475974397</v>
      </c>
      <c r="AK1184">
        <v>25.964895544355599</v>
      </c>
    </row>
    <row r="1185" spans="1:37" x14ac:dyDescent="0.2">
      <c r="A1185" t="str">
        <f>"20200111160123987"</f>
        <v>20200111160123987</v>
      </c>
      <c r="B1185" t="str">
        <f>"1578729683982242"</f>
        <v>1578729683982242</v>
      </c>
      <c r="C1185" t="s">
        <v>37</v>
      </c>
      <c r="D1185">
        <v>5.4409890000000001</v>
      </c>
      <c r="E1185">
        <v>0.60167930000000003</v>
      </c>
      <c r="F1185" t="s">
        <v>59</v>
      </c>
      <c r="G1185">
        <v>-511.96769999999998</v>
      </c>
      <c r="H1185">
        <v>27.430589999999999</v>
      </c>
      <c r="I1185">
        <v>278.6354</v>
      </c>
      <c r="J1185">
        <v>-201.25579999999999</v>
      </c>
      <c r="K1185">
        <v>1.0921430000000001</v>
      </c>
      <c r="L1185">
        <v>286.1003</v>
      </c>
      <c r="M1185">
        <v>-0.86579319999999904</v>
      </c>
      <c r="N1185">
        <v>0</v>
      </c>
      <c r="O1185">
        <v>-0.50026930000000003</v>
      </c>
      <c r="P1185">
        <v>-0.95663589999999998</v>
      </c>
      <c r="Q1185">
        <v>-1.6677230000000001E-2</v>
      </c>
      <c r="R1185">
        <v>-0.29080980000000001</v>
      </c>
      <c r="S1185">
        <v>-3.1326749999999999</v>
      </c>
      <c r="T1185">
        <v>0.26534219999999997</v>
      </c>
      <c r="U1185">
        <v>-7.6477050000000005E-2</v>
      </c>
      <c r="V1185">
        <v>0.22656759999999901</v>
      </c>
      <c r="W1185">
        <v>-1.180471E-2</v>
      </c>
      <c r="X1185">
        <v>0.97392389999999995</v>
      </c>
      <c r="Y1185">
        <v>0.47566890000000001</v>
      </c>
      <c r="Z1185">
        <v>-6.0813489999999998E-2</v>
      </c>
      <c r="AA1185">
        <v>0.87751970000000001</v>
      </c>
      <c r="AB1185">
        <v>26</v>
      </c>
      <c r="AC1185">
        <v>-310.71190000000001</v>
      </c>
      <c r="AD1185">
        <v>26.338446999999999</v>
      </c>
      <c r="AE1185">
        <v>-7.4649000000000001</v>
      </c>
      <c r="AF1185">
        <v>147.92414103313399</v>
      </c>
      <c r="AG1185">
        <v>26.338446999999999</v>
      </c>
      <c r="AH1185">
        <v>270.81992964268102</v>
      </c>
      <c r="AI1185">
        <v>85.121503012556204</v>
      </c>
      <c r="AJ1185">
        <v>61.3562589022388</v>
      </c>
      <c r="AK1185">
        <v>309.70744192290402</v>
      </c>
    </row>
    <row r="1186" spans="1:37" x14ac:dyDescent="0.2">
      <c r="A1186" t="str">
        <f>"20200111160124008"</f>
        <v>20200111160124008</v>
      </c>
      <c r="B1186" t="str">
        <f>"1578729684001762"</f>
        <v>1578729684001762</v>
      </c>
      <c r="C1186" t="s">
        <v>37</v>
      </c>
      <c r="D1186">
        <v>5.2708199999999996</v>
      </c>
      <c r="E1186">
        <v>0.59829069999999995</v>
      </c>
      <c r="F1186" t="s">
        <v>59</v>
      </c>
      <c r="G1186">
        <v>-511.96319999999997</v>
      </c>
      <c r="H1186">
        <v>13.7442799999999</v>
      </c>
      <c r="I1186">
        <v>277.505</v>
      </c>
      <c r="J1186">
        <v>-201.47810000000001</v>
      </c>
      <c r="K1186">
        <v>1.0921379999999901</v>
      </c>
      <c r="L1186">
        <v>285.99009999999998</v>
      </c>
      <c r="M1186">
        <v>-0.87331999999999999</v>
      </c>
      <c r="N1186">
        <v>0</v>
      </c>
      <c r="O1186">
        <v>-0.4870099</v>
      </c>
      <c r="P1186">
        <v>-0.96068539999999902</v>
      </c>
      <c r="Q1186">
        <v>-1.2231809999999999E-2</v>
      </c>
      <c r="R1186">
        <v>-0.2773697</v>
      </c>
      <c r="S1186">
        <v>-3.1120299999999999</v>
      </c>
      <c r="T1186">
        <v>0.1267239</v>
      </c>
      <c r="U1186">
        <v>-8.6090089999999994E-2</v>
      </c>
      <c r="V1186">
        <v>0.22552900000000001</v>
      </c>
      <c r="W1186">
        <v>-7.3238369999999997E-3</v>
      </c>
      <c r="X1186">
        <v>0.97420899999999999</v>
      </c>
      <c r="Y1186">
        <v>0.46194859999999999</v>
      </c>
      <c r="Z1186">
        <v>-2.8517230000000001E-2</v>
      </c>
      <c r="AA1186">
        <v>0.88644809999999996</v>
      </c>
      <c r="AB1186">
        <v>26</v>
      </c>
      <c r="AC1186">
        <v>-310.48509999999999</v>
      </c>
      <c r="AD1186">
        <v>12.6521419999999</v>
      </c>
      <c r="AE1186">
        <v>-8.4850999999999797</v>
      </c>
      <c r="AF1186">
        <v>143.570486925349</v>
      </c>
      <c r="AG1186">
        <v>12.6521419999999</v>
      </c>
      <c r="AH1186">
        <v>274.84750538342303</v>
      </c>
      <c r="AI1186">
        <v>87.663514967105399</v>
      </c>
      <c r="AJ1186">
        <v>62.419046479194499</v>
      </c>
      <c r="AK1186">
        <v>310.34450636133499</v>
      </c>
    </row>
    <row r="1187" spans="1:37" x14ac:dyDescent="0.2">
      <c r="A1187" t="str">
        <f>"20200111160124031"</f>
        <v>20200111160124031</v>
      </c>
      <c r="B1187" t="str">
        <f>"1578729684022258"</f>
        <v>1578729684022258</v>
      </c>
      <c r="C1187" t="s">
        <v>37</v>
      </c>
      <c r="D1187">
        <v>5.2883199999999997</v>
      </c>
      <c r="E1187">
        <v>0.59499729999999995</v>
      </c>
      <c r="F1187" t="s">
        <v>59</v>
      </c>
      <c r="G1187">
        <v>-511.0761</v>
      </c>
      <c r="H1187">
        <v>7.150163</v>
      </c>
      <c r="I1187">
        <v>278.68099999999998</v>
      </c>
      <c r="J1187">
        <v>-201.7268</v>
      </c>
      <c r="K1187">
        <v>1.092141</v>
      </c>
      <c r="L1187">
        <v>285.87189999999998</v>
      </c>
      <c r="M1187">
        <v>-0.88142160000000003</v>
      </c>
      <c r="N1187">
        <v>0</v>
      </c>
      <c r="O1187">
        <v>-0.47218909999999997</v>
      </c>
      <c r="P1187">
        <v>-0.96479400000000004</v>
      </c>
      <c r="Q1187">
        <v>-6.7118309999999997E-3</v>
      </c>
      <c r="R1187">
        <v>-0.26292120000000002</v>
      </c>
      <c r="S1187">
        <v>-3.1023860000000001</v>
      </c>
      <c r="T1187">
        <v>6.0706379999999997E-2</v>
      </c>
      <c r="U1187">
        <v>-7.3242189999999999E-2</v>
      </c>
      <c r="V1187">
        <v>0.223875299999999</v>
      </c>
      <c r="W1187">
        <v>-1.749102E-3</v>
      </c>
      <c r="X1187">
        <v>0.97461620000000004</v>
      </c>
      <c r="Y1187">
        <v>0.45111409999999902</v>
      </c>
      <c r="Z1187">
        <v>-1.334688E-2</v>
      </c>
      <c r="AA1187">
        <v>0.89236649999999995</v>
      </c>
      <c r="AB1187">
        <v>26</v>
      </c>
      <c r="AC1187">
        <v>-309.34930000000003</v>
      </c>
      <c r="AD1187">
        <v>6.0580220000000002</v>
      </c>
      <c r="AE1187">
        <v>-7.1908999999999903</v>
      </c>
      <c r="AF1187">
        <v>139.68893374898701</v>
      </c>
      <c r="AG1187">
        <v>6.0580220000000002</v>
      </c>
      <c r="AH1187">
        <v>275.97525823639</v>
      </c>
      <c r="AI1187">
        <v>88.877986847266399</v>
      </c>
      <c r="AJ1187">
        <v>63.15307713795</v>
      </c>
      <c r="AK1187">
        <v>309.37362686745598</v>
      </c>
    </row>
    <row r="1188" spans="1:37" x14ac:dyDescent="0.2">
      <c r="A1188" t="str">
        <f>"20200111160124054"</f>
        <v>20200111160124054</v>
      </c>
      <c r="B1188" t="str">
        <f>"1578729684041778"</f>
        <v>1578729684041778</v>
      </c>
      <c r="C1188" t="s">
        <v>37</v>
      </c>
      <c r="D1188">
        <v>5.3215459999999997</v>
      </c>
      <c r="E1188">
        <v>0.59352780000000005</v>
      </c>
      <c r="F1188" t="s">
        <v>43</v>
      </c>
      <c r="G1188">
        <v>0</v>
      </c>
      <c r="H1188">
        <v>0</v>
      </c>
      <c r="I1188">
        <v>0</v>
      </c>
      <c r="J1188">
        <v>-201.97200000000001</v>
      </c>
      <c r="K1188">
        <v>1.0921430000000001</v>
      </c>
      <c r="L1188">
        <v>285.7604</v>
      </c>
      <c r="M1188">
        <v>-0.88908989999999999</v>
      </c>
      <c r="N1188">
        <v>0</v>
      </c>
      <c r="O1188">
        <v>-0.45758649999999901</v>
      </c>
      <c r="P1188">
        <v>-0.96875230000000001</v>
      </c>
      <c r="Q1188">
        <v>-9.1637109999999995E-4</v>
      </c>
      <c r="R1188">
        <v>-0.24802920000000001</v>
      </c>
      <c r="S1188">
        <v>-3.0947110000000002</v>
      </c>
      <c r="T1188">
        <v>2.2696850000000001E-2</v>
      </c>
      <c r="U1188">
        <v>-5.4748539999999998E-2</v>
      </c>
      <c r="V1188">
        <v>0.222986499999999</v>
      </c>
      <c r="W1188">
        <v>4.0782020000000004E-3</v>
      </c>
      <c r="X1188">
        <v>0.97481299999999904</v>
      </c>
      <c r="Y1188">
        <v>0.44179459999999998</v>
      </c>
      <c r="Z1188">
        <v>-4.8739849999999999E-3</v>
      </c>
      <c r="AA1188">
        <v>0.89710299999999998</v>
      </c>
      <c r="AB1188">
        <v>26</v>
      </c>
      <c r="AC1188">
        <v>-3.0947110000000002</v>
      </c>
      <c r="AD1188">
        <v>2.2696850000000001E-2</v>
      </c>
      <c r="AE1188">
        <v>-5.4748539999999998E-2</v>
      </c>
      <c r="AF1188">
        <v>1.36743952317196</v>
      </c>
      <c r="AG1188">
        <v>2.2696850000000001E-2</v>
      </c>
      <c r="AH1188">
        <v>2.7765648769146001</v>
      </c>
      <c r="AI1188">
        <v>89.579838999785807</v>
      </c>
      <c r="AJ1188">
        <v>63.780063968297199</v>
      </c>
      <c r="AK1188">
        <v>3.09511203549217</v>
      </c>
    </row>
    <row r="1189" spans="1:37" x14ac:dyDescent="0.2">
      <c r="A1189" t="str">
        <f>"20200111160124078"</f>
        <v>20200111160124078</v>
      </c>
      <c r="B1189" t="str">
        <f>"1578729684072034"</f>
        <v>1578729684072034</v>
      </c>
      <c r="C1189" t="s">
        <v>37</v>
      </c>
      <c r="D1189">
        <v>5.3133029999999897</v>
      </c>
      <c r="E1189">
        <v>0.57177270000000002</v>
      </c>
      <c r="F1189" t="s">
        <v>43</v>
      </c>
      <c r="G1189">
        <v>0</v>
      </c>
      <c r="H1189">
        <v>0</v>
      </c>
      <c r="I1189">
        <v>0</v>
      </c>
      <c r="J1189">
        <v>-202.25479999999999</v>
      </c>
      <c r="K1189">
        <v>1.0921339999999999</v>
      </c>
      <c r="L1189">
        <v>285.6377</v>
      </c>
      <c r="M1189">
        <v>-0.8975516</v>
      </c>
      <c r="N1189">
        <v>0</v>
      </c>
      <c r="O1189">
        <v>-0.44075720000000002</v>
      </c>
      <c r="P1189">
        <v>-0.97288609999999898</v>
      </c>
      <c r="Q1189">
        <v>2.1344010000000002E-3</v>
      </c>
      <c r="R1189">
        <v>-0.2312748</v>
      </c>
      <c r="S1189">
        <v>-3.091812</v>
      </c>
      <c r="T1189">
        <v>1.9040700000000001E-2</v>
      </c>
      <c r="U1189">
        <v>-1.9500730000000001E-2</v>
      </c>
      <c r="V1189">
        <v>0.22153149999999999</v>
      </c>
      <c r="W1189">
        <v>7.1780689999999996E-3</v>
      </c>
      <c r="X1189">
        <v>0.97512679999999996</v>
      </c>
      <c r="Y1189">
        <v>0.435100599999999</v>
      </c>
      <c r="Z1189">
        <v>-3.9800699999999996E-3</v>
      </c>
      <c r="AA1189">
        <v>0.90037299999999998</v>
      </c>
      <c r="AB1189">
        <v>26</v>
      </c>
      <c r="AC1189">
        <v>-3.091812</v>
      </c>
      <c r="AD1189">
        <v>1.9040700000000001E-2</v>
      </c>
      <c r="AE1189">
        <v>-1.9500730000000001E-2</v>
      </c>
      <c r="AF1189">
        <v>1.3452747546066599</v>
      </c>
      <c r="AG1189">
        <v>1.9040700000000001E-2</v>
      </c>
      <c r="AH1189">
        <v>2.78373714656504</v>
      </c>
      <c r="AI1189">
        <v>89.647146194224703</v>
      </c>
      <c r="AJ1189">
        <v>64.207280480792505</v>
      </c>
      <c r="AK1189">
        <v>3.0918148739542199</v>
      </c>
    </row>
    <row r="1190" spans="1:37" x14ac:dyDescent="0.2">
      <c r="A1190" t="str">
        <f>"20200111160124121"</f>
        <v>20200111160124121</v>
      </c>
      <c r="B1190" t="str">
        <f>"1578729684112050"</f>
        <v>1578729684112050</v>
      </c>
      <c r="C1190" t="s">
        <v>37</v>
      </c>
      <c r="D1190">
        <v>5.3168290000000002</v>
      </c>
      <c r="E1190">
        <v>0.56801800000000002</v>
      </c>
      <c r="F1190" t="s">
        <v>57</v>
      </c>
      <c r="G1190">
        <v>-217.7071</v>
      </c>
      <c r="H1190" s="1">
        <v>2.564554E-6</v>
      </c>
      <c r="I1190">
        <v>284.8904</v>
      </c>
      <c r="J1190">
        <v>-202.73060000000001</v>
      </c>
      <c r="K1190">
        <v>1.092155</v>
      </c>
      <c r="L1190">
        <v>285.44470000000001</v>
      </c>
      <c r="M1190">
        <v>-0.91085539999999998</v>
      </c>
      <c r="N1190">
        <v>0</v>
      </c>
      <c r="O1190">
        <v>-0.41256309999999902</v>
      </c>
      <c r="P1190">
        <v>-0.97799469999999999</v>
      </c>
      <c r="Q1190">
        <v>1.211707E-3</v>
      </c>
      <c r="R1190">
        <v>-0.20862710000000001</v>
      </c>
      <c r="S1190">
        <v>-3.049026</v>
      </c>
      <c r="T1190">
        <v>-0.21549769999999999</v>
      </c>
      <c r="U1190">
        <v>-0.14746090000000001</v>
      </c>
      <c r="V1190">
        <v>0.2137384</v>
      </c>
      <c r="W1190">
        <v>6.5090829999999997E-3</v>
      </c>
      <c r="X1190">
        <v>0.97686919999999899</v>
      </c>
      <c r="Y1190">
        <v>0.36622490000000002</v>
      </c>
      <c r="Z1190">
        <v>4.1274730000000003E-2</v>
      </c>
      <c r="AA1190">
        <v>0.92961059999999995</v>
      </c>
      <c r="AB1190">
        <v>26</v>
      </c>
      <c r="AC1190">
        <v>-14.9764999999999</v>
      </c>
      <c r="AD1190">
        <v>-1.0921524354459999</v>
      </c>
      <c r="AE1190">
        <v>-0.55430000000001201</v>
      </c>
      <c r="AF1190">
        <v>5.6442696774961396</v>
      </c>
      <c r="AG1190">
        <v>-1.0921524354459999</v>
      </c>
      <c r="AH1190">
        <v>13.7977641931053</v>
      </c>
      <c r="AI1190">
        <v>94.190090680720701</v>
      </c>
      <c r="AJ1190">
        <v>67.751937580473097</v>
      </c>
      <c r="AK1190">
        <v>14.9475373845692</v>
      </c>
    </row>
    <row r="1191" spans="1:37" x14ac:dyDescent="0.2">
      <c r="A1191" t="str">
        <f>"20200111160124142"</f>
        <v>20200111160124142</v>
      </c>
      <c r="B1191" t="str">
        <f>"1578729684132547"</f>
        <v>1578729684132547</v>
      </c>
      <c r="C1191" t="s">
        <v>37</v>
      </c>
      <c r="D1191">
        <v>5.3446860000000003</v>
      </c>
      <c r="E1191">
        <v>0.56612379999999995</v>
      </c>
      <c r="F1191" t="s">
        <v>57</v>
      </c>
      <c r="G1191">
        <v>-216.99340000000001</v>
      </c>
      <c r="H1191" s="1">
        <v>2.1847569999999899E-6</v>
      </c>
      <c r="I1191">
        <v>284.95350000000002</v>
      </c>
      <c r="J1191">
        <v>-202.97319999999999</v>
      </c>
      <c r="K1191">
        <v>1.0921700000000001</v>
      </c>
      <c r="L1191">
        <v>285.35270000000003</v>
      </c>
      <c r="M1191">
        <v>-0.91719219999999901</v>
      </c>
      <c r="N1191">
        <v>0</v>
      </c>
      <c r="O1191">
        <v>-0.39827679999999999</v>
      </c>
      <c r="P1191">
        <v>-0.98003359999999995</v>
      </c>
      <c r="Q1191">
        <v>-7.9109149999999904E-4</v>
      </c>
      <c r="R1191">
        <v>-0.19883139999999999</v>
      </c>
      <c r="S1191">
        <v>-3.04541</v>
      </c>
      <c r="T1191">
        <v>-0.23319709999999999</v>
      </c>
      <c r="U1191">
        <v>-0.10488889999999999</v>
      </c>
      <c r="V1191">
        <v>0.20818619999999999</v>
      </c>
      <c r="W1191">
        <v>4.6866399999999997E-3</v>
      </c>
      <c r="X1191">
        <v>0.978078</v>
      </c>
      <c r="Y1191">
        <v>0.36432249999999999</v>
      </c>
      <c r="Z1191">
        <v>4.3660299999999999E-2</v>
      </c>
      <c r="AA1191">
        <v>0.93024879999999999</v>
      </c>
      <c r="AB1191">
        <v>26</v>
      </c>
      <c r="AC1191">
        <v>-14.020200000000001</v>
      </c>
      <c r="AD1191">
        <v>-1.0921678152430001</v>
      </c>
      <c r="AE1191">
        <v>-0.39920000000000699</v>
      </c>
      <c r="AF1191">
        <v>5.1866779850718903</v>
      </c>
      <c r="AG1191">
        <v>-1.0921678152430001</v>
      </c>
      <c r="AH1191">
        <v>12.940618336125601</v>
      </c>
      <c r="AI1191">
        <v>94.479412847991497</v>
      </c>
      <c r="AJ1191">
        <v>68.158788939335395</v>
      </c>
      <c r="AK1191">
        <v>13.984064572889899</v>
      </c>
    </row>
    <row r="1192" spans="1:37" x14ac:dyDescent="0.2">
      <c r="A1192" t="str">
        <f>"20200111160124166"</f>
        <v>20200111160124166</v>
      </c>
      <c r="B1192" t="str">
        <f>"1578729684161827"</f>
        <v>1578729684161827</v>
      </c>
      <c r="C1192" t="s">
        <v>37</v>
      </c>
      <c r="D1192">
        <v>5.2499570000000002</v>
      </c>
      <c r="E1192">
        <v>0.56380509999999995</v>
      </c>
      <c r="F1192" t="s">
        <v>57</v>
      </c>
      <c r="G1192">
        <v>-216.38099999999901</v>
      </c>
      <c r="H1192" s="1">
        <v>1.858882E-6</v>
      </c>
      <c r="I1192">
        <v>284.96030000000002</v>
      </c>
      <c r="J1192">
        <v>-203.24629999999999</v>
      </c>
      <c r="K1192">
        <v>1.0922080000000001</v>
      </c>
      <c r="L1192">
        <v>285.25389999999999</v>
      </c>
      <c r="M1192">
        <v>-0.92396239999999996</v>
      </c>
      <c r="N1192">
        <v>0</v>
      </c>
      <c r="O1192">
        <v>-0.3823085</v>
      </c>
      <c r="P1192">
        <v>-0.98216229999999904</v>
      </c>
      <c r="Q1192">
        <v>-3.5839449999999998E-3</v>
      </c>
      <c r="R1192">
        <v>-0.188001799999999</v>
      </c>
      <c r="S1192">
        <v>-3.0428470000000001</v>
      </c>
      <c r="T1192">
        <v>-0.24786259999999999</v>
      </c>
      <c r="U1192">
        <v>-8.9050290000000004E-2</v>
      </c>
      <c r="V1192">
        <v>0.2019338</v>
      </c>
      <c r="W1192">
        <v>2.1012439999999999E-3</v>
      </c>
      <c r="X1192">
        <v>0.97939690000000001</v>
      </c>
      <c r="Y1192">
        <v>0.35276419999999997</v>
      </c>
      <c r="Z1192">
        <v>4.4768759999999998E-2</v>
      </c>
      <c r="AA1192">
        <v>0.93464059999999904</v>
      </c>
      <c r="AB1192">
        <v>26</v>
      </c>
      <c r="AC1192">
        <v>-13.134699999999899</v>
      </c>
      <c r="AD1192">
        <v>-1.092206141118</v>
      </c>
      <c r="AE1192">
        <v>-0.293599999999969</v>
      </c>
      <c r="AF1192">
        <v>4.7179431289263301</v>
      </c>
      <c r="AG1192">
        <v>-1.092206141118</v>
      </c>
      <c r="AH1192">
        <v>12.1649593724123</v>
      </c>
      <c r="AI1192">
        <v>94.784961774280703</v>
      </c>
      <c r="AJ1192">
        <v>68.802184768952301</v>
      </c>
      <c r="AK1192">
        <v>13.093438744459799</v>
      </c>
    </row>
    <row r="1193" spans="1:37" x14ac:dyDescent="0.2">
      <c r="A1193" t="str">
        <f>"20200111160124191"</f>
        <v>20200111160124191</v>
      </c>
      <c r="B1193" t="str">
        <f>"1578729684182323"</f>
        <v>1578729684182323</v>
      </c>
      <c r="C1193" t="s">
        <v>37</v>
      </c>
      <c r="D1193">
        <v>5.2952260000000004</v>
      </c>
      <c r="E1193">
        <v>0.56244609999999995</v>
      </c>
      <c r="F1193" t="s">
        <v>57</v>
      </c>
      <c r="G1193">
        <v>-215.69749999999999</v>
      </c>
      <c r="H1193" s="1">
        <v>1.4951549999999999E-6</v>
      </c>
      <c r="I1193">
        <v>284.95080000000002</v>
      </c>
      <c r="J1193">
        <v>-203.51509999999999</v>
      </c>
      <c r="K1193">
        <v>1.092273</v>
      </c>
      <c r="L1193">
        <v>285.1617</v>
      </c>
      <c r="M1193">
        <v>-0.93023509999999998</v>
      </c>
      <c r="N1193">
        <v>0</v>
      </c>
      <c r="O1193">
        <v>-0.36678240000000001</v>
      </c>
      <c r="P1193">
        <v>-0.98379609999999995</v>
      </c>
      <c r="Q1193">
        <v>-6.4489430000000004E-3</v>
      </c>
      <c r="R1193">
        <v>-0.179176</v>
      </c>
      <c r="S1193">
        <v>-3.0393520000000001</v>
      </c>
      <c r="T1193">
        <v>-0.26660840000000002</v>
      </c>
      <c r="U1193">
        <v>-7.4005130000000002E-2</v>
      </c>
      <c r="V1193">
        <v>0.19423689999999999</v>
      </c>
      <c r="W1193">
        <v>-5.0601919999999998E-4</v>
      </c>
      <c r="X1193">
        <v>0.98095449999999995</v>
      </c>
      <c r="Y1193">
        <v>0.34139219999999998</v>
      </c>
      <c r="Z1193">
        <v>4.643539E-2</v>
      </c>
      <c r="AA1193">
        <v>0.93877319999999997</v>
      </c>
      <c r="AB1193">
        <v>26</v>
      </c>
      <c r="AC1193">
        <v>-12.182399999999999</v>
      </c>
      <c r="AD1193">
        <v>-1.092271504845</v>
      </c>
      <c r="AE1193">
        <v>-0.21089999999998099</v>
      </c>
      <c r="AF1193">
        <v>4.23832696501076</v>
      </c>
      <c r="AG1193">
        <v>-1.092271504845</v>
      </c>
      <c r="AH1193">
        <v>11.319641239164</v>
      </c>
      <c r="AI1193">
        <v>95.163611350323805</v>
      </c>
      <c r="AJ1193">
        <v>69.472975463797397</v>
      </c>
      <c r="AK1193">
        <v>12.136340069642699</v>
      </c>
    </row>
    <row r="1194" spans="1:37" x14ac:dyDescent="0.2">
      <c r="A1194" t="str">
        <f>"20200111160124210"</f>
        <v>20200111160124210</v>
      </c>
      <c r="B1194" t="str">
        <f>"1578729684201842"</f>
        <v>1578729684201842</v>
      </c>
      <c r="C1194" t="s">
        <v>37</v>
      </c>
      <c r="D1194">
        <v>5.2475309999999897</v>
      </c>
      <c r="E1194">
        <v>0.54853999999999903</v>
      </c>
      <c r="F1194" t="s">
        <v>57</v>
      </c>
      <c r="G1194">
        <v>-215.40599999999901</v>
      </c>
      <c r="H1194" s="1">
        <v>1.3400139999999901E-6</v>
      </c>
      <c r="I1194">
        <v>284.93529999999998</v>
      </c>
      <c r="J1194">
        <v>-203.75710000000001</v>
      </c>
      <c r="K1194">
        <v>1.0923829999999899</v>
      </c>
      <c r="L1194">
        <v>285.0829</v>
      </c>
      <c r="M1194">
        <v>-0.9355443</v>
      </c>
      <c r="N1194">
        <v>0</v>
      </c>
      <c r="O1194">
        <v>-0.35302169999999999</v>
      </c>
      <c r="P1194">
        <v>-0.98482329999999996</v>
      </c>
      <c r="Q1194">
        <v>-8.9347379999999994E-3</v>
      </c>
      <c r="R1194">
        <v>-0.1733307</v>
      </c>
      <c r="S1194">
        <v>-3.0370789999999999</v>
      </c>
      <c r="T1194">
        <v>-0.27897919999999998</v>
      </c>
      <c r="U1194">
        <v>-5.7830810000000003E-2</v>
      </c>
      <c r="V1194">
        <v>0.1855135</v>
      </c>
      <c r="W1194">
        <v>-2.703502E-3</v>
      </c>
      <c r="X1194">
        <v>0.98263799999999901</v>
      </c>
      <c r="Y1194">
        <v>0.33233879999999999</v>
      </c>
      <c r="Z1194">
        <v>4.7023000000000002E-2</v>
      </c>
      <c r="AA1194">
        <v>0.94198709999999997</v>
      </c>
      <c r="AB1194">
        <v>27</v>
      </c>
      <c r="AC1194">
        <v>-11.6488999999999</v>
      </c>
      <c r="AD1194">
        <v>-1.0923816599859999</v>
      </c>
      <c r="AE1194">
        <v>-0.147600000000011</v>
      </c>
      <c r="AF1194">
        <v>3.9398506575966699</v>
      </c>
      <c r="AG1194">
        <v>-1.0923816599859999</v>
      </c>
      <c r="AH1194">
        <v>10.8554479124107</v>
      </c>
      <c r="AI1194">
        <v>95.403669163844597</v>
      </c>
      <c r="AJ1194">
        <v>70.052259779850203</v>
      </c>
      <c r="AK1194">
        <v>11.599847855653101</v>
      </c>
    </row>
    <row r="1195" spans="1:37" x14ac:dyDescent="0.2">
      <c r="A1195" t="str">
        <f>"20200111160124253"</f>
        <v>20200111160124253</v>
      </c>
      <c r="B1195" t="str">
        <f>"1578729684241859"</f>
        <v>1578729684241859</v>
      </c>
      <c r="C1195" t="s">
        <v>37</v>
      </c>
      <c r="D1195">
        <v>5.1765179999999997</v>
      </c>
      <c r="E1195">
        <v>0.54409830000000003</v>
      </c>
      <c r="F1195" t="s">
        <v>57</v>
      </c>
      <c r="G1195">
        <v>-214.6439</v>
      </c>
      <c r="H1195" s="1">
        <v>9.3448349999999998E-7</v>
      </c>
      <c r="I1195">
        <v>284.54129999999998</v>
      </c>
      <c r="J1195">
        <v>-204.24889999999999</v>
      </c>
      <c r="K1195">
        <v>1.0926639999999901</v>
      </c>
      <c r="L1195">
        <v>284.93380000000002</v>
      </c>
      <c r="M1195">
        <v>-0.94541500000000001</v>
      </c>
      <c r="N1195">
        <v>0</v>
      </c>
      <c r="O1195">
        <v>-0.32566820000000002</v>
      </c>
      <c r="P1195">
        <v>-0.98654580000000003</v>
      </c>
      <c r="Q1195">
        <v>-1.506092E-2</v>
      </c>
      <c r="R1195">
        <v>-0.162790299999999</v>
      </c>
      <c r="S1195">
        <v>-3.0170750000000002</v>
      </c>
      <c r="T1195">
        <v>-0.30273339999999999</v>
      </c>
      <c r="U1195">
        <v>-0.15008540000000001</v>
      </c>
      <c r="V1195">
        <v>0.16723260000000001</v>
      </c>
      <c r="W1195">
        <v>-8.2457160000000002E-3</v>
      </c>
      <c r="X1195">
        <v>0.98588299999999995</v>
      </c>
      <c r="Y1195">
        <v>0.27535949999999998</v>
      </c>
      <c r="Z1195">
        <v>4.5826550000000001E-2</v>
      </c>
      <c r="AA1195">
        <v>0.96024849999999995</v>
      </c>
      <c r="AB1195">
        <v>27</v>
      </c>
      <c r="AC1195">
        <v>-10.395</v>
      </c>
      <c r="AD1195">
        <v>-1.0926630655164999</v>
      </c>
      <c r="AE1195">
        <v>-0.39250000000003998</v>
      </c>
      <c r="AF1195">
        <v>2.9815463060801899</v>
      </c>
      <c r="AG1195">
        <v>-1.0926630655164999</v>
      </c>
      <c r="AH1195">
        <v>9.8474150218399998</v>
      </c>
      <c r="AI1195">
        <v>96.061997324241105</v>
      </c>
      <c r="AJ1195">
        <v>73.155025169103794</v>
      </c>
      <c r="AK1195">
        <v>10.3467441044226</v>
      </c>
    </row>
    <row r="1196" spans="1:37" x14ac:dyDescent="0.2">
      <c r="A1196" t="str">
        <f>"20200111160124277"</f>
        <v>20200111160124277</v>
      </c>
      <c r="B1196" t="str">
        <f>"1578729684272554"</f>
        <v>1578729684272554</v>
      </c>
      <c r="C1196" t="s">
        <v>37</v>
      </c>
      <c r="D1196">
        <v>5.1778019999999998</v>
      </c>
      <c r="E1196">
        <v>0.54240359999999999</v>
      </c>
      <c r="F1196" t="s">
        <v>57</v>
      </c>
      <c r="G1196">
        <v>-214.9743</v>
      </c>
      <c r="H1196" s="1">
        <v>1.1102829999999999E-6</v>
      </c>
      <c r="I1196">
        <v>284.39330000000001</v>
      </c>
      <c r="J1196">
        <v>-204.53720000000001</v>
      </c>
      <c r="K1196">
        <v>1.0928549999999999</v>
      </c>
      <c r="L1196">
        <v>284.85309999999998</v>
      </c>
      <c r="M1196">
        <v>-0.95064400000000004</v>
      </c>
      <c r="N1196">
        <v>0</v>
      </c>
      <c r="O1196">
        <v>-0.31007489999999999</v>
      </c>
      <c r="P1196">
        <v>-0.98778459999999901</v>
      </c>
      <c r="Q1196">
        <v>-1.9476319999999998E-2</v>
      </c>
      <c r="R1196">
        <v>-0.15460489999999999</v>
      </c>
      <c r="S1196">
        <v>-3.01116899999999</v>
      </c>
      <c r="T1196">
        <v>-0.30676540000000002</v>
      </c>
      <c r="U1196">
        <v>-0.15176389999999901</v>
      </c>
      <c r="V1196">
        <v>0.159053</v>
      </c>
      <c r="W1196">
        <v>-1.240278E-2</v>
      </c>
      <c r="X1196">
        <v>0.98719219999999896</v>
      </c>
      <c r="Y1196">
        <v>0.25896079999999999</v>
      </c>
      <c r="Z1196">
        <v>4.4178500000000002E-2</v>
      </c>
      <c r="AA1196">
        <v>0.96487690000000004</v>
      </c>
      <c r="AB1196">
        <v>27</v>
      </c>
      <c r="AC1196">
        <v>-10.4370999999999</v>
      </c>
      <c r="AD1196">
        <v>-1.0928538897169999</v>
      </c>
      <c r="AE1196">
        <v>-0.45979999999997201</v>
      </c>
      <c r="AF1196">
        <v>2.7690571306615399</v>
      </c>
      <c r="AG1196">
        <v>-1.0928538897169999</v>
      </c>
      <c r="AH1196">
        <v>9.9562432110129304</v>
      </c>
      <c r="AI1196">
        <v>96.036694578629806</v>
      </c>
      <c r="AJ1196">
        <v>74.457544310024105</v>
      </c>
      <c r="AK1196">
        <v>10.391765292479301</v>
      </c>
    </row>
    <row r="1197" spans="1:37" x14ac:dyDescent="0.2">
      <c r="A1197" t="str">
        <f>"20200111160124297"</f>
        <v>20200111160124297</v>
      </c>
      <c r="B1197" t="str">
        <f>"1578729684292075"</f>
        <v>1578729684292075</v>
      </c>
      <c r="C1197" t="s">
        <v>37</v>
      </c>
      <c r="D1197">
        <v>5.0413559999999897</v>
      </c>
      <c r="E1197">
        <v>0.54182330000000001</v>
      </c>
      <c r="F1197" t="s">
        <v>57</v>
      </c>
      <c r="G1197">
        <v>-215.18039999999999</v>
      </c>
      <c r="H1197" s="1">
        <v>1.219977E-6</v>
      </c>
      <c r="I1197">
        <v>284.35879999999997</v>
      </c>
      <c r="J1197">
        <v>-204.78639999999999</v>
      </c>
      <c r="K1197">
        <v>1.0930200000000001</v>
      </c>
      <c r="L1197">
        <v>284.78699999999998</v>
      </c>
      <c r="M1197">
        <v>-0.95484969999999902</v>
      </c>
      <c r="N1197">
        <v>0</v>
      </c>
      <c r="O1197">
        <v>-0.2968732</v>
      </c>
      <c r="P1197">
        <v>-0.98885020000000001</v>
      </c>
      <c r="Q1197">
        <v>-2.171932E-2</v>
      </c>
      <c r="R1197">
        <v>-0.147321799999999</v>
      </c>
      <c r="S1197">
        <v>-3.0091399999999999</v>
      </c>
      <c r="T1197">
        <v>-0.30897989999999997</v>
      </c>
      <c r="U1197">
        <v>-0.13977049999999999</v>
      </c>
      <c r="V1197">
        <v>0.15258139999999901</v>
      </c>
      <c r="W1197">
        <v>-1.4448040000000001E-2</v>
      </c>
      <c r="X1197">
        <v>0.98818530000000004</v>
      </c>
      <c r="Y1197">
        <v>0.24944549999999999</v>
      </c>
      <c r="Z1197">
        <v>4.2751699999999997E-2</v>
      </c>
      <c r="AA1197">
        <v>0.96744470000000005</v>
      </c>
      <c r="AB1197">
        <v>27</v>
      </c>
      <c r="AC1197">
        <v>-10.394</v>
      </c>
      <c r="AD1197">
        <v>-1.093018780023</v>
      </c>
      <c r="AE1197">
        <v>-0.42820000000005998</v>
      </c>
      <c r="AF1197">
        <v>2.64777482901615</v>
      </c>
      <c r="AG1197">
        <v>-1.093018780023</v>
      </c>
      <c r="AH1197">
        <v>9.9427104867237599</v>
      </c>
      <c r="AI1197">
        <v>96.063757043490497</v>
      </c>
      <c r="AJ1197">
        <v>75.088031359407097</v>
      </c>
      <c r="AK1197">
        <v>10.347120054462501</v>
      </c>
    </row>
    <row r="1198" spans="1:37" x14ac:dyDescent="0.2">
      <c r="A1198" t="str">
        <f>"20200111160124321"</f>
        <v>20200111160124321</v>
      </c>
      <c r="B1198" t="str">
        <f>"1578729684312570"</f>
        <v>1578729684312570</v>
      </c>
      <c r="C1198" t="s">
        <v>37</v>
      </c>
      <c r="D1198">
        <v>4.9864809999999897</v>
      </c>
      <c r="E1198">
        <v>0.54151549999999904</v>
      </c>
      <c r="F1198" t="s">
        <v>57</v>
      </c>
      <c r="G1198">
        <v>-215.51300000000001</v>
      </c>
      <c r="H1198" s="1">
        <v>1.3969669999999899E-6</v>
      </c>
      <c r="I1198">
        <v>284.35230000000001</v>
      </c>
      <c r="J1198">
        <v>-205.05590000000001</v>
      </c>
      <c r="K1198">
        <v>1.0932599999999999</v>
      </c>
      <c r="L1198">
        <v>284.7192</v>
      </c>
      <c r="M1198">
        <v>-0.95905229999999997</v>
      </c>
      <c r="N1198">
        <v>0</v>
      </c>
      <c r="O1198">
        <v>-0.2830049</v>
      </c>
      <c r="P1198">
        <v>-0.99017330000000003</v>
      </c>
      <c r="Q1198">
        <v>-2.1428340000000001E-2</v>
      </c>
      <c r="R1198">
        <v>-0.13819529999999999</v>
      </c>
      <c r="S1198">
        <v>-3.00892599999999</v>
      </c>
      <c r="T1198">
        <v>-0.30660310000000002</v>
      </c>
      <c r="U1198">
        <v>-0.12194819999999899</v>
      </c>
      <c r="V1198">
        <v>0.1473911</v>
      </c>
      <c r="W1198">
        <v>-1.399457E-2</v>
      </c>
      <c r="X1198">
        <v>0.98897930000000001</v>
      </c>
      <c r="Y1198">
        <v>0.24127879999999999</v>
      </c>
      <c r="Z1198">
        <v>4.0667630000000003E-2</v>
      </c>
      <c r="AA1198">
        <v>0.9696034</v>
      </c>
      <c r="AB1198">
        <v>27</v>
      </c>
      <c r="AC1198">
        <v>-10.457099999999899</v>
      </c>
      <c r="AD1198">
        <v>-1.093258603033</v>
      </c>
      <c r="AE1198">
        <v>-0.36689999999998602</v>
      </c>
      <c r="AF1198">
        <v>2.5795398239554999</v>
      </c>
      <c r="AG1198">
        <v>-1.093258603033</v>
      </c>
      <c r="AH1198">
        <v>10.023955440319099</v>
      </c>
      <c r="AI1198">
        <v>96.029415093495004</v>
      </c>
      <c r="AJ1198">
        <v>75.568765802795795</v>
      </c>
      <c r="AK1198">
        <v>10.408118117411099</v>
      </c>
    </row>
    <row r="1199" spans="1:37" x14ac:dyDescent="0.2">
      <c r="A1199" t="str">
        <f>"20200111160124343"</f>
        <v>20200111160124343</v>
      </c>
      <c r="B1199" t="str">
        <f>"1578729684332089"</f>
        <v>1578729684332089</v>
      </c>
      <c r="C1199" t="s">
        <v>37</v>
      </c>
      <c r="D1199">
        <v>4.9768249999999998</v>
      </c>
      <c r="E1199">
        <v>0.54094819999999999</v>
      </c>
      <c r="F1199" t="s">
        <v>57</v>
      </c>
      <c r="G1199">
        <v>-216.07060000000001</v>
      </c>
      <c r="H1199" s="1">
        <v>1.693685E-6</v>
      </c>
      <c r="I1199">
        <v>284.36529999999999</v>
      </c>
      <c r="J1199">
        <v>-205.31899999999999</v>
      </c>
      <c r="K1199">
        <v>1.0935589999999999</v>
      </c>
      <c r="L1199">
        <v>284.65649999999999</v>
      </c>
      <c r="M1199">
        <v>-0.96281070000000002</v>
      </c>
      <c r="N1199">
        <v>0</v>
      </c>
      <c r="O1199">
        <v>-0.2699455</v>
      </c>
      <c r="P1199">
        <v>-0.99136420000000003</v>
      </c>
      <c r="Q1199">
        <v>-2.006637E-2</v>
      </c>
      <c r="R1199">
        <v>-0.12959300000000001</v>
      </c>
      <c r="S1199">
        <v>-3.009811</v>
      </c>
      <c r="T1199">
        <v>-0.2987378</v>
      </c>
      <c r="U1199">
        <v>-9.6710210000000005E-2</v>
      </c>
      <c r="V1199">
        <v>0.1425872</v>
      </c>
      <c r="W1199">
        <v>-1.248141E-2</v>
      </c>
      <c r="X1199">
        <v>0.98970349999999996</v>
      </c>
      <c r="Y1199">
        <v>0.2364453</v>
      </c>
      <c r="Z1199">
        <v>3.8142740000000001E-2</v>
      </c>
      <c r="AA1199">
        <v>0.97089590000000003</v>
      </c>
      <c r="AB1199">
        <v>27</v>
      </c>
      <c r="AC1199">
        <v>-10.7515999999999</v>
      </c>
      <c r="AD1199">
        <v>-1.0935573063149999</v>
      </c>
      <c r="AE1199">
        <v>-0.29120000000000301</v>
      </c>
      <c r="AF1199">
        <v>2.5953102293355501</v>
      </c>
      <c r="AG1199">
        <v>-1.0935573063149999</v>
      </c>
      <c r="AH1199">
        <v>10.324287485258999</v>
      </c>
      <c r="AI1199">
        <v>95.865130420675698</v>
      </c>
      <c r="AJ1199">
        <v>75.889411429450107</v>
      </c>
      <c r="AK1199">
        <v>10.7015146052773</v>
      </c>
    </row>
    <row r="1200" spans="1:37" x14ac:dyDescent="0.2">
      <c r="A1200" t="str">
        <f>"20200111160124365"</f>
        <v>20200111160124365</v>
      </c>
      <c r="B1200" t="str">
        <f>"1578729684361876"</f>
        <v>1578729684361876</v>
      </c>
      <c r="C1200" t="s">
        <v>37</v>
      </c>
      <c r="D1200">
        <v>4.9073539999999998</v>
      </c>
      <c r="E1200">
        <v>0.53519469999999902</v>
      </c>
      <c r="F1200" t="s">
        <v>57</v>
      </c>
      <c r="G1200">
        <v>-216.69810000000001</v>
      </c>
      <c r="H1200" s="1">
        <v>2.02762599999999E-6</v>
      </c>
      <c r="I1200">
        <v>284.37090000000001</v>
      </c>
      <c r="J1200">
        <v>-205.58860000000001</v>
      </c>
      <c r="K1200">
        <v>1.0939239999999999</v>
      </c>
      <c r="L1200">
        <v>284.59550000000002</v>
      </c>
      <c r="M1200">
        <v>-0.96632499999999999</v>
      </c>
      <c r="N1200">
        <v>0</v>
      </c>
      <c r="O1200">
        <v>-0.25708530000000002</v>
      </c>
      <c r="P1200">
        <v>-0.99249330000000002</v>
      </c>
      <c r="Q1200">
        <v>-1.9942620000000001E-2</v>
      </c>
      <c r="R1200">
        <v>-0.120661899999999</v>
      </c>
      <c r="S1200">
        <v>-3.0103909999999998</v>
      </c>
      <c r="T1200">
        <v>-0.28930400000000001</v>
      </c>
      <c r="U1200">
        <v>-7.5561519999999993E-2</v>
      </c>
      <c r="V1200">
        <v>0.1383161</v>
      </c>
      <c r="W1200">
        <v>-1.221795E-2</v>
      </c>
      <c r="X1200">
        <v>0.99031279999999999</v>
      </c>
      <c r="Y1200">
        <v>0.23055</v>
      </c>
      <c r="Z1200">
        <v>3.5467249999999999E-2</v>
      </c>
      <c r="AA1200">
        <v>0.97241390000000005</v>
      </c>
      <c r="AB1200">
        <v>27</v>
      </c>
      <c r="AC1200">
        <v>-11.109499999999899</v>
      </c>
      <c r="AD1200">
        <v>-1.0939219723739999</v>
      </c>
      <c r="AE1200">
        <v>-0.22460000000000899</v>
      </c>
      <c r="AF1200">
        <v>2.6138817295799401</v>
      </c>
      <c r="AG1200">
        <v>-1.0939219723739999</v>
      </c>
      <c r="AH1200">
        <v>10.690185993585301</v>
      </c>
      <c r="AI1200">
        <v>95.676626205367199</v>
      </c>
      <c r="AJ1200">
        <v>76.260064315705904</v>
      </c>
      <c r="AK1200">
        <v>11.059345349310799</v>
      </c>
    </row>
    <row r="1201" spans="1:37" x14ac:dyDescent="0.2">
      <c r="A1201" t="str">
        <f>"20200111160124387"</f>
        <v>20200111160124387</v>
      </c>
      <c r="B1201" t="str">
        <f>"1578729684382373"</f>
        <v>1578729684382373</v>
      </c>
      <c r="C1201" t="s">
        <v>37</v>
      </c>
      <c r="D1201">
        <v>4.8010359999999999</v>
      </c>
      <c r="E1201">
        <v>0.5353521</v>
      </c>
      <c r="F1201" t="s">
        <v>57</v>
      </c>
      <c r="G1201">
        <v>-219.37870000000001</v>
      </c>
      <c r="H1201" s="1">
        <v>3.4540969999999998E-6</v>
      </c>
      <c r="I1201">
        <v>284.17520000000002</v>
      </c>
      <c r="J1201">
        <v>-205.84270000000001</v>
      </c>
      <c r="K1201">
        <v>1.0943020000000001</v>
      </c>
      <c r="L1201">
        <v>284.54090000000002</v>
      </c>
      <c r="M1201">
        <v>-0.96933449999999999</v>
      </c>
      <c r="N1201">
        <v>0</v>
      </c>
      <c r="O1201">
        <v>-0.24549940000000001</v>
      </c>
      <c r="P1201">
        <v>-0.99333150000000003</v>
      </c>
      <c r="Q1201">
        <v>-2.145203E-2</v>
      </c>
      <c r="R1201">
        <v>-0.11327999999999901</v>
      </c>
      <c r="S1201">
        <v>-3.0067599999999999</v>
      </c>
      <c r="T1201">
        <v>-0.238515</v>
      </c>
      <c r="U1201">
        <v>-9.1644290000000003E-2</v>
      </c>
      <c r="V1201">
        <v>0.1337912</v>
      </c>
      <c r="W1201">
        <v>-1.358035E-2</v>
      </c>
      <c r="X1201">
        <v>0.99091649999999998</v>
      </c>
      <c r="Y1201">
        <v>0.2144385</v>
      </c>
      <c r="Z1201">
        <v>2.7761279999999999E-2</v>
      </c>
      <c r="AA1201">
        <v>0.97634290000000001</v>
      </c>
      <c r="AB1201">
        <v>27</v>
      </c>
      <c r="AC1201">
        <v>-13.536</v>
      </c>
      <c r="AD1201">
        <v>-1.0942985459029999</v>
      </c>
      <c r="AE1201">
        <v>-0.36570000000000302</v>
      </c>
      <c r="AF1201">
        <v>2.9495103772387199</v>
      </c>
      <c r="AG1201">
        <v>-1.0942985459029999</v>
      </c>
      <c r="AH1201">
        <v>13.1257648106247</v>
      </c>
      <c r="AI1201">
        <v>94.650307658941102</v>
      </c>
      <c r="AJ1201">
        <v>77.335350488260204</v>
      </c>
      <c r="AK1201">
        <v>13.497510979319101</v>
      </c>
    </row>
    <row r="1202" spans="1:37" x14ac:dyDescent="0.2">
      <c r="A1202" t="str">
        <f>"20200111160124410"</f>
        <v>20200111160124410</v>
      </c>
      <c r="B1202" t="str">
        <f>"1578729684401893"</f>
        <v>1578729684401893</v>
      </c>
      <c r="C1202" t="s">
        <v>37</v>
      </c>
      <c r="D1202">
        <v>4.9906879999999996</v>
      </c>
      <c r="E1202">
        <v>0.55174290000000004</v>
      </c>
      <c r="F1202" t="s">
        <v>57</v>
      </c>
      <c r="G1202">
        <v>-219.4118</v>
      </c>
      <c r="H1202" s="1">
        <v>3.4716930000000002E-6</v>
      </c>
      <c r="I1202">
        <v>284.23680000000002</v>
      </c>
      <c r="J1202">
        <v>-206.12219999999999</v>
      </c>
      <c r="K1202">
        <v>1.0947639999999901</v>
      </c>
      <c r="L1202">
        <v>284.48360000000002</v>
      </c>
      <c r="M1202">
        <v>-0.97232199999999902</v>
      </c>
      <c r="N1202">
        <v>0</v>
      </c>
      <c r="O1202">
        <v>-0.23339099999999999</v>
      </c>
      <c r="P1202">
        <v>-0.99407400000000001</v>
      </c>
      <c r="Q1202">
        <v>-2.408975E-2</v>
      </c>
      <c r="R1202">
        <v>-0.1060038</v>
      </c>
      <c r="S1202">
        <v>-3.0072019999999999</v>
      </c>
      <c r="T1202">
        <v>-0.24252009999999999</v>
      </c>
      <c r="U1202">
        <v>-6.7382810000000001E-2</v>
      </c>
      <c r="V1202">
        <v>0.12863079999999999</v>
      </c>
      <c r="W1202">
        <v>-1.6053129999999999E-2</v>
      </c>
      <c r="X1202">
        <v>0.99156259999999996</v>
      </c>
      <c r="Y1202">
        <v>0.21013670000000001</v>
      </c>
      <c r="Z1202">
        <v>2.7104989999999999E-2</v>
      </c>
      <c r="AA1202">
        <v>0.97729619999999995</v>
      </c>
      <c r="AB1202">
        <v>27</v>
      </c>
      <c r="AC1202">
        <v>-13.2896</v>
      </c>
      <c r="AD1202">
        <v>-1.0947605283069901</v>
      </c>
      <c r="AE1202">
        <v>-0.24680000000000701</v>
      </c>
      <c r="AF1202">
        <v>2.8425904399743902</v>
      </c>
      <c r="AG1202">
        <v>-1.0947605283069901</v>
      </c>
      <c r="AH1202">
        <v>12.892681206904699</v>
      </c>
      <c r="AI1202">
        <v>94.740222062867204</v>
      </c>
      <c r="AJ1202">
        <v>77.566300559825095</v>
      </c>
      <c r="AK1202">
        <v>13.247643176303001</v>
      </c>
    </row>
    <row r="1203" spans="1:37" x14ac:dyDescent="0.2">
      <c r="A1203" t="str">
        <f>"20200111160124433"</f>
        <v>20200111160124433</v>
      </c>
      <c r="B1203" t="str">
        <f>"1578729684422390"</f>
        <v>1578729684422390</v>
      </c>
      <c r="C1203" t="s">
        <v>37</v>
      </c>
      <c r="D1203">
        <v>4.6378490000000001</v>
      </c>
      <c r="E1203">
        <v>0.56632879999999997</v>
      </c>
      <c r="F1203" t="s">
        <v>57</v>
      </c>
      <c r="G1203">
        <v>-221.02869999999999</v>
      </c>
      <c r="H1203" s="1">
        <v>-9.8936359999999904E-7</v>
      </c>
      <c r="I1203">
        <v>284.91039999999998</v>
      </c>
      <c r="J1203">
        <v>-206.39599999999999</v>
      </c>
      <c r="K1203">
        <v>1.0952090000000001</v>
      </c>
      <c r="L1203">
        <v>284.43049999999999</v>
      </c>
      <c r="M1203">
        <v>-0.97493069999999904</v>
      </c>
      <c r="N1203">
        <v>0</v>
      </c>
      <c r="O1203">
        <v>-0.2222469</v>
      </c>
      <c r="P1203">
        <v>-0.99475290000000005</v>
      </c>
      <c r="Q1203">
        <v>-2.5086460000000001E-2</v>
      </c>
      <c r="R1203">
        <v>-9.9184789999999995E-2</v>
      </c>
      <c r="S1203">
        <v>-3.021744</v>
      </c>
      <c r="T1203">
        <v>-0.2219237</v>
      </c>
      <c r="U1203">
        <v>8.6517330000000003E-2</v>
      </c>
      <c r="V1203">
        <v>0.12407119999999899</v>
      </c>
      <c r="W1203">
        <v>-1.690929E-2</v>
      </c>
      <c r="X1203">
        <v>0.99212919999999905</v>
      </c>
      <c r="Y1203">
        <v>0.2488107</v>
      </c>
      <c r="Z1203">
        <v>2.533007E-2</v>
      </c>
      <c r="AA1203">
        <v>0.96822090000000005</v>
      </c>
      <c r="AB1203">
        <v>27</v>
      </c>
      <c r="AC1203">
        <v>-14.6327</v>
      </c>
      <c r="AD1203">
        <v>-1.0952099893636</v>
      </c>
      <c r="AE1203">
        <v>0.479899999999986</v>
      </c>
      <c r="AF1203">
        <v>3.6994558454437101</v>
      </c>
      <c r="AG1203">
        <v>-1.0952099893636</v>
      </c>
      <c r="AH1203">
        <v>14.0812377904924</v>
      </c>
      <c r="AI1203">
        <v>94.3019808083735</v>
      </c>
      <c r="AJ1203">
        <v>75.279778434886396</v>
      </c>
      <c r="AK1203">
        <v>14.6002300045438</v>
      </c>
    </row>
    <row r="1204" spans="1:37" x14ac:dyDescent="0.2">
      <c r="A1204" t="str">
        <f>"20200111160124454"</f>
        <v>20200111160124454</v>
      </c>
      <c r="B1204" t="str">
        <f>"1578729684452645"</f>
        <v>1578729684452645</v>
      </c>
      <c r="C1204" t="s">
        <v>37</v>
      </c>
      <c r="D1204">
        <v>4.585102</v>
      </c>
      <c r="E1204">
        <v>0.57230130000000001</v>
      </c>
      <c r="F1204" t="s">
        <v>57</v>
      </c>
      <c r="G1204">
        <v>-221.31139999999999</v>
      </c>
      <c r="H1204" s="1">
        <v>-8.3891249999999995E-7</v>
      </c>
      <c r="I1204">
        <v>285.53019999999998</v>
      </c>
      <c r="J1204">
        <v>-206.66079999999999</v>
      </c>
      <c r="K1204">
        <v>1.095588</v>
      </c>
      <c r="L1204">
        <v>284.38159999999999</v>
      </c>
      <c r="M1204">
        <v>-0.97721349999999996</v>
      </c>
      <c r="N1204">
        <v>0</v>
      </c>
      <c r="O1204">
        <v>-0.21198899999999901</v>
      </c>
      <c r="P1204">
        <v>-0.99538189999999904</v>
      </c>
      <c r="Q1204">
        <v>-2.5023320000000002E-2</v>
      </c>
      <c r="R1204">
        <v>-9.2675250000000001E-2</v>
      </c>
      <c r="S1204">
        <v>-3.0325009999999999</v>
      </c>
      <c r="T1204">
        <v>-0.22267110000000001</v>
      </c>
      <c r="U1204">
        <v>0.22357179999999999</v>
      </c>
      <c r="V1204">
        <v>0.12015099999999999</v>
      </c>
      <c r="W1204">
        <v>-1.6740209999999998E-2</v>
      </c>
      <c r="X1204">
        <v>0.99261440000000001</v>
      </c>
      <c r="Y1204">
        <v>0.2819604</v>
      </c>
      <c r="Z1204">
        <v>2.579002E-2</v>
      </c>
      <c r="AA1204">
        <v>0.95907940000000003</v>
      </c>
      <c r="AB1204">
        <v>27</v>
      </c>
      <c r="AC1204">
        <v>-14.650599999999899</v>
      </c>
      <c r="AD1204">
        <v>-1.0955888389124999</v>
      </c>
      <c r="AE1204">
        <v>1.1485999999999801</v>
      </c>
      <c r="AF1204">
        <v>4.2050634348238596</v>
      </c>
      <c r="AG1204">
        <v>-1.0955888389124999</v>
      </c>
      <c r="AH1204">
        <v>13.996286685683399</v>
      </c>
      <c r="AI1204">
        <v>94.287259374265901</v>
      </c>
      <c r="AJ1204">
        <v>73.277558420071102</v>
      </c>
      <c r="AK1204">
        <v>14.6553374025534</v>
      </c>
    </row>
    <row r="1205" spans="1:37" x14ac:dyDescent="0.2">
      <c r="A1205" t="str">
        <f>"20200111160124477"</f>
        <v>20200111160124477</v>
      </c>
      <c r="B1205" t="str">
        <f>"1578729684472167"</f>
        <v>1578729684472167</v>
      </c>
      <c r="C1205" t="s">
        <v>37</v>
      </c>
      <c r="D1205">
        <v>4.8138769999999997</v>
      </c>
      <c r="E1205">
        <v>0.57269199999999998</v>
      </c>
      <c r="F1205" t="s">
        <v>57</v>
      </c>
      <c r="G1205">
        <v>-222.35230000000001</v>
      </c>
      <c r="H1205" s="1">
        <v>-2.85001E-7</v>
      </c>
      <c r="I1205">
        <v>285.88659999999999</v>
      </c>
      <c r="J1205">
        <v>-206.92830000000001</v>
      </c>
      <c r="K1205">
        <v>1.0959379999999901</v>
      </c>
      <c r="L1205">
        <v>284.33449999999999</v>
      </c>
      <c r="M1205">
        <v>-0.97929569999999999</v>
      </c>
      <c r="N1205">
        <v>0</v>
      </c>
      <c r="O1205">
        <v>-0.20215720000000001</v>
      </c>
      <c r="P1205">
        <v>-0.99594439999999995</v>
      </c>
      <c r="Q1205">
        <v>-2.4417230000000002E-2</v>
      </c>
      <c r="R1205">
        <v>-8.6595060000000001E-2</v>
      </c>
      <c r="S1205">
        <v>-3.0357059999999998</v>
      </c>
      <c r="T1205">
        <v>-0.2119547</v>
      </c>
      <c r="U1205">
        <v>0.29116819999999999</v>
      </c>
      <c r="V1205">
        <v>0.116263899999999</v>
      </c>
      <c r="W1205">
        <v>-1.6041320000000001E-2</v>
      </c>
      <c r="X1205">
        <v>0.99308879999999999</v>
      </c>
      <c r="Y1205">
        <v>0.29355320000000001</v>
      </c>
      <c r="Z1205">
        <v>2.42391E-2</v>
      </c>
      <c r="AA1205">
        <v>0.95563539999999902</v>
      </c>
      <c r="AB1205">
        <v>27</v>
      </c>
      <c r="AC1205">
        <v>-15.423999999999999</v>
      </c>
      <c r="AD1205">
        <v>-1.09593828500099</v>
      </c>
      <c r="AE1205">
        <v>1.55209999999999</v>
      </c>
      <c r="AF1205">
        <v>4.6152309267025604</v>
      </c>
      <c r="AG1205">
        <v>-1.09593828500099</v>
      </c>
      <c r="AH1205">
        <v>14.7181575765833</v>
      </c>
      <c r="AI1205">
        <v>94.064058296211002</v>
      </c>
      <c r="AJ1205">
        <v>72.589933741784904</v>
      </c>
      <c r="AK1205">
        <v>15.4636864841621</v>
      </c>
    </row>
    <row r="1206" spans="1:37" x14ac:dyDescent="0.2">
      <c r="A1206" t="str">
        <f>"20200111160124499"</f>
        <v>20200111160124499</v>
      </c>
      <c r="B1206" t="str">
        <f>"1578729684492662"</f>
        <v>1578729684492662</v>
      </c>
      <c r="C1206" t="s">
        <v>37</v>
      </c>
      <c r="D1206">
        <v>4.572908</v>
      </c>
      <c r="E1206">
        <v>0.57314009999999904</v>
      </c>
      <c r="F1206" t="s">
        <v>57</v>
      </c>
      <c r="G1206">
        <v>-222.84719999999999</v>
      </c>
      <c r="H1206" s="1">
        <v>-2.1647859999999899E-8</v>
      </c>
      <c r="I1206">
        <v>285.9735</v>
      </c>
      <c r="J1206">
        <v>-207.20140000000001</v>
      </c>
      <c r="K1206">
        <v>1.096282</v>
      </c>
      <c r="L1206">
        <v>284.28879999999998</v>
      </c>
      <c r="M1206">
        <v>-0.98120739999999995</v>
      </c>
      <c r="N1206">
        <v>0</v>
      </c>
      <c r="O1206">
        <v>-0.192668899999999</v>
      </c>
      <c r="P1206">
        <v>-0.99620280000000005</v>
      </c>
      <c r="Q1206">
        <v>-2.6174050000000001E-2</v>
      </c>
      <c r="R1206">
        <v>-8.3035419999999999E-2</v>
      </c>
      <c r="S1206">
        <v>-3.0342709999999999</v>
      </c>
      <c r="T1206">
        <v>-0.20889440000000001</v>
      </c>
      <c r="U1206">
        <v>0.31240839999999998</v>
      </c>
      <c r="V1206">
        <v>0.1101721</v>
      </c>
      <c r="W1206">
        <v>-1.7673089999999999E-2</v>
      </c>
      <c r="X1206">
        <v>0.99375539999999996</v>
      </c>
      <c r="Y1206">
        <v>0.29103129999999999</v>
      </c>
      <c r="Z1206">
        <v>2.316468E-2</v>
      </c>
      <c r="AA1206">
        <v>0.95643310000000004</v>
      </c>
      <c r="AB1206">
        <v>27</v>
      </c>
      <c r="AC1206">
        <v>-15.6457999999999</v>
      </c>
      <c r="AD1206">
        <v>-1.0962820216478599</v>
      </c>
      <c r="AE1206">
        <v>1.6847000000000201</v>
      </c>
      <c r="AF1206">
        <v>4.6452127326170203</v>
      </c>
      <c r="AG1206">
        <v>-1.0962820216478599</v>
      </c>
      <c r="AH1206">
        <v>14.955433397579201</v>
      </c>
      <c r="AI1206">
        <v>94.004411438972696</v>
      </c>
      <c r="AJ1206">
        <v>72.745013104131004</v>
      </c>
      <c r="AK1206">
        <v>15.6985611987749</v>
      </c>
    </row>
    <row r="1207" spans="1:37" x14ac:dyDescent="0.2">
      <c r="A1207" t="str">
        <f>"20200111160124520"</f>
        <v>20200111160124520</v>
      </c>
      <c r="B1207" t="str">
        <f>"1578729684512181"</f>
        <v>1578729684512181</v>
      </c>
      <c r="C1207" t="s">
        <v>37</v>
      </c>
      <c r="D1207">
        <v>4.5924930000000002</v>
      </c>
      <c r="E1207">
        <v>0.57291879999999995</v>
      </c>
      <c r="F1207" t="s">
        <v>57</v>
      </c>
      <c r="G1207">
        <v>-222.97980000000001</v>
      </c>
      <c r="H1207" s="1">
        <v>4.891324E-8</v>
      </c>
      <c r="I1207">
        <v>285.9896</v>
      </c>
      <c r="J1207">
        <v>-207.47559999999999</v>
      </c>
      <c r="K1207">
        <v>1.096635</v>
      </c>
      <c r="L1207">
        <v>284.24509999999998</v>
      </c>
      <c r="M1207">
        <v>-0.98292930000000001</v>
      </c>
      <c r="N1207">
        <v>0</v>
      </c>
      <c r="O1207">
        <v>-0.18368699999999999</v>
      </c>
      <c r="P1207">
        <v>-0.99640790000000001</v>
      </c>
      <c r="Q1207">
        <v>-2.6536580000000001E-2</v>
      </c>
      <c r="R1207">
        <v>-8.0419169999999998E-2</v>
      </c>
      <c r="S1207">
        <v>-3.0331419999999998</v>
      </c>
      <c r="T1207">
        <v>-0.21074309999999999</v>
      </c>
      <c r="U1207">
        <v>0.32696529999999902</v>
      </c>
      <c r="V1207">
        <v>0.1036986</v>
      </c>
      <c r="W1207">
        <v>-1.7912190000000001E-2</v>
      </c>
      <c r="X1207">
        <v>0.99444750000000004</v>
      </c>
      <c r="Y1207">
        <v>0.28686849999999903</v>
      </c>
      <c r="Z1207">
        <v>2.2613299999999999E-2</v>
      </c>
      <c r="AA1207">
        <v>0.95770309999999903</v>
      </c>
      <c r="AB1207">
        <v>27</v>
      </c>
      <c r="AC1207">
        <v>-15.504200000000001</v>
      </c>
      <c r="AD1207">
        <v>-1.0966349510867599</v>
      </c>
      <c r="AE1207">
        <v>1.7445000000000099</v>
      </c>
      <c r="AF1207">
        <v>4.5404573571609603</v>
      </c>
      <c r="AG1207">
        <v>-1.0966349510867599</v>
      </c>
      <c r="AH1207">
        <v>14.846556362829499</v>
      </c>
      <c r="AI1207">
        <v>94.0403877638023</v>
      </c>
      <c r="AJ1207">
        <v>72.995025350281196</v>
      </c>
      <c r="AK1207">
        <v>15.564016096843799</v>
      </c>
    </row>
    <row r="1208" spans="1:37" x14ac:dyDescent="0.2">
      <c r="A1208" t="str">
        <f>"20200111160124543"</f>
        <v>20200111160124543</v>
      </c>
      <c r="B1208" t="str">
        <f>"1578729684532677"</f>
        <v>1578729684532677</v>
      </c>
      <c r="C1208" t="s">
        <v>37</v>
      </c>
      <c r="D1208">
        <v>4.5844430000000003</v>
      </c>
      <c r="E1208">
        <v>0.57291919999999996</v>
      </c>
      <c r="F1208" t="s">
        <v>57</v>
      </c>
      <c r="G1208">
        <v>-223.81120000000001</v>
      </c>
      <c r="H1208" s="1">
        <v>4.9133350000000004E-7</v>
      </c>
      <c r="I1208">
        <v>286.04259999999999</v>
      </c>
      <c r="J1208">
        <v>-207.7458</v>
      </c>
      <c r="K1208">
        <v>1.0970070000000001</v>
      </c>
      <c r="L1208">
        <v>284.20389999999998</v>
      </c>
      <c r="M1208">
        <v>-0.98445640000000001</v>
      </c>
      <c r="N1208">
        <v>0</v>
      </c>
      <c r="O1208">
        <v>-0.1753236</v>
      </c>
      <c r="P1208">
        <v>-0.99668189999999901</v>
      </c>
      <c r="Q1208">
        <v>-2.4983140000000001E-2</v>
      </c>
      <c r="R1208">
        <v>-7.7469129999999997E-2</v>
      </c>
      <c r="S1208">
        <v>-3.0323329999999999</v>
      </c>
      <c r="T1208">
        <v>-0.203565</v>
      </c>
      <c r="U1208">
        <v>0.33367920000000001</v>
      </c>
      <c r="V1208">
        <v>9.8233940000000006E-2</v>
      </c>
      <c r="W1208">
        <v>-1.6258419999999999E-2</v>
      </c>
      <c r="X1208">
        <v>0.99503050000000004</v>
      </c>
      <c r="Y1208">
        <v>0.28095019999999998</v>
      </c>
      <c r="Z1208">
        <v>2.109581E-2</v>
      </c>
      <c r="AA1208">
        <v>0.95949050000000002</v>
      </c>
      <c r="AB1208">
        <v>27</v>
      </c>
      <c r="AC1208">
        <v>-16.0654</v>
      </c>
      <c r="AD1208">
        <v>-1.0970065086665</v>
      </c>
      <c r="AE1208">
        <v>1.83870000000001</v>
      </c>
      <c r="AF1208">
        <v>4.6058140809091901</v>
      </c>
      <c r="AG1208">
        <v>-1.0970065086665</v>
      </c>
      <c r="AH1208">
        <v>15.4231656747887</v>
      </c>
      <c r="AI1208">
        <v>93.898858666532902</v>
      </c>
      <c r="AJ1208">
        <v>73.372816924302498</v>
      </c>
      <c r="AK1208">
        <v>16.1335360680769</v>
      </c>
    </row>
    <row r="1209" spans="1:37" x14ac:dyDescent="0.2">
      <c r="A1209" t="str">
        <f>"20200111160124566"</f>
        <v>20200111160124566</v>
      </c>
      <c r="B1209" t="str">
        <f>"1578729684561956"</f>
        <v>1578729684561956</v>
      </c>
      <c r="C1209" t="s">
        <v>37</v>
      </c>
      <c r="D1209">
        <v>4.4716360000000002</v>
      </c>
      <c r="E1209">
        <v>0.57211730000000005</v>
      </c>
      <c r="F1209" t="s">
        <v>57</v>
      </c>
      <c r="G1209">
        <v>-224.69499999999999</v>
      </c>
      <c r="H1209" s="1">
        <v>9.6165820000000003E-7</v>
      </c>
      <c r="I1209">
        <v>286.12020000000001</v>
      </c>
      <c r="J1209">
        <v>-208.04</v>
      </c>
      <c r="K1209">
        <v>1.097407</v>
      </c>
      <c r="L1209">
        <v>284.16120000000001</v>
      </c>
      <c r="M1209">
        <v>-0.98595059999999901</v>
      </c>
      <c r="N1209">
        <v>0</v>
      </c>
      <c r="O1209">
        <v>-0.1667216</v>
      </c>
      <c r="P1209">
        <v>-0.99705699999999997</v>
      </c>
      <c r="Q1209">
        <v>-2.2436310000000001E-2</v>
      </c>
      <c r="R1209">
        <v>-7.33095E-2</v>
      </c>
      <c r="S1209">
        <v>-3.0317080000000001</v>
      </c>
      <c r="T1209">
        <v>-0.19622120000000001</v>
      </c>
      <c r="U1209">
        <v>0.34277340000000001</v>
      </c>
      <c r="V1209">
        <v>9.3761259999999999E-2</v>
      </c>
      <c r="W1209">
        <v>-1.3629779999999999E-2</v>
      </c>
      <c r="X1209">
        <v>0.99550139999999998</v>
      </c>
      <c r="Y1209">
        <v>0.27553359999999999</v>
      </c>
      <c r="Z1209">
        <v>1.9612480000000002E-2</v>
      </c>
      <c r="AA1209">
        <v>0.96109129999999998</v>
      </c>
      <c r="AB1209">
        <v>27</v>
      </c>
      <c r="AC1209">
        <v>-16.655000000000001</v>
      </c>
      <c r="AD1209">
        <v>-1.0974060383418001</v>
      </c>
      <c r="AE1209">
        <v>1.9590000000000001</v>
      </c>
      <c r="AF1209">
        <v>4.6883962664057002</v>
      </c>
      <c r="AG1209">
        <v>-1.0974060383418001</v>
      </c>
      <c r="AH1209">
        <v>16.0266163026978</v>
      </c>
      <c r="AI1209">
        <v>93.760048348179694</v>
      </c>
      <c r="AJ1209">
        <v>73.693789830691699</v>
      </c>
      <c r="AK1209">
        <v>16.734329675183702</v>
      </c>
    </row>
    <row r="1210" spans="1:37" x14ac:dyDescent="0.2">
      <c r="A1210" t="str">
        <f>"20200111160124588"</f>
        <v>20200111160124588</v>
      </c>
      <c r="B1210" t="str">
        <f>"1578729684582452"</f>
        <v>1578729684582452</v>
      </c>
      <c r="C1210" t="s">
        <v>37</v>
      </c>
      <c r="D1210">
        <v>4.4919479999999998</v>
      </c>
      <c r="E1210">
        <v>0.57164499999999996</v>
      </c>
      <c r="F1210" t="s">
        <v>57</v>
      </c>
      <c r="G1210">
        <v>-225.94409999999999</v>
      </c>
      <c r="H1210" s="1">
        <v>1.626361E-6</v>
      </c>
      <c r="I1210">
        <v>286.22280000000001</v>
      </c>
      <c r="J1210">
        <v>-208.30090000000001</v>
      </c>
      <c r="K1210">
        <v>1.097755</v>
      </c>
      <c r="L1210">
        <v>284.12509999999997</v>
      </c>
      <c r="M1210">
        <v>-0.98713859999999998</v>
      </c>
      <c r="N1210">
        <v>0</v>
      </c>
      <c r="O1210">
        <v>-0.1595404</v>
      </c>
      <c r="P1210">
        <v>-0.99726740000000003</v>
      </c>
      <c r="Q1210">
        <v>-1.9730859999999999E-2</v>
      </c>
      <c r="R1210">
        <v>-7.1191679999999993E-2</v>
      </c>
      <c r="S1210">
        <v>-3.030319</v>
      </c>
      <c r="T1210">
        <v>-0.1857395</v>
      </c>
      <c r="U1210">
        <v>0.34893800000000003</v>
      </c>
      <c r="V1210">
        <v>8.8686970000000004E-2</v>
      </c>
      <c r="W1210">
        <v>-1.083815E-2</v>
      </c>
      <c r="X1210">
        <v>0.99600059999999901</v>
      </c>
      <c r="Y1210">
        <v>0.2706305</v>
      </c>
      <c r="Z1210">
        <v>1.798802E-2</v>
      </c>
      <c r="AA1210">
        <v>0.96251520000000002</v>
      </c>
      <c r="AB1210">
        <v>27</v>
      </c>
      <c r="AC1210">
        <v>-17.643199999999901</v>
      </c>
      <c r="AD1210">
        <v>-1.0977533736389999</v>
      </c>
      <c r="AE1210">
        <v>2.0977000000000299</v>
      </c>
      <c r="AF1210">
        <v>4.8671988369472903</v>
      </c>
      <c r="AG1210">
        <v>-1.0977533736389999</v>
      </c>
      <c r="AH1210">
        <v>17.017544843293201</v>
      </c>
      <c r="AI1210">
        <v>93.548956592318206</v>
      </c>
      <c r="AJ1210">
        <v>74.038907147463505</v>
      </c>
      <c r="AK1210">
        <v>17.733908747966801</v>
      </c>
    </row>
    <row r="1211" spans="1:37" x14ac:dyDescent="0.2">
      <c r="A1211" t="str">
        <f>"20200111160124633"</f>
        <v>20200111160124633</v>
      </c>
      <c r="B1211" t="str">
        <f>"1578729684622469"</f>
        <v>1578729684622469</v>
      </c>
      <c r="C1211" t="s">
        <v>37</v>
      </c>
      <c r="D1211">
        <v>6.8151869999999999</v>
      </c>
      <c r="E1211">
        <v>0.5017684</v>
      </c>
      <c r="F1211" t="s">
        <v>57</v>
      </c>
      <c r="G1211">
        <v>-227.0635</v>
      </c>
      <c r="H1211" s="1">
        <v>2.222067E-6</v>
      </c>
      <c r="I1211">
        <v>286.3014</v>
      </c>
      <c r="J1211">
        <v>-208.84889999999999</v>
      </c>
      <c r="K1211">
        <v>1.098393</v>
      </c>
      <c r="L1211">
        <v>284.05399999999997</v>
      </c>
      <c r="M1211">
        <v>-0.98927310000000002</v>
      </c>
      <c r="N1211">
        <v>0</v>
      </c>
      <c r="O1211">
        <v>-0.1457311</v>
      </c>
      <c r="P1211">
        <v>-0.9975503</v>
      </c>
      <c r="Q1211">
        <v>-1.603104E-2</v>
      </c>
      <c r="R1211">
        <v>-6.8095080000000002E-2</v>
      </c>
      <c r="S1211">
        <v>-3.0297999999999998</v>
      </c>
      <c r="T1211">
        <v>-0.17726629999999999</v>
      </c>
      <c r="U1211">
        <v>0.35144039999999999</v>
      </c>
      <c r="V1211">
        <v>7.7930579999999999E-2</v>
      </c>
      <c r="W1211">
        <v>-6.9837600000000003E-3</v>
      </c>
      <c r="X1211">
        <v>0.9969344</v>
      </c>
      <c r="Y1211">
        <v>0.25807669999999999</v>
      </c>
      <c r="Z1211">
        <v>1.6004399999999998E-2</v>
      </c>
      <c r="AA1211">
        <v>0.96599190000000001</v>
      </c>
      <c r="AB1211">
        <v>27</v>
      </c>
      <c r="AC1211">
        <v>-18.214600000000001</v>
      </c>
      <c r="AD1211">
        <v>-1.098390777933</v>
      </c>
      <c r="AE1211">
        <v>2.2473999999999701</v>
      </c>
      <c r="AF1211">
        <v>4.8605628220272399</v>
      </c>
      <c r="AG1211">
        <v>-1.098390777933</v>
      </c>
      <c r="AH1211">
        <v>17.629446020545199</v>
      </c>
      <c r="AI1211">
        <v>93.437244036314993</v>
      </c>
      <c r="AJ1211">
        <v>74.586092021982395</v>
      </c>
      <c r="AK1211">
        <v>18.320177407417098</v>
      </c>
    </row>
    <row r="1212" spans="1:37" x14ac:dyDescent="0.2">
      <c r="A1212" t="str">
        <f>"20200111160124655"</f>
        <v>20200111160124655</v>
      </c>
      <c r="B1212" t="str">
        <f>"1578729684651722"</f>
        <v>1578729684651722</v>
      </c>
      <c r="C1212" t="s">
        <v>37</v>
      </c>
      <c r="D1212">
        <v>4.5775889999999997</v>
      </c>
      <c r="E1212">
        <v>0.49022829999999901</v>
      </c>
      <c r="F1212" t="s">
        <v>57</v>
      </c>
      <c r="G1212">
        <v>-233.07849999999999</v>
      </c>
      <c r="H1212" s="1">
        <v>1.94809299999999E-7</v>
      </c>
      <c r="I1212">
        <v>282.48070000000001</v>
      </c>
      <c r="J1212">
        <v>-209.12099999999899</v>
      </c>
      <c r="K1212">
        <v>1.0986309999999999</v>
      </c>
      <c r="L1212">
        <v>284.02099999999899</v>
      </c>
      <c r="M1212">
        <v>-0.99019020000000002</v>
      </c>
      <c r="N1212">
        <v>0</v>
      </c>
      <c r="O1212">
        <v>-0.1393672</v>
      </c>
      <c r="P1212">
        <v>-0.9975058</v>
      </c>
      <c r="Q1212">
        <v>-1.7891509999999999E-2</v>
      </c>
      <c r="R1212">
        <v>-6.8280300000000002E-2</v>
      </c>
      <c r="S1212">
        <v>-2.9919279999999899</v>
      </c>
      <c r="T1212">
        <v>-0.13563220000000001</v>
      </c>
      <c r="U1212">
        <v>-0.1942749</v>
      </c>
      <c r="V1212">
        <v>7.1310960000000007E-2</v>
      </c>
      <c r="W1212">
        <v>-8.7682809999999993E-3</v>
      </c>
      <c r="X1212">
        <v>0.99741559999999996</v>
      </c>
      <c r="Y1212">
        <v>7.4699479999999999E-2</v>
      </c>
      <c r="Z1212">
        <v>7.97626699999999E-3</v>
      </c>
      <c r="AA1212">
        <v>0.99717420000000001</v>
      </c>
      <c r="AB1212">
        <v>28</v>
      </c>
      <c r="AC1212">
        <v>-23.9575</v>
      </c>
      <c r="AD1212">
        <v>-1.0986308051906899</v>
      </c>
      <c r="AE1212">
        <v>-1.5402999999999401</v>
      </c>
      <c r="AF1212">
        <v>1.8099999609853901</v>
      </c>
      <c r="AG1212">
        <v>-1.0986308051906899</v>
      </c>
      <c r="AH1212">
        <v>23.8883195996045</v>
      </c>
      <c r="AI1212">
        <v>92.625678589781103</v>
      </c>
      <c r="AJ1212">
        <v>85.667021185246398</v>
      </c>
      <c r="AK1212">
        <v>23.9819703693781</v>
      </c>
    </row>
    <row r="1213" spans="1:37" x14ac:dyDescent="0.2">
      <c r="A1213" t="str">
        <f>"20200111160124678"</f>
        <v>20200111160124678</v>
      </c>
      <c r="B1213" t="str">
        <f>"1578729684672219"</f>
        <v>1578729684672219</v>
      </c>
      <c r="C1213" t="s">
        <v>37</v>
      </c>
      <c r="D1213">
        <v>4.4723899999999999</v>
      </c>
      <c r="E1213">
        <v>0.48574099999999998</v>
      </c>
      <c r="F1213" t="s">
        <v>42</v>
      </c>
      <c r="G1213">
        <v>-210.02889999999999</v>
      </c>
      <c r="H1213">
        <v>1.049823</v>
      </c>
      <c r="I1213">
        <v>283.93360000000001</v>
      </c>
      <c r="J1213">
        <v>-209.39940000000001</v>
      </c>
      <c r="K1213">
        <v>1.0988260000000001</v>
      </c>
      <c r="L1213">
        <v>283.98869999999999</v>
      </c>
      <c r="M1213">
        <v>-0.99104740000000002</v>
      </c>
      <c r="N1213">
        <v>0</v>
      </c>
      <c r="O1213">
        <v>-0.13313749999999999</v>
      </c>
      <c r="P1213">
        <v>-0.99732520000000002</v>
      </c>
      <c r="Q1213">
        <v>-2.133585E-2</v>
      </c>
      <c r="R1213">
        <v>-6.9908919999999999E-2</v>
      </c>
      <c r="S1213">
        <v>-2.9849549999999998</v>
      </c>
      <c r="T1213">
        <v>-0.16049150000000001</v>
      </c>
      <c r="U1213">
        <v>-0.28741459999999902</v>
      </c>
      <c r="V1213">
        <v>6.3363900000000001E-2</v>
      </c>
      <c r="W1213">
        <v>-1.212882E-2</v>
      </c>
      <c r="X1213">
        <v>0.99791679999999905</v>
      </c>
      <c r="Y1213">
        <v>3.7297740000000003E-2</v>
      </c>
      <c r="Z1213">
        <v>8.1094229999999993E-3</v>
      </c>
      <c r="AA1213">
        <v>0.99927129999999997</v>
      </c>
      <c r="AB1213">
        <v>28</v>
      </c>
      <c r="AC1213">
        <v>-0.62949999999997797</v>
      </c>
      <c r="AD1213">
        <v>-4.9003000000000102E-2</v>
      </c>
      <c r="AE1213">
        <v>-5.5099999999981698E-2</v>
      </c>
      <c r="AF1213">
        <v>2.9030218851668701E-2</v>
      </c>
      <c r="AG1213">
        <v>-4.9003000000000102E-2</v>
      </c>
      <c r="AH1213">
        <v>0.627458281749951</v>
      </c>
      <c r="AI1213">
        <v>94.460847405631</v>
      </c>
      <c r="AJ1213">
        <v>87.3510211355606</v>
      </c>
      <c r="AK1213">
        <v>0.63003804881306702</v>
      </c>
    </row>
    <row r="1214" spans="1:37" x14ac:dyDescent="0.2">
      <c r="A1214" t="str">
        <f>"20200111160124699"</f>
        <v>20200111160124699</v>
      </c>
      <c r="B1214" t="str">
        <f>"1578729684691738"</f>
        <v>1578729684691738</v>
      </c>
      <c r="C1214" t="s">
        <v>37</v>
      </c>
      <c r="D1214">
        <v>4.5396999999999998</v>
      </c>
      <c r="E1214">
        <v>0.48352909999999999</v>
      </c>
      <c r="F1214" t="s">
        <v>42</v>
      </c>
      <c r="G1214">
        <v>-210.273</v>
      </c>
      <c r="H1214">
        <v>1.045018</v>
      </c>
      <c r="I1214">
        <v>283.89269999999999</v>
      </c>
      <c r="J1214">
        <v>-209.67679999999999</v>
      </c>
      <c r="K1214">
        <v>1.0990059999999999</v>
      </c>
      <c r="L1214">
        <v>283.9581</v>
      </c>
      <c r="M1214">
        <v>-0.99182700000000001</v>
      </c>
      <c r="N1214">
        <v>0</v>
      </c>
      <c r="O1214">
        <v>-0.1272036</v>
      </c>
      <c r="P1214">
        <v>-0.99704519999999996</v>
      </c>
      <c r="Q1214">
        <v>-2.5860600000000001E-2</v>
      </c>
      <c r="R1214">
        <v>-7.2332800000000003E-2</v>
      </c>
      <c r="S1214">
        <v>-2.9811399999999999</v>
      </c>
      <c r="T1214">
        <v>-0.18359110000000001</v>
      </c>
      <c r="U1214">
        <v>-0.32800289999999999</v>
      </c>
      <c r="V1214">
        <v>5.490565E-2</v>
      </c>
      <c r="W1214">
        <v>-1.6570390000000001E-2</v>
      </c>
      <c r="X1214">
        <v>0.99835399999999996</v>
      </c>
      <c r="Y1214">
        <v>1.7699960000000001E-2</v>
      </c>
      <c r="Z1214">
        <v>8.316614E-3</v>
      </c>
      <c r="AA1214">
        <v>0.99980869999999999</v>
      </c>
      <c r="AB1214">
        <v>28</v>
      </c>
      <c r="AC1214">
        <v>-0.59620000000001006</v>
      </c>
      <c r="AD1214">
        <v>-5.3987999999999897E-2</v>
      </c>
      <c r="AE1214">
        <v>-6.5400000000010894E-2</v>
      </c>
      <c r="AF1214">
        <v>1.08856404380504E-2</v>
      </c>
      <c r="AG1214">
        <v>-5.3987999999999897E-2</v>
      </c>
      <c r="AH1214">
        <v>0.59485610485433305</v>
      </c>
      <c r="AI1214">
        <v>95.184984261062993</v>
      </c>
      <c r="AJ1214">
        <v>88.951626044657203</v>
      </c>
      <c r="AK1214">
        <v>0.59740018981769305</v>
      </c>
    </row>
    <row r="1215" spans="1:37" x14ac:dyDescent="0.2">
      <c r="A1215" t="str">
        <f>"20200111160124723"</f>
        <v>20200111160124723</v>
      </c>
      <c r="B1215" t="str">
        <f>"1578729684712234"</f>
        <v>1578729684712234</v>
      </c>
      <c r="C1215" t="s">
        <v>37</v>
      </c>
      <c r="D1215">
        <v>4.4463569999999999</v>
      </c>
      <c r="E1215">
        <v>0.48243069999999999</v>
      </c>
      <c r="F1215" t="s">
        <v>42</v>
      </c>
      <c r="G1215">
        <v>-210.51859999999999</v>
      </c>
      <c r="H1215">
        <v>1.0410889999999999</v>
      </c>
      <c r="I1215">
        <v>283.85840000000002</v>
      </c>
      <c r="J1215">
        <v>-209.97579999999999</v>
      </c>
      <c r="K1215">
        <v>1.099208</v>
      </c>
      <c r="L1215">
        <v>283.92660000000001</v>
      </c>
      <c r="M1215">
        <v>-0.992591</v>
      </c>
      <c r="N1215">
        <v>0</v>
      </c>
      <c r="O1215">
        <v>-0.1211013</v>
      </c>
      <c r="P1215">
        <v>-0.99673889999999998</v>
      </c>
      <c r="Q1215">
        <v>-2.9595739999999999E-2</v>
      </c>
      <c r="R1215">
        <v>-7.5073390000000004E-2</v>
      </c>
      <c r="S1215">
        <v>-2.9779969999999998</v>
      </c>
      <c r="T1215">
        <v>-0.204830499999999</v>
      </c>
      <c r="U1215">
        <v>-0.35266110000000001</v>
      </c>
      <c r="V1215">
        <v>4.597673E-2</v>
      </c>
      <c r="W1215">
        <v>-2.022415E-2</v>
      </c>
      <c r="X1215">
        <v>0.99873780000000001</v>
      </c>
      <c r="Y1215">
        <v>3.2442759999999999E-3</v>
      </c>
      <c r="Z1215">
        <v>8.3722019999999901E-3</v>
      </c>
      <c r="AA1215">
        <v>0.99995970000000001</v>
      </c>
      <c r="AB1215">
        <v>28</v>
      </c>
      <c r="AC1215">
        <v>-0.54279999999999895</v>
      </c>
      <c r="AD1215">
        <v>-5.8118999999999997E-2</v>
      </c>
      <c r="AE1215">
        <v>-6.8199999999990199E-2</v>
      </c>
      <c r="AF1215">
        <v>-1.9391305069145601E-3</v>
      </c>
      <c r="AG1215">
        <v>-5.8118999999999997E-2</v>
      </c>
      <c r="AH1215">
        <v>0.54095873796685801</v>
      </c>
      <c r="AI1215">
        <v>96.132127504958603</v>
      </c>
      <c r="AJ1215">
        <v>90.205382611095303</v>
      </c>
      <c r="AK1215">
        <v>0.54407530229814605</v>
      </c>
    </row>
    <row r="1216" spans="1:37" x14ac:dyDescent="0.2">
      <c r="A1216" t="str">
        <f>"20200111160124747"</f>
        <v>20200111160124747</v>
      </c>
      <c r="B1216" t="str">
        <f>"1578729684742490"</f>
        <v>1578729684742490</v>
      </c>
      <c r="C1216" t="s">
        <v>37</v>
      </c>
      <c r="D1216">
        <v>4.5221450000000001</v>
      </c>
      <c r="E1216">
        <v>0.48229849999999902</v>
      </c>
      <c r="F1216" t="s">
        <v>42</v>
      </c>
      <c r="G1216">
        <v>-210.7775</v>
      </c>
      <c r="H1216">
        <v>1.0400799999999999</v>
      </c>
      <c r="I1216">
        <v>283.82709999999997</v>
      </c>
      <c r="J1216">
        <v>-210.26480000000001</v>
      </c>
      <c r="K1216">
        <v>1.0994159999999999</v>
      </c>
      <c r="L1216">
        <v>283.89760000000001</v>
      </c>
      <c r="M1216">
        <v>-0.99326059999999905</v>
      </c>
      <c r="N1216">
        <v>0</v>
      </c>
      <c r="O1216">
        <v>-0.1154857</v>
      </c>
      <c r="P1216">
        <v>-0.99642039999999998</v>
      </c>
      <c r="Q1216">
        <v>-3.120067E-2</v>
      </c>
      <c r="R1216">
        <v>-7.8569929999999996E-2</v>
      </c>
      <c r="S1216">
        <v>-2.9754640000000001</v>
      </c>
      <c r="T1216">
        <v>-0.21948389999999901</v>
      </c>
      <c r="U1216">
        <v>-0.36959839999999999</v>
      </c>
      <c r="V1216">
        <v>3.6812860000000003E-2</v>
      </c>
      <c r="W1216">
        <v>-2.1749520000000001E-2</v>
      </c>
      <c r="X1216">
        <v>0.99908549999999996</v>
      </c>
      <c r="Y1216">
        <v>-8.1179800000000003E-3</v>
      </c>
      <c r="Z1216">
        <v>8.1480000000000007E-3</v>
      </c>
      <c r="AA1216">
        <v>0.99993379999999998</v>
      </c>
      <c r="AB1216">
        <v>28</v>
      </c>
      <c r="AC1216">
        <v>-0.51269999999999505</v>
      </c>
      <c r="AD1216">
        <v>-5.9336E-2</v>
      </c>
      <c r="AE1216">
        <v>-7.0500000000038199E-2</v>
      </c>
      <c r="AF1216">
        <v>-1.0675540849092601E-2</v>
      </c>
      <c r="AG1216">
        <v>-5.9336E-2</v>
      </c>
      <c r="AH1216">
        <v>0.51069805420869796</v>
      </c>
      <c r="AI1216">
        <v>96.625822553991</v>
      </c>
      <c r="AJ1216">
        <v>91.197526327306207</v>
      </c>
      <c r="AK1216">
        <v>0.51424432971202605</v>
      </c>
    </row>
    <row r="1217" spans="1:37" x14ac:dyDescent="0.2">
      <c r="A1217" t="str">
        <f>"20200111160124790"</f>
        <v>20200111160124790</v>
      </c>
      <c r="B1217" t="str">
        <f>"1578729684782507"</f>
        <v>1578729684782507</v>
      </c>
      <c r="C1217" t="s">
        <v>37</v>
      </c>
      <c r="D1217">
        <v>4.7234850000000002</v>
      </c>
      <c r="E1217">
        <v>0.48146339999999999</v>
      </c>
      <c r="F1217" t="s">
        <v>57</v>
      </c>
      <c r="G1217">
        <v>-224.84379999999999</v>
      </c>
      <c r="H1217" s="1">
        <v>1.0408569999999999E-6</v>
      </c>
      <c r="I1217">
        <v>282.02760000000001</v>
      </c>
      <c r="J1217">
        <v>-210.79580000000001</v>
      </c>
      <c r="K1217">
        <v>1.099858</v>
      </c>
      <c r="L1217">
        <v>283.8476</v>
      </c>
      <c r="M1217">
        <v>-0.994324599999999</v>
      </c>
      <c r="N1217">
        <v>0</v>
      </c>
      <c r="O1217">
        <v>-0.1059403</v>
      </c>
      <c r="P1217">
        <v>-0.9957703</v>
      </c>
      <c r="Q1217">
        <v>-2.8969129999999999E-2</v>
      </c>
      <c r="R1217">
        <v>-8.7192619999999998E-2</v>
      </c>
      <c r="S1217">
        <v>-2.9736790000000002</v>
      </c>
      <c r="T1217">
        <v>-0.224246999999999</v>
      </c>
      <c r="U1217">
        <v>-0.38140869999999999</v>
      </c>
      <c r="V1217">
        <v>1.8617430000000001E-2</v>
      </c>
      <c r="W1217">
        <v>-1.9374200000000001E-2</v>
      </c>
      <c r="X1217">
        <v>0.99963899999999895</v>
      </c>
      <c r="Y1217">
        <v>-2.165274E-2</v>
      </c>
      <c r="Z1217">
        <v>7.1091139999999997E-3</v>
      </c>
      <c r="AA1217">
        <v>0.99974030000000003</v>
      </c>
      <c r="AB1217">
        <v>28</v>
      </c>
      <c r="AC1217">
        <v>-14.047999999999901</v>
      </c>
      <c r="AD1217">
        <v>-1.0998569591430001</v>
      </c>
      <c r="AE1217">
        <v>-1.8199999999999901</v>
      </c>
      <c r="AF1217">
        <v>-0.31951055301928499</v>
      </c>
      <c r="AG1217">
        <v>-1.0998569591430001</v>
      </c>
      <c r="AH1217">
        <v>14.076894182549401</v>
      </c>
      <c r="AI1217">
        <v>94.466416304785398</v>
      </c>
      <c r="AJ1217">
        <v>91.300248706562201</v>
      </c>
      <c r="AK1217">
        <v>14.123410429169001</v>
      </c>
    </row>
    <row r="1218" spans="1:37" x14ac:dyDescent="0.2">
      <c r="A1218" t="str">
        <f>"20200111160124810"</f>
        <v>20200111160124810</v>
      </c>
      <c r="B1218" t="str">
        <f>"1578729684802026"</f>
        <v>1578729684802026</v>
      </c>
      <c r="C1218" t="s">
        <v>37</v>
      </c>
      <c r="D1218">
        <v>4.6047820000000002</v>
      </c>
      <c r="E1218">
        <v>0.48149319999999901</v>
      </c>
      <c r="F1218" t="s">
        <v>57</v>
      </c>
      <c r="G1218">
        <v>-225.7354</v>
      </c>
      <c r="H1218" s="1">
        <v>1.5152910000000001E-6</v>
      </c>
      <c r="I1218">
        <v>281.76330000000002</v>
      </c>
      <c r="J1218">
        <v>-211.07040000000001</v>
      </c>
      <c r="K1218">
        <v>1.1000589999999999</v>
      </c>
      <c r="L1218">
        <v>283.82339999999999</v>
      </c>
      <c r="M1218">
        <v>-0.99480210000000002</v>
      </c>
      <c r="N1218">
        <v>0</v>
      </c>
      <c r="O1218">
        <v>-0.1013612</v>
      </c>
      <c r="P1218">
        <v>-0.99549650000000001</v>
      </c>
      <c r="Q1218">
        <v>-2.775213E-2</v>
      </c>
      <c r="R1218">
        <v>-9.0647450000000004E-2</v>
      </c>
      <c r="S1218">
        <v>-2.9701080000000002</v>
      </c>
      <c r="T1218">
        <v>-0.21866039999999901</v>
      </c>
      <c r="U1218">
        <v>-0.41436769999999901</v>
      </c>
      <c r="V1218">
        <v>1.057015E-2</v>
      </c>
      <c r="W1218">
        <v>-1.8106069999999998E-2</v>
      </c>
      <c r="X1218">
        <v>0.99978020000000001</v>
      </c>
      <c r="Y1218">
        <v>-3.7238050000000002E-2</v>
      </c>
      <c r="Z1218">
        <v>6.0318519999999999E-3</v>
      </c>
      <c r="AA1218">
        <v>0.99928819999999996</v>
      </c>
      <c r="AB1218">
        <v>28</v>
      </c>
      <c r="AC1218">
        <v>-14.6649999999999</v>
      </c>
      <c r="AD1218">
        <v>-1.1000574847090001</v>
      </c>
      <c r="AE1218">
        <v>-2.0600999999999701</v>
      </c>
      <c r="AF1218">
        <v>-0.55986712855756904</v>
      </c>
      <c r="AG1218">
        <v>-1.1000574847090001</v>
      </c>
      <c r="AH1218">
        <v>14.7170791545065</v>
      </c>
      <c r="AI1218">
        <v>94.271659795486798</v>
      </c>
      <c r="AJ1218">
        <v>92.178595512639106</v>
      </c>
      <c r="AK1218">
        <v>14.7687506753724</v>
      </c>
    </row>
    <row r="1219" spans="1:37" x14ac:dyDescent="0.2">
      <c r="A1219" t="str">
        <f>"20200111160124834"</f>
        <v>20200111160124834</v>
      </c>
      <c r="B1219" t="str">
        <f>"1578729684823498"</f>
        <v>1578729684823498</v>
      </c>
      <c r="C1219" t="s">
        <v>37</v>
      </c>
      <c r="D1219">
        <v>4.6377509999999997</v>
      </c>
      <c r="E1219">
        <v>0.48162549999999998</v>
      </c>
      <c r="F1219" t="s">
        <v>57</v>
      </c>
      <c r="G1219">
        <v>-226.22980000000001</v>
      </c>
      <c r="H1219" s="1">
        <v>1.7783709999999901E-6</v>
      </c>
      <c r="I1219">
        <v>281.65660000000003</v>
      </c>
      <c r="J1219">
        <v>-211.35849999999999</v>
      </c>
      <c r="K1219">
        <v>1.100212</v>
      </c>
      <c r="L1219">
        <v>283.79919999999998</v>
      </c>
      <c r="M1219">
        <v>-0.99526229999999904</v>
      </c>
      <c r="N1219">
        <v>0</v>
      </c>
      <c r="O1219">
        <v>-9.6739930000000002E-2</v>
      </c>
      <c r="P1219">
        <v>-0.995309</v>
      </c>
      <c r="Q1219">
        <v>-2.705101E-2</v>
      </c>
      <c r="R1219">
        <v>-9.2889810000000003E-2</v>
      </c>
      <c r="S1219">
        <v>-2.9689329999999998</v>
      </c>
      <c r="T1219">
        <v>-0.2154441</v>
      </c>
      <c r="U1219">
        <v>-0.42437740000000002</v>
      </c>
      <c r="V1219">
        <v>3.69024E-3</v>
      </c>
      <c r="W1219">
        <v>-1.736886E-2</v>
      </c>
      <c r="X1219">
        <v>0.99984229999999996</v>
      </c>
      <c r="Y1219">
        <v>-4.5198120000000001E-2</v>
      </c>
      <c r="Z1219">
        <v>5.3261719999999997E-3</v>
      </c>
      <c r="AA1219">
        <v>0.99896379999999996</v>
      </c>
      <c r="AB1219">
        <v>28</v>
      </c>
      <c r="AC1219">
        <v>-14.8713</v>
      </c>
      <c r="AD1219">
        <v>-1.100210221629</v>
      </c>
      <c r="AE1219">
        <v>-2.1425999999999501</v>
      </c>
      <c r="AF1219">
        <v>-0.690132687176362</v>
      </c>
      <c r="AG1219">
        <v>-1.100210221629</v>
      </c>
      <c r="AH1219">
        <v>14.928778371058501</v>
      </c>
      <c r="AI1219">
        <v>94.210442391429893</v>
      </c>
      <c r="AJ1219">
        <v>92.646804561549203</v>
      </c>
      <c r="AK1219">
        <v>14.9851649743962</v>
      </c>
    </row>
    <row r="1220" spans="1:37" x14ac:dyDescent="0.2">
      <c r="A1220" t="str">
        <f>"20200111160124855"</f>
        <v>20200111160124855</v>
      </c>
      <c r="B1220" t="str">
        <f>"1578729684851802"</f>
        <v>1578729684851802</v>
      </c>
      <c r="C1220" t="s">
        <v>37</v>
      </c>
      <c r="D1220">
        <v>4.6968069999999997</v>
      </c>
      <c r="E1220">
        <v>0.4821781</v>
      </c>
      <c r="F1220" t="s">
        <v>57</v>
      </c>
      <c r="G1220">
        <v>-226.4922</v>
      </c>
      <c r="H1220" s="1">
        <v>1.9180570000000002E-6</v>
      </c>
      <c r="I1220">
        <v>281.60660000000001</v>
      </c>
      <c r="J1220">
        <v>-211.63040000000001</v>
      </c>
      <c r="K1220">
        <v>1.1003319999999901</v>
      </c>
      <c r="L1220">
        <v>283.77730000000003</v>
      </c>
      <c r="M1220">
        <v>-0.99565949999999903</v>
      </c>
      <c r="N1220">
        <v>0</v>
      </c>
      <c r="O1220">
        <v>-9.2563989999999999E-2</v>
      </c>
      <c r="P1220">
        <v>-0.99527670000000001</v>
      </c>
      <c r="Q1220">
        <v>-2.6203480000000001E-2</v>
      </c>
      <c r="R1220">
        <v>-9.3476809999999994E-2</v>
      </c>
      <c r="S1220">
        <v>-2.9681090000000001</v>
      </c>
      <c r="T1220">
        <v>-0.21577840000000001</v>
      </c>
      <c r="U1220">
        <v>-0.43002319999999999</v>
      </c>
      <c r="V1220">
        <v>-1.0797139999999901E-3</v>
      </c>
      <c r="W1220">
        <v>-1.6502799999999901E-2</v>
      </c>
      <c r="X1220">
        <v>0.99986319999999995</v>
      </c>
      <c r="Y1220">
        <v>-5.1262580000000002E-2</v>
      </c>
      <c r="Z1220">
        <v>4.81639799999999E-3</v>
      </c>
      <c r="AA1220">
        <v>0.99867359999999905</v>
      </c>
      <c r="AB1220">
        <v>28</v>
      </c>
      <c r="AC1220">
        <v>-14.861799999999899</v>
      </c>
      <c r="AD1220">
        <v>-1.100330081943</v>
      </c>
      <c r="AE1220">
        <v>-2.1707000000000098</v>
      </c>
      <c r="AF1220">
        <v>-0.78145342302629195</v>
      </c>
      <c r="AG1220">
        <v>-1.100330081943</v>
      </c>
      <c r="AH1220">
        <v>14.9188562301364</v>
      </c>
      <c r="AI1220">
        <v>94.212419731877503</v>
      </c>
      <c r="AJ1220">
        <v>92.998427021579701</v>
      </c>
      <c r="AK1220">
        <v>14.9797752639039</v>
      </c>
    </row>
    <row r="1221" spans="1:37" x14ac:dyDescent="0.2">
      <c r="A1221" t="str">
        <f>"20200111160124878"</f>
        <v>20200111160124878</v>
      </c>
      <c r="B1221" t="str">
        <f>"1578729684872299"</f>
        <v>1578729684872299</v>
      </c>
      <c r="C1221" t="s">
        <v>37</v>
      </c>
      <c r="D1221">
        <v>4.7938929999999997</v>
      </c>
      <c r="E1221">
        <v>0.48226390000000002</v>
      </c>
      <c r="F1221" t="s">
        <v>57</v>
      </c>
      <c r="G1221">
        <v>-226.68119999999999</v>
      </c>
      <c r="H1221" s="1">
        <v>2.0186340000000001E-6</v>
      </c>
      <c r="I1221">
        <v>281.60919999999999</v>
      </c>
      <c r="J1221">
        <v>-211.90459999999999</v>
      </c>
      <c r="K1221">
        <v>1.1004389999999999</v>
      </c>
      <c r="L1221">
        <v>283.75630000000001</v>
      </c>
      <c r="M1221">
        <v>-0.99602780000000002</v>
      </c>
      <c r="N1221">
        <v>0</v>
      </c>
      <c r="O1221">
        <v>-8.8515869999999996E-2</v>
      </c>
      <c r="P1221">
        <v>-0.99544820000000001</v>
      </c>
      <c r="Q1221">
        <v>-2.3760489999999999E-2</v>
      </c>
      <c r="R1221">
        <v>-9.2295890000000005E-2</v>
      </c>
      <c r="S1221">
        <v>-2.968369</v>
      </c>
      <c r="T1221">
        <v>-0.2170097</v>
      </c>
      <c r="U1221">
        <v>-0.427612299999999</v>
      </c>
      <c r="V1221">
        <v>-3.9276110000000001E-3</v>
      </c>
      <c r="W1221">
        <v>-1.4057149999999999E-2</v>
      </c>
      <c r="X1221">
        <v>0.99989349999999999</v>
      </c>
      <c r="Y1221">
        <v>-5.4497400000000001E-2</v>
      </c>
      <c r="Z1221">
        <v>4.4340550000000001E-3</v>
      </c>
      <c r="AA1221">
        <v>0.99850399999999995</v>
      </c>
      <c r="AB1221">
        <v>28</v>
      </c>
      <c r="AC1221">
        <v>-14.7766</v>
      </c>
      <c r="AD1221">
        <v>-1.100436981366</v>
      </c>
      <c r="AE1221">
        <v>-2.14710000000002</v>
      </c>
      <c r="AF1221">
        <v>-0.82615938753205098</v>
      </c>
      <c r="AG1221">
        <v>-1.100436981366</v>
      </c>
      <c r="AH1221">
        <v>14.828117650582</v>
      </c>
      <c r="AI1221">
        <v>94.237754613396007</v>
      </c>
      <c r="AJ1221">
        <v>93.188979074545799</v>
      </c>
      <c r="AK1221">
        <v>14.8918290999819</v>
      </c>
    </row>
    <row r="1222" spans="1:37" x14ac:dyDescent="0.2">
      <c r="A1222" t="str">
        <f>"20200111160124900"</f>
        <v>20200111160124900</v>
      </c>
      <c r="B1222" t="str">
        <f>"1578729684891818"</f>
        <v>1578729684891818</v>
      </c>
      <c r="C1222" t="s">
        <v>37</v>
      </c>
      <c r="D1222">
        <v>4.7920780000000001</v>
      </c>
      <c r="E1222">
        <v>0.48260519999999901</v>
      </c>
      <c r="F1222" t="s">
        <v>57</v>
      </c>
      <c r="G1222">
        <v>-227.29599999999999</v>
      </c>
      <c r="H1222" s="1">
        <v>2.3457709999999999E-6</v>
      </c>
      <c r="I1222">
        <v>281.56139999999999</v>
      </c>
      <c r="J1222">
        <v>-212.19810000000001</v>
      </c>
      <c r="K1222">
        <v>1.1005320000000001</v>
      </c>
      <c r="L1222">
        <v>283.73489999999998</v>
      </c>
      <c r="M1222">
        <v>-0.99639230000000001</v>
      </c>
      <c r="N1222">
        <v>0</v>
      </c>
      <c r="O1222">
        <v>-8.4315559999999998E-2</v>
      </c>
      <c r="P1222">
        <v>-0.99562260000000002</v>
      </c>
      <c r="Q1222">
        <v>-1.984578E-2</v>
      </c>
      <c r="R1222">
        <v>-9.1331549999999997E-2</v>
      </c>
      <c r="S1222">
        <v>-2.9694210000000001</v>
      </c>
      <c r="T1222">
        <v>-0.21230499999999999</v>
      </c>
      <c r="U1222">
        <v>-0.4234619</v>
      </c>
      <c r="V1222">
        <v>-7.1343119999999899E-3</v>
      </c>
      <c r="W1222">
        <v>-1.013766E-2</v>
      </c>
      <c r="X1222">
        <v>0.99992320000000001</v>
      </c>
      <c r="Y1222">
        <v>-5.7268579999999999E-2</v>
      </c>
      <c r="Z1222">
        <v>3.9420469999999997E-3</v>
      </c>
      <c r="AA1222">
        <v>0.99835099999999999</v>
      </c>
      <c r="AB1222">
        <v>28</v>
      </c>
      <c r="AC1222">
        <v>-15.0978999999999</v>
      </c>
      <c r="AD1222">
        <v>-1.100529654229</v>
      </c>
      <c r="AE1222">
        <v>-2.17349999999999</v>
      </c>
      <c r="AF1222">
        <v>-0.88808946066817196</v>
      </c>
      <c r="AG1222">
        <v>-1.100529654229</v>
      </c>
      <c r="AH1222">
        <v>15.1485456873489</v>
      </c>
      <c r="AI1222">
        <v>94.148094968159299</v>
      </c>
      <c r="AJ1222">
        <v>93.355147359849099</v>
      </c>
      <c r="AK1222">
        <v>15.2144110911886</v>
      </c>
    </row>
    <row r="1223" spans="1:37" x14ac:dyDescent="0.2">
      <c r="A1223" t="str">
        <f>"20200111160125057"</f>
        <v>20200111160125057</v>
      </c>
      <c r="B1223" t="str">
        <f>"1578729685051778"</f>
        <v>1578729685051778</v>
      </c>
      <c r="C1223" t="s">
        <v>37</v>
      </c>
      <c r="D1223">
        <v>4.8539769999999898</v>
      </c>
      <c r="E1223">
        <v>0.51290219999999997</v>
      </c>
      <c r="F1223" t="s">
        <v>57</v>
      </c>
      <c r="G1223">
        <v>-228.18459999999999</v>
      </c>
      <c r="H1223" s="1">
        <v>2.8186660000000001E-6</v>
      </c>
      <c r="I1223">
        <v>281.48750000000001</v>
      </c>
      <c r="J1223">
        <v>-214.18639999999999</v>
      </c>
      <c r="K1223">
        <v>1.1013059999999999</v>
      </c>
      <c r="L1223">
        <v>283.61669999999998</v>
      </c>
      <c r="M1223">
        <v>-0.99818459999999998</v>
      </c>
      <c r="N1223">
        <v>0</v>
      </c>
      <c r="O1223">
        <v>-5.9446569999999997E-2</v>
      </c>
      <c r="P1223">
        <v>-0.99711499999999997</v>
      </c>
      <c r="Q1223">
        <v>-1.9514E-2</v>
      </c>
      <c r="R1223">
        <v>-7.3356459999999998E-2</v>
      </c>
      <c r="S1223">
        <v>-2.9707949999999999</v>
      </c>
      <c r="T1223">
        <v>-0.204513</v>
      </c>
      <c r="U1223">
        <v>-0.41763309999999998</v>
      </c>
      <c r="V1223">
        <v>-1.4006269999999999E-2</v>
      </c>
      <c r="W1223">
        <v>-9.7456469999999996E-3</v>
      </c>
      <c r="X1223">
        <v>0.99985440000000003</v>
      </c>
      <c r="Y1223">
        <v>-8.0046199999999998E-2</v>
      </c>
      <c r="Z1223">
        <v>1.3232160000000001E-3</v>
      </c>
      <c r="AA1223">
        <v>0.99679030000000002</v>
      </c>
      <c r="AB1223">
        <v>28</v>
      </c>
      <c r="AC1223">
        <v>-13.998199999999899</v>
      </c>
      <c r="AD1223">
        <v>-1.101303181334</v>
      </c>
      <c r="AE1223">
        <v>-2.12919999999996</v>
      </c>
      <c r="AF1223">
        <v>-1.2854734380563699</v>
      </c>
      <c r="AG1223">
        <v>-1.101303181334</v>
      </c>
      <c r="AH1223">
        <v>14.015232887276399</v>
      </c>
      <c r="AI1223">
        <v>94.4743094943193</v>
      </c>
      <c r="AJ1223">
        <v>95.2404912735106</v>
      </c>
      <c r="AK1223">
        <v>14.117084101958101</v>
      </c>
    </row>
    <row r="1224" spans="1:37" x14ac:dyDescent="0.2">
      <c r="A1224" t="str">
        <f>"20200111160125079"</f>
        <v>20200111160125079</v>
      </c>
      <c r="B1224" t="str">
        <f>"1578729685072274"</f>
        <v>1578729685072274</v>
      </c>
      <c r="C1224" t="s">
        <v>37</v>
      </c>
      <c r="D1224">
        <v>4.824624</v>
      </c>
      <c r="E1224">
        <v>0.51288440000000002</v>
      </c>
      <c r="F1224" t="s">
        <v>42</v>
      </c>
      <c r="G1224">
        <v>-215.05330000000001</v>
      </c>
      <c r="H1224">
        <v>1.022068</v>
      </c>
      <c r="I1224">
        <v>283.5806</v>
      </c>
      <c r="J1224">
        <v>-214.464</v>
      </c>
      <c r="K1224">
        <v>1.101485</v>
      </c>
      <c r="L1224">
        <v>283.60329999999999</v>
      </c>
      <c r="M1224">
        <v>-0.99834439999999902</v>
      </c>
      <c r="N1224">
        <v>0</v>
      </c>
      <c r="O1224">
        <v>-5.6669949999999997E-2</v>
      </c>
      <c r="P1224">
        <v>-0.99737180000000003</v>
      </c>
      <c r="Q1224">
        <v>-2.2730719999999999E-2</v>
      </c>
      <c r="R1224">
        <v>-6.879681E-2</v>
      </c>
      <c r="S1224">
        <v>-2.9941249999999999</v>
      </c>
      <c r="T1224">
        <v>-0.27368439999999999</v>
      </c>
      <c r="U1224">
        <v>-0.1249695</v>
      </c>
      <c r="V1224">
        <v>-1.22332E-2</v>
      </c>
      <c r="W1224">
        <v>-1.2806329999999999E-2</v>
      </c>
      <c r="X1224">
        <v>0.99984319999999904</v>
      </c>
      <c r="Y1224">
        <v>1.4691869999999999E-2</v>
      </c>
      <c r="Z1224">
        <v>5.8334579999999997E-3</v>
      </c>
      <c r="AA1224">
        <v>0.99987510000000002</v>
      </c>
      <c r="AB1224">
        <v>28</v>
      </c>
      <c r="AC1224">
        <v>-0.58929999999997995</v>
      </c>
      <c r="AD1224">
        <v>-7.9417000000000001E-2</v>
      </c>
      <c r="AE1224">
        <v>-2.2699999999986099E-2</v>
      </c>
      <c r="AF1224">
        <v>1.05425188103998E-2</v>
      </c>
      <c r="AG1224">
        <v>-7.9417000000000001E-2</v>
      </c>
      <c r="AH1224">
        <v>0.57913688587372703</v>
      </c>
      <c r="AI1224">
        <v>97.806987922740205</v>
      </c>
      <c r="AJ1224">
        <v>88.957111628003403</v>
      </c>
      <c r="AK1224">
        <v>0.58465180849064802</v>
      </c>
    </row>
    <row r="1225" spans="1:37" x14ac:dyDescent="0.2">
      <c r="A1225" t="str">
        <f>"20200111160125235"</f>
        <v>20200111160125235</v>
      </c>
      <c r="B1225" t="str">
        <f>"1578729685232338"</f>
        <v>1578729685232338</v>
      </c>
      <c r="C1225" t="s">
        <v>37</v>
      </c>
      <c r="D1225">
        <v>4.6819230000000003</v>
      </c>
      <c r="E1225">
        <v>0.50772700000000004</v>
      </c>
      <c r="F1225" t="s">
        <v>42</v>
      </c>
      <c r="G1225">
        <v>-217.09559999999999</v>
      </c>
      <c r="H1225">
        <v>1.040921</v>
      </c>
      <c r="I1225">
        <v>283.5059</v>
      </c>
      <c r="J1225">
        <v>-216.44099999999901</v>
      </c>
      <c r="K1225">
        <v>1.10246</v>
      </c>
      <c r="L1225">
        <v>283.52480000000003</v>
      </c>
      <c r="M1225">
        <v>-0.99912690000000004</v>
      </c>
      <c r="N1225">
        <v>0</v>
      </c>
      <c r="O1225">
        <v>-3.99628E-2</v>
      </c>
      <c r="P1225">
        <v>-0.99865139999999997</v>
      </c>
      <c r="Q1225">
        <v>1.2219469999999999E-3</v>
      </c>
      <c r="R1225">
        <v>-5.1901450000000002E-2</v>
      </c>
      <c r="S1225">
        <v>-2.9999539999999998</v>
      </c>
      <c r="T1225">
        <v>-0.2014339</v>
      </c>
      <c r="U1225">
        <v>-9.0576169999999998E-2</v>
      </c>
      <c r="V1225">
        <v>-1.1889830000000001E-2</v>
      </c>
      <c r="W1225">
        <v>1.345672E-2</v>
      </c>
      <c r="X1225">
        <v>0.99983880000000003</v>
      </c>
      <c r="Y1225">
        <v>9.6812930000000005E-3</v>
      </c>
      <c r="Z1225">
        <v>3.0035509999999902E-3</v>
      </c>
      <c r="AA1225">
        <v>0.99994859999999897</v>
      </c>
      <c r="AB1225">
        <v>28</v>
      </c>
      <c r="AC1225">
        <v>-0.65460000000001595</v>
      </c>
      <c r="AD1225">
        <v>-6.1539000000000003E-2</v>
      </c>
      <c r="AE1225">
        <v>-1.89000000000305E-2</v>
      </c>
      <c r="AF1225">
        <v>7.2129958583260897E-3</v>
      </c>
      <c r="AG1225">
        <v>-6.1539000000000003E-2</v>
      </c>
      <c r="AH1225">
        <v>0.64910045625049595</v>
      </c>
      <c r="AI1225">
        <v>95.415497403631505</v>
      </c>
      <c r="AJ1225">
        <v>89.363338591409502</v>
      </c>
      <c r="AK1225">
        <v>0.65205097817184099</v>
      </c>
    </row>
    <row r="1226" spans="1:37" x14ac:dyDescent="0.2">
      <c r="A1226" t="str">
        <f>"20200111160125259"</f>
        <v>20200111160125259</v>
      </c>
      <c r="B1226" t="str">
        <f>"1578729685251859"</f>
        <v>1578729685251859</v>
      </c>
      <c r="C1226" t="s">
        <v>37</v>
      </c>
      <c r="D1226">
        <v>4.7848800000000002</v>
      </c>
      <c r="E1226">
        <v>0.50709579999999999</v>
      </c>
      <c r="F1226" t="s">
        <v>42</v>
      </c>
      <c r="G1226">
        <v>-217.34599999999901</v>
      </c>
      <c r="H1226">
        <v>1.0376639999999999</v>
      </c>
      <c r="I1226">
        <v>283.49250000000001</v>
      </c>
      <c r="J1226">
        <v>-216.75099999999901</v>
      </c>
      <c r="K1226">
        <v>1.1025639999999901</v>
      </c>
      <c r="L1226">
        <v>283.51510000000002</v>
      </c>
      <c r="M1226">
        <v>-0.99921409999999999</v>
      </c>
      <c r="N1226">
        <v>0</v>
      </c>
      <c r="O1226">
        <v>-3.7633989999999999E-2</v>
      </c>
      <c r="P1226">
        <v>-0.99857779999999996</v>
      </c>
      <c r="Q1226">
        <v>-2.1074279999999902E-3</v>
      </c>
      <c r="R1226">
        <v>-5.3272310000000003E-2</v>
      </c>
      <c r="S1226">
        <v>-2.9987029999999999</v>
      </c>
      <c r="T1226">
        <v>-0.214839799999999</v>
      </c>
      <c r="U1226">
        <v>-0.107574499999999</v>
      </c>
      <c r="V1226">
        <v>-1.560856E-2</v>
      </c>
      <c r="W1226">
        <v>1.0409949999999999E-2</v>
      </c>
      <c r="X1226">
        <v>0.99982399999999905</v>
      </c>
      <c r="Y1226">
        <v>1.6869179999999999E-3</v>
      </c>
      <c r="Z1226">
        <v>2.7515550000000001E-3</v>
      </c>
      <c r="AA1226">
        <v>0.99999479999999996</v>
      </c>
      <c r="AB1226">
        <v>28</v>
      </c>
      <c r="AC1226">
        <v>-0.59499999999999797</v>
      </c>
      <c r="AD1226">
        <v>-6.4899999999999902E-2</v>
      </c>
      <c r="AE1226">
        <v>-2.2600000000011201E-2</v>
      </c>
      <c r="AF1226">
        <v>-1.87798215933066E-4</v>
      </c>
      <c r="AG1226">
        <v>-6.4899999999999902E-2</v>
      </c>
      <c r="AH1226">
        <v>0.58843817183081204</v>
      </c>
      <c r="AI1226">
        <v>96.293825799057103</v>
      </c>
      <c r="AJ1226">
        <v>90.018285769555405</v>
      </c>
      <c r="AK1226">
        <v>0.59200635751295605</v>
      </c>
    </row>
    <row r="1227" spans="1:37" x14ac:dyDescent="0.2">
      <c r="A1227" t="str">
        <f>"20200111160125281"</f>
        <v>20200111160125281</v>
      </c>
      <c r="B1227" t="str">
        <f>"1578729685272354"</f>
        <v>1578729685272354</v>
      </c>
      <c r="C1227" t="s">
        <v>37</v>
      </c>
      <c r="D1227">
        <v>4.7986279999999999</v>
      </c>
      <c r="E1227">
        <v>0.50656229999999902</v>
      </c>
      <c r="F1227" t="s">
        <v>42</v>
      </c>
      <c r="G1227">
        <v>-217.5992</v>
      </c>
      <c r="H1227">
        <v>1.0383229999999899</v>
      </c>
      <c r="I1227">
        <v>283.4821</v>
      </c>
      <c r="J1227">
        <v>-217.01599999999999</v>
      </c>
      <c r="K1227">
        <v>1.1026719999999901</v>
      </c>
      <c r="L1227">
        <v>283.50729999999999</v>
      </c>
      <c r="M1227">
        <v>-0.99928019999999995</v>
      </c>
      <c r="N1227">
        <v>0</v>
      </c>
      <c r="O1227">
        <v>-3.5763990000000002E-2</v>
      </c>
      <c r="P1227">
        <v>-0.99850680000000003</v>
      </c>
      <c r="Q1227">
        <v>-5.8284610000000001E-3</v>
      </c>
      <c r="R1227">
        <v>-5.4317949999999997E-2</v>
      </c>
      <c r="S1227">
        <v>-2.997528</v>
      </c>
      <c r="T1227">
        <v>-0.22696669999999999</v>
      </c>
      <c r="U1227">
        <v>-0.117004399999999</v>
      </c>
      <c r="V1227">
        <v>-1.8543E-2</v>
      </c>
      <c r="W1227">
        <v>6.9000809999999997E-3</v>
      </c>
      <c r="X1227">
        <v>0.99980429999999998</v>
      </c>
      <c r="Y1227">
        <v>-3.3319729999999998E-3</v>
      </c>
      <c r="Z1227">
        <v>2.5764770000000002E-3</v>
      </c>
      <c r="AA1227">
        <v>0.99999110000000002</v>
      </c>
      <c r="AB1227">
        <v>28</v>
      </c>
      <c r="AC1227">
        <v>-0.58320000000000405</v>
      </c>
      <c r="AD1227">
        <v>-6.4348999999999906E-2</v>
      </c>
      <c r="AE1227">
        <v>-2.5199999999983898E-2</v>
      </c>
      <c r="AF1227">
        <v>-4.2727270314424004E-3</v>
      </c>
      <c r="AG1227">
        <v>-6.4348999999999906E-2</v>
      </c>
      <c r="AH1227">
        <v>0.57672001921841498</v>
      </c>
      <c r="AI1227">
        <v>96.366415508615603</v>
      </c>
      <c r="AJ1227">
        <v>90.424477630121999</v>
      </c>
      <c r="AK1227">
        <v>0.58031459620155601</v>
      </c>
    </row>
    <row r="1228" spans="1:37" x14ac:dyDescent="0.2">
      <c r="A1228" t="str">
        <f>"20200111160125303"</f>
        <v>20200111160125303</v>
      </c>
      <c r="B1228" t="str">
        <f>"1578729685291874"</f>
        <v>1578729685291874</v>
      </c>
      <c r="C1228" t="s">
        <v>37</v>
      </c>
      <c r="D1228">
        <v>4.7958119999999997</v>
      </c>
      <c r="E1228">
        <v>0.50619950000000002</v>
      </c>
      <c r="F1228" t="s">
        <v>42</v>
      </c>
      <c r="G1228">
        <v>-217.8493</v>
      </c>
      <c r="H1228">
        <v>1.035952</v>
      </c>
      <c r="I1228">
        <v>283.47289999999998</v>
      </c>
      <c r="J1228">
        <v>-217.30090000000001</v>
      </c>
      <c r="K1228">
        <v>1.102808</v>
      </c>
      <c r="L1228">
        <v>283.49930000000001</v>
      </c>
      <c r="M1228">
        <v>-0.99934179999999995</v>
      </c>
      <c r="N1228">
        <v>0</v>
      </c>
      <c r="O1228">
        <v>-3.3925459999999998E-2</v>
      </c>
      <c r="P1228">
        <v>-0.99853130000000001</v>
      </c>
      <c r="Q1228">
        <v>-8.8903899999999998E-3</v>
      </c>
      <c r="R1228">
        <v>-5.3445609999999998E-2</v>
      </c>
      <c r="S1228">
        <v>-2.996292</v>
      </c>
      <c r="T1228">
        <v>-0.24009220000000001</v>
      </c>
      <c r="U1228">
        <v>-0.12503049999999999</v>
      </c>
      <c r="V1228">
        <v>-1.9522049999999999E-2</v>
      </c>
      <c r="W1228">
        <v>4.0290889999999996E-3</v>
      </c>
      <c r="X1228">
        <v>0.9998013</v>
      </c>
      <c r="Y1228">
        <v>-7.852744E-3</v>
      </c>
      <c r="Z1228">
        <v>2.3982879999999902E-3</v>
      </c>
      <c r="AA1228">
        <v>0.99996629999999997</v>
      </c>
      <c r="AB1228">
        <v>28</v>
      </c>
      <c r="AC1228">
        <v>-0.54839999999998601</v>
      </c>
      <c r="AD1228">
        <v>-6.6855999999999999E-2</v>
      </c>
      <c r="AE1228">
        <v>-2.64000000000237E-2</v>
      </c>
      <c r="AF1228">
        <v>-7.6648886798183101E-3</v>
      </c>
      <c r="AG1228">
        <v>-6.6855999999999999E-2</v>
      </c>
      <c r="AH1228">
        <v>0.54095867765508598</v>
      </c>
      <c r="AI1228">
        <v>97.044645434327293</v>
      </c>
      <c r="AJ1228">
        <v>90.8117743629373</v>
      </c>
      <c r="AK1228">
        <v>0.54512821077689</v>
      </c>
    </row>
    <row r="1229" spans="1:37" x14ac:dyDescent="0.2">
      <c r="A1229" t="str">
        <f>"20200111160125325"</f>
        <v>20200111160125325</v>
      </c>
      <c r="B1229" t="str">
        <f>"1578729685322130"</f>
        <v>1578729685322130</v>
      </c>
      <c r="C1229" t="s">
        <v>37</v>
      </c>
      <c r="D1229">
        <v>4.8695149999999998</v>
      </c>
      <c r="E1229">
        <v>0.50583089999999997</v>
      </c>
      <c r="F1229" t="s">
        <v>42</v>
      </c>
      <c r="G1229">
        <v>-218.10079999999999</v>
      </c>
      <c r="H1229">
        <v>1.0357989999999999</v>
      </c>
      <c r="I1229">
        <v>283.46550000000002</v>
      </c>
      <c r="J1229">
        <v>-217.57740000000001</v>
      </c>
      <c r="K1229">
        <v>1.102962</v>
      </c>
      <c r="L1229">
        <v>283.49180000000001</v>
      </c>
      <c r="M1229">
        <v>-0.99939199999999995</v>
      </c>
      <c r="N1229">
        <v>0</v>
      </c>
      <c r="O1229">
        <v>-3.2349200000000002E-2</v>
      </c>
      <c r="P1229">
        <v>-0.99861529999999998</v>
      </c>
      <c r="Q1229">
        <v>-9.8441799999999993E-3</v>
      </c>
      <c r="R1229">
        <v>-5.1677760000000003E-2</v>
      </c>
      <c r="S1229">
        <v>-2.995422</v>
      </c>
      <c r="T1229">
        <v>-0.25091550000000001</v>
      </c>
      <c r="U1229">
        <v>-0.12649540000000001</v>
      </c>
      <c r="V1229">
        <v>-1.933379E-2</v>
      </c>
      <c r="W1229">
        <v>3.2303919999999999E-3</v>
      </c>
      <c r="X1229">
        <v>0.99980789999999997</v>
      </c>
      <c r="Y1229">
        <v>-9.9250889999999998E-3</v>
      </c>
      <c r="Z1229">
        <v>2.288469E-3</v>
      </c>
      <c r="AA1229">
        <v>0.99994810000000001</v>
      </c>
      <c r="AB1229">
        <v>28</v>
      </c>
      <c r="AC1229">
        <v>-0.52339999999998099</v>
      </c>
      <c r="AD1229">
        <v>-6.7163E-2</v>
      </c>
      <c r="AE1229">
        <v>-2.6299999999992E-2</v>
      </c>
      <c r="AF1229">
        <v>-9.2020878721593303E-3</v>
      </c>
      <c r="AG1229">
        <v>-6.7163E-2</v>
      </c>
      <c r="AH1229">
        <v>0.51550978059743602</v>
      </c>
      <c r="AI1229">
        <v>97.421779348179001</v>
      </c>
      <c r="AJ1229">
        <v>91.022647539390704</v>
      </c>
      <c r="AK1229">
        <v>0.51994795978234598</v>
      </c>
    </row>
    <row r="1230" spans="1:37" x14ac:dyDescent="0.2">
      <c r="A1230" t="str">
        <f>"20200111160125346"</f>
        <v>20200111160125346</v>
      </c>
      <c r="B1230" t="str">
        <f>"1578729685342627"</f>
        <v>1578729685342627</v>
      </c>
      <c r="C1230" t="s">
        <v>37</v>
      </c>
      <c r="D1230">
        <v>4.8884939999999997</v>
      </c>
      <c r="E1230">
        <v>0.5056292</v>
      </c>
      <c r="F1230" t="s">
        <v>42</v>
      </c>
      <c r="G1230">
        <v>-218.35239999999999</v>
      </c>
      <c r="H1230">
        <v>1.0367010000000001</v>
      </c>
      <c r="I1230">
        <v>283.45960000000002</v>
      </c>
      <c r="J1230">
        <v>-217.8383</v>
      </c>
      <c r="K1230">
        <v>1.1031359999999999</v>
      </c>
      <c r="L1230">
        <v>283.48489999999998</v>
      </c>
      <c r="M1230">
        <v>-0.99943040000000005</v>
      </c>
      <c r="N1230">
        <v>0</v>
      </c>
      <c r="O1230">
        <v>-3.108124E-2</v>
      </c>
      <c r="P1230">
        <v>-0.99871580000000004</v>
      </c>
      <c r="Q1230">
        <v>-9.739045E-3</v>
      </c>
      <c r="R1230">
        <v>-4.9720420000000001E-2</v>
      </c>
      <c r="S1230">
        <v>-2.995193</v>
      </c>
      <c r="T1230">
        <v>-0.2561908</v>
      </c>
      <c r="U1230">
        <v>-0.12512210000000001</v>
      </c>
      <c r="V1230">
        <v>-1.8642969999999998E-2</v>
      </c>
      <c r="W1230">
        <v>3.461179E-3</v>
      </c>
      <c r="X1230">
        <v>0.99982019999999905</v>
      </c>
      <c r="Y1230">
        <v>-1.0735E-2</v>
      </c>
      <c r="Z1230">
        <v>2.193918E-3</v>
      </c>
      <c r="AA1230">
        <v>0.99993999999999905</v>
      </c>
      <c r="AB1230">
        <v>28</v>
      </c>
      <c r="AC1230">
        <v>-0.51409999999998401</v>
      </c>
      <c r="AD1230">
        <v>-6.6434999999999994E-2</v>
      </c>
      <c r="AE1230">
        <v>-2.52999999999588E-2</v>
      </c>
      <c r="AF1230">
        <v>-9.1550148710063395E-3</v>
      </c>
      <c r="AG1230">
        <v>-6.6434999999999994E-2</v>
      </c>
      <c r="AH1230">
        <v>0.50620514255419402</v>
      </c>
      <c r="AI1230">
        <v>97.475629275313295</v>
      </c>
      <c r="AJ1230">
        <v>91.036114590539398</v>
      </c>
      <c r="AK1230">
        <v>0.51062811308289802</v>
      </c>
    </row>
    <row r="1231" spans="1:37" x14ac:dyDescent="0.2">
      <c r="A1231" t="str">
        <f>"20200111160125369"</f>
        <v>20200111160125369</v>
      </c>
      <c r="B1231" t="str">
        <f>"1578729685362146"</f>
        <v>1578729685362146</v>
      </c>
      <c r="C1231" t="s">
        <v>37</v>
      </c>
      <c r="D1231">
        <v>4.8667309999999997</v>
      </c>
      <c r="E1231">
        <v>0.5054651</v>
      </c>
      <c r="F1231" t="s">
        <v>42</v>
      </c>
      <c r="G1231">
        <v>-218.60579999999999</v>
      </c>
      <c r="H1231">
        <v>1.0372219999999901</v>
      </c>
      <c r="I1231">
        <v>283.4538</v>
      </c>
      <c r="J1231">
        <v>-218.13489999999999</v>
      </c>
      <c r="K1231">
        <v>1.103348</v>
      </c>
      <c r="L1231">
        <v>283.47710000000001</v>
      </c>
      <c r="M1231">
        <v>-0.99946420000000002</v>
      </c>
      <c r="N1231">
        <v>0</v>
      </c>
      <c r="O1231">
        <v>-2.9917780000000001E-2</v>
      </c>
      <c r="P1231">
        <v>-0.99886989999999998</v>
      </c>
      <c r="Q1231">
        <v>-1.054301E-2</v>
      </c>
      <c r="R1231">
        <v>-4.6347779999999998E-2</v>
      </c>
      <c r="S1231">
        <v>-2.995285</v>
      </c>
      <c r="T1231">
        <v>-0.2573261</v>
      </c>
      <c r="U1231">
        <v>-0.1217041</v>
      </c>
      <c r="V1231">
        <v>-1.6434170000000001E-2</v>
      </c>
      <c r="W1231">
        <v>2.7773979999999999E-3</v>
      </c>
      <c r="X1231">
        <v>0.99986109999999995</v>
      </c>
      <c r="Y1231">
        <v>-1.07549E-2</v>
      </c>
      <c r="Z1231">
        <v>2.1030799999999998E-3</v>
      </c>
      <c r="AA1231">
        <v>0.99993999999999905</v>
      </c>
      <c r="AB1231">
        <v>28</v>
      </c>
      <c r="AC1231">
        <v>-0.47089999999999999</v>
      </c>
      <c r="AD1231">
        <v>-6.6126000000000101E-2</v>
      </c>
      <c r="AE1231">
        <v>-2.3300000000006E-2</v>
      </c>
      <c r="AF1231">
        <v>-9.0225617073654597E-3</v>
      </c>
      <c r="AG1231">
        <v>-6.6126000000000101E-2</v>
      </c>
      <c r="AH1231">
        <v>0.46229258549242902</v>
      </c>
      <c r="AI1231">
        <v>98.138800073226093</v>
      </c>
      <c r="AJ1231">
        <v>91.118099444334405</v>
      </c>
      <c r="AK1231">
        <v>0.46708509834615503</v>
      </c>
    </row>
    <row r="1232" spans="1:37" x14ac:dyDescent="0.2">
      <c r="A1232" t="str">
        <f>"20200111160125392"</f>
        <v>20200111160125392</v>
      </c>
      <c r="B1232" t="str">
        <f>"1578729685382643"</f>
        <v>1578729685382643</v>
      </c>
      <c r="C1232" t="s">
        <v>37</v>
      </c>
      <c r="D1232">
        <v>4.9239889999999997</v>
      </c>
      <c r="E1232">
        <v>0.50526990000000005</v>
      </c>
      <c r="F1232" t="s">
        <v>42</v>
      </c>
      <c r="G1232">
        <v>-219.0909</v>
      </c>
      <c r="H1232">
        <v>1.0202249999999999</v>
      </c>
      <c r="I1232">
        <v>283.44099999999997</v>
      </c>
      <c r="J1232">
        <v>-218.4083</v>
      </c>
      <c r="K1232">
        <v>1.103542</v>
      </c>
      <c r="L1232">
        <v>283.47000000000003</v>
      </c>
      <c r="M1232">
        <v>-0.99948559999999997</v>
      </c>
      <c r="N1232">
        <v>0</v>
      </c>
      <c r="O1232">
        <v>-2.9141759999999999E-2</v>
      </c>
      <c r="P1232">
        <v>-0.99901839999999997</v>
      </c>
      <c r="Q1232">
        <v>-1.137881E-2</v>
      </c>
      <c r="R1232">
        <v>-4.2808440000000003E-2</v>
      </c>
      <c r="S1232">
        <v>-2.9953609999999999</v>
      </c>
      <c r="T1232">
        <v>-0.2605074</v>
      </c>
      <c r="U1232">
        <v>-0.11361689999999899</v>
      </c>
      <c r="V1232">
        <v>-1.3671249999999999E-2</v>
      </c>
      <c r="W1232">
        <v>2.0354420000000002E-3</v>
      </c>
      <c r="X1232">
        <v>0.99990449999999997</v>
      </c>
      <c r="Y1232">
        <v>-8.8406639999999998E-3</v>
      </c>
      <c r="Z1232">
        <v>2.1448219999999998E-3</v>
      </c>
      <c r="AA1232">
        <v>0.99995859999999903</v>
      </c>
      <c r="AB1232">
        <v>28</v>
      </c>
      <c r="AC1232">
        <v>-0.68260000000000698</v>
      </c>
      <c r="AD1232">
        <v>-8.3317000000000002E-2</v>
      </c>
      <c r="AE1232">
        <v>-2.9000000000053199E-2</v>
      </c>
      <c r="AF1232">
        <v>-8.9604775430724894E-3</v>
      </c>
      <c r="AG1232">
        <v>-8.3317000000000002E-2</v>
      </c>
      <c r="AH1232">
        <v>0.67314463177699202</v>
      </c>
      <c r="AI1232">
        <v>97.055155900106698</v>
      </c>
      <c r="AJ1232">
        <v>90.762640302271606</v>
      </c>
      <c r="AK1232">
        <v>0.678340407123873</v>
      </c>
    </row>
    <row r="1233" spans="1:37" x14ac:dyDescent="0.2">
      <c r="A1233" t="str">
        <f>"20200111160125774"</f>
        <v>20200111160125774</v>
      </c>
      <c r="B1233" t="str">
        <f>"1578729685762308"</f>
        <v>1578729685762308</v>
      </c>
      <c r="C1233" t="s">
        <v>37</v>
      </c>
      <c r="D1233">
        <v>5.2106279999999998</v>
      </c>
      <c r="E1233">
        <v>0.53058459999999996</v>
      </c>
      <c r="F1233" t="s">
        <v>42</v>
      </c>
      <c r="G1233">
        <v>-223.77279999999999</v>
      </c>
      <c r="H1233">
        <v>1.046807</v>
      </c>
      <c r="I1233">
        <v>283.25810000000001</v>
      </c>
      <c r="J1233">
        <v>-223.0908</v>
      </c>
      <c r="K1233">
        <v>1.1064620000000001</v>
      </c>
      <c r="L1233">
        <v>283.27730000000003</v>
      </c>
      <c r="M1233">
        <v>-0.99835929999999995</v>
      </c>
      <c r="N1233">
        <v>0</v>
      </c>
      <c r="O1233">
        <v>-5.5510950000000003E-2</v>
      </c>
      <c r="P1233">
        <v>-0.99717140000000004</v>
      </c>
      <c r="Q1233">
        <v>-1.56122E-2</v>
      </c>
      <c r="R1233">
        <v>-7.3522710000000005E-2</v>
      </c>
      <c r="S1233">
        <v>-2.996658</v>
      </c>
      <c r="T1233">
        <v>-0.18919800000000001</v>
      </c>
      <c r="U1233">
        <v>-0.115508999999999</v>
      </c>
      <c r="V1233">
        <v>-1.8041390000000001E-2</v>
      </c>
      <c r="W1233">
        <v>-1.6606100000000001E-3</v>
      </c>
      <c r="X1233">
        <v>0.99983580000000005</v>
      </c>
      <c r="Y1233">
        <v>1.6873519999999999E-2</v>
      </c>
      <c r="Z1233">
        <v>4.0299730000000001E-3</v>
      </c>
      <c r="AA1233">
        <v>0.99984949999999995</v>
      </c>
      <c r="AB1233">
        <v>27</v>
      </c>
      <c r="AC1233">
        <v>-0.68199999999998795</v>
      </c>
      <c r="AD1233">
        <v>-5.9655E-2</v>
      </c>
      <c r="AE1233">
        <v>-1.9200000000011999E-2</v>
      </c>
      <c r="AF1233">
        <v>1.85499970065163E-2</v>
      </c>
      <c r="AG1233">
        <v>-5.9655E-2</v>
      </c>
      <c r="AH1233">
        <v>0.67683963781150003</v>
      </c>
      <c r="AI1233">
        <v>95.035014116706293</v>
      </c>
      <c r="AJ1233">
        <v>88.4300999987734</v>
      </c>
      <c r="AK1233">
        <v>0.67971664443850699</v>
      </c>
    </row>
    <row r="1234" spans="1:37" x14ac:dyDescent="0.2">
      <c r="A1234" t="str">
        <f>"20200111160125795"</f>
        <v>20200111160125795</v>
      </c>
      <c r="B1234" t="str">
        <f>"1578729685792562"</f>
        <v>1578729685792562</v>
      </c>
      <c r="C1234" t="s">
        <v>37</v>
      </c>
      <c r="D1234">
        <v>5.2099269999999898</v>
      </c>
      <c r="E1234">
        <v>0.54345169999999998</v>
      </c>
      <c r="F1234" t="s">
        <v>42</v>
      </c>
      <c r="G1234">
        <v>-224.01310000000001</v>
      </c>
      <c r="H1234">
        <v>1.045992</v>
      </c>
      <c r="I1234">
        <v>283.28059999999999</v>
      </c>
      <c r="J1234">
        <v>-223.35839999999999</v>
      </c>
      <c r="K1234">
        <v>1.1063959999999999</v>
      </c>
      <c r="L1234">
        <v>283.2593</v>
      </c>
      <c r="M1234">
        <v>-0.99820200000000003</v>
      </c>
      <c r="N1234">
        <v>0</v>
      </c>
      <c r="O1234">
        <v>-5.8270410000000002E-2</v>
      </c>
      <c r="P1234">
        <v>-0.99699519999999997</v>
      </c>
      <c r="Q1234">
        <v>-1.6056629999999999E-2</v>
      </c>
      <c r="R1234">
        <v>-7.5783409999999995E-2</v>
      </c>
      <c r="S1234">
        <v>-3.0062259999999998</v>
      </c>
      <c r="T1234">
        <v>-0.19709450000000001</v>
      </c>
      <c r="U1234">
        <v>1.095581E-2</v>
      </c>
      <c r="V1234">
        <v>-1.754315E-2</v>
      </c>
      <c r="W1234">
        <v>-2.0954889999999999E-3</v>
      </c>
      <c r="X1234">
        <v>0.99984390000000001</v>
      </c>
      <c r="Y1234">
        <v>6.1656549999999997E-2</v>
      </c>
      <c r="Z1234">
        <v>5.8340680000000004E-3</v>
      </c>
      <c r="AA1234">
        <v>0.99808039999999998</v>
      </c>
      <c r="AB1234">
        <v>27</v>
      </c>
      <c r="AC1234">
        <v>-0.65470000000001904</v>
      </c>
      <c r="AD1234">
        <v>-6.0403999999999902E-2</v>
      </c>
      <c r="AE1234">
        <v>2.1299999999996499E-2</v>
      </c>
      <c r="AF1234">
        <v>5.89162205730486E-2</v>
      </c>
      <c r="AG1234">
        <v>-6.0403999999999902E-2</v>
      </c>
      <c r="AH1234">
        <v>0.64684573495093101</v>
      </c>
      <c r="AI1234">
        <v>95.313078804551594</v>
      </c>
      <c r="AJ1234">
        <v>84.795726395825298</v>
      </c>
      <c r="AK1234">
        <v>0.65232596842899204</v>
      </c>
    </row>
    <row r="1235" spans="1:37" x14ac:dyDescent="0.2">
      <c r="A1235" t="str">
        <f>"20200111160125815"</f>
        <v>20200111160125815</v>
      </c>
      <c r="B1235" t="str">
        <f>"1578729685812082"</f>
        <v>1578729685812082</v>
      </c>
      <c r="C1235" t="s">
        <v>37</v>
      </c>
      <c r="D1235">
        <v>5.1799559999999998</v>
      </c>
      <c r="E1235">
        <v>0.54790369999999899</v>
      </c>
      <c r="F1235" t="s">
        <v>42</v>
      </c>
      <c r="G1235">
        <v>-224.25659999999999</v>
      </c>
      <c r="H1235">
        <v>1.0458719999999999</v>
      </c>
      <c r="I1235">
        <v>283.29109999999997</v>
      </c>
      <c r="J1235">
        <v>-223.60470000000001</v>
      </c>
      <c r="K1235">
        <v>1.106314</v>
      </c>
      <c r="L1235">
        <v>283.24220000000003</v>
      </c>
      <c r="M1235">
        <v>-0.99805869999999997</v>
      </c>
      <c r="N1235">
        <v>0</v>
      </c>
      <c r="O1235">
        <v>-6.0675319999999998E-2</v>
      </c>
      <c r="P1235">
        <v>-0.99683069999999896</v>
      </c>
      <c r="Q1235">
        <v>-1.4927640000000001E-2</v>
      </c>
      <c r="R1235">
        <v>-7.8137310000000001E-2</v>
      </c>
      <c r="S1235">
        <v>-3.0138240000000001</v>
      </c>
      <c r="T1235">
        <v>-0.20335400000000001</v>
      </c>
      <c r="U1235">
        <v>0.10617069999999899</v>
      </c>
      <c r="V1235">
        <v>-1.750028E-2</v>
      </c>
      <c r="W1235">
        <v>-9.6020509999999895E-4</v>
      </c>
      <c r="X1235">
        <v>0.99984640000000002</v>
      </c>
      <c r="Y1235">
        <v>9.5430280000000006E-2</v>
      </c>
      <c r="Z1235">
        <v>7.3025549999999996E-3</v>
      </c>
      <c r="AA1235">
        <v>0.99540930000000005</v>
      </c>
      <c r="AB1235">
        <v>27</v>
      </c>
      <c r="AC1235">
        <v>-0.65189999999998305</v>
      </c>
      <c r="AD1235">
        <v>-6.04420000000001E-2</v>
      </c>
      <c r="AE1235">
        <v>4.8899999999946403E-2</v>
      </c>
      <c r="AF1235">
        <v>8.7619038777645902E-2</v>
      </c>
      <c r="AG1235">
        <v>-6.04420000000001E-2</v>
      </c>
      <c r="AH1235">
        <v>0.64224129691566101</v>
      </c>
      <c r="AI1235">
        <v>95.327270489864702</v>
      </c>
      <c r="AJ1235">
        <v>82.231271101094507</v>
      </c>
      <c r="AK1235">
        <v>0.65100246910762805</v>
      </c>
    </row>
    <row r="1236" spans="1:37" x14ac:dyDescent="0.2">
      <c r="A1236" t="str">
        <f>"20200111160125838"</f>
        <v>20200111160125838</v>
      </c>
      <c r="B1236" t="str">
        <f>"1578729685832579"</f>
        <v>1578729685832579</v>
      </c>
      <c r="C1236" t="s">
        <v>37</v>
      </c>
      <c r="D1236">
        <v>5.4479419999999896</v>
      </c>
      <c r="E1236">
        <v>0.55125819999999903</v>
      </c>
      <c r="F1236" t="s">
        <v>42</v>
      </c>
      <c r="G1236">
        <v>-224.4999</v>
      </c>
      <c r="H1236">
        <v>1.046522</v>
      </c>
      <c r="I1236">
        <v>283.28210000000001</v>
      </c>
      <c r="J1236">
        <v>-223.87209999999999</v>
      </c>
      <c r="K1236">
        <v>1.106201</v>
      </c>
      <c r="L1236">
        <v>283.22320000000002</v>
      </c>
      <c r="M1236">
        <v>-0.9979093</v>
      </c>
      <c r="N1236">
        <v>0</v>
      </c>
      <c r="O1236">
        <v>-6.3085849999999999E-2</v>
      </c>
      <c r="P1236">
        <v>-0.99674859999999899</v>
      </c>
      <c r="Q1236">
        <v>-1.184254E-2</v>
      </c>
      <c r="R1236">
        <v>-7.9701919999999996E-2</v>
      </c>
      <c r="S1236">
        <v>-3.0170590000000002</v>
      </c>
      <c r="T1236">
        <v>-0.20155909999999999</v>
      </c>
      <c r="U1236">
        <v>0.1343994</v>
      </c>
      <c r="V1236">
        <v>-1.6665909999999999E-2</v>
      </c>
      <c r="W1236">
        <v>2.134623E-3</v>
      </c>
      <c r="X1236">
        <v>0.99985889999999999</v>
      </c>
      <c r="Y1236">
        <v>0.1070646</v>
      </c>
      <c r="Z1236">
        <v>7.778124E-3</v>
      </c>
      <c r="AA1236">
        <v>0.99422160000000004</v>
      </c>
      <c r="AB1236">
        <v>27</v>
      </c>
      <c r="AC1236">
        <v>-0.62780000000000702</v>
      </c>
      <c r="AD1236">
        <v>-5.9679000000000003E-2</v>
      </c>
      <c r="AE1236">
        <v>5.8899999999994103E-2</v>
      </c>
      <c r="AF1236">
        <v>9.7518320805505196E-2</v>
      </c>
      <c r="AG1236">
        <v>-5.9679000000000003E-2</v>
      </c>
      <c r="AH1236">
        <v>0.61730352412157197</v>
      </c>
      <c r="AI1236">
        <v>95.454788307867503</v>
      </c>
      <c r="AJ1236">
        <v>81.022904982385697</v>
      </c>
      <c r="AK1236">
        <v>0.62780175758485801</v>
      </c>
    </row>
    <row r="1237" spans="1:37" x14ac:dyDescent="0.2">
      <c r="A1237" t="str">
        <f>"20200111160125860"</f>
        <v>20200111160125860</v>
      </c>
      <c r="B1237" t="str">
        <f>"1578729685852098"</f>
        <v>1578729685852098</v>
      </c>
      <c r="C1237" t="s">
        <v>37</v>
      </c>
      <c r="D1237">
        <v>5.2542589999999896</v>
      </c>
      <c r="E1237">
        <v>0.55391820000000003</v>
      </c>
      <c r="F1237" t="s">
        <v>42</v>
      </c>
      <c r="G1237">
        <v>-224.74549999999999</v>
      </c>
      <c r="H1237">
        <v>1.050576</v>
      </c>
      <c r="I1237">
        <v>283.26839999999999</v>
      </c>
      <c r="J1237">
        <v>-224.15099999999899</v>
      </c>
      <c r="K1237">
        <v>1.1060430000000001</v>
      </c>
      <c r="L1237">
        <v>283.2029</v>
      </c>
      <c r="M1237">
        <v>-0.99776430000000005</v>
      </c>
      <c r="N1237">
        <v>0</v>
      </c>
      <c r="O1237">
        <v>-6.5338690000000005E-2</v>
      </c>
      <c r="P1237">
        <v>-0.99664900000000001</v>
      </c>
      <c r="Q1237">
        <v>-8.3031019999999997E-3</v>
      </c>
      <c r="R1237">
        <v>-8.1375299999999998E-2</v>
      </c>
      <c r="S1237">
        <v>-3.0199889999999998</v>
      </c>
      <c r="T1237">
        <v>-0.19243679999999999</v>
      </c>
      <c r="U1237">
        <v>0.15631099999999901</v>
      </c>
      <c r="V1237">
        <v>-1.6098330000000001E-2</v>
      </c>
      <c r="W1237">
        <v>5.6822640000000002E-3</v>
      </c>
      <c r="X1237">
        <v>0.99985429999999997</v>
      </c>
      <c r="Y1237">
        <v>0.116469</v>
      </c>
      <c r="Z1237">
        <v>7.8609300000000003E-3</v>
      </c>
      <c r="AA1237">
        <v>0.99316319999999902</v>
      </c>
      <c r="AB1237">
        <v>27</v>
      </c>
      <c r="AC1237">
        <v>-0.59450000000001002</v>
      </c>
      <c r="AD1237">
        <v>-5.54670000000001E-2</v>
      </c>
      <c r="AE1237">
        <v>6.5499999999985903E-2</v>
      </c>
      <c r="AF1237">
        <v>0.10331909164056099</v>
      </c>
      <c r="AG1237">
        <v>-5.54670000000001E-2</v>
      </c>
      <c r="AH1237">
        <v>0.58392719532547599</v>
      </c>
      <c r="AI1237">
        <v>95.343709031665199</v>
      </c>
      <c r="AJ1237">
        <v>79.966033096509307</v>
      </c>
      <c r="AK1237">
        <v>0.59558575556094995</v>
      </c>
    </row>
    <row r="1238" spans="1:37" x14ac:dyDescent="0.2">
      <c r="A1238" t="str">
        <f>"20200111160125884"</f>
        <v>20200111160125884</v>
      </c>
      <c r="B1238" t="str">
        <f>"1578729685872594"</f>
        <v>1578729685872594</v>
      </c>
      <c r="C1238" t="s">
        <v>37</v>
      </c>
      <c r="D1238">
        <v>5.2242550000000003</v>
      </c>
      <c r="E1238">
        <v>0.55606449999999996</v>
      </c>
      <c r="F1238" t="s">
        <v>57</v>
      </c>
      <c r="G1238">
        <v>-242.37880000000001</v>
      </c>
      <c r="H1238" s="1">
        <v>-2.708868E-7</v>
      </c>
      <c r="I1238">
        <v>284.24220000000003</v>
      </c>
      <c r="J1238">
        <v>-224.4247</v>
      </c>
      <c r="K1238">
        <v>1.1058490000000001</v>
      </c>
      <c r="L1238">
        <v>283.18259999999998</v>
      </c>
      <c r="M1238">
        <v>-0.99763639999999998</v>
      </c>
      <c r="N1238">
        <v>0</v>
      </c>
      <c r="O1238">
        <v>-6.7264180000000007E-2</v>
      </c>
      <c r="P1238">
        <v>-0.99657450000000003</v>
      </c>
      <c r="Q1238">
        <v>-6.0101599999999996E-3</v>
      </c>
      <c r="R1238">
        <v>-8.2482219999999995E-2</v>
      </c>
      <c r="S1238">
        <v>-3.0226439999999899</v>
      </c>
      <c r="T1238">
        <v>-0.18341060000000001</v>
      </c>
      <c r="U1238">
        <v>0.17233280000000001</v>
      </c>
      <c r="V1238">
        <v>-1.528328E-2</v>
      </c>
      <c r="W1238">
        <v>7.9829489999999996E-3</v>
      </c>
      <c r="X1238">
        <v>0.9998513</v>
      </c>
      <c r="Y1238">
        <v>0.1236042</v>
      </c>
      <c r="Z1238">
        <v>7.8181109999999904E-3</v>
      </c>
      <c r="AA1238">
        <v>0.99230079999999998</v>
      </c>
      <c r="AB1238">
        <v>27</v>
      </c>
      <c r="AC1238">
        <v>-17.9541</v>
      </c>
      <c r="AD1238">
        <v>-1.1058492708868</v>
      </c>
      <c r="AE1238">
        <v>1.0596000000000401</v>
      </c>
      <c r="AF1238">
        <v>2.2564559819317802</v>
      </c>
      <c r="AG1238">
        <v>-1.1058492708868</v>
      </c>
      <c r="AH1238">
        <v>17.7749503596213</v>
      </c>
      <c r="AI1238">
        <v>93.531735412450203</v>
      </c>
      <c r="AJ1238">
        <v>82.765236926386294</v>
      </c>
      <c r="AK1238">
        <v>17.951695086963699</v>
      </c>
    </row>
    <row r="1239" spans="1:37" x14ac:dyDescent="0.2">
      <c r="A1239" t="str">
        <f>"20200111160125907"</f>
        <v>20200111160125907</v>
      </c>
      <c r="B1239" t="str">
        <f>"1578729685901876"</f>
        <v>1578729685901876</v>
      </c>
      <c r="C1239" t="s">
        <v>37</v>
      </c>
      <c r="D1239">
        <v>5.2616589999999999</v>
      </c>
      <c r="E1239">
        <v>0.55856759999999905</v>
      </c>
      <c r="F1239" t="s">
        <v>57</v>
      </c>
      <c r="G1239">
        <v>-243.10740000000001</v>
      </c>
      <c r="H1239" s="1">
        <v>1.1681480000000001E-7</v>
      </c>
      <c r="I1239">
        <v>284.33249999999998</v>
      </c>
      <c r="J1239">
        <v>-224.70339999999999</v>
      </c>
      <c r="K1239">
        <v>1.105618</v>
      </c>
      <c r="L1239">
        <v>283.16180000000003</v>
      </c>
      <c r="M1239">
        <v>-0.99752350000000001</v>
      </c>
      <c r="N1239">
        <v>0</v>
      </c>
      <c r="O1239">
        <v>-6.8917909999999999E-2</v>
      </c>
      <c r="P1239">
        <v>-0.99653239999999998</v>
      </c>
      <c r="Q1239">
        <v>-4.9101520000000001E-3</v>
      </c>
      <c r="R1239">
        <v>-8.3060640000000005E-2</v>
      </c>
      <c r="S1239">
        <v>-3.0246430000000002</v>
      </c>
      <c r="T1239">
        <v>-0.17903169999999999</v>
      </c>
      <c r="U1239">
        <v>0.18615719999999999</v>
      </c>
      <c r="V1239">
        <v>-1.4204690000000001E-2</v>
      </c>
      <c r="W1239">
        <v>9.0915559999999902E-3</v>
      </c>
      <c r="X1239">
        <v>0.99985780000000002</v>
      </c>
      <c r="Y1239">
        <v>0.1297324</v>
      </c>
      <c r="Z1239">
        <v>7.9045699999999997E-3</v>
      </c>
      <c r="AA1239">
        <v>0.99151749999999905</v>
      </c>
      <c r="AB1239">
        <v>27</v>
      </c>
      <c r="AC1239">
        <v>-18.404</v>
      </c>
      <c r="AD1239">
        <v>-1.1056178831851999</v>
      </c>
      <c r="AE1239">
        <v>1.1706999999999499</v>
      </c>
      <c r="AF1239">
        <v>2.4276800414936899</v>
      </c>
      <c r="AG1239">
        <v>-1.1056178831851999</v>
      </c>
      <c r="AH1239">
        <v>18.214073154022199</v>
      </c>
      <c r="AI1239">
        <v>93.443289574006201</v>
      </c>
      <c r="AJ1239">
        <v>82.408024098590403</v>
      </c>
      <c r="AK1239">
        <v>18.408380758436099</v>
      </c>
    </row>
    <row r="1240" spans="1:37" x14ac:dyDescent="0.2">
      <c r="A1240" t="str">
        <f>"20200111160125928"</f>
        <v>20200111160125928</v>
      </c>
      <c r="B1240" t="str">
        <f>"1578729685922371"</f>
        <v>1578729685922371</v>
      </c>
      <c r="C1240" t="s">
        <v>37</v>
      </c>
      <c r="D1240">
        <v>5.216113</v>
      </c>
      <c r="E1240">
        <v>0.55989299999999997</v>
      </c>
      <c r="F1240" t="s">
        <v>57</v>
      </c>
      <c r="G1240">
        <v>-243.49170000000001</v>
      </c>
      <c r="H1240" s="1">
        <v>3.2129939999999999E-7</v>
      </c>
      <c r="I1240">
        <v>284.42919999999998</v>
      </c>
      <c r="J1240">
        <v>-224.95699999999999</v>
      </c>
      <c r="K1240">
        <v>1.105394</v>
      </c>
      <c r="L1240">
        <v>283.14280000000002</v>
      </c>
      <c r="M1240">
        <v>-0.99743969999999904</v>
      </c>
      <c r="N1240">
        <v>0</v>
      </c>
      <c r="O1240">
        <v>-7.0122899999999905E-2</v>
      </c>
      <c r="P1240">
        <v>-0.99647540000000001</v>
      </c>
      <c r="Q1240">
        <v>-5.9762000000000001E-3</v>
      </c>
      <c r="R1240">
        <v>-8.3675490000000005E-2</v>
      </c>
      <c r="S1240">
        <v>-3.0265659999999999</v>
      </c>
      <c r="T1240">
        <v>-0.17810219999999999</v>
      </c>
      <c r="U1240">
        <v>0.2041626</v>
      </c>
      <c r="V1240">
        <v>-1.3606470000000001E-2</v>
      </c>
      <c r="W1240">
        <v>8.0311080000000003E-3</v>
      </c>
      <c r="X1240">
        <v>0.99987519999999996</v>
      </c>
      <c r="Y1240">
        <v>0.1367525</v>
      </c>
      <c r="Z1240">
        <v>8.1341980000000005E-3</v>
      </c>
      <c r="AA1240">
        <v>0.99057189999999995</v>
      </c>
      <c r="AB1240">
        <v>27</v>
      </c>
      <c r="AC1240">
        <v>-18.534700000000001</v>
      </c>
      <c r="AD1240">
        <v>-1.1053936787006</v>
      </c>
      <c r="AE1240">
        <v>1.28639999999995</v>
      </c>
      <c r="AF1240">
        <v>2.5739563317229899</v>
      </c>
      <c r="AG1240">
        <v>-1.1053936787006</v>
      </c>
      <c r="AH1240">
        <v>18.333952171268301</v>
      </c>
      <c r="AI1240">
        <v>93.416881109981304</v>
      </c>
      <c r="AJ1240">
        <v>82.008313200818606</v>
      </c>
      <c r="AK1240">
        <v>18.546723392580201</v>
      </c>
    </row>
    <row r="1241" spans="1:37" x14ac:dyDescent="0.2">
      <c r="A1241" t="str">
        <f>"20200111160125951"</f>
        <v>20200111160125951</v>
      </c>
      <c r="B1241" t="str">
        <f>"1578729685941891"</f>
        <v>1578729685941891</v>
      </c>
      <c r="C1241" t="s">
        <v>37</v>
      </c>
      <c r="D1241">
        <v>5.2449779999999997</v>
      </c>
      <c r="E1241">
        <v>0.5610214</v>
      </c>
      <c r="F1241" t="s">
        <v>57</v>
      </c>
      <c r="G1241">
        <v>-243.19919999999999</v>
      </c>
      <c r="H1241" s="1">
        <v>1.65657399999999E-7</v>
      </c>
      <c r="I1241">
        <v>284.42579999999998</v>
      </c>
      <c r="J1241">
        <v>-225.23509999999999</v>
      </c>
      <c r="K1241">
        <v>1.1051519999999999</v>
      </c>
      <c r="L1241">
        <v>283.12180000000001</v>
      </c>
      <c r="M1241">
        <v>-0.9973706</v>
      </c>
      <c r="N1241">
        <v>0</v>
      </c>
      <c r="O1241">
        <v>-7.1099099999999998E-2</v>
      </c>
      <c r="P1241">
        <v>-0.99639630000000001</v>
      </c>
      <c r="Q1241">
        <v>-6.3055230000000004E-3</v>
      </c>
      <c r="R1241">
        <v>-8.4587229999999999E-2</v>
      </c>
      <c r="S1241">
        <v>-3.02739</v>
      </c>
      <c r="T1241">
        <v>-0.18344579999999999</v>
      </c>
      <c r="U1241">
        <v>0.2129211</v>
      </c>
      <c r="V1241">
        <v>-1.3537850000000001E-2</v>
      </c>
      <c r="W1241">
        <v>7.7054380000000002E-3</v>
      </c>
      <c r="X1241">
        <v>0.99987859999999995</v>
      </c>
      <c r="Y1241">
        <v>0.14052500000000001</v>
      </c>
      <c r="Z1241">
        <v>8.5478629999999993E-3</v>
      </c>
      <c r="AA1241">
        <v>0.99004020000000004</v>
      </c>
      <c r="AB1241">
        <v>27</v>
      </c>
      <c r="AC1241">
        <v>-17.964099999999998</v>
      </c>
      <c r="AD1241">
        <v>-1.1051518343425999</v>
      </c>
      <c r="AE1241">
        <v>1.3039999999999701</v>
      </c>
      <c r="AF1241">
        <v>2.5683866479545601</v>
      </c>
      <c r="AG1241">
        <v>-1.1051518343425999</v>
      </c>
      <c r="AH1241">
        <v>17.7590455703637</v>
      </c>
      <c r="AI1241">
        <v>93.524371591519497</v>
      </c>
      <c r="AJ1241">
        <v>81.770705775752702</v>
      </c>
      <c r="AK1241">
        <v>17.977810492954799</v>
      </c>
    </row>
    <row r="1242" spans="1:37" x14ac:dyDescent="0.2">
      <c r="A1242" t="str">
        <f>"20200111160125973"</f>
        <v>20200111160125973</v>
      </c>
      <c r="B1242" t="str">
        <f>"1578729685962386"</f>
        <v>1578729685962386</v>
      </c>
      <c r="C1242" t="s">
        <v>37</v>
      </c>
      <c r="D1242">
        <v>5.466888</v>
      </c>
      <c r="E1242">
        <v>0.56153109999999995</v>
      </c>
      <c r="F1242" t="s">
        <v>57</v>
      </c>
      <c r="G1242">
        <v>-243.2379</v>
      </c>
      <c r="H1242" s="1">
        <v>1.8628260000000001E-7</v>
      </c>
      <c r="I1242">
        <v>284.42520000000002</v>
      </c>
      <c r="J1242">
        <v>-225.4941</v>
      </c>
      <c r="K1242">
        <v>1.1049309999999899</v>
      </c>
      <c r="L1242">
        <v>283.10250000000002</v>
      </c>
      <c r="M1242">
        <v>-0.99732759999999998</v>
      </c>
      <c r="N1242">
        <v>0</v>
      </c>
      <c r="O1242">
        <v>-7.1698390000000001E-2</v>
      </c>
      <c r="P1242">
        <v>-0.99630569999999896</v>
      </c>
      <c r="Q1242">
        <v>-5.6035369999999996E-3</v>
      </c>
      <c r="R1242">
        <v>-8.5693130000000006E-2</v>
      </c>
      <c r="S1242">
        <v>-3.0282900000000001</v>
      </c>
      <c r="T1242">
        <v>-0.18589939999999999</v>
      </c>
      <c r="U1242">
        <v>0.219238299999999</v>
      </c>
      <c r="V1242">
        <v>-1.4043150000000001E-2</v>
      </c>
      <c r="W1242">
        <v>8.4101799999999997E-3</v>
      </c>
      <c r="X1242">
        <v>0.99986600000000003</v>
      </c>
      <c r="Y1242">
        <v>0.1431375</v>
      </c>
      <c r="Z1242">
        <v>8.7755490000000005E-3</v>
      </c>
      <c r="AA1242">
        <v>0.98966390000000004</v>
      </c>
      <c r="AB1242">
        <v>27</v>
      </c>
      <c r="AC1242">
        <v>-17.743799999999901</v>
      </c>
      <c r="AD1242">
        <v>-1.1049308137173901</v>
      </c>
      <c r="AE1242">
        <v>1.32269999999999</v>
      </c>
      <c r="AF1242">
        <v>2.5816667263200102</v>
      </c>
      <c r="AG1242">
        <v>-1.1049308137173901</v>
      </c>
      <c r="AH1242">
        <v>17.535657338510902</v>
      </c>
      <c r="AI1242">
        <v>93.567119752911395</v>
      </c>
      <c r="AJ1242">
        <v>81.624859759960003</v>
      </c>
      <c r="AK1242">
        <v>17.759086504732199</v>
      </c>
    </row>
    <row r="1243" spans="1:37" x14ac:dyDescent="0.2">
      <c r="A1243" t="str">
        <f>"20200111160125996"</f>
        <v>20200111160125996</v>
      </c>
      <c r="B1243" t="str">
        <f>"1578729685992643"</f>
        <v>1578729685992643</v>
      </c>
      <c r="C1243" t="s">
        <v>37</v>
      </c>
      <c r="D1243">
        <v>5.3075279999999996</v>
      </c>
      <c r="E1243">
        <v>0.52729269999999995</v>
      </c>
      <c r="F1243" t="s">
        <v>57</v>
      </c>
      <c r="G1243">
        <v>-243.59289999999999</v>
      </c>
      <c r="H1243" s="1">
        <v>3.7517079999999998E-7</v>
      </c>
      <c r="I1243">
        <v>284.41539999999998</v>
      </c>
      <c r="J1243">
        <v>-225.77670000000001</v>
      </c>
      <c r="K1243">
        <v>1.1047229999999999</v>
      </c>
      <c r="L1243">
        <v>283.08150000000001</v>
      </c>
      <c r="M1243">
        <v>-0.99730030000000003</v>
      </c>
      <c r="N1243">
        <v>0</v>
      </c>
      <c r="O1243">
        <v>-7.2080050000000007E-2</v>
      </c>
      <c r="P1243">
        <v>-0.99616130000000003</v>
      </c>
      <c r="Q1243">
        <v>-5.5524669999999898E-3</v>
      </c>
      <c r="R1243">
        <v>-8.7361939999999999E-2</v>
      </c>
      <c r="S1243">
        <v>-3.0289759999999899</v>
      </c>
      <c r="T1243">
        <v>-0.1849189</v>
      </c>
      <c r="U1243">
        <v>0.21972659999999999</v>
      </c>
      <c r="V1243">
        <v>-1.53309E-2</v>
      </c>
      <c r="W1243">
        <v>8.4635839999999997E-3</v>
      </c>
      <c r="X1243">
        <v>0.99984660000000003</v>
      </c>
      <c r="Y1243">
        <v>0.1436615</v>
      </c>
      <c r="Z1243">
        <v>8.7665299999999998E-3</v>
      </c>
      <c r="AA1243">
        <v>0.98958809999999997</v>
      </c>
      <c r="AB1243">
        <v>27</v>
      </c>
      <c r="AC1243">
        <v>-17.816199999999899</v>
      </c>
      <c r="AD1243">
        <v>-1.1047226248291999</v>
      </c>
      <c r="AE1243">
        <v>1.3338999999999701</v>
      </c>
      <c r="AF1243">
        <v>2.6047893431155802</v>
      </c>
      <c r="AG1243">
        <v>-1.1047226248291999</v>
      </c>
      <c r="AH1243">
        <v>17.606375188754601</v>
      </c>
      <c r="AI1243">
        <v>93.551791659625593</v>
      </c>
      <c r="AJ1243">
        <v>81.584375756897003</v>
      </c>
      <c r="AK1243">
        <v>17.8322681363592</v>
      </c>
    </row>
    <row r="1244" spans="1:37" x14ac:dyDescent="0.2">
      <c r="A1244" t="str">
        <f>"20200111160126041"</f>
        <v>20200111160126041</v>
      </c>
      <c r="B1244" t="str">
        <f>"1578729686032659"</f>
        <v>1578729686032659</v>
      </c>
      <c r="C1244" t="s">
        <v>37</v>
      </c>
      <c r="D1244">
        <v>5.2804269999999898</v>
      </c>
      <c r="E1244">
        <v>0.52536430000000001</v>
      </c>
      <c r="F1244" t="s">
        <v>42</v>
      </c>
      <c r="G1244">
        <v>-226.65360000000001</v>
      </c>
      <c r="H1244">
        <v>1.038467</v>
      </c>
      <c r="I1244">
        <v>283.06360000000001</v>
      </c>
      <c r="J1244">
        <v>-226.3133</v>
      </c>
      <c r="K1244">
        <v>1.104384</v>
      </c>
      <c r="L1244">
        <v>283.04219999999998</v>
      </c>
      <c r="M1244">
        <v>-0.99729760000000001</v>
      </c>
      <c r="N1244">
        <v>0</v>
      </c>
      <c r="O1244">
        <v>-7.2117169999999994E-2</v>
      </c>
      <c r="P1244">
        <v>-0.99583390000000005</v>
      </c>
      <c r="Q1244">
        <v>-7.5100139999999998E-3</v>
      </c>
      <c r="R1244">
        <v>-9.0875629999999999E-2</v>
      </c>
      <c r="S1244">
        <v>-3.0048680000000001</v>
      </c>
      <c r="T1244">
        <v>-0.22719029999999901</v>
      </c>
      <c r="U1244">
        <v>-6.1828609999999999E-2</v>
      </c>
      <c r="V1244">
        <v>-1.881526E-2</v>
      </c>
      <c r="W1244">
        <v>6.5090829999999997E-3</v>
      </c>
      <c r="X1244">
        <v>0.99980179999999996</v>
      </c>
      <c r="Y1244">
        <v>5.1239229999999997E-2</v>
      </c>
      <c r="Z1244">
        <v>7.3742929999999996E-3</v>
      </c>
      <c r="AA1244">
        <v>0.99865919999999897</v>
      </c>
      <c r="AB1244">
        <v>27</v>
      </c>
      <c r="AC1244">
        <v>-0.34030000000001298</v>
      </c>
      <c r="AD1244">
        <v>-6.5916999999999906E-2</v>
      </c>
      <c r="AE1244">
        <v>2.1400000000028199E-2</v>
      </c>
      <c r="AF1244">
        <v>4.4234963643583203E-2</v>
      </c>
      <c r="AG1244">
        <v>-6.5916999999999906E-2</v>
      </c>
      <c r="AH1244">
        <v>0.32569800056798398</v>
      </c>
      <c r="AI1244">
        <v>101.339992886799</v>
      </c>
      <c r="AJ1244">
        <v>82.265646898219003</v>
      </c>
      <c r="AK1244">
        <v>0.33523271092113199</v>
      </c>
    </row>
    <row r="1245" spans="1:37" x14ac:dyDescent="0.2">
      <c r="A1245" t="str">
        <f>"20200111160126061"</f>
        <v>20200111160126061</v>
      </c>
      <c r="B1245" t="str">
        <f>"1578729686052178"</f>
        <v>1578729686052178</v>
      </c>
      <c r="C1245" t="s">
        <v>37</v>
      </c>
      <c r="D1245">
        <v>5.2723040000000001</v>
      </c>
      <c r="E1245">
        <v>0.52261159999999995</v>
      </c>
      <c r="F1245" t="s">
        <v>42</v>
      </c>
      <c r="G1245">
        <v>-227.1336</v>
      </c>
      <c r="H1245">
        <v>1.042365</v>
      </c>
      <c r="I1245">
        <v>283.01859999999999</v>
      </c>
      <c r="J1245">
        <v>-226.56309999999999</v>
      </c>
      <c r="K1245">
        <v>1.1042350000000001</v>
      </c>
      <c r="L1245">
        <v>283.02429999999998</v>
      </c>
      <c r="M1245">
        <v>-0.99731819999999904</v>
      </c>
      <c r="N1245">
        <v>0</v>
      </c>
      <c r="O1245">
        <v>-7.1832800000000002E-2</v>
      </c>
      <c r="P1245">
        <v>-0.99568860000000003</v>
      </c>
      <c r="Q1245">
        <v>-8.7241750000000007E-3</v>
      </c>
      <c r="R1245">
        <v>-9.2348399999999997E-2</v>
      </c>
      <c r="S1245">
        <v>-3.0028380000000001</v>
      </c>
      <c r="T1245">
        <v>-0.22726849999999901</v>
      </c>
      <c r="U1245">
        <v>-8.7554930000000003E-2</v>
      </c>
      <c r="V1245">
        <v>-2.0577419999999999E-2</v>
      </c>
      <c r="W1245">
        <v>5.2979380000000003E-3</v>
      </c>
      <c r="X1245">
        <v>0.99977419999999995</v>
      </c>
      <c r="Y1245">
        <v>4.2413579999999999E-2</v>
      </c>
      <c r="Z1245">
        <v>7.0257180000000002E-3</v>
      </c>
      <c r="AA1245">
        <v>0.99907539999999995</v>
      </c>
      <c r="AB1245">
        <v>27</v>
      </c>
      <c r="AC1245">
        <v>-0.570500000000009</v>
      </c>
      <c r="AD1245">
        <v>-6.1870000000000001E-2</v>
      </c>
      <c r="AE1245">
        <v>-5.6999999999902597E-3</v>
      </c>
      <c r="AF1245">
        <v>3.4889072381593403E-2</v>
      </c>
      <c r="AG1245">
        <v>-6.1870000000000001E-2</v>
      </c>
      <c r="AH1245">
        <v>0.56281671940866196</v>
      </c>
      <c r="AI1245">
        <v>96.261368007196594</v>
      </c>
      <c r="AJ1245">
        <v>86.452767209618798</v>
      </c>
      <c r="AK1245">
        <v>0.56728106254093902</v>
      </c>
    </row>
    <row r="1246" spans="1:37" x14ac:dyDescent="0.2">
      <c r="A1246" t="str">
        <f>"20200111160126085"</f>
        <v>20200111160126085</v>
      </c>
      <c r="B1246" t="str">
        <f>"1578729686082435"</f>
        <v>1578729686082435</v>
      </c>
      <c r="C1246" t="s">
        <v>37</v>
      </c>
      <c r="D1246">
        <v>5.2909629999999996</v>
      </c>
      <c r="E1246">
        <v>0.52139069999999998</v>
      </c>
      <c r="F1246" t="s">
        <v>42</v>
      </c>
      <c r="G1246">
        <v>-227.37469999999999</v>
      </c>
      <c r="H1246">
        <v>1.0445719999999901</v>
      </c>
      <c r="I1246">
        <v>282.99369999999999</v>
      </c>
      <c r="J1246">
        <v>-226.83519999999999</v>
      </c>
      <c r="K1246">
        <v>1.10407099999999</v>
      </c>
      <c r="L1246">
        <v>283.005</v>
      </c>
      <c r="M1246">
        <v>-0.99735509999999905</v>
      </c>
      <c r="N1246">
        <v>0</v>
      </c>
      <c r="O1246">
        <v>-7.1321179999999998E-2</v>
      </c>
      <c r="P1246">
        <v>-0.99562269999999897</v>
      </c>
      <c r="Q1246">
        <v>-8.7620389999999992E-3</v>
      </c>
      <c r="R1246">
        <v>-9.305339E-2</v>
      </c>
      <c r="S1246">
        <v>-3.0005799999999998</v>
      </c>
      <c r="T1246">
        <v>-0.2206832</v>
      </c>
      <c r="U1246">
        <v>-0.1130676</v>
      </c>
      <c r="V1246">
        <v>-2.1795930000000002E-2</v>
      </c>
      <c r="W1246">
        <v>5.2659909999999898E-3</v>
      </c>
      <c r="X1246">
        <v>0.99974859999999899</v>
      </c>
      <c r="Y1246">
        <v>3.3436180000000003E-2</v>
      </c>
      <c r="Z1246">
        <v>6.4594099999999996E-3</v>
      </c>
      <c r="AA1246">
        <v>0.99941999999999998</v>
      </c>
      <c r="AB1246">
        <v>27</v>
      </c>
      <c r="AC1246">
        <v>-0.53950000000000298</v>
      </c>
      <c r="AD1246">
        <v>-5.9498999999999899E-2</v>
      </c>
      <c r="AE1246">
        <v>-1.1300000000005601E-2</v>
      </c>
      <c r="AF1246">
        <v>2.6883494655562699E-2</v>
      </c>
      <c r="AG1246">
        <v>-5.9498999999999899E-2</v>
      </c>
      <c r="AH1246">
        <v>0.53245846033093003</v>
      </c>
      <c r="AI1246">
        <v>96.367960234499193</v>
      </c>
      <c r="AJ1246">
        <v>87.109626283270302</v>
      </c>
      <c r="AK1246">
        <v>0.53644651668538201</v>
      </c>
    </row>
    <row r="1247" spans="1:37" x14ac:dyDescent="0.2">
      <c r="A1247" t="str">
        <f>"20200111160126107"</f>
        <v>20200111160126107</v>
      </c>
      <c r="B1247" t="str">
        <f>"1578729686101954"</f>
        <v>1578729686101954</v>
      </c>
      <c r="C1247" t="s">
        <v>37</v>
      </c>
      <c r="D1247">
        <v>5.3357029999999996</v>
      </c>
      <c r="E1247">
        <v>0.52112599999999998</v>
      </c>
      <c r="F1247" t="s">
        <v>42</v>
      </c>
      <c r="G1247">
        <v>-227.61709999999999</v>
      </c>
      <c r="H1247">
        <v>1.047725</v>
      </c>
      <c r="I1247">
        <v>282.97280000000001</v>
      </c>
      <c r="J1247">
        <v>-227.09630000000001</v>
      </c>
      <c r="K1247">
        <v>1.103904</v>
      </c>
      <c r="L1247">
        <v>282.98689999999999</v>
      </c>
      <c r="M1247">
        <v>-0.99740280000000003</v>
      </c>
      <c r="N1247">
        <v>0</v>
      </c>
      <c r="O1247">
        <v>-7.0651480000000003E-2</v>
      </c>
      <c r="P1247">
        <v>-0.99562539999999999</v>
      </c>
      <c r="Q1247">
        <v>-8.1787890000000005E-3</v>
      </c>
      <c r="R1247">
        <v>-9.3079229999999999E-2</v>
      </c>
      <c r="S1247">
        <v>-2.9996640000000001</v>
      </c>
      <c r="T1247">
        <v>-0.21628269999999999</v>
      </c>
      <c r="U1247">
        <v>-0.124481199999999</v>
      </c>
      <c r="V1247">
        <v>-2.2490429999999999E-2</v>
      </c>
      <c r="W1247">
        <v>5.8563069999999998E-3</v>
      </c>
      <c r="X1247">
        <v>0.99972989999999995</v>
      </c>
      <c r="Y1247">
        <v>2.8980780000000001E-2</v>
      </c>
      <c r="Z1247">
        <v>6.1237929999999998E-3</v>
      </c>
      <c r="AA1247">
        <v>0.99956119999999904</v>
      </c>
      <c r="AB1247">
        <v>27</v>
      </c>
      <c r="AC1247">
        <v>-0.52079999999997995</v>
      </c>
      <c r="AD1247">
        <v>-5.6178999999999903E-2</v>
      </c>
      <c r="AE1247">
        <v>-1.4099999999984901E-2</v>
      </c>
      <c r="AF1247">
        <v>2.24728358221612E-2</v>
      </c>
      <c r="AG1247">
        <v>-5.6178999999999903E-2</v>
      </c>
      <c r="AH1247">
        <v>0.51451207135556498</v>
      </c>
      <c r="AI1247">
        <v>96.225487779817001</v>
      </c>
      <c r="AJ1247">
        <v>87.499027053924294</v>
      </c>
      <c r="AK1247">
        <v>0.51805769945198499</v>
      </c>
    </row>
    <row r="1248" spans="1:37" x14ac:dyDescent="0.2">
      <c r="A1248" t="str">
        <f>"20200111160126130"</f>
        <v>20200111160126130</v>
      </c>
      <c r="B1248" t="str">
        <f>"1578729686122451"</f>
        <v>1578729686122451</v>
      </c>
      <c r="C1248" t="s">
        <v>37</v>
      </c>
      <c r="D1248">
        <v>5.3068349999999898</v>
      </c>
      <c r="E1248">
        <v>0.52094259999999903</v>
      </c>
      <c r="F1248" t="s">
        <v>57</v>
      </c>
      <c r="G1248">
        <v>-242.733</v>
      </c>
      <c r="H1248" s="1">
        <v>-8.2414539999999894E-8</v>
      </c>
      <c r="I1248">
        <v>282.32740000000001</v>
      </c>
      <c r="J1248">
        <v>-227.3699</v>
      </c>
      <c r="K1248">
        <v>1.1037410000000001</v>
      </c>
      <c r="L1248">
        <v>282.96850000000001</v>
      </c>
      <c r="M1248">
        <v>-0.99746469999999898</v>
      </c>
      <c r="N1248">
        <v>0</v>
      </c>
      <c r="O1248">
        <v>-6.9771769999999997E-2</v>
      </c>
      <c r="P1248">
        <v>-0.99573860000000003</v>
      </c>
      <c r="Q1248">
        <v>-8.5199290000000007E-3</v>
      </c>
      <c r="R1248">
        <v>-9.1827329999999999E-2</v>
      </c>
      <c r="S1248">
        <v>-2.999619</v>
      </c>
      <c r="T1248">
        <v>-0.21176449999999999</v>
      </c>
      <c r="U1248">
        <v>-0.1265259</v>
      </c>
      <c r="V1248">
        <v>-2.2113399999999998E-2</v>
      </c>
      <c r="W1248">
        <v>5.5210950000000002E-3</v>
      </c>
      <c r="X1248">
        <v>0.99974019999999997</v>
      </c>
      <c r="Y1248">
        <v>2.7435029999999999E-2</v>
      </c>
      <c r="Z1248">
        <v>5.8798449999999999E-3</v>
      </c>
      <c r="AA1248">
        <v>0.99960629999999995</v>
      </c>
      <c r="AB1248">
        <v>27</v>
      </c>
      <c r="AC1248">
        <v>-15.363099999999999</v>
      </c>
      <c r="AD1248">
        <v>-1.1037410824145399</v>
      </c>
      <c r="AE1248">
        <v>-0.64109999999999401</v>
      </c>
      <c r="AF1248">
        <v>0.43026152288477199</v>
      </c>
      <c r="AG1248">
        <v>-1.1037410824145399</v>
      </c>
      <c r="AH1248">
        <v>15.2915970288057</v>
      </c>
      <c r="AI1248">
        <v>94.126798182370806</v>
      </c>
      <c r="AJ1248">
        <v>88.388286932848303</v>
      </c>
      <c r="AK1248">
        <v>15.3374153313543</v>
      </c>
    </row>
    <row r="1249" spans="1:37" x14ac:dyDescent="0.2">
      <c r="A1249" t="str">
        <f>"20200111160126152"</f>
        <v>20200111160126152</v>
      </c>
      <c r="B1249" t="str">
        <f>"1578729686141970"</f>
        <v>1578729686141970</v>
      </c>
      <c r="C1249" t="s">
        <v>37</v>
      </c>
      <c r="D1249">
        <v>5.2753709999999998</v>
      </c>
      <c r="E1249">
        <v>0.52069659999999995</v>
      </c>
      <c r="F1249" t="s">
        <v>42</v>
      </c>
      <c r="G1249">
        <v>-228.3218</v>
      </c>
      <c r="H1249">
        <v>1.036273</v>
      </c>
      <c r="I1249">
        <v>282.92899999999997</v>
      </c>
      <c r="J1249">
        <v>-227.63849999999999</v>
      </c>
      <c r="K1249">
        <v>1.1036059999999901</v>
      </c>
      <c r="L1249">
        <v>282.95080000000002</v>
      </c>
      <c r="M1249">
        <v>-0.99753769999999997</v>
      </c>
      <c r="N1249">
        <v>0</v>
      </c>
      <c r="O1249">
        <v>-6.8720989999999996E-2</v>
      </c>
      <c r="P1249">
        <v>-0.99586980000000003</v>
      </c>
      <c r="Q1249">
        <v>-9.3189999999999992E-3</v>
      </c>
      <c r="R1249">
        <v>-9.0314110000000003E-2</v>
      </c>
      <c r="S1249">
        <v>-2.9995270000000001</v>
      </c>
      <c r="T1249">
        <v>-0.21259020000000001</v>
      </c>
      <c r="U1249">
        <v>-0.1244507</v>
      </c>
      <c r="V1249">
        <v>-2.1648210000000001E-2</v>
      </c>
      <c r="W1249">
        <v>4.726694E-3</v>
      </c>
      <c r="X1249">
        <v>0.99975449999999999</v>
      </c>
      <c r="Y1249">
        <v>2.7072700000000002E-2</v>
      </c>
      <c r="Z1249">
        <v>5.8160219999999997E-3</v>
      </c>
      <c r="AA1249">
        <v>0.99961659999999997</v>
      </c>
      <c r="AB1249">
        <v>27</v>
      </c>
      <c r="AC1249">
        <v>-0.68330000000000202</v>
      </c>
      <c r="AD1249">
        <v>-6.7332999999999796E-2</v>
      </c>
      <c r="AE1249">
        <v>-2.17999999999847E-2</v>
      </c>
      <c r="AF1249">
        <v>2.4970971833479901E-2</v>
      </c>
      <c r="AG1249">
        <v>-6.7332999999999796E-2</v>
      </c>
      <c r="AH1249">
        <v>0.67661907032759605</v>
      </c>
      <c r="AI1249">
        <v>95.679174931306605</v>
      </c>
      <c r="AJ1249">
        <v>87.886429263572296</v>
      </c>
      <c r="AK1249">
        <v>0.68041946522295205</v>
      </c>
    </row>
    <row r="1250" spans="1:37" x14ac:dyDescent="0.2">
      <c r="A1250" t="str">
        <f>"20200111160126175"</f>
        <v>20200111160126175</v>
      </c>
      <c r="B1250" t="str">
        <f>"1578729686172227"</f>
        <v>1578729686172227</v>
      </c>
      <c r="C1250" t="s">
        <v>37</v>
      </c>
      <c r="D1250">
        <v>5.3270379999999999</v>
      </c>
      <c r="E1250">
        <v>0.52070539999999998</v>
      </c>
      <c r="F1250" t="s">
        <v>42</v>
      </c>
      <c r="G1250">
        <v>-228.56030000000001</v>
      </c>
      <c r="H1250">
        <v>1.0378019999999999</v>
      </c>
      <c r="I1250">
        <v>282.91370000000001</v>
      </c>
      <c r="J1250">
        <v>-227.90280000000001</v>
      </c>
      <c r="K1250">
        <v>1.10351</v>
      </c>
      <c r="L1250">
        <v>282.93389999999999</v>
      </c>
      <c r="M1250">
        <v>-0.99761749999999905</v>
      </c>
      <c r="N1250">
        <v>0</v>
      </c>
      <c r="O1250">
        <v>-6.7552199999999896E-2</v>
      </c>
      <c r="P1250">
        <v>-0.99609049999999999</v>
      </c>
      <c r="Q1250">
        <v>-9.8465229999999994E-3</v>
      </c>
      <c r="R1250">
        <v>-8.7791640000000004E-2</v>
      </c>
      <c r="S1250">
        <v>-2.9994200000000002</v>
      </c>
      <c r="T1250">
        <v>-0.2142616</v>
      </c>
      <c r="U1250">
        <v>-0.1216125</v>
      </c>
      <c r="V1250">
        <v>-2.0287679999999999E-2</v>
      </c>
      <c r="W1250">
        <v>4.1993179999999996E-3</v>
      </c>
      <c r="X1250">
        <v>0.99978539999999905</v>
      </c>
      <c r="Y1250">
        <v>2.6844050000000001E-2</v>
      </c>
      <c r="Z1250">
        <v>5.7706850000000002E-3</v>
      </c>
      <c r="AA1250">
        <v>0.99962299999999904</v>
      </c>
      <c r="AB1250">
        <v>27</v>
      </c>
      <c r="AC1250">
        <v>-0.65749999999999797</v>
      </c>
      <c r="AD1250">
        <v>-6.5707999999999794E-2</v>
      </c>
      <c r="AE1250">
        <v>-2.0199999999988401E-2</v>
      </c>
      <c r="AF1250">
        <v>2.4026346149682701E-2</v>
      </c>
      <c r="AG1250">
        <v>-6.5707999999999794E-2</v>
      </c>
      <c r="AH1250">
        <v>0.65086825304393603</v>
      </c>
      <c r="AI1250">
        <v>95.760831174636095</v>
      </c>
      <c r="AJ1250">
        <v>87.885926298828096</v>
      </c>
      <c r="AK1250">
        <v>0.65461766657627596</v>
      </c>
    </row>
    <row r="1251" spans="1:37" x14ac:dyDescent="0.2">
      <c r="A1251" t="str">
        <f>"20200111160126196"</f>
        <v>20200111160126196</v>
      </c>
      <c r="B1251" t="str">
        <f>"1578729686191746"</f>
        <v>1578729686191746</v>
      </c>
      <c r="C1251" t="s">
        <v>37</v>
      </c>
      <c r="D1251">
        <v>5.32456</v>
      </c>
      <c r="E1251">
        <v>0.52071089999999998</v>
      </c>
      <c r="F1251" t="s">
        <v>42</v>
      </c>
      <c r="G1251">
        <v>-228.7987</v>
      </c>
      <c r="H1251">
        <v>1.03904</v>
      </c>
      <c r="I1251">
        <v>282.89980000000003</v>
      </c>
      <c r="J1251">
        <v>-228.16079999999999</v>
      </c>
      <c r="K1251">
        <v>1.1034440000000001</v>
      </c>
      <c r="L1251">
        <v>282.9178</v>
      </c>
      <c r="M1251">
        <v>-0.99770119999999896</v>
      </c>
      <c r="N1251">
        <v>0</v>
      </c>
      <c r="O1251">
        <v>-6.6306110000000001E-2</v>
      </c>
      <c r="P1251">
        <v>-0.99633570000000005</v>
      </c>
      <c r="Q1251">
        <v>-1.0753769999999999E-2</v>
      </c>
      <c r="R1251">
        <v>-8.4851449999999995E-2</v>
      </c>
      <c r="S1251">
        <v>-2.9995569999999998</v>
      </c>
      <c r="T1251">
        <v>-0.21599599999999999</v>
      </c>
      <c r="U1251">
        <v>-0.1144104</v>
      </c>
      <c r="V1251">
        <v>-1.8587200000000002E-2</v>
      </c>
      <c r="W1251">
        <v>3.2895189999999999E-3</v>
      </c>
      <c r="X1251">
        <v>0.99982179999999998</v>
      </c>
      <c r="Y1251">
        <v>2.799012E-2</v>
      </c>
      <c r="Z1251">
        <v>5.7691950000000004E-3</v>
      </c>
      <c r="AA1251">
        <v>0.99959149999999997</v>
      </c>
      <c r="AB1251">
        <v>27</v>
      </c>
      <c r="AC1251">
        <v>-0.63790000000000102</v>
      </c>
      <c r="AD1251">
        <v>-6.44040000000001E-2</v>
      </c>
      <c r="AE1251">
        <v>-1.7999999999972201E-2</v>
      </c>
      <c r="AF1251">
        <v>2.4095013696671299E-2</v>
      </c>
      <c r="AG1251">
        <v>-6.44040000000001E-2</v>
      </c>
      <c r="AH1251">
        <v>0.63125995648866495</v>
      </c>
      <c r="AI1251">
        <v>95.821208620258105</v>
      </c>
      <c r="AJ1251">
        <v>87.814097483352697</v>
      </c>
      <c r="AK1251">
        <v>0.63499415553776095</v>
      </c>
    </row>
    <row r="1252" spans="1:37" x14ac:dyDescent="0.2">
      <c r="A1252" t="str">
        <f>"20200111160126218"</f>
        <v>20200111160126218</v>
      </c>
      <c r="B1252" t="str">
        <f>"1578729686212243"</f>
        <v>1578729686212243</v>
      </c>
      <c r="C1252" t="s">
        <v>37</v>
      </c>
      <c r="D1252">
        <v>5.2264689999999998</v>
      </c>
      <c r="E1252">
        <v>0.52071120000000004</v>
      </c>
      <c r="F1252" t="s">
        <v>42</v>
      </c>
      <c r="G1252">
        <v>-229.03630000000001</v>
      </c>
      <c r="H1252">
        <v>1.0394729999999901</v>
      </c>
      <c r="I1252">
        <v>282.88720000000001</v>
      </c>
      <c r="J1252">
        <v>-228.42259999999999</v>
      </c>
      <c r="K1252">
        <v>1.1033850000000001</v>
      </c>
      <c r="L1252">
        <v>282.90190000000001</v>
      </c>
      <c r="M1252">
        <v>-0.99778989999999901</v>
      </c>
      <c r="N1252">
        <v>0</v>
      </c>
      <c r="O1252">
        <v>-6.4958279999999993E-2</v>
      </c>
      <c r="P1252">
        <v>-0.99658969999999902</v>
      </c>
      <c r="Q1252">
        <v>-1.223746E-2</v>
      </c>
      <c r="R1252">
        <v>-8.1606380000000006E-2</v>
      </c>
      <c r="S1252">
        <v>-2.9996489999999998</v>
      </c>
      <c r="T1252">
        <v>-0.21930229999999901</v>
      </c>
      <c r="U1252">
        <v>-0.105834999999999</v>
      </c>
      <c r="V1252">
        <v>-1.668642E-2</v>
      </c>
      <c r="W1252">
        <v>1.8013149999999999E-3</v>
      </c>
      <c r="X1252">
        <v>0.99985919999999895</v>
      </c>
      <c r="Y1252">
        <v>2.9486769999999999E-2</v>
      </c>
      <c r="Z1252">
        <v>5.8139659999999899E-3</v>
      </c>
      <c r="AA1252">
        <v>0.99954829999999995</v>
      </c>
      <c r="AB1252">
        <v>27</v>
      </c>
      <c r="AC1252">
        <v>-0.61370000000002201</v>
      </c>
      <c r="AD1252">
        <v>-6.3912000000000094E-2</v>
      </c>
      <c r="AE1252">
        <v>-1.47000000000048E-2</v>
      </c>
      <c r="AF1252">
        <v>2.49296301754342E-2</v>
      </c>
      <c r="AG1252">
        <v>-6.3912000000000094E-2</v>
      </c>
      <c r="AH1252">
        <v>0.60678145983944398</v>
      </c>
      <c r="AI1252">
        <v>96.007735325969904</v>
      </c>
      <c r="AJ1252">
        <v>87.647324746607694</v>
      </c>
      <c r="AK1252">
        <v>0.61064717325929796</v>
      </c>
    </row>
    <row r="1253" spans="1:37" x14ac:dyDescent="0.2">
      <c r="A1253" t="str">
        <f>"20200111160126241"</f>
        <v>20200111160126241</v>
      </c>
      <c r="B1253" t="str">
        <f>"1578729686231762"</f>
        <v>1578729686231762</v>
      </c>
      <c r="C1253" t="s">
        <v>37</v>
      </c>
      <c r="D1253">
        <v>5.289015</v>
      </c>
      <c r="E1253">
        <v>0.5205379</v>
      </c>
      <c r="F1253" t="s">
        <v>42</v>
      </c>
      <c r="G1253">
        <v>-229.27379999999999</v>
      </c>
      <c r="H1253">
        <v>1.0399590000000001</v>
      </c>
      <c r="I1253">
        <v>282.87470000000002</v>
      </c>
      <c r="J1253">
        <v>-228.6927</v>
      </c>
      <c r="K1253">
        <v>1.103337</v>
      </c>
      <c r="L1253">
        <v>282.88589999999999</v>
      </c>
      <c r="M1253">
        <v>-0.99788349999999904</v>
      </c>
      <c r="N1253">
        <v>0</v>
      </c>
      <c r="O1253">
        <v>-6.3502390000000006E-2</v>
      </c>
      <c r="P1253">
        <v>-0.99673829999999997</v>
      </c>
      <c r="Q1253">
        <v>-1.322975E-2</v>
      </c>
      <c r="R1253">
        <v>-7.9611840000000003E-2</v>
      </c>
      <c r="S1253">
        <v>-2.9996339999999999</v>
      </c>
      <c r="T1253">
        <v>-0.22362779999999999</v>
      </c>
      <c r="U1253">
        <v>-9.661865E-2</v>
      </c>
      <c r="V1253">
        <v>-1.6147680000000001E-2</v>
      </c>
      <c r="W1253">
        <v>8.0758719999999998E-4</v>
      </c>
      <c r="X1253">
        <v>0.99986929999999996</v>
      </c>
      <c r="Y1253">
        <v>3.10853E-2</v>
      </c>
      <c r="Z1253">
        <v>5.8801239999999996E-3</v>
      </c>
      <c r="AA1253">
        <v>0.99949940000000004</v>
      </c>
      <c r="AB1253">
        <v>27</v>
      </c>
      <c r="AC1253">
        <v>-0.58109999999999196</v>
      </c>
      <c r="AD1253">
        <v>-6.3377999999999907E-2</v>
      </c>
      <c r="AE1253">
        <v>-1.1199999999973899E-2</v>
      </c>
      <c r="AF1253">
        <v>2.54251373527184E-2</v>
      </c>
      <c r="AG1253">
        <v>-6.3377999999999907E-2</v>
      </c>
      <c r="AH1253">
        <v>0.57381505815549705</v>
      </c>
      <c r="AI1253">
        <v>96.296656277811493</v>
      </c>
      <c r="AJ1253">
        <v>87.462944156898899</v>
      </c>
      <c r="AK1253">
        <v>0.57786410985576897</v>
      </c>
    </row>
    <row r="1254" spans="1:37" x14ac:dyDescent="0.2">
      <c r="A1254" t="str">
        <f>"20200111160126263"</f>
        <v>20200111160126263</v>
      </c>
      <c r="B1254" t="str">
        <f>"1578729686252259"</f>
        <v>1578729686252259</v>
      </c>
      <c r="C1254" t="s">
        <v>37</v>
      </c>
      <c r="D1254">
        <v>5.3059320000000003</v>
      </c>
      <c r="E1254">
        <v>0.52049409999999996</v>
      </c>
      <c r="F1254" t="s">
        <v>42</v>
      </c>
      <c r="G1254">
        <v>-229.51230000000001</v>
      </c>
      <c r="H1254">
        <v>1.04179</v>
      </c>
      <c r="I1254">
        <v>282.86090000000002</v>
      </c>
      <c r="J1254">
        <v>-228.952</v>
      </c>
      <c r="K1254">
        <v>1.103289</v>
      </c>
      <c r="L1254">
        <v>282.87099999999998</v>
      </c>
      <c r="M1254">
        <v>-0.9979751</v>
      </c>
      <c r="N1254">
        <v>0</v>
      </c>
      <c r="O1254">
        <v>-6.2048779999999998E-2</v>
      </c>
      <c r="P1254">
        <v>-0.99685919999999895</v>
      </c>
      <c r="Q1254">
        <v>-1.4067659999999999E-2</v>
      </c>
      <c r="R1254">
        <v>-7.7937919999999994E-2</v>
      </c>
      <c r="S1254">
        <v>-2.99951199999999</v>
      </c>
      <c r="T1254">
        <v>-0.2252565</v>
      </c>
      <c r="U1254">
        <v>-9.1827389999999995E-2</v>
      </c>
      <c r="V1254">
        <v>-1.5927899999999998E-2</v>
      </c>
      <c r="W1254" s="1">
        <v>-3.0892090000000001E-5</v>
      </c>
      <c r="X1254">
        <v>0.99987320000000002</v>
      </c>
      <c r="Y1254">
        <v>3.1222880000000001E-2</v>
      </c>
      <c r="Z1254">
        <v>5.819655E-3</v>
      </c>
      <c r="AA1254">
        <v>0.99949549999999998</v>
      </c>
      <c r="AB1254">
        <v>26</v>
      </c>
      <c r="AC1254">
        <v>-0.56030000000001201</v>
      </c>
      <c r="AD1254">
        <v>-6.1498999999999901E-2</v>
      </c>
      <c r="AE1254">
        <v>-1.00999999999658E-2</v>
      </c>
      <c r="AF1254">
        <v>2.43949963586346E-2</v>
      </c>
      <c r="AG1254">
        <v>-6.1498999999999901E-2</v>
      </c>
      <c r="AH1254">
        <v>0.55318461551797304</v>
      </c>
      <c r="AI1254">
        <v>96.337565405735901</v>
      </c>
      <c r="AJ1254">
        <v>87.474938247358807</v>
      </c>
      <c r="AK1254">
        <v>0.55712697089093299</v>
      </c>
    </row>
    <row r="1255" spans="1:37" x14ac:dyDescent="0.2">
      <c r="A1255" t="str">
        <f>"20200111160126375"</f>
        <v>20200111160126375</v>
      </c>
      <c r="B1255" t="str">
        <f>"1578729686371838"</f>
        <v>1578729686371838</v>
      </c>
      <c r="C1255" t="s">
        <v>37</v>
      </c>
      <c r="D1255">
        <v>5.3821209999999997</v>
      </c>
      <c r="E1255">
        <v>0.53492229999999996</v>
      </c>
      <c r="F1255" t="s">
        <v>42</v>
      </c>
      <c r="G1255">
        <v>-230.916</v>
      </c>
      <c r="H1255">
        <v>1.0166360000000001</v>
      </c>
      <c r="I1255">
        <v>282.82639999999998</v>
      </c>
      <c r="J1255">
        <v>-230.28200000000001</v>
      </c>
      <c r="K1255">
        <v>1.1029639999999901</v>
      </c>
      <c r="L1255">
        <v>282.80250000000001</v>
      </c>
      <c r="M1255">
        <v>-0.99848210000000004</v>
      </c>
      <c r="N1255">
        <v>0</v>
      </c>
      <c r="O1255">
        <v>-5.3270890000000001E-2</v>
      </c>
      <c r="P1255">
        <v>-0.99740569999999895</v>
      </c>
      <c r="Q1255">
        <v>-1.1968609999999999E-2</v>
      </c>
      <c r="R1255">
        <v>-7.0983119999999997E-2</v>
      </c>
      <c r="S1255">
        <v>-3.0075069999999999</v>
      </c>
      <c r="T1255">
        <v>-0.293209</v>
      </c>
      <c r="U1255">
        <v>3.9764399999999998E-2</v>
      </c>
      <c r="V1255">
        <v>-1.7737200000000002E-2</v>
      </c>
      <c r="W1255">
        <v>2.0836019999999999E-3</v>
      </c>
      <c r="X1255">
        <v>0.99984050000000002</v>
      </c>
      <c r="Y1255">
        <v>6.5908359999999999E-2</v>
      </c>
      <c r="Z1255">
        <v>8.3851589999999997E-3</v>
      </c>
      <c r="AA1255">
        <v>0.99779050000000002</v>
      </c>
      <c r="AB1255">
        <v>26</v>
      </c>
      <c r="AC1255">
        <v>-0.63399999999998602</v>
      </c>
      <c r="AD1255">
        <v>-8.6327999999999697E-2</v>
      </c>
      <c r="AE1255">
        <v>2.3899999999969099E-2</v>
      </c>
      <c r="AF1255">
        <v>5.65952833114092E-2</v>
      </c>
      <c r="AG1255">
        <v>-8.6327999999999697E-2</v>
      </c>
      <c r="AH1255">
        <v>0.62034110399762299</v>
      </c>
      <c r="AI1255">
        <v>97.890169252589004</v>
      </c>
      <c r="AJ1255">
        <v>84.787192297524101</v>
      </c>
      <c r="AK1255">
        <v>0.62887092076680395</v>
      </c>
    </row>
    <row r="1256" spans="1:37" x14ac:dyDescent="0.2">
      <c r="A1256" t="str">
        <f>"20200111160126397"</f>
        <v>20200111160126397</v>
      </c>
      <c r="B1256" t="str">
        <f>"1578729686392334"</f>
        <v>1578729686392334</v>
      </c>
      <c r="C1256" t="s">
        <v>37</v>
      </c>
      <c r="D1256">
        <v>5.3773999999999997</v>
      </c>
      <c r="E1256">
        <v>0.53448059999999997</v>
      </c>
      <c r="F1256" t="s">
        <v>42</v>
      </c>
      <c r="G1256">
        <v>-231.15119999999999</v>
      </c>
      <c r="H1256">
        <v>1.01708</v>
      </c>
      <c r="I1256">
        <v>282.81490000000002</v>
      </c>
      <c r="J1256">
        <v>-230.5273</v>
      </c>
      <c r="K1256">
        <v>1.1028910000000001</v>
      </c>
      <c r="L1256">
        <v>282.79160000000002</v>
      </c>
      <c r="M1256">
        <v>-0.99858309999999995</v>
      </c>
      <c r="N1256">
        <v>0</v>
      </c>
      <c r="O1256">
        <v>-5.1343310000000003E-2</v>
      </c>
      <c r="P1256">
        <v>-0.99750539999999999</v>
      </c>
      <c r="Q1256">
        <v>-1.1322749999999999E-2</v>
      </c>
      <c r="R1256">
        <v>-6.9679729999999995E-2</v>
      </c>
      <c r="S1256">
        <v>-3.0072939999999999</v>
      </c>
      <c r="T1256">
        <v>-0.29712569999999999</v>
      </c>
      <c r="U1256">
        <v>4.2907710000000002E-2</v>
      </c>
      <c r="V1256">
        <v>-1.8357910000000002E-2</v>
      </c>
      <c r="W1256">
        <v>2.7349599999999998E-3</v>
      </c>
      <c r="X1256">
        <v>0.99982769999999999</v>
      </c>
      <c r="Y1256">
        <v>6.5024269999999995E-2</v>
      </c>
      <c r="Z1256">
        <v>8.2638030000000001E-3</v>
      </c>
      <c r="AA1256">
        <v>0.99784949999999994</v>
      </c>
      <c r="AB1256">
        <v>26</v>
      </c>
      <c r="AC1256">
        <v>-0.62389999999999102</v>
      </c>
      <c r="AD1256">
        <v>-8.5810999999999998E-2</v>
      </c>
      <c r="AE1256">
        <v>2.3300000000006E-2</v>
      </c>
      <c r="AF1256">
        <v>5.4280092931495799E-2</v>
      </c>
      <c r="AG1256">
        <v>-8.5810999999999998E-2</v>
      </c>
      <c r="AH1256">
        <v>0.61035051960398901</v>
      </c>
      <c r="AI1256">
        <v>97.971874047901906</v>
      </c>
      <c r="AJ1256">
        <v>84.917904124905206</v>
      </c>
      <c r="AK1256">
        <v>0.61873872756641901</v>
      </c>
    </row>
    <row r="1257" spans="1:37" x14ac:dyDescent="0.2">
      <c r="A1257" t="str">
        <f>"20200111160126419"</f>
        <v>20200111160126419</v>
      </c>
      <c r="B1257" t="str">
        <f>"1578729686411855"</f>
        <v>1578729686411855</v>
      </c>
      <c r="C1257" t="s">
        <v>37</v>
      </c>
      <c r="D1257">
        <v>5.4055429999999998</v>
      </c>
      <c r="E1257">
        <v>0.5341437</v>
      </c>
      <c r="F1257" t="s">
        <v>42</v>
      </c>
      <c r="G1257">
        <v>-231.38659999999999</v>
      </c>
      <c r="H1257">
        <v>1.0182519999999999</v>
      </c>
      <c r="I1257">
        <v>282.80419999999998</v>
      </c>
      <c r="J1257">
        <v>-230.79060000000001</v>
      </c>
      <c r="K1257">
        <v>1.1028180000000001</v>
      </c>
      <c r="L1257">
        <v>282.78050000000002</v>
      </c>
      <c r="M1257">
        <v>-0.99869399999999997</v>
      </c>
      <c r="N1257">
        <v>0</v>
      </c>
      <c r="O1257">
        <v>-4.91346E-2</v>
      </c>
      <c r="P1257">
        <v>-0.99761429999999995</v>
      </c>
      <c r="Q1257">
        <v>-1.040611E-2</v>
      </c>
      <c r="R1257">
        <v>-6.824363E-2</v>
      </c>
      <c r="S1257">
        <v>-3.0071720000000002</v>
      </c>
      <c r="T1257">
        <v>-0.29622549999999997</v>
      </c>
      <c r="U1257">
        <v>4.3243410000000003E-2</v>
      </c>
      <c r="V1257">
        <v>-1.9124950000000002E-2</v>
      </c>
      <c r="W1257">
        <v>3.659065E-3</v>
      </c>
      <c r="X1257">
        <v>0.99981039999999999</v>
      </c>
      <c r="Y1257">
        <v>6.2953199999999904E-2</v>
      </c>
      <c r="Z1257">
        <v>7.9205739999999997E-3</v>
      </c>
      <c r="AA1257">
        <v>0.99798509999999996</v>
      </c>
      <c r="AB1257">
        <v>26</v>
      </c>
      <c r="AC1257">
        <v>-0.59599999999997499</v>
      </c>
      <c r="AD1257">
        <v>-8.4566000000000099E-2</v>
      </c>
      <c r="AE1257">
        <v>2.3699999999962501E-2</v>
      </c>
      <c r="AF1257">
        <v>5.1914931337809098E-2</v>
      </c>
      <c r="AG1257">
        <v>-8.4566000000000099E-2</v>
      </c>
      <c r="AH1257">
        <v>0.58240852115032304</v>
      </c>
      <c r="AI1257">
        <v>98.2294573859471</v>
      </c>
      <c r="AJ1257">
        <v>84.906211749533995</v>
      </c>
      <c r="AK1257">
        <v>0.59080136590931798</v>
      </c>
    </row>
    <row r="1258" spans="1:37" x14ac:dyDescent="0.2">
      <c r="A1258" t="str">
        <f>"20200111160126442"</f>
        <v>20200111160126442</v>
      </c>
      <c r="B1258" t="str">
        <f>"1578729686432351"</f>
        <v>1578729686432351</v>
      </c>
      <c r="C1258" t="s">
        <v>37</v>
      </c>
      <c r="D1258">
        <v>5.3700760000000001</v>
      </c>
      <c r="E1258">
        <v>0.53365569999999996</v>
      </c>
      <c r="F1258" t="s">
        <v>42</v>
      </c>
      <c r="G1258">
        <v>-231.6223</v>
      </c>
      <c r="H1258">
        <v>1.020615</v>
      </c>
      <c r="I1258">
        <v>282.79289999999997</v>
      </c>
      <c r="J1258">
        <v>-231.0573</v>
      </c>
      <c r="K1258">
        <v>1.1027199999999999</v>
      </c>
      <c r="L1258">
        <v>282.77</v>
      </c>
      <c r="M1258">
        <v>-0.99880899999999995</v>
      </c>
      <c r="N1258">
        <v>0</v>
      </c>
      <c r="O1258">
        <v>-4.674205E-2</v>
      </c>
      <c r="P1258">
        <v>-0.99771949999999998</v>
      </c>
      <c r="Q1258">
        <v>-9.5276830000000003E-3</v>
      </c>
      <c r="R1258">
        <v>-6.6819080000000003E-2</v>
      </c>
      <c r="S1258">
        <v>-3.0071110000000001</v>
      </c>
      <c r="T1258">
        <v>-0.29724850000000003</v>
      </c>
      <c r="U1258">
        <v>4.4586180000000003E-2</v>
      </c>
      <c r="V1258">
        <v>-2.0087890000000001E-2</v>
      </c>
      <c r="W1258">
        <v>4.547883E-3</v>
      </c>
      <c r="X1258">
        <v>0.99978789999999995</v>
      </c>
      <c r="Y1258">
        <v>6.1025469999999998E-2</v>
      </c>
      <c r="Z1258">
        <v>7.6171299999999997E-3</v>
      </c>
      <c r="AA1258">
        <v>0.99810710000000002</v>
      </c>
      <c r="AB1258">
        <v>26</v>
      </c>
      <c r="AC1258">
        <v>-0.56499999999999695</v>
      </c>
      <c r="AD1258">
        <v>-8.2105000000000095E-2</v>
      </c>
      <c r="AE1258">
        <v>2.2899999999992801E-2</v>
      </c>
      <c r="AF1258">
        <v>4.8269157107699502E-2</v>
      </c>
      <c r="AG1258">
        <v>-8.2105000000000095E-2</v>
      </c>
      <c r="AH1258">
        <v>0.55168082453177103</v>
      </c>
      <c r="AI1258">
        <v>98.433272814671597</v>
      </c>
      <c r="AJ1258">
        <v>84.999655848758195</v>
      </c>
      <c r="AK1258">
        <v>0.55984183008144595</v>
      </c>
    </row>
    <row r="1259" spans="1:37" x14ac:dyDescent="0.2">
      <c r="A1259" t="str">
        <f>"20200111160126465"</f>
        <v>20200111160126465</v>
      </c>
      <c r="B1259" t="str">
        <f>"1578729686462139"</f>
        <v>1578729686462139</v>
      </c>
      <c r="C1259" t="s">
        <v>37</v>
      </c>
      <c r="D1259">
        <v>5.4203239999999999</v>
      </c>
      <c r="E1259">
        <v>0.5319045</v>
      </c>
      <c r="F1259" t="s">
        <v>42</v>
      </c>
      <c r="G1259">
        <v>-231.85820000000001</v>
      </c>
      <c r="H1259">
        <v>1.024132</v>
      </c>
      <c r="I1259">
        <v>282.78219999999999</v>
      </c>
      <c r="J1259">
        <v>-231.32320000000001</v>
      </c>
      <c r="K1259">
        <v>1.1026069999999999</v>
      </c>
      <c r="L1259">
        <v>282.7604</v>
      </c>
      <c r="M1259">
        <v>-0.99892510000000001</v>
      </c>
      <c r="N1259">
        <v>0</v>
      </c>
      <c r="O1259">
        <v>-4.4189029999999997E-2</v>
      </c>
      <c r="P1259">
        <v>-0.99785669999999904</v>
      </c>
      <c r="Q1259">
        <v>-9.1679659999999996E-3</v>
      </c>
      <c r="R1259">
        <v>-6.479356E-2</v>
      </c>
      <c r="S1259">
        <v>-3.00707999999999</v>
      </c>
      <c r="T1259">
        <v>-0.29507240000000001</v>
      </c>
      <c r="U1259">
        <v>4.5257569999999997E-2</v>
      </c>
      <c r="V1259">
        <v>-2.061083E-2</v>
      </c>
      <c r="W1259">
        <v>4.9174270000000003E-3</v>
      </c>
      <c r="X1259">
        <v>0.99977549999999904</v>
      </c>
      <c r="Y1259">
        <v>5.872811E-2</v>
      </c>
      <c r="Z1259">
        <v>7.1994900000000002E-3</v>
      </c>
      <c r="AA1259">
        <v>0.99824799999999903</v>
      </c>
      <c r="AB1259">
        <v>26</v>
      </c>
      <c r="AC1259">
        <v>-0.53499999999999603</v>
      </c>
      <c r="AD1259">
        <v>-7.8474999999999795E-2</v>
      </c>
      <c r="AE1259">
        <v>2.17999999999847E-2</v>
      </c>
      <c r="AF1259">
        <v>4.4466997434979602E-2</v>
      </c>
      <c r="AG1259">
        <v>-7.8474999999999795E-2</v>
      </c>
      <c r="AH1259">
        <v>0.52229498330661395</v>
      </c>
      <c r="AI1259">
        <v>98.514444457844505</v>
      </c>
      <c r="AJ1259">
        <v>85.133703719236394</v>
      </c>
      <c r="AK1259">
        <v>0.53002612112342096</v>
      </c>
    </row>
    <row r="1260" spans="1:37" x14ac:dyDescent="0.2">
      <c r="A1260" t="str">
        <f>"20200111160126485"</f>
        <v>20200111160126485</v>
      </c>
      <c r="B1260" t="str">
        <f>"1578729686482633"</f>
        <v>1578729686482633</v>
      </c>
      <c r="C1260" t="s">
        <v>37</v>
      </c>
      <c r="D1260">
        <v>5.4142519999999896</v>
      </c>
      <c r="E1260">
        <v>0.53282119999999999</v>
      </c>
      <c r="F1260" t="s">
        <v>43</v>
      </c>
      <c r="G1260">
        <v>0</v>
      </c>
      <c r="H1260">
        <v>0</v>
      </c>
      <c r="I1260">
        <v>0</v>
      </c>
      <c r="J1260">
        <v>-231.56599999999901</v>
      </c>
      <c r="K1260">
        <v>1.10249</v>
      </c>
      <c r="L1260">
        <v>282.75240000000002</v>
      </c>
      <c r="M1260">
        <v>-0.99903229999999998</v>
      </c>
      <c r="N1260">
        <v>0</v>
      </c>
      <c r="O1260">
        <v>-4.1698760000000001E-2</v>
      </c>
      <c r="P1260">
        <v>-0.99799189999999904</v>
      </c>
      <c r="Q1260">
        <v>-9.3439850000000008E-3</v>
      </c>
      <c r="R1260">
        <v>-6.2652589999999994E-2</v>
      </c>
      <c r="S1260">
        <v>-3.011047</v>
      </c>
      <c r="T1260">
        <v>3.593147E-2</v>
      </c>
      <c r="U1260">
        <v>6.5856929999999994E-2</v>
      </c>
      <c r="V1260">
        <v>-2.0957429999999999E-2</v>
      </c>
      <c r="W1260">
        <v>4.7510130000000001E-3</v>
      </c>
      <c r="X1260">
        <v>0.99976909999999897</v>
      </c>
      <c r="Y1260">
        <v>6.3532900000000003E-2</v>
      </c>
      <c r="Z1260">
        <v>-8.765372E-4</v>
      </c>
      <c r="AA1260">
        <v>0.99797930000000001</v>
      </c>
      <c r="AB1260">
        <v>26</v>
      </c>
      <c r="AC1260">
        <v>-3.011047</v>
      </c>
      <c r="AD1260">
        <v>3.593147E-2</v>
      </c>
      <c r="AE1260">
        <v>6.5856929999999994E-2</v>
      </c>
      <c r="AF1260">
        <v>0.19134161627899299</v>
      </c>
      <c r="AG1260">
        <v>3.593147E-2</v>
      </c>
      <c r="AH1260">
        <v>3.0052533948784199</v>
      </c>
      <c r="AI1260">
        <v>89.3163757956994</v>
      </c>
      <c r="AJ1260">
        <v>86.356949743835401</v>
      </c>
      <c r="AK1260">
        <v>3.0115528639034199</v>
      </c>
    </row>
    <row r="1261" spans="1:37" x14ac:dyDescent="0.2">
      <c r="A1261" t="str">
        <f>"20200111160126510"</f>
        <v>20200111160126510</v>
      </c>
      <c r="B1261" t="str">
        <f>"1578729686502154"</f>
        <v>1578729686502154</v>
      </c>
      <c r="C1261" t="s">
        <v>37</v>
      </c>
      <c r="D1261">
        <v>5.4150089999999897</v>
      </c>
      <c r="E1261">
        <v>0.53315129999999999</v>
      </c>
      <c r="F1261" t="s">
        <v>43</v>
      </c>
      <c r="G1261">
        <v>0</v>
      </c>
      <c r="H1261">
        <v>0</v>
      </c>
      <c r="I1261">
        <v>0</v>
      </c>
      <c r="J1261">
        <v>-231.85059999999999</v>
      </c>
      <c r="K1261">
        <v>1.1023499999999999</v>
      </c>
      <c r="L1261">
        <v>282.74400000000003</v>
      </c>
      <c r="M1261">
        <v>-0.99915710000000002</v>
      </c>
      <c r="N1261">
        <v>0</v>
      </c>
      <c r="O1261">
        <v>-3.8589369999999998E-2</v>
      </c>
      <c r="P1261">
        <v>-0.99817719999999899</v>
      </c>
      <c r="Q1261">
        <v>-9.2307440000000008E-3</v>
      </c>
      <c r="R1261">
        <v>-5.9644259999999998E-2</v>
      </c>
      <c r="S1261">
        <v>-3.0115970000000001</v>
      </c>
      <c r="T1261">
        <v>5.0347919999999997E-2</v>
      </c>
      <c r="U1261">
        <v>8.1115720000000002E-2</v>
      </c>
      <c r="V1261">
        <v>-2.1053240000000001E-2</v>
      </c>
      <c r="W1261">
        <v>4.8759429999999998E-3</v>
      </c>
      <c r="X1261">
        <v>0.9997665</v>
      </c>
      <c r="Y1261">
        <v>6.5469280000000005E-2</v>
      </c>
      <c r="Z1261">
        <v>-1.1921239999999999E-3</v>
      </c>
      <c r="AA1261">
        <v>0.99785389999999996</v>
      </c>
      <c r="AB1261">
        <v>26</v>
      </c>
      <c r="AC1261">
        <v>-3.0115970000000001</v>
      </c>
      <c r="AD1261">
        <v>5.0347919999999997E-2</v>
      </c>
      <c r="AE1261">
        <v>8.1115720000000002E-2</v>
      </c>
      <c r="AF1261">
        <v>0.19722722470176299</v>
      </c>
      <c r="AG1261">
        <v>5.0347919999999997E-2</v>
      </c>
      <c r="AH1261">
        <v>3.0053834978771099</v>
      </c>
      <c r="AI1261">
        <v>89.042297408982193</v>
      </c>
      <c r="AJ1261">
        <v>86.245368532924005</v>
      </c>
      <c r="AK1261">
        <v>3.0122688227520298</v>
      </c>
    </row>
    <row r="1262" spans="1:37" x14ac:dyDescent="0.2">
      <c r="A1262" t="str">
        <f>"20200111160126531"</f>
        <v>20200111160126531</v>
      </c>
      <c r="B1262" t="str">
        <f>"1578729686522650"</f>
        <v>1578729686522650</v>
      </c>
      <c r="C1262" t="s">
        <v>37</v>
      </c>
      <c r="D1262">
        <v>5.3879339999999996</v>
      </c>
      <c r="E1262">
        <v>0.53489880000000001</v>
      </c>
      <c r="F1262" t="s">
        <v>43</v>
      </c>
      <c r="G1262">
        <v>0</v>
      </c>
      <c r="H1262">
        <v>0</v>
      </c>
      <c r="I1262">
        <v>0</v>
      </c>
      <c r="J1262">
        <v>-232.1002</v>
      </c>
      <c r="K1262">
        <v>1.102233</v>
      </c>
      <c r="L1262">
        <v>282.73750000000001</v>
      </c>
      <c r="M1262">
        <v>-0.99926530000000002</v>
      </c>
      <c r="N1262">
        <v>0</v>
      </c>
      <c r="O1262">
        <v>-3.5674549999999999E-2</v>
      </c>
      <c r="P1262">
        <v>-0.99835659999999904</v>
      </c>
      <c r="Q1262">
        <v>-8.318733E-3</v>
      </c>
      <c r="R1262">
        <v>-5.6701019999999998E-2</v>
      </c>
      <c r="S1262">
        <v>-3.0113979999999998</v>
      </c>
      <c r="T1262">
        <v>4.5134540000000001E-2</v>
      </c>
      <c r="U1262">
        <v>9.2224120000000007E-2</v>
      </c>
      <c r="V1262">
        <v>-2.101548E-2</v>
      </c>
      <c r="W1262">
        <v>5.7976549999999996E-3</v>
      </c>
      <c r="X1262">
        <v>0.99976239999999905</v>
      </c>
      <c r="Y1262">
        <v>6.6241060000000004E-2</v>
      </c>
      <c r="Z1262">
        <v>-1.0308349999999999E-3</v>
      </c>
      <c r="AA1262">
        <v>0.99780309999999905</v>
      </c>
      <c r="AB1262">
        <v>26</v>
      </c>
      <c r="AC1262">
        <v>-3.0113979999999998</v>
      </c>
      <c r="AD1262">
        <v>4.5134540000000001E-2</v>
      </c>
      <c r="AE1262">
        <v>9.2224120000000007E-2</v>
      </c>
      <c r="AF1262">
        <v>0.199561425542639</v>
      </c>
      <c r="AG1262">
        <v>4.5134540000000001E-2</v>
      </c>
      <c r="AH1262">
        <v>3.0055158555385999</v>
      </c>
      <c r="AI1262">
        <v>89.141530468291705</v>
      </c>
      <c r="AJ1262">
        <v>86.2012283243117</v>
      </c>
      <c r="AK1262">
        <v>3.01247198280076</v>
      </c>
    </row>
    <row r="1263" spans="1:37" x14ac:dyDescent="0.2">
      <c r="A1263" t="str">
        <f>"20200111160126554"</f>
        <v>20200111160126554</v>
      </c>
      <c r="B1263" t="str">
        <f>"1578729686551930"</f>
        <v>1578729686551930</v>
      </c>
      <c r="C1263" t="s">
        <v>37</v>
      </c>
      <c r="D1263">
        <v>5.3420839999999998</v>
      </c>
      <c r="E1263">
        <v>0.53467580000000003</v>
      </c>
      <c r="F1263" t="s">
        <v>42</v>
      </c>
      <c r="G1263">
        <v>-233.02440000000001</v>
      </c>
      <c r="H1263">
        <v>1.018027</v>
      </c>
      <c r="I1263">
        <v>282.76440000000002</v>
      </c>
      <c r="J1263">
        <v>-232.37450000000001</v>
      </c>
      <c r="K1263">
        <v>1.102128</v>
      </c>
      <c r="L1263">
        <v>282.73160000000001</v>
      </c>
      <c r="M1263">
        <v>-0.99937960000000003</v>
      </c>
      <c r="N1263">
        <v>0</v>
      </c>
      <c r="O1263">
        <v>-3.2311859999999998E-2</v>
      </c>
      <c r="P1263">
        <v>-0.99860519999999997</v>
      </c>
      <c r="Q1263">
        <v>-7.3821399999999997E-3</v>
      </c>
      <c r="R1263">
        <v>-5.2280529999999999E-2</v>
      </c>
      <c r="S1263">
        <v>-3.0075989999999999</v>
      </c>
      <c r="T1263">
        <v>-0.27397199999999999</v>
      </c>
      <c r="U1263">
        <v>8.69751E-2</v>
      </c>
      <c r="V1263">
        <v>-1.9946530000000001E-2</v>
      </c>
      <c r="W1263">
        <v>6.7384380000000002E-3</v>
      </c>
      <c r="X1263">
        <v>0.99977830000000001</v>
      </c>
      <c r="Y1263">
        <v>6.08075E-2</v>
      </c>
      <c r="Z1263">
        <v>5.7002299999999997E-3</v>
      </c>
      <c r="AA1263">
        <v>0.99813320000000005</v>
      </c>
      <c r="AB1263">
        <v>26</v>
      </c>
      <c r="AC1263">
        <v>-0.64990000000000203</v>
      </c>
      <c r="AD1263">
        <v>-8.4100999999999898E-2</v>
      </c>
      <c r="AE1263">
        <v>3.2800000000008801E-2</v>
      </c>
      <c r="AF1263">
        <v>5.2900787363575799E-2</v>
      </c>
      <c r="AG1263">
        <v>-8.4100999999999898E-2</v>
      </c>
      <c r="AH1263">
        <v>0.63784645199854495</v>
      </c>
      <c r="AI1263">
        <v>97.485798098760498</v>
      </c>
      <c r="AJ1263">
        <v>85.258935987670597</v>
      </c>
      <c r="AK1263">
        <v>0.64553820013367003</v>
      </c>
    </row>
    <row r="1264" spans="1:37" x14ac:dyDescent="0.2">
      <c r="A1264" t="str">
        <f>"20200111160126575"</f>
        <v>20200111160126575</v>
      </c>
      <c r="B1264" t="str">
        <f>"1578729686571959"</f>
        <v>1578729686571959</v>
      </c>
      <c r="C1264" t="s">
        <v>37</v>
      </c>
      <c r="D1264">
        <v>5.543075</v>
      </c>
      <c r="E1264">
        <v>0.53344480000000005</v>
      </c>
      <c r="F1264" t="s">
        <v>42</v>
      </c>
      <c r="G1264">
        <v>-233.2552</v>
      </c>
      <c r="H1264">
        <v>1.01352</v>
      </c>
      <c r="I1264">
        <v>282.75970000000001</v>
      </c>
      <c r="J1264">
        <v>-232.6122</v>
      </c>
      <c r="K1264">
        <v>1.1020459999999901</v>
      </c>
      <c r="L1264">
        <v>282.72719999999998</v>
      </c>
      <c r="M1264">
        <v>-0.9994731</v>
      </c>
      <c r="N1264">
        <v>0</v>
      </c>
      <c r="O1264">
        <v>-2.9278849999999999E-2</v>
      </c>
      <c r="P1264">
        <v>-0.99885139999999994</v>
      </c>
      <c r="Q1264">
        <v>-7.4114050000000002E-3</v>
      </c>
      <c r="R1264">
        <v>-4.7339399999999997E-2</v>
      </c>
      <c r="S1264">
        <v>-3.006958</v>
      </c>
      <c r="T1264">
        <v>-0.30253089999999999</v>
      </c>
      <c r="U1264">
        <v>9.5245360000000001E-2</v>
      </c>
      <c r="V1264">
        <v>-1.8032900000000001E-2</v>
      </c>
      <c r="W1264">
        <v>6.7060130000000003E-3</v>
      </c>
      <c r="X1264">
        <v>0.99981489999999995</v>
      </c>
      <c r="Y1264">
        <v>6.0459899999999997E-2</v>
      </c>
      <c r="Z1264">
        <v>5.9709469999999999E-3</v>
      </c>
      <c r="AA1264">
        <v>0.99815279999999995</v>
      </c>
      <c r="AB1264">
        <v>26</v>
      </c>
      <c r="AC1264">
        <v>-0.64300000000000002</v>
      </c>
      <c r="AD1264">
        <v>-8.8525999999999799E-2</v>
      </c>
      <c r="AE1264">
        <v>3.2500000000027202E-2</v>
      </c>
      <c r="AF1264">
        <v>5.0362041254467402E-2</v>
      </c>
      <c r="AG1264">
        <v>-8.8525999999999799E-2</v>
      </c>
      <c r="AH1264">
        <v>0.62986408528734505</v>
      </c>
      <c r="AI1264">
        <v>97.975266560726496</v>
      </c>
      <c r="AJ1264">
        <v>85.428526927162295</v>
      </c>
      <c r="AK1264">
        <v>0.63804541673001702</v>
      </c>
    </row>
    <row r="1265" spans="1:37" x14ac:dyDescent="0.2">
      <c r="A1265" t="str">
        <f>"20200111160126598"</f>
        <v>20200111160126598</v>
      </c>
      <c r="B1265" t="str">
        <f>"1578729686592455"</f>
        <v>1578729686592455</v>
      </c>
      <c r="C1265" t="s">
        <v>37</v>
      </c>
      <c r="D1265">
        <v>5.3429839999999897</v>
      </c>
      <c r="E1265">
        <v>0.53316370000000002</v>
      </c>
      <c r="F1265" t="s">
        <v>42</v>
      </c>
      <c r="G1265">
        <v>-233.48740000000001</v>
      </c>
      <c r="H1265">
        <v>1.012405</v>
      </c>
      <c r="I1265">
        <v>282.75650000000002</v>
      </c>
      <c r="J1265">
        <v>-232.8751</v>
      </c>
      <c r="K1265">
        <v>1.1019559999999999</v>
      </c>
      <c r="L1265">
        <v>282.72340000000003</v>
      </c>
      <c r="M1265">
        <v>-0.99956909999999899</v>
      </c>
      <c r="N1265">
        <v>0</v>
      </c>
      <c r="O1265">
        <v>-2.5792030000000001E-2</v>
      </c>
      <c r="P1265">
        <v>-0.99910739999999998</v>
      </c>
      <c r="Q1265">
        <v>-8.3342269999999996E-3</v>
      </c>
      <c r="R1265">
        <v>-4.1414619999999999E-2</v>
      </c>
      <c r="S1265">
        <v>-3.0058750000000001</v>
      </c>
      <c r="T1265">
        <v>-0.30783549999999998</v>
      </c>
      <c r="U1265">
        <v>9.9761959999999997E-2</v>
      </c>
      <c r="V1265">
        <v>-1.55958E-2</v>
      </c>
      <c r="W1265">
        <v>5.7757210000000002E-3</v>
      </c>
      <c r="X1265">
        <v>0.99986169999999996</v>
      </c>
      <c r="Y1265">
        <v>5.8499589999999997E-2</v>
      </c>
      <c r="Z1265">
        <v>5.6209859999999997E-3</v>
      </c>
      <c r="AA1265">
        <v>0.99827160000000004</v>
      </c>
      <c r="AB1265">
        <v>26</v>
      </c>
      <c r="AC1265">
        <v>-0.61230000000000395</v>
      </c>
      <c r="AD1265">
        <v>-8.9550999999999895E-2</v>
      </c>
      <c r="AE1265">
        <v>3.3099999999990297E-2</v>
      </c>
      <c r="AF1265">
        <v>4.7862204189596101E-2</v>
      </c>
      <c r="AG1265">
        <v>-8.9550999999999895E-2</v>
      </c>
      <c r="AH1265">
        <v>0.59847827063087</v>
      </c>
      <c r="AI1265">
        <v>98.483407270088904</v>
      </c>
      <c r="AJ1265">
        <v>85.427606240792798</v>
      </c>
      <c r="AK1265">
        <v>0.60703081685216198</v>
      </c>
    </row>
    <row r="1266" spans="1:37" x14ac:dyDescent="0.2">
      <c r="A1266" t="str">
        <f>"20200111160126620"</f>
        <v>20200111160126620</v>
      </c>
      <c r="B1266" t="str">
        <f>"1578729686611975"</f>
        <v>1578729686611975</v>
      </c>
      <c r="C1266" t="s">
        <v>37</v>
      </c>
      <c r="D1266">
        <v>5.3536619999999999</v>
      </c>
      <c r="E1266">
        <v>0.53264929999999999</v>
      </c>
      <c r="F1266" t="s">
        <v>42</v>
      </c>
      <c r="G1266">
        <v>-233.72049999999999</v>
      </c>
      <c r="H1266">
        <v>1.0134369999999999</v>
      </c>
      <c r="I1266">
        <v>282.75599999999997</v>
      </c>
      <c r="J1266">
        <v>-233.13839999999999</v>
      </c>
      <c r="K1266">
        <v>1.101872</v>
      </c>
      <c r="L1266">
        <v>282.72070000000002</v>
      </c>
      <c r="M1266">
        <v>-0.99965590000000004</v>
      </c>
      <c r="N1266">
        <v>0</v>
      </c>
      <c r="O1266">
        <v>-2.2171030000000001E-2</v>
      </c>
      <c r="P1266">
        <v>-0.99933369999999999</v>
      </c>
      <c r="Q1266">
        <v>-9.5774720000000001E-3</v>
      </c>
      <c r="R1266">
        <v>-3.5221460000000003E-2</v>
      </c>
      <c r="S1266">
        <v>-3.0048219999999999</v>
      </c>
      <c r="T1266">
        <v>-0.31452350000000001</v>
      </c>
      <c r="U1266">
        <v>0.11489870000000001</v>
      </c>
      <c r="V1266">
        <v>-1.302652E-2</v>
      </c>
      <c r="W1266">
        <v>4.5240409999999899E-3</v>
      </c>
      <c r="X1266">
        <v>0.99990489999999999</v>
      </c>
      <c r="Y1266">
        <v>5.990993E-2</v>
      </c>
      <c r="Z1266">
        <v>5.4396740000000002E-3</v>
      </c>
      <c r="AA1266">
        <v>0.99818899999999999</v>
      </c>
      <c r="AB1266">
        <v>26</v>
      </c>
      <c r="AC1266">
        <v>-0.58209999999999695</v>
      </c>
      <c r="AD1266">
        <v>-8.8434999999999805E-2</v>
      </c>
      <c r="AE1266">
        <v>3.5299999999949698E-2</v>
      </c>
      <c r="AF1266">
        <v>4.7114875884216298E-2</v>
      </c>
      <c r="AG1266">
        <v>-8.8434999999999805E-2</v>
      </c>
      <c r="AH1266">
        <v>0.56810972132392401</v>
      </c>
      <c r="AI1266">
        <v>98.818161965571804</v>
      </c>
      <c r="AJ1266">
        <v>85.259155075160706</v>
      </c>
      <c r="AK1266">
        <v>0.57687885748858203</v>
      </c>
    </row>
    <row r="1267" spans="1:37" x14ac:dyDescent="0.2">
      <c r="A1267" t="str">
        <f>"20200111160126643"</f>
        <v>20200111160126643</v>
      </c>
      <c r="B1267" t="str">
        <f>"1578729686632471"</f>
        <v>1578729686632471</v>
      </c>
      <c r="C1267" t="s">
        <v>37</v>
      </c>
      <c r="D1267">
        <v>5.4055559999999998</v>
      </c>
      <c r="E1267">
        <v>0.53184670000000001</v>
      </c>
      <c r="F1267" t="s">
        <v>42</v>
      </c>
      <c r="G1267">
        <v>-233.95320000000001</v>
      </c>
      <c r="H1267">
        <v>1.0141039999999999</v>
      </c>
      <c r="I1267">
        <v>282.75569999999999</v>
      </c>
      <c r="J1267">
        <v>-233.39580000000001</v>
      </c>
      <c r="K1267">
        <v>1.101788</v>
      </c>
      <c r="L1267">
        <v>282.71910000000003</v>
      </c>
      <c r="M1267">
        <v>-0.99973020000000001</v>
      </c>
      <c r="N1267">
        <v>0</v>
      </c>
      <c r="O1267">
        <v>-1.8512009999999999E-2</v>
      </c>
      <c r="P1267">
        <v>-0.99952940000000001</v>
      </c>
      <c r="Q1267">
        <v>-1.0256390000000001E-2</v>
      </c>
      <c r="R1267">
        <v>-2.891618E-2</v>
      </c>
      <c r="S1267">
        <v>-3.0034480000000001</v>
      </c>
      <c r="T1267">
        <v>-0.32343939999999999</v>
      </c>
      <c r="U1267">
        <v>0.12878419999999999</v>
      </c>
      <c r="V1267">
        <v>-1.038174E-2</v>
      </c>
      <c r="W1267">
        <v>3.8354940000000001E-3</v>
      </c>
      <c r="X1267">
        <v>0.99993869999999896</v>
      </c>
      <c r="Y1267">
        <v>6.0870680000000003E-2</v>
      </c>
      <c r="Z1267">
        <v>5.2538269999999896E-3</v>
      </c>
      <c r="AA1267">
        <v>0.99813180000000001</v>
      </c>
      <c r="AB1267">
        <v>26</v>
      </c>
      <c r="AC1267">
        <v>-0.55740000000000101</v>
      </c>
      <c r="AD1267">
        <v>-8.7683999999999804E-2</v>
      </c>
      <c r="AE1267">
        <v>3.6599999999964397E-2</v>
      </c>
      <c r="AF1267">
        <v>4.5785195866011201E-2</v>
      </c>
      <c r="AG1267">
        <v>-8.7683999999999804E-2</v>
      </c>
      <c r="AH1267">
        <v>0.54324146094704395</v>
      </c>
      <c r="AI1267">
        <v>99.137122513208993</v>
      </c>
      <c r="AJ1267">
        <v>85.182412248373595</v>
      </c>
      <c r="AK1267">
        <v>0.55217393356474898</v>
      </c>
    </row>
    <row r="1268" spans="1:37" x14ac:dyDescent="0.2">
      <c r="A1268" t="str">
        <f>"20200111160126665"</f>
        <v>20200111160126665</v>
      </c>
      <c r="B1268" t="str">
        <f>"1578729686662258"</f>
        <v>1578729686662258</v>
      </c>
      <c r="C1268" t="s">
        <v>37</v>
      </c>
      <c r="D1268">
        <v>5.4295849999999897</v>
      </c>
      <c r="E1268">
        <v>0.53062609999999999</v>
      </c>
      <c r="F1268" t="s">
        <v>42</v>
      </c>
      <c r="G1268">
        <v>-234.18599999999901</v>
      </c>
      <c r="H1268">
        <v>1.0157529999999999</v>
      </c>
      <c r="I1268">
        <v>282.75630000000001</v>
      </c>
      <c r="J1268">
        <v>-233.65979999999999</v>
      </c>
      <c r="K1268">
        <v>1.1016999999999999</v>
      </c>
      <c r="L1268">
        <v>282.71850000000001</v>
      </c>
      <c r="M1268">
        <v>-0.99979439999999997</v>
      </c>
      <c r="N1268">
        <v>0</v>
      </c>
      <c r="O1268">
        <v>-1.463947E-2</v>
      </c>
      <c r="P1268">
        <v>-0.99968219999999997</v>
      </c>
      <c r="Q1268">
        <v>-1.03585E-2</v>
      </c>
      <c r="R1268">
        <v>-2.2981919999999999E-2</v>
      </c>
      <c r="S1268">
        <v>-3.0021360000000001</v>
      </c>
      <c r="T1268">
        <v>-0.32685449999999999</v>
      </c>
      <c r="U1268">
        <v>0.14099120000000001</v>
      </c>
      <c r="V1268">
        <v>-8.3190509999999992E-3</v>
      </c>
      <c r="W1268">
        <v>3.7262990000000002E-3</v>
      </c>
      <c r="X1268">
        <v>0.99995849999999897</v>
      </c>
      <c r="Y1268">
        <v>6.1085109999999998E-2</v>
      </c>
      <c r="Z1268">
        <v>4.902226E-3</v>
      </c>
      <c r="AA1268">
        <v>0.99812049999999997</v>
      </c>
      <c r="AB1268">
        <v>26</v>
      </c>
      <c r="AC1268">
        <v>-0.52619999999998801</v>
      </c>
      <c r="AD1268">
        <v>-8.5946999999999704E-2</v>
      </c>
      <c r="AE1268">
        <v>3.7800000000004198E-2</v>
      </c>
      <c r="AF1268">
        <v>4.4323584331127597E-2</v>
      </c>
      <c r="AG1268">
        <v>-8.5946999999999704E-2</v>
      </c>
      <c r="AH1268">
        <v>0.51200093408366798</v>
      </c>
      <c r="AI1268">
        <v>99.494249256331997</v>
      </c>
      <c r="AJ1268">
        <v>85.052277248773507</v>
      </c>
      <c r="AK1268">
        <v>0.52105318676648305</v>
      </c>
    </row>
    <row r="1269" spans="1:37" x14ac:dyDescent="0.2">
      <c r="A1269" t="str">
        <f>"20200111160126686"</f>
        <v>20200111160126686</v>
      </c>
      <c r="B1269" t="str">
        <f>"1578729686682755"</f>
        <v>1578729686682755</v>
      </c>
      <c r="C1269" t="s">
        <v>37</v>
      </c>
      <c r="D1269">
        <v>5.4906259999999998</v>
      </c>
      <c r="E1269">
        <v>0.52974359999999998</v>
      </c>
      <c r="F1269" t="s">
        <v>42</v>
      </c>
      <c r="G1269">
        <v>-234.4196</v>
      </c>
      <c r="H1269">
        <v>1.019323</v>
      </c>
      <c r="I1269">
        <v>282.75619999999998</v>
      </c>
      <c r="J1269">
        <v>-233.9049</v>
      </c>
      <c r="K1269">
        <v>1.1016139999999901</v>
      </c>
      <c r="L1269">
        <v>282.71899999999999</v>
      </c>
      <c r="M1269">
        <v>-0.99984189999999995</v>
      </c>
      <c r="N1269">
        <v>0</v>
      </c>
      <c r="O1269">
        <v>-1.0928139999999999E-2</v>
      </c>
      <c r="P1269">
        <v>-0.9997876</v>
      </c>
      <c r="Q1269">
        <v>-1.020888E-2</v>
      </c>
      <c r="R1269">
        <v>-1.7897369999999999E-2</v>
      </c>
      <c r="S1269">
        <v>-3.0009919999999899</v>
      </c>
      <c r="T1269">
        <v>-0.32536540000000003</v>
      </c>
      <c r="U1269">
        <v>0.14920039999999901</v>
      </c>
      <c r="V1269">
        <v>-6.9438969999999897E-3</v>
      </c>
      <c r="W1269">
        <v>3.8726870000000001E-3</v>
      </c>
      <c r="X1269">
        <v>0.99996839999999998</v>
      </c>
      <c r="Y1269">
        <v>6.0152900000000002E-2</v>
      </c>
      <c r="Z1269">
        <v>4.4301669999999996E-3</v>
      </c>
      <c r="AA1269">
        <v>0.99817929999999999</v>
      </c>
      <c r="AB1269">
        <v>26</v>
      </c>
      <c r="AC1269">
        <v>-0.51470000000000404</v>
      </c>
      <c r="AD1269">
        <v>-8.2290999999999795E-2</v>
      </c>
      <c r="AE1269">
        <v>3.7199999999984301E-2</v>
      </c>
      <c r="AF1269">
        <v>4.17610918477185E-2</v>
      </c>
      <c r="AG1269">
        <v>-8.2290999999999795E-2</v>
      </c>
      <c r="AH1269">
        <v>0.50150967525549806</v>
      </c>
      <c r="AI1269">
        <v>99.286849631501497</v>
      </c>
      <c r="AJ1269">
        <v>85.239918785436103</v>
      </c>
      <c r="AK1269">
        <v>0.50992916355920304</v>
      </c>
    </row>
    <row r="1270" spans="1:37" x14ac:dyDescent="0.2">
      <c r="A1270" t="str">
        <f>"20200111160126712"</f>
        <v>20200111160126712</v>
      </c>
      <c r="B1270" t="str">
        <f>"1578729686702275"</f>
        <v>1578729686702275</v>
      </c>
      <c r="C1270" t="s">
        <v>37</v>
      </c>
      <c r="D1270">
        <v>5.4381129999999898</v>
      </c>
      <c r="E1270">
        <v>0.51679079999999999</v>
      </c>
      <c r="F1270" t="s">
        <v>42</v>
      </c>
      <c r="G1270">
        <v>-234.6525</v>
      </c>
      <c r="H1270">
        <v>1.021957</v>
      </c>
      <c r="I1270">
        <v>282.75850000000003</v>
      </c>
      <c r="J1270">
        <v>-234.1858</v>
      </c>
      <c r="K1270">
        <v>1.101523</v>
      </c>
      <c r="L1270">
        <v>282.72089999999997</v>
      </c>
      <c r="M1270">
        <v>-0.99988009999999905</v>
      </c>
      <c r="N1270">
        <v>0</v>
      </c>
      <c r="O1270">
        <v>-6.5347740000000001E-3</v>
      </c>
      <c r="P1270">
        <v>-0.9998648</v>
      </c>
      <c r="Q1270">
        <v>-1.0063269999999999E-2</v>
      </c>
      <c r="R1270">
        <v>-1.3011099999999999E-2</v>
      </c>
      <c r="S1270">
        <v>-3.0002140000000002</v>
      </c>
      <c r="T1270">
        <v>-0.31952150000000001</v>
      </c>
      <c r="U1270">
        <v>0.15774540000000001</v>
      </c>
      <c r="V1270">
        <v>-6.448474E-3</v>
      </c>
      <c r="W1270">
        <v>4.0219359999999899E-3</v>
      </c>
      <c r="X1270">
        <v>0.999971099999999</v>
      </c>
      <c r="Y1270">
        <v>5.8663079999999999E-2</v>
      </c>
      <c r="Z1270">
        <v>3.8064659999999901E-3</v>
      </c>
      <c r="AA1270">
        <v>0.99827060000000001</v>
      </c>
      <c r="AB1270">
        <v>26</v>
      </c>
      <c r="AC1270">
        <v>-0.466700000000003</v>
      </c>
      <c r="AD1270">
        <v>-7.9565999999999998E-2</v>
      </c>
      <c r="AE1270">
        <v>3.7600000000054402E-2</v>
      </c>
      <c r="AF1270">
        <v>3.9508347930679297E-2</v>
      </c>
      <c r="AG1270">
        <v>-7.9565999999999998E-2</v>
      </c>
      <c r="AH1270">
        <v>0.45335231735014397</v>
      </c>
      <c r="AI1270">
        <v>99.917528681004796</v>
      </c>
      <c r="AJ1270">
        <v>85.0194210385025</v>
      </c>
      <c r="AK1270">
        <v>0.46197400528488303</v>
      </c>
    </row>
    <row r="1271" spans="1:37" x14ac:dyDescent="0.2">
      <c r="A1271" t="str">
        <f>"20200111160126733"</f>
        <v>20200111160126733</v>
      </c>
      <c r="B1271" t="str">
        <f>"1578729686722770"</f>
        <v>1578729686722770</v>
      </c>
      <c r="C1271" t="s">
        <v>37</v>
      </c>
      <c r="D1271">
        <v>5.3841400000000004</v>
      </c>
      <c r="E1271">
        <v>0.51613940000000003</v>
      </c>
      <c r="F1271" t="s">
        <v>42</v>
      </c>
      <c r="G1271">
        <v>-235.1139</v>
      </c>
      <c r="H1271">
        <v>1.019827</v>
      </c>
      <c r="I1271">
        <v>282.74369999999999</v>
      </c>
      <c r="J1271">
        <v>-234.44810000000001</v>
      </c>
      <c r="K1271">
        <v>1.1014459999999999</v>
      </c>
      <c r="L1271">
        <v>282.72399999999999</v>
      </c>
      <c r="M1271">
        <v>-0.99989869999999903</v>
      </c>
      <c r="N1271">
        <v>0</v>
      </c>
      <c r="O1271">
        <v>-2.2917239999999898E-3</v>
      </c>
      <c r="P1271">
        <v>-0.99991419999999998</v>
      </c>
      <c r="Q1271">
        <v>-1.0088450000000001E-2</v>
      </c>
      <c r="R1271">
        <v>-8.3519149999999997E-3</v>
      </c>
      <c r="S1271">
        <v>-2.998688</v>
      </c>
      <c r="T1271">
        <v>-0.26383829999999903</v>
      </c>
      <c r="U1271">
        <v>7.3425290000000004E-2</v>
      </c>
      <c r="V1271">
        <v>-6.0322079999999998E-3</v>
      </c>
      <c r="W1271">
        <v>4.0000019999999999E-3</v>
      </c>
      <c r="X1271">
        <v>0.99997380000000002</v>
      </c>
      <c r="Y1271">
        <v>2.6657900000000002E-2</v>
      </c>
      <c r="Z1271">
        <v>1.3715450000000001E-3</v>
      </c>
      <c r="AA1271">
        <v>0.99964370000000002</v>
      </c>
      <c r="AB1271">
        <v>26</v>
      </c>
      <c r="AC1271">
        <v>-0.66579999999998996</v>
      </c>
      <c r="AD1271">
        <v>-8.1618999999999803E-2</v>
      </c>
      <c r="AE1271">
        <v>1.97000000000002E-2</v>
      </c>
      <c r="AF1271">
        <v>2.0911943380255201E-2</v>
      </c>
      <c r="AG1271">
        <v>-8.1618999999999803E-2</v>
      </c>
      <c r="AH1271">
        <v>0.65590492387928301</v>
      </c>
      <c r="AI1271">
        <v>97.089700838074407</v>
      </c>
      <c r="AJ1271">
        <v>88.173881118033293</v>
      </c>
      <c r="AK1271">
        <v>0.66129436690934196</v>
      </c>
    </row>
    <row r="1272" spans="1:37" x14ac:dyDescent="0.2">
      <c r="A1272" t="str">
        <f>"20200111160126757"</f>
        <v>20200111160126757</v>
      </c>
      <c r="B1272" t="str">
        <f>"1578729686752050"</f>
        <v>1578729686752050</v>
      </c>
      <c r="C1272" t="s">
        <v>37</v>
      </c>
      <c r="D1272">
        <v>5.4320089999999999</v>
      </c>
      <c r="E1272">
        <v>0.51490530000000001</v>
      </c>
      <c r="F1272" t="s">
        <v>42</v>
      </c>
      <c r="G1272">
        <v>-235.34700000000001</v>
      </c>
      <c r="H1272">
        <v>1.0245409999999999</v>
      </c>
      <c r="I1272">
        <v>282.74889999999999</v>
      </c>
      <c r="J1272">
        <v>-234.71940000000001</v>
      </c>
      <c r="K1272">
        <v>1.101378</v>
      </c>
      <c r="L1272">
        <v>282.7285</v>
      </c>
      <c r="M1272">
        <v>-0.99989889999999904</v>
      </c>
      <c r="N1272">
        <v>0</v>
      </c>
      <c r="O1272">
        <v>2.2008829999999998E-3</v>
      </c>
      <c r="P1272">
        <v>-0.99994329999999998</v>
      </c>
      <c r="Q1272">
        <v>-1.0003669999999999E-2</v>
      </c>
      <c r="R1272">
        <v>-3.6560170000000001E-3</v>
      </c>
      <c r="S1272">
        <v>-2.9983369999999998</v>
      </c>
      <c r="T1272">
        <v>-0.25646590000000002</v>
      </c>
      <c r="U1272">
        <v>8.2519529999999994E-2</v>
      </c>
      <c r="V1272">
        <v>-5.8271709999999999E-3</v>
      </c>
      <c r="W1272">
        <v>4.0891699999999996E-3</v>
      </c>
      <c r="X1272">
        <v>0.99997469999999999</v>
      </c>
      <c r="Y1272">
        <v>2.5226999999999999E-2</v>
      </c>
      <c r="Z1272">
        <v>8.8884700000000001E-4</v>
      </c>
      <c r="AA1272">
        <v>0.99968140000000005</v>
      </c>
      <c r="AB1272">
        <v>26</v>
      </c>
      <c r="AC1272">
        <v>-0.62760000000000005</v>
      </c>
      <c r="AD1272">
        <v>-7.6837000000000003E-2</v>
      </c>
      <c r="AE1272">
        <v>2.0399999999994999E-2</v>
      </c>
      <c r="AF1272">
        <v>1.8737971609875399E-2</v>
      </c>
      <c r="AG1272">
        <v>-7.6837000000000003E-2</v>
      </c>
      <c r="AH1272">
        <v>0.61838415648098199</v>
      </c>
      <c r="AI1272">
        <v>97.079737840947502</v>
      </c>
      <c r="AJ1272">
        <v>88.264382631723194</v>
      </c>
      <c r="AK1272">
        <v>0.62342120683832103</v>
      </c>
    </row>
    <row r="1273" spans="1:37" x14ac:dyDescent="0.2">
      <c r="A1273" t="str">
        <f>"20200111160126777"</f>
        <v>20200111160126777</v>
      </c>
      <c r="B1273" t="str">
        <f>"1578729686772079"</f>
        <v>1578729686772079</v>
      </c>
      <c r="C1273" t="s">
        <v>37</v>
      </c>
      <c r="D1273">
        <v>5.4097919999999897</v>
      </c>
      <c r="E1273">
        <v>0.51483909999999999</v>
      </c>
      <c r="F1273" t="s">
        <v>42</v>
      </c>
      <c r="G1273">
        <v>-235.57830000000001</v>
      </c>
      <c r="H1273">
        <v>1.0259879999999999</v>
      </c>
      <c r="I1273">
        <v>282.75319999999999</v>
      </c>
      <c r="J1273">
        <v>-234.95760000000001</v>
      </c>
      <c r="K1273">
        <v>1.1013170000000001</v>
      </c>
      <c r="L1273">
        <v>282.73360000000002</v>
      </c>
      <c r="M1273">
        <v>-0.99988180000000004</v>
      </c>
      <c r="N1273">
        <v>0</v>
      </c>
      <c r="O1273">
        <v>6.2321390000000003E-3</v>
      </c>
      <c r="P1273">
        <v>-0.99993849999999995</v>
      </c>
      <c r="Q1273">
        <v>-1.1080420000000001E-2</v>
      </c>
      <c r="R1273">
        <v>6.3194610000000002E-4</v>
      </c>
      <c r="S1273">
        <v>-2.9978639999999999</v>
      </c>
      <c r="T1273">
        <v>-0.26304149999999998</v>
      </c>
      <c r="U1273">
        <v>8.5510249999999996E-2</v>
      </c>
      <c r="V1273">
        <v>-5.5782890000000002E-3</v>
      </c>
      <c r="W1273">
        <v>3.0148620000000001E-3</v>
      </c>
      <c r="X1273">
        <v>0.99997990000000003</v>
      </c>
      <c r="Y1273">
        <v>2.2219989999999998E-2</v>
      </c>
      <c r="Z1273">
        <v>4.2705139999999999E-4</v>
      </c>
      <c r="AA1273">
        <v>0.999753</v>
      </c>
      <c r="AB1273">
        <v>26</v>
      </c>
      <c r="AC1273">
        <v>-0.62069999999999903</v>
      </c>
      <c r="AD1273">
        <v>-7.5329000000000201E-2</v>
      </c>
      <c r="AE1273">
        <v>1.95999999999685E-2</v>
      </c>
      <c r="AF1273">
        <v>1.5502841073523701E-2</v>
      </c>
      <c r="AG1273">
        <v>-7.5329000000000201E-2</v>
      </c>
      <c r="AH1273">
        <v>0.611808017751578</v>
      </c>
      <c r="AI1273">
        <v>97.016998016996098</v>
      </c>
      <c r="AJ1273">
        <v>88.548470596287402</v>
      </c>
      <c r="AK1273">
        <v>0.61662293738350904</v>
      </c>
    </row>
    <row r="1274" spans="1:37" x14ac:dyDescent="0.2">
      <c r="A1274" t="str">
        <f>"20200111160126799"</f>
        <v>20200111160126799</v>
      </c>
      <c r="B1274" t="str">
        <f>"1578729686792576"</f>
        <v>1578729686792576</v>
      </c>
      <c r="C1274" t="s">
        <v>37</v>
      </c>
      <c r="D1274">
        <v>5.4224059999999996</v>
      </c>
      <c r="E1274">
        <v>0.51417599999999997</v>
      </c>
      <c r="F1274" t="s">
        <v>42</v>
      </c>
      <c r="G1274">
        <v>-235.80770000000001</v>
      </c>
      <c r="H1274">
        <v>1.024303</v>
      </c>
      <c r="I1274">
        <v>282.76119999999997</v>
      </c>
      <c r="J1274">
        <v>-235.2072</v>
      </c>
      <c r="K1274">
        <v>1.1012649999999999</v>
      </c>
      <c r="L1274">
        <v>282.74</v>
      </c>
      <c r="M1274">
        <v>-0.99984569999999995</v>
      </c>
      <c r="N1274">
        <v>0</v>
      </c>
      <c r="O1274">
        <v>1.0540280000000001E-2</v>
      </c>
      <c r="P1274">
        <v>-0.99991169999999996</v>
      </c>
      <c r="Q1274">
        <v>-1.2455630000000001E-2</v>
      </c>
      <c r="R1274">
        <v>4.6472470000000002E-3</v>
      </c>
      <c r="S1274">
        <v>-2.9971160000000001</v>
      </c>
      <c r="T1274">
        <v>-0.27144570000000001</v>
      </c>
      <c r="U1274">
        <v>9.7167970000000006E-2</v>
      </c>
      <c r="V1274">
        <v>-5.8815689999999997E-3</v>
      </c>
      <c r="W1274">
        <v>1.645866E-3</v>
      </c>
      <c r="X1274">
        <v>0.99998129999999996</v>
      </c>
      <c r="Y1274">
        <v>2.1819769999999999E-2</v>
      </c>
      <c r="Z1274" s="1">
        <v>3.3357120000000001E-5</v>
      </c>
      <c r="AA1274">
        <v>0.99976189999999998</v>
      </c>
      <c r="AB1274">
        <v>26</v>
      </c>
      <c r="AC1274">
        <v>-0.60050000000001003</v>
      </c>
      <c r="AD1274">
        <v>-7.6961999999999905E-2</v>
      </c>
      <c r="AE1274">
        <v>2.1199999999964799E-2</v>
      </c>
      <c r="AF1274">
        <v>1.46287687151273E-2</v>
      </c>
      <c r="AG1274">
        <v>-7.6961999999999905E-2</v>
      </c>
      <c r="AH1274">
        <v>0.59099463289475296</v>
      </c>
      <c r="AI1274">
        <v>97.4173161099271</v>
      </c>
      <c r="AJ1274">
        <v>88.582058886333002</v>
      </c>
      <c r="AK1274">
        <v>0.59616424450693495</v>
      </c>
    </row>
    <row r="1275" spans="1:37" x14ac:dyDescent="0.2">
      <c r="A1275" t="str">
        <f>"20200111160126822"</f>
        <v>20200111160126822</v>
      </c>
      <c r="B1275" t="str">
        <f>"1578729686812095"</f>
        <v>1578729686812095</v>
      </c>
      <c r="C1275" t="s">
        <v>37</v>
      </c>
      <c r="D1275">
        <v>5.3813699999999898</v>
      </c>
      <c r="E1275">
        <v>0.51342279999999996</v>
      </c>
      <c r="F1275" t="s">
        <v>42</v>
      </c>
      <c r="G1275">
        <v>-236.03749999999999</v>
      </c>
      <c r="H1275">
        <v>1.0238989999999999</v>
      </c>
      <c r="I1275">
        <v>282.7688</v>
      </c>
      <c r="J1275">
        <v>-235.47</v>
      </c>
      <c r="K1275">
        <v>1.1012109999999999</v>
      </c>
      <c r="L1275">
        <v>282.74799999999999</v>
      </c>
      <c r="M1275">
        <v>-0.99978619999999996</v>
      </c>
      <c r="N1275">
        <v>0</v>
      </c>
      <c r="O1275">
        <v>1.5160089999999999E-2</v>
      </c>
      <c r="P1275">
        <v>-0.99986810000000004</v>
      </c>
      <c r="Q1275">
        <v>-1.336205E-2</v>
      </c>
      <c r="R1275">
        <v>9.2363389999999997E-3</v>
      </c>
      <c r="S1275">
        <v>-2.9963069999999998</v>
      </c>
      <c r="T1275">
        <v>-0.27904380000000001</v>
      </c>
      <c r="U1275">
        <v>0.1030273</v>
      </c>
      <c r="V1275">
        <v>-5.9187689999999999E-3</v>
      </c>
      <c r="W1275">
        <v>7.4416789999999999E-4</v>
      </c>
      <c r="X1275">
        <v>0.99998220000000004</v>
      </c>
      <c r="Y1275">
        <v>1.9190470000000001E-2</v>
      </c>
      <c r="Z1275">
        <v>-5.1698710000000004E-4</v>
      </c>
      <c r="AA1275">
        <v>0.99981569999999997</v>
      </c>
      <c r="AB1275">
        <v>26</v>
      </c>
      <c r="AC1275">
        <v>-0.56749999999999501</v>
      </c>
      <c r="AD1275">
        <v>-7.73120000000002E-2</v>
      </c>
      <c r="AE1275">
        <v>2.0800000000008301E-2</v>
      </c>
      <c r="AF1275">
        <v>1.1971522171121299E-2</v>
      </c>
      <c r="AG1275">
        <v>-7.73120000000002E-2</v>
      </c>
      <c r="AH1275">
        <v>0.55741869696887303</v>
      </c>
      <c r="AI1275">
        <v>97.894548205249905</v>
      </c>
      <c r="AJ1275">
        <v>88.7696640461089</v>
      </c>
      <c r="AK1275">
        <v>0.56288192937557502</v>
      </c>
    </row>
    <row r="1276" spans="1:37" x14ac:dyDescent="0.2">
      <c r="A1276" t="str">
        <f>"20200111160126843"</f>
        <v>20200111160126843</v>
      </c>
      <c r="B1276" t="str">
        <f>"1578729686832591"</f>
        <v>1578729686832591</v>
      </c>
      <c r="C1276" t="s">
        <v>37</v>
      </c>
      <c r="D1276">
        <v>5.3286210000000001</v>
      </c>
      <c r="E1276">
        <v>0.51293829999999996</v>
      </c>
      <c r="F1276" t="s">
        <v>42</v>
      </c>
      <c r="G1276">
        <v>-236.26820000000001</v>
      </c>
      <c r="H1276">
        <v>1.0259160000000001</v>
      </c>
      <c r="I1276">
        <v>282.77749999999997</v>
      </c>
      <c r="J1276">
        <v>-235.7133</v>
      </c>
      <c r="K1276">
        <v>1.101159</v>
      </c>
      <c r="L1276">
        <v>282.75650000000002</v>
      </c>
      <c r="M1276">
        <v>-0.99971069999999995</v>
      </c>
      <c r="N1276">
        <v>0</v>
      </c>
      <c r="O1276">
        <v>1.9505020000000001E-2</v>
      </c>
      <c r="P1276">
        <v>-0.99981929999999997</v>
      </c>
      <c r="Q1276">
        <v>-1.360609E-2</v>
      </c>
      <c r="R1276">
        <v>1.3275510000000001E-2</v>
      </c>
      <c r="S1276">
        <v>-2.9956049999999999</v>
      </c>
      <c r="T1276">
        <v>-0.28250409999999998</v>
      </c>
      <c r="U1276">
        <v>0.11062619999999999</v>
      </c>
      <c r="V1276">
        <v>-6.2268009999999997E-3</v>
      </c>
      <c r="W1276">
        <v>5.0670299999999995E-4</v>
      </c>
      <c r="X1276">
        <v>0.99998050000000005</v>
      </c>
      <c r="Y1276">
        <v>1.741293E-2</v>
      </c>
      <c r="Z1276">
        <v>-1.0157020000000001E-3</v>
      </c>
      <c r="AA1276">
        <v>0.99984789999999901</v>
      </c>
      <c r="AB1276">
        <v>26</v>
      </c>
      <c r="AC1276">
        <v>-0.55490000000000295</v>
      </c>
      <c r="AD1276">
        <v>-7.5242999999999893E-2</v>
      </c>
      <c r="AE1276">
        <v>2.0999999999958101E-2</v>
      </c>
      <c r="AF1276">
        <v>9.9882093766714402E-3</v>
      </c>
      <c r="AG1276">
        <v>-7.5242999999999893E-2</v>
      </c>
      <c r="AH1276">
        <v>0.54519410029290205</v>
      </c>
      <c r="AI1276">
        <v>97.856529880042999</v>
      </c>
      <c r="AJ1276">
        <v>88.9504320976136</v>
      </c>
      <c r="AK1276">
        <v>0.55045243243148601</v>
      </c>
    </row>
    <row r="1277" spans="1:37" x14ac:dyDescent="0.2">
      <c r="A1277" t="str">
        <f>"20200111160126866"</f>
        <v>20200111160126866</v>
      </c>
      <c r="B1277" t="str">
        <f>"1578729686861871"</f>
        <v>1578729686861871</v>
      </c>
      <c r="C1277" t="s">
        <v>37</v>
      </c>
      <c r="D1277">
        <v>5.330667</v>
      </c>
      <c r="E1277">
        <v>0.51308719999999997</v>
      </c>
      <c r="F1277" t="s">
        <v>42</v>
      </c>
      <c r="G1277">
        <v>-236.4984</v>
      </c>
      <c r="H1277">
        <v>1.0274779999999999</v>
      </c>
      <c r="I1277">
        <v>282.78789999999998</v>
      </c>
      <c r="J1277">
        <v>-235.9716</v>
      </c>
      <c r="K1277">
        <v>1.1011120000000001</v>
      </c>
      <c r="L1277">
        <v>282.76679999999999</v>
      </c>
      <c r="M1277">
        <v>-0.99960859999999996</v>
      </c>
      <c r="N1277">
        <v>0</v>
      </c>
      <c r="O1277">
        <v>2.4181279999999999E-2</v>
      </c>
      <c r="P1277">
        <v>-0.99974750000000001</v>
      </c>
      <c r="Q1277">
        <v>-1.4163729999999999E-2</v>
      </c>
      <c r="R1277">
        <v>1.7452209999999999E-2</v>
      </c>
      <c r="S1277">
        <v>-2.9951319999999999</v>
      </c>
      <c r="T1277">
        <v>-0.28099079999999999</v>
      </c>
      <c r="U1277">
        <v>0.1191101</v>
      </c>
      <c r="V1277">
        <v>-6.7308069999999897E-3</v>
      </c>
      <c r="W1277" s="1">
        <v>-4.3258479999999998E-5</v>
      </c>
      <c r="X1277">
        <v>0.99997739999999902</v>
      </c>
      <c r="Y1277">
        <v>1.559791E-2</v>
      </c>
      <c r="Z1277">
        <v>-1.532739E-3</v>
      </c>
      <c r="AA1277">
        <v>0.99987719999999902</v>
      </c>
      <c r="AB1277">
        <v>26</v>
      </c>
      <c r="AC1277">
        <v>-0.52680000000000804</v>
      </c>
      <c r="AD1277">
        <v>-7.3633999999999894E-2</v>
      </c>
      <c r="AE1277">
        <v>2.1099999999989901E-2</v>
      </c>
      <c r="AF1277">
        <v>8.1940366640485506E-3</v>
      </c>
      <c r="AG1277">
        <v>-7.3633999999999894E-2</v>
      </c>
      <c r="AH1277">
        <v>0.51707021164611</v>
      </c>
      <c r="AI1277">
        <v>98.103775980933307</v>
      </c>
      <c r="AJ1277">
        <v>89.092107003930806</v>
      </c>
      <c r="AK1277">
        <v>0.52235113856926196</v>
      </c>
    </row>
    <row r="1278" spans="1:37" x14ac:dyDescent="0.2">
      <c r="A1278" t="str">
        <f>"20200111160126889"</f>
        <v>20200111160126889</v>
      </c>
      <c r="B1278" t="str">
        <f>"1578729686882367"</f>
        <v>1578729686882367</v>
      </c>
      <c r="C1278" t="s">
        <v>37</v>
      </c>
      <c r="D1278">
        <v>5.3081629999999898</v>
      </c>
      <c r="E1278">
        <v>0.51297609999999905</v>
      </c>
      <c r="F1278" t="s">
        <v>42</v>
      </c>
      <c r="G1278">
        <v>-236.7277</v>
      </c>
      <c r="H1278">
        <v>1.0280929999999999</v>
      </c>
      <c r="I1278">
        <v>282.80020000000002</v>
      </c>
      <c r="J1278">
        <v>-236.2353</v>
      </c>
      <c r="K1278">
        <v>1.101073</v>
      </c>
      <c r="L1278">
        <v>282.77859999999998</v>
      </c>
      <c r="M1278">
        <v>-0.99947999999999904</v>
      </c>
      <c r="N1278">
        <v>0</v>
      </c>
      <c r="O1278">
        <v>2.9015260000000001E-2</v>
      </c>
      <c r="P1278">
        <v>-0.99963869999999899</v>
      </c>
      <c r="Q1278">
        <v>-1.564836E-2</v>
      </c>
      <c r="R1278">
        <v>2.185026E-2</v>
      </c>
      <c r="S1278">
        <v>-2.994354</v>
      </c>
      <c r="T1278">
        <v>-0.28902440000000001</v>
      </c>
      <c r="U1278">
        <v>0.13165279999999999</v>
      </c>
      <c r="V1278">
        <v>-7.1790150000000004E-3</v>
      </c>
      <c r="W1278">
        <v>-1.521108E-3</v>
      </c>
      <c r="X1278">
        <v>0.99997309999999995</v>
      </c>
      <c r="Y1278">
        <v>1.4981029999999999E-2</v>
      </c>
      <c r="Z1278">
        <v>-2.0713629999999901E-3</v>
      </c>
      <c r="AA1278">
        <v>0.99988559999999904</v>
      </c>
      <c r="AB1278">
        <v>25</v>
      </c>
      <c r="AC1278">
        <v>-0.492400000000003</v>
      </c>
      <c r="AD1278">
        <v>-7.2980000000000003E-2</v>
      </c>
      <c r="AE1278">
        <v>2.16000000000349E-2</v>
      </c>
      <c r="AF1278">
        <v>7.1457077743718204E-3</v>
      </c>
      <c r="AG1278">
        <v>-7.2980000000000003E-2</v>
      </c>
      <c r="AH1278">
        <v>0.48224625573371599</v>
      </c>
      <c r="AI1278">
        <v>98.604541605378103</v>
      </c>
      <c r="AJ1278">
        <v>89.151079075864004</v>
      </c>
      <c r="AK1278">
        <v>0.48778949630838198</v>
      </c>
    </row>
    <row r="1279" spans="1:37" x14ac:dyDescent="0.2">
      <c r="A1279" t="str">
        <f>"20200111160126910"</f>
        <v>20200111160126910</v>
      </c>
      <c r="B1279" t="str">
        <f>"1578729686901887"</f>
        <v>1578729686901887</v>
      </c>
      <c r="C1279" t="s">
        <v>37</v>
      </c>
      <c r="D1279">
        <v>5.5154100000000001</v>
      </c>
      <c r="E1279">
        <v>0.51286489999999996</v>
      </c>
      <c r="F1279" t="s">
        <v>42</v>
      </c>
      <c r="G1279">
        <v>-236.95679999999999</v>
      </c>
      <c r="H1279">
        <v>1.028986</v>
      </c>
      <c r="I1279">
        <v>282.8134</v>
      </c>
      <c r="J1279">
        <v>-236.48089999999999</v>
      </c>
      <c r="K1279">
        <v>1.101029</v>
      </c>
      <c r="L1279">
        <v>282.79090000000002</v>
      </c>
      <c r="M1279">
        <v>-0.99933729999999998</v>
      </c>
      <c r="N1279">
        <v>0</v>
      </c>
      <c r="O1279">
        <v>3.3570349999999999E-2</v>
      </c>
      <c r="P1279">
        <v>-0.99950339999999904</v>
      </c>
      <c r="Q1279">
        <v>-1.74921E-2</v>
      </c>
      <c r="R1279">
        <v>2.6208599999999999E-2</v>
      </c>
      <c r="S1279">
        <v>-2.9932859999999999</v>
      </c>
      <c r="T1279">
        <v>-0.29886200000000002</v>
      </c>
      <c r="U1279">
        <v>0.14315799999999901</v>
      </c>
      <c r="V1279">
        <v>-7.3902150000000003E-3</v>
      </c>
      <c r="W1279">
        <v>-3.3607979999999999E-3</v>
      </c>
      <c r="X1279">
        <v>0.99996700000000005</v>
      </c>
      <c r="Y1279">
        <v>1.430498E-2</v>
      </c>
      <c r="Z1279">
        <v>-2.628825E-3</v>
      </c>
      <c r="AA1279">
        <v>0.99989419999999996</v>
      </c>
      <c r="AB1279">
        <v>25</v>
      </c>
      <c r="AC1279">
        <v>-0.47589999999999499</v>
      </c>
      <c r="AD1279">
        <v>-7.2042999999999996E-2</v>
      </c>
      <c r="AE1279">
        <v>2.2499999999979502E-2</v>
      </c>
      <c r="AF1279">
        <v>6.3640855497234597E-3</v>
      </c>
      <c r="AG1279">
        <v>-7.2042999999999996E-2</v>
      </c>
      <c r="AH1279">
        <v>0.46573774679428398</v>
      </c>
      <c r="AI1279">
        <v>98.792342274283101</v>
      </c>
      <c r="AJ1279">
        <v>89.217129054489604</v>
      </c>
      <c r="AK1279">
        <v>0.47131978976370298</v>
      </c>
    </row>
    <row r="1280" spans="1:37" x14ac:dyDescent="0.2">
      <c r="A1280" t="str">
        <f>"20200111160126934"</f>
        <v>20200111160126934</v>
      </c>
      <c r="B1280" t="str">
        <f>"1578729686923359"</f>
        <v>1578729686923359</v>
      </c>
      <c r="C1280" t="s">
        <v>37</v>
      </c>
      <c r="D1280">
        <v>5.4016310000000001</v>
      </c>
      <c r="E1280">
        <v>0.50637019999999999</v>
      </c>
      <c r="F1280" t="s">
        <v>42</v>
      </c>
      <c r="G1280">
        <v>-237.40260000000001</v>
      </c>
      <c r="H1280">
        <v>1.006866</v>
      </c>
      <c r="I1280">
        <v>282.83879999999999</v>
      </c>
      <c r="J1280">
        <v>-236.74760000000001</v>
      </c>
      <c r="K1280">
        <v>1.1010070000000001</v>
      </c>
      <c r="L1280">
        <v>282.80560000000003</v>
      </c>
      <c r="M1280">
        <v>-0.99915710000000002</v>
      </c>
      <c r="N1280">
        <v>0</v>
      </c>
      <c r="O1280">
        <v>3.8563159999999999E-2</v>
      </c>
      <c r="P1280">
        <v>-0.99934389999999995</v>
      </c>
      <c r="Q1280">
        <v>-1.870117E-2</v>
      </c>
      <c r="R1280">
        <v>3.1020900000000001E-2</v>
      </c>
      <c r="S1280">
        <v>-2.9920810000000002</v>
      </c>
      <c r="T1280">
        <v>-0.30562479999999997</v>
      </c>
      <c r="U1280">
        <v>0.15524289999999999</v>
      </c>
      <c r="V1280">
        <v>-7.5809079999999999E-3</v>
      </c>
      <c r="W1280">
        <v>-4.5663190000000001E-3</v>
      </c>
      <c r="X1280">
        <v>0.99996079999999998</v>
      </c>
      <c r="Y1280">
        <v>1.3391689999999999E-2</v>
      </c>
      <c r="Z1280">
        <v>-3.2431389999999999E-3</v>
      </c>
      <c r="AA1280">
        <v>0.99990499999999904</v>
      </c>
      <c r="AB1280">
        <v>25</v>
      </c>
      <c r="AC1280">
        <v>-0.65500000000000103</v>
      </c>
      <c r="AD1280">
        <v>-9.4141000000000002E-2</v>
      </c>
      <c r="AE1280">
        <v>3.3199999999965202E-2</v>
      </c>
      <c r="AF1280">
        <v>7.7541592728794899E-3</v>
      </c>
      <c r="AG1280">
        <v>-9.4141000000000002E-2</v>
      </c>
      <c r="AH1280">
        <v>0.64255366119586799</v>
      </c>
      <c r="AI1280">
        <v>98.334546166688497</v>
      </c>
      <c r="AJ1280">
        <v>89.308603993921096</v>
      </c>
      <c r="AK1280">
        <v>0.64945966955865897</v>
      </c>
    </row>
    <row r="1281" spans="1:37" x14ac:dyDescent="0.2">
      <c r="A1281" t="str">
        <f>"20200111160126955"</f>
        <v>20200111160126955</v>
      </c>
      <c r="B1281" t="str">
        <f>"1578729686952639"</f>
        <v>1578729686952639</v>
      </c>
      <c r="C1281" t="s">
        <v>37</v>
      </c>
      <c r="D1281">
        <v>5.3237759999999996</v>
      </c>
      <c r="E1281">
        <v>0.50177280000000002</v>
      </c>
      <c r="F1281" t="s">
        <v>57</v>
      </c>
      <c r="G1281">
        <v>-256.16180000000003</v>
      </c>
      <c r="H1281" s="1">
        <v>1.7422199999999999E-6</v>
      </c>
      <c r="I1281">
        <v>283.6628</v>
      </c>
      <c r="J1281">
        <v>-236.98500000000001</v>
      </c>
      <c r="K1281">
        <v>1.100992</v>
      </c>
      <c r="L1281">
        <v>282.81979999999999</v>
      </c>
      <c r="M1281">
        <v>-0.99897440000000004</v>
      </c>
      <c r="N1281">
        <v>0</v>
      </c>
      <c r="O1281">
        <v>4.3036400000000002E-2</v>
      </c>
      <c r="P1281">
        <v>-0.99918410000000002</v>
      </c>
      <c r="Q1281">
        <v>-1.8643750000000001E-2</v>
      </c>
      <c r="R1281">
        <v>3.5828869999999999E-2</v>
      </c>
      <c r="S1281">
        <v>-2.99470499999999</v>
      </c>
      <c r="T1281">
        <v>-0.16983319999999999</v>
      </c>
      <c r="U1281">
        <v>0.13223270000000001</v>
      </c>
      <c r="V1281">
        <v>-7.24713599999999E-3</v>
      </c>
      <c r="W1281">
        <v>-4.5102249999999997E-3</v>
      </c>
      <c r="X1281">
        <v>0.99996359999999995</v>
      </c>
      <c r="Y1281">
        <v>1.1399889999999899E-3</v>
      </c>
      <c r="Z1281">
        <v>-2.4043160000000001E-3</v>
      </c>
      <c r="AA1281">
        <v>0.99999649999999995</v>
      </c>
      <c r="AB1281">
        <v>25</v>
      </c>
      <c r="AC1281">
        <v>-19.1768</v>
      </c>
      <c r="AD1281">
        <v>-1.1009902577799999</v>
      </c>
      <c r="AE1281">
        <v>0.84300000000001696</v>
      </c>
      <c r="AF1281">
        <v>1.6781442282812298E-2</v>
      </c>
      <c r="AG1281">
        <v>-1.1009902577799999</v>
      </c>
      <c r="AH1281">
        <v>19.132369898554099</v>
      </c>
      <c r="AI1281">
        <v>93.293506051107997</v>
      </c>
      <c r="AJ1281">
        <v>89.949744565076401</v>
      </c>
      <c r="AK1281">
        <v>19.1640298241166</v>
      </c>
    </row>
    <row r="1282" spans="1:37" x14ac:dyDescent="0.2">
      <c r="A1282" t="str">
        <f>"20200111160126977"</f>
        <v>20200111160126977</v>
      </c>
      <c r="B1282" t="str">
        <f>"1578729686972310"</f>
        <v>1578729686972310</v>
      </c>
      <c r="C1282" t="s">
        <v>37</v>
      </c>
      <c r="D1282">
        <v>5.4428140000000003</v>
      </c>
      <c r="E1282">
        <v>0.49894449999999901</v>
      </c>
      <c r="F1282" t="s">
        <v>42</v>
      </c>
      <c r="G1282">
        <v>-237.875</v>
      </c>
      <c r="H1282">
        <v>1.0331939999999999</v>
      </c>
      <c r="I1282">
        <v>282.85079999999999</v>
      </c>
      <c r="J1282">
        <v>-237.24270000000001</v>
      </c>
      <c r="K1282">
        <v>1.1009799999999901</v>
      </c>
      <c r="L1282">
        <v>282.8365</v>
      </c>
      <c r="M1282">
        <v>-0.99875239999999998</v>
      </c>
      <c r="N1282">
        <v>0</v>
      </c>
      <c r="O1282">
        <v>4.7913659999999997E-2</v>
      </c>
      <c r="P1282">
        <v>-0.99896049999999903</v>
      </c>
      <c r="Q1282">
        <v>-1.9086140000000001E-2</v>
      </c>
      <c r="R1282">
        <v>4.1397709999999997E-2</v>
      </c>
      <c r="S1282">
        <v>-2.9944919999999899</v>
      </c>
      <c r="T1282">
        <v>-0.22805549999999999</v>
      </c>
      <c r="U1282">
        <v>0.1036987</v>
      </c>
      <c r="V1282">
        <v>-6.5585919999999898E-3</v>
      </c>
      <c r="W1282">
        <v>-4.9574930000000003E-3</v>
      </c>
      <c r="X1282">
        <v>0.99996620000000003</v>
      </c>
      <c r="Y1282">
        <v>-1.314391E-2</v>
      </c>
      <c r="Z1282">
        <v>-4.1408570000000004E-3</v>
      </c>
      <c r="AA1282">
        <v>0.99990499999999904</v>
      </c>
      <c r="AB1282">
        <v>25</v>
      </c>
      <c r="AC1282">
        <v>-0.63229999999998598</v>
      </c>
      <c r="AD1282">
        <v>-6.7785999999999902E-2</v>
      </c>
      <c r="AE1282">
        <v>1.42999999999915E-2</v>
      </c>
      <c r="AF1282">
        <v>-1.5833353079331699E-2</v>
      </c>
      <c r="AG1282">
        <v>-6.7785999999999902E-2</v>
      </c>
      <c r="AH1282">
        <v>0.62507852186575796</v>
      </c>
      <c r="AI1282">
        <v>96.187226692801502</v>
      </c>
      <c r="AJ1282">
        <v>91.451002278826607</v>
      </c>
      <c r="AK1282">
        <v>0.62894260100872101</v>
      </c>
    </row>
    <row r="1283" spans="1:37" x14ac:dyDescent="0.2">
      <c r="A1283" t="str">
        <f>"20200111160127000"</f>
        <v>20200111160127000</v>
      </c>
      <c r="B1283" t="str">
        <f>"1578729686991829"</f>
        <v>1578729686991829</v>
      </c>
      <c r="C1283" t="s">
        <v>37</v>
      </c>
      <c r="D1283">
        <v>5.277533</v>
      </c>
      <c r="E1283">
        <v>0.49808659999999999</v>
      </c>
      <c r="F1283" t="s">
        <v>57</v>
      </c>
      <c r="G1283">
        <v>-251.85980000000001</v>
      </c>
      <c r="H1283" s="1">
        <v>-5.4712049999999995E-7</v>
      </c>
      <c r="I1283">
        <v>283.3143</v>
      </c>
      <c r="J1283">
        <v>-237.50069999999999</v>
      </c>
      <c r="K1283">
        <v>1.1009770000000001</v>
      </c>
      <c r="L1283">
        <v>282.85449999999997</v>
      </c>
      <c r="M1283">
        <v>-0.99850509999999904</v>
      </c>
      <c r="N1283">
        <v>0</v>
      </c>
      <c r="O1283">
        <v>5.2816929999999998E-2</v>
      </c>
      <c r="P1283">
        <v>-0.99873159999999905</v>
      </c>
      <c r="Q1283">
        <v>-1.9403460000000001E-2</v>
      </c>
      <c r="R1283">
        <v>4.6464690000000003E-2</v>
      </c>
      <c r="S1283">
        <v>-2.9947509999999999</v>
      </c>
      <c r="T1283">
        <v>-0.22556909999999999</v>
      </c>
      <c r="U1283">
        <v>9.7900390000000004E-2</v>
      </c>
      <c r="V1283">
        <v>-6.3983699999999996E-3</v>
      </c>
      <c r="W1283">
        <v>-5.2759909999999998E-3</v>
      </c>
      <c r="X1283">
        <v>0.99996559999999901</v>
      </c>
      <c r="Y1283">
        <v>-1.996061E-2</v>
      </c>
      <c r="Z1283">
        <v>-4.7201839999999997E-3</v>
      </c>
      <c r="AA1283">
        <v>0.99978959999999995</v>
      </c>
      <c r="AB1283">
        <v>25</v>
      </c>
      <c r="AC1283">
        <v>-14.3591</v>
      </c>
      <c r="AD1283">
        <v>-1.1009775471205001</v>
      </c>
      <c r="AE1283">
        <v>0.45980000000002902</v>
      </c>
      <c r="AF1283">
        <v>-0.29757292407738201</v>
      </c>
      <c r="AG1283">
        <v>-1.1009775471205001</v>
      </c>
      <c r="AH1283">
        <v>14.279478521255101</v>
      </c>
      <c r="AI1283">
        <v>94.4079479647298</v>
      </c>
      <c r="AJ1283">
        <v>91.193825474624703</v>
      </c>
      <c r="AK1283">
        <v>14.324950542441499</v>
      </c>
    </row>
    <row r="1284" spans="1:37" x14ac:dyDescent="0.2">
      <c r="A1284" t="str">
        <f>"20200111160127022"</f>
        <v>20200111160127022</v>
      </c>
      <c r="B1284" t="str">
        <f>"1578729687012325"</f>
        <v>1578729687012325</v>
      </c>
      <c r="C1284" t="s">
        <v>37</v>
      </c>
      <c r="D1284">
        <v>5.3046829999999998</v>
      </c>
      <c r="E1284">
        <v>0.49712869999999998</v>
      </c>
      <c r="F1284" t="s">
        <v>57</v>
      </c>
      <c r="G1284">
        <v>-251.4836</v>
      </c>
      <c r="H1284" s="1">
        <v>-7.4726569999999895E-7</v>
      </c>
      <c r="I1284">
        <v>283.34699999999998</v>
      </c>
      <c r="J1284">
        <v>-237.75120000000001</v>
      </c>
      <c r="K1284">
        <v>1.100973</v>
      </c>
      <c r="L1284">
        <v>282.8732</v>
      </c>
      <c r="M1284">
        <v>-0.99824099999999905</v>
      </c>
      <c r="N1284">
        <v>0</v>
      </c>
      <c r="O1284">
        <v>5.7591209999999997E-2</v>
      </c>
      <c r="P1284">
        <v>-0.99846889999999999</v>
      </c>
      <c r="Q1284">
        <v>-2.0049330000000001E-2</v>
      </c>
      <c r="R1284">
        <v>5.1555419999999998E-2</v>
      </c>
      <c r="S1284">
        <v>-2.9943240000000002</v>
      </c>
      <c r="T1284">
        <v>-0.235765</v>
      </c>
      <c r="U1284">
        <v>0.1054688</v>
      </c>
      <c r="V1284">
        <v>-6.0874609999999997E-3</v>
      </c>
      <c r="W1284">
        <v>-5.9246230000000004E-3</v>
      </c>
      <c r="X1284">
        <v>0.99996390000000002</v>
      </c>
      <c r="Y1284">
        <v>-2.2172290000000001E-2</v>
      </c>
      <c r="Z1284">
        <v>-5.3948709999999999E-3</v>
      </c>
      <c r="AA1284">
        <v>0.99973959999999995</v>
      </c>
      <c r="AB1284">
        <v>25</v>
      </c>
      <c r="AC1284">
        <v>-13.732399999999901</v>
      </c>
      <c r="AD1284">
        <v>-1.1009737472657</v>
      </c>
      <c r="AE1284">
        <v>0.47379999999998201</v>
      </c>
      <c r="AF1284">
        <v>-0.31590231187097101</v>
      </c>
      <c r="AG1284">
        <v>-1.1009737472657</v>
      </c>
      <c r="AH1284">
        <v>13.649262385437501</v>
      </c>
      <c r="AI1284">
        <v>94.610365829178804</v>
      </c>
      <c r="AJ1284">
        <v>91.325832704990901</v>
      </c>
      <c r="AK1284">
        <v>13.697236988872399</v>
      </c>
    </row>
    <row r="1285" spans="1:37" x14ac:dyDescent="0.2">
      <c r="A1285" t="str">
        <f>"20200111160127043"</f>
        <v>20200111160127043</v>
      </c>
      <c r="B1285" t="str">
        <f>"1578729687031845"</f>
        <v>1578729687031845</v>
      </c>
      <c r="C1285" t="s">
        <v>37</v>
      </c>
      <c r="D1285">
        <v>5.565372</v>
      </c>
      <c r="E1285">
        <v>0.4717731</v>
      </c>
      <c r="F1285" t="s">
        <v>57</v>
      </c>
      <c r="G1285">
        <v>-251.2715</v>
      </c>
      <c r="H1285" s="1">
        <v>-8.6015709999999996E-7</v>
      </c>
      <c r="I1285">
        <v>283.38060000000002</v>
      </c>
      <c r="J1285">
        <v>-237.9933</v>
      </c>
      <c r="K1285">
        <v>1.1009709999999999</v>
      </c>
      <c r="L1285">
        <v>282.89240000000001</v>
      </c>
      <c r="M1285">
        <v>-0.99796339999999994</v>
      </c>
      <c r="N1285">
        <v>0</v>
      </c>
      <c r="O1285">
        <v>6.2216239999999999E-2</v>
      </c>
      <c r="P1285">
        <v>-0.99815039999999999</v>
      </c>
      <c r="Q1285">
        <v>-2.051849E-2</v>
      </c>
      <c r="R1285">
        <v>5.7225230000000002E-2</v>
      </c>
      <c r="S1285">
        <v>-2.9939119999999999</v>
      </c>
      <c r="T1285">
        <v>-0.24379799999999999</v>
      </c>
      <c r="U1285">
        <v>0.1123657</v>
      </c>
      <c r="V1285">
        <v>-5.0451139999999998E-3</v>
      </c>
      <c r="W1285">
        <v>-6.4026300000000003E-3</v>
      </c>
      <c r="X1285">
        <v>0.99996679999999905</v>
      </c>
      <c r="Y1285">
        <v>-2.446015E-2</v>
      </c>
      <c r="Z1285">
        <v>-6.0466950000000004E-3</v>
      </c>
      <c r="AA1285">
        <v>0.99968250000000003</v>
      </c>
      <c r="AB1285">
        <v>25</v>
      </c>
      <c r="AC1285">
        <v>-13.278199999999901</v>
      </c>
      <c r="AD1285">
        <v>-1.1009718601570999</v>
      </c>
      <c r="AE1285">
        <v>0.48820000000000602</v>
      </c>
      <c r="AF1285">
        <v>-0.33663627897244902</v>
      </c>
      <c r="AG1285">
        <v>-1.1009718601570999</v>
      </c>
      <c r="AH1285">
        <v>13.1922732122942</v>
      </c>
      <c r="AI1285">
        <v>94.769065401231501</v>
      </c>
      <c r="AJ1285">
        <v>91.461738466204906</v>
      </c>
      <c r="AK1285">
        <v>13.242414263607399</v>
      </c>
    </row>
    <row r="1286" spans="1:37" x14ac:dyDescent="0.2">
      <c r="A1286" t="str">
        <f>"20200111160127066"</f>
        <v>20200111160127066</v>
      </c>
      <c r="B1286" t="str">
        <f>"1578729687062102"</f>
        <v>1578729687062102</v>
      </c>
      <c r="C1286" t="s">
        <v>37</v>
      </c>
      <c r="D1286">
        <v>5.2561359999999997</v>
      </c>
      <c r="E1286">
        <v>0.4918459</v>
      </c>
      <c r="F1286" t="s">
        <v>43</v>
      </c>
      <c r="G1286">
        <v>0</v>
      </c>
      <c r="H1286">
        <v>0</v>
      </c>
      <c r="I1286">
        <v>0</v>
      </c>
      <c r="J1286">
        <v>-238.24039999999999</v>
      </c>
      <c r="K1286">
        <v>1.100973</v>
      </c>
      <c r="L1286">
        <v>282.91309999999999</v>
      </c>
      <c r="M1286">
        <v>-0.99765740000000003</v>
      </c>
      <c r="N1286">
        <v>0</v>
      </c>
      <c r="O1286">
        <v>6.6945210000000005E-2</v>
      </c>
      <c r="P1286">
        <v>-0.99779699999999905</v>
      </c>
      <c r="Q1286">
        <v>-2.1128709999999998E-2</v>
      </c>
      <c r="R1286">
        <v>6.2886280000000003E-2</v>
      </c>
      <c r="S1286">
        <v>-3.010437</v>
      </c>
      <c r="T1286">
        <v>0.14829120000000001</v>
      </c>
      <c r="U1286">
        <v>-3.2165529999999998E-2</v>
      </c>
      <c r="V1286">
        <v>-4.1162480000000003E-3</v>
      </c>
      <c r="W1286">
        <v>-7.0211249999999996E-3</v>
      </c>
      <c r="X1286">
        <v>0.99996689999999999</v>
      </c>
      <c r="Y1286">
        <v>-7.7433119999999994E-2</v>
      </c>
      <c r="Z1286">
        <v>5.2002649999999999E-3</v>
      </c>
      <c r="AA1286">
        <v>0.99698399999999998</v>
      </c>
      <c r="AB1286">
        <v>25</v>
      </c>
      <c r="AC1286">
        <v>-3.010437</v>
      </c>
      <c r="AD1286">
        <v>0.14829120000000001</v>
      </c>
      <c r="AE1286">
        <v>-3.2165529999999998E-2</v>
      </c>
      <c r="AF1286">
        <v>-0.233082156352512</v>
      </c>
      <c r="AG1286">
        <v>0.14829120000000001</v>
      </c>
      <c r="AH1286">
        <v>2.9942640567049099</v>
      </c>
      <c r="AI1286">
        <v>87.173275261422702</v>
      </c>
      <c r="AJ1286">
        <v>94.451092840616298</v>
      </c>
      <c r="AK1286">
        <v>3.0069810130565</v>
      </c>
    </row>
    <row r="1287" spans="1:37" x14ac:dyDescent="0.2">
      <c r="A1287" t="str">
        <f>"20200111160127090"</f>
        <v>20200111160127090</v>
      </c>
      <c r="B1287" t="str">
        <f>"1578729687082597"</f>
        <v>1578729687082597</v>
      </c>
      <c r="C1287" t="s">
        <v>37</v>
      </c>
      <c r="D1287">
        <v>5.398828</v>
      </c>
      <c r="E1287">
        <v>0.49046879999999998</v>
      </c>
      <c r="F1287" t="s">
        <v>57</v>
      </c>
      <c r="G1287">
        <v>-250.74879999999999</v>
      </c>
      <c r="H1287" s="1">
        <v>-1.1383200000000001E-6</v>
      </c>
      <c r="I1287">
        <v>283.33909999999997</v>
      </c>
      <c r="J1287">
        <v>-238.50909999999999</v>
      </c>
      <c r="K1287">
        <v>1.1009770000000001</v>
      </c>
      <c r="L1287">
        <v>282.93700000000001</v>
      </c>
      <c r="M1287">
        <v>-0.99729789999999996</v>
      </c>
      <c r="N1287">
        <v>0</v>
      </c>
      <c r="O1287">
        <v>7.2103500000000001E-2</v>
      </c>
      <c r="P1287">
        <v>-0.99739929999999999</v>
      </c>
      <c r="Q1287">
        <v>-2.1398339999999998E-2</v>
      </c>
      <c r="R1287">
        <v>6.8827990000000006E-2</v>
      </c>
      <c r="S1287">
        <v>-2.9946139999999999</v>
      </c>
      <c r="T1287">
        <v>-0.26358209999999999</v>
      </c>
      <c r="U1287">
        <v>0.101989699999999</v>
      </c>
      <c r="V1287">
        <v>-3.3332990000000001E-3</v>
      </c>
      <c r="W1287">
        <v>-7.2980989999999997E-3</v>
      </c>
      <c r="X1287">
        <v>0.99996779999999996</v>
      </c>
      <c r="Y1287">
        <v>-3.7696060000000003E-2</v>
      </c>
      <c r="Z1287">
        <v>-7.9822460000000001E-3</v>
      </c>
      <c r="AA1287">
        <v>0.99925739999999996</v>
      </c>
      <c r="AB1287">
        <v>25</v>
      </c>
      <c r="AC1287">
        <v>-12.239699999999999</v>
      </c>
      <c r="AD1287">
        <v>-1.1009781383199999</v>
      </c>
      <c r="AE1287">
        <v>0.40209999999996099</v>
      </c>
      <c r="AF1287">
        <v>-0.477698384225689</v>
      </c>
      <c r="AG1287">
        <v>-1.1009781383199999</v>
      </c>
      <c r="AH1287">
        <v>12.1387197530692</v>
      </c>
      <c r="AI1287">
        <v>95.178542746838403</v>
      </c>
      <c r="AJ1287">
        <v>92.253613707900001</v>
      </c>
      <c r="AK1287">
        <v>12.197904158129001</v>
      </c>
    </row>
    <row r="1288" spans="1:37" x14ac:dyDescent="0.2">
      <c r="A1288" t="str">
        <f>"20200111160127111"</f>
        <v>20200111160127111</v>
      </c>
      <c r="B1288" t="str">
        <f>"1578729687102117"</f>
        <v>1578729687102117</v>
      </c>
      <c r="C1288" t="s">
        <v>37</v>
      </c>
      <c r="D1288">
        <v>5.3040859999999999</v>
      </c>
      <c r="E1288">
        <v>0.49001299999999998</v>
      </c>
      <c r="F1288" t="s">
        <v>42</v>
      </c>
      <c r="G1288">
        <v>-239.45269999999999</v>
      </c>
      <c r="H1288">
        <v>1.0179419999999999</v>
      </c>
      <c r="I1288">
        <v>282.97129999999999</v>
      </c>
      <c r="J1288">
        <v>-238.7559</v>
      </c>
      <c r="K1288">
        <v>1.1009770000000001</v>
      </c>
      <c r="L1288">
        <v>282.96039999999999</v>
      </c>
      <c r="M1288">
        <v>-0.99694300000000002</v>
      </c>
      <c r="N1288">
        <v>0</v>
      </c>
      <c r="O1288">
        <v>7.6854099999999995E-2</v>
      </c>
      <c r="P1288">
        <v>-0.99698169999999897</v>
      </c>
      <c r="Q1288">
        <v>-2.163319E-2</v>
      </c>
      <c r="R1288">
        <v>7.4562390000000006E-2</v>
      </c>
      <c r="S1288">
        <v>-2.9946440000000001</v>
      </c>
      <c r="T1288">
        <v>-0.2635652</v>
      </c>
      <c r="U1288">
        <v>0.1090088</v>
      </c>
      <c r="V1288">
        <v>-2.3486560000000002E-3</v>
      </c>
      <c r="W1288">
        <v>-7.5420249999999999E-3</v>
      </c>
      <c r="X1288">
        <v>0.99996879999999999</v>
      </c>
      <c r="Y1288">
        <v>-4.0090559999999997E-2</v>
      </c>
      <c r="Z1288">
        <v>-8.5023789999999991E-3</v>
      </c>
      <c r="AA1288">
        <v>0.99915989999999999</v>
      </c>
      <c r="AB1288">
        <v>25</v>
      </c>
      <c r="AC1288">
        <v>-0.69679999999999598</v>
      </c>
      <c r="AD1288">
        <v>-8.3035000000000095E-2</v>
      </c>
      <c r="AE1288">
        <v>1.08999999999923E-2</v>
      </c>
      <c r="AF1288">
        <v>-4.2091903594213297E-2</v>
      </c>
      <c r="AG1288">
        <v>-8.3035000000000095E-2</v>
      </c>
      <c r="AH1288">
        <v>0.68583955593847901</v>
      </c>
      <c r="AI1288">
        <v>96.8903957106929</v>
      </c>
      <c r="AJ1288">
        <v>93.5119981902414</v>
      </c>
      <c r="AK1288">
        <v>0.69212891578308899</v>
      </c>
    </row>
    <row r="1289" spans="1:37" x14ac:dyDescent="0.2">
      <c r="A1289" t="str">
        <f>"20200111160127135"</f>
        <v>20200111160127135</v>
      </c>
      <c r="B1289" t="str">
        <f>"1578729687132373"</f>
        <v>1578729687132373</v>
      </c>
      <c r="C1289" t="s">
        <v>37</v>
      </c>
      <c r="D1289">
        <v>5.2469289999999997</v>
      </c>
      <c r="E1289">
        <v>0.48826769999999903</v>
      </c>
      <c r="F1289" t="s">
        <v>42</v>
      </c>
      <c r="G1289">
        <v>-239.67689999999999</v>
      </c>
      <c r="H1289">
        <v>1.0181500000000001</v>
      </c>
      <c r="I1289">
        <v>282.99799999999999</v>
      </c>
      <c r="J1289">
        <v>-239.0215</v>
      </c>
      <c r="K1289">
        <v>1.1009869999999999</v>
      </c>
      <c r="L1289">
        <v>282.98680000000002</v>
      </c>
      <c r="M1289">
        <v>-0.99653479999999905</v>
      </c>
      <c r="N1289">
        <v>0</v>
      </c>
      <c r="O1289">
        <v>8.1977930000000004E-2</v>
      </c>
      <c r="P1289">
        <v>-0.99652379999999996</v>
      </c>
      <c r="Q1289">
        <v>-2.1560340000000001E-2</v>
      </c>
      <c r="R1289">
        <v>8.0472009999999997E-2</v>
      </c>
      <c r="S1289">
        <v>-2.9940950000000002</v>
      </c>
      <c r="T1289">
        <v>-0.26921230000000002</v>
      </c>
      <c r="U1289">
        <v>0.12219239999999899</v>
      </c>
      <c r="V1289">
        <v>-1.5604689999999899E-3</v>
      </c>
      <c r="W1289">
        <v>-7.4771880000000001E-3</v>
      </c>
      <c r="X1289">
        <v>0.9999709</v>
      </c>
      <c r="Y1289">
        <v>-4.0784460000000002E-2</v>
      </c>
      <c r="Z1289">
        <v>-9.1736760000000004E-3</v>
      </c>
      <c r="AA1289">
        <v>0.99912579999999995</v>
      </c>
      <c r="AB1289">
        <v>25</v>
      </c>
      <c r="AC1289">
        <v>-0.65539999999998599</v>
      </c>
      <c r="AD1289">
        <v>-8.2836999999999994E-2</v>
      </c>
      <c r="AE1289">
        <v>1.1199999999973899E-2</v>
      </c>
      <c r="AF1289">
        <v>-4.1902176460549903E-2</v>
      </c>
      <c r="AG1289">
        <v>-8.2836999999999994E-2</v>
      </c>
      <c r="AH1289">
        <v>0.64382976567056305</v>
      </c>
      <c r="AI1289">
        <v>97.316251558856393</v>
      </c>
      <c r="AJ1289">
        <v>93.723712105029307</v>
      </c>
      <c r="AK1289">
        <v>0.650487915433134</v>
      </c>
    </row>
    <row r="1290" spans="1:37" x14ac:dyDescent="0.2">
      <c r="A1290" t="str">
        <f>"20200111160127154"</f>
        <v>20200111160127154</v>
      </c>
      <c r="B1290" t="str">
        <f>"1578729687151894"</f>
        <v>1578729687151894</v>
      </c>
      <c r="C1290" t="s">
        <v>37</v>
      </c>
      <c r="D1290">
        <v>5.2481429999999998</v>
      </c>
      <c r="E1290">
        <v>0.48685059999999902</v>
      </c>
      <c r="F1290" t="s">
        <v>57</v>
      </c>
      <c r="G1290">
        <v>-251.4093</v>
      </c>
      <c r="H1290" s="1">
        <v>-7.8681939999999999E-7</v>
      </c>
      <c r="I1290">
        <v>283.50900000000001</v>
      </c>
      <c r="J1290">
        <v>-239.2466</v>
      </c>
      <c r="K1290">
        <v>1.100994</v>
      </c>
      <c r="L1290">
        <v>283.01029999999997</v>
      </c>
      <c r="M1290">
        <v>-0.99616749999999898</v>
      </c>
      <c r="N1290">
        <v>0</v>
      </c>
      <c r="O1290">
        <v>8.6327020000000004E-2</v>
      </c>
      <c r="P1290">
        <v>-0.99610100000000001</v>
      </c>
      <c r="Q1290">
        <v>-2.1876570000000001E-2</v>
      </c>
      <c r="R1290">
        <v>8.5465899999999997E-2</v>
      </c>
      <c r="S1290">
        <v>-2.9945219999999999</v>
      </c>
      <c r="T1290">
        <v>-0.26614369999999998</v>
      </c>
      <c r="U1290">
        <v>0.12622069999999999</v>
      </c>
      <c r="V1290">
        <v>-9.1484770000000001E-4</v>
      </c>
      <c r="W1290">
        <v>-7.8000789999999997E-3</v>
      </c>
      <c r="X1290">
        <v>0.999969199999999</v>
      </c>
      <c r="Y1290">
        <v>-4.3792159999999997E-2</v>
      </c>
      <c r="Z1290">
        <v>-9.5854900000000003E-3</v>
      </c>
      <c r="AA1290">
        <v>0.99899459999999995</v>
      </c>
      <c r="AB1290">
        <v>25</v>
      </c>
      <c r="AC1290">
        <v>-12.162699999999999</v>
      </c>
      <c r="AD1290">
        <v>-1.1009947868194001</v>
      </c>
      <c r="AE1290">
        <v>0.498700000000042</v>
      </c>
      <c r="AF1290">
        <v>-0.54874664126634298</v>
      </c>
      <c r="AG1290">
        <v>-1.1009947868194001</v>
      </c>
      <c r="AH1290">
        <v>12.0616706510233</v>
      </c>
      <c r="AI1290">
        <v>95.210171877877201</v>
      </c>
      <c r="AJ1290">
        <v>92.604879726134598</v>
      </c>
      <c r="AK1290">
        <v>12.1242406480019</v>
      </c>
    </row>
    <row r="1291" spans="1:37" x14ac:dyDescent="0.2">
      <c r="A1291" t="str">
        <f>"20200111160127178"</f>
        <v>20200111160127178</v>
      </c>
      <c r="B1291" t="str">
        <f>"1578729687172390"</f>
        <v>1578729687172390</v>
      </c>
      <c r="C1291" t="s">
        <v>37</v>
      </c>
      <c r="D1291">
        <v>5.4178750000000004</v>
      </c>
      <c r="E1291">
        <v>0.48628919999999998</v>
      </c>
      <c r="F1291" t="s">
        <v>57</v>
      </c>
      <c r="G1291">
        <v>-251.7894</v>
      </c>
      <c r="H1291" s="1">
        <v>-5.8455599999999898E-7</v>
      </c>
      <c r="I1291">
        <v>283.5564</v>
      </c>
      <c r="J1291">
        <v>-239.50799999999899</v>
      </c>
      <c r="K1291">
        <v>1.101005</v>
      </c>
      <c r="L1291">
        <v>283.03879999999998</v>
      </c>
      <c r="M1291">
        <v>-0.99571580000000004</v>
      </c>
      <c r="N1291">
        <v>0</v>
      </c>
      <c r="O1291">
        <v>9.138955E-2</v>
      </c>
      <c r="P1291">
        <v>-0.99564490000000005</v>
      </c>
      <c r="Q1291">
        <v>-2.2322410000000001E-2</v>
      </c>
      <c r="R1291">
        <v>9.0515219999999993E-2</v>
      </c>
      <c r="S1291">
        <v>-2.9947970000000002</v>
      </c>
      <c r="T1291">
        <v>-0.26287919999999998</v>
      </c>
      <c r="U1291">
        <v>0.13040160000000001</v>
      </c>
      <c r="V1291">
        <v>-9.3105640000000001E-4</v>
      </c>
      <c r="W1291">
        <v>-8.2475020000000003E-3</v>
      </c>
      <c r="X1291">
        <v>0.99996549999999995</v>
      </c>
      <c r="Y1291">
        <v>-4.7461000000000003E-2</v>
      </c>
      <c r="Z1291">
        <v>-1.0069359999999999E-2</v>
      </c>
      <c r="AA1291">
        <v>0.99882229999999905</v>
      </c>
      <c r="AB1291">
        <v>25</v>
      </c>
      <c r="AC1291">
        <v>-12.2814</v>
      </c>
      <c r="AD1291">
        <v>-1.1010055845559901</v>
      </c>
      <c r="AE1291">
        <v>0.51760000000001505</v>
      </c>
      <c r="AF1291">
        <v>-0.60223773882873699</v>
      </c>
      <c r="AG1291">
        <v>-1.1010055845559901</v>
      </c>
      <c r="AH1291">
        <v>12.179591330899401</v>
      </c>
      <c r="AI1291">
        <v>95.159091449485601</v>
      </c>
      <c r="AJ1291">
        <v>92.830768238037905</v>
      </c>
      <c r="AK1291">
        <v>12.2440740188474</v>
      </c>
    </row>
    <row r="1292" spans="1:37" x14ac:dyDescent="0.2">
      <c r="A1292" t="str">
        <f>"20200111160127200"</f>
        <v>20200111160127200</v>
      </c>
      <c r="B1292" t="str">
        <f>"1578729687191910"</f>
        <v>1578729687191910</v>
      </c>
      <c r="C1292" t="s">
        <v>37</v>
      </c>
      <c r="D1292">
        <v>5.3806389999999897</v>
      </c>
      <c r="E1292">
        <v>0.47493069999999998</v>
      </c>
      <c r="F1292" t="s">
        <v>57</v>
      </c>
      <c r="G1292">
        <v>-251.91409999999999</v>
      </c>
      <c r="H1292" s="1">
        <v>-5.1820049999999998E-7</v>
      </c>
      <c r="I1292">
        <v>283.6232</v>
      </c>
      <c r="J1292">
        <v>-239.75970000000001</v>
      </c>
      <c r="K1292">
        <v>1.1010139999999999</v>
      </c>
      <c r="L1292">
        <v>283.06740000000002</v>
      </c>
      <c r="M1292">
        <v>-0.99525599999999903</v>
      </c>
      <c r="N1292">
        <v>0</v>
      </c>
      <c r="O1292">
        <v>9.6268309999999996E-2</v>
      </c>
      <c r="P1292">
        <v>-0.99523379999999995</v>
      </c>
      <c r="Q1292">
        <v>-2.2672330000000001E-2</v>
      </c>
      <c r="R1292">
        <v>9.4844449999999997E-2</v>
      </c>
      <c r="S1292">
        <v>-2.994354</v>
      </c>
      <c r="T1292">
        <v>-0.26574009999999998</v>
      </c>
      <c r="U1292">
        <v>0.14105219999999999</v>
      </c>
      <c r="V1292">
        <v>-1.4846410000000001E-3</v>
      </c>
      <c r="W1292">
        <v>-8.5947590000000004E-3</v>
      </c>
      <c r="X1292">
        <v>0.99996200000000002</v>
      </c>
      <c r="Y1292">
        <v>-4.8768619999999999E-2</v>
      </c>
      <c r="Z1292">
        <v>-1.0666770000000001E-2</v>
      </c>
      <c r="AA1292">
        <v>0.99875309999999995</v>
      </c>
      <c r="AB1292">
        <v>25</v>
      </c>
      <c r="AC1292">
        <v>-12.1543999999999</v>
      </c>
      <c r="AD1292">
        <v>-1.1010145182005</v>
      </c>
      <c r="AE1292">
        <v>0.55579999999997598</v>
      </c>
      <c r="AF1292">
        <v>-0.61197011399032697</v>
      </c>
      <c r="AG1292">
        <v>-1.1010145182005</v>
      </c>
      <c r="AH1292">
        <v>12.052752275723799</v>
      </c>
      <c r="AI1292">
        <v>95.212784352015902</v>
      </c>
      <c r="AJ1292">
        <v>92.906657253331105</v>
      </c>
      <c r="AK1292">
        <v>12.1183983186587</v>
      </c>
    </row>
    <row r="1293" spans="1:37" x14ac:dyDescent="0.2">
      <c r="A1293" t="str">
        <f>"20200111160127224"</f>
        <v>20200111160127224</v>
      </c>
      <c r="B1293" t="str">
        <f>"1578729687213382"</f>
        <v>1578729687213382</v>
      </c>
      <c r="C1293" t="s">
        <v>37</v>
      </c>
      <c r="D1293">
        <v>5.3966070000000004</v>
      </c>
      <c r="E1293">
        <v>0.47441289999999903</v>
      </c>
      <c r="F1293" t="s">
        <v>57</v>
      </c>
      <c r="G1293">
        <v>-253.52019999999999</v>
      </c>
      <c r="H1293" s="1">
        <v>3.364639E-7</v>
      </c>
      <c r="I1293">
        <v>283.37139999999999</v>
      </c>
      <c r="J1293">
        <v>-240.0052</v>
      </c>
      <c r="K1293">
        <v>1.1010219999999999</v>
      </c>
      <c r="L1293">
        <v>283.09660000000002</v>
      </c>
      <c r="M1293">
        <v>-0.99478409999999995</v>
      </c>
      <c r="N1293">
        <v>0</v>
      </c>
      <c r="O1293">
        <v>0.1010289</v>
      </c>
      <c r="P1293">
        <v>-0.99489899999999998</v>
      </c>
      <c r="Q1293">
        <v>-2.316932E-2</v>
      </c>
      <c r="R1293">
        <v>9.8180790000000004E-2</v>
      </c>
      <c r="S1293">
        <v>-3.0025789999999999</v>
      </c>
      <c r="T1293">
        <v>-0.24024490000000001</v>
      </c>
      <c r="U1293">
        <v>6.6314699999999893E-2</v>
      </c>
      <c r="V1293">
        <v>-2.9184219999999999E-3</v>
      </c>
      <c r="W1293">
        <v>-9.0822860000000002E-3</v>
      </c>
      <c r="X1293">
        <v>0.99995449999999997</v>
      </c>
      <c r="Y1293">
        <v>-7.8474409999999994E-2</v>
      </c>
      <c r="Z1293">
        <v>-1.119201E-2</v>
      </c>
      <c r="AA1293">
        <v>0.99685330000000005</v>
      </c>
      <c r="AB1293">
        <v>25</v>
      </c>
      <c r="AC1293">
        <v>-13.514999999999899</v>
      </c>
      <c r="AD1293">
        <v>-1.1010216635361001</v>
      </c>
      <c r="AE1293">
        <v>0.27479999999997001</v>
      </c>
      <c r="AF1293">
        <v>-1.0849492767906701</v>
      </c>
      <c r="AG1293">
        <v>-1.1010216635361001</v>
      </c>
      <c r="AH1293">
        <v>13.384806404228</v>
      </c>
      <c r="AI1293">
        <v>94.687205278163404</v>
      </c>
      <c r="AJ1293">
        <v>94.634165089919804</v>
      </c>
      <c r="AK1293">
        <v>13.473767331947201</v>
      </c>
    </row>
    <row r="1294" spans="1:37" x14ac:dyDescent="0.2">
      <c r="A1294" t="str">
        <f>"20200111160127246"</f>
        <v>20200111160127246</v>
      </c>
      <c r="B1294" t="str">
        <f>"1578729687242662"</f>
        <v>1578729687242662</v>
      </c>
      <c r="C1294" t="s">
        <v>37</v>
      </c>
      <c r="D1294">
        <v>5.5696909999999997</v>
      </c>
      <c r="E1294">
        <v>0.47525529999999999</v>
      </c>
      <c r="F1294" t="s">
        <v>57</v>
      </c>
      <c r="G1294">
        <v>-253.82980000000001</v>
      </c>
      <c r="H1294" s="1">
        <v>5.012273E-7</v>
      </c>
      <c r="I1294">
        <v>283.43299999999999</v>
      </c>
      <c r="J1294">
        <v>-240.26560000000001</v>
      </c>
      <c r="K1294">
        <v>1.10103</v>
      </c>
      <c r="L1294">
        <v>283.12889999999999</v>
      </c>
      <c r="M1294">
        <v>-0.9942588</v>
      </c>
      <c r="N1294">
        <v>0</v>
      </c>
      <c r="O1294">
        <v>0.10607509999999901</v>
      </c>
      <c r="P1294">
        <v>-0.99457779999999996</v>
      </c>
      <c r="Q1294">
        <v>-2.1993430000000001E-2</v>
      </c>
      <c r="R1294">
        <v>0.1016451</v>
      </c>
      <c r="S1294">
        <v>-3.0026090000000001</v>
      </c>
      <c r="T1294">
        <v>-0.23913400000000001</v>
      </c>
      <c r="U1294">
        <v>7.3059079999999998E-2</v>
      </c>
      <c r="V1294">
        <v>-4.5024440000000004E-3</v>
      </c>
      <c r="W1294">
        <v>-7.8959410000000001E-3</v>
      </c>
      <c r="X1294">
        <v>0.99995869999999998</v>
      </c>
      <c r="Y1294">
        <v>-8.1275249999999993E-2</v>
      </c>
      <c r="Z1294">
        <v>-1.1650489999999999E-2</v>
      </c>
      <c r="AA1294">
        <v>0.99662359999999905</v>
      </c>
      <c r="AB1294">
        <v>25</v>
      </c>
      <c r="AC1294">
        <v>-13.5642</v>
      </c>
      <c r="AD1294">
        <v>-1.1010294987726901</v>
      </c>
      <c r="AE1294">
        <v>0.30410000000000498</v>
      </c>
      <c r="AF1294">
        <v>-1.1291459854468699</v>
      </c>
      <c r="AG1294">
        <v>-1.1010294987726901</v>
      </c>
      <c r="AH1294">
        <v>13.431464461085699</v>
      </c>
      <c r="AI1294">
        <v>94.669880873882605</v>
      </c>
      <c r="AJ1294">
        <v>94.8053982215894</v>
      </c>
      <c r="AK1294">
        <v>13.5237374339724</v>
      </c>
    </row>
    <row r="1295" spans="1:37" x14ac:dyDescent="0.2">
      <c r="A1295" t="str">
        <f>"20200111160127268"</f>
        <v>20200111160127268</v>
      </c>
      <c r="B1295" t="str">
        <f>"1578729687262742"</f>
        <v>1578729687262742</v>
      </c>
      <c r="C1295" t="s">
        <v>37</v>
      </c>
      <c r="D1295">
        <v>5.4806410000000003</v>
      </c>
      <c r="E1295">
        <v>0.47427079999999899</v>
      </c>
      <c r="F1295" t="s">
        <v>57</v>
      </c>
      <c r="G1295">
        <v>-254.23400000000001</v>
      </c>
      <c r="H1295" s="1">
        <v>7.163349E-7</v>
      </c>
      <c r="I1295">
        <v>283.5489</v>
      </c>
      <c r="J1295">
        <v>-240.50099999999901</v>
      </c>
      <c r="K1295">
        <v>1.1010469999999899</v>
      </c>
      <c r="L1295">
        <v>283.15910000000002</v>
      </c>
      <c r="M1295">
        <v>-0.99376339999999996</v>
      </c>
      <c r="N1295">
        <v>0</v>
      </c>
      <c r="O1295">
        <v>0.1106192</v>
      </c>
      <c r="P1295">
        <v>-0.99434829999999996</v>
      </c>
      <c r="Q1295">
        <v>-2.0597620000000001E-2</v>
      </c>
      <c r="R1295">
        <v>0.1041501</v>
      </c>
      <c r="S1295">
        <v>-3.0018769999999999</v>
      </c>
      <c r="T1295">
        <v>-0.23661679999999899</v>
      </c>
      <c r="U1295">
        <v>9.0271000000000004E-2</v>
      </c>
      <c r="V1295">
        <v>-6.546138E-3</v>
      </c>
      <c r="W1295">
        <v>-6.4865929999999997E-3</v>
      </c>
      <c r="X1295">
        <v>0.999957599999999</v>
      </c>
      <c r="Y1295">
        <v>-8.0117140000000003E-2</v>
      </c>
      <c r="Z1295">
        <v>-1.183964E-2</v>
      </c>
      <c r="AA1295">
        <v>0.99671509999999996</v>
      </c>
      <c r="AB1295">
        <v>25</v>
      </c>
      <c r="AC1295">
        <v>-13.733000000000001</v>
      </c>
      <c r="AD1295">
        <v>-1.1010462836650901</v>
      </c>
      <c r="AE1295">
        <v>0.389799999999979</v>
      </c>
      <c r="AF1295">
        <v>-1.1246528674604399</v>
      </c>
      <c r="AG1295">
        <v>-1.1010462836650901</v>
      </c>
      <c r="AH1295">
        <v>13.604445749301201</v>
      </c>
      <c r="AI1295">
        <v>94.611362573466806</v>
      </c>
      <c r="AJ1295">
        <v>94.725784006605195</v>
      </c>
      <c r="AK1295">
        <v>13.6951849617571</v>
      </c>
    </row>
    <row r="1296" spans="1:37" x14ac:dyDescent="0.2">
      <c r="A1296" t="str">
        <f>"20200111160127292"</f>
        <v>20200111160127292</v>
      </c>
      <c r="B1296" t="str">
        <f>"1578729687282260"</f>
        <v>1578729687282260</v>
      </c>
      <c r="C1296" t="s">
        <v>37</v>
      </c>
      <c r="D1296">
        <v>5.5703459999999998</v>
      </c>
      <c r="E1296">
        <v>0.47328209999999998</v>
      </c>
      <c r="F1296" t="s">
        <v>57</v>
      </c>
      <c r="G1296">
        <v>-254.45330000000001</v>
      </c>
      <c r="H1296" s="1">
        <v>8.3304630000000004E-7</v>
      </c>
      <c r="I1296">
        <v>283.5763</v>
      </c>
      <c r="J1296">
        <v>-240.7647</v>
      </c>
      <c r="K1296">
        <v>1.101081</v>
      </c>
      <c r="L1296">
        <v>283.19439999999997</v>
      </c>
      <c r="M1296">
        <v>-0.9931894</v>
      </c>
      <c r="N1296">
        <v>0</v>
      </c>
      <c r="O1296">
        <v>0.1156604</v>
      </c>
      <c r="P1296">
        <v>-0.99410189999999998</v>
      </c>
      <c r="Q1296">
        <v>-1.9320339999999998E-2</v>
      </c>
      <c r="R1296">
        <v>0.1067158</v>
      </c>
      <c r="S1296">
        <v>-3.0027469999999998</v>
      </c>
      <c r="T1296">
        <v>-0.23696210000000001</v>
      </c>
      <c r="U1296">
        <v>8.9782710000000002E-2</v>
      </c>
      <c r="V1296">
        <v>-9.0313540000000001E-3</v>
      </c>
      <c r="W1296">
        <v>-5.1944640000000002E-3</v>
      </c>
      <c r="X1296">
        <v>0.99994570000000005</v>
      </c>
      <c r="Y1296">
        <v>-8.5311369999999997E-2</v>
      </c>
      <c r="Z1296">
        <v>-1.2452970000000001E-2</v>
      </c>
      <c r="AA1296">
        <v>0.99627649999999901</v>
      </c>
      <c r="AB1296">
        <v>25</v>
      </c>
      <c r="AC1296">
        <v>-13.688599999999999</v>
      </c>
      <c r="AD1296">
        <v>-1.10108016695369</v>
      </c>
      <c r="AE1296">
        <v>0.38190000000002999</v>
      </c>
      <c r="AF1296">
        <v>-1.1963144069118601</v>
      </c>
      <c r="AG1296">
        <v>-1.10108016695369</v>
      </c>
      <c r="AH1296">
        <v>13.5532655862031</v>
      </c>
      <c r="AI1296">
        <v>94.626653273536604</v>
      </c>
      <c r="AJ1296">
        <v>95.044288516350804</v>
      </c>
      <c r="AK1296">
        <v>13.6504415219582</v>
      </c>
    </row>
    <row r="1297" spans="1:37" x14ac:dyDescent="0.2">
      <c r="A1297" t="str">
        <f>"20200111160127312"</f>
        <v>20200111160127312</v>
      </c>
      <c r="B1297" t="str">
        <f>"1578729687302757"</f>
        <v>1578729687302757</v>
      </c>
      <c r="C1297" t="s">
        <v>37</v>
      </c>
      <c r="D1297">
        <v>5.3992740000000001</v>
      </c>
      <c r="E1297">
        <v>0.47234739999999997</v>
      </c>
      <c r="F1297" t="s">
        <v>57</v>
      </c>
      <c r="G1297">
        <v>-254.87809999999999</v>
      </c>
      <c r="H1297" s="1">
        <v>1.0590909999999999E-6</v>
      </c>
      <c r="I1297">
        <v>283.6173</v>
      </c>
      <c r="J1297">
        <v>-240.99369999999999</v>
      </c>
      <c r="K1297">
        <v>1.1011329999999999</v>
      </c>
      <c r="L1297">
        <v>283.226</v>
      </c>
      <c r="M1297">
        <v>-0.99267830000000001</v>
      </c>
      <c r="N1297">
        <v>0</v>
      </c>
      <c r="O1297">
        <v>0.119968899999999</v>
      </c>
      <c r="P1297">
        <v>-0.99394259999999901</v>
      </c>
      <c r="Q1297">
        <v>-1.9459150000000001E-2</v>
      </c>
      <c r="R1297">
        <v>0.10816489999999999</v>
      </c>
      <c r="S1297">
        <v>-3.00360099999999</v>
      </c>
      <c r="T1297">
        <v>-0.23433129999999999</v>
      </c>
      <c r="U1297">
        <v>8.9996339999999994E-2</v>
      </c>
      <c r="V1297">
        <v>-1.1911720000000001E-2</v>
      </c>
      <c r="W1297">
        <v>-5.3176859999999899E-3</v>
      </c>
      <c r="X1297">
        <v>0.99991489999999905</v>
      </c>
      <c r="Y1297">
        <v>-8.9559669999999994E-2</v>
      </c>
      <c r="Z1297">
        <v>-1.281057E-2</v>
      </c>
      <c r="AA1297">
        <v>0.99589910000000004</v>
      </c>
      <c r="AB1297">
        <v>25</v>
      </c>
      <c r="AC1297">
        <v>-13.884399999999999</v>
      </c>
      <c r="AD1297">
        <v>-1.1011319409089999</v>
      </c>
      <c r="AE1297">
        <v>0.39130000000000098</v>
      </c>
      <c r="AF1297">
        <v>-1.2694094007996399</v>
      </c>
      <c r="AG1297">
        <v>-1.1011319409089999</v>
      </c>
      <c r="AH1297">
        <v>13.7446704521287</v>
      </c>
      <c r="AI1297">
        <v>94.561047311399804</v>
      </c>
      <c r="AJ1297">
        <v>95.276667735748703</v>
      </c>
      <c r="AK1297">
        <v>13.8470161990137</v>
      </c>
    </row>
    <row r="1298" spans="1:37" x14ac:dyDescent="0.2">
      <c r="A1298" t="str">
        <f>"20200111160127335"</f>
        <v>20200111160127335</v>
      </c>
      <c r="B1298" t="str">
        <f>"1578729687332037"</f>
        <v>1578729687332037</v>
      </c>
      <c r="C1298" t="s">
        <v>37</v>
      </c>
      <c r="D1298">
        <v>5.4009489999999998</v>
      </c>
      <c r="E1298">
        <v>0.47059399999999901</v>
      </c>
      <c r="F1298" t="s">
        <v>57</v>
      </c>
      <c r="G1298">
        <v>-254.96680000000001</v>
      </c>
      <c r="H1298" s="1">
        <v>1.106287E-6</v>
      </c>
      <c r="I1298">
        <v>283.63060000000002</v>
      </c>
      <c r="J1298">
        <v>-241.2473</v>
      </c>
      <c r="K1298">
        <v>1.1011979999999999</v>
      </c>
      <c r="L1298">
        <v>283.26220000000001</v>
      </c>
      <c r="M1298">
        <v>-0.99210039999999999</v>
      </c>
      <c r="N1298">
        <v>0</v>
      </c>
      <c r="O1298">
        <v>0.124657899999999</v>
      </c>
      <c r="P1298">
        <v>-0.99368860000000003</v>
      </c>
      <c r="Q1298">
        <v>-1.9917850000000001E-2</v>
      </c>
      <c r="R1298">
        <v>0.1103927</v>
      </c>
      <c r="S1298">
        <v>-3.0041959999999999</v>
      </c>
      <c r="T1298">
        <v>-0.23674189999999901</v>
      </c>
      <c r="U1298">
        <v>8.69751E-2</v>
      </c>
      <c r="V1298">
        <v>-1.4395760000000001E-2</v>
      </c>
      <c r="W1298">
        <v>-5.7673100000000003E-3</v>
      </c>
      <c r="X1298">
        <v>0.99987969999999904</v>
      </c>
      <c r="Y1298">
        <v>-9.5225690000000002E-2</v>
      </c>
      <c r="Z1298">
        <v>-1.3529070000000001E-2</v>
      </c>
      <c r="AA1298">
        <v>0.99536380000000002</v>
      </c>
      <c r="AB1298">
        <v>25</v>
      </c>
      <c r="AC1298">
        <v>-13.7195</v>
      </c>
      <c r="AD1298">
        <v>-1.1011968937129999</v>
      </c>
      <c r="AE1298">
        <v>0.368400000000008</v>
      </c>
      <c r="AF1298">
        <v>-1.33628410025845</v>
      </c>
      <c r="AG1298">
        <v>-1.1011968937129999</v>
      </c>
      <c r="AH1298">
        <v>13.5710241042752</v>
      </c>
      <c r="AI1298">
        <v>94.616771845850593</v>
      </c>
      <c r="AJ1298">
        <v>95.623556972916305</v>
      </c>
      <c r="AK1298">
        <v>13.6810447347469</v>
      </c>
    </row>
    <row r="1299" spans="1:37" x14ac:dyDescent="0.2">
      <c r="A1299" t="str">
        <f>"20200111160127356"</f>
        <v>20200111160127356</v>
      </c>
      <c r="B1299" t="str">
        <f>"1578729687352533"</f>
        <v>1578729687352533</v>
      </c>
      <c r="C1299" t="s">
        <v>37</v>
      </c>
      <c r="D1299">
        <v>5.5406420000000001</v>
      </c>
      <c r="E1299">
        <v>0.47022449999999999</v>
      </c>
      <c r="F1299" t="s">
        <v>57</v>
      </c>
      <c r="G1299">
        <v>-255.1952</v>
      </c>
      <c r="H1299" s="1">
        <v>1.2278609999999999E-6</v>
      </c>
      <c r="I1299">
        <v>283.6343</v>
      </c>
      <c r="J1299">
        <v>-241.476</v>
      </c>
      <c r="K1299">
        <v>1.1012709999999899</v>
      </c>
      <c r="L1299">
        <v>283.29570000000001</v>
      </c>
      <c r="M1299">
        <v>-0.99157359999999894</v>
      </c>
      <c r="N1299">
        <v>0</v>
      </c>
      <c r="O1299">
        <v>0.12878249999999999</v>
      </c>
      <c r="P1299">
        <v>-0.99347909999999995</v>
      </c>
      <c r="Q1299">
        <v>-2.1501920000000001E-2</v>
      </c>
      <c r="R1299">
        <v>0.11196829999999899</v>
      </c>
      <c r="S1299">
        <v>-3.0053559999999999</v>
      </c>
      <c r="T1299">
        <v>-0.2372745</v>
      </c>
      <c r="U1299">
        <v>8.0169679999999993E-2</v>
      </c>
      <c r="V1299">
        <v>-1.6974429999999999E-2</v>
      </c>
      <c r="W1299">
        <v>-7.3435509999999898E-3</v>
      </c>
      <c r="X1299">
        <v>0.99982890000000002</v>
      </c>
      <c r="Y1299">
        <v>-0.10159119999999899</v>
      </c>
      <c r="Z1299">
        <v>-1.412865E-2</v>
      </c>
      <c r="AA1299">
        <v>0.99472590000000005</v>
      </c>
      <c r="AB1299">
        <v>25</v>
      </c>
      <c r="AC1299">
        <v>-13.719200000000001</v>
      </c>
      <c r="AD1299">
        <v>-1.1012697721389999</v>
      </c>
      <c r="AE1299">
        <v>0.33859999999998502</v>
      </c>
      <c r="AF1299">
        <v>-1.42202949586571</v>
      </c>
      <c r="AG1299">
        <v>-1.1012697721389999</v>
      </c>
      <c r="AH1299">
        <v>13.561215691008201</v>
      </c>
      <c r="AI1299">
        <v>94.617442127804594</v>
      </c>
      <c r="AJ1299">
        <v>95.986160645277707</v>
      </c>
      <c r="AK1299">
        <v>13.679968348508201</v>
      </c>
    </row>
    <row r="1300" spans="1:37" x14ac:dyDescent="0.2">
      <c r="A1300" t="str">
        <f>"20200111160127379"</f>
        <v>20200111160127379</v>
      </c>
      <c r="B1300" t="str">
        <f>"1578729687372490"</f>
        <v>1578729687372490</v>
      </c>
      <c r="C1300" t="s">
        <v>37</v>
      </c>
      <c r="D1300">
        <v>5.3302509999999996</v>
      </c>
      <c r="E1300">
        <v>0.46977479999999899</v>
      </c>
      <c r="F1300" t="s">
        <v>57</v>
      </c>
      <c r="G1300">
        <v>-255.1927</v>
      </c>
      <c r="H1300" s="1">
        <v>1.2265E-6</v>
      </c>
      <c r="I1300">
        <v>283.67250000000001</v>
      </c>
      <c r="J1300">
        <v>-241.72909999999999</v>
      </c>
      <c r="K1300">
        <v>1.101383</v>
      </c>
      <c r="L1300">
        <v>283.3338</v>
      </c>
      <c r="M1300">
        <v>-0.99099219999999899</v>
      </c>
      <c r="N1300">
        <v>0</v>
      </c>
      <c r="O1300">
        <v>0.13318339999999901</v>
      </c>
      <c r="P1300">
        <v>-0.99329429999999996</v>
      </c>
      <c r="Q1300">
        <v>-2.303552E-2</v>
      </c>
      <c r="R1300">
        <v>0.1132966</v>
      </c>
      <c r="S1300">
        <v>-3.0051730000000001</v>
      </c>
      <c r="T1300">
        <v>-0.24127570000000001</v>
      </c>
      <c r="U1300">
        <v>8.255005E-2</v>
      </c>
      <c r="V1300">
        <v>-2.007921E-2</v>
      </c>
      <c r="W1300">
        <v>-8.8707270000000001E-3</v>
      </c>
      <c r="X1300">
        <v>0.99975899999999995</v>
      </c>
      <c r="Y1300">
        <v>-0.1051681</v>
      </c>
      <c r="Z1300">
        <v>-1.4860180000000001E-2</v>
      </c>
      <c r="AA1300">
        <v>0.99434339999999999</v>
      </c>
      <c r="AB1300">
        <v>25</v>
      </c>
      <c r="AC1300">
        <v>-13.4636</v>
      </c>
      <c r="AD1300">
        <v>-1.1013817735</v>
      </c>
      <c r="AE1300">
        <v>0.33870000000001699</v>
      </c>
      <c r="AF1300">
        <v>-1.4479388662046</v>
      </c>
      <c r="AG1300">
        <v>-1.1013817735</v>
      </c>
      <c r="AH1300">
        <v>13.2998027929863</v>
      </c>
      <c r="AI1300">
        <v>94.706287350691298</v>
      </c>
      <c r="AJ1300">
        <v>96.213275065263801</v>
      </c>
      <c r="AK1300">
        <v>13.4236479059751</v>
      </c>
    </row>
    <row r="1301" spans="1:37" x14ac:dyDescent="0.2">
      <c r="A1301" t="str">
        <f>"20200111160127401"</f>
        <v>20200111160127401</v>
      </c>
      <c r="B1301" t="str">
        <f>"1578729687392011"</f>
        <v>1578729687392011</v>
      </c>
      <c r="C1301" t="s">
        <v>37</v>
      </c>
      <c r="D1301">
        <v>5.3703810000000001</v>
      </c>
      <c r="E1301">
        <v>0.46942739999999999</v>
      </c>
      <c r="F1301" t="s">
        <v>57</v>
      </c>
      <c r="G1301">
        <v>-255.20670000000001</v>
      </c>
      <c r="H1301" s="1">
        <v>1.2339650000000001E-6</v>
      </c>
      <c r="I1301">
        <v>283.709</v>
      </c>
      <c r="J1301">
        <v>-241.97880000000001</v>
      </c>
      <c r="K1301">
        <v>1.101529</v>
      </c>
      <c r="L1301">
        <v>283.37220000000002</v>
      </c>
      <c r="M1301">
        <v>-0.9904288</v>
      </c>
      <c r="N1301">
        <v>0</v>
      </c>
      <c r="O1301">
        <v>0.1373115</v>
      </c>
      <c r="P1301">
        <v>-0.99307440000000002</v>
      </c>
      <c r="Q1301">
        <v>-2.3926920000000001E-2</v>
      </c>
      <c r="R1301">
        <v>0.1150262</v>
      </c>
      <c r="S1301">
        <v>-3.00502</v>
      </c>
      <c r="T1301">
        <v>-0.24556810000000001</v>
      </c>
      <c r="U1301">
        <v>8.3648680000000003E-2</v>
      </c>
      <c r="V1301">
        <v>-2.2503570000000001E-2</v>
      </c>
      <c r="W1301">
        <v>-9.7653510000000002E-3</v>
      </c>
      <c r="X1301">
        <v>0.99969909999999995</v>
      </c>
      <c r="Y1301">
        <v>-0.1088927</v>
      </c>
      <c r="Z1301">
        <v>-1.5610290000000001E-2</v>
      </c>
      <c r="AA1301">
        <v>0.99393089999999995</v>
      </c>
      <c r="AB1301">
        <v>25</v>
      </c>
      <c r="AC1301">
        <v>-13.2279</v>
      </c>
      <c r="AD1301">
        <v>-1.101527766035</v>
      </c>
      <c r="AE1301">
        <v>0.336799999999982</v>
      </c>
      <c r="AF1301">
        <v>-1.4727062359557701</v>
      </c>
      <c r="AG1301">
        <v>-1.101527766035</v>
      </c>
      <c r="AH1301">
        <v>13.0583374353737</v>
      </c>
      <c r="AI1301">
        <v>94.791501376502097</v>
      </c>
      <c r="AJ1301">
        <v>96.434571967629196</v>
      </c>
      <c r="AK1301">
        <v>13.1872060593914</v>
      </c>
    </row>
    <row r="1302" spans="1:37" x14ac:dyDescent="0.2">
      <c r="A1302" t="str">
        <f>"20200111160127423"</f>
        <v>20200111160127423</v>
      </c>
      <c r="B1302" t="str">
        <f>"1578729687412506"</f>
        <v>1578729687412506</v>
      </c>
      <c r="C1302" t="s">
        <v>37</v>
      </c>
      <c r="D1302">
        <v>5.9127970000000003</v>
      </c>
      <c r="E1302">
        <v>0.46905569999999902</v>
      </c>
      <c r="F1302" t="s">
        <v>57</v>
      </c>
      <c r="G1302">
        <v>-255.30629999999999</v>
      </c>
      <c r="H1302" s="1">
        <v>1.286949E-6</v>
      </c>
      <c r="I1302">
        <v>283.75479999999999</v>
      </c>
      <c r="J1302">
        <v>-242.21170000000001</v>
      </c>
      <c r="K1302">
        <v>1.101696</v>
      </c>
      <c r="L1302">
        <v>283.40870000000001</v>
      </c>
      <c r="M1302">
        <v>-0.98992029999999998</v>
      </c>
      <c r="N1302">
        <v>0</v>
      </c>
      <c r="O1302">
        <v>0.1409319</v>
      </c>
      <c r="P1302">
        <v>-0.99294079999999996</v>
      </c>
      <c r="Q1302">
        <v>-2.4073319999999999E-2</v>
      </c>
      <c r="R1302">
        <v>0.11614289999999899</v>
      </c>
      <c r="S1302">
        <v>-3.0049739999999998</v>
      </c>
      <c r="T1302">
        <v>-0.2483639</v>
      </c>
      <c r="U1302">
        <v>8.627319E-2</v>
      </c>
      <c r="V1302">
        <v>-2.5030409999999999E-2</v>
      </c>
      <c r="W1302">
        <v>-9.9182339999999997E-3</v>
      </c>
      <c r="X1302">
        <v>0.99963749999999996</v>
      </c>
      <c r="Y1302">
        <v>-0.111618699999999</v>
      </c>
      <c r="Z1302">
        <v>-1.6195910000000001E-2</v>
      </c>
      <c r="AA1302">
        <v>0.99361909999999898</v>
      </c>
      <c r="AB1302">
        <v>25</v>
      </c>
      <c r="AC1302">
        <v>-13.0945999999999</v>
      </c>
      <c r="AD1302">
        <v>-1.101694713051</v>
      </c>
      <c r="AE1302">
        <v>0.34609999999997798</v>
      </c>
      <c r="AF1302">
        <v>-1.49242605507411</v>
      </c>
      <c r="AG1302">
        <v>-1.101694713051</v>
      </c>
      <c r="AH1302">
        <v>12.9212635443662</v>
      </c>
      <c r="AI1302">
        <v>94.841343206323501</v>
      </c>
      <c r="AJ1302">
        <v>96.588556783638396</v>
      </c>
      <c r="AK1302">
        <v>13.053739630986801</v>
      </c>
    </row>
    <row r="1303" spans="1:37" x14ac:dyDescent="0.2">
      <c r="A1303" t="str">
        <f>"20200111160127446"</f>
        <v>20200111160127446</v>
      </c>
      <c r="B1303" t="str">
        <f>"1578729687442763"</f>
        <v>1578729687442763</v>
      </c>
      <c r="C1303" t="s">
        <v>37</v>
      </c>
      <c r="D1303">
        <v>5.43337</v>
      </c>
      <c r="E1303">
        <v>0.46743770000000001</v>
      </c>
      <c r="F1303" t="s">
        <v>57</v>
      </c>
      <c r="G1303">
        <v>-255.5309</v>
      </c>
      <c r="H1303" s="1">
        <v>1.4065049999999999E-6</v>
      </c>
      <c r="I1303">
        <v>283.79610000000002</v>
      </c>
      <c r="J1303">
        <v>-242.46619999999999</v>
      </c>
      <c r="K1303">
        <v>1.101918</v>
      </c>
      <c r="L1303">
        <v>283.44929999999999</v>
      </c>
      <c r="M1303">
        <v>-0.98939169999999999</v>
      </c>
      <c r="N1303">
        <v>0</v>
      </c>
      <c r="O1303">
        <v>0.14459729999999901</v>
      </c>
      <c r="P1303">
        <v>-0.99292389999999997</v>
      </c>
      <c r="Q1303">
        <v>-2.461491E-2</v>
      </c>
      <c r="R1303">
        <v>0.116173</v>
      </c>
      <c r="S1303">
        <v>-3.005096</v>
      </c>
      <c r="T1303">
        <v>-0.24856549999999999</v>
      </c>
      <c r="U1303">
        <v>8.7402339999999995E-2</v>
      </c>
      <c r="V1303">
        <v>-2.8697050000000002E-2</v>
      </c>
      <c r="W1303">
        <v>-1.0468069999999999E-2</v>
      </c>
      <c r="X1303">
        <v>0.99953340000000002</v>
      </c>
      <c r="Y1303">
        <v>-0.1149015</v>
      </c>
      <c r="Z1303">
        <v>-1.6643649999999999E-2</v>
      </c>
      <c r="AA1303">
        <v>0.99323739999999905</v>
      </c>
      <c r="AB1303">
        <v>25</v>
      </c>
      <c r="AC1303">
        <v>-13.0647</v>
      </c>
      <c r="AD1303">
        <v>-1.1019165934949999</v>
      </c>
      <c r="AE1303">
        <v>0.34680000000002997</v>
      </c>
      <c r="AF1303">
        <v>-1.5352369890262501</v>
      </c>
      <c r="AG1303">
        <v>-1.1019165934949999</v>
      </c>
      <c r="AH1303">
        <v>12.8859192458895</v>
      </c>
      <c r="AI1303">
        <v>94.853497308433106</v>
      </c>
      <c r="AJ1303">
        <v>96.794231162593803</v>
      </c>
      <c r="AK1303">
        <v>13.023750903755699</v>
      </c>
    </row>
    <row r="1304" spans="1:37" x14ac:dyDescent="0.2">
      <c r="A1304" t="str">
        <f>"20200111160127467"</f>
        <v>20200111160127467</v>
      </c>
      <c r="B1304" t="str">
        <f>"1578729687462282"</f>
        <v>1578729687462282</v>
      </c>
      <c r="C1304" t="s">
        <v>37</v>
      </c>
      <c r="D1304">
        <v>5.6973479999999999</v>
      </c>
      <c r="E1304">
        <v>0.46718859999999901</v>
      </c>
      <c r="F1304" t="s">
        <v>57</v>
      </c>
      <c r="G1304">
        <v>-261.8571</v>
      </c>
      <c r="H1304" s="1">
        <v>-5.4852369999999896E-7</v>
      </c>
      <c r="I1304">
        <v>283.97739999999999</v>
      </c>
      <c r="J1304">
        <v>-242.6943</v>
      </c>
      <c r="K1304">
        <v>1.102142</v>
      </c>
      <c r="L1304">
        <v>283.48630000000003</v>
      </c>
      <c r="M1304">
        <v>-0.98895080000000002</v>
      </c>
      <c r="N1304">
        <v>0</v>
      </c>
      <c r="O1304">
        <v>0.14758389999999999</v>
      </c>
      <c r="P1304">
        <v>-0.99313719999999905</v>
      </c>
      <c r="Q1304">
        <v>-2.370736E-2</v>
      </c>
      <c r="R1304">
        <v>0.1145275</v>
      </c>
      <c r="S1304">
        <v>-3.007568</v>
      </c>
      <c r="T1304">
        <v>-0.17090920000000001</v>
      </c>
      <c r="U1304">
        <v>8.1909179999999998E-2</v>
      </c>
      <c r="V1304">
        <v>-3.3362589999999998E-2</v>
      </c>
      <c r="W1304">
        <v>-9.5669910000000004E-3</v>
      </c>
      <c r="X1304">
        <v>0.99939750000000005</v>
      </c>
      <c r="Y1304">
        <v>-0.1201875</v>
      </c>
      <c r="Z1304">
        <v>-1.176341E-2</v>
      </c>
      <c r="AA1304">
        <v>0.99268149999999999</v>
      </c>
      <c r="AB1304">
        <v>25</v>
      </c>
      <c r="AC1304">
        <v>-19.162800000000001</v>
      </c>
      <c r="AD1304">
        <v>-1.1021425485237</v>
      </c>
      <c r="AE1304">
        <v>0.49109999999996001</v>
      </c>
      <c r="AF1304">
        <v>-2.3349569758244502</v>
      </c>
      <c r="AG1304">
        <v>-1.1021425485237</v>
      </c>
      <c r="AH1304">
        <v>18.962716483375399</v>
      </c>
      <c r="AI1304">
        <v>93.301498746321798</v>
      </c>
      <c r="AJ1304">
        <v>97.0197286801518</v>
      </c>
      <c r="AK1304">
        <v>19.1376947071766</v>
      </c>
    </row>
    <row r="1305" spans="1:37" x14ac:dyDescent="0.2">
      <c r="A1305" t="str">
        <f>"20200111160127491"</f>
        <v>20200111160127491</v>
      </c>
      <c r="B1305" t="str">
        <f>"1578729687482779"</f>
        <v>1578729687482779</v>
      </c>
      <c r="C1305" t="s">
        <v>37</v>
      </c>
      <c r="D1305">
        <v>5.490659</v>
      </c>
      <c r="E1305">
        <v>0.46595449999999999</v>
      </c>
      <c r="F1305" t="s">
        <v>57</v>
      </c>
      <c r="G1305">
        <v>-260.32650000000001</v>
      </c>
      <c r="H1305" s="1">
        <v>-1.3630619999999999E-6</v>
      </c>
      <c r="I1305">
        <v>283.91890000000001</v>
      </c>
      <c r="J1305">
        <v>-242.94749999999999</v>
      </c>
      <c r="K1305">
        <v>1.102406</v>
      </c>
      <c r="L1305">
        <v>283.52769999999998</v>
      </c>
      <c r="M1305">
        <v>-0.98850579999999999</v>
      </c>
      <c r="N1305">
        <v>0</v>
      </c>
      <c r="O1305">
        <v>0.1505368</v>
      </c>
      <c r="P1305">
        <v>-0.99327109999999996</v>
      </c>
      <c r="Q1305">
        <v>-2.2791160000000001E-2</v>
      </c>
      <c r="R1305">
        <v>0.11354839999999999</v>
      </c>
      <c r="S1305">
        <v>-3.007736</v>
      </c>
      <c r="T1305">
        <v>-0.18800600000000001</v>
      </c>
      <c r="U1305">
        <v>7.3791499999999996E-2</v>
      </c>
      <c r="V1305">
        <v>-3.7324669999999997E-2</v>
      </c>
      <c r="W1305">
        <v>-8.6710699999999995E-3</v>
      </c>
      <c r="X1305">
        <v>0.99926559999999898</v>
      </c>
      <c r="Y1305">
        <v>-0.12572249999999999</v>
      </c>
      <c r="Z1305">
        <v>-1.3293599999999999E-2</v>
      </c>
      <c r="AA1305">
        <v>0.99197639999999998</v>
      </c>
      <c r="AB1305">
        <v>25</v>
      </c>
      <c r="AC1305">
        <v>-17.379000000000001</v>
      </c>
      <c r="AD1305">
        <v>-1.1024073630619999</v>
      </c>
      <c r="AE1305">
        <v>0.39120000000002603</v>
      </c>
      <c r="AF1305">
        <v>-2.2207615947863402</v>
      </c>
      <c r="AG1305">
        <v>-1.1024073630619999</v>
      </c>
      <c r="AH1305">
        <v>17.170756449990701</v>
      </c>
      <c r="AI1305">
        <v>93.643235142898106</v>
      </c>
      <c r="AJ1305">
        <v>97.369380771691098</v>
      </c>
      <c r="AK1305">
        <v>17.348831693226799</v>
      </c>
    </row>
    <row r="1306" spans="1:37" x14ac:dyDescent="0.2">
      <c r="A1306" t="str">
        <f>"20200111160127514"</f>
        <v>20200111160127514</v>
      </c>
      <c r="B1306" t="str">
        <f>"1578729687502298"</f>
        <v>1578729687502298</v>
      </c>
      <c r="C1306" t="s">
        <v>37</v>
      </c>
      <c r="D1306">
        <v>5.4093029999999898</v>
      </c>
      <c r="E1306">
        <v>0.46552669999999902</v>
      </c>
      <c r="F1306" t="s">
        <v>57</v>
      </c>
      <c r="G1306">
        <v>-259.8143</v>
      </c>
      <c r="H1306" s="1">
        <v>3.6858809999999998E-6</v>
      </c>
      <c r="I1306">
        <v>283.86610000000002</v>
      </c>
      <c r="J1306">
        <v>-243.1927</v>
      </c>
      <c r="K1306">
        <v>1.1026590000000001</v>
      </c>
      <c r="L1306">
        <v>283.56810000000002</v>
      </c>
      <c r="M1306">
        <v>-0.98812619999999896</v>
      </c>
      <c r="N1306">
        <v>0</v>
      </c>
      <c r="O1306">
        <v>0.15301120000000001</v>
      </c>
      <c r="P1306">
        <v>-0.99349599999999905</v>
      </c>
      <c r="Q1306">
        <v>-2.232493E-2</v>
      </c>
      <c r="R1306">
        <v>0.11165899999999999</v>
      </c>
      <c r="S1306">
        <v>-3.0089109999999999</v>
      </c>
      <c r="T1306">
        <v>-0.19666029999999901</v>
      </c>
      <c r="U1306">
        <v>6.0363769999999997E-2</v>
      </c>
      <c r="V1306">
        <v>-4.172004E-2</v>
      </c>
      <c r="W1306">
        <v>-8.2281139999999999E-3</v>
      </c>
      <c r="X1306">
        <v>0.99909539999999997</v>
      </c>
      <c r="Y1306">
        <v>-0.1325672</v>
      </c>
      <c r="Z1306">
        <v>-1.428376E-2</v>
      </c>
      <c r="AA1306">
        <v>0.99107109999999998</v>
      </c>
      <c r="AB1306">
        <v>24</v>
      </c>
      <c r="AC1306">
        <v>-16.621600000000001</v>
      </c>
      <c r="AD1306">
        <v>-1.1026553141190001</v>
      </c>
      <c r="AE1306">
        <v>0.29800000000000099</v>
      </c>
      <c r="AF1306">
        <v>-2.2391965899325101</v>
      </c>
      <c r="AG1306">
        <v>-1.1026553141190001</v>
      </c>
      <c r="AH1306">
        <v>16.399287946131398</v>
      </c>
      <c r="AI1306">
        <v>93.811403943157998</v>
      </c>
      <c r="AJ1306">
        <v>97.775215901124099</v>
      </c>
      <c r="AK1306">
        <v>16.588143212856899</v>
      </c>
    </row>
    <row r="1307" spans="1:37" x14ac:dyDescent="0.2">
      <c r="A1307" t="str">
        <f>"20200111160127535"</f>
        <v>20200111160127535</v>
      </c>
      <c r="B1307" t="str">
        <f>"1578729687532554"</f>
        <v>1578729687532554</v>
      </c>
      <c r="C1307" t="s">
        <v>37</v>
      </c>
      <c r="D1307">
        <v>5.4628550000000002</v>
      </c>
      <c r="E1307">
        <v>0.46542669999999903</v>
      </c>
      <c r="F1307" t="s">
        <v>57</v>
      </c>
      <c r="G1307">
        <v>-259.57839999999999</v>
      </c>
      <c r="H1307" s="1">
        <v>3.560344E-6</v>
      </c>
      <c r="I1307">
        <v>283.84609999999998</v>
      </c>
      <c r="J1307">
        <v>-243.42850000000001</v>
      </c>
      <c r="K1307">
        <v>1.102884</v>
      </c>
      <c r="L1307">
        <v>283.60719999999998</v>
      </c>
      <c r="M1307">
        <v>-0.98779950000000005</v>
      </c>
      <c r="N1307">
        <v>0</v>
      </c>
      <c r="O1307">
        <v>0.15510760000000001</v>
      </c>
      <c r="P1307">
        <v>-0.99374819999999997</v>
      </c>
      <c r="Q1307">
        <v>-2.1384429999999999E-2</v>
      </c>
      <c r="R1307">
        <v>0.1095776</v>
      </c>
      <c r="S1307">
        <v>-3.0093540000000001</v>
      </c>
      <c r="T1307">
        <v>-0.20251060000000001</v>
      </c>
      <c r="U1307">
        <v>5.1055910000000003E-2</v>
      </c>
      <c r="V1307">
        <v>-4.5927599999999999E-2</v>
      </c>
      <c r="W1307">
        <v>-7.3115699999999999E-3</v>
      </c>
      <c r="X1307">
        <v>0.99891799999999997</v>
      </c>
      <c r="Y1307">
        <v>-0.1376829</v>
      </c>
      <c r="Z1307">
        <v>-1.501807E-2</v>
      </c>
      <c r="AA1307">
        <v>0.99036250000000003</v>
      </c>
      <c r="AB1307">
        <v>24</v>
      </c>
      <c r="AC1307">
        <v>-16.149899999999899</v>
      </c>
      <c r="AD1307">
        <v>-1.1028804396559999</v>
      </c>
      <c r="AE1307">
        <v>0.238900000000001</v>
      </c>
      <c r="AF1307">
        <v>-2.2586756471961502</v>
      </c>
      <c r="AG1307">
        <v>-1.1028804396559999</v>
      </c>
      <c r="AH1307">
        <v>15.9172530800827</v>
      </c>
      <c r="AI1307">
        <v>93.924406898511805</v>
      </c>
      <c r="AJ1307">
        <v>98.076413246928098</v>
      </c>
      <c r="AK1307">
        <v>16.114493679877601</v>
      </c>
    </row>
    <row r="1308" spans="1:37" x14ac:dyDescent="0.2">
      <c r="A1308" t="str">
        <f>"20200111160127557"</f>
        <v>20200111160127557</v>
      </c>
      <c r="B1308" t="str">
        <f>"1578729687552074"</f>
        <v>1578729687552074</v>
      </c>
      <c r="C1308" t="s">
        <v>37</v>
      </c>
      <c r="D1308">
        <v>5.5181519999999997</v>
      </c>
      <c r="E1308">
        <v>0.46536949999999999</v>
      </c>
      <c r="F1308" t="s">
        <v>57</v>
      </c>
      <c r="G1308">
        <v>-259.31580000000002</v>
      </c>
      <c r="H1308" s="1">
        <v>3.420597E-6</v>
      </c>
      <c r="I1308">
        <v>283.8383</v>
      </c>
      <c r="J1308">
        <v>-243.67179999999999</v>
      </c>
      <c r="K1308">
        <v>1.103086</v>
      </c>
      <c r="L1308">
        <v>283.64780000000002</v>
      </c>
      <c r="M1308">
        <v>-0.98750459999999995</v>
      </c>
      <c r="N1308">
        <v>0</v>
      </c>
      <c r="O1308">
        <v>0.1569749</v>
      </c>
      <c r="P1308">
        <v>-0.99394179999999999</v>
      </c>
      <c r="Q1308">
        <v>-1.97197E-2</v>
      </c>
      <c r="R1308">
        <v>0.1081244</v>
      </c>
      <c r="S1308">
        <v>-3.0095669999999899</v>
      </c>
      <c r="T1308">
        <v>-0.208921999999999</v>
      </c>
      <c r="U1308">
        <v>4.3762210000000003E-2</v>
      </c>
      <c r="V1308">
        <v>-4.9272589999999998E-2</v>
      </c>
      <c r="W1308">
        <v>-5.675083E-3</v>
      </c>
      <c r="X1308">
        <v>0.99876919999999902</v>
      </c>
      <c r="Y1308">
        <v>-0.14189789999999999</v>
      </c>
      <c r="Z1308">
        <v>-1.5766430000000001E-2</v>
      </c>
      <c r="AA1308">
        <v>0.98975569999999902</v>
      </c>
      <c r="AB1308">
        <v>24</v>
      </c>
      <c r="AC1308">
        <v>-15.644</v>
      </c>
      <c r="AD1308">
        <v>-1.1030825794029999</v>
      </c>
      <c r="AE1308">
        <v>0.19049999999998499</v>
      </c>
      <c r="AF1308">
        <v>-2.25659732044232</v>
      </c>
      <c r="AG1308">
        <v>-1.1030825794029999</v>
      </c>
      <c r="AH1308">
        <v>15.403351564311199</v>
      </c>
      <c r="AI1308">
        <v>94.053022380557394</v>
      </c>
      <c r="AJ1308">
        <v>98.334566155080594</v>
      </c>
      <c r="AK1308">
        <v>15.606801788238901</v>
      </c>
    </row>
    <row r="1309" spans="1:37" x14ac:dyDescent="0.2">
      <c r="A1309" t="str">
        <f>"20200111160127581"</f>
        <v>20200111160127581</v>
      </c>
      <c r="B1309" t="str">
        <f>"1578729687572571"</f>
        <v>1578729687572571</v>
      </c>
      <c r="C1309" t="s">
        <v>37</v>
      </c>
      <c r="D1309">
        <v>5.4533230000000001</v>
      </c>
      <c r="E1309">
        <v>0.46536279999999902</v>
      </c>
      <c r="F1309" t="s">
        <v>57</v>
      </c>
      <c r="G1309">
        <v>-259.85149999999999</v>
      </c>
      <c r="H1309" s="1">
        <v>3.7057130000000001E-6</v>
      </c>
      <c r="I1309">
        <v>283.85669999999999</v>
      </c>
      <c r="J1309">
        <v>-243.9205</v>
      </c>
      <c r="K1309">
        <v>1.103297</v>
      </c>
      <c r="L1309">
        <v>283.68950000000001</v>
      </c>
      <c r="M1309">
        <v>-0.9872514</v>
      </c>
      <c r="N1309">
        <v>0</v>
      </c>
      <c r="O1309">
        <v>0.15856039999999999</v>
      </c>
      <c r="P1309">
        <v>-0.99404749999999997</v>
      </c>
      <c r="Q1309">
        <v>-1.944512E-2</v>
      </c>
      <c r="R1309">
        <v>0.1071983</v>
      </c>
      <c r="S1309">
        <v>-3.009995</v>
      </c>
      <c r="T1309">
        <v>-0.2052109</v>
      </c>
      <c r="U1309">
        <v>3.8848880000000002E-2</v>
      </c>
      <c r="V1309">
        <v>-5.1803769999999999E-2</v>
      </c>
      <c r="W1309">
        <v>-5.433813E-3</v>
      </c>
      <c r="X1309">
        <v>0.99864249999999899</v>
      </c>
      <c r="Y1309">
        <v>-0.1451181</v>
      </c>
      <c r="Z1309">
        <v>-1.570187E-2</v>
      </c>
      <c r="AA1309">
        <v>0.9892898</v>
      </c>
      <c r="AB1309">
        <v>24</v>
      </c>
      <c r="AC1309">
        <v>-15.9309999999999</v>
      </c>
      <c r="AD1309">
        <v>-1.103293294287</v>
      </c>
      <c r="AE1309">
        <v>0.167199999999979</v>
      </c>
      <c r="AF1309">
        <v>-2.34991609590733</v>
      </c>
      <c r="AG1309">
        <v>-1.103293294287</v>
      </c>
      <c r="AH1309">
        <v>15.6807365997019</v>
      </c>
      <c r="AI1309">
        <v>93.980383836391198</v>
      </c>
      <c r="AJ1309">
        <v>98.522923798679102</v>
      </c>
      <c r="AK1309">
        <v>15.8941769859359</v>
      </c>
    </row>
    <row r="1310" spans="1:37" x14ac:dyDescent="0.2">
      <c r="A1310" t="str">
        <f>"20200111160127603"</f>
        <v>20200111160127603</v>
      </c>
      <c r="B1310" t="str">
        <f>"1578729687592091"</f>
        <v>1578729687592091</v>
      </c>
      <c r="C1310" t="s">
        <v>37</v>
      </c>
      <c r="D1310">
        <v>5.5151500000000002</v>
      </c>
      <c r="E1310">
        <v>0.4652018</v>
      </c>
      <c r="F1310" t="s">
        <v>57</v>
      </c>
      <c r="G1310">
        <v>-259.86799999999999</v>
      </c>
      <c r="H1310" s="1">
        <v>3.7144969999999999E-6</v>
      </c>
      <c r="I1310">
        <v>283.87959999999998</v>
      </c>
      <c r="J1310">
        <v>-244.16040000000001</v>
      </c>
      <c r="K1310">
        <v>1.10351</v>
      </c>
      <c r="L1310">
        <v>283.72969999999998</v>
      </c>
      <c r="M1310">
        <v>-0.98705520000000002</v>
      </c>
      <c r="N1310">
        <v>0</v>
      </c>
      <c r="O1310">
        <v>0.15977920000000001</v>
      </c>
      <c r="P1310">
        <v>-0.99416289999999996</v>
      </c>
      <c r="Q1310">
        <v>-1.96680999999999E-2</v>
      </c>
      <c r="R1310">
        <v>0.10608389999999999</v>
      </c>
      <c r="S1310">
        <v>-3.0100250000000002</v>
      </c>
      <c r="T1310">
        <v>-0.20824090000000001</v>
      </c>
      <c r="U1310">
        <v>3.5888669999999998E-2</v>
      </c>
      <c r="V1310">
        <v>-5.4152599999999898E-2</v>
      </c>
      <c r="W1310">
        <v>-5.6924890000000002E-3</v>
      </c>
      <c r="X1310">
        <v>0.99851639999999997</v>
      </c>
      <c r="Y1310">
        <v>-0.1472832</v>
      </c>
      <c r="Z1310">
        <v>-1.609147E-2</v>
      </c>
      <c r="AA1310">
        <v>0.9889635</v>
      </c>
      <c r="AB1310">
        <v>24</v>
      </c>
      <c r="AC1310">
        <v>-15.7075999999999</v>
      </c>
      <c r="AD1310">
        <v>-1.103506285503</v>
      </c>
      <c r="AE1310">
        <v>0.149900000000002</v>
      </c>
      <c r="AF1310">
        <v>-2.3504163157550102</v>
      </c>
      <c r="AG1310">
        <v>-1.103506285503</v>
      </c>
      <c r="AH1310">
        <v>15.453451696532101</v>
      </c>
      <c r="AI1310">
        <v>94.038181997019706</v>
      </c>
      <c r="AJ1310">
        <v>98.648208135730201</v>
      </c>
      <c r="AK1310">
        <v>15.6700782485782</v>
      </c>
    </row>
    <row r="1311" spans="1:37" x14ac:dyDescent="0.2">
      <c r="A1311" t="str">
        <f>"20200111160127625"</f>
        <v>20200111160127625</v>
      </c>
      <c r="B1311" t="str">
        <f>"1578729687622346"</f>
        <v>1578729687622346</v>
      </c>
      <c r="C1311" t="s">
        <v>37</v>
      </c>
      <c r="D1311">
        <v>5.500826</v>
      </c>
      <c r="E1311">
        <v>0.46494380000000002</v>
      </c>
      <c r="F1311" t="s">
        <v>57</v>
      </c>
      <c r="G1311">
        <v>-259.86070000000001</v>
      </c>
      <c r="H1311" s="1">
        <v>3.710605E-6</v>
      </c>
      <c r="I1311">
        <v>283.89409999999998</v>
      </c>
      <c r="J1311">
        <v>-244.3897</v>
      </c>
      <c r="K1311">
        <v>1.103731</v>
      </c>
      <c r="L1311">
        <v>283.7681</v>
      </c>
      <c r="M1311">
        <v>-0.98691180000000001</v>
      </c>
      <c r="N1311">
        <v>0</v>
      </c>
      <c r="O1311">
        <v>0.16066329999999901</v>
      </c>
      <c r="P1311">
        <v>-0.99438150000000003</v>
      </c>
      <c r="Q1311">
        <v>-2.09655999999999E-2</v>
      </c>
      <c r="R1311">
        <v>0.10376050000000001</v>
      </c>
      <c r="S1311">
        <v>-3.0100250000000002</v>
      </c>
      <c r="T1311">
        <v>-0.211561</v>
      </c>
      <c r="U1311">
        <v>3.1524660000000003E-2</v>
      </c>
      <c r="V1311">
        <v>-5.7374260000000003E-2</v>
      </c>
      <c r="W1311">
        <v>-7.0269750000000004E-3</v>
      </c>
      <c r="X1311">
        <v>0.99832799999999999</v>
      </c>
      <c r="Y1311">
        <v>-0.14957100000000001</v>
      </c>
      <c r="Z1311">
        <v>-1.648958E-2</v>
      </c>
      <c r="AA1311">
        <v>0.98861350000000003</v>
      </c>
      <c r="AB1311">
        <v>24</v>
      </c>
      <c r="AC1311">
        <v>-15.471</v>
      </c>
      <c r="AD1311">
        <v>-1.1037272893950001</v>
      </c>
      <c r="AE1311">
        <v>0.12599999999997599</v>
      </c>
      <c r="AF1311">
        <v>-2.34954070255769</v>
      </c>
      <c r="AG1311">
        <v>-1.1037272893950001</v>
      </c>
      <c r="AH1311">
        <v>15.212804533687599</v>
      </c>
      <c r="AI1311">
        <v>94.101225571326594</v>
      </c>
      <c r="AJ1311">
        <v>98.779673986076503</v>
      </c>
      <c r="AK1311">
        <v>15.432691833329599</v>
      </c>
    </row>
    <row r="1312" spans="1:37" x14ac:dyDescent="0.2">
      <c r="A1312" t="str">
        <f>"20200111160127646"</f>
        <v>20200111160127646</v>
      </c>
      <c r="B1312" t="str">
        <f>"1578729687641867"</f>
        <v>1578729687641867</v>
      </c>
      <c r="C1312" t="s">
        <v>37</v>
      </c>
      <c r="D1312">
        <v>5.4574280000000002</v>
      </c>
      <c r="E1312">
        <v>0.46486830000000001</v>
      </c>
      <c r="F1312" t="s">
        <v>57</v>
      </c>
      <c r="G1312">
        <v>-259.49110000000002</v>
      </c>
      <c r="H1312" s="1">
        <v>3.5138900000000001E-6</v>
      </c>
      <c r="I1312">
        <v>283.88229999999999</v>
      </c>
      <c r="J1312">
        <v>-244.625</v>
      </c>
      <c r="K1312">
        <v>1.103963</v>
      </c>
      <c r="L1312">
        <v>283.8073</v>
      </c>
      <c r="M1312">
        <v>-0.98681079999999999</v>
      </c>
      <c r="N1312">
        <v>0</v>
      </c>
      <c r="O1312">
        <v>0.16128310000000001</v>
      </c>
      <c r="P1312">
        <v>-0.99455260000000001</v>
      </c>
      <c r="Q1312">
        <v>-2.1594149999999999E-2</v>
      </c>
      <c r="R1312">
        <v>0.1019752</v>
      </c>
      <c r="S1312">
        <v>-3.0099640000000001</v>
      </c>
      <c r="T1312">
        <v>-0.21999250000000001</v>
      </c>
      <c r="U1312">
        <v>2.2766109999999999E-2</v>
      </c>
      <c r="V1312">
        <v>-5.9787319999999998E-2</v>
      </c>
      <c r="W1312">
        <v>-7.6973349999999996E-3</v>
      </c>
      <c r="X1312">
        <v>0.99818150000000005</v>
      </c>
      <c r="Y1312">
        <v>-0.15299450000000001</v>
      </c>
      <c r="Z1312">
        <v>-1.731601E-2</v>
      </c>
      <c r="AA1312">
        <v>0.98807529999999999</v>
      </c>
      <c r="AB1312">
        <v>24</v>
      </c>
      <c r="AC1312">
        <v>-14.866099999999999</v>
      </c>
      <c r="AD1312">
        <v>-1.1039594861099999</v>
      </c>
      <c r="AE1312">
        <v>7.4999999999988604E-2</v>
      </c>
      <c r="AF1312">
        <v>-2.31111870792689</v>
      </c>
      <c r="AG1312">
        <v>-1.1039594861099999</v>
      </c>
      <c r="AH1312">
        <v>14.603008113995401</v>
      </c>
      <c r="AI1312">
        <v>94.270279680390203</v>
      </c>
      <c r="AJ1312">
        <v>98.993222980087594</v>
      </c>
      <c r="AK1312">
        <v>14.825917921212101</v>
      </c>
    </row>
    <row r="1313" spans="1:37" x14ac:dyDescent="0.2">
      <c r="A1313" t="str">
        <f>"20200111160127670"</f>
        <v>20200111160127670</v>
      </c>
      <c r="B1313" t="str">
        <f>"1578729687662362"</f>
        <v>1578729687662362</v>
      </c>
      <c r="C1313" t="s">
        <v>37</v>
      </c>
      <c r="D1313">
        <v>5.4469589999999997</v>
      </c>
      <c r="E1313">
        <v>0.46489750000000002</v>
      </c>
      <c r="F1313" t="s">
        <v>57</v>
      </c>
      <c r="G1313">
        <v>-259.40120000000002</v>
      </c>
      <c r="H1313" s="1">
        <v>3.4660529999999999E-6</v>
      </c>
      <c r="I1313">
        <v>283.89319999999998</v>
      </c>
      <c r="J1313">
        <v>-244.86920000000001</v>
      </c>
      <c r="K1313">
        <v>1.1042019999999999</v>
      </c>
      <c r="L1313">
        <v>283.84789999999998</v>
      </c>
      <c r="M1313">
        <v>-0.98675469999999899</v>
      </c>
      <c r="N1313">
        <v>0</v>
      </c>
      <c r="O1313">
        <v>0.16162739999999901</v>
      </c>
      <c r="P1313">
        <v>-0.994645</v>
      </c>
      <c r="Q1313">
        <v>-1.8820880000000002E-2</v>
      </c>
      <c r="R1313">
        <v>0.1016237</v>
      </c>
      <c r="S1313">
        <v>-3.0097659999999999</v>
      </c>
      <c r="T1313">
        <v>-0.22486539999999999</v>
      </c>
      <c r="U1313">
        <v>1.748657E-2</v>
      </c>
      <c r="V1313">
        <v>-6.0491839999999998E-2</v>
      </c>
      <c r="W1313">
        <v>-4.9667519999999996E-3</v>
      </c>
      <c r="X1313">
        <v>0.9981563</v>
      </c>
      <c r="Y1313">
        <v>-0.15502739999999901</v>
      </c>
      <c r="Z1313">
        <v>-1.7801460000000002E-2</v>
      </c>
      <c r="AA1313">
        <v>0.98774980000000001</v>
      </c>
      <c r="AB1313">
        <v>24</v>
      </c>
      <c r="AC1313">
        <v>-14.532</v>
      </c>
      <c r="AD1313">
        <v>-1.104198533947</v>
      </c>
      <c r="AE1313">
        <v>4.5299999999997398E-2</v>
      </c>
      <c r="AF1313">
        <v>-2.29106286182413</v>
      </c>
      <c r="AG1313">
        <v>-1.104198533947</v>
      </c>
      <c r="AH1313">
        <v>14.265852759305799</v>
      </c>
      <c r="AI1313">
        <v>94.370178158960996</v>
      </c>
      <c r="AJ1313">
        <v>99.123663588933994</v>
      </c>
      <c r="AK1313">
        <v>14.4907825319889</v>
      </c>
    </row>
    <row r="1314" spans="1:37" x14ac:dyDescent="0.2">
      <c r="A1314" t="str">
        <f>"20200111160127691"</f>
        <v>20200111160127691</v>
      </c>
      <c r="B1314" t="str">
        <f>"1578729687681883"</f>
        <v>1578729687681883</v>
      </c>
      <c r="C1314" t="s">
        <v>37</v>
      </c>
      <c r="D1314">
        <v>5.4446940000000001</v>
      </c>
      <c r="E1314">
        <v>0.46484569999999997</v>
      </c>
      <c r="F1314" t="s">
        <v>57</v>
      </c>
      <c r="G1314">
        <v>-260.19049999999999</v>
      </c>
      <c r="H1314" s="1">
        <v>-1.435406E-6</v>
      </c>
      <c r="I1314">
        <v>283.93290000000002</v>
      </c>
      <c r="J1314">
        <v>-245.10900000000001</v>
      </c>
      <c r="K1314">
        <v>1.104427</v>
      </c>
      <c r="L1314">
        <v>283.88740000000001</v>
      </c>
      <c r="M1314">
        <v>-0.98675360000000001</v>
      </c>
      <c r="N1314">
        <v>0</v>
      </c>
      <c r="O1314">
        <v>0.16163459999999999</v>
      </c>
      <c r="P1314">
        <v>-0.99461069999999996</v>
      </c>
      <c r="Q1314">
        <v>-1.472599E-2</v>
      </c>
      <c r="R1314">
        <v>0.10263029999999999</v>
      </c>
      <c r="S1314">
        <v>-3.0103610000000001</v>
      </c>
      <c r="T1314">
        <v>-0.21695599999999901</v>
      </c>
      <c r="U1314">
        <v>1.6693119999999999E-2</v>
      </c>
      <c r="V1314">
        <v>-5.9498240000000001E-2</v>
      </c>
      <c r="W1314">
        <v>-9.0895210000000001E-4</v>
      </c>
      <c r="X1314">
        <v>0.998228</v>
      </c>
      <c r="Y1314">
        <v>-0.155356299999999</v>
      </c>
      <c r="Z1314">
        <v>-1.7186E-2</v>
      </c>
      <c r="AA1314">
        <v>0.98770899999999995</v>
      </c>
      <c r="AB1314">
        <v>24</v>
      </c>
      <c r="AC1314">
        <v>-15.081499999999901</v>
      </c>
      <c r="AD1314">
        <v>-1.1044284354060001</v>
      </c>
      <c r="AE1314">
        <v>4.5500000000004003E-2</v>
      </c>
      <c r="AF1314">
        <v>-2.3802596027707699</v>
      </c>
      <c r="AG1314">
        <v>-1.1044284354060001</v>
      </c>
      <c r="AH1314">
        <v>14.8110781714347</v>
      </c>
      <c r="AI1314">
        <v>94.210693391706997</v>
      </c>
      <c r="AJ1314">
        <v>99.129828617942493</v>
      </c>
      <c r="AK1314">
        <v>15.0417231242256</v>
      </c>
    </row>
    <row r="1315" spans="1:37" x14ac:dyDescent="0.2">
      <c r="A1315" t="str">
        <f>"20200111160128116"</f>
        <v>20200111160128116</v>
      </c>
      <c r="B1315" t="str">
        <f>"1578729688112299"</f>
        <v>1578729688112299</v>
      </c>
      <c r="C1315" t="s">
        <v>37</v>
      </c>
      <c r="D1315">
        <v>5.2562699999999998</v>
      </c>
      <c r="E1315">
        <v>0.43844480000000002</v>
      </c>
      <c r="F1315" t="s">
        <v>57</v>
      </c>
      <c r="G1315">
        <v>-261.4348</v>
      </c>
      <c r="H1315" s="1">
        <v>-7.7324459999999996E-7</v>
      </c>
      <c r="I1315">
        <v>283.98829999999998</v>
      </c>
      <c r="J1315">
        <v>-249.5701</v>
      </c>
      <c r="K1315">
        <v>1.1057699999999999</v>
      </c>
      <c r="L1315">
        <v>284.52089999999998</v>
      </c>
      <c r="M1315">
        <v>-0.9917241</v>
      </c>
      <c r="N1315">
        <v>0</v>
      </c>
      <c r="O1315">
        <v>0.12764349999999999</v>
      </c>
      <c r="P1315">
        <v>-0.99697380000000002</v>
      </c>
      <c r="Q1315">
        <v>-2.371825E-2</v>
      </c>
      <c r="R1315">
        <v>7.4036119999999997E-2</v>
      </c>
      <c r="S1315">
        <v>-3.0113219999999998</v>
      </c>
      <c r="T1315">
        <v>-0.2037129</v>
      </c>
      <c r="U1315">
        <v>1.8615719999999999E-2</v>
      </c>
      <c r="V1315">
        <v>-5.3804089999999999E-2</v>
      </c>
      <c r="W1315">
        <v>-1.0120290000000001E-2</v>
      </c>
      <c r="X1315">
        <v>0.99850019999999995</v>
      </c>
      <c r="Y1315">
        <v>-0.1209551</v>
      </c>
      <c r="Z1315">
        <v>-1.269379E-2</v>
      </c>
      <c r="AA1315">
        <v>0.99257680000000004</v>
      </c>
      <c r="AB1315">
        <v>24</v>
      </c>
      <c r="AC1315">
        <v>-11.864699999999999</v>
      </c>
      <c r="AD1315">
        <v>-1.1057707732446</v>
      </c>
      <c r="AE1315">
        <v>-0.53260000000000196</v>
      </c>
      <c r="AF1315">
        <v>-2.0252825246029702</v>
      </c>
      <c r="AG1315">
        <v>-1.1057707732446</v>
      </c>
      <c r="AH1315">
        <v>11.5990937376208</v>
      </c>
      <c r="AI1315">
        <v>95.365008460747802</v>
      </c>
      <c r="AJ1315">
        <v>99.904393819393903</v>
      </c>
      <c r="AK1315">
        <v>11.8263888757954</v>
      </c>
    </row>
    <row r="1316" spans="1:37" x14ac:dyDescent="0.2">
      <c r="A1316" t="str">
        <f>"20200111160128139"</f>
        <v>20200111160128139</v>
      </c>
      <c r="B1316" t="str">
        <f>"1578729688131818"</f>
        <v>1578729688131818</v>
      </c>
      <c r="C1316" t="s">
        <v>37</v>
      </c>
      <c r="D1316">
        <v>5.4941579999999997</v>
      </c>
      <c r="E1316">
        <v>0.45138489999999998</v>
      </c>
      <c r="F1316" t="s">
        <v>57</v>
      </c>
      <c r="G1316">
        <v>-271.04739999999998</v>
      </c>
      <c r="H1316" s="1">
        <v>-8.9043119999999997E-7</v>
      </c>
      <c r="I1316">
        <v>282.5806</v>
      </c>
      <c r="J1316">
        <v>-249.81039999999999</v>
      </c>
      <c r="K1316">
        <v>1.1057159999999999</v>
      </c>
      <c r="L1316">
        <v>284.54910000000001</v>
      </c>
      <c r="M1316">
        <v>-0.99200710000000003</v>
      </c>
      <c r="N1316">
        <v>0</v>
      </c>
      <c r="O1316">
        <v>0.1254257</v>
      </c>
      <c r="P1316">
        <v>-0.99719829999999998</v>
      </c>
      <c r="Q1316">
        <v>-2.3456250000000001E-2</v>
      </c>
      <c r="R1316">
        <v>7.103226E-2</v>
      </c>
      <c r="S1316">
        <v>-3.0256959999999999</v>
      </c>
      <c r="T1316">
        <v>-0.15577959999999999</v>
      </c>
      <c r="U1316">
        <v>-0.27334589999999998</v>
      </c>
      <c r="V1316">
        <v>-5.4582190000000003E-2</v>
      </c>
      <c r="W1316">
        <v>-9.8582210000000003E-3</v>
      </c>
      <c r="X1316">
        <v>0.99846060000000003</v>
      </c>
      <c r="Y1316">
        <v>-0.21374699999999999</v>
      </c>
      <c r="Z1316">
        <v>-1.1924860000000001E-2</v>
      </c>
      <c r="AA1316">
        <v>0.97681620000000002</v>
      </c>
      <c r="AB1316">
        <v>24</v>
      </c>
      <c r="AC1316">
        <v>-21.236999999999899</v>
      </c>
      <c r="AD1316">
        <v>-1.1057168904312</v>
      </c>
      <c r="AE1316">
        <v>-1.9684999999999999</v>
      </c>
      <c r="AF1316">
        <v>-4.6044952466904103</v>
      </c>
      <c r="AG1316">
        <v>-1.1057168904312</v>
      </c>
      <c r="AH1316">
        <v>20.76652084549</v>
      </c>
      <c r="AI1316">
        <v>92.975710426146506</v>
      </c>
      <c r="AJ1316">
        <v>102.501757778824</v>
      </c>
      <c r="AK1316">
        <v>21.2995862482056</v>
      </c>
    </row>
    <row r="1317" spans="1:37" x14ac:dyDescent="0.2">
      <c r="A1317" t="str">
        <f>"20200111160128161"</f>
        <v>20200111160128161</v>
      </c>
      <c r="B1317" t="str">
        <f>"1578729688152314"</f>
        <v>1578729688152314</v>
      </c>
      <c r="C1317" t="s">
        <v>37</v>
      </c>
      <c r="D1317">
        <v>5.2421870000000004</v>
      </c>
      <c r="E1317">
        <v>0.46165139999999999</v>
      </c>
      <c r="F1317" t="s">
        <v>57</v>
      </c>
      <c r="G1317">
        <v>-269.61630000000002</v>
      </c>
      <c r="H1317" s="1">
        <v>3.5805089999999999E-6</v>
      </c>
      <c r="I1317">
        <v>283.36840000000001</v>
      </c>
      <c r="J1317">
        <v>-250.0384</v>
      </c>
      <c r="K1317">
        <v>1.105664</v>
      </c>
      <c r="L1317">
        <v>284.57549999999998</v>
      </c>
      <c r="M1317">
        <v>-0.99226270000000005</v>
      </c>
      <c r="N1317">
        <v>0</v>
      </c>
      <c r="O1317">
        <v>0.1233875</v>
      </c>
      <c r="P1317">
        <v>-0.99740450000000003</v>
      </c>
      <c r="Q1317">
        <v>-2.288927E-2</v>
      </c>
      <c r="R1317">
        <v>6.8268659999999995E-2</v>
      </c>
      <c r="S1317">
        <v>-3.0172729999999999</v>
      </c>
      <c r="T1317">
        <v>-0.16844679999999901</v>
      </c>
      <c r="U1317">
        <v>-0.17987059999999999</v>
      </c>
      <c r="V1317">
        <v>-5.530235E-2</v>
      </c>
      <c r="W1317">
        <v>-9.2907159999999992E-3</v>
      </c>
      <c r="X1317">
        <v>0.99842640000000005</v>
      </c>
      <c r="Y1317">
        <v>-0.18176010000000001</v>
      </c>
      <c r="Z1317">
        <v>-1.1935909999999999E-2</v>
      </c>
      <c r="AA1317">
        <v>0.98327050000000005</v>
      </c>
      <c r="AB1317">
        <v>24</v>
      </c>
      <c r="AC1317">
        <v>-19.5779</v>
      </c>
      <c r="AD1317">
        <v>-1.105660419491</v>
      </c>
      <c r="AE1317">
        <v>-1.2070999999999601</v>
      </c>
      <c r="AF1317">
        <v>-3.60232642396904</v>
      </c>
      <c r="AG1317">
        <v>-1.105660419491</v>
      </c>
      <c r="AH1317">
        <v>19.218250097319899</v>
      </c>
      <c r="AI1317">
        <v>93.236456910928695</v>
      </c>
      <c r="AJ1317">
        <v>100.616500216543</v>
      </c>
      <c r="AK1317">
        <v>19.5841869229026</v>
      </c>
    </row>
    <row r="1318" spans="1:37" x14ac:dyDescent="0.2">
      <c r="A1318" t="str">
        <f>"20200111160128183"</f>
        <v>20200111160128183</v>
      </c>
      <c r="B1318" t="str">
        <f>"1578729688171834"</f>
        <v>1578729688171834</v>
      </c>
      <c r="C1318" t="s">
        <v>37</v>
      </c>
      <c r="D1318">
        <v>5.1765800000000004</v>
      </c>
      <c r="E1318">
        <v>0.46801909999999902</v>
      </c>
      <c r="F1318" t="s">
        <v>57</v>
      </c>
      <c r="G1318">
        <v>-269.86160000000001</v>
      </c>
      <c r="H1318" s="1">
        <v>3.7110789999999898E-6</v>
      </c>
      <c r="I1318">
        <v>283.87549999999999</v>
      </c>
      <c r="J1318">
        <v>-250.27180000000001</v>
      </c>
      <c r="K1318">
        <v>1.105607</v>
      </c>
      <c r="L1318">
        <v>284.60210000000001</v>
      </c>
      <c r="M1318">
        <v>-0.99251049999999996</v>
      </c>
      <c r="N1318">
        <v>0</v>
      </c>
      <c r="O1318">
        <v>0.1213779</v>
      </c>
      <c r="P1318">
        <v>-0.99756849999999997</v>
      </c>
      <c r="Q1318">
        <v>-2.324741E-2</v>
      </c>
      <c r="R1318">
        <v>6.5702060000000007E-2</v>
      </c>
      <c r="S1318">
        <v>-3.0112299999999999</v>
      </c>
      <c r="T1318">
        <v>-0.16795450000000001</v>
      </c>
      <c r="U1318">
        <v>-0.10632319999999899</v>
      </c>
      <c r="V1318">
        <v>-5.5848229999999999E-2</v>
      </c>
      <c r="W1318">
        <v>-9.6471779999999993E-3</v>
      </c>
      <c r="X1318">
        <v>0.99839259999999996</v>
      </c>
      <c r="Y1318">
        <v>-0.15590960000000001</v>
      </c>
      <c r="Z1318">
        <v>-1.1097610000000001E-2</v>
      </c>
      <c r="AA1318">
        <v>0.98770899999999995</v>
      </c>
      <c r="AB1318">
        <v>23</v>
      </c>
      <c r="AC1318">
        <v>-19.5898</v>
      </c>
      <c r="AD1318">
        <v>-1.1056032889209999</v>
      </c>
      <c r="AE1318">
        <v>-0.72660000000001901</v>
      </c>
      <c r="AF1318">
        <v>-3.0893949738949402</v>
      </c>
      <c r="AG1318">
        <v>-1.1056032889209999</v>
      </c>
      <c r="AH1318">
        <v>19.295355610391599</v>
      </c>
      <c r="AI1318">
        <v>93.238246354949595</v>
      </c>
      <c r="AJ1318">
        <v>99.096467161144801</v>
      </c>
      <c r="AK1318">
        <v>19.5723649074063</v>
      </c>
    </row>
    <row r="1319" spans="1:37" x14ac:dyDescent="0.2">
      <c r="A1319" t="str">
        <f>"20200111160128205"</f>
        <v>20200111160128205</v>
      </c>
      <c r="B1319" t="str">
        <f>"1578729688202091"</f>
        <v>1578729688202091</v>
      </c>
      <c r="C1319" t="s">
        <v>37</v>
      </c>
      <c r="D1319">
        <v>5.2629060000000001</v>
      </c>
      <c r="E1319">
        <v>0.47365249999999998</v>
      </c>
      <c r="F1319" t="s">
        <v>57</v>
      </c>
      <c r="G1319">
        <v>-269.82670000000002</v>
      </c>
      <c r="H1319" s="1">
        <v>3.6924890000000001E-6</v>
      </c>
      <c r="I1319">
        <v>284.18970000000002</v>
      </c>
      <c r="J1319">
        <v>-250.49119999999999</v>
      </c>
      <c r="K1319">
        <v>1.105537</v>
      </c>
      <c r="L1319">
        <v>284.62670000000003</v>
      </c>
      <c r="M1319">
        <v>-0.99273069999999897</v>
      </c>
      <c r="N1319">
        <v>0</v>
      </c>
      <c r="O1319">
        <v>0.119563899999999</v>
      </c>
      <c r="P1319">
        <v>-0.99772269999999896</v>
      </c>
      <c r="Q1319">
        <v>-2.3752619999999999E-2</v>
      </c>
      <c r="R1319">
        <v>6.3129309999999994E-2</v>
      </c>
      <c r="S1319">
        <v>-3.0075379999999998</v>
      </c>
      <c r="T1319">
        <v>-0.17004179999999999</v>
      </c>
      <c r="U1319">
        <v>-6.3415529999999998E-2</v>
      </c>
      <c r="V1319">
        <v>-5.6596790000000001E-2</v>
      </c>
      <c r="W1319">
        <v>-1.015127E-2</v>
      </c>
      <c r="X1319">
        <v>0.9983455</v>
      </c>
      <c r="Y1319">
        <v>-0.1400642</v>
      </c>
      <c r="Z1319">
        <v>-1.0700339999999999E-2</v>
      </c>
      <c r="AA1319">
        <v>0.99008459999999998</v>
      </c>
      <c r="AB1319">
        <v>23</v>
      </c>
      <c r="AC1319">
        <v>-19.3355</v>
      </c>
      <c r="AD1319">
        <v>-1.1055333075110001</v>
      </c>
      <c r="AE1319">
        <v>-0.43700000000001099</v>
      </c>
      <c r="AF1319">
        <v>-2.7369693416571899</v>
      </c>
      <c r="AG1319">
        <v>-1.1055333075110001</v>
      </c>
      <c r="AH1319">
        <v>19.082165726962302</v>
      </c>
      <c r="AI1319">
        <v>93.282233411717996</v>
      </c>
      <c r="AJ1319">
        <v>98.162307726982803</v>
      </c>
      <c r="AK1319">
        <v>19.309123592292899</v>
      </c>
    </row>
    <row r="1320" spans="1:37" x14ac:dyDescent="0.2">
      <c r="A1320" t="str">
        <f>"20200111160128228"</f>
        <v>20200111160128228</v>
      </c>
      <c r="B1320" t="str">
        <f>"1578729688222586"</f>
        <v>1578729688222586</v>
      </c>
      <c r="C1320" t="s">
        <v>37</v>
      </c>
      <c r="D1320">
        <v>5.0099790000000004</v>
      </c>
      <c r="E1320">
        <v>0.47694319999999901</v>
      </c>
      <c r="F1320" t="s">
        <v>57</v>
      </c>
      <c r="G1320">
        <v>-269.88130000000001</v>
      </c>
      <c r="H1320" s="1">
        <v>3.7215249999999999E-6</v>
      </c>
      <c r="I1320">
        <v>284.45769999999999</v>
      </c>
      <c r="J1320">
        <v>-250.72989999999999</v>
      </c>
      <c r="K1320">
        <v>1.1054660000000001</v>
      </c>
      <c r="L1320">
        <v>284.65309999999999</v>
      </c>
      <c r="M1320">
        <v>-0.99295689999999903</v>
      </c>
      <c r="N1320">
        <v>0</v>
      </c>
      <c r="O1320">
        <v>0.117671699999999</v>
      </c>
      <c r="P1320">
        <v>-0.99781869999999995</v>
      </c>
      <c r="Q1320">
        <v>-2.3921620000000001E-2</v>
      </c>
      <c r="R1320">
        <v>6.152958E-2</v>
      </c>
      <c r="S1320">
        <v>-3.0044400000000002</v>
      </c>
      <c r="T1320">
        <v>-0.1712996</v>
      </c>
      <c r="U1320">
        <v>-2.6184079999999998E-2</v>
      </c>
      <c r="V1320">
        <v>-5.6295820000000003E-2</v>
      </c>
      <c r="W1320">
        <v>-1.031458E-2</v>
      </c>
      <c r="X1320">
        <v>0.9983609</v>
      </c>
      <c r="Y1320">
        <v>-0.12593760000000001</v>
      </c>
      <c r="Z1320">
        <v>-1.0280549999999999E-2</v>
      </c>
      <c r="AA1320">
        <v>0.99198489999999995</v>
      </c>
      <c r="AB1320">
        <v>23</v>
      </c>
      <c r="AC1320">
        <v>-19.151399999999999</v>
      </c>
      <c r="AD1320">
        <v>-1.1054622784749999</v>
      </c>
      <c r="AE1320">
        <v>-0.19540000000000601</v>
      </c>
      <c r="AF1320">
        <v>-2.4397061726579601</v>
      </c>
      <c r="AG1320">
        <v>-1.1054622784749999</v>
      </c>
      <c r="AH1320">
        <v>18.932252982176902</v>
      </c>
      <c r="AI1320">
        <v>93.314385969829402</v>
      </c>
      <c r="AJ1320">
        <v>97.342957063418694</v>
      </c>
      <c r="AK1320">
        <v>19.120784922151699</v>
      </c>
    </row>
    <row r="1321" spans="1:37" x14ac:dyDescent="0.2">
      <c r="A1321" t="str">
        <f>"20200111160128251"</f>
        <v>20200111160128251</v>
      </c>
      <c r="B1321" t="str">
        <f>"1578729688242107"</f>
        <v>1578729688242107</v>
      </c>
      <c r="C1321" t="s">
        <v>37</v>
      </c>
      <c r="D1321">
        <v>5.0788630000000001</v>
      </c>
      <c r="E1321">
        <v>0.47922969999999998</v>
      </c>
      <c r="F1321" t="s">
        <v>57</v>
      </c>
      <c r="G1321">
        <v>-269.86040000000003</v>
      </c>
      <c r="H1321" s="1">
        <v>3.71041099999999E-6</v>
      </c>
      <c r="I1321">
        <v>284.62240000000003</v>
      </c>
      <c r="J1321">
        <v>-250.9682</v>
      </c>
      <c r="K1321">
        <v>1.1054029999999999</v>
      </c>
      <c r="L1321">
        <v>284.67919999999998</v>
      </c>
      <c r="M1321">
        <v>-0.99316870000000002</v>
      </c>
      <c r="N1321">
        <v>0</v>
      </c>
      <c r="O1321">
        <v>0.115872</v>
      </c>
      <c r="P1321">
        <v>-0.99787269999999995</v>
      </c>
      <c r="Q1321">
        <v>-2.461642E-2</v>
      </c>
      <c r="R1321">
        <v>6.0369409999999998E-2</v>
      </c>
      <c r="S1321">
        <v>-3.0026860000000002</v>
      </c>
      <c r="T1321">
        <v>-0.17351169999999999</v>
      </c>
      <c r="U1321">
        <v>-4.8217770000000002E-3</v>
      </c>
      <c r="V1321">
        <v>-5.5645109999999998E-2</v>
      </c>
      <c r="W1321">
        <v>-1.100303E-2</v>
      </c>
      <c r="X1321">
        <v>0.99839</v>
      </c>
      <c r="Y1321">
        <v>-0.11708979999999999</v>
      </c>
      <c r="Z1321">
        <v>-1.005984E-2</v>
      </c>
      <c r="AA1321">
        <v>0.99307040000000002</v>
      </c>
      <c r="AB1321">
        <v>23</v>
      </c>
      <c r="AC1321">
        <v>-18.892199999999999</v>
      </c>
      <c r="AD1321">
        <v>-1.1053992895889999</v>
      </c>
      <c r="AE1321">
        <v>-5.6799999999952798E-2</v>
      </c>
      <c r="AF1321">
        <v>-2.2380399848720698</v>
      </c>
      <c r="AG1321">
        <v>-1.1053992895889999</v>
      </c>
      <c r="AH1321">
        <v>18.694338754310898</v>
      </c>
      <c r="AI1321">
        <v>93.3600313083125</v>
      </c>
      <c r="AJ1321">
        <v>96.826818058228895</v>
      </c>
      <c r="AK1321">
        <v>18.860250052007299</v>
      </c>
    </row>
    <row r="1322" spans="1:37" x14ac:dyDescent="0.2">
      <c r="A1322" t="str">
        <f>"20200111160128273"</f>
        <v>20200111160128273</v>
      </c>
      <c r="B1322" t="str">
        <f>"1578729688262602"</f>
        <v>1578729688262602</v>
      </c>
      <c r="C1322" t="s">
        <v>37</v>
      </c>
      <c r="D1322">
        <v>5.0820019999999904</v>
      </c>
      <c r="E1322">
        <v>0.48127969999999998</v>
      </c>
      <c r="F1322" t="s">
        <v>57</v>
      </c>
      <c r="G1322">
        <v>-269.96719999999999</v>
      </c>
      <c r="H1322" s="1">
        <v>-1.55965E-6</v>
      </c>
      <c r="I1322">
        <v>284.73989999999998</v>
      </c>
      <c r="J1322">
        <v>-251.19909999999999</v>
      </c>
      <c r="K1322">
        <v>1.1053500000000001</v>
      </c>
      <c r="L1322">
        <v>284.70409999999998</v>
      </c>
      <c r="M1322">
        <v>-0.99336190000000002</v>
      </c>
      <c r="N1322">
        <v>0</v>
      </c>
      <c r="O1322">
        <v>0.1142031</v>
      </c>
      <c r="P1322">
        <v>-0.99792709999999996</v>
      </c>
      <c r="Q1322">
        <v>-2.4248140000000001E-2</v>
      </c>
      <c r="R1322">
        <v>5.9612579999999998E-2</v>
      </c>
      <c r="S1322">
        <v>-3.0015109999999998</v>
      </c>
      <c r="T1322">
        <v>-0.1746346</v>
      </c>
      <c r="U1322">
        <v>9.5825200000000006E-3</v>
      </c>
      <c r="V1322">
        <v>-5.4728399999999899E-2</v>
      </c>
      <c r="W1322">
        <v>-1.062871E-2</v>
      </c>
      <c r="X1322">
        <v>0.99844469999999996</v>
      </c>
      <c r="Y1322">
        <v>-0.1106621</v>
      </c>
      <c r="Z1322">
        <v>-9.8449350000000008E-3</v>
      </c>
      <c r="AA1322">
        <v>0.99380930000000001</v>
      </c>
      <c r="AB1322">
        <v>23</v>
      </c>
      <c r="AC1322">
        <v>-18.7681</v>
      </c>
      <c r="AD1322">
        <v>-1.1053515596500001</v>
      </c>
      <c r="AE1322">
        <v>3.5799999999994697E-2</v>
      </c>
      <c r="AF1322">
        <v>-2.1007262384013501</v>
      </c>
      <c r="AG1322">
        <v>-1.1053515596500001</v>
      </c>
      <c r="AH1322">
        <v>18.584909464190702</v>
      </c>
      <c r="AI1322">
        <v>93.382212593679498</v>
      </c>
      <c r="AJ1322">
        <v>96.448997218769193</v>
      </c>
      <c r="AK1322">
        <v>18.735893696092901</v>
      </c>
    </row>
    <row r="1323" spans="1:37" x14ac:dyDescent="0.2">
      <c r="A1323" t="str">
        <f>"20200111160128293"</f>
        <v>20200111160128293</v>
      </c>
      <c r="B1323" t="str">
        <f>"1578729688282122"</f>
        <v>1578729688282122</v>
      </c>
      <c r="C1323" t="s">
        <v>37</v>
      </c>
      <c r="D1323">
        <v>5.081982</v>
      </c>
      <c r="E1323">
        <v>0.48318929999999999</v>
      </c>
      <c r="F1323" t="s">
        <v>57</v>
      </c>
      <c r="G1323">
        <v>-270.27190000000002</v>
      </c>
      <c r="H1323" s="1">
        <v>-1.402558E-6</v>
      </c>
      <c r="I1323">
        <v>284.85599999999999</v>
      </c>
      <c r="J1323">
        <v>-251.4151</v>
      </c>
      <c r="K1323">
        <v>1.1053120000000001</v>
      </c>
      <c r="L1323">
        <v>284.72710000000001</v>
      </c>
      <c r="M1323">
        <v>-0.99353469999999999</v>
      </c>
      <c r="N1323">
        <v>0</v>
      </c>
      <c r="O1323">
        <v>0.112690899999999</v>
      </c>
      <c r="P1323">
        <v>-0.99796059999999998</v>
      </c>
      <c r="Q1323">
        <v>-2.3826900000000002E-2</v>
      </c>
      <c r="R1323">
        <v>5.9220109999999999E-2</v>
      </c>
      <c r="S1323">
        <v>-3.0005950000000001</v>
      </c>
      <c r="T1323">
        <v>-0.17389760000000001</v>
      </c>
      <c r="U1323">
        <v>2.3895260000000001E-2</v>
      </c>
      <c r="V1323">
        <v>-5.3604539999999999E-2</v>
      </c>
      <c r="W1323">
        <v>-1.020277E-2</v>
      </c>
      <c r="X1323">
        <v>0.99851009999999996</v>
      </c>
      <c r="Y1323">
        <v>-0.1044219</v>
      </c>
      <c r="Z1323">
        <v>-9.5380729999999993E-3</v>
      </c>
      <c r="AA1323">
        <v>0.99448729999999996</v>
      </c>
      <c r="AB1323">
        <v>23</v>
      </c>
      <c r="AC1323">
        <v>-18.8568</v>
      </c>
      <c r="AD1323">
        <v>-1.105313402558</v>
      </c>
      <c r="AE1323">
        <v>0.128899999999987</v>
      </c>
      <c r="AF1323">
        <v>-1.99027446072452</v>
      </c>
      <c r="AG1323">
        <v>-1.105313402558</v>
      </c>
      <c r="AH1323">
        <v>18.686985537943599</v>
      </c>
      <c r="AI1323">
        <v>93.366041228574105</v>
      </c>
      <c r="AJ1323">
        <v>96.079421123920099</v>
      </c>
      <c r="AK1323">
        <v>18.8251517561533</v>
      </c>
    </row>
    <row r="1324" spans="1:37" x14ac:dyDescent="0.2">
      <c r="A1324" t="str">
        <f>"20200111160128316"</f>
        <v>20200111160128316</v>
      </c>
      <c r="B1324" t="str">
        <f>"1578729688312378"</f>
        <v>1578729688312378</v>
      </c>
      <c r="C1324" t="s">
        <v>37</v>
      </c>
      <c r="D1324">
        <v>5.0492860000000004</v>
      </c>
      <c r="E1324">
        <v>0.48524579999999901</v>
      </c>
      <c r="F1324" t="s">
        <v>57</v>
      </c>
      <c r="G1324">
        <v>-270.67239999999998</v>
      </c>
      <c r="H1324" s="1">
        <v>-1.1943909999999999E-6</v>
      </c>
      <c r="I1324">
        <v>284.96910000000003</v>
      </c>
      <c r="J1324">
        <v>-251.64179999999999</v>
      </c>
      <c r="K1324">
        <v>1.105289</v>
      </c>
      <c r="L1324">
        <v>284.75099999999998</v>
      </c>
      <c r="M1324">
        <v>-0.99370910000000001</v>
      </c>
      <c r="N1324">
        <v>0</v>
      </c>
      <c r="O1324">
        <v>0.111141899999999</v>
      </c>
      <c r="P1324">
        <v>-0.99797549999999902</v>
      </c>
      <c r="Q1324">
        <v>-2.366741E-2</v>
      </c>
      <c r="R1324">
        <v>5.903369E-2</v>
      </c>
      <c r="S1324">
        <v>-2.9997859999999998</v>
      </c>
      <c r="T1324">
        <v>-0.172179</v>
      </c>
      <c r="U1324">
        <v>3.7689210000000001E-2</v>
      </c>
      <c r="V1324">
        <v>-5.2236199999999899E-2</v>
      </c>
      <c r="W1324">
        <v>-1.0039660000000001E-2</v>
      </c>
      <c r="X1324">
        <v>0.99858429999999998</v>
      </c>
      <c r="Y1324">
        <v>-9.8314559999999995E-2</v>
      </c>
      <c r="Z1324">
        <v>-9.1823619999999995E-3</v>
      </c>
      <c r="AA1324">
        <v>0.99511299999999903</v>
      </c>
      <c r="AB1324">
        <v>23</v>
      </c>
      <c r="AC1324">
        <v>-19.0306</v>
      </c>
      <c r="AD1324">
        <v>-1.1052901943910001</v>
      </c>
      <c r="AE1324">
        <v>0.218100000000049</v>
      </c>
      <c r="AF1324">
        <v>-1.89216727342074</v>
      </c>
      <c r="AG1324">
        <v>-1.1052901943910001</v>
      </c>
      <c r="AH1324">
        <v>18.873260982306999</v>
      </c>
      <c r="AI1324">
        <v>93.334950816537798</v>
      </c>
      <c r="AJ1324">
        <v>95.725144178793101</v>
      </c>
      <c r="AK1324">
        <v>19.000051144949399</v>
      </c>
    </row>
    <row r="1325" spans="1:37" x14ac:dyDescent="0.2">
      <c r="A1325" t="str">
        <f>"20200111160128338"</f>
        <v>20200111160128338</v>
      </c>
      <c r="B1325" t="str">
        <f>"1578729688331898"</f>
        <v>1578729688331898</v>
      </c>
      <c r="C1325" t="s">
        <v>37</v>
      </c>
      <c r="D1325">
        <v>5.0196180000000004</v>
      </c>
      <c r="E1325">
        <v>0.48631869999999999</v>
      </c>
      <c r="F1325" t="s">
        <v>57</v>
      </c>
      <c r="G1325">
        <v>-270.8723</v>
      </c>
      <c r="H1325" s="1">
        <v>-1.093477E-6</v>
      </c>
      <c r="I1325">
        <v>285.09370000000001</v>
      </c>
      <c r="J1325">
        <v>-251.87899999999999</v>
      </c>
      <c r="K1325">
        <v>1.105275</v>
      </c>
      <c r="L1325">
        <v>284.7756</v>
      </c>
      <c r="M1325">
        <v>-0.99388670000000001</v>
      </c>
      <c r="N1325">
        <v>0</v>
      </c>
      <c r="O1325">
        <v>0.109543899999999</v>
      </c>
      <c r="P1325">
        <v>-0.99797380000000002</v>
      </c>
      <c r="Q1325">
        <v>-2.3866330000000002E-2</v>
      </c>
      <c r="R1325">
        <v>5.8983729999999998E-2</v>
      </c>
      <c r="S1325">
        <v>-2.9988250000000001</v>
      </c>
      <c r="T1325">
        <v>-0.17236029999999999</v>
      </c>
      <c r="U1325">
        <v>5.3436280000000003E-2</v>
      </c>
      <c r="V1325">
        <v>-5.0679920000000003E-2</v>
      </c>
      <c r="W1325">
        <v>-1.023602E-2</v>
      </c>
      <c r="X1325">
        <v>0.99866250000000001</v>
      </c>
      <c r="Y1325">
        <v>-9.1496949999999994E-2</v>
      </c>
      <c r="Z1325">
        <v>-8.9070739999999992E-3</v>
      </c>
      <c r="AA1325">
        <v>0.99576549999999997</v>
      </c>
      <c r="AB1325">
        <v>23</v>
      </c>
      <c r="AC1325">
        <v>-18.993299999999898</v>
      </c>
      <c r="AD1325">
        <v>-1.1052760934770001</v>
      </c>
      <c r="AE1325">
        <v>0.31810000000001498</v>
      </c>
      <c r="AF1325">
        <v>-1.7586579964353399</v>
      </c>
      <c r="AG1325">
        <v>-1.1052760934770001</v>
      </c>
      <c r="AH1325">
        <v>18.850008905082401</v>
      </c>
      <c r="AI1325">
        <v>93.341236326063907</v>
      </c>
      <c r="AJ1325">
        <v>95.330121368848694</v>
      </c>
      <c r="AK1325">
        <v>18.964106857770101</v>
      </c>
    </row>
    <row r="1326" spans="1:37" x14ac:dyDescent="0.2">
      <c r="A1326" t="str">
        <f>"20200111160128363"</f>
        <v>20200111160128363</v>
      </c>
      <c r="B1326" t="str">
        <f>"1578729688352395"</f>
        <v>1578729688352395</v>
      </c>
      <c r="C1326" t="s">
        <v>37</v>
      </c>
      <c r="D1326">
        <v>5.1125080000000001</v>
      </c>
      <c r="E1326">
        <v>0.48744169999999998</v>
      </c>
      <c r="F1326" t="s">
        <v>57</v>
      </c>
      <c r="G1326">
        <v>-270.99020000000002</v>
      </c>
      <c r="H1326" s="1">
        <v>-1.0339219999999999E-6</v>
      </c>
      <c r="I1326">
        <v>285.16699999999997</v>
      </c>
      <c r="J1326">
        <v>-252.11879999999999</v>
      </c>
      <c r="K1326">
        <v>1.1052660000000001</v>
      </c>
      <c r="L1326">
        <v>284.80009999999999</v>
      </c>
      <c r="M1326">
        <v>-0.99406249999999996</v>
      </c>
      <c r="N1326">
        <v>0</v>
      </c>
      <c r="O1326">
        <v>0.10793750000000001</v>
      </c>
      <c r="P1326">
        <v>-0.9978939</v>
      </c>
      <c r="Q1326">
        <v>-2.4161180000000001E-2</v>
      </c>
      <c r="R1326">
        <v>6.0200759999999999E-2</v>
      </c>
      <c r="S1326">
        <v>-2.9983369999999998</v>
      </c>
      <c r="T1326">
        <v>-0.1734058</v>
      </c>
      <c r="U1326">
        <v>6.1401369999999997E-2</v>
      </c>
      <c r="V1326">
        <v>-4.7847149999999998E-2</v>
      </c>
      <c r="W1326">
        <v>-1.0525659999999999E-2</v>
      </c>
      <c r="X1326">
        <v>0.9987992</v>
      </c>
      <c r="Y1326">
        <v>-8.7245219999999998E-2</v>
      </c>
      <c r="Z1326">
        <v>-8.7468159999999993E-3</v>
      </c>
      <c r="AA1326">
        <v>0.99614849999999999</v>
      </c>
      <c r="AB1326">
        <v>23</v>
      </c>
      <c r="AC1326">
        <v>-18.871400000000001</v>
      </c>
      <c r="AD1326">
        <v>-1.1052670339220001</v>
      </c>
      <c r="AE1326">
        <v>0.36690000000004303</v>
      </c>
      <c r="AF1326">
        <v>-1.66665357132494</v>
      </c>
      <c r="AG1326">
        <v>-1.1052670339220001</v>
      </c>
      <c r="AH1326">
        <v>18.736485753762601</v>
      </c>
      <c r="AI1326">
        <v>93.362724107911504</v>
      </c>
      <c r="AJ1326">
        <v>95.083212758449704</v>
      </c>
      <c r="AK1326">
        <v>18.842909747277201</v>
      </c>
    </row>
    <row r="1327" spans="1:37" x14ac:dyDescent="0.2">
      <c r="A1327" t="str">
        <f>"20200111160128383"</f>
        <v>20200111160128383</v>
      </c>
      <c r="B1327" t="str">
        <f>"1578729688371914"</f>
        <v>1578729688371914</v>
      </c>
      <c r="C1327" t="s">
        <v>37</v>
      </c>
      <c r="D1327">
        <v>5.0753320000000004</v>
      </c>
      <c r="E1327">
        <v>0.48846260000000002</v>
      </c>
      <c r="F1327" t="s">
        <v>57</v>
      </c>
      <c r="G1327">
        <v>-271.07889999999998</v>
      </c>
      <c r="H1327" s="1">
        <v>-9.9105059999999902E-7</v>
      </c>
      <c r="I1327">
        <v>285.2663</v>
      </c>
      <c r="J1327">
        <v>-252.3381</v>
      </c>
      <c r="K1327">
        <v>1.105261</v>
      </c>
      <c r="L1327">
        <v>284.82220000000001</v>
      </c>
      <c r="M1327">
        <v>-0.99422149999999998</v>
      </c>
      <c r="N1327">
        <v>0</v>
      </c>
      <c r="O1327">
        <v>0.1064635</v>
      </c>
      <c r="P1327">
        <v>-0.99779130000000005</v>
      </c>
      <c r="Q1327">
        <v>-2.5061710000000001E-2</v>
      </c>
      <c r="R1327">
        <v>6.1519560000000001E-2</v>
      </c>
      <c r="S1327">
        <v>-2.9976500000000001</v>
      </c>
      <c r="T1327">
        <v>-0.1747456</v>
      </c>
      <c r="U1327">
        <v>7.369995E-2</v>
      </c>
      <c r="V1327">
        <v>-4.5042760000000001E-2</v>
      </c>
      <c r="W1327">
        <v>-1.1421540000000001E-2</v>
      </c>
      <c r="X1327">
        <v>0.99891980000000002</v>
      </c>
      <c r="Y1327">
        <v>-8.168417E-2</v>
      </c>
      <c r="Z1327">
        <v>-8.5682050000000006E-3</v>
      </c>
      <c r="AA1327">
        <v>0.99662139999999999</v>
      </c>
      <c r="AB1327">
        <v>23</v>
      </c>
      <c r="AC1327">
        <v>-18.740799999999901</v>
      </c>
      <c r="AD1327">
        <v>-1.1052619910506001</v>
      </c>
      <c r="AE1327">
        <v>0.444099999999991</v>
      </c>
      <c r="AF1327">
        <v>-1.54844157592987</v>
      </c>
      <c r="AG1327">
        <v>-1.1052619910506001</v>
      </c>
      <c r="AH1327">
        <v>18.616836761141599</v>
      </c>
      <c r="AI1327">
        <v>93.385937661834504</v>
      </c>
      <c r="AJ1327">
        <v>94.7545900595603</v>
      </c>
      <c r="AK1327">
        <v>18.7137886696928</v>
      </c>
    </row>
    <row r="1328" spans="1:37" x14ac:dyDescent="0.2">
      <c r="A1328" t="str">
        <f>"20200111160128406"</f>
        <v>20200111160128406</v>
      </c>
      <c r="B1328" t="str">
        <f>"1578729688402170"</f>
        <v>1578729688402170</v>
      </c>
      <c r="C1328" t="s">
        <v>37</v>
      </c>
      <c r="D1328">
        <v>5.0815580000000002</v>
      </c>
      <c r="E1328">
        <v>0.48939189999999999</v>
      </c>
      <c r="F1328" t="s">
        <v>57</v>
      </c>
      <c r="G1328">
        <v>-270.9957</v>
      </c>
      <c r="H1328" s="1">
        <v>-1.039271E-6</v>
      </c>
      <c r="I1328">
        <v>285.35599999999999</v>
      </c>
      <c r="J1328">
        <v>-252.56229999999999</v>
      </c>
      <c r="K1328">
        <v>1.1052489999999999</v>
      </c>
      <c r="L1328">
        <v>284.84440000000001</v>
      </c>
      <c r="M1328">
        <v>-0.9943843</v>
      </c>
      <c r="N1328">
        <v>0</v>
      </c>
      <c r="O1328">
        <v>0.10493810000000001</v>
      </c>
      <c r="P1328">
        <v>-0.99771609999999999</v>
      </c>
      <c r="Q1328">
        <v>-2.5954209999999998E-2</v>
      </c>
      <c r="R1328">
        <v>6.236187E-2</v>
      </c>
      <c r="S1328">
        <v>-2.9968870000000001</v>
      </c>
      <c r="T1328">
        <v>-0.17753350000000001</v>
      </c>
      <c r="U1328">
        <v>8.575439E-2</v>
      </c>
      <c r="V1328">
        <v>-4.2661980000000002E-2</v>
      </c>
      <c r="W1328">
        <v>-1.236048E-2</v>
      </c>
      <c r="X1328">
        <v>0.99901309999999999</v>
      </c>
      <c r="Y1328">
        <v>-7.6143669999999997E-2</v>
      </c>
      <c r="Z1328">
        <v>-8.4523110000000005E-3</v>
      </c>
      <c r="AA1328">
        <v>0.99706099999999998</v>
      </c>
      <c r="AB1328">
        <v>23</v>
      </c>
      <c r="AC1328">
        <v>-18.433399999999999</v>
      </c>
      <c r="AD1328">
        <v>-1.1052500392710001</v>
      </c>
      <c r="AE1328">
        <v>0.51159999999998695</v>
      </c>
      <c r="AF1328">
        <v>-1.4206693850907599</v>
      </c>
      <c r="AG1328">
        <v>-1.1052500392710001</v>
      </c>
      <c r="AH1328">
        <v>18.319487314370399</v>
      </c>
      <c r="AI1328">
        <v>93.442269664570304</v>
      </c>
      <c r="AJ1328">
        <v>94.434391075553407</v>
      </c>
      <c r="AK1328">
        <v>18.4077020459486</v>
      </c>
    </row>
    <row r="1329" spans="1:37" x14ac:dyDescent="0.2">
      <c r="A1329" t="str">
        <f>"20200111160128428"</f>
        <v>20200111160128428</v>
      </c>
      <c r="B1329" t="str">
        <f>"1578729688422667"</f>
        <v>1578729688422667</v>
      </c>
      <c r="C1329" t="s">
        <v>37</v>
      </c>
      <c r="D1329">
        <v>5.0983689999999999</v>
      </c>
      <c r="E1329">
        <v>0.490036799999999</v>
      </c>
      <c r="F1329" t="s">
        <v>57</v>
      </c>
      <c r="G1329">
        <v>-270.91309999999999</v>
      </c>
      <c r="H1329" s="1">
        <v>-1.0864990000000001E-6</v>
      </c>
      <c r="I1329">
        <v>285.43049999999999</v>
      </c>
      <c r="J1329">
        <v>-252.79409999999999</v>
      </c>
      <c r="K1329">
        <v>1.1052059999999999</v>
      </c>
      <c r="L1329">
        <v>284.86700000000002</v>
      </c>
      <c r="M1329">
        <v>-0.99455369999999998</v>
      </c>
      <c r="N1329">
        <v>0</v>
      </c>
      <c r="O1329">
        <v>0.1033451</v>
      </c>
      <c r="P1329">
        <v>-0.99761710000000003</v>
      </c>
      <c r="Q1329">
        <v>-2.7228430000000001E-2</v>
      </c>
      <c r="R1329">
        <v>6.3392850000000001E-2</v>
      </c>
      <c r="S1329">
        <v>-2.996216</v>
      </c>
      <c r="T1329">
        <v>-0.1804596</v>
      </c>
      <c r="U1329">
        <v>9.5703129999999997E-2</v>
      </c>
      <c r="V1329">
        <v>-4.002294E-2</v>
      </c>
      <c r="W1329">
        <v>-1.3819349999999999E-2</v>
      </c>
      <c r="X1329">
        <v>0.99910319999999997</v>
      </c>
      <c r="Y1329">
        <v>-7.1232480000000001E-2</v>
      </c>
      <c r="Z1329">
        <v>-8.3494750000000003E-3</v>
      </c>
      <c r="AA1329">
        <v>0.9974248</v>
      </c>
      <c r="AB1329">
        <v>23</v>
      </c>
      <c r="AC1329">
        <v>-18.119</v>
      </c>
      <c r="AD1329">
        <v>-1.105207086499</v>
      </c>
      <c r="AE1329">
        <v>0.56349999999997602</v>
      </c>
      <c r="AF1329">
        <v>-1.3073392977692599</v>
      </c>
      <c r="AG1329">
        <v>-1.105207086499</v>
      </c>
      <c r="AH1329">
        <v>18.013249167334699</v>
      </c>
      <c r="AI1329">
        <v>93.501807095835105</v>
      </c>
      <c r="AJ1329">
        <v>94.151051287491399</v>
      </c>
      <c r="AK1329">
        <v>18.0944125162445</v>
      </c>
    </row>
    <row r="1330" spans="1:37" x14ac:dyDescent="0.2">
      <c r="A1330" t="str">
        <f>"20200111160128451"</f>
        <v>20200111160128451</v>
      </c>
      <c r="B1330" t="str">
        <f>"1578729688442187"</f>
        <v>1578729688442187</v>
      </c>
      <c r="C1330" t="s">
        <v>37</v>
      </c>
      <c r="D1330">
        <v>5.061178</v>
      </c>
      <c r="E1330">
        <v>0.49065500000000001</v>
      </c>
      <c r="F1330" t="s">
        <v>57</v>
      </c>
      <c r="G1330">
        <v>-270.70179999999999</v>
      </c>
      <c r="H1330" s="1">
        <v>-1.2014489999999999E-6</v>
      </c>
      <c r="I1330">
        <v>285.48779999999999</v>
      </c>
      <c r="J1330">
        <v>-253.02789999999999</v>
      </c>
      <c r="K1330">
        <v>1.1051200000000001</v>
      </c>
      <c r="L1330">
        <v>284.88940000000002</v>
      </c>
      <c r="M1330">
        <v>-0.99472649999999996</v>
      </c>
      <c r="N1330">
        <v>0</v>
      </c>
      <c r="O1330">
        <v>0.101720899999999</v>
      </c>
      <c r="P1330">
        <v>-0.99747580000000002</v>
      </c>
      <c r="Q1330">
        <v>-2.8735799999999999E-2</v>
      </c>
      <c r="R1330">
        <v>6.4935190000000004E-2</v>
      </c>
      <c r="S1330">
        <v>-2.99554399999999</v>
      </c>
      <c r="T1330">
        <v>-0.18487619999999999</v>
      </c>
      <c r="U1330">
        <v>0.10385129999999999</v>
      </c>
      <c r="V1330">
        <v>-3.6837870000000002E-2</v>
      </c>
      <c r="W1330">
        <v>-1.5706499999999901E-2</v>
      </c>
      <c r="X1330">
        <v>0.99919780000000002</v>
      </c>
      <c r="Y1330">
        <v>-6.6880910000000002E-2</v>
      </c>
      <c r="Z1330">
        <v>-8.3209589999999993E-3</v>
      </c>
      <c r="AA1330">
        <v>0.99772629999999995</v>
      </c>
      <c r="AB1330">
        <v>23</v>
      </c>
      <c r="AC1330">
        <v>-17.6739</v>
      </c>
      <c r="AD1330">
        <v>-1.1051212014489999</v>
      </c>
      <c r="AE1330">
        <v>0.59839999999996896</v>
      </c>
      <c r="AF1330">
        <v>-1.19798561354057</v>
      </c>
      <c r="AG1330">
        <v>-1.1051212014489999</v>
      </c>
      <c r="AH1330">
        <v>17.5744502901644</v>
      </c>
      <c r="AI1330">
        <v>93.589841839381805</v>
      </c>
      <c r="AJ1330">
        <v>93.899609906416302</v>
      </c>
      <c r="AK1330">
        <v>17.649865874889802</v>
      </c>
    </row>
    <row r="1331" spans="1:37" x14ac:dyDescent="0.2">
      <c r="A1331" t="str">
        <f>"20200111160128473"</f>
        <v>20200111160128473</v>
      </c>
      <c r="B1331" t="str">
        <f>"1578729688462682"</f>
        <v>1578729688462682</v>
      </c>
      <c r="C1331" t="s">
        <v>37</v>
      </c>
      <c r="D1331">
        <v>5.1290469999999999</v>
      </c>
      <c r="E1331">
        <v>0.49087170000000002</v>
      </c>
      <c r="F1331" t="s">
        <v>57</v>
      </c>
      <c r="G1331">
        <v>-270.40550000000002</v>
      </c>
      <c r="H1331" s="1">
        <v>-1.3616729999999999E-6</v>
      </c>
      <c r="I1331">
        <v>285.54610000000002</v>
      </c>
      <c r="J1331">
        <v>-253.25909999999999</v>
      </c>
      <c r="K1331">
        <v>1.1050059999999999</v>
      </c>
      <c r="L1331">
        <v>284.91120000000001</v>
      </c>
      <c r="M1331">
        <v>-0.994897899999999</v>
      </c>
      <c r="N1331">
        <v>0</v>
      </c>
      <c r="O1331">
        <v>0.1000983</v>
      </c>
      <c r="P1331">
        <v>-0.99742299999999995</v>
      </c>
      <c r="Q1331">
        <v>-2.9074909999999999E-2</v>
      </c>
      <c r="R1331">
        <v>6.5591449999999996E-2</v>
      </c>
      <c r="S1331">
        <v>-2.9947509999999999</v>
      </c>
      <c r="T1331">
        <v>-0.19045090000000001</v>
      </c>
      <c r="U1331">
        <v>0.113159199999999</v>
      </c>
      <c r="V1331">
        <v>-3.4546979999999998E-2</v>
      </c>
      <c r="W1331">
        <v>-1.657258E-2</v>
      </c>
      <c r="X1331">
        <v>0.99926569999999904</v>
      </c>
      <c r="Y1331">
        <v>-6.2139130000000001E-2</v>
      </c>
      <c r="Z1331">
        <v>-8.3197189999999997E-3</v>
      </c>
      <c r="AA1331">
        <v>0.99803280000000005</v>
      </c>
      <c r="AB1331">
        <v>23</v>
      </c>
      <c r="AC1331">
        <v>-17.1464</v>
      </c>
      <c r="AD1331">
        <v>-1.1050073616729901</v>
      </c>
      <c r="AE1331">
        <v>0.63490000000001601</v>
      </c>
      <c r="AF1331">
        <v>-1.0802703315892299</v>
      </c>
      <c r="AG1331">
        <v>-1.1050073616729901</v>
      </c>
      <c r="AH1331">
        <v>17.0530986559314</v>
      </c>
      <c r="AI1331">
        <v>93.700075109569596</v>
      </c>
      <c r="AJ1331">
        <v>93.624698246394601</v>
      </c>
      <c r="AK1331">
        <v>17.122972844328</v>
      </c>
    </row>
    <row r="1332" spans="1:37" x14ac:dyDescent="0.2">
      <c r="A1332" t="str">
        <f>"20200111160128494"</f>
        <v>20200111160128494</v>
      </c>
      <c r="B1332" t="str">
        <f>"1578729688491963"</f>
        <v>1578729688491963</v>
      </c>
      <c r="C1332" t="s">
        <v>37</v>
      </c>
      <c r="D1332">
        <v>5.1014220000000003</v>
      </c>
      <c r="E1332">
        <v>0.49153580000000002</v>
      </c>
      <c r="F1332" t="s">
        <v>57</v>
      </c>
      <c r="G1332">
        <v>-270.56450000000001</v>
      </c>
      <c r="H1332" s="1">
        <v>-1.278796E-6</v>
      </c>
      <c r="I1332">
        <v>285.58670000000001</v>
      </c>
      <c r="J1332">
        <v>-253.47839999999999</v>
      </c>
      <c r="K1332">
        <v>1.1049040000000001</v>
      </c>
      <c r="L1332">
        <v>284.9316</v>
      </c>
      <c r="M1332">
        <v>-0.99505940000000004</v>
      </c>
      <c r="N1332">
        <v>0</v>
      </c>
      <c r="O1332">
        <v>9.855063E-2</v>
      </c>
      <c r="P1332">
        <v>-0.99737929999999997</v>
      </c>
      <c r="Q1332">
        <v>-2.948597E-2</v>
      </c>
      <c r="R1332">
        <v>6.6072950000000005E-2</v>
      </c>
      <c r="S1332">
        <v>-2.9944759999999899</v>
      </c>
      <c r="T1332">
        <v>-0.1912066</v>
      </c>
      <c r="U1332">
        <v>0.11688229999999999</v>
      </c>
      <c r="V1332">
        <v>-3.2506529999999999E-2</v>
      </c>
      <c r="W1332">
        <v>-1.7530839999999999E-2</v>
      </c>
      <c r="X1332">
        <v>0.99931780000000003</v>
      </c>
      <c r="Y1332">
        <v>-5.9349430000000002E-2</v>
      </c>
      <c r="Z1332">
        <v>-8.1659179999999994E-3</v>
      </c>
      <c r="AA1332">
        <v>0.99820390000000003</v>
      </c>
      <c r="AB1332">
        <v>23</v>
      </c>
      <c r="AC1332">
        <v>-17.086099999999998</v>
      </c>
      <c r="AD1332">
        <v>-1.1049052787960001</v>
      </c>
      <c r="AE1332">
        <v>0.65510000000000401</v>
      </c>
      <c r="AF1332">
        <v>-1.0277654977186499</v>
      </c>
      <c r="AG1332">
        <v>-1.1049052787960001</v>
      </c>
      <c r="AH1332">
        <v>16.996506829961699</v>
      </c>
      <c r="AI1332">
        <v>93.712675665285104</v>
      </c>
      <c r="AJ1332">
        <v>93.460417454611999</v>
      </c>
      <c r="AK1332">
        <v>17.063363150749201</v>
      </c>
    </row>
    <row r="1333" spans="1:37" x14ac:dyDescent="0.2">
      <c r="A1333" t="str">
        <f>"20200111160128518"</f>
        <v>20200111160128518</v>
      </c>
      <c r="B1333" t="str">
        <f>"1578729688512458"</f>
        <v>1578729688512458</v>
      </c>
      <c r="C1333" t="s">
        <v>37</v>
      </c>
      <c r="D1333">
        <v>5.0965819999999997</v>
      </c>
      <c r="E1333">
        <v>0.49186990000000003</v>
      </c>
      <c r="F1333" t="s">
        <v>57</v>
      </c>
      <c r="G1333">
        <v>-270.7475</v>
      </c>
      <c r="H1333" s="1">
        <v>-1.1838509999999999E-6</v>
      </c>
      <c r="I1333">
        <v>285.64269999999999</v>
      </c>
      <c r="J1333">
        <v>-253.72499999999999</v>
      </c>
      <c r="K1333">
        <v>1.104776</v>
      </c>
      <c r="L1333">
        <v>284.95409999999998</v>
      </c>
      <c r="M1333">
        <v>-0.99523850000000003</v>
      </c>
      <c r="N1333">
        <v>0</v>
      </c>
      <c r="O1333">
        <v>9.6805829999999995E-2</v>
      </c>
      <c r="P1333">
        <v>-0.99739829999999996</v>
      </c>
      <c r="Q1333">
        <v>-2.9760990000000001E-2</v>
      </c>
      <c r="R1333">
        <v>6.5659339999999997E-2</v>
      </c>
      <c r="S1333">
        <v>-2.994049</v>
      </c>
      <c r="T1333">
        <v>-0.1915637</v>
      </c>
      <c r="U1333">
        <v>0.123291</v>
      </c>
      <c r="V1333">
        <v>-3.1165539999999999E-2</v>
      </c>
      <c r="W1333">
        <v>-1.8481009999999999E-2</v>
      </c>
      <c r="X1333">
        <v>0.99934330000000005</v>
      </c>
      <c r="Y1333">
        <v>-5.546947E-2</v>
      </c>
      <c r="Z1333">
        <v>-7.9468260000000006E-3</v>
      </c>
      <c r="AA1333">
        <v>0.99842880000000001</v>
      </c>
      <c r="AB1333">
        <v>23</v>
      </c>
      <c r="AC1333">
        <v>-17.022500000000001</v>
      </c>
      <c r="AD1333">
        <v>-1.1047771838510001</v>
      </c>
      <c r="AE1333">
        <v>0.68860000000000798</v>
      </c>
      <c r="AF1333">
        <v>-0.958586976160681</v>
      </c>
      <c r="AG1333">
        <v>-1.1047771838510001</v>
      </c>
      <c r="AH1333">
        <v>16.937976090572899</v>
      </c>
      <c r="AI1333">
        <v>93.725878171592498</v>
      </c>
      <c r="AJ1333">
        <v>93.2391392575677</v>
      </c>
      <c r="AK1333">
        <v>17.0010133716094</v>
      </c>
    </row>
    <row r="1334" spans="1:37" x14ac:dyDescent="0.2">
      <c r="A1334" t="str">
        <f>"20200111160128695"</f>
        <v>20200111160128695</v>
      </c>
      <c r="B1334" t="str">
        <f>"1578729688692043"</f>
        <v>1578729688692043</v>
      </c>
      <c r="C1334" t="s">
        <v>37</v>
      </c>
      <c r="D1334">
        <v>5.1614079999999998</v>
      </c>
      <c r="E1334">
        <v>0.49186990000000003</v>
      </c>
      <c r="F1334" t="s">
        <v>57</v>
      </c>
      <c r="G1334">
        <v>-270.94060000000002</v>
      </c>
      <c r="H1334" s="1">
        <v>-1.082322E-6</v>
      </c>
      <c r="I1334">
        <v>285.67090000000002</v>
      </c>
      <c r="J1334">
        <v>-255.65119999999999</v>
      </c>
      <c r="K1334">
        <v>1.104133</v>
      </c>
      <c r="L1334">
        <v>285.11590000000001</v>
      </c>
      <c r="M1334">
        <v>-0.99649779999999999</v>
      </c>
      <c r="N1334">
        <v>0</v>
      </c>
      <c r="O1334">
        <v>8.344878E-2</v>
      </c>
      <c r="P1334">
        <v>-0.99845019999999995</v>
      </c>
      <c r="Q1334">
        <v>-2.4044679999999999E-2</v>
      </c>
      <c r="R1334">
        <v>5.0193840000000003E-2</v>
      </c>
      <c r="S1334">
        <v>-2.9938959999999999</v>
      </c>
      <c r="T1334">
        <v>-0.19212689999999999</v>
      </c>
      <c r="U1334">
        <v>0.12466430000000001</v>
      </c>
      <c r="V1334">
        <v>-3.325343E-2</v>
      </c>
      <c r="W1334">
        <v>-1.8761739999999999E-2</v>
      </c>
      <c r="X1334">
        <v>0.99927089999999996</v>
      </c>
      <c r="Y1334">
        <v>-4.1662999999999999E-2</v>
      </c>
      <c r="Z1334">
        <v>-6.6752829999999997E-3</v>
      </c>
      <c r="AA1334">
        <v>0.99910940000000004</v>
      </c>
      <c r="AB1334">
        <v>25</v>
      </c>
      <c r="AC1334">
        <v>-15.289400000000001</v>
      </c>
      <c r="AD1334">
        <v>-1.1041340823220001</v>
      </c>
      <c r="AE1334">
        <v>0.55500000000000604</v>
      </c>
      <c r="AF1334">
        <v>-0.71909057989780201</v>
      </c>
      <c r="AG1334">
        <v>-1.1041340823220001</v>
      </c>
      <c r="AH1334">
        <v>15.203202912952101</v>
      </c>
      <c r="AI1334">
        <v>94.149196412106207</v>
      </c>
      <c r="AJ1334">
        <v>92.707993337136102</v>
      </c>
      <c r="AK1334">
        <v>15.260196006154001</v>
      </c>
    </row>
    <row r="1335" spans="1:37" x14ac:dyDescent="0.2">
      <c r="A1335" t="str">
        <f>"20200111160128897"</f>
        <v>20200111160128897</v>
      </c>
      <c r="B1335" t="str">
        <f>"1578729688892712"</f>
        <v>1578729688892712</v>
      </c>
      <c r="C1335" t="s">
        <v>37</v>
      </c>
      <c r="D1335">
        <v>5.2695629999999998</v>
      </c>
      <c r="E1335">
        <v>0.47489439999999999</v>
      </c>
      <c r="F1335" t="s">
        <v>57</v>
      </c>
      <c r="G1335">
        <v>-274.649</v>
      </c>
      <c r="H1335" s="1">
        <v>8.9394749999999997E-7</v>
      </c>
      <c r="I1335">
        <v>285.60489999999999</v>
      </c>
      <c r="J1335">
        <v>-258.00380000000001</v>
      </c>
      <c r="K1335">
        <v>1.1037760000000001</v>
      </c>
      <c r="L1335">
        <v>285.28250000000003</v>
      </c>
      <c r="M1335">
        <v>-0.99760910000000003</v>
      </c>
      <c r="N1335">
        <v>0</v>
      </c>
      <c r="O1335">
        <v>6.9095690000000001E-2</v>
      </c>
      <c r="P1335">
        <v>-0.99886529999999996</v>
      </c>
      <c r="Q1335">
        <v>-2.6054959999999999E-2</v>
      </c>
      <c r="R1335">
        <v>3.9866110000000003E-2</v>
      </c>
      <c r="S1335">
        <v>-2.9965820000000001</v>
      </c>
      <c r="T1335">
        <v>-0.1741587</v>
      </c>
      <c r="U1335">
        <v>7.7117920000000006E-2</v>
      </c>
      <c r="V1335">
        <v>-2.9181579999999999E-2</v>
      </c>
      <c r="W1335">
        <v>-2.474119E-2</v>
      </c>
      <c r="X1335">
        <v>0.99926789999999999</v>
      </c>
      <c r="Y1335">
        <v>-4.321842E-2</v>
      </c>
      <c r="Z1335">
        <v>-5.2630869999999996E-3</v>
      </c>
      <c r="AA1335">
        <v>0.99905180000000005</v>
      </c>
      <c r="AB1335">
        <v>27</v>
      </c>
      <c r="AC1335">
        <v>-16.6451999999999</v>
      </c>
      <c r="AD1335">
        <v>-1.1037751060525001</v>
      </c>
      <c r="AE1335">
        <v>0.322399999999959</v>
      </c>
      <c r="AF1335">
        <v>-0.82485741892104802</v>
      </c>
      <c r="AG1335">
        <v>-1.1037751060525001</v>
      </c>
      <c r="AH1335">
        <v>16.554925799816001</v>
      </c>
      <c r="AI1335">
        <v>93.809753387193496</v>
      </c>
      <c r="AJ1335">
        <v>92.8524318327662</v>
      </c>
      <c r="AK1335">
        <v>16.612172569646098</v>
      </c>
    </row>
    <row r="1336" spans="1:37" x14ac:dyDescent="0.2">
      <c r="A1336" t="str">
        <f>"20200111160128920"</f>
        <v>20200111160128920</v>
      </c>
      <c r="B1336" t="str">
        <f>"1578729688912231"</f>
        <v>1578729688912231</v>
      </c>
      <c r="C1336" t="s">
        <v>37</v>
      </c>
      <c r="D1336">
        <v>6.9499389999999996</v>
      </c>
      <c r="E1336">
        <v>0.47658840000000002</v>
      </c>
      <c r="F1336" t="s">
        <v>57</v>
      </c>
      <c r="G1336">
        <v>-271.48009999999999</v>
      </c>
      <c r="H1336" s="1">
        <v>-7.5956469999999996E-7</v>
      </c>
      <c r="I1336">
        <v>284.8546</v>
      </c>
      <c r="J1336">
        <v>-258.28199999999998</v>
      </c>
      <c r="K1336">
        <v>1.103774</v>
      </c>
      <c r="L1336">
        <v>285.30009999999999</v>
      </c>
      <c r="M1336">
        <v>-0.997718199999999</v>
      </c>
      <c r="N1336">
        <v>0</v>
      </c>
      <c r="O1336">
        <v>6.7505029999999994E-2</v>
      </c>
      <c r="P1336">
        <v>-0.99898220000000004</v>
      </c>
      <c r="Q1336">
        <v>-2.4801810000000001E-2</v>
      </c>
      <c r="R1336">
        <v>3.7675350000000003E-2</v>
      </c>
      <c r="S1336">
        <v>-3.0007630000000001</v>
      </c>
      <c r="T1336">
        <v>-0.2457771</v>
      </c>
      <c r="U1336">
        <v>-9.5275879999999993E-2</v>
      </c>
      <c r="V1336">
        <v>-2.9784120000000001E-2</v>
      </c>
      <c r="W1336">
        <v>-2.3705759999999999E-2</v>
      </c>
      <c r="X1336">
        <v>0.99927520000000003</v>
      </c>
      <c r="Y1336">
        <v>-9.8577629999999999E-2</v>
      </c>
      <c r="Z1336">
        <v>-9.5459240000000008E-3</v>
      </c>
      <c r="AA1336">
        <v>0.99508359999999996</v>
      </c>
      <c r="AB1336">
        <v>27</v>
      </c>
      <c r="AC1336">
        <v>-13.1981</v>
      </c>
      <c r="AD1336">
        <v>-1.1037747595647001</v>
      </c>
      <c r="AE1336">
        <v>-0.44549999999998102</v>
      </c>
      <c r="AF1336">
        <v>-1.32615771539801</v>
      </c>
      <c r="AG1336">
        <v>-1.1037747595647001</v>
      </c>
      <c r="AH1336">
        <v>13.0467728095698</v>
      </c>
      <c r="AI1336">
        <v>94.811112699948893</v>
      </c>
      <c r="AJ1336">
        <v>95.803976615664993</v>
      </c>
      <c r="AK1336">
        <v>13.160368298436399</v>
      </c>
    </row>
    <row r="1337" spans="1:37" x14ac:dyDescent="0.2">
      <c r="A1337" t="str">
        <f>"20200111160128942"</f>
        <v>20200111160128942</v>
      </c>
      <c r="B1337" t="str">
        <f>"1578729688932727"</f>
        <v>1578729688932727</v>
      </c>
      <c r="C1337" t="s">
        <v>37</v>
      </c>
      <c r="D1337">
        <v>5.4056569999999997</v>
      </c>
      <c r="E1337">
        <v>0.47630059999999902</v>
      </c>
      <c r="F1337" t="s">
        <v>57</v>
      </c>
      <c r="G1337">
        <v>-276.67630000000003</v>
      </c>
      <c r="H1337" s="1">
        <v>2.0083840000000001E-6</v>
      </c>
      <c r="I1337">
        <v>284.7903</v>
      </c>
      <c r="J1337">
        <v>-258.56270000000001</v>
      </c>
      <c r="K1337">
        <v>1.103783</v>
      </c>
      <c r="L1337">
        <v>285.3175</v>
      </c>
      <c r="M1337">
        <v>-0.99782559999999998</v>
      </c>
      <c r="N1337">
        <v>0</v>
      </c>
      <c r="O1337">
        <v>6.5901890000000005E-2</v>
      </c>
      <c r="P1337">
        <v>-0.99909939999999997</v>
      </c>
      <c r="Q1337">
        <v>-2.3145809999999999E-2</v>
      </c>
      <c r="R1337">
        <v>3.556401E-2</v>
      </c>
      <c r="S1337">
        <v>-3.001709</v>
      </c>
      <c r="T1337">
        <v>-0.1801218</v>
      </c>
      <c r="U1337">
        <v>-8.3190920000000002E-2</v>
      </c>
      <c r="V1337">
        <v>-3.0296420000000001E-2</v>
      </c>
      <c r="W1337">
        <v>-2.2236220000000001E-2</v>
      </c>
      <c r="X1337">
        <v>0.9992936</v>
      </c>
      <c r="Y1337">
        <v>-9.3234259999999999E-2</v>
      </c>
      <c r="Z1337">
        <v>-6.7432589999999997E-3</v>
      </c>
      <c r="AA1337">
        <v>0.99562139999999999</v>
      </c>
      <c r="AB1337">
        <v>27</v>
      </c>
      <c r="AC1337">
        <v>-18.113600000000002</v>
      </c>
      <c r="AD1337">
        <v>-1.103780991616</v>
      </c>
      <c r="AE1337">
        <v>-0.52719999999999301</v>
      </c>
      <c r="AF1337">
        <v>-1.71341800710861</v>
      </c>
      <c r="AG1337">
        <v>-1.103780991616</v>
      </c>
      <c r="AH1337">
        <v>17.972798121142301</v>
      </c>
      <c r="AI1337">
        <v>93.498525074258893</v>
      </c>
      <c r="AJ1337">
        <v>95.445775224116204</v>
      </c>
      <c r="AK1337">
        <v>18.087996186639199</v>
      </c>
    </row>
    <row r="1338" spans="1:37" x14ac:dyDescent="0.2">
      <c r="A1338" t="str">
        <f>"20200111160129188"</f>
        <v>20200111160129188</v>
      </c>
      <c r="B1338" t="str">
        <f>"1578729689182281"</f>
        <v>1578729689182281</v>
      </c>
      <c r="C1338" t="s">
        <v>37</v>
      </c>
      <c r="D1338">
        <v>5.5429589999999997</v>
      </c>
      <c r="E1338">
        <v>0.48161329999999902</v>
      </c>
      <c r="F1338" t="s">
        <v>57</v>
      </c>
      <c r="G1338">
        <v>-274.95710000000003</v>
      </c>
      <c r="H1338" s="1">
        <v>1.092862E-6</v>
      </c>
      <c r="I1338">
        <v>284.80579999999998</v>
      </c>
      <c r="J1338">
        <v>-261.72070000000002</v>
      </c>
      <c r="K1338">
        <v>1.104058</v>
      </c>
      <c r="L1338">
        <v>285.48099999999999</v>
      </c>
      <c r="M1338">
        <v>-0.99889559999999999</v>
      </c>
      <c r="N1338">
        <v>0</v>
      </c>
      <c r="O1338">
        <v>4.6968990000000002E-2</v>
      </c>
      <c r="P1338">
        <v>-0.99914590000000003</v>
      </c>
      <c r="Q1338">
        <v>-3.8597109999999997E-2</v>
      </c>
      <c r="R1338">
        <v>1.476677E-2</v>
      </c>
      <c r="S1338">
        <v>-3.0013730000000001</v>
      </c>
      <c r="T1338">
        <v>-0.2020719</v>
      </c>
      <c r="U1338">
        <v>-9.3688960000000002E-2</v>
      </c>
      <c r="V1338">
        <v>-3.204622E-2</v>
      </c>
      <c r="W1338">
        <v>-3.7500859999999997E-2</v>
      </c>
      <c r="X1338">
        <v>0.99878259999999996</v>
      </c>
      <c r="Y1338">
        <v>-7.7829579999999995E-2</v>
      </c>
      <c r="Z1338">
        <v>-5.7740209999999998E-3</v>
      </c>
      <c r="AA1338">
        <v>0.99695</v>
      </c>
      <c r="AB1338">
        <v>30</v>
      </c>
      <c r="AC1338">
        <v>-13.2364</v>
      </c>
      <c r="AD1338">
        <v>-1.104056907138</v>
      </c>
      <c r="AE1338">
        <v>-0.67520000000001701</v>
      </c>
      <c r="AF1338">
        <v>-1.2872232118460101</v>
      </c>
      <c r="AG1338">
        <v>-1.104056907138</v>
      </c>
      <c r="AH1338">
        <v>13.099179213528201</v>
      </c>
      <c r="AI1338">
        <v>94.794769384901798</v>
      </c>
      <c r="AJ1338">
        <v>95.612292602620798</v>
      </c>
      <c r="AK1338">
        <v>13.208496557876799</v>
      </c>
    </row>
    <row r="1339" spans="1:37" x14ac:dyDescent="0.2">
      <c r="A1339" t="str">
        <f>"20200111160129254"</f>
        <v>20200111160129254</v>
      </c>
      <c r="B1339" t="str">
        <f>"1578729689242793"</f>
        <v>1578729689242793</v>
      </c>
      <c r="C1339" t="s">
        <v>37</v>
      </c>
      <c r="D1339">
        <v>5.3067900000000003</v>
      </c>
      <c r="E1339">
        <v>0.4817399</v>
      </c>
      <c r="F1339" t="s">
        <v>57</v>
      </c>
      <c r="G1339">
        <v>-273.60719999999998</v>
      </c>
      <c r="H1339" s="1">
        <v>3.6527889999999998E-7</v>
      </c>
      <c r="I1339">
        <v>285.01740000000001</v>
      </c>
      <c r="J1339">
        <v>-262.61279999999999</v>
      </c>
      <c r="K1339">
        <v>1.1041369999999999</v>
      </c>
      <c r="L1339">
        <v>285.51569999999998</v>
      </c>
      <c r="M1339">
        <v>-0.99914650000000005</v>
      </c>
      <c r="N1339">
        <v>0</v>
      </c>
      <c r="O1339">
        <v>4.1276640000000003E-2</v>
      </c>
      <c r="P1339">
        <v>-0.99917109999999998</v>
      </c>
      <c r="Q1339">
        <v>-3.8152409999999998E-2</v>
      </c>
      <c r="R1339">
        <v>1.420775E-2</v>
      </c>
      <c r="S1339">
        <v>-2.9935299999999998</v>
      </c>
      <c r="T1339">
        <v>-0.2780473</v>
      </c>
      <c r="U1339">
        <v>-0.1167603</v>
      </c>
      <c r="V1339">
        <v>-2.6912709999999999E-2</v>
      </c>
      <c r="W1339">
        <v>-3.6558439999999998E-2</v>
      </c>
      <c r="X1339">
        <v>0.99896909999999906</v>
      </c>
      <c r="Y1339">
        <v>-7.9666760000000003E-2</v>
      </c>
      <c r="Z1339">
        <v>-7.5146589999999999E-3</v>
      </c>
      <c r="AA1339">
        <v>0.99679319999999905</v>
      </c>
      <c r="AB1339">
        <v>30</v>
      </c>
      <c r="AC1339">
        <v>-10.994399999999899</v>
      </c>
      <c r="AD1339">
        <v>-1.1041366347210999</v>
      </c>
      <c r="AE1339">
        <v>-0.49829999999997199</v>
      </c>
      <c r="AF1339">
        <v>-0.94220455023548499</v>
      </c>
      <c r="AG1339">
        <v>-1.1041366347210999</v>
      </c>
      <c r="AH1339">
        <v>10.8552048628019</v>
      </c>
      <c r="AI1339">
        <v>95.786256218701695</v>
      </c>
      <c r="AJ1339">
        <v>94.9606972152487</v>
      </c>
      <c r="AK1339">
        <v>10.9518190149407</v>
      </c>
    </row>
    <row r="1340" spans="1:37" x14ac:dyDescent="0.2">
      <c r="A1340" t="str">
        <f>"20200111160129354"</f>
        <v>20200111160129354</v>
      </c>
      <c r="B1340" t="str">
        <f>"1578729689352681"</f>
        <v>1578729689352681</v>
      </c>
      <c r="C1340" t="s">
        <v>37</v>
      </c>
      <c r="D1340">
        <v>5.0745009999999997</v>
      </c>
      <c r="E1340">
        <v>0.482709099999999</v>
      </c>
      <c r="F1340" t="s">
        <v>57</v>
      </c>
      <c r="G1340">
        <v>-274.96350000000001</v>
      </c>
      <c r="H1340" s="1">
        <v>1.0863389999999899E-6</v>
      </c>
      <c r="I1340">
        <v>285.03269999999998</v>
      </c>
      <c r="J1340">
        <v>-263.99290000000002</v>
      </c>
      <c r="K1340">
        <v>1.1042259999999999</v>
      </c>
      <c r="L1340">
        <v>285.55970000000002</v>
      </c>
      <c r="M1340">
        <v>-0.9994651</v>
      </c>
      <c r="N1340">
        <v>0</v>
      </c>
      <c r="O1340">
        <v>3.2613459999999997E-2</v>
      </c>
      <c r="P1340">
        <v>-0.99932799999999999</v>
      </c>
      <c r="Q1340">
        <v>-3.510775E-2</v>
      </c>
      <c r="R1340">
        <v>1.0541740000000001E-2</v>
      </c>
      <c r="S1340">
        <v>-2.9939269999999998</v>
      </c>
      <c r="T1340">
        <v>-0.26765279999999902</v>
      </c>
      <c r="U1340">
        <v>-0.117095899999999</v>
      </c>
      <c r="V1340">
        <v>-2.1932219999999999E-2</v>
      </c>
      <c r="W1340">
        <v>-3.2782739999999998E-2</v>
      </c>
      <c r="X1340">
        <v>0.9992219</v>
      </c>
      <c r="Y1340">
        <v>-7.1235489999999999E-2</v>
      </c>
      <c r="Z1340">
        <v>-6.085404E-3</v>
      </c>
      <c r="AA1340">
        <v>0.99744089999999996</v>
      </c>
      <c r="AB1340">
        <v>31</v>
      </c>
      <c r="AC1340">
        <v>-10.9705999999999</v>
      </c>
      <c r="AD1340">
        <v>-1.1042249136609901</v>
      </c>
      <c r="AE1340">
        <v>-0.52700000000004299</v>
      </c>
      <c r="AF1340">
        <v>-0.87565901264607504</v>
      </c>
      <c r="AG1340">
        <v>-1.1042249136609901</v>
      </c>
      <c r="AH1340">
        <v>10.838028911455201</v>
      </c>
      <c r="AI1340">
        <v>95.798699870053795</v>
      </c>
      <c r="AJ1340">
        <v>94.619181319532402</v>
      </c>
      <c r="AK1340">
        <v>10.929270883819999</v>
      </c>
    </row>
    <row r="1341" spans="1:37" x14ac:dyDescent="0.2">
      <c r="A1341" t="str">
        <f>"20200111160129377"</f>
        <v>20200111160129377</v>
      </c>
      <c r="B1341" t="str">
        <f>"1578729689371984"</f>
        <v>1578729689371984</v>
      </c>
      <c r="C1341" t="s">
        <v>37</v>
      </c>
      <c r="D1341">
        <v>5.9651569999999996</v>
      </c>
      <c r="E1341">
        <v>0.48385919999999999</v>
      </c>
      <c r="F1341" t="s">
        <v>57</v>
      </c>
      <c r="G1341">
        <v>-276.60660000000001</v>
      </c>
      <c r="H1341" s="1">
        <v>1.9598380000000001E-6</v>
      </c>
      <c r="I1341">
        <v>285.05250000000001</v>
      </c>
      <c r="J1341">
        <v>-264.31220000000002</v>
      </c>
      <c r="K1341">
        <v>1.1042339999999999</v>
      </c>
      <c r="L1341">
        <v>285.56819999999999</v>
      </c>
      <c r="M1341">
        <v>-0.99952559999999901</v>
      </c>
      <c r="N1341">
        <v>0</v>
      </c>
      <c r="O1341">
        <v>3.0691260000000001E-2</v>
      </c>
      <c r="P1341">
        <v>-0.9993725</v>
      </c>
      <c r="Q1341">
        <v>-3.4394519999999998E-2</v>
      </c>
      <c r="R1341">
        <v>8.4755509999999996E-3</v>
      </c>
      <c r="S1341">
        <v>-2.9940799999999999</v>
      </c>
      <c r="T1341">
        <v>-0.26210739999999999</v>
      </c>
      <c r="U1341">
        <v>-0.12039179999999999</v>
      </c>
      <c r="V1341">
        <v>-2.208104E-2</v>
      </c>
      <c r="W1341">
        <v>-3.1895060000000003E-2</v>
      </c>
      <c r="X1341">
        <v>0.99924729999999995</v>
      </c>
      <c r="Y1341">
        <v>-7.0438920000000002E-2</v>
      </c>
      <c r="Z1341">
        <v>-5.7567290000000004E-3</v>
      </c>
      <c r="AA1341">
        <v>0.99749949999999998</v>
      </c>
      <c r="AB1341">
        <v>31</v>
      </c>
      <c r="AC1341">
        <v>-12.2943999999999</v>
      </c>
      <c r="AD1341">
        <v>-1.1042320401619901</v>
      </c>
      <c r="AE1341">
        <v>-0.51569999999998095</v>
      </c>
      <c r="AF1341">
        <v>-0.88565698759393596</v>
      </c>
      <c r="AG1341">
        <v>-1.1042320401619901</v>
      </c>
      <c r="AH1341">
        <v>12.1747409154588</v>
      </c>
      <c r="AI1341">
        <v>95.168883402497798</v>
      </c>
      <c r="AJ1341">
        <v>94.160678205044903</v>
      </c>
      <c r="AK1341">
        <v>12.2567545890722</v>
      </c>
    </row>
    <row r="1342" spans="1:37" x14ac:dyDescent="0.2">
      <c r="A1342" t="str">
        <f>"20200111160129400"</f>
        <v>20200111160129400</v>
      </c>
      <c r="B1342" t="str">
        <f>"1578729689392481"</f>
        <v>1578729689392481</v>
      </c>
      <c r="C1342" t="s">
        <v>37</v>
      </c>
      <c r="D1342">
        <v>5.1454570000000004</v>
      </c>
      <c r="E1342">
        <v>0.48437390000000002</v>
      </c>
      <c r="F1342" t="s">
        <v>57</v>
      </c>
      <c r="G1342">
        <v>-276.97629999999998</v>
      </c>
      <c r="H1342" s="1">
        <v>2.1557730000000001E-6</v>
      </c>
      <c r="I1342">
        <v>285.07139999999998</v>
      </c>
      <c r="J1342">
        <v>-264.62650000000002</v>
      </c>
      <c r="K1342">
        <v>1.1042299999999901</v>
      </c>
      <c r="L1342">
        <v>285.5761</v>
      </c>
      <c r="M1342">
        <v>-0.99958009999999997</v>
      </c>
      <c r="N1342">
        <v>0</v>
      </c>
      <c r="O1342">
        <v>2.884726E-2</v>
      </c>
      <c r="P1342">
        <v>-0.99942790000000004</v>
      </c>
      <c r="Q1342">
        <v>-3.3096960000000002E-2</v>
      </c>
      <c r="R1342">
        <v>6.9818650000000003E-3</v>
      </c>
      <c r="S1342">
        <v>-2.9938959999999999</v>
      </c>
      <c r="T1342">
        <v>-0.26104889999999997</v>
      </c>
      <c r="U1342">
        <v>-0.1174622</v>
      </c>
      <c r="V1342">
        <v>-2.173945E-2</v>
      </c>
      <c r="W1342">
        <v>-3.0423099999999901E-2</v>
      </c>
      <c r="X1342">
        <v>0.99930069999999904</v>
      </c>
      <c r="Y1342">
        <v>-6.7646960000000006E-2</v>
      </c>
      <c r="Z1342">
        <v>-5.4521630000000003E-3</v>
      </c>
      <c r="AA1342">
        <v>0.99769439999999998</v>
      </c>
      <c r="AB1342">
        <v>31</v>
      </c>
      <c r="AC1342">
        <v>-12.349799999999901</v>
      </c>
      <c r="AD1342">
        <v>-1.1042278442269999</v>
      </c>
      <c r="AE1342">
        <v>-0.50470000000001303</v>
      </c>
      <c r="AF1342">
        <v>-0.85393369010857401</v>
      </c>
      <c r="AG1342">
        <v>-1.1042278442269999</v>
      </c>
      <c r="AH1342">
        <v>12.2324702616799</v>
      </c>
      <c r="AI1342">
        <v>95.145667155296707</v>
      </c>
      <c r="AJ1342">
        <v>93.993269489361197</v>
      </c>
      <c r="AK1342">
        <v>12.311858128729099</v>
      </c>
    </row>
    <row r="1343" spans="1:37" x14ac:dyDescent="0.2">
      <c r="A1343" t="str">
        <f>"20200111160129422"</f>
        <v>20200111160129422</v>
      </c>
      <c r="B1343" t="str">
        <f>"1578729689412000"</f>
        <v>1578729689412000</v>
      </c>
      <c r="C1343" t="s">
        <v>37</v>
      </c>
      <c r="D1343">
        <v>5.0074009999999998</v>
      </c>
      <c r="E1343">
        <v>0.48494549999999997</v>
      </c>
      <c r="F1343" t="s">
        <v>57</v>
      </c>
      <c r="G1343">
        <v>-277.2321</v>
      </c>
      <c r="H1343" s="1">
        <v>2.2915419999999999E-6</v>
      </c>
      <c r="I1343">
        <v>285.07960000000003</v>
      </c>
      <c r="J1343">
        <v>-264.94009999999997</v>
      </c>
      <c r="K1343">
        <v>1.1042239999999901</v>
      </c>
      <c r="L1343">
        <v>285.58350000000002</v>
      </c>
      <c r="M1343">
        <v>-0.99962949999999995</v>
      </c>
      <c r="N1343">
        <v>0</v>
      </c>
      <c r="O1343">
        <v>2.706629E-2</v>
      </c>
      <c r="P1343">
        <v>-0.999448</v>
      </c>
      <c r="Q1343">
        <v>-3.2427749999999998E-2</v>
      </c>
      <c r="R1343">
        <v>7.2445859999999999E-3</v>
      </c>
      <c r="S1343">
        <v>-2.9938959999999999</v>
      </c>
      <c r="T1343">
        <v>-0.26225850000000001</v>
      </c>
      <c r="U1343">
        <v>-0.11791989999999899</v>
      </c>
      <c r="V1343">
        <v>-1.970237E-2</v>
      </c>
      <c r="W1343">
        <v>-2.9577039999999999E-2</v>
      </c>
      <c r="X1343">
        <v>0.99936829999999999</v>
      </c>
      <c r="Y1343">
        <v>-6.6031240000000005E-2</v>
      </c>
      <c r="Z1343">
        <v>-5.2510639999999997E-3</v>
      </c>
      <c r="AA1343">
        <v>0.99780369999999996</v>
      </c>
      <c r="AB1343">
        <v>31</v>
      </c>
      <c r="AC1343">
        <v>-12.292</v>
      </c>
      <c r="AD1343">
        <v>-1.1042217084579999</v>
      </c>
      <c r="AE1343">
        <v>-0.50389999999998702</v>
      </c>
      <c r="AF1343">
        <v>-0.82973100204267203</v>
      </c>
      <c r="AG1343">
        <v>-1.1042217084579999</v>
      </c>
      <c r="AH1343">
        <v>12.175765707542199</v>
      </c>
      <c r="AI1343">
        <v>95.170060160569804</v>
      </c>
      <c r="AJ1343">
        <v>93.898456961602605</v>
      </c>
      <c r="AK1343">
        <v>12.2538577469359</v>
      </c>
    </row>
    <row r="1344" spans="1:37" x14ac:dyDescent="0.2">
      <c r="A1344" t="str">
        <f>"20200111160129444"</f>
        <v>20200111160129444</v>
      </c>
      <c r="B1344" t="str">
        <f>"1578729689442257"</f>
        <v>1578729689442257</v>
      </c>
      <c r="C1344" t="s">
        <v>37</v>
      </c>
      <c r="D1344">
        <v>5.0111080000000001</v>
      </c>
      <c r="E1344">
        <v>0.48573679999999902</v>
      </c>
      <c r="F1344" t="s">
        <v>57</v>
      </c>
      <c r="G1344">
        <v>-277.45460000000003</v>
      </c>
      <c r="H1344" s="1">
        <v>2.4084769999999999E-6</v>
      </c>
      <c r="I1344">
        <v>285.11259999999999</v>
      </c>
      <c r="J1344">
        <v>-265.25209999999998</v>
      </c>
      <c r="K1344">
        <v>1.1042099999999999</v>
      </c>
      <c r="L1344">
        <v>285.59030000000001</v>
      </c>
      <c r="M1344">
        <v>-0.99967349999999999</v>
      </c>
      <c r="N1344">
        <v>0</v>
      </c>
      <c r="O1344">
        <v>2.5367979999999998E-2</v>
      </c>
      <c r="P1344">
        <v>-0.99947039999999998</v>
      </c>
      <c r="Q1344">
        <v>-3.1361920000000001E-2</v>
      </c>
      <c r="R1344">
        <v>8.6968050000000002E-3</v>
      </c>
      <c r="S1344">
        <v>-2.9938959999999999</v>
      </c>
      <c r="T1344">
        <v>-0.26416830000000002</v>
      </c>
      <c r="U1344">
        <v>-0.1126404</v>
      </c>
      <c r="V1344">
        <v>-1.6560120000000001E-2</v>
      </c>
      <c r="W1344">
        <v>-2.8337649999999999E-2</v>
      </c>
      <c r="X1344">
        <v>0.99946119999999905</v>
      </c>
      <c r="Y1344">
        <v>-6.2593460000000004E-2</v>
      </c>
      <c r="Z1344">
        <v>-4.9884919999999998E-3</v>
      </c>
      <c r="AA1344">
        <v>0.99802669999999905</v>
      </c>
      <c r="AB1344">
        <v>31</v>
      </c>
      <c r="AC1344">
        <v>-12.202500000000001</v>
      </c>
      <c r="AD1344">
        <v>-1.1042075915230001</v>
      </c>
      <c r="AE1344">
        <v>-0.47770000000002699</v>
      </c>
      <c r="AF1344">
        <v>-0.78071737609109704</v>
      </c>
      <c r="AG1344">
        <v>-1.1042075915230001</v>
      </c>
      <c r="AH1344">
        <v>12.0876266739222</v>
      </c>
      <c r="AI1344">
        <v>95.208703483452496</v>
      </c>
      <c r="AJ1344">
        <v>93.6954950361268</v>
      </c>
      <c r="AK1344">
        <v>12.163038791133699</v>
      </c>
    </row>
    <row r="1345" spans="1:37" x14ac:dyDescent="0.2">
      <c r="A1345" t="str">
        <f>"20200111160129465"</f>
        <v>20200111160129465</v>
      </c>
      <c r="B1345" t="str">
        <f>"1578729689462753"</f>
        <v>1578729689462753</v>
      </c>
      <c r="C1345" t="s">
        <v>37</v>
      </c>
      <c r="D1345">
        <v>5.0873080000000002</v>
      </c>
      <c r="E1345">
        <v>0.48631729999999901</v>
      </c>
      <c r="F1345" t="s">
        <v>57</v>
      </c>
      <c r="G1345">
        <v>-277.67930000000001</v>
      </c>
      <c r="H1345" s="1">
        <v>2.52569799999999E-6</v>
      </c>
      <c r="I1345">
        <v>285.16669999999999</v>
      </c>
      <c r="J1345">
        <v>-265.55630000000002</v>
      </c>
      <c r="K1345">
        <v>1.1041829999999999</v>
      </c>
      <c r="L1345">
        <v>285.59660000000002</v>
      </c>
      <c r="M1345">
        <v>-0.99971149999999998</v>
      </c>
      <c r="N1345">
        <v>0</v>
      </c>
      <c r="O1345">
        <v>2.3797769999999999E-2</v>
      </c>
      <c r="P1345">
        <v>-0.99949440000000001</v>
      </c>
      <c r="Q1345">
        <v>-2.991162E-2</v>
      </c>
      <c r="R1345">
        <v>1.078897E-2</v>
      </c>
      <c r="S1345">
        <v>-2.99411</v>
      </c>
      <c r="T1345">
        <v>-0.26603959999999999</v>
      </c>
      <c r="U1345">
        <v>-0.1020508</v>
      </c>
      <c r="V1345">
        <v>-1.2908559999999999E-2</v>
      </c>
      <c r="W1345">
        <v>-2.6724189999999998E-2</v>
      </c>
      <c r="X1345">
        <v>0.99955949999999905</v>
      </c>
      <c r="Y1345">
        <v>-5.751846E-2</v>
      </c>
      <c r="Z1345">
        <v>-4.6594640000000003E-3</v>
      </c>
      <c r="AA1345">
        <v>0.99833359999999904</v>
      </c>
      <c r="AB1345">
        <v>32</v>
      </c>
      <c r="AC1345">
        <v>-12.1229999999999</v>
      </c>
      <c r="AD1345">
        <v>-1.1041804743019901</v>
      </c>
      <c r="AE1345">
        <v>-0.42990000000003098</v>
      </c>
      <c r="AF1345">
        <v>-0.71237779655356304</v>
      </c>
      <c r="AG1345">
        <v>-1.1041804743019901</v>
      </c>
      <c r="AH1345">
        <v>12.0098295398651</v>
      </c>
      <c r="AI1345">
        <v>95.243825277531599</v>
      </c>
      <c r="AJ1345">
        <v>93.394592099407106</v>
      </c>
      <c r="AK1345">
        <v>12.0815024819544</v>
      </c>
    </row>
    <row r="1346" spans="1:37" x14ac:dyDescent="0.2">
      <c r="A1346" t="str">
        <f>"20200111160129490"</f>
        <v>20200111160129490</v>
      </c>
      <c r="B1346" t="str">
        <f>"1578729689482027"</f>
        <v>1578729689482027</v>
      </c>
      <c r="C1346" t="s">
        <v>37</v>
      </c>
      <c r="D1346">
        <v>5.0725819999999997</v>
      </c>
      <c r="E1346">
        <v>0.48686800000000002</v>
      </c>
      <c r="F1346" t="s">
        <v>57</v>
      </c>
      <c r="G1346">
        <v>-278.50779999999997</v>
      </c>
      <c r="H1346" s="1">
        <v>2.9649059999999902E-6</v>
      </c>
      <c r="I1346">
        <v>285.20429999999999</v>
      </c>
      <c r="J1346">
        <v>-265.89769999999999</v>
      </c>
      <c r="K1346">
        <v>1.1041299999999901</v>
      </c>
      <c r="L1346">
        <v>285.60309999999998</v>
      </c>
      <c r="M1346">
        <v>-0.999749</v>
      </c>
      <c r="N1346">
        <v>0</v>
      </c>
      <c r="O1346">
        <v>2.2148419999999999E-2</v>
      </c>
      <c r="P1346">
        <v>-0.99953910000000001</v>
      </c>
      <c r="Q1346">
        <v>-2.775333E-2</v>
      </c>
      <c r="R1346">
        <v>1.23109E-2</v>
      </c>
      <c r="S1346">
        <v>-2.9948429999999999</v>
      </c>
      <c r="T1346">
        <v>-0.25532719999999998</v>
      </c>
      <c r="U1346">
        <v>-9.0698239999999999E-2</v>
      </c>
      <c r="V1346">
        <v>-9.7509499999999995E-3</v>
      </c>
      <c r="W1346">
        <v>-2.4394369999999999E-2</v>
      </c>
      <c r="X1346">
        <v>0.99965479999999995</v>
      </c>
      <c r="Y1346">
        <v>-5.2132650000000003E-2</v>
      </c>
      <c r="Z1346">
        <v>-4.1022530000000001E-3</v>
      </c>
      <c r="AA1346">
        <v>0.99863169999999901</v>
      </c>
      <c r="AB1346">
        <v>32</v>
      </c>
      <c r="AC1346">
        <v>-12.6100999999999</v>
      </c>
      <c r="AD1346">
        <v>-1.10412703509399</v>
      </c>
      <c r="AE1346">
        <v>-0.39879999999999399</v>
      </c>
      <c r="AF1346">
        <v>-0.67284429872330298</v>
      </c>
      <c r="AG1346">
        <v>-1.10412703509399</v>
      </c>
      <c r="AH1346">
        <v>12.502418905801701</v>
      </c>
      <c r="AI1346">
        <v>95.039617853874901</v>
      </c>
      <c r="AJ1346">
        <v>93.0805226635309</v>
      </c>
      <c r="AK1346">
        <v>12.5691007815236</v>
      </c>
    </row>
    <row r="1347" spans="1:37" x14ac:dyDescent="0.2">
      <c r="A1347" t="str">
        <f>"20200111160129513"</f>
        <v>20200111160129513</v>
      </c>
      <c r="B1347" t="str">
        <f>"1578729689502531"</f>
        <v>1578729689502531</v>
      </c>
      <c r="C1347" t="s">
        <v>37</v>
      </c>
      <c r="D1347">
        <v>5.1155400000000002</v>
      </c>
      <c r="E1347">
        <v>0.48717890000000003</v>
      </c>
      <c r="F1347" t="s">
        <v>42</v>
      </c>
      <c r="G1347">
        <v>-266.89389999999997</v>
      </c>
      <c r="H1347">
        <v>1.020586</v>
      </c>
      <c r="I1347">
        <v>285.57580000000002</v>
      </c>
      <c r="J1347">
        <v>-266.22820000000002</v>
      </c>
      <c r="K1347">
        <v>1.1040669999999999</v>
      </c>
      <c r="L1347">
        <v>285.60890000000001</v>
      </c>
      <c r="M1347">
        <v>-0.9997798</v>
      </c>
      <c r="N1347">
        <v>0</v>
      </c>
      <c r="O1347">
        <v>2.0688499999999999E-2</v>
      </c>
      <c r="P1347">
        <v>-0.99959529999999996</v>
      </c>
      <c r="Q1347">
        <v>-2.5276280000000002E-2</v>
      </c>
      <c r="R1347">
        <v>1.305131E-2</v>
      </c>
      <c r="S1347">
        <v>-2.9953919999999998</v>
      </c>
      <c r="T1347">
        <v>-0.2512084</v>
      </c>
      <c r="U1347">
        <v>-8.2092289999999998E-2</v>
      </c>
      <c r="V1347">
        <v>-7.5653659999999996E-3</v>
      </c>
      <c r="W1347">
        <v>-2.1765570000000001E-2</v>
      </c>
      <c r="X1347">
        <v>0.99973449999999997</v>
      </c>
      <c r="Y1347">
        <v>-4.7830520000000001E-2</v>
      </c>
      <c r="Z1347">
        <v>-3.7334820000000002E-3</v>
      </c>
      <c r="AA1347">
        <v>0.99884850000000003</v>
      </c>
      <c r="AB1347">
        <v>32</v>
      </c>
      <c r="AC1347">
        <v>-0.66569999999995799</v>
      </c>
      <c r="AD1347">
        <v>-8.3480999999999903E-2</v>
      </c>
      <c r="AE1347">
        <v>-3.3099999999990297E-2</v>
      </c>
      <c r="AF1347">
        <v>-4.6141503335550602E-2</v>
      </c>
      <c r="AG1347">
        <v>-8.3480999999999903E-2</v>
      </c>
      <c r="AH1347">
        <v>0.65460381540385604</v>
      </c>
      <c r="AI1347">
        <v>97.249849948468395</v>
      </c>
      <c r="AJ1347">
        <v>94.031977670385103</v>
      </c>
      <c r="AK1347">
        <v>0.66151664441066804</v>
      </c>
    </row>
    <row r="1348" spans="1:37" x14ac:dyDescent="0.2">
      <c r="A1348" t="str">
        <f>"20200111160129533"</f>
        <v>20200111160129533</v>
      </c>
      <c r="B1348" t="str">
        <f>"1578729689522043"</f>
        <v>1578729689522043</v>
      </c>
      <c r="C1348" t="s">
        <v>37</v>
      </c>
      <c r="D1348">
        <v>5.1574530000000003</v>
      </c>
      <c r="E1348">
        <v>0.48743059999999899</v>
      </c>
      <c r="F1348" t="s">
        <v>42</v>
      </c>
      <c r="G1348">
        <v>-267.18740000000003</v>
      </c>
      <c r="H1348">
        <v>1.0253939999999999</v>
      </c>
      <c r="I1348">
        <v>285.58449999999999</v>
      </c>
      <c r="J1348">
        <v>-266.52820000000003</v>
      </c>
      <c r="K1348">
        <v>1.104017</v>
      </c>
      <c r="L1348">
        <v>285.61399999999998</v>
      </c>
      <c r="M1348">
        <v>-0.99980419999999903</v>
      </c>
      <c r="N1348">
        <v>0</v>
      </c>
      <c r="O1348">
        <v>1.9453640000000001E-2</v>
      </c>
      <c r="P1348">
        <v>-0.99964120000000001</v>
      </c>
      <c r="Q1348">
        <v>-2.3392469999999999E-2</v>
      </c>
      <c r="R1348">
        <v>1.3060459999999999E-2</v>
      </c>
      <c r="S1348">
        <v>-2.9959720000000001</v>
      </c>
      <c r="T1348">
        <v>-0.246008</v>
      </c>
      <c r="U1348">
        <v>-7.7331540000000004E-2</v>
      </c>
      <c r="V1348">
        <v>-6.3318979999999999E-3</v>
      </c>
      <c r="W1348">
        <v>-1.9755869999999998E-2</v>
      </c>
      <c r="X1348">
        <v>0.99978480000000003</v>
      </c>
      <c r="Y1348">
        <v>-4.5028760000000001E-2</v>
      </c>
      <c r="Z1348">
        <v>-3.439793E-3</v>
      </c>
      <c r="AA1348">
        <v>0.99897969999999903</v>
      </c>
      <c r="AB1348">
        <v>32</v>
      </c>
      <c r="AC1348">
        <v>-0.65919999999999801</v>
      </c>
      <c r="AD1348">
        <v>-7.8622999999999804E-2</v>
      </c>
      <c r="AE1348">
        <v>-2.9500000000041299E-2</v>
      </c>
      <c r="AF1348">
        <v>-4.1725958382968803E-2</v>
      </c>
      <c r="AG1348">
        <v>-7.8622999999999804E-2</v>
      </c>
      <c r="AH1348">
        <v>0.64928350089189402</v>
      </c>
      <c r="AI1348">
        <v>96.890364285180496</v>
      </c>
      <c r="AJ1348">
        <v>93.677035162416502</v>
      </c>
      <c r="AK1348">
        <v>0.65535615985692197</v>
      </c>
    </row>
    <row r="1349" spans="1:37" x14ac:dyDescent="0.2">
      <c r="A1349" t="str">
        <f>"20200111160129555"</f>
        <v>20200111160129555</v>
      </c>
      <c r="B1349" t="str">
        <f>"1578729689552299"</f>
        <v>1578729689552299</v>
      </c>
      <c r="C1349" t="s">
        <v>37</v>
      </c>
      <c r="D1349">
        <v>5.2133050000000001</v>
      </c>
      <c r="E1349">
        <v>0.4873384</v>
      </c>
      <c r="F1349" t="s">
        <v>42</v>
      </c>
      <c r="G1349">
        <v>-267.4803</v>
      </c>
      <c r="H1349">
        <v>1.0269090000000001</v>
      </c>
      <c r="I1349">
        <v>285.58999999999997</v>
      </c>
      <c r="J1349">
        <v>-266.83949999999999</v>
      </c>
      <c r="K1349">
        <v>1.103963</v>
      </c>
      <c r="L1349">
        <v>285.6189</v>
      </c>
      <c r="M1349">
        <v>-0.99982599999999999</v>
      </c>
      <c r="N1349">
        <v>0</v>
      </c>
      <c r="O1349">
        <v>1.8275739999999999E-2</v>
      </c>
      <c r="P1349">
        <v>-0.99969019999999997</v>
      </c>
      <c r="Q1349">
        <v>-2.1515289999999999E-2</v>
      </c>
      <c r="R1349">
        <v>1.252462E-2</v>
      </c>
      <c r="S1349">
        <v>-2.9963989999999998</v>
      </c>
      <c r="T1349">
        <v>-0.24264569999999999</v>
      </c>
      <c r="U1349">
        <v>-7.5561519999999993E-2</v>
      </c>
      <c r="V1349">
        <v>-5.6994840000000003E-3</v>
      </c>
      <c r="W1349">
        <v>-1.7756890000000001E-2</v>
      </c>
      <c r="X1349">
        <v>0.99982610000000005</v>
      </c>
      <c r="Y1349">
        <v>-4.3273909999999999E-2</v>
      </c>
      <c r="Z1349">
        <v>-3.2263370000000001E-3</v>
      </c>
      <c r="AA1349">
        <v>0.999058</v>
      </c>
      <c r="AB1349">
        <v>32</v>
      </c>
      <c r="AC1349">
        <v>-0.64080000000001203</v>
      </c>
      <c r="AD1349">
        <v>-7.70539999999999E-2</v>
      </c>
      <c r="AE1349">
        <v>-2.8900000000021402E-2</v>
      </c>
      <c r="AF1349">
        <v>-4.0028739009677801E-2</v>
      </c>
      <c r="AG1349">
        <v>-7.70539999999999E-2</v>
      </c>
      <c r="AH1349">
        <v>0.63105869719053798</v>
      </c>
      <c r="AI1349">
        <v>96.947685825877699</v>
      </c>
      <c r="AJ1349">
        <v>93.629471047513505</v>
      </c>
      <c r="AK1349">
        <v>0.63700447263934001</v>
      </c>
    </row>
    <row r="1350" spans="1:37" x14ac:dyDescent="0.2">
      <c r="A1350" t="str">
        <f>"20200111160129578"</f>
        <v>20200111160129578</v>
      </c>
      <c r="B1350" t="str">
        <f>"1578729689572484"</f>
        <v>1578729689572484</v>
      </c>
      <c r="C1350" t="s">
        <v>37</v>
      </c>
      <c r="D1350">
        <v>5.3362699999999998</v>
      </c>
      <c r="E1350">
        <v>0.48687929999999902</v>
      </c>
      <c r="F1350" t="s">
        <v>60</v>
      </c>
      <c r="G1350">
        <v>-280.56889999999999</v>
      </c>
      <c r="H1350" s="1">
        <v>8.0168269999999997E-6</v>
      </c>
      <c r="I1350">
        <v>285.26069999999999</v>
      </c>
      <c r="J1350">
        <v>-267.17959999999999</v>
      </c>
      <c r="K1350">
        <v>1.103893</v>
      </c>
      <c r="L1350">
        <v>285.62400000000002</v>
      </c>
      <c r="M1350">
        <v>-0.99984589999999995</v>
      </c>
      <c r="N1350">
        <v>0</v>
      </c>
      <c r="O1350">
        <v>1.712112E-2</v>
      </c>
      <c r="P1350">
        <v>-0.99973880000000004</v>
      </c>
      <c r="Q1350">
        <v>-1.963225E-2</v>
      </c>
      <c r="R1350">
        <v>1.171996E-2</v>
      </c>
      <c r="S1350">
        <v>-2.9967039999999998</v>
      </c>
      <c r="T1350">
        <v>-0.24096039999999999</v>
      </c>
      <c r="U1350">
        <v>-7.8186039999999998E-2</v>
      </c>
      <c r="V1350">
        <v>-5.3592619999999896E-3</v>
      </c>
      <c r="W1350">
        <v>-1.5748930000000001E-2</v>
      </c>
      <c r="X1350">
        <v>0.99986160000000002</v>
      </c>
      <c r="Y1350">
        <v>-4.299948E-2</v>
      </c>
      <c r="Z1350">
        <v>-3.099952E-3</v>
      </c>
      <c r="AA1350">
        <v>0.99907029999999997</v>
      </c>
      <c r="AB1350">
        <v>32</v>
      </c>
      <c r="AC1350">
        <v>-13.389299999999899</v>
      </c>
      <c r="AD1350">
        <v>-1.103884983173</v>
      </c>
      <c r="AE1350">
        <v>-0.36330000000003698</v>
      </c>
      <c r="AF1350">
        <v>-0.58849111796382203</v>
      </c>
      <c r="AG1350">
        <v>-1.103884983173</v>
      </c>
      <c r="AH1350">
        <v>13.2908428156677</v>
      </c>
      <c r="AI1350">
        <v>94.743237931926799</v>
      </c>
      <c r="AJ1350">
        <v>92.535283016940696</v>
      </c>
      <c r="AK1350">
        <v>13.3495837614055</v>
      </c>
    </row>
    <row r="1351" spans="1:37" x14ac:dyDescent="0.2">
      <c r="A1351" t="str">
        <f>"20200111160129601"</f>
        <v>20200111160129601</v>
      </c>
      <c r="B1351" t="str">
        <f>"1578729689592004"</f>
        <v>1578729689592004</v>
      </c>
      <c r="C1351" t="s">
        <v>37</v>
      </c>
      <c r="D1351">
        <v>5.8089589999999998</v>
      </c>
      <c r="E1351">
        <v>0.4868537</v>
      </c>
      <c r="F1351" t="s">
        <v>60</v>
      </c>
      <c r="G1351">
        <v>-281.12549999999999</v>
      </c>
      <c r="H1351" s="1">
        <v>7.7762440000000006E-6</v>
      </c>
      <c r="I1351">
        <v>285.23039999999997</v>
      </c>
      <c r="J1351">
        <v>-267.5147</v>
      </c>
      <c r="K1351">
        <v>1.10381</v>
      </c>
      <c r="L1351">
        <v>285.62869999999998</v>
      </c>
      <c r="M1351">
        <v>-0.99986209999999898</v>
      </c>
      <c r="N1351">
        <v>0</v>
      </c>
      <c r="O1351">
        <v>1.611957E-2</v>
      </c>
      <c r="P1351">
        <v>-0.99978909999999999</v>
      </c>
      <c r="Q1351">
        <v>-1.7712169999999999E-2</v>
      </c>
      <c r="R1351">
        <v>1.0410569999999999E-2</v>
      </c>
      <c r="S1351">
        <v>-2.997131</v>
      </c>
      <c r="T1351">
        <v>-0.23723659999999999</v>
      </c>
      <c r="U1351">
        <v>-8.4594730000000007E-2</v>
      </c>
      <c r="V1351">
        <v>-5.6755310000000002E-3</v>
      </c>
      <c r="W1351">
        <v>-1.371313E-2</v>
      </c>
      <c r="X1351">
        <v>0.9998899</v>
      </c>
      <c r="Y1351">
        <v>-4.4135279999999999E-2</v>
      </c>
      <c r="Z1351">
        <v>-3.0174159999999898E-3</v>
      </c>
      <c r="AA1351">
        <v>0.99902099999999905</v>
      </c>
      <c r="AB1351">
        <v>32</v>
      </c>
      <c r="AC1351">
        <v>-13.6107999999999</v>
      </c>
      <c r="AD1351">
        <v>-1.1038022237559999</v>
      </c>
      <c r="AE1351">
        <v>-0.39830000000000598</v>
      </c>
      <c r="AF1351">
        <v>-0.61361804496832495</v>
      </c>
      <c r="AG1351">
        <v>-1.1038022237559999</v>
      </c>
      <c r="AH1351">
        <v>13.5138093658722</v>
      </c>
      <c r="AI1351">
        <v>94.664743969845105</v>
      </c>
      <c r="AJ1351">
        <v>92.599828863903994</v>
      </c>
      <c r="AK1351">
        <v>13.572691333387599</v>
      </c>
    </row>
    <row r="1352" spans="1:37" x14ac:dyDescent="0.2">
      <c r="A1352" t="str">
        <f>"20200111160129624"</f>
        <v>20200111160129624</v>
      </c>
      <c r="B1352" t="str">
        <f>"1578729689612500"</f>
        <v>1578729689612500</v>
      </c>
      <c r="C1352" t="s">
        <v>37</v>
      </c>
      <c r="D1352">
        <v>5.5091019999999897</v>
      </c>
      <c r="E1352">
        <v>0.48711890000000002</v>
      </c>
      <c r="F1352" t="s">
        <v>60</v>
      </c>
      <c r="G1352">
        <v>-282.00819999999999</v>
      </c>
      <c r="H1352" s="1">
        <v>7.391074E-6</v>
      </c>
      <c r="I1352">
        <v>285.20010000000002</v>
      </c>
      <c r="J1352">
        <v>-267.84160000000003</v>
      </c>
      <c r="K1352">
        <v>1.1037269999999999</v>
      </c>
      <c r="L1352">
        <v>285.63319999999999</v>
      </c>
      <c r="M1352">
        <v>-0.99987490000000001</v>
      </c>
      <c r="N1352">
        <v>0</v>
      </c>
      <c r="O1352">
        <v>1.5273770000000001E-2</v>
      </c>
      <c r="P1352">
        <v>-0.99982769999999999</v>
      </c>
      <c r="Q1352">
        <v>-1.632169E-2</v>
      </c>
      <c r="R1352">
        <v>8.8367150000000002E-3</v>
      </c>
      <c r="S1352">
        <v>-2.99749799999999</v>
      </c>
      <c r="T1352">
        <v>-0.2282846</v>
      </c>
      <c r="U1352">
        <v>-8.8653560000000006E-2</v>
      </c>
      <c r="V1352">
        <v>-6.410855E-3</v>
      </c>
      <c r="W1352">
        <v>-1.2217759999999999E-2</v>
      </c>
      <c r="X1352">
        <v>0.99990480000000004</v>
      </c>
      <c r="Y1352">
        <v>-4.4653310000000002E-2</v>
      </c>
      <c r="Z1352">
        <v>-2.8588670000000002E-3</v>
      </c>
      <c r="AA1352">
        <v>0.99899850000000001</v>
      </c>
      <c r="AB1352">
        <v>33</v>
      </c>
      <c r="AC1352">
        <v>-14.166599999999899</v>
      </c>
      <c r="AD1352">
        <v>-1.103719608926</v>
      </c>
      <c r="AE1352">
        <v>-0.43309999999996701</v>
      </c>
      <c r="AF1352">
        <v>-0.64551410587319802</v>
      </c>
      <c r="AG1352">
        <v>-1.103719608926</v>
      </c>
      <c r="AH1352">
        <v>14.0729894988807</v>
      </c>
      <c r="AI1352">
        <v>94.479735932221899</v>
      </c>
      <c r="AJ1352">
        <v>92.626259901697793</v>
      </c>
      <c r="AK1352">
        <v>14.1309560494546</v>
      </c>
    </row>
    <row r="1353" spans="1:37" x14ac:dyDescent="0.2">
      <c r="A1353" t="str">
        <f>"20200111160129646"</f>
        <v>20200111160129646</v>
      </c>
      <c r="B1353" t="str">
        <f>"1578729689642756"</f>
        <v>1578729689642756</v>
      </c>
      <c r="C1353" t="s">
        <v>37</v>
      </c>
      <c r="D1353">
        <v>5.198143</v>
      </c>
      <c r="E1353">
        <v>0.48715000000000003</v>
      </c>
      <c r="F1353" t="s">
        <v>60</v>
      </c>
      <c r="G1353">
        <v>-282.46140000000003</v>
      </c>
      <c r="H1353" s="1">
        <v>7.1928019999999996E-6</v>
      </c>
      <c r="I1353">
        <v>285.18709999999999</v>
      </c>
      <c r="J1353">
        <v>-268.15550000000002</v>
      </c>
      <c r="K1353">
        <v>1.1036459999999999</v>
      </c>
      <c r="L1353">
        <v>285.63729999999998</v>
      </c>
      <c r="M1353">
        <v>-0.99988480000000002</v>
      </c>
      <c r="N1353">
        <v>0</v>
      </c>
      <c r="O1353">
        <v>1.458453E-2</v>
      </c>
      <c r="P1353">
        <v>-0.99986189999999997</v>
      </c>
      <c r="Q1353">
        <v>-1.514279E-2</v>
      </c>
      <c r="R1353">
        <v>6.8809359999999998E-3</v>
      </c>
      <c r="S1353">
        <v>-2.9976500000000001</v>
      </c>
      <c r="T1353">
        <v>-0.2263085</v>
      </c>
      <c r="U1353">
        <v>-9.1461180000000003E-2</v>
      </c>
      <c r="V1353">
        <v>-7.68256699999999E-3</v>
      </c>
      <c r="W1353">
        <v>-1.0946620000000001E-2</v>
      </c>
      <c r="X1353">
        <v>0.99991059999999998</v>
      </c>
      <c r="Y1353">
        <v>-4.4902249999999998E-2</v>
      </c>
      <c r="Z1353">
        <v>-2.7914400000000001E-3</v>
      </c>
      <c r="AA1353">
        <v>0.99898750000000003</v>
      </c>
      <c r="AB1353">
        <v>33</v>
      </c>
      <c r="AC1353">
        <v>-14.305899999999999</v>
      </c>
      <c r="AD1353">
        <v>-1.1036388071979999</v>
      </c>
      <c r="AE1353">
        <v>-0.45019999999999499</v>
      </c>
      <c r="AF1353">
        <v>-0.65490500278053698</v>
      </c>
      <c r="AG1353">
        <v>-1.1036388071979999</v>
      </c>
      <c r="AH1353">
        <v>14.2133061442941</v>
      </c>
      <c r="AI1353">
        <v>94.435322872903797</v>
      </c>
      <c r="AJ1353">
        <v>92.638145625671498</v>
      </c>
      <c r="AK1353">
        <v>14.271124368137601</v>
      </c>
    </row>
    <row r="1354" spans="1:37" x14ac:dyDescent="0.2">
      <c r="A1354" t="str">
        <f>"20200111160129668"</f>
        <v>20200111160129668</v>
      </c>
      <c r="B1354" t="str">
        <f>"1578729689662276"</f>
        <v>1578729689662276</v>
      </c>
      <c r="C1354" t="s">
        <v>37</v>
      </c>
      <c r="D1354">
        <v>5.2076399999999996</v>
      </c>
      <c r="E1354">
        <v>0.48727109999999901</v>
      </c>
      <c r="F1354" t="s">
        <v>60</v>
      </c>
      <c r="G1354">
        <v>-282.78890000000001</v>
      </c>
      <c r="H1354" s="1">
        <v>7.0530199999999998E-6</v>
      </c>
      <c r="I1354">
        <v>285.16059999999999</v>
      </c>
      <c r="J1354">
        <v>-268.48660000000001</v>
      </c>
      <c r="K1354">
        <v>1.1035520000000001</v>
      </c>
      <c r="L1354">
        <v>285.64150000000001</v>
      </c>
      <c r="M1354">
        <v>-0.99989309999999998</v>
      </c>
      <c r="N1354">
        <v>0</v>
      </c>
      <c r="O1354">
        <v>1.397875E-2</v>
      </c>
      <c r="P1354">
        <v>-0.99987929999999903</v>
      </c>
      <c r="Q1354">
        <v>-1.445486E-2</v>
      </c>
      <c r="R1354">
        <v>5.6975940000000003E-3</v>
      </c>
      <c r="S1354">
        <v>-2.9976500000000001</v>
      </c>
      <c r="T1354">
        <v>-0.22608020000000001</v>
      </c>
      <c r="U1354">
        <v>-9.765625E-2</v>
      </c>
      <c r="V1354">
        <v>-8.2647989999999998E-3</v>
      </c>
      <c r="W1354">
        <v>-1.0164909999999999E-2</v>
      </c>
      <c r="X1354">
        <v>0.99991419999999998</v>
      </c>
      <c r="Y1354">
        <v>-4.6357429999999998E-2</v>
      </c>
      <c r="Z1354">
        <v>-2.7977150000000001E-3</v>
      </c>
      <c r="AA1354">
        <v>0.99892099999999995</v>
      </c>
      <c r="AB1354">
        <v>33</v>
      </c>
      <c r="AC1354">
        <v>-14.302300000000001</v>
      </c>
      <c r="AD1354">
        <v>-1.1035449469800001</v>
      </c>
      <c r="AE1354">
        <v>-0.48090000000001898</v>
      </c>
      <c r="AF1354">
        <v>-0.67675863064667496</v>
      </c>
      <c r="AG1354">
        <v>-1.1035449469800001</v>
      </c>
      <c r="AH1354">
        <v>14.209679092708599</v>
      </c>
      <c r="AI1354">
        <v>94.435754596176693</v>
      </c>
      <c r="AJ1354">
        <v>92.7267424461308</v>
      </c>
      <c r="AK1354">
        <v>14.268524577261701</v>
      </c>
    </row>
    <row r="1355" spans="1:37" x14ac:dyDescent="0.2">
      <c r="A1355" t="str">
        <f>"20200111160129691"</f>
        <v>20200111160129691</v>
      </c>
      <c r="B1355" t="str">
        <f>"1578729689682303"</f>
        <v>1578729689682303</v>
      </c>
      <c r="C1355" t="s">
        <v>37</v>
      </c>
      <c r="D1355">
        <v>6.1380999999999997</v>
      </c>
      <c r="E1355">
        <v>0.48730959999999901</v>
      </c>
      <c r="F1355" t="s">
        <v>60</v>
      </c>
      <c r="G1355">
        <v>-283.06549999999999</v>
      </c>
      <c r="H1355" s="1">
        <v>6.9320589999999996E-6</v>
      </c>
      <c r="I1355">
        <v>285.1524</v>
      </c>
      <c r="J1355">
        <v>-268.81909999999999</v>
      </c>
      <c r="K1355">
        <v>1.1034729999999999</v>
      </c>
      <c r="L1355">
        <v>285.6456</v>
      </c>
      <c r="M1355">
        <v>-0.99989939999999999</v>
      </c>
      <c r="N1355">
        <v>0</v>
      </c>
      <c r="O1355">
        <v>1.34878999999999E-2</v>
      </c>
      <c r="P1355">
        <v>-0.99990000000000001</v>
      </c>
      <c r="Q1355">
        <v>-1.328317E-2</v>
      </c>
      <c r="R1355">
        <v>4.8578240000000002E-3</v>
      </c>
      <c r="S1355">
        <v>-2.9976500000000001</v>
      </c>
      <c r="T1355">
        <v>-0.22690589999999899</v>
      </c>
      <c r="U1355">
        <v>-0.1005554</v>
      </c>
      <c r="V1355">
        <v>-8.6177349999999996E-3</v>
      </c>
      <c r="W1355">
        <v>-8.882081E-3</v>
      </c>
      <c r="X1355">
        <v>0.99992340000000002</v>
      </c>
      <c r="Y1355">
        <v>-4.6830919999999998E-2</v>
      </c>
      <c r="Z1355">
        <v>-2.7886590000000002E-3</v>
      </c>
      <c r="AA1355">
        <v>0.99889889999999903</v>
      </c>
      <c r="AB1355">
        <v>33</v>
      </c>
      <c r="AC1355">
        <v>-14.2463999999999</v>
      </c>
      <c r="AD1355">
        <v>-1.103466067941</v>
      </c>
      <c r="AE1355">
        <v>-0.49320000000000103</v>
      </c>
      <c r="AF1355">
        <v>-0.68122893303529397</v>
      </c>
      <c r="AG1355">
        <v>-1.103466067941</v>
      </c>
      <c r="AH1355">
        <v>14.153640064337599</v>
      </c>
      <c r="AI1355">
        <v>94.452822845556099</v>
      </c>
      <c r="AJ1355">
        <v>92.755576962275597</v>
      </c>
      <c r="AK1355">
        <v>14.2129250083551</v>
      </c>
    </row>
    <row r="1356" spans="1:37" x14ac:dyDescent="0.2">
      <c r="A1356" t="str">
        <f>"20200111160129713"</f>
        <v>20200111160129713</v>
      </c>
      <c r="B1356" t="str">
        <f>"1578729689702799"</f>
        <v>1578729689702799</v>
      </c>
      <c r="C1356" t="s">
        <v>37</v>
      </c>
      <c r="D1356">
        <v>5.1827809999999896</v>
      </c>
      <c r="E1356">
        <v>0.48745749999999999</v>
      </c>
      <c r="F1356" t="s">
        <v>60</v>
      </c>
      <c r="G1356">
        <v>-283.53649999999999</v>
      </c>
      <c r="H1356" s="1">
        <v>6.7257279999999998E-6</v>
      </c>
      <c r="I1356">
        <v>285.14010000000002</v>
      </c>
      <c r="J1356">
        <v>-269.15879999999999</v>
      </c>
      <c r="K1356">
        <v>1.103423</v>
      </c>
      <c r="L1356">
        <v>285.64980000000003</v>
      </c>
      <c r="M1356">
        <v>-0.99990400000000002</v>
      </c>
      <c r="N1356">
        <v>0</v>
      </c>
      <c r="O1356">
        <v>1.309277E-2</v>
      </c>
      <c r="P1356">
        <v>-0.99991260000000004</v>
      </c>
      <c r="Q1356">
        <v>-1.2337219999999999E-2</v>
      </c>
      <c r="R1356">
        <v>4.8082309999999996E-3</v>
      </c>
      <c r="S1356">
        <v>-2.99780299999999</v>
      </c>
      <c r="T1356">
        <v>-0.22476660000000001</v>
      </c>
      <c r="U1356">
        <v>-0.1029663</v>
      </c>
      <c r="V1356">
        <v>-8.2749909999999902E-3</v>
      </c>
      <c r="W1356">
        <v>-7.7639079999999999E-3</v>
      </c>
      <c r="X1356">
        <v>0.99993559999999904</v>
      </c>
      <c r="Y1356">
        <v>-4.72401E-2</v>
      </c>
      <c r="Z1356">
        <v>-2.7480019999999998E-3</v>
      </c>
      <c r="AA1356">
        <v>0.99887979999999998</v>
      </c>
      <c r="AB1356">
        <v>33</v>
      </c>
      <c r="AC1356">
        <v>-14.377700000000001</v>
      </c>
      <c r="AD1356">
        <v>-1.103416274272</v>
      </c>
      <c r="AE1356">
        <v>-0.50970000000000903</v>
      </c>
      <c r="AF1356">
        <v>-0.69382083508550996</v>
      </c>
      <c r="AG1356">
        <v>-1.103416274272</v>
      </c>
      <c r="AH1356">
        <v>14.285759613652701</v>
      </c>
      <c r="AI1356">
        <v>94.411514196157299</v>
      </c>
      <c r="AJ1356">
        <v>92.780516723358403</v>
      </c>
      <c r="AK1356">
        <v>14.3450982068649</v>
      </c>
    </row>
    <row r="1357" spans="1:37" x14ac:dyDescent="0.2">
      <c r="A1357" t="str">
        <f>"20200111160129735"</f>
        <v>20200111160129735</v>
      </c>
      <c r="B1357" t="str">
        <f>"1578729689732079"</f>
        <v>1578729689732079</v>
      </c>
      <c r="C1357" t="s">
        <v>37</v>
      </c>
      <c r="D1357">
        <v>5.4040739999999996</v>
      </c>
      <c r="E1357">
        <v>0.48739559999999998</v>
      </c>
      <c r="F1357" t="s">
        <v>60</v>
      </c>
      <c r="G1357">
        <v>-283.85730000000001</v>
      </c>
      <c r="H1357" s="1">
        <v>6.5818609999999996E-6</v>
      </c>
      <c r="I1357">
        <v>285.147999999999</v>
      </c>
      <c r="J1357">
        <v>-269.48200000000003</v>
      </c>
      <c r="K1357">
        <v>1.103394</v>
      </c>
      <c r="L1357">
        <v>285.65370000000001</v>
      </c>
      <c r="M1357">
        <v>-0.99990679999999998</v>
      </c>
      <c r="N1357">
        <v>0</v>
      </c>
      <c r="O1357">
        <v>1.2785609999999999E-2</v>
      </c>
      <c r="P1357">
        <v>-0.99990939999999995</v>
      </c>
      <c r="Q1357">
        <v>-1.2329939999999999E-2</v>
      </c>
      <c r="R1357">
        <v>5.4306809999999997E-3</v>
      </c>
      <c r="S1357">
        <v>-2.997986</v>
      </c>
      <c r="T1357">
        <v>-0.22505900000000001</v>
      </c>
      <c r="U1357">
        <v>-0.102355999999999</v>
      </c>
      <c r="V1357">
        <v>-7.3476100000000001E-3</v>
      </c>
      <c r="W1357">
        <v>-7.5439050000000001E-3</v>
      </c>
      <c r="X1357">
        <v>0.99994459999999996</v>
      </c>
      <c r="Y1357">
        <v>-4.6729930000000003E-2</v>
      </c>
      <c r="Z1357">
        <v>-2.7092709999999901E-3</v>
      </c>
      <c r="AA1357">
        <v>0.99890389999999996</v>
      </c>
      <c r="AB1357">
        <v>33</v>
      </c>
      <c r="AC1357">
        <v>-14.3752999999999</v>
      </c>
      <c r="AD1357">
        <v>-1.103387418139</v>
      </c>
      <c r="AE1357">
        <v>-0.505700000000047</v>
      </c>
      <c r="AF1357">
        <v>-0.68542459539044998</v>
      </c>
      <c r="AG1357">
        <v>-1.103387418139</v>
      </c>
      <c r="AH1357">
        <v>14.2836120089395</v>
      </c>
      <c r="AI1357">
        <v>94.412182816813797</v>
      </c>
      <c r="AJ1357">
        <v>92.747332663872697</v>
      </c>
      <c r="AK1357">
        <v>14.342553562472601</v>
      </c>
    </row>
    <row r="1358" spans="1:37" x14ac:dyDescent="0.2">
      <c r="A1358" t="str">
        <f>"20200111160129758"</f>
        <v>20200111160129758</v>
      </c>
      <c r="B1358" t="str">
        <f>"1578729689752575"</f>
        <v>1578729689752575</v>
      </c>
      <c r="C1358" t="s">
        <v>37</v>
      </c>
      <c r="D1358">
        <v>5.297758</v>
      </c>
      <c r="E1358">
        <v>0.48744149999999897</v>
      </c>
      <c r="F1358" t="s">
        <v>60</v>
      </c>
      <c r="G1358">
        <v>-284.0016</v>
      </c>
      <c r="H1358" s="1">
        <v>6.5143719999999999E-6</v>
      </c>
      <c r="I1358">
        <v>285.16489999999999</v>
      </c>
      <c r="J1358">
        <v>-269.82569999999998</v>
      </c>
      <c r="K1358">
        <v>1.1034010000000001</v>
      </c>
      <c r="L1358">
        <v>285.65780000000001</v>
      </c>
      <c r="M1358">
        <v>-0.99990849999999898</v>
      </c>
      <c r="N1358">
        <v>0</v>
      </c>
      <c r="O1358">
        <v>1.2518799999999899E-2</v>
      </c>
      <c r="P1358">
        <v>-0.99987780000000004</v>
      </c>
      <c r="Q1358">
        <v>-1.4247289999999999E-2</v>
      </c>
      <c r="R1358">
        <v>6.443514E-3</v>
      </c>
      <c r="S1358">
        <v>-2.9980159999999998</v>
      </c>
      <c r="T1358">
        <v>-0.227828899999999</v>
      </c>
      <c r="U1358">
        <v>-0.1009216</v>
      </c>
      <c r="V1358">
        <v>-6.067289E-3</v>
      </c>
      <c r="W1358">
        <v>-9.1124929999999993E-3</v>
      </c>
      <c r="X1358">
        <v>0.9999401</v>
      </c>
      <c r="Y1358">
        <v>-4.5984480000000001E-2</v>
      </c>
      <c r="Z1358">
        <v>-2.6939970000000001E-3</v>
      </c>
      <c r="AA1358">
        <v>0.99893849999999995</v>
      </c>
      <c r="AB1358">
        <v>33</v>
      </c>
      <c r="AC1358">
        <v>-14.1759</v>
      </c>
      <c r="AD1358">
        <v>-1.103394485628</v>
      </c>
      <c r="AE1358">
        <v>-0.49290000000001999</v>
      </c>
      <c r="AF1358">
        <v>-0.66629711950340997</v>
      </c>
      <c r="AG1358">
        <v>-1.103394485628</v>
      </c>
      <c r="AH1358">
        <v>14.083398202925499</v>
      </c>
      <c r="AI1358">
        <v>94.474826526450897</v>
      </c>
      <c r="AJ1358">
        <v>92.708690558466103</v>
      </c>
      <c r="AK1358">
        <v>14.1422606461817</v>
      </c>
    </row>
    <row r="1359" spans="1:37" x14ac:dyDescent="0.2">
      <c r="A1359" t="str">
        <f>"20200111160129779"</f>
        <v>20200111160129779</v>
      </c>
      <c r="B1359" t="str">
        <f>"1578729689772095"</f>
        <v>1578729689772095</v>
      </c>
      <c r="C1359" t="s">
        <v>37</v>
      </c>
      <c r="D1359">
        <v>5.3742700000000001</v>
      </c>
      <c r="E1359">
        <v>0.48744199999999999</v>
      </c>
      <c r="F1359" t="s">
        <v>60</v>
      </c>
      <c r="G1359">
        <v>-283.88990000000001</v>
      </c>
      <c r="H1359" s="1">
        <v>6.5565790000000001E-6</v>
      </c>
      <c r="I1359">
        <v>285.2002</v>
      </c>
      <c r="J1359">
        <v>-270.15879999999999</v>
      </c>
      <c r="K1359">
        <v>1.103458</v>
      </c>
      <c r="L1359">
        <v>285.66180000000003</v>
      </c>
      <c r="M1359">
        <v>-0.99990820000000002</v>
      </c>
      <c r="N1359">
        <v>0</v>
      </c>
      <c r="O1359">
        <v>1.2308899999999999E-2</v>
      </c>
      <c r="P1359">
        <v>-0.99982079999999995</v>
      </c>
      <c r="Q1359">
        <v>-1.7034270000000001E-2</v>
      </c>
      <c r="R1359">
        <v>8.2615359999999999E-3</v>
      </c>
      <c r="S1359">
        <v>-2.9976500000000001</v>
      </c>
      <c r="T1359">
        <v>-0.2351779</v>
      </c>
      <c r="U1359">
        <v>-9.7534179999999998E-2</v>
      </c>
      <c r="V1359">
        <v>-4.0383650000000004E-3</v>
      </c>
      <c r="W1359">
        <v>-1.135618E-2</v>
      </c>
      <c r="X1359">
        <v>0.99992729999999996</v>
      </c>
      <c r="Y1359">
        <v>-4.4644959999999997E-2</v>
      </c>
      <c r="Z1359">
        <v>-2.7121369999999999E-3</v>
      </c>
      <c r="AA1359">
        <v>0.99899919999999998</v>
      </c>
      <c r="AB1359">
        <v>33</v>
      </c>
      <c r="AC1359">
        <v>-13.7311</v>
      </c>
      <c r="AD1359">
        <v>-1.1034514434210001</v>
      </c>
      <c r="AE1359">
        <v>-0.46160000000003198</v>
      </c>
      <c r="AF1359">
        <v>-0.62654086483307303</v>
      </c>
      <c r="AG1359">
        <v>-1.1034514434210001</v>
      </c>
      <c r="AH1359">
        <v>13.636413759715101</v>
      </c>
      <c r="AI1359">
        <v>94.621410150198201</v>
      </c>
      <c r="AJ1359">
        <v>92.630671003602501</v>
      </c>
      <c r="AK1359">
        <v>13.6953254349592</v>
      </c>
    </row>
    <row r="1360" spans="1:37" x14ac:dyDescent="0.2">
      <c r="A1360" t="str">
        <f>"20200111160129803"</f>
        <v>20200111160129803</v>
      </c>
      <c r="B1360" t="str">
        <f>"1578729689792591"</f>
        <v>1578729689792591</v>
      </c>
      <c r="C1360" t="s">
        <v>37</v>
      </c>
      <c r="D1360">
        <v>5.2751049999999999</v>
      </c>
      <c r="E1360">
        <v>0.48750870000000002</v>
      </c>
      <c r="F1360" t="s">
        <v>60</v>
      </c>
      <c r="G1360">
        <v>-283.57530000000003</v>
      </c>
      <c r="H1360" s="1">
        <v>6.6857409999999999E-6</v>
      </c>
      <c r="I1360">
        <v>285.25029999999998</v>
      </c>
      <c r="J1360">
        <v>-270.50439999999998</v>
      </c>
      <c r="K1360">
        <v>1.1035569999999999</v>
      </c>
      <c r="L1360">
        <v>285.66590000000002</v>
      </c>
      <c r="M1360">
        <v>-0.99990569999999901</v>
      </c>
      <c r="N1360">
        <v>0</v>
      </c>
      <c r="O1360">
        <v>1.2133369999999999E-2</v>
      </c>
      <c r="P1360">
        <v>-0.99972530000000004</v>
      </c>
      <c r="Q1360">
        <v>-2.044172E-2</v>
      </c>
      <c r="R1360">
        <v>1.146465E-2</v>
      </c>
      <c r="S1360">
        <v>-2.9971009999999998</v>
      </c>
      <c r="T1360">
        <v>-0.24649779999999999</v>
      </c>
      <c r="U1360">
        <v>-9.1918949999999999E-2</v>
      </c>
      <c r="V1360">
        <v>-6.5827270000000002E-4</v>
      </c>
      <c r="W1360">
        <v>-1.399655E-2</v>
      </c>
      <c r="X1360">
        <v>0.99990179999999995</v>
      </c>
      <c r="Y1360">
        <v>-4.2595910000000001E-2</v>
      </c>
      <c r="Z1360">
        <v>-2.744345E-3</v>
      </c>
      <c r="AA1360">
        <v>0.99908859999999999</v>
      </c>
      <c r="AB1360">
        <v>33</v>
      </c>
      <c r="AC1360">
        <v>-13.0709</v>
      </c>
      <c r="AD1360">
        <v>-1.103550314259</v>
      </c>
      <c r="AE1360">
        <v>-0.41560000000003999</v>
      </c>
      <c r="AF1360">
        <v>-0.57010708084438899</v>
      </c>
      <c r="AG1360">
        <v>-1.103550314259</v>
      </c>
      <c r="AH1360">
        <v>12.9725191321038</v>
      </c>
      <c r="AI1360">
        <v>94.857682604688193</v>
      </c>
      <c r="AJ1360">
        <v>92.516375149668505</v>
      </c>
      <c r="AK1360">
        <v>13.0318493703898</v>
      </c>
    </row>
    <row r="1361" spans="1:37" x14ac:dyDescent="0.2">
      <c r="A1361" t="str">
        <f>"20200111160129825"</f>
        <v>20200111160129825</v>
      </c>
      <c r="B1361" t="str">
        <f>"1578729689822848"</f>
        <v>1578729689822848</v>
      </c>
      <c r="C1361" t="s">
        <v>37</v>
      </c>
      <c r="D1361">
        <v>5.2627899999999999</v>
      </c>
      <c r="E1361">
        <v>0.48756769999999999</v>
      </c>
      <c r="F1361" t="s">
        <v>60</v>
      </c>
      <c r="G1361">
        <v>-283.2516</v>
      </c>
      <c r="H1361" s="1">
        <v>6.8153819999999999E-6</v>
      </c>
      <c r="I1361">
        <v>285.3177</v>
      </c>
      <c r="J1361">
        <v>-270.83170000000001</v>
      </c>
      <c r="K1361">
        <v>1.1036539999999999</v>
      </c>
      <c r="L1361">
        <v>285.66969999999998</v>
      </c>
      <c r="M1361">
        <v>-0.99990179999999995</v>
      </c>
      <c r="N1361">
        <v>0</v>
      </c>
      <c r="O1361">
        <v>1.199917E-2</v>
      </c>
      <c r="P1361">
        <v>-0.99959480000000001</v>
      </c>
      <c r="Q1361">
        <v>-2.363852E-2</v>
      </c>
      <c r="R1361">
        <v>1.5861569999999998E-2</v>
      </c>
      <c r="S1361">
        <v>-2.9964599999999999</v>
      </c>
      <c r="T1361">
        <v>-0.25940920000000001</v>
      </c>
      <c r="U1361">
        <v>-8.184814E-2</v>
      </c>
      <c r="V1361">
        <v>3.8739359999999902E-3</v>
      </c>
      <c r="W1361">
        <v>-1.6391909999999999E-2</v>
      </c>
      <c r="X1361">
        <v>0.99985809999999997</v>
      </c>
      <c r="Y1361">
        <v>-3.9106790000000002E-2</v>
      </c>
      <c r="Z1361">
        <v>-2.726011E-3</v>
      </c>
      <c r="AA1361">
        <v>0.99923130000000004</v>
      </c>
      <c r="AB1361">
        <v>33</v>
      </c>
      <c r="AC1361">
        <v>-12.419899999999901</v>
      </c>
      <c r="AD1361">
        <v>-1.103647184618</v>
      </c>
      <c r="AE1361">
        <v>-0.351999999999975</v>
      </c>
      <c r="AF1361">
        <v>-0.49708506557779503</v>
      </c>
      <c r="AG1361">
        <v>-1.103647184618</v>
      </c>
      <c r="AH1361">
        <v>12.317596467706901</v>
      </c>
      <c r="AI1361">
        <v>95.115843967952202</v>
      </c>
      <c r="AJ1361">
        <v>92.310956552207998</v>
      </c>
      <c r="AK1361">
        <v>12.376926654537501</v>
      </c>
    </row>
    <row r="1362" spans="1:37" x14ac:dyDescent="0.2">
      <c r="A1362" t="str">
        <f>"20200111160129846"</f>
        <v>20200111160129846</v>
      </c>
      <c r="B1362" t="str">
        <f>"1578729689842367"</f>
        <v>1578729689842367</v>
      </c>
      <c r="C1362" t="s">
        <v>37</v>
      </c>
      <c r="D1362">
        <v>5.3517669999999997</v>
      </c>
      <c r="E1362">
        <v>0.48751309999999898</v>
      </c>
      <c r="F1362" t="s">
        <v>42</v>
      </c>
      <c r="G1362">
        <v>-271.61900000000003</v>
      </c>
      <c r="H1362">
        <v>1.0321940000000001</v>
      </c>
      <c r="I1362">
        <v>285.65179999999998</v>
      </c>
      <c r="J1362">
        <v>-271.14420000000001</v>
      </c>
      <c r="K1362">
        <v>1.1037269999999999</v>
      </c>
      <c r="L1362">
        <v>285.67329999999998</v>
      </c>
      <c r="M1362">
        <v>-0.99989729999999999</v>
      </c>
      <c r="N1362">
        <v>0</v>
      </c>
      <c r="O1362">
        <v>1.189629E-2</v>
      </c>
      <c r="P1362">
        <v>-0.99946049999999997</v>
      </c>
      <c r="Q1362">
        <v>-2.5844099999999998E-2</v>
      </c>
      <c r="R1362">
        <v>2.026557E-2</v>
      </c>
      <c r="S1362">
        <v>-2.9958800000000001</v>
      </c>
      <c r="T1362">
        <v>-0.2720419</v>
      </c>
      <c r="U1362">
        <v>-6.8603520000000001E-2</v>
      </c>
      <c r="V1362">
        <v>8.3811300000000005E-3</v>
      </c>
      <c r="W1362">
        <v>-1.7850410000000001E-2</v>
      </c>
      <c r="X1362">
        <v>0.99980559999999996</v>
      </c>
      <c r="Y1362">
        <v>-3.4594029999999998E-2</v>
      </c>
      <c r="Z1362">
        <v>-2.6451729999999998E-3</v>
      </c>
      <c r="AA1362">
        <v>0.99939789999999995</v>
      </c>
      <c r="AB1362">
        <v>33</v>
      </c>
      <c r="AC1362">
        <v>-0.47480000000001599</v>
      </c>
      <c r="AD1362">
        <v>-7.1532999999999999E-2</v>
      </c>
      <c r="AE1362">
        <v>-2.15000000000031E-2</v>
      </c>
      <c r="AF1362">
        <v>-2.65457104336447E-2</v>
      </c>
      <c r="AG1362">
        <v>-7.1532999999999999E-2</v>
      </c>
      <c r="AH1362">
        <v>0.46400020206692599</v>
      </c>
      <c r="AI1362">
        <v>98.749970983398995</v>
      </c>
      <c r="AJ1362">
        <v>93.274354252075796</v>
      </c>
      <c r="AK1362">
        <v>0.47023167944065097</v>
      </c>
    </row>
    <row r="1363" spans="1:37" x14ac:dyDescent="0.2">
      <c r="A1363" t="str">
        <f>"20200111160129869"</f>
        <v>20200111160129869</v>
      </c>
      <c r="B1363" t="str">
        <f>"1578729689862864"</f>
        <v>1578729689862864</v>
      </c>
      <c r="C1363" t="s">
        <v>37</v>
      </c>
      <c r="D1363">
        <v>5.4054080000000004</v>
      </c>
      <c r="E1363">
        <v>0.48754330000000001</v>
      </c>
      <c r="F1363" t="s">
        <v>42</v>
      </c>
      <c r="G1363">
        <v>-271.9126</v>
      </c>
      <c r="H1363">
        <v>1.032027</v>
      </c>
      <c r="I1363">
        <v>285.65899999999999</v>
      </c>
      <c r="J1363">
        <v>-271.49020000000002</v>
      </c>
      <c r="K1363">
        <v>1.1037870000000001</v>
      </c>
      <c r="L1363">
        <v>285.6773</v>
      </c>
      <c r="M1363">
        <v>-0.99989189999999994</v>
      </c>
      <c r="N1363">
        <v>0</v>
      </c>
      <c r="O1363">
        <v>1.18117E-2</v>
      </c>
      <c r="P1363">
        <v>-0.9993843</v>
      </c>
      <c r="Q1363">
        <v>-2.6305729999999999E-2</v>
      </c>
      <c r="R1363">
        <v>2.3217959999999999E-2</v>
      </c>
      <c r="S1363">
        <v>-2.995514</v>
      </c>
      <c r="T1363">
        <v>-0.27964739999999999</v>
      </c>
      <c r="U1363">
        <v>-5.6426999999999998E-2</v>
      </c>
      <c r="V1363">
        <v>1.1416910000000001E-2</v>
      </c>
      <c r="W1363">
        <v>-1.7536329999999999E-2</v>
      </c>
      <c r="X1363">
        <v>0.99978099999999903</v>
      </c>
      <c r="Y1363">
        <v>-3.0458820000000001E-2</v>
      </c>
      <c r="Z1363">
        <v>-2.518789E-3</v>
      </c>
      <c r="AA1363">
        <v>0.99953289999999995</v>
      </c>
      <c r="AB1363">
        <v>33</v>
      </c>
      <c r="AC1363">
        <v>-0.42239999999998101</v>
      </c>
      <c r="AD1363">
        <v>-7.1760000000000004E-2</v>
      </c>
      <c r="AE1363">
        <v>-1.8300000000010599E-2</v>
      </c>
      <c r="AF1363">
        <v>-2.2636091809311899E-2</v>
      </c>
      <c r="AG1363">
        <v>-7.1760000000000004E-2</v>
      </c>
      <c r="AH1363">
        <v>0.41033375815624601</v>
      </c>
      <c r="AI1363">
        <v>99.904926065918701</v>
      </c>
      <c r="AJ1363">
        <v>93.157525488223001</v>
      </c>
      <c r="AK1363">
        <v>0.41717584222366999</v>
      </c>
    </row>
    <row r="1364" spans="1:37" x14ac:dyDescent="0.2">
      <c r="A1364" t="str">
        <f>"20200111160129891"</f>
        <v>20200111160129891</v>
      </c>
      <c r="B1364" t="str">
        <f>"1578729689882383"</f>
        <v>1578729689882383</v>
      </c>
      <c r="C1364" t="s">
        <v>37</v>
      </c>
      <c r="D1364">
        <v>5.8104199999999997</v>
      </c>
      <c r="E1364">
        <v>0.48761890000000002</v>
      </c>
      <c r="F1364" t="s">
        <v>42</v>
      </c>
      <c r="G1364">
        <v>-272.49279999999999</v>
      </c>
      <c r="H1364">
        <v>1.0092429999999999</v>
      </c>
      <c r="I1364">
        <v>285.6617</v>
      </c>
      <c r="J1364">
        <v>-271.81060000000002</v>
      </c>
      <c r="K1364">
        <v>1.1038239999999999</v>
      </c>
      <c r="L1364">
        <v>285.68099999999998</v>
      </c>
      <c r="M1364">
        <v>-0.99988650000000001</v>
      </c>
      <c r="N1364">
        <v>0</v>
      </c>
      <c r="O1364">
        <v>1.1761890000000001E-2</v>
      </c>
      <c r="P1364">
        <v>-0.99940200000000001</v>
      </c>
      <c r="Q1364">
        <v>-2.463837E-2</v>
      </c>
      <c r="R1364">
        <v>2.4259340000000001E-2</v>
      </c>
      <c r="S1364">
        <v>-2.995514</v>
      </c>
      <c r="T1364">
        <v>-0.28267740000000002</v>
      </c>
      <c r="U1364">
        <v>-4.7271729999999998E-2</v>
      </c>
      <c r="V1364">
        <v>1.2505550000000001E-2</v>
      </c>
      <c r="W1364">
        <v>-1.520913E-2</v>
      </c>
      <c r="X1364">
        <v>0.99980609999999903</v>
      </c>
      <c r="Y1364">
        <v>-2.7364949999999999E-2</v>
      </c>
      <c r="Z1364">
        <v>-2.395692E-3</v>
      </c>
      <c r="AA1364">
        <v>0.99962260000000003</v>
      </c>
      <c r="AB1364">
        <v>33</v>
      </c>
      <c r="AC1364">
        <v>-0.68219999999996594</v>
      </c>
      <c r="AD1364">
        <v>-9.4580999999999804E-2</v>
      </c>
      <c r="AE1364">
        <v>-1.9299999999987001E-2</v>
      </c>
      <c r="AF1364">
        <v>-2.68081053972598E-2</v>
      </c>
      <c r="AG1364">
        <v>-9.4580999999999804E-2</v>
      </c>
      <c r="AH1364">
        <v>0.66907552687480198</v>
      </c>
      <c r="AI1364">
        <v>98.039694605544497</v>
      </c>
      <c r="AJ1364">
        <v>92.294464626936602</v>
      </c>
      <c r="AK1364">
        <v>0.67625904854484897</v>
      </c>
    </row>
    <row r="1365" spans="1:37" x14ac:dyDescent="0.2">
      <c r="A1365" t="str">
        <f>"20200111160129913"</f>
        <v>20200111160129913</v>
      </c>
      <c r="B1365" t="str">
        <f>"1578729689901903"</f>
        <v>1578729689901903</v>
      </c>
      <c r="C1365" t="s">
        <v>37</v>
      </c>
      <c r="D1365">
        <v>5.3624980000000004</v>
      </c>
      <c r="E1365">
        <v>0.48765379999999903</v>
      </c>
      <c r="F1365" t="s">
        <v>42</v>
      </c>
      <c r="G1365">
        <v>-272.79090000000002</v>
      </c>
      <c r="H1365">
        <v>1.0127679999999999</v>
      </c>
      <c r="I1365">
        <v>285.6669</v>
      </c>
      <c r="J1365">
        <v>-272.1456</v>
      </c>
      <c r="K1365">
        <v>1.1038559999999999</v>
      </c>
      <c r="L1365">
        <v>285.68490000000003</v>
      </c>
      <c r="M1365">
        <v>-0.99988069999999896</v>
      </c>
      <c r="N1365">
        <v>0</v>
      </c>
      <c r="O1365">
        <v>1.173246E-2</v>
      </c>
      <c r="P1365">
        <v>-0.99944840000000001</v>
      </c>
      <c r="Q1365">
        <v>-2.29215999999999E-2</v>
      </c>
      <c r="R1365">
        <v>2.4037679999999999E-2</v>
      </c>
      <c r="S1365">
        <v>-2.9960019999999998</v>
      </c>
      <c r="T1365">
        <v>-0.2783486</v>
      </c>
      <c r="U1365">
        <v>-4.3182369999999998E-2</v>
      </c>
      <c r="V1365">
        <v>1.2311290000000001E-2</v>
      </c>
      <c r="W1365">
        <v>-1.2863090000000001E-2</v>
      </c>
      <c r="X1365">
        <v>0.99984150000000005</v>
      </c>
      <c r="Y1365">
        <v>-2.5980300000000001E-2</v>
      </c>
      <c r="Z1365">
        <v>-2.2919009999999998E-3</v>
      </c>
      <c r="AA1365">
        <v>0.99965979999999999</v>
      </c>
      <c r="AB1365">
        <v>33</v>
      </c>
      <c r="AC1365">
        <v>-0.64530000000001997</v>
      </c>
      <c r="AD1365">
        <v>-9.1087999999999794E-2</v>
      </c>
      <c r="AE1365">
        <v>-1.80000000000291E-2</v>
      </c>
      <c r="AF1365">
        <v>-2.50709484863566E-2</v>
      </c>
      <c r="AG1365">
        <v>-9.1087999999999794E-2</v>
      </c>
      <c r="AH1365">
        <v>0.63245254696144904</v>
      </c>
      <c r="AI1365">
        <v>98.189235417901301</v>
      </c>
      <c r="AJ1365">
        <v>92.270064112456396</v>
      </c>
      <c r="AK1365">
        <v>0.63946993702599497</v>
      </c>
    </row>
    <row r="1366" spans="1:37" x14ac:dyDescent="0.2">
      <c r="A1366" t="str">
        <f>"20200111160129935"</f>
        <v>20200111160129935</v>
      </c>
      <c r="B1366" t="str">
        <f>"1578729689932159"</f>
        <v>1578729689932159</v>
      </c>
      <c r="C1366" t="s">
        <v>37</v>
      </c>
      <c r="D1366">
        <v>5.148199</v>
      </c>
      <c r="E1366">
        <v>0.48805179999999998</v>
      </c>
      <c r="F1366" t="s">
        <v>42</v>
      </c>
      <c r="G1366">
        <v>-273.09070000000003</v>
      </c>
      <c r="H1366">
        <v>1.020435</v>
      </c>
      <c r="I1366">
        <v>285.67149999999998</v>
      </c>
      <c r="J1366">
        <v>-272.46080000000001</v>
      </c>
      <c r="K1366">
        <v>1.1038859999999999</v>
      </c>
      <c r="L1366">
        <v>285.68849999999998</v>
      </c>
      <c r="M1366">
        <v>-0.99987539999999997</v>
      </c>
      <c r="N1366">
        <v>0</v>
      </c>
      <c r="O1366">
        <v>1.1719190000000001E-2</v>
      </c>
      <c r="P1366">
        <v>-0.99953340000000002</v>
      </c>
      <c r="Q1366">
        <v>-2.0329989999999999E-2</v>
      </c>
      <c r="R1366">
        <v>2.2807620000000001E-2</v>
      </c>
      <c r="S1366">
        <v>-2.996613</v>
      </c>
      <c r="T1366">
        <v>-0.26467259999999998</v>
      </c>
      <c r="U1366">
        <v>-4.296875E-2</v>
      </c>
      <c r="V1366">
        <v>1.10927E-2</v>
      </c>
      <c r="W1366">
        <v>-9.7358700000000006E-3</v>
      </c>
      <c r="X1366">
        <v>0.99989110000000003</v>
      </c>
      <c r="Y1366">
        <v>-2.5908830000000001E-2</v>
      </c>
      <c r="Z1366">
        <v>-2.1749870000000002E-3</v>
      </c>
      <c r="AA1366">
        <v>0.99966189999999999</v>
      </c>
      <c r="AB1366">
        <v>33</v>
      </c>
      <c r="AC1366">
        <v>-0.62990000000002</v>
      </c>
      <c r="AD1366">
        <v>-8.3451000000000095E-2</v>
      </c>
      <c r="AE1366">
        <v>-1.69999999999959E-2</v>
      </c>
      <c r="AF1366">
        <v>-2.3960913739724501E-2</v>
      </c>
      <c r="AG1366">
        <v>-8.3451000000000095E-2</v>
      </c>
      <c r="AH1366">
        <v>0.61880432145337005</v>
      </c>
      <c r="AI1366">
        <v>97.674800540745693</v>
      </c>
      <c r="AJ1366">
        <v>92.217459820608596</v>
      </c>
      <c r="AK1366">
        <v>0.624865571973371</v>
      </c>
    </row>
    <row r="1367" spans="1:37" x14ac:dyDescent="0.2">
      <c r="A1367" t="str">
        <f>"20200111160129958"</f>
        <v>20200111160129958</v>
      </c>
      <c r="B1367" t="str">
        <f>"1578729689952656"</f>
        <v>1578729689952656</v>
      </c>
      <c r="C1367" t="s">
        <v>37</v>
      </c>
      <c r="D1367">
        <v>5.2526409999999997</v>
      </c>
      <c r="E1367">
        <v>0.48827489999999901</v>
      </c>
      <c r="F1367" t="s">
        <v>42</v>
      </c>
      <c r="G1367">
        <v>-273.38929999999999</v>
      </c>
      <c r="H1367">
        <v>1.0239450000000001</v>
      </c>
      <c r="I1367">
        <v>285.67520000000002</v>
      </c>
      <c r="J1367">
        <v>-272.8152</v>
      </c>
      <c r="K1367">
        <v>1.103912</v>
      </c>
      <c r="L1367">
        <v>285.69260000000003</v>
      </c>
      <c r="M1367">
        <v>-0.99986939999999902</v>
      </c>
      <c r="N1367">
        <v>0</v>
      </c>
      <c r="O1367">
        <v>1.1721199999999999E-2</v>
      </c>
      <c r="P1367">
        <v>-0.99960949999999904</v>
      </c>
      <c r="Q1367">
        <v>-1.8891829999999998E-2</v>
      </c>
      <c r="R1367">
        <v>2.0594359999999999E-2</v>
      </c>
      <c r="S1367">
        <v>-2.997131</v>
      </c>
      <c r="T1367">
        <v>-0.25814429999999999</v>
      </c>
      <c r="U1367">
        <v>-4.3518069999999999E-2</v>
      </c>
      <c r="V1367">
        <v>8.8759080000000001E-3</v>
      </c>
      <c r="W1367">
        <v>-7.7626090000000002E-3</v>
      </c>
      <c r="X1367">
        <v>0.99993050000000006</v>
      </c>
      <c r="Y1367">
        <v>-2.6098070000000001E-2</v>
      </c>
      <c r="Z1367">
        <v>-2.129485E-3</v>
      </c>
      <c r="AA1367">
        <v>0.99965709999999997</v>
      </c>
      <c r="AB1367">
        <v>33</v>
      </c>
      <c r="AC1367">
        <v>-0.57409999999998695</v>
      </c>
      <c r="AD1367">
        <v>-7.9966999999999899E-2</v>
      </c>
      <c r="AE1367">
        <v>-1.7400000000009099E-2</v>
      </c>
      <c r="AF1367">
        <v>-2.36695469297666E-2</v>
      </c>
      <c r="AG1367">
        <v>-7.9966999999999899E-2</v>
      </c>
      <c r="AH1367">
        <v>0.56294437230997996</v>
      </c>
      <c r="AI1367">
        <v>98.0778085351198</v>
      </c>
      <c r="AJ1367">
        <v>92.407638984200204</v>
      </c>
      <c r="AK1367">
        <v>0.56908816088224601</v>
      </c>
    </row>
    <row r="1368" spans="1:37" x14ac:dyDescent="0.2">
      <c r="A1368" t="str">
        <f>"20200111160129981"</f>
        <v>20200111160129981</v>
      </c>
      <c r="B1368" t="str">
        <f>"1578729689972175"</f>
        <v>1578729689972175</v>
      </c>
      <c r="C1368" t="s">
        <v>37</v>
      </c>
      <c r="D1368">
        <v>5.1716509999999998</v>
      </c>
      <c r="E1368">
        <v>0.48853029999999997</v>
      </c>
      <c r="F1368" t="s">
        <v>42</v>
      </c>
      <c r="G1368">
        <v>-273.68959999999998</v>
      </c>
      <c r="H1368">
        <v>1.0296149999999999</v>
      </c>
      <c r="I1368">
        <v>285.67860000000002</v>
      </c>
      <c r="J1368">
        <v>-273.14879999999999</v>
      </c>
      <c r="K1368">
        <v>1.103925</v>
      </c>
      <c r="L1368">
        <v>285.69650000000001</v>
      </c>
      <c r="M1368">
        <v>-0.99986419999999998</v>
      </c>
      <c r="N1368">
        <v>0</v>
      </c>
      <c r="O1368">
        <v>1.1742860000000001E-2</v>
      </c>
      <c r="P1368">
        <v>-0.99969759999999996</v>
      </c>
      <c r="Q1368">
        <v>-1.727486E-2</v>
      </c>
      <c r="R1368">
        <v>1.7513089999999999E-2</v>
      </c>
      <c r="S1368">
        <v>-2.9973139999999998</v>
      </c>
      <c r="T1368">
        <v>-0.254808799999999</v>
      </c>
      <c r="U1368">
        <v>-4.8583979999999999E-2</v>
      </c>
      <c r="V1368">
        <v>5.7718780000000003E-3</v>
      </c>
      <c r="W1368">
        <v>-5.7010910000000001E-3</v>
      </c>
      <c r="X1368">
        <v>0.9999671</v>
      </c>
      <c r="Y1368">
        <v>-2.7805409999999999E-2</v>
      </c>
      <c r="Z1368">
        <v>-2.1761969999999999E-3</v>
      </c>
      <c r="AA1368">
        <v>0.99961100000000003</v>
      </c>
      <c r="AB1368">
        <v>33</v>
      </c>
      <c r="AC1368">
        <v>-0.54079999999998996</v>
      </c>
      <c r="AD1368">
        <v>-7.4310000000000098E-2</v>
      </c>
      <c r="AE1368">
        <v>-1.78999999999973E-2</v>
      </c>
      <c r="AF1368">
        <v>-2.3800840927386401E-2</v>
      </c>
      <c r="AG1368">
        <v>-7.4310000000000098E-2</v>
      </c>
      <c r="AH1368">
        <v>0.53054630178139595</v>
      </c>
      <c r="AI1368">
        <v>97.965252420171495</v>
      </c>
      <c r="AJ1368">
        <v>92.568624115940906</v>
      </c>
      <c r="AK1368">
        <v>0.53625351697006796</v>
      </c>
    </row>
    <row r="1369" spans="1:37" x14ac:dyDescent="0.2">
      <c r="A1369" t="str">
        <f>"20200111160130003"</f>
        <v>20200111160130003</v>
      </c>
      <c r="B1369" t="str">
        <f>"1578729689992671"</f>
        <v>1578729689992671</v>
      </c>
      <c r="C1369" t="s">
        <v>37</v>
      </c>
      <c r="D1369">
        <v>5.24627</v>
      </c>
      <c r="E1369">
        <v>0.48878739999999998</v>
      </c>
      <c r="F1369" t="s">
        <v>60</v>
      </c>
      <c r="G1369">
        <v>-286.31700000000001</v>
      </c>
      <c r="H1369" s="1">
        <v>5.4286279999999999E-6</v>
      </c>
      <c r="I1369">
        <v>285.4502</v>
      </c>
      <c r="J1369">
        <v>-273.46499999999997</v>
      </c>
      <c r="K1369">
        <v>1.103931</v>
      </c>
      <c r="L1369">
        <v>285.7002</v>
      </c>
      <c r="M1369">
        <v>-0.99985930000000001</v>
      </c>
      <c r="N1369">
        <v>0</v>
      </c>
      <c r="O1369">
        <v>1.17837999999999E-2</v>
      </c>
      <c r="P1369">
        <v>-0.99977299999999902</v>
      </c>
      <c r="Q1369">
        <v>-1.572403E-2</v>
      </c>
      <c r="R1369">
        <v>1.4392139999999999E-2</v>
      </c>
      <c r="S1369">
        <v>-2.9975890000000001</v>
      </c>
      <c r="T1369">
        <v>-0.25129580000000001</v>
      </c>
      <c r="U1369">
        <v>-5.6060789999999999E-2</v>
      </c>
      <c r="V1369">
        <v>2.609129E-3</v>
      </c>
      <c r="W1369">
        <v>-3.7786500000000002E-3</v>
      </c>
      <c r="X1369">
        <v>0.99998940000000003</v>
      </c>
      <c r="Y1369">
        <v>-3.033228E-2</v>
      </c>
      <c r="Z1369">
        <v>-2.2552129999999998E-3</v>
      </c>
      <c r="AA1369">
        <v>0.99953729999999996</v>
      </c>
      <c r="AB1369">
        <v>33</v>
      </c>
      <c r="AC1369">
        <v>-12.852</v>
      </c>
      <c r="AD1369">
        <v>-1.103925571372</v>
      </c>
      <c r="AE1369">
        <v>-0.25</v>
      </c>
      <c r="AF1369">
        <v>-0.39849981443437199</v>
      </c>
      <c r="AG1369">
        <v>-1.103925571372</v>
      </c>
      <c r="AH1369">
        <v>12.754097351113099</v>
      </c>
      <c r="AI1369">
        <v>94.944482400531001</v>
      </c>
      <c r="AJ1369">
        <v>91.7896156245029</v>
      </c>
      <c r="AK1369">
        <v>12.807983955756001</v>
      </c>
    </row>
    <row r="1370" spans="1:37" x14ac:dyDescent="0.2">
      <c r="A1370" t="str">
        <f>"20200111160130071"</f>
        <v>20200111160130071</v>
      </c>
      <c r="B1370" t="str">
        <f>"1578729690061967"</f>
        <v>1578729690061967</v>
      </c>
      <c r="C1370" t="s">
        <v>37</v>
      </c>
      <c r="D1370">
        <v>5.2626099999999996</v>
      </c>
      <c r="E1370">
        <v>0.4892534</v>
      </c>
      <c r="F1370" t="s">
        <v>60</v>
      </c>
      <c r="G1370">
        <v>-286.81009999999998</v>
      </c>
      <c r="H1370" s="1">
        <v>5.216702E-6</v>
      </c>
      <c r="I1370">
        <v>285.41759999999999</v>
      </c>
      <c r="J1370">
        <v>-274.4683</v>
      </c>
      <c r="K1370">
        <v>1.103909</v>
      </c>
      <c r="L1370">
        <v>285.71230000000003</v>
      </c>
      <c r="M1370">
        <v>-0.99984499999999998</v>
      </c>
      <c r="N1370">
        <v>0</v>
      </c>
      <c r="O1370">
        <v>1.203594E-2</v>
      </c>
      <c r="P1370">
        <v>-0.99981489999999995</v>
      </c>
      <c r="Q1370">
        <v>-1.521085E-2</v>
      </c>
      <c r="R1370">
        <v>1.1784950000000001E-2</v>
      </c>
      <c r="S1370">
        <v>-2.997681</v>
      </c>
      <c r="T1370">
        <v>-0.24797359999999999</v>
      </c>
      <c r="U1370">
        <v>-6.3476560000000001E-2</v>
      </c>
      <c r="V1370">
        <v>-2.5111759999999899E-4</v>
      </c>
      <c r="W1370">
        <v>-2.360202E-3</v>
      </c>
      <c r="X1370">
        <v>0.99999720000000003</v>
      </c>
      <c r="Y1370">
        <v>-3.3049259999999997E-2</v>
      </c>
      <c r="Z1370">
        <v>-2.358387E-3</v>
      </c>
      <c r="AA1370">
        <v>0.99945090000000003</v>
      </c>
      <c r="AB1370">
        <v>33</v>
      </c>
      <c r="AC1370">
        <v>-12.3417999999999</v>
      </c>
      <c r="AD1370">
        <v>-1.1039037832980001</v>
      </c>
      <c r="AE1370">
        <v>-0.29470000000003399</v>
      </c>
      <c r="AF1370">
        <v>-0.43972019706780802</v>
      </c>
      <c r="AG1370">
        <v>-1.1039037832980001</v>
      </c>
      <c r="AH1370">
        <v>12.239494951500699</v>
      </c>
      <c r="AI1370">
        <v>95.150368473882807</v>
      </c>
      <c r="AJ1370">
        <v>92.057542454597197</v>
      </c>
      <c r="AK1370">
        <v>12.2970400536999</v>
      </c>
    </row>
    <row r="1371" spans="1:37" x14ac:dyDescent="0.2">
      <c r="A1371" t="str">
        <f>"20200111160130094"</f>
        <v>20200111160130094</v>
      </c>
      <c r="B1371" t="str">
        <f>"1578729690082463"</f>
        <v>1578729690082463</v>
      </c>
      <c r="C1371" t="s">
        <v>37</v>
      </c>
      <c r="D1371">
        <v>5.1700780000000002</v>
      </c>
      <c r="E1371">
        <v>0.48951080000000002</v>
      </c>
      <c r="F1371" t="s">
        <v>42</v>
      </c>
      <c r="G1371">
        <v>-275.450999999999</v>
      </c>
      <c r="H1371">
        <v>1.022645</v>
      </c>
      <c r="I1371">
        <v>285.6902</v>
      </c>
      <c r="J1371">
        <v>-274.79739999999998</v>
      </c>
      <c r="K1371">
        <v>1.103901</v>
      </c>
      <c r="L1371">
        <v>285.71640000000002</v>
      </c>
      <c r="M1371">
        <v>-0.99984069999999903</v>
      </c>
      <c r="N1371">
        <v>0</v>
      </c>
      <c r="O1371">
        <v>1.215131E-2</v>
      </c>
      <c r="P1371">
        <v>-0.99977469999999902</v>
      </c>
      <c r="Q1371">
        <v>-1.6341330000000001E-2</v>
      </c>
      <c r="R1371">
        <v>1.3551509999999999E-2</v>
      </c>
      <c r="S1371">
        <v>-2.9975589999999999</v>
      </c>
      <c r="T1371">
        <v>-0.24805650000000001</v>
      </c>
      <c r="U1371">
        <v>-6.8054199999999995E-2</v>
      </c>
      <c r="V1371">
        <v>1.40003E-3</v>
      </c>
      <c r="W1371">
        <v>-3.271122E-3</v>
      </c>
      <c r="X1371">
        <v>0.99999369999999999</v>
      </c>
      <c r="Y1371">
        <v>-3.4684890000000003E-2</v>
      </c>
      <c r="Z1371">
        <v>-2.4363179999999998E-3</v>
      </c>
      <c r="AA1371">
        <v>0.99939529999999999</v>
      </c>
      <c r="AB1371">
        <v>33</v>
      </c>
      <c r="AC1371">
        <v>-0.65359999999998297</v>
      </c>
      <c r="AD1371">
        <v>-8.1255999999999995E-2</v>
      </c>
      <c r="AE1371">
        <v>-2.6200000000017099E-2</v>
      </c>
      <c r="AF1371">
        <v>-3.3622024363930303E-2</v>
      </c>
      <c r="AG1371">
        <v>-8.1255999999999995E-2</v>
      </c>
      <c r="AH1371">
        <v>0.64330658554767195</v>
      </c>
      <c r="AI1371">
        <v>97.189193019823605</v>
      </c>
      <c r="AJ1371">
        <v>92.991806670979997</v>
      </c>
      <c r="AK1371">
        <v>0.64928910438057796</v>
      </c>
    </row>
    <row r="1372" spans="1:37" x14ac:dyDescent="0.2">
      <c r="A1372" t="str">
        <f>"20200111160130114"</f>
        <v>20200111160130114</v>
      </c>
      <c r="B1372" t="str">
        <f>"1578729690112720"</f>
        <v>1578729690112720</v>
      </c>
      <c r="C1372" t="s">
        <v>37</v>
      </c>
      <c r="D1372">
        <v>5.1320569999999996</v>
      </c>
      <c r="E1372">
        <v>0.48988149999999903</v>
      </c>
      <c r="F1372" t="s">
        <v>42</v>
      </c>
      <c r="G1372">
        <v>-275.74419999999998</v>
      </c>
      <c r="H1372">
        <v>1.023903</v>
      </c>
      <c r="I1372">
        <v>285.69740000000002</v>
      </c>
      <c r="J1372">
        <v>-275.10140000000001</v>
      </c>
      <c r="K1372">
        <v>1.1038889999999999</v>
      </c>
      <c r="L1372">
        <v>285.72019999999998</v>
      </c>
      <c r="M1372">
        <v>-0.99983699999999998</v>
      </c>
      <c r="N1372">
        <v>0</v>
      </c>
      <c r="O1372">
        <v>1.226638E-2</v>
      </c>
      <c r="P1372">
        <v>-0.99972430000000001</v>
      </c>
      <c r="Q1372">
        <v>-1.7741900000000001E-2</v>
      </c>
      <c r="R1372">
        <v>1.537117E-2</v>
      </c>
      <c r="S1372">
        <v>-2.9973139999999998</v>
      </c>
      <c r="T1372">
        <v>-0.2533995</v>
      </c>
      <c r="U1372">
        <v>-6.0729980000000003E-2</v>
      </c>
      <c r="V1372">
        <v>3.1046950000000002E-3</v>
      </c>
      <c r="W1372">
        <v>-4.4948490000000004E-3</v>
      </c>
      <c r="X1372">
        <v>0.99998509999999996</v>
      </c>
      <c r="Y1372">
        <v>-3.2361580000000001E-2</v>
      </c>
      <c r="Z1372">
        <v>-2.4005630000000001E-3</v>
      </c>
      <c r="AA1372">
        <v>0.99947330000000001</v>
      </c>
      <c r="AB1372">
        <v>33</v>
      </c>
      <c r="AC1372">
        <v>-0.64279999999996495</v>
      </c>
      <c r="AD1372">
        <v>-7.9985999999999793E-2</v>
      </c>
      <c r="AE1372">
        <v>-2.2799999999961001E-2</v>
      </c>
      <c r="AF1372">
        <v>-3.0216528072119098E-2</v>
      </c>
      <c r="AG1372">
        <v>-7.9985999999999793E-2</v>
      </c>
      <c r="AH1372">
        <v>0.63268785970239405</v>
      </c>
      <c r="AI1372">
        <v>97.197136092328506</v>
      </c>
      <c r="AJ1372">
        <v>92.734310447825806</v>
      </c>
      <c r="AK1372">
        <v>0.63843928965840602</v>
      </c>
    </row>
    <row r="1373" spans="1:37" x14ac:dyDescent="0.2">
      <c r="A1373" t="str">
        <f>"20200111160130136"</f>
        <v>20200111160130136</v>
      </c>
      <c r="B1373" t="str">
        <f>"1578729690132239"</f>
        <v>1578729690132239</v>
      </c>
      <c r="C1373" t="s">
        <v>37</v>
      </c>
      <c r="D1373">
        <v>5.1516459999999897</v>
      </c>
      <c r="E1373">
        <v>0.49006070000000002</v>
      </c>
      <c r="F1373" t="s">
        <v>42</v>
      </c>
      <c r="G1373">
        <v>-276.03519999999997</v>
      </c>
      <c r="H1373">
        <v>1.022818</v>
      </c>
      <c r="I1373">
        <v>285.70409999999998</v>
      </c>
      <c r="J1373">
        <v>-275.4171</v>
      </c>
      <c r="K1373">
        <v>1.1038840000000001</v>
      </c>
      <c r="L1373">
        <v>285.7242</v>
      </c>
      <c r="M1373">
        <v>-0.99983330000000004</v>
      </c>
      <c r="N1373">
        <v>0</v>
      </c>
      <c r="O1373">
        <v>1.238992E-2</v>
      </c>
      <c r="P1373">
        <v>-0.99966460000000001</v>
      </c>
      <c r="Q1373">
        <v>-1.953825E-2</v>
      </c>
      <c r="R1373">
        <v>1.700583E-2</v>
      </c>
      <c r="S1373">
        <v>-2.9970089999999998</v>
      </c>
      <c r="T1373">
        <v>-0.26029259999999999</v>
      </c>
      <c r="U1373">
        <v>-5.2459720000000001E-2</v>
      </c>
      <c r="V1373">
        <v>4.6160339999999998E-3</v>
      </c>
      <c r="W1373">
        <v>-6.1317389999999998E-3</v>
      </c>
      <c r="X1373">
        <v>0.99997060000000004</v>
      </c>
      <c r="Y1373">
        <v>-2.9730610000000001E-2</v>
      </c>
      <c r="Z1373">
        <v>-2.362617E-3</v>
      </c>
      <c r="AA1373">
        <v>0.99955519999999998</v>
      </c>
      <c r="AB1373">
        <v>33</v>
      </c>
      <c r="AC1373">
        <v>-0.61809999999996901</v>
      </c>
      <c r="AD1373">
        <v>-8.1065999999999999E-2</v>
      </c>
      <c r="AE1373">
        <v>-2.0100000000013499E-2</v>
      </c>
      <c r="AF1373">
        <v>-2.7288455557792E-2</v>
      </c>
      <c r="AG1373">
        <v>-8.1065999999999999E-2</v>
      </c>
      <c r="AH1373">
        <v>0.60736705159139004</v>
      </c>
      <c r="AI1373">
        <v>97.594831451550405</v>
      </c>
      <c r="AJ1373">
        <v>92.572517808807703</v>
      </c>
      <c r="AK1373">
        <v>0.61336049067538401</v>
      </c>
    </row>
    <row r="1374" spans="1:37" x14ac:dyDescent="0.2">
      <c r="A1374" t="str">
        <f>"20200111160130158"</f>
        <v>20200111160130158</v>
      </c>
      <c r="B1374" t="str">
        <f>"1578729690152735"</f>
        <v>1578729690152735</v>
      </c>
      <c r="C1374" t="s">
        <v>37</v>
      </c>
      <c r="D1374">
        <v>5.0678859999999997</v>
      </c>
      <c r="E1374">
        <v>0.49031429999999998</v>
      </c>
      <c r="F1374" t="s">
        <v>42</v>
      </c>
      <c r="G1374">
        <v>-276.32709999999997</v>
      </c>
      <c r="H1374">
        <v>1.0230809999999999</v>
      </c>
      <c r="I1374">
        <v>285.71030000000002</v>
      </c>
      <c r="J1374">
        <v>-275.74470000000002</v>
      </c>
      <c r="K1374">
        <v>1.1038809999999999</v>
      </c>
      <c r="L1374">
        <v>285.72840000000002</v>
      </c>
      <c r="M1374">
        <v>-0.99982979999999999</v>
      </c>
      <c r="N1374">
        <v>0</v>
      </c>
      <c r="O1374">
        <v>1.251937E-2</v>
      </c>
      <c r="P1374">
        <v>-0.9996294</v>
      </c>
      <c r="Q1374">
        <v>-2.088162E-2</v>
      </c>
      <c r="R1374">
        <v>1.7476930000000002E-2</v>
      </c>
      <c r="S1374">
        <v>-2.9965519999999999</v>
      </c>
      <c r="T1374">
        <v>-0.266071</v>
      </c>
      <c r="U1374">
        <v>-4.6081539999999997E-2</v>
      </c>
      <c r="V1374">
        <v>4.9577349999999996E-3</v>
      </c>
      <c r="W1374">
        <v>-7.3315009999999998E-3</v>
      </c>
      <c r="X1374">
        <v>0.99996079999999998</v>
      </c>
      <c r="Y1374">
        <v>-2.7735860000000001E-2</v>
      </c>
      <c r="Z1374">
        <v>-2.3383610000000002E-3</v>
      </c>
      <c r="AA1374">
        <v>0.99961259999999996</v>
      </c>
      <c r="AB1374">
        <v>33</v>
      </c>
      <c r="AC1374">
        <v>-0.58239999999994996</v>
      </c>
      <c r="AD1374">
        <v>-8.07999999999999E-2</v>
      </c>
      <c r="AE1374">
        <v>-1.8100000000003998E-2</v>
      </c>
      <c r="AF1374">
        <v>-2.49115041365051E-2</v>
      </c>
      <c r="AG1374">
        <v>-8.07999999999999E-2</v>
      </c>
      <c r="AH1374">
        <v>0.57114507685454197</v>
      </c>
      <c r="AI1374">
        <v>98.0446615421301</v>
      </c>
      <c r="AJ1374">
        <v>92.497473957729497</v>
      </c>
      <c r="AK1374">
        <v>0.57736983109054396</v>
      </c>
    </row>
    <row r="1375" spans="1:37" x14ac:dyDescent="0.2">
      <c r="A1375" t="str">
        <f>"20200111160130182"</f>
        <v>20200111160130182</v>
      </c>
      <c r="B1375" t="str">
        <f>"1578729690173231"</f>
        <v>1578729690173231</v>
      </c>
      <c r="C1375" t="s">
        <v>37</v>
      </c>
      <c r="D1375">
        <v>4.9986300000000004</v>
      </c>
      <c r="E1375">
        <v>0.49052829999999897</v>
      </c>
      <c r="F1375" t="s">
        <v>42</v>
      </c>
      <c r="G1375">
        <v>-276.61989999999997</v>
      </c>
      <c r="H1375">
        <v>1.0247310000000001</v>
      </c>
      <c r="I1375">
        <v>285.71620000000001</v>
      </c>
      <c r="J1375">
        <v>-276.08440000000002</v>
      </c>
      <c r="K1375">
        <v>1.1038870000000001</v>
      </c>
      <c r="L1375">
        <v>285.7328</v>
      </c>
      <c r="M1375">
        <v>-0.99982649999999995</v>
      </c>
      <c r="N1375">
        <v>0</v>
      </c>
      <c r="O1375">
        <v>1.2652170000000001E-2</v>
      </c>
      <c r="P1375">
        <v>-0.99959929999999997</v>
      </c>
      <c r="Q1375">
        <v>-2.308787E-2</v>
      </c>
      <c r="R1375">
        <v>1.6389150000000002E-2</v>
      </c>
      <c r="S1375">
        <v>-2.9961849999999899</v>
      </c>
      <c r="T1375">
        <v>-0.27111859999999999</v>
      </c>
      <c r="U1375">
        <v>-4.2510989999999999E-2</v>
      </c>
      <c r="V1375">
        <v>3.7368169999999999E-3</v>
      </c>
      <c r="W1375">
        <v>-9.4091709999999992E-3</v>
      </c>
      <c r="X1375">
        <v>0.99994869999999902</v>
      </c>
      <c r="Y1375">
        <v>-2.6677220000000001E-2</v>
      </c>
      <c r="Z1375">
        <v>-2.3470489999999999E-3</v>
      </c>
      <c r="AA1375">
        <v>0.99964140000000001</v>
      </c>
      <c r="AB1375">
        <v>33</v>
      </c>
      <c r="AC1375">
        <v>-0.53549999999995601</v>
      </c>
      <c r="AD1375">
        <v>-7.9155999999999893E-2</v>
      </c>
      <c r="AE1375">
        <v>-1.6599999999982601E-2</v>
      </c>
      <c r="AF1375">
        <v>-2.2875201114022001E-2</v>
      </c>
      <c r="AG1375">
        <v>-7.9155999999999893E-2</v>
      </c>
      <c r="AH1375">
        <v>0.52381283262717204</v>
      </c>
      <c r="AI1375">
        <v>98.585176454067295</v>
      </c>
      <c r="AJ1375">
        <v>92.500550120569002</v>
      </c>
      <c r="AK1375">
        <v>0.53025355329965296</v>
      </c>
    </row>
    <row r="1376" spans="1:37" x14ac:dyDescent="0.2">
      <c r="A1376" t="str">
        <f>"20200111160130204"</f>
        <v>20200111160130204</v>
      </c>
      <c r="B1376" t="str">
        <f>"1578729690192751"</f>
        <v>1578729690192751</v>
      </c>
      <c r="C1376" t="s">
        <v>37</v>
      </c>
      <c r="D1376">
        <v>5.0166440000000003</v>
      </c>
      <c r="E1376">
        <v>0.49073019999999901</v>
      </c>
      <c r="F1376" t="s">
        <v>42</v>
      </c>
      <c r="G1376">
        <v>-276.91289999999998</v>
      </c>
      <c r="H1376">
        <v>1.02688</v>
      </c>
      <c r="I1376">
        <v>285.72089999999997</v>
      </c>
      <c r="J1376">
        <v>-276.4015</v>
      </c>
      <c r="K1376">
        <v>1.1038920000000001</v>
      </c>
      <c r="L1376">
        <v>285.73689999999999</v>
      </c>
      <c r="M1376">
        <v>-0.99982329999999997</v>
      </c>
      <c r="N1376">
        <v>0</v>
      </c>
      <c r="O1376">
        <v>1.277529E-2</v>
      </c>
      <c r="P1376">
        <v>-0.99957469999999904</v>
      </c>
      <c r="Q1376">
        <v>-2.5188229999999999E-2</v>
      </c>
      <c r="R1376">
        <v>1.470172E-2</v>
      </c>
      <c r="S1376">
        <v>-2.9954830000000001</v>
      </c>
      <c r="T1376">
        <v>-0.27855619999999998</v>
      </c>
      <c r="U1376">
        <v>-4.3609620000000002E-2</v>
      </c>
      <c r="V1376">
        <v>1.9260929999999901E-3</v>
      </c>
      <c r="W1376">
        <v>-1.140622E-2</v>
      </c>
      <c r="X1376">
        <v>0.99993310000000002</v>
      </c>
      <c r="Y1376">
        <v>-2.715861E-2</v>
      </c>
      <c r="Z1376">
        <v>-2.4454799999999999E-3</v>
      </c>
      <c r="AA1376">
        <v>0.99962809999999902</v>
      </c>
      <c r="AB1376">
        <v>33</v>
      </c>
      <c r="AC1376">
        <v>-0.51139999999997998</v>
      </c>
      <c r="AD1376">
        <v>-7.7011999999999997E-2</v>
      </c>
      <c r="AE1376">
        <v>-1.6000000000019499E-2</v>
      </c>
      <c r="AF1376">
        <v>-2.20334240528464E-2</v>
      </c>
      <c r="AG1376">
        <v>-7.7011999999999997E-2</v>
      </c>
      <c r="AH1376">
        <v>0.49983001839014202</v>
      </c>
      <c r="AI1376">
        <v>98.750681478289493</v>
      </c>
      <c r="AJ1376">
        <v>92.524068974946502</v>
      </c>
      <c r="AK1376">
        <v>0.50620783004945902</v>
      </c>
    </row>
    <row r="1377" spans="1:37" x14ac:dyDescent="0.2">
      <c r="A1377" t="str">
        <f>"20200111160130225"</f>
        <v>20200111160130225</v>
      </c>
      <c r="B1377" t="str">
        <f>"1578729690222032"</f>
        <v>1578729690222032</v>
      </c>
      <c r="C1377" t="s">
        <v>37</v>
      </c>
      <c r="D1377">
        <v>5.1884930000000002</v>
      </c>
      <c r="E1377">
        <v>0.49097679999999999</v>
      </c>
      <c r="F1377" t="s">
        <v>42</v>
      </c>
      <c r="G1377">
        <v>-277.20440000000002</v>
      </c>
      <c r="H1377">
        <v>1.0272790000000001</v>
      </c>
      <c r="I1377">
        <v>285.72449999999998</v>
      </c>
      <c r="J1377">
        <v>-276.7208</v>
      </c>
      <c r="K1377">
        <v>1.103901</v>
      </c>
      <c r="L1377">
        <v>285.74110000000002</v>
      </c>
      <c r="M1377">
        <v>-0.99982059999999995</v>
      </c>
      <c r="N1377">
        <v>0</v>
      </c>
      <c r="O1377">
        <v>1.289766E-2</v>
      </c>
      <c r="P1377">
        <v>-0.99961109999999898</v>
      </c>
      <c r="Q1377">
        <v>-2.4393970000000001E-2</v>
      </c>
      <c r="R1377">
        <v>1.351699E-2</v>
      </c>
      <c r="S1377">
        <v>-2.9947810000000001</v>
      </c>
      <c r="T1377">
        <v>-0.28587319999999999</v>
      </c>
      <c r="U1377">
        <v>-4.6875E-2</v>
      </c>
      <c r="V1377">
        <v>6.1891300000000002E-4</v>
      </c>
      <c r="W1377">
        <v>-1.0521569999999999E-2</v>
      </c>
      <c r="X1377">
        <v>0.99994439999999996</v>
      </c>
      <c r="Y1377">
        <v>-2.835882E-2</v>
      </c>
      <c r="Z1377">
        <v>-2.578805E-3</v>
      </c>
      <c r="AA1377">
        <v>0.99959449999999905</v>
      </c>
      <c r="AB1377">
        <v>33</v>
      </c>
      <c r="AC1377">
        <v>-0.48360000000002401</v>
      </c>
      <c r="AD1377">
        <v>-7.6621999999999899E-2</v>
      </c>
      <c r="AE1377">
        <v>-1.6600000000039399E-2</v>
      </c>
      <c r="AF1377">
        <v>-2.2277931506972801E-2</v>
      </c>
      <c r="AG1377">
        <v>-7.6621999999999899E-2</v>
      </c>
      <c r="AH1377">
        <v>0.47152270297469001</v>
      </c>
      <c r="AI1377">
        <v>99.219726483686898</v>
      </c>
      <c r="AJ1377">
        <v>92.705029765481697</v>
      </c>
      <c r="AK1377">
        <v>0.47822682540483502</v>
      </c>
    </row>
    <row r="1378" spans="1:37" x14ac:dyDescent="0.2">
      <c r="A1378" t="str">
        <f>"20200111160130248"</f>
        <v>20200111160130248</v>
      </c>
      <c r="B1378" t="str">
        <f>"1578729690242527"</f>
        <v>1578729690242527</v>
      </c>
      <c r="C1378" t="s">
        <v>37</v>
      </c>
      <c r="D1378">
        <v>4.9994519999999998</v>
      </c>
      <c r="E1378">
        <v>0.49120269999999999</v>
      </c>
      <c r="F1378" t="s">
        <v>42</v>
      </c>
      <c r="G1378">
        <v>-277.49939999999998</v>
      </c>
      <c r="H1378">
        <v>1.0300819999999999</v>
      </c>
      <c r="I1378">
        <v>285.72859999999997</v>
      </c>
      <c r="J1378">
        <v>-277.04910000000001</v>
      </c>
      <c r="K1378">
        <v>1.10392</v>
      </c>
      <c r="L1378">
        <v>285.74549999999999</v>
      </c>
      <c r="M1378">
        <v>-0.99981779999999998</v>
      </c>
      <c r="N1378">
        <v>0</v>
      </c>
      <c r="O1378">
        <v>1.301916E-2</v>
      </c>
      <c r="P1378">
        <v>-0.99966900000000003</v>
      </c>
      <c r="Q1378">
        <v>-2.266458E-2</v>
      </c>
      <c r="R1378">
        <v>1.2181330000000001E-2</v>
      </c>
      <c r="S1378">
        <v>-2.9948730000000001</v>
      </c>
      <c r="T1378">
        <v>-0.28397209999999901</v>
      </c>
      <c r="U1378">
        <v>-4.8675540000000003E-2</v>
      </c>
      <c r="V1378">
        <v>-8.3854980000000001E-4</v>
      </c>
      <c r="W1378">
        <v>-8.7120099999999992E-3</v>
      </c>
      <c r="X1378">
        <v>0.99996169999999995</v>
      </c>
      <c r="Y1378">
        <v>-2.9079359999999999E-2</v>
      </c>
      <c r="Z1378">
        <v>-2.6072209999999998E-3</v>
      </c>
      <c r="AA1378">
        <v>0.99957369999999901</v>
      </c>
      <c r="AB1378">
        <v>33</v>
      </c>
      <c r="AC1378">
        <v>-0.45029999999997</v>
      </c>
      <c r="AD1378">
        <v>-7.3838000000000001E-2</v>
      </c>
      <c r="AE1378">
        <v>-1.6900000000020999E-2</v>
      </c>
      <c r="AF1378">
        <v>-2.2166495521701399E-2</v>
      </c>
      <c r="AG1378">
        <v>-7.3838000000000001E-2</v>
      </c>
      <c r="AH1378">
        <v>0.438274113028499</v>
      </c>
      <c r="AI1378">
        <v>99.551089996281405</v>
      </c>
      <c r="AJ1378">
        <v>92.895369199694301</v>
      </c>
      <c r="AK1378">
        <v>0.44500292349447601</v>
      </c>
    </row>
    <row r="1379" spans="1:37" x14ac:dyDescent="0.2">
      <c r="A1379" t="str">
        <f>"20200111160130272"</f>
        <v>20200111160130272</v>
      </c>
      <c r="B1379" t="str">
        <f>"1578729690262048"</f>
        <v>1578729690262048</v>
      </c>
      <c r="C1379" t="s">
        <v>37</v>
      </c>
      <c r="D1379">
        <v>5.0648479999999996</v>
      </c>
      <c r="E1379">
        <v>0.4914251</v>
      </c>
      <c r="F1379" t="s">
        <v>60</v>
      </c>
      <c r="G1379">
        <v>-288.8877</v>
      </c>
      <c r="H1379" s="1">
        <v>4.2690429999999901E-6</v>
      </c>
      <c r="I1379">
        <v>285.54500000000002</v>
      </c>
      <c r="J1379">
        <v>-277.385999999999</v>
      </c>
      <c r="K1379">
        <v>1.103939</v>
      </c>
      <c r="L1379">
        <v>285.75</v>
      </c>
      <c r="M1379">
        <v>-0.99981540000000002</v>
      </c>
      <c r="N1379">
        <v>0</v>
      </c>
      <c r="O1379">
        <v>1.312691E-2</v>
      </c>
      <c r="P1379">
        <v>-0.99968679999999999</v>
      </c>
      <c r="Q1379">
        <v>-2.2450930000000001E-2</v>
      </c>
      <c r="R1379">
        <v>1.104662E-2</v>
      </c>
      <c r="S1379">
        <v>-2.9952700000000001</v>
      </c>
      <c r="T1379">
        <v>-0.2793002</v>
      </c>
      <c r="U1379">
        <v>-5.0720210000000002E-2</v>
      </c>
      <c r="V1379">
        <v>-2.081144E-3</v>
      </c>
      <c r="W1379">
        <v>-8.4293409999999999E-3</v>
      </c>
      <c r="X1379">
        <v>0.99996229999999997</v>
      </c>
      <c r="Y1379">
        <v>-2.9869389999999999E-2</v>
      </c>
      <c r="Z1379">
        <v>-2.6109409999999999E-3</v>
      </c>
      <c r="AA1379">
        <v>0.99955039999999995</v>
      </c>
      <c r="AB1379">
        <v>33</v>
      </c>
      <c r="AC1379">
        <v>-11.5017</v>
      </c>
      <c r="AD1379">
        <v>-1.103934730957</v>
      </c>
      <c r="AE1379">
        <v>-0.204999999999984</v>
      </c>
      <c r="AF1379">
        <v>-0.35273058868937102</v>
      </c>
      <c r="AG1379">
        <v>-1.103934730957</v>
      </c>
      <c r="AH1379">
        <v>11.3930955287084</v>
      </c>
      <c r="AI1379">
        <v>95.531767158178496</v>
      </c>
      <c r="AJ1379">
        <v>91.773312656968102</v>
      </c>
      <c r="AK1379">
        <v>11.451887027240801</v>
      </c>
    </row>
    <row r="1380" spans="1:37" x14ac:dyDescent="0.2">
      <c r="A1380" t="str">
        <f>"20200111160130293"</f>
        <v>20200111160130293</v>
      </c>
      <c r="B1380" t="str">
        <f>"1578729690282543"</f>
        <v>1578729690282543</v>
      </c>
      <c r="C1380" t="s">
        <v>37</v>
      </c>
      <c r="D1380">
        <v>5.0937529999999898</v>
      </c>
      <c r="E1380">
        <v>0.49164540000000001</v>
      </c>
      <c r="F1380" t="s">
        <v>42</v>
      </c>
      <c r="G1380">
        <v>-278.35599999999999</v>
      </c>
      <c r="H1380">
        <v>1.013541</v>
      </c>
      <c r="I1380">
        <v>285.73329999999999</v>
      </c>
      <c r="J1380">
        <v>-277.70010000000002</v>
      </c>
      <c r="K1380">
        <v>1.1039699999999999</v>
      </c>
      <c r="L1380">
        <v>285.75420000000003</v>
      </c>
      <c r="M1380">
        <v>-0.99981390000000003</v>
      </c>
      <c r="N1380">
        <v>0</v>
      </c>
      <c r="O1380">
        <v>1.3200440000000001E-2</v>
      </c>
      <c r="P1380">
        <v>-0.99968789999999996</v>
      </c>
      <c r="Q1380">
        <v>-2.2822470000000001E-2</v>
      </c>
      <c r="R1380">
        <v>1.0180740000000001E-2</v>
      </c>
      <c r="S1380">
        <v>-2.99523899999999</v>
      </c>
      <c r="T1380">
        <v>-0.27925809999999901</v>
      </c>
      <c r="U1380">
        <v>-5.2185059999999998E-2</v>
      </c>
      <c r="V1380">
        <v>-3.019992E-3</v>
      </c>
      <c r="W1380">
        <v>-8.7459959999999903E-3</v>
      </c>
      <c r="X1380">
        <v>0.99995719999999999</v>
      </c>
      <c r="Y1380">
        <v>-3.0429080000000001E-2</v>
      </c>
      <c r="Z1380">
        <v>-2.6434399999999999E-3</v>
      </c>
      <c r="AA1380">
        <v>0.99953340000000002</v>
      </c>
      <c r="AB1380">
        <v>32</v>
      </c>
      <c r="AC1380">
        <v>-0.65589999999997395</v>
      </c>
      <c r="AD1380">
        <v>-9.0428999999999995E-2</v>
      </c>
      <c r="AE1380">
        <v>-2.0900000000040098E-2</v>
      </c>
      <c r="AF1380">
        <v>-2.9006404863717999E-2</v>
      </c>
      <c r="AG1380">
        <v>-9.0428999999999995E-2</v>
      </c>
      <c r="AH1380">
        <v>0.64335041702988705</v>
      </c>
      <c r="AI1380">
        <v>97.993032738862595</v>
      </c>
      <c r="AJ1380">
        <v>92.581516661337801</v>
      </c>
      <c r="AK1380">
        <v>0.65032187004332498</v>
      </c>
    </row>
    <row r="1381" spans="1:37" x14ac:dyDescent="0.2">
      <c r="A1381" t="str">
        <f>"20200111160130327"</f>
        <v>20200111160130327</v>
      </c>
      <c r="B1381" t="str">
        <f>"1578729690322559"</f>
        <v>1578729690322559</v>
      </c>
      <c r="C1381" t="s">
        <v>37</v>
      </c>
      <c r="D1381">
        <v>5.0349820000000003</v>
      </c>
      <c r="E1381">
        <v>0.49186779999999902</v>
      </c>
      <c r="F1381" t="s">
        <v>42</v>
      </c>
      <c r="G1381">
        <v>-278.64620000000002</v>
      </c>
      <c r="H1381">
        <v>1.0152969999999999</v>
      </c>
      <c r="I1381">
        <v>285.73739999999998</v>
      </c>
      <c r="J1381">
        <v>-278.19299999999998</v>
      </c>
      <c r="K1381">
        <v>1.1040299999999901</v>
      </c>
      <c r="L1381">
        <v>285.76080000000002</v>
      </c>
      <c r="M1381">
        <v>-0.99981189999999998</v>
      </c>
      <c r="N1381">
        <v>0</v>
      </c>
      <c r="O1381">
        <v>1.3272030000000001E-2</v>
      </c>
      <c r="P1381">
        <v>-0.99969710000000001</v>
      </c>
      <c r="Q1381">
        <v>-2.1759839999999999E-2</v>
      </c>
      <c r="R1381">
        <v>1.1509500000000001E-2</v>
      </c>
      <c r="S1381">
        <v>-2.9950559999999999</v>
      </c>
      <c r="T1381">
        <v>-0.28071580000000002</v>
      </c>
      <c r="U1381">
        <v>-5.3100590000000003E-2</v>
      </c>
      <c r="V1381">
        <v>-1.762163E-3</v>
      </c>
      <c r="W1381">
        <v>-7.612176E-3</v>
      </c>
      <c r="X1381">
        <v>0.99996949999999996</v>
      </c>
      <c r="Y1381">
        <v>-3.0803219999999999E-2</v>
      </c>
      <c r="Z1381">
        <v>-2.6815239999999998E-3</v>
      </c>
      <c r="AA1381">
        <v>0.99952189999999996</v>
      </c>
      <c r="AB1381">
        <v>32</v>
      </c>
      <c r="AC1381">
        <v>-0.45320000000003802</v>
      </c>
      <c r="AD1381">
        <v>-8.8732999999999895E-2</v>
      </c>
      <c r="AE1381">
        <v>-2.34000000000378E-2</v>
      </c>
      <c r="AF1381">
        <v>-2.83302827717378E-2</v>
      </c>
      <c r="AG1381">
        <v>-8.8732999999999895E-2</v>
      </c>
      <c r="AH1381">
        <v>0.43617341855876501</v>
      </c>
      <c r="AI1381">
        <v>101.47551863463499</v>
      </c>
      <c r="AJ1381">
        <v>93.716248390642804</v>
      </c>
      <c r="AK1381">
        <v>0.44600829730865599</v>
      </c>
    </row>
    <row r="1382" spans="1:37" x14ac:dyDescent="0.2">
      <c r="A1382" t="str">
        <f>"20200111160130350"</f>
        <v>20200111160130350</v>
      </c>
      <c r="B1382" t="str">
        <f>"1578729690342080"</f>
        <v>1578729690342080</v>
      </c>
      <c r="C1382" t="s">
        <v>37</v>
      </c>
      <c r="D1382">
        <v>5.3002099999999999</v>
      </c>
      <c r="E1382">
        <v>0.49190879999999998</v>
      </c>
      <c r="F1382" t="s">
        <v>60</v>
      </c>
      <c r="G1382">
        <v>-290.11649999999997</v>
      </c>
      <c r="H1382" s="1">
        <v>2.1429209999999998E-6</v>
      </c>
      <c r="I1382">
        <v>285.57139999999998</v>
      </c>
      <c r="J1382">
        <v>-278.52350000000001</v>
      </c>
      <c r="K1382">
        <v>1.1040760000000001</v>
      </c>
      <c r="L1382">
        <v>285.76519999999999</v>
      </c>
      <c r="M1382">
        <v>-0.99981139999999902</v>
      </c>
      <c r="N1382">
        <v>0</v>
      </c>
      <c r="O1382">
        <v>1.3271460000000001E-2</v>
      </c>
      <c r="P1382">
        <v>-0.99971330000000003</v>
      </c>
      <c r="Q1382">
        <v>-2.032871E-2</v>
      </c>
      <c r="R1382">
        <v>1.266023E-2</v>
      </c>
      <c r="S1382">
        <v>-2.9953609999999999</v>
      </c>
      <c r="T1382">
        <v>-0.27734740000000002</v>
      </c>
      <c r="U1382">
        <v>-4.7576899999999998E-2</v>
      </c>
      <c r="V1382">
        <v>-6.10642E-4</v>
      </c>
      <c r="W1382">
        <v>-6.1418940000000002E-3</v>
      </c>
      <c r="X1382">
        <v>0.99998089999999995</v>
      </c>
      <c r="Y1382">
        <v>-2.8970590000000001E-2</v>
      </c>
      <c r="Z1382">
        <v>-2.5645450000000001E-3</v>
      </c>
      <c r="AA1382">
        <v>0.99957700000000005</v>
      </c>
      <c r="AB1382">
        <v>32</v>
      </c>
      <c r="AC1382">
        <v>-11.5929999999999</v>
      </c>
      <c r="AD1382">
        <v>-1.1040738570790001</v>
      </c>
      <c r="AE1382">
        <v>-0.19380000000000999</v>
      </c>
      <c r="AF1382">
        <v>-0.34453043328866001</v>
      </c>
      <c r="AG1382">
        <v>-1.1040738570790001</v>
      </c>
      <c r="AH1382">
        <v>11.485264934322799</v>
      </c>
      <c r="AI1382">
        <v>95.488493960050405</v>
      </c>
      <c r="AJ1382">
        <v>91.718220864105504</v>
      </c>
      <c r="AK1382">
        <v>11.5433526721196</v>
      </c>
    </row>
    <row r="1383" spans="1:37" x14ac:dyDescent="0.2">
      <c r="A1383" t="str">
        <f>"20200111160130371"</f>
        <v>20200111160130371</v>
      </c>
      <c r="B1383" t="str">
        <f>"1578729690362575"</f>
        <v>1578729690362575</v>
      </c>
      <c r="C1383" t="s">
        <v>37</v>
      </c>
      <c r="D1383">
        <v>5.1659509999999997</v>
      </c>
      <c r="E1383">
        <v>0.49193890000000001</v>
      </c>
      <c r="F1383" t="s">
        <v>42</v>
      </c>
      <c r="G1383">
        <v>-279.51150000000001</v>
      </c>
      <c r="H1383">
        <v>1.0144029999999999</v>
      </c>
      <c r="I1383">
        <v>285.75099999999998</v>
      </c>
      <c r="J1383">
        <v>-278.83319999999998</v>
      </c>
      <c r="K1383">
        <v>1.104136</v>
      </c>
      <c r="L1383">
        <v>285.76929999999999</v>
      </c>
      <c r="M1383">
        <v>-0.99981219999999904</v>
      </c>
      <c r="N1383">
        <v>0</v>
      </c>
      <c r="O1383">
        <v>1.3177609999999999E-2</v>
      </c>
      <c r="P1383">
        <v>-0.99973670000000003</v>
      </c>
      <c r="Q1383">
        <v>-1.7326879999999999E-2</v>
      </c>
      <c r="R1383">
        <v>1.5058790000000001E-2</v>
      </c>
      <c r="S1383">
        <v>-2.9958499999999999</v>
      </c>
      <c r="T1383">
        <v>-0.27212379999999903</v>
      </c>
      <c r="U1383">
        <v>-4.397583E-2</v>
      </c>
      <c r="V1383">
        <v>1.8822189999999901E-3</v>
      </c>
      <c r="W1383">
        <v>-3.1087129999999999E-3</v>
      </c>
      <c r="X1383">
        <v>0.99999340000000003</v>
      </c>
      <c r="Y1383">
        <v>-2.7685379999999999E-2</v>
      </c>
      <c r="Z1383">
        <v>-2.4493010000000001E-3</v>
      </c>
      <c r="AA1383">
        <v>0.99961369999999905</v>
      </c>
      <c r="AB1383">
        <v>32</v>
      </c>
      <c r="AC1383">
        <v>-0.67830000000003499</v>
      </c>
      <c r="AD1383">
        <v>-8.9732999999999799E-2</v>
      </c>
      <c r="AE1383">
        <v>-1.8300000000010599E-2</v>
      </c>
      <c r="AF1383">
        <v>-2.67695355213604E-2</v>
      </c>
      <c r="AG1383">
        <v>-8.9732999999999799E-2</v>
      </c>
      <c r="AH1383">
        <v>0.66634672287528196</v>
      </c>
      <c r="AI1383">
        <v>97.663439259006907</v>
      </c>
      <c r="AJ1383">
        <v>92.300539671791796</v>
      </c>
      <c r="AK1383">
        <v>0.67289417771864901</v>
      </c>
    </row>
    <row r="1384" spans="1:37" x14ac:dyDescent="0.2">
      <c r="A1384" t="str">
        <f>"20200111160130392"</f>
        <v>20200111160130392</v>
      </c>
      <c r="B1384" t="str">
        <f>"1578729690382095"</f>
        <v>1578729690382095</v>
      </c>
      <c r="C1384" t="s">
        <v>37</v>
      </c>
      <c r="D1384">
        <v>5.2030529999999997</v>
      </c>
      <c r="E1384">
        <v>0.49197179999999902</v>
      </c>
      <c r="F1384" t="s">
        <v>42</v>
      </c>
      <c r="G1384">
        <v>-279.8023</v>
      </c>
      <c r="H1384">
        <v>1.0193859999999999</v>
      </c>
      <c r="I1384">
        <v>285.75740000000002</v>
      </c>
      <c r="J1384">
        <v>-279.13709999999998</v>
      </c>
      <c r="K1384">
        <v>1.1042149999999999</v>
      </c>
      <c r="L1384">
        <v>285.7731</v>
      </c>
      <c r="M1384">
        <v>-0.99981399999999998</v>
      </c>
      <c r="N1384">
        <v>0</v>
      </c>
      <c r="O1384">
        <v>1.300286E-2</v>
      </c>
      <c r="P1384">
        <v>-0.99974010000000002</v>
      </c>
      <c r="Q1384">
        <v>-1.527178E-2</v>
      </c>
      <c r="R1384">
        <v>1.6931849999999998E-2</v>
      </c>
      <c r="S1384">
        <v>-2.9967959999999998</v>
      </c>
      <c r="T1384">
        <v>-0.26217030000000002</v>
      </c>
      <c r="U1384">
        <v>-3.6834720000000001E-2</v>
      </c>
      <c r="V1384">
        <v>3.9297689999999996E-3</v>
      </c>
      <c r="W1384">
        <v>-1.026325E-3</v>
      </c>
      <c r="X1384">
        <v>0.99999179999999999</v>
      </c>
      <c r="Y1384">
        <v>-2.51469E-2</v>
      </c>
      <c r="Z1384">
        <v>-2.2332710000000002E-3</v>
      </c>
      <c r="AA1384">
        <v>0.99968129999999999</v>
      </c>
      <c r="AB1384">
        <v>32</v>
      </c>
      <c r="AC1384">
        <v>-0.66520000000002699</v>
      </c>
      <c r="AD1384">
        <v>-8.4828999999999793E-2</v>
      </c>
      <c r="AE1384">
        <v>-1.5699999999981101E-2</v>
      </c>
      <c r="AF1384">
        <v>-2.3959628743496799E-2</v>
      </c>
      <c r="AG1384">
        <v>-8.4828999999999793E-2</v>
      </c>
      <c r="AH1384">
        <v>0.65430495206171702</v>
      </c>
      <c r="AI1384">
        <v>97.382156897151901</v>
      </c>
      <c r="AJ1384">
        <v>92.097145223207093</v>
      </c>
      <c r="AK1384">
        <v>0.66021586874522398</v>
      </c>
    </row>
    <row r="1385" spans="1:37" x14ac:dyDescent="0.2">
      <c r="A1385" t="str">
        <f>"20200111160130415"</f>
        <v>20200111160130415</v>
      </c>
      <c r="B1385" t="str">
        <f>"1578729690412351"</f>
        <v>1578729690412351</v>
      </c>
      <c r="C1385" t="s">
        <v>37</v>
      </c>
      <c r="D1385">
        <v>5.1477919999999999</v>
      </c>
      <c r="E1385">
        <v>0.49199969999999998</v>
      </c>
      <c r="F1385" t="s">
        <v>42</v>
      </c>
      <c r="G1385">
        <v>-280.09199999999998</v>
      </c>
      <c r="H1385">
        <v>1.022772</v>
      </c>
      <c r="I1385">
        <v>285.76319999999998</v>
      </c>
      <c r="J1385">
        <v>-279.46260000000001</v>
      </c>
      <c r="K1385">
        <v>1.104304</v>
      </c>
      <c r="L1385">
        <v>285.77710000000002</v>
      </c>
      <c r="M1385">
        <v>-0.99981759999999997</v>
      </c>
      <c r="N1385">
        <v>0</v>
      </c>
      <c r="O1385">
        <v>1.2704150000000001E-2</v>
      </c>
      <c r="P1385">
        <v>-0.99969920000000001</v>
      </c>
      <c r="Q1385">
        <v>-1.7262969999999999E-2</v>
      </c>
      <c r="R1385">
        <v>1.7421829999999999E-2</v>
      </c>
      <c r="S1385">
        <v>-2.9974059999999998</v>
      </c>
      <c r="T1385">
        <v>-0.25588040000000001</v>
      </c>
      <c r="U1385">
        <v>-3.1982419999999998E-2</v>
      </c>
      <c r="V1385">
        <v>4.7199879999999996E-3</v>
      </c>
      <c r="W1385">
        <v>-2.9926269999999999E-3</v>
      </c>
      <c r="X1385">
        <v>0.9999844</v>
      </c>
      <c r="Y1385">
        <v>-2.3242550000000001E-2</v>
      </c>
      <c r="Z1385">
        <v>-2.0728740000000002E-3</v>
      </c>
      <c r="AA1385">
        <v>0.9997277</v>
      </c>
      <c r="AB1385">
        <v>32</v>
      </c>
      <c r="AC1385">
        <v>-0.62939999999997498</v>
      </c>
      <c r="AD1385">
        <v>-8.1532000000000104E-2</v>
      </c>
      <c r="AE1385">
        <v>-1.39000000000351E-2</v>
      </c>
      <c r="AF1385">
        <v>-2.1534501511377702E-2</v>
      </c>
      <c r="AG1385">
        <v>-8.1532000000000104E-2</v>
      </c>
      <c r="AH1385">
        <v>0.61879403166643099</v>
      </c>
      <c r="AI1385">
        <v>97.501537570750997</v>
      </c>
      <c r="AJ1385">
        <v>91.993132209417297</v>
      </c>
      <c r="AK1385">
        <v>0.62451361506803005</v>
      </c>
    </row>
    <row r="1386" spans="1:37" x14ac:dyDescent="0.2">
      <c r="A1386" t="str">
        <f>"20200111160130437"</f>
        <v>20200111160130437</v>
      </c>
      <c r="B1386" t="str">
        <f>"1578729690432847"</f>
        <v>1578729690432847</v>
      </c>
      <c r="C1386" t="s">
        <v>37</v>
      </c>
      <c r="D1386">
        <v>5.1241649999999996</v>
      </c>
      <c r="E1386">
        <v>0.49207619999999902</v>
      </c>
      <c r="F1386" t="s">
        <v>42</v>
      </c>
      <c r="G1386">
        <v>-280.38</v>
      </c>
      <c r="H1386">
        <v>1.024348</v>
      </c>
      <c r="I1386">
        <v>285.76760000000002</v>
      </c>
      <c r="J1386">
        <v>-279.78530000000001</v>
      </c>
      <c r="K1386">
        <v>1.1044049999999901</v>
      </c>
      <c r="L1386">
        <v>285.7808</v>
      </c>
      <c r="M1386">
        <v>-0.99982260000000001</v>
      </c>
      <c r="N1386">
        <v>0</v>
      </c>
      <c r="O1386">
        <v>1.227227E-2</v>
      </c>
      <c r="P1386">
        <v>-0.9996524</v>
      </c>
      <c r="Q1386">
        <v>-2.0665340000000001E-2</v>
      </c>
      <c r="R1386">
        <v>1.6367610000000001E-2</v>
      </c>
      <c r="S1386">
        <v>-2.9968870000000001</v>
      </c>
      <c r="T1386">
        <v>-0.2612102</v>
      </c>
      <c r="U1386">
        <v>-3.106689E-2</v>
      </c>
      <c r="V1386">
        <v>4.1013930000000001E-3</v>
      </c>
      <c r="W1386">
        <v>-6.3745249999999998E-3</v>
      </c>
      <c r="X1386">
        <v>0.99997130000000001</v>
      </c>
      <c r="Y1386">
        <v>-2.250607E-2</v>
      </c>
      <c r="Z1386">
        <v>-2.0466489999999898E-3</v>
      </c>
      <c r="AA1386">
        <v>0.99974459999999998</v>
      </c>
      <c r="AB1386">
        <v>32</v>
      </c>
      <c r="AC1386">
        <v>-0.59469999999998802</v>
      </c>
      <c r="AD1386">
        <v>-8.0056999999999795E-2</v>
      </c>
      <c r="AE1386">
        <v>-1.31999999999834E-2</v>
      </c>
      <c r="AF1386">
        <v>-2.01333949566069E-2</v>
      </c>
      <c r="AG1386">
        <v>-8.0056999999999795E-2</v>
      </c>
      <c r="AH1386">
        <v>0.58391674887005196</v>
      </c>
      <c r="AI1386">
        <v>97.802196850252102</v>
      </c>
      <c r="AJ1386">
        <v>91.974770795541801</v>
      </c>
      <c r="AK1386">
        <v>0.58972302520119602</v>
      </c>
    </row>
    <row r="1387" spans="1:37" x14ac:dyDescent="0.2">
      <c r="A1387" t="str">
        <f>"20200111160130461"</f>
        <v>20200111160130461</v>
      </c>
      <c r="B1387" t="str">
        <f>"1578729690452367"</f>
        <v>1578729690452367</v>
      </c>
      <c r="C1387" t="s">
        <v>37</v>
      </c>
      <c r="D1387">
        <v>5.2212969999999999</v>
      </c>
      <c r="E1387">
        <v>0.49209929999999902</v>
      </c>
      <c r="F1387" t="s">
        <v>42</v>
      </c>
      <c r="G1387">
        <v>-280.66669999999999</v>
      </c>
      <c r="H1387">
        <v>1.0246329999999999</v>
      </c>
      <c r="I1387">
        <v>285.77099999999899</v>
      </c>
      <c r="J1387">
        <v>-280.11750000000001</v>
      </c>
      <c r="K1387">
        <v>1.104527</v>
      </c>
      <c r="L1387">
        <v>285.78429999999997</v>
      </c>
      <c r="M1387">
        <v>-0.99982959999999999</v>
      </c>
      <c r="N1387">
        <v>0</v>
      </c>
      <c r="O1387">
        <v>1.167618E-2</v>
      </c>
      <c r="P1387">
        <v>-0.99965569999999904</v>
      </c>
      <c r="Q1387">
        <v>-2.2480139999999999E-2</v>
      </c>
      <c r="R1387">
        <v>1.3533109999999999E-2</v>
      </c>
      <c r="S1387">
        <v>-2.9960330000000002</v>
      </c>
      <c r="T1387">
        <v>-0.27140199999999998</v>
      </c>
      <c r="U1387">
        <v>-3.411865E-2</v>
      </c>
      <c r="V1387">
        <v>1.86661799999999E-3</v>
      </c>
      <c r="W1387">
        <v>-8.1727399999999995E-3</v>
      </c>
      <c r="X1387">
        <v>0.99996479999999999</v>
      </c>
      <c r="Y1387">
        <v>-2.292139E-2</v>
      </c>
      <c r="Z1387">
        <v>-2.09166E-3</v>
      </c>
      <c r="AA1387">
        <v>0.99973509999999999</v>
      </c>
      <c r="AB1387">
        <v>32</v>
      </c>
      <c r="AC1387">
        <v>-0.54919999999998403</v>
      </c>
      <c r="AD1387">
        <v>-7.9894000000000104E-2</v>
      </c>
      <c r="AE1387">
        <v>-1.33000000000151E-2</v>
      </c>
      <c r="AF1387">
        <v>-1.93040245486958E-2</v>
      </c>
      <c r="AG1387">
        <v>-7.9894000000000104E-2</v>
      </c>
      <c r="AH1387">
        <v>0.537636180061973</v>
      </c>
      <c r="AI1387">
        <v>98.447067710649705</v>
      </c>
      <c r="AJ1387">
        <v>92.056342639095803</v>
      </c>
      <c r="AK1387">
        <v>0.54388266998628199</v>
      </c>
    </row>
    <row r="1388" spans="1:37" x14ac:dyDescent="0.2">
      <c r="A1388" t="str">
        <f>"20200111160130482"</f>
        <v>20200111160130482</v>
      </c>
      <c r="B1388" t="str">
        <f>"1578729690472863"</f>
        <v>1578729690472863</v>
      </c>
      <c r="C1388" t="s">
        <v>37</v>
      </c>
      <c r="D1388">
        <v>5.2381729999999997</v>
      </c>
      <c r="E1388">
        <v>0.49207649999999997</v>
      </c>
      <c r="F1388" t="s">
        <v>42</v>
      </c>
      <c r="G1388">
        <v>-280.95530000000002</v>
      </c>
      <c r="H1388">
        <v>1.027129</v>
      </c>
      <c r="I1388">
        <v>285.77289999999999</v>
      </c>
      <c r="J1388">
        <v>-280.42309999999998</v>
      </c>
      <c r="K1388">
        <v>1.104649</v>
      </c>
      <c r="L1388">
        <v>285.78719999999998</v>
      </c>
      <c r="M1388">
        <v>-0.99983690000000003</v>
      </c>
      <c r="N1388">
        <v>0</v>
      </c>
      <c r="O1388">
        <v>1.100077E-2</v>
      </c>
      <c r="P1388">
        <v>-0.99969169999999996</v>
      </c>
      <c r="Q1388">
        <v>-2.229511E-2</v>
      </c>
      <c r="R1388">
        <v>1.093505E-2</v>
      </c>
      <c r="S1388">
        <v>-2.9953609999999999</v>
      </c>
      <c r="T1388">
        <v>-0.27705089999999999</v>
      </c>
      <c r="U1388">
        <v>-4.2022709999999998E-2</v>
      </c>
      <c r="V1388" s="1">
        <v>-5.4288630000000003E-5</v>
      </c>
      <c r="W1388">
        <v>-7.9755079999999992E-3</v>
      </c>
      <c r="X1388">
        <v>0.99996819999999897</v>
      </c>
      <c r="Y1388">
        <v>-2.4874739999999999E-2</v>
      </c>
      <c r="Z1388">
        <v>-2.163257E-3</v>
      </c>
      <c r="AA1388">
        <v>0.99968819999999903</v>
      </c>
      <c r="AB1388">
        <v>32</v>
      </c>
      <c r="AC1388">
        <v>-0.53220000000004497</v>
      </c>
      <c r="AD1388">
        <v>-7.7519999999999797E-2</v>
      </c>
      <c r="AE1388">
        <v>-1.42999999999915E-2</v>
      </c>
      <c r="AF1388">
        <v>-1.9735916097501902E-2</v>
      </c>
      <c r="AG1388">
        <v>-7.7519999999999797E-2</v>
      </c>
      <c r="AH1388">
        <v>0.52096527429713102</v>
      </c>
      <c r="AI1388">
        <v>98.4575723933566</v>
      </c>
      <c r="AJ1388">
        <v>92.169519294434707</v>
      </c>
      <c r="AK1388">
        <v>0.52707084325325004</v>
      </c>
    </row>
    <row r="1389" spans="1:37" x14ac:dyDescent="0.2">
      <c r="A1389" t="str">
        <f>"20200111160130505"</f>
        <v>20200111160130505</v>
      </c>
      <c r="B1389" t="str">
        <f>"1578729690502143"</f>
        <v>1578729690502143</v>
      </c>
      <c r="C1389" t="s">
        <v>37</v>
      </c>
      <c r="D1389">
        <v>5.0835220000000003</v>
      </c>
      <c r="E1389">
        <v>0.49214150000000001</v>
      </c>
      <c r="F1389" t="s">
        <v>42</v>
      </c>
      <c r="G1389">
        <v>-281.24299999999999</v>
      </c>
      <c r="H1389">
        <v>1.0290079999999999</v>
      </c>
      <c r="I1389">
        <v>285.774</v>
      </c>
      <c r="J1389">
        <v>-280.73669999999998</v>
      </c>
      <c r="K1389">
        <v>1.1047549999999999</v>
      </c>
      <c r="L1389">
        <v>285.78980000000001</v>
      </c>
      <c r="M1389">
        <v>-0.99984530000000005</v>
      </c>
      <c r="N1389">
        <v>0</v>
      </c>
      <c r="O1389">
        <v>1.0205769999999999E-2</v>
      </c>
      <c r="P1389">
        <v>-0.99973080000000003</v>
      </c>
      <c r="Q1389">
        <v>-2.1507100000000001E-2</v>
      </c>
      <c r="R1389">
        <v>8.7017850000000001E-3</v>
      </c>
      <c r="S1389">
        <v>-2.9952999999999999</v>
      </c>
      <c r="T1389">
        <v>-0.27658840000000001</v>
      </c>
      <c r="U1389">
        <v>-4.9224850000000001E-2</v>
      </c>
      <c r="V1389">
        <v>-1.492286E-3</v>
      </c>
      <c r="W1389">
        <v>-7.1772750000000003E-3</v>
      </c>
      <c r="X1389">
        <v>0.99997309999999995</v>
      </c>
      <c r="Y1389">
        <v>-2.6480360000000001E-2</v>
      </c>
      <c r="Z1389">
        <v>-2.1603820000000002E-3</v>
      </c>
      <c r="AA1389">
        <v>0.99964699999999995</v>
      </c>
      <c r="AB1389">
        <v>32</v>
      </c>
      <c r="AC1389">
        <v>-0.50630000000000996</v>
      </c>
      <c r="AD1389">
        <v>-7.5746999999999995E-2</v>
      </c>
      <c r="AE1389">
        <v>-1.5800000000012901E-2</v>
      </c>
      <c r="AF1389">
        <v>-2.0508301350751299E-2</v>
      </c>
      <c r="AG1389">
        <v>-7.5746999999999995E-2</v>
      </c>
      <c r="AH1389">
        <v>0.49504268222490599</v>
      </c>
      <c r="AI1389">
        <v>98.692073154829103</v>
      </c>
      <c r="AJ1389">
        <v>92.372255232941995</v>
      </c>
      <c r="AK1389">
        <v>0.50122395758555105</v>
      </c>
    </row>
    <row r="1390" spans="1:37" x14ac:dyDescent="0.2">
      <c r="A1390" t="str">
        <f>"20200111160130526"</f>
        <v>20200111160130526</v>
      </c>
      <c r="B1390" t="str">
        <f>"1578729690522640"</f>
        <v>1578729690522640</v>
      </c>
      <c r="C1390" t="s">
        <v>37</v>
      </c>
      <c r="D1390">
        <v>5.0789330000000001</v>
      </c>
      <c r="E1390">
        <v>0.49216670000000001</v>
      </c>
      <c r="F1390" t="s">
        <v>42</v>
      </c>
      <c r="G1390">
        <v>-281.53840000000002</v>
      </c>
      <c r="H1390">
        <v>1.0313669999999999</v>
      </c>
      <c r="I1390">
        <v>285.77519999999998</v>
      </c>
      <c r="J1390">
        <v>-281.05160000000001</v>
      </c>
      <c r="K1390">
        <v>1.104833</v>
      </c>
      <c r="L1390">
        <v>285.79219999999998</v>
      </c>
      <c r="M1390">
        <v>-0.99985360000000001</v>
      </c>
      <c r="N1390">
        <v>0</v>
      </c>
      <c r="O1390">
        <v>9.3320019999999903E-3</v>
      </c>
      <c r="P1390">
        <v>-0.99974359999999995</v>
      </c>
      <c r="Q1390">
        <v>-2.191092E-2</v>
      </c>
      <c r="R1390">
        <v>5.7248450000000001E-3</v>
      </c>
      <c r="S1390">
        <v>-2.995422</v>
      </c>
      <c r="T1390">
        <v>-0.27429429999999999</v>
      </c>
      <c r="U1390">
        <v>-5.4595949999999997E-2</v>
      </c>
      <c r="V1390">
        <v>-3.5936359999999999E-3</v>
      </c>
      <c r="W1390">
        <v>-7.574875E-3</v>
      </c>
      <c r="X1390">
        <v>0.99996479999999999</v>
      </c>
      <c r="Y1390">
        <v>-2.740041E-2</v>
      </c>
      <c r="Z1390">
        <v>-2.1046060000000002E-3</v>
      </c>
      <c r="AA1390">
        <v>0.99962229999999996</v>
      </c>
      <c r="AB1390">
        <v>32</v>
      </c>
      <c r="AC1390">
        <v>-0.486800000000016</v>
      </c>
      <c r="AD1390">
        <v>-7.3466000000000004E-2</v>
      </c>
      <c r="AE1390">
        <v>-1.69999999999959E-2</v>
      </c>
      <c r="AF1390">
        <v>-2.1063396295515999E-2</v>
      </c>
      <c r="AG1390">
        <v>-7.3466000000000004E-2</v>
      </c>
      <c r="AH1390">
        <v>0.47579673599266897</v>
      </c>
      <c r="AI1390">
        <v>98.769055030621203</v>
      </c>
      <c r="AJ1390">
        <v>92.534814028441801</v>
      </c>
      <c r="AK1390">
        <v>0.48189568767605701</v>
      </c>
    </row>
    <row r="1391" spans="1:37" x14ac:dyDescent="0.2">
      <c r="A1391" t="str">
        <f>"20200111160130549"</f>
        <v>20200111160130549</v>
      </c>
      <c r="B1391" t="str">
        <f>"1578729690542160"</f>
        <v>1578729690542160</v>
      </c>
      <c r="C1391" t="s">
        <v>37</v>
      </c>
      <c r="D1391">
        <v>5.2171599999999998</v>
      </c>
      <c r="E1391">
        <v>0.49219089999999999</v>
      </c>
      <c r="F1391" t="s">
        <v>60</v>
      </c>
      <c r="G1391">
        <v>-293.07130000000001</v>
      </c>
      <c r="H1391" s="1">
        <v>2.6697809999999999E-6</v>
      </c>
      <c r="I1391">
        <v>285.5401</v>
      </c>
      <c r="J1391">
        <v>-281.38679999999999</v>
      </c>
      <c r="K1391">
        <v>1.1048739999999999</v>
      </c>
      <c r="L1391">
        <v>285.79430000000002</v>
      </c>
      <c r="M1391">
        <v>-0.99986219999999904</v>
      </c>
      <c r="N1391">
        <v>0</v>
      </c>
      <c r="O1391">
        <v>8.3497299999999997E-3</v>
      </c>
      <c r="P1391">
        <v>-0.99973299999999998</v>
      </c>
      <c r="Q1391">
        <v>-2.2934340000000001E-2</v>
      </c>
      <c r="R1391">
        <v>2.822354E-3</v>
      </c>
      <c r="S1391">
        <v>-2.9950869999999998</v>
      </c>
      <c r="T1391">
        <v>-0.2753041</v>
      </c>
      <c r="U1391">
        <v>-6.2805180000000002E-2</v>
      </c>
      <c r="V1391">
        <v>-5.5113549999999999E-3</v>
      </c>
      <c r="W1391">
        <v>-8.5937449999999999E-3</v>
      </c>
      <c r="X1391">
        <v>0.999947899999999</v>
      </c>
      <c r="Y1391">
        <v>-2.915477E-2</v>
      </c>
      <c r="Z1391">
        <v>-2.1028549999999998E-3</v>
      </c>
      <c r="AA1391">
        <v>0.99957269999999898</v>
      </c>
      <c r="AB1391">
        <v>32</v>
      </c>
      <c r="AC1391">
        <v>-11.6845</v>
      </c>
      <c r="AD1391">
        <v>-1.1048713302190001</v>
      </c>
      <c r="AE1391">
        <v>-0.25420000000002502</v>
      </c>
      <c r="AF1391">
        <v>-0.34864769418321401</v>
      </c>
      <c r="AG1391">
        <v>-1.1048713302190001</v>
      </c>
      <c r="AH1391">
        <v>11.5784914985499</v>
      </c>
      <c r="AI1391">
        <v>95.448459268774897</v>
      </c>
      <c r="AJ1391">
        <v>91.724750343288406</v>
      </c>
      <c r="AK1391">
        <v>11.636312184407499</v>
      </c>
    </row>
    <row r="1392" spans="1:37" x14ac:dyDescent="0.2">
      <c r="A1392" t="str">
        <f>"20200111160130572"</f>
        <v>20200111160130572</v>
      </c>
      <c r="B1392" t="str">
        <f>"1578729690562654"</f>
        <v>1578729690562654</v>
      </c>
      <c r="C1392" t="s">
        <v>37</v>
      </c>
      <c r="D1392">
        <v>5.2223499999999996</v>
      </c>
      <c r="E1392">
        <v>0.49224109999999999</v>
      </c>
      <c r="F1392" t="s">
        <v>42</v>
      </c>
      <c r="G1392">
        <v>-282.37270000000001</v>
      </c>
      <c r="H1392">
        <v>1.0133379999999901</v>
      </c>
      <c r="I1392">
        <v>285.77109999999999</v>
      </c>
      <c r="J1392">
        <v>-281.70119999999997</v>
      </c>
      <c r="K1392">
        <v>1.104892</v>
      </c>
      <c r="L1392">
        <v>285.79590000000002</v>
      </c>
      <c r="M1392">
        <v>-0.99986939999999902</v>
      </c>
      <c r="N1392">
        <v>0</v>
      </c>
      <c r="O1392">
        <v>7.41558199999999E-3</v>
      </c>
      <c r="P1392">
        <v>-0.99972039999999995</v>
      </c>
      <c r="Q1392">
        <v>-2.3629339999999999E-2</v>
      </c>
      <c r="R1392">
        <v>8.8421229999999999E-4</v>
      </c>
      <c r="S1392">
        <v>-2.9945979999999999</v>
      </c>
      <c r="T1392">
        <v>-0.27819199999999999</v>
      </c>
      <c r="U1392">
        <v>-7.1014399999999894E-2</v>
      </c>
      <c r="V1392">
        <v>-6.5140479999999997E-3</v>
      </c>
      <c r="W1392">
        <v>-9.2846790000000005E-3</v>
      </c>
      <c r="X1392">
        <v>0.99993569999999998</v>
      </c>
      <c r="Y1392">
        <v>-3.0955980000000001E-2</v>
      </c>
      <c r="Z1392">
        <v>-2.1219820000000001E-3</v>
      </c>
      <c r="AA1392">
        <v>0.99951849999999998</v>
      </c>
      <c r="AB1392">
        <v>32</v>
      </c>
      <c r="AC1392">
        <v>-0.67150000000003696</v>
      </c>
      <c r="AD1392">
        <v>-9.1554000000000094E-2</v>
      </c>
      <c r="AE1392">
        <v>-2.4800000000027401E-2</v>
      </c>
      <c r="AF1392">
        <v>-2.92366467643458E-2</v>
      </c>
      <c r="AG1392">
        <v>-9.1554000000000094E-2</v>
      </c>
      <c r="AH1392">
        <v>0.65906279152878899</v>
      </c>
      <c r="AI1392">
        <v>97.900983322832104</v>
      </c>
      <c r="AJ1392">
        <v>92.540029499351704</v>
      </c>
      <c r="AK1392">
        <v>0.66603354240439205</v>
      </c>
    </row>
    <row r="1393" spans="1:37" x14ac:dyDescent="0.2">
      <c r="A1393" t="str">
        <f>"20200111160130593"</f>
        <v>20200111160130593</v>
      </c>
      <c r="B1393" t="str">
        <f>"1578729690582175"</f>
        <v>1578729690582175</v>
      </c>
      <c r="C1393" t="s">
        <v>37</v>
      </c>
      <c r="D1393">
        <v>5.2408650000000003</v>
      </c>
      <c r="E1393">
        <v>0.49229679999999998</v>
      </c>
      <c r="F1393" t="s">
        <v>42</v>
      </c>
      <c r="G1393">
        <v>-282.65820000000002</v>
      </c>
      <c r="H1393">
        <v>1.0154049999999999</v>
      </c>
      <c r="I1393">
        <v>285.77159999999998</v>
      </c>
      <c r="J1393">
        <v>-282.0095</v>
      </c>
      <c r="K1393">
        <v>1.1048959999999901</v>
      </c>
      <c r="L1393">
        <v>285.79719999999998</v>
      </c>
      <c r="M1393">
        <v>-0.99987569999999903</v>
      </c>
      <c r="N1393">
        <v>0</v>
      </c>
      <c r="O1393">
        <v>6.5090540000000002E-3</v>
      </c>
      <c r="P1393">
        <v>-0.99969189999999997</v>
      </c>
      <c r="Q1393">
        <v>-2.4799359999999999E-2</v>
      </c>
      <c r="R1393">
        <v>-9.9522710000000004E-4</v>
      </c>
      <c r="S1393">
        <v>-2.9942929999999999</v>
      </c>
      <c r="T1393">
        <v>-0.28009129999999999</v>
      </c>
      <c r="U1393">
        <v>-7.6477050000000005E-2</v>
      </c>
      <c r="V1393">
        <v>-7.4842590000000001E-3</v>
      </c>
      <c r="W1393">
        <v>-1.045222E-2</v>
      </c>
      <c r="X1393">
        <v>0.99991739999999996</v>
      </c>
      <c r="Y1393">
        <v>-3.187222E-2</v>
      </c>
      <c r="Z1393">
        <v>-2.0947190000000001E-3</v>
      </c>
      <c r="AA1393">
        <v>0.99948979999999998</v>
      </c>
      <c r="AB1393">
        <v>32</v>
      </c>
      <c r="AC1393">
        <v>-0.64870000000001904</v>
      </c>
      <c r="AD1393">
        <v>-8.9490999999999904E-2</v>
      </c>
      <c r="AE1393">
        <v>-2.5599999999997101E-2</v>
      </c>
      <c r="AF1393">
        <v>-2.9266205308437501E-2</v>
      </c>
      <c r="AG1393">
        <v>-8.9490999999999904E-2</v>
      </c>
      <c r="AH1393">
        <v>0.63642635004425496</v>
      </c>
      <c r="AI1393">
        <v>97.995818730981796</v>
      </c>
      <c r="AJ1393">
        <v>92.632904152429006</v>
      </c>
      <c r="AK1393">
        <v>0.64335344009712803</v>
      </c>
    </row>
    <row r="1394" spans="1:37" x14ac:dyDescent="0.2">
      <c r="A1394" t="str">
        <f>"20200111160130617"</f>
        <v>20200111160130617</v>
      </c>
      <c r="B1394" t="str">
        <f>"1578729690612432"</f>
        <v>1578729690612432</v>
      </c>
      <c r="C1394" t="s">
        <v>37</v>
      </c>
      <c r="D1394">
        <v>5.519298</v>
      </c>
      <c r="E1394">
        <v>0.49231829999999999</v>
      </c>
      <c r="F1394" t="s">
        <v>42</v>
      </c>
      <c r="G1394">
        <v>-282.94299999999998</v>
      </c>
      <c r="H1394">
        <v>1.0165690000000001</v>
      </c>
      <c r="I1394">
        <v>285.77190000000002</v>
      </c>
      <c r="J1394">
        <v>-282.3399</v>
      </c>
      <c r="K1394">
        <v>1.1048959999999901</v>
      </c>
      <c r="L1394">
        <v>285.79840000000002</v>
      </c>
      <c r="M1394">
        <v>-0.99988129999999997</v>
      </c>
      <c r="N1394">
        <v>0</v>
      </c>
      <c r="O1394">
        <v>5.5776799999999998E-3</v>
      </c>
      <c r="P1394">
        <v>-0.99970119999999896</v>
      </c>
      <c r="Q1394">
        <v>-2.4336710000000001E-2</v>
      </c>
      <c r="R1394">
        <v>-2.337853E-3</v>
      </c>
      <c r="S1394">
        <v>-2.993805</v>
      </c>
      <c r="T1394">
        <v>-0.28343499999999999</v>
      </c>
      <c r="U1394">
        <v>-8.1817630000000002E-2</v>
      </c>
      <c r="V1394">
        <v>-7.8967259999999997E-3</v>
      </c>
      <c r="W1394">
        <v>-9.986389E-3</v>
      </c>
      <c r="X1394">
        <v>0.99991890000000005</v>
      </c>
      <c r="Y1394">
        <v>-3.2723380000000003E-2</v>
      </c>
      <c r="Z1394">
        <v>-2.0721289999999998E-3</v>
      </c>
      <c r="AA1394">
        <v>0.99946229999999903</v>
      </c>
      <c r="AB1394">
        <v>32</v>
      </c>
      <c r="AC1394">
        <v>-0.60309999999998298</v>
      </c>
      <c r="AD1394">
        <v>-8.8326999999999795E-2</v>
      </c>
      <c r="AE1394">
        <v>-2.6499999999998601E-2</v>
      </c>
      <c r="AF1394">
        <v>-2.92379160852261E-2</v>
      </c>
      <c r="AG1394">
        <v>-8.8326999999999795E-2</v>
      </c>
      <c r="AH1394">
        <v>0.59030568795560501</v>
      </c>
      <c r="AI1394">
        <v>98.499722715227193</v>
      </c>
      <c r="AJ1394">
        <v>92.835550033376606</v>
      </c>
      <c r="AK1394">
        <v>0.59759293829390803</v>
      </c>
    </row>
    <row r="1395" spans="1:37" x14ac:dyDescent="0.2">
      <c r="A1395" t="str">
        <f>"20200111160130639"</f>
        <v>20200111160130639</v>
      </c>
      <c r="B1395" t="str">
        <f>"1578729690631951"</f>
        <v>1578729690631951</v>
      </c>
      <c r="C1395" t="s">
        <v>37</v>
      </c>
      <c r="D1395">
        <v>5.2828179999999998</v>
      </c>
      <c r="E1395">
        <v>0.49237959999999897</v>
      </c>
      <c r="F1395" t="s">
        <v>42</v>
      </c>
      <c r="G1395">
        <v>-283.23020000000002</v>
      </c>
      <c r="H1395">
        <v>1.0210269999999999</v>
      </c>
      <c r="I1395">
        <v>285.77289999999999</v>
      </c>
      <c r="J1395">
        <v>-282.66039999999998</v>
      </c>
      <c r="K1395">
        <v>1.1048739999999999</v>
      </c>
      <c r="L1395">
        <v>285.79930000000002</v>
      </c>
      <c r="M1395">
        <v>-0.99988559999999904</v>
      </c>
      <c r="N1395">
        <v>0</v>
      </c>
      <c r="O1395">
        <v>4.7368150000000001E-3</v>
      </c>
      <c r="P1395">
        <v>-0.99973060000000002</v>
      </c>
      <c r="Q1395">
        <v>-2.3023149999999999E-2</v>
      </c>
      <c r="R1395">
        <v>-2.9229500000000001E-3</v>
      </c>
      <c r="S1395">
        <v>-2.9938349999999998</v>
      </c>
      <c r="T1395">
        <v>-0.2820493</v>
      </c>
      <c r="U1395">
        <v>-8.6059570000000002E-2</v>
      </c>
      <c r="V1395">
        <v>-7.6445949999999997E-3</v>
      </c>
      <c r="W1395">
        <v>-8.6691259999999992E-3</v>
      </c>
      <c r="X1395">
        <v>0.99993319999999997</v>
      </c>
      <c r="Y1395">
        <v>-3.3300450000000002E-2</v>
      </c>
      <c r="Z1395">
        <v>-2.010062E-3</v>
      </c>
      <c r="AA1395">
        <v>0.99944339999999998</v>
      </c>
      <c r="AB1395">
        <v>32</v>
      </c>
      <c r="AC1395">
        <v>-0.56980000000004305</v>
      </c>
      <c r="AD1395">
        <v>-8.38469999999997E-2</v>
      </c>
      <c r="AE1395">
        <v>-2.64000000000237E-2</v>
      </c>
      <c r="AF1395">
        <v>-2.8483568743288099E-2</v>
      </c>
      <c r="AG1395">
        <v>-8.38469999999997E-2</v>
      </c>
      <c r="AH1395">
        <v>0.55761992526899196</v>
      </c>
      <c r="AI1395">
        <v>98.540295481035201</v>
      </c>
      <c r="AJ1395">
        <v>92.924162154315496</v>
      </c>
      <c r="AK1395">
        <v>0.56460748680330997</v>
      </c>
    </row>
    <row r="1396" spans="1:37" x14ac:dyDescent="0.2">
      <c r="A1396" t="str">
        <f>"20200111160130662"</f>
        <v>20200111160130662</v>
      </c>
      <c r="B1396" t="str">
        <f>"1578729690652447"</f>
        <v>1578729690652447</v>
      </c>
      <c r="C1396" t="s">
        <v>37</v>
      </c>
      <c r="D1396">
        <v>5.3187139999999999</v>
      </c>
      <c r="E1396">
        <v>0.49243890000000001</v>
      </c>
      <c r="F1396" t="s">
        <v>42</v>
      </c>
      <c r="G1396">
        <v>-283.51679999999999</v>
      </c>
      <c r="H1396">
        <v>1.0254239999999999</v>
      </c>
      <c r="I1396">
        <v>285.77449999999999</v>
      </c>
      <c r="J1396">
        <v>-282.97629999999998</v>
      </c>
      <c r="K1396">
        <v>1.104843</v>
      </c>
      <c r="L1396">
        <v>285.8</v>
      </c>
      <c r="M1396">
        <v>-0.99988880000000002</v>
      </c>
      <c r="N1396">
        <v>0</v>
      </c>
      <c r="O1396">
        <v>3.983276E-3</v>
      </c>
      <c r="P1396">
        <v>-0.99974640000000004</v>
      </c>
      <c r="Q1396">
        <v>-2.240087E-2</v>
      </c>
      <c r="R1396">
        <v>-2.3732100000000002E-3</v>
      </c>
      <c r="S1396">
        <v>-2.9941709999999899</v>
      </c>
      <c r="T1396">
        <v>-0.27796120000000002</v>
      </c>
      <c r="U1396">
        <v>-8.7310789999999999E-2</v>
      </c>
      <c r="V1396">
        <v>-6.3429430000000002E-3</v>
      </c>
      <c r="W1396">
        <v>-8.0421539999999993E-3</v>
      </c>
      <c r="X1396">
        <v>0.99994749999999999</v>
      </c>
      <c r="Y1396">
        <v>-3.2970859999999998E-2</v>
      </c>
      <c r="Z1396">
        <v>-1.89576E-3</v>
      </c>
      <c r="AA1396">
        <v>0.99945450000000002</v>
      </c>
      <c r="AB1396">
        <v>32</v>
      </c>
      <c r="AC1396">
        <v>-0.54050000000000797</v>
      </c>
      <c r="AD1396">
        <v>-7.9419000000000101E-2</v>
      </c>
      <c r="AE1396">
        <v>-2.5500000000022199E-2</v>
      </c>
      <c r="AF1396">
        <v>-2.7069834490920101E-2</v>
      </c>
      <c r="AG1396">
        <v>-7.9419000000000101E-2</v>
      </c>
      <c r="AH1396">
        <v>0.52899829305300605</v>
      </c>
      <c r="AI1396">
        <v>98.527108784156894</v>
      </c>
      <c r="AJ1396">
        <v>92.929377328803696</v>
      </c>
      <c r="AK1396">
        <v>0.53561119065359297</v>
      </c>
    </row>
    <row r="1397" spans="1:37" x14ac:dyDescent="0.2">
      <c r="A1397" t="str">
        <f>"20200111160130683"</f>
        <v>20200111160130683</v>
      </c>
      <c r="B1397" t="str">
        <f>"1578729690671967"</f>
        <v>1578729690671967</v>
      </c>
      <c r="C1397" t="s">
        <v>37</v>
      </c>
      <c r="D1397">
        <v>5.231833</v>
      </c>
      <c r="E1397">
        <v>0.49244700000000002</v>
      </c>
      <c r="F1397" t="s">
        <v>42</v>
      </c>
      <c r="G1397">
        <v>-283.80509999999998</v>
      </c>
      <c r="H1397">
        <v>1.0285709999999999</v>
      </c>
      <c r="I1397">
        <v>285.7765</v>
      </c>
      <c r="J1397">
        <v>-283.2747</v>
      </c>
      <c r="K1397">
        <v>1.1047929999999999</v>
      </c>
      <c r="L1397">
        <v>285.80040000000002</v>
      </c>
      <c r="M1397">
        <v>-0.99989130000000004</v>
      </c>
      <c r="N1397">
        <v>0</v>
      </c>
      <c r="O1397">
        <v>3.3510020000000001E-3</v>
      </c>
      <c r="P1397">
        <v>-0.99974169999999996</v>
      </c>
      <c r="Q1397">
        <v>-2.2687039999999999E-2</v>
      </c>
      <c r="R1397">
        <v>-1.3793589999999999E-3</v>
      </c>
      <c r="S1397">
        <v>-2.9943849999999999</v>
      </c>
      <c r="T1397">
        <v>-0.2757252</v>
      </c>
      <c r="U1397">
        <v>-8.5296629999999998E-2</v>
      </c>
      <c r="V1397">
        <v>-4.7179479999999996E-3</v>
      </c>
      <c r="W1397">
        <v>-8.3242990000000003E-3</v>
      </c>
      <c r="X1397">
        <v>0.99995419999999902</v>
      </c>
      <c r="Y1397">
        <v>-3.1675740000000001E-2</v>
      </c>
      <c r="Z1397">
        <v>-1.7628769999999999E-3</v>
      </c>
      <c r="AA1397">
        <v>0.99949659999999996</v>
      </c>
      <c r="AB1397">
        <v>32</v>
      </c>
      <c r="AC1397">
        <v>-0.53039999999998599</v>
      </c>
      <c r="AD1397">
        <v>-7.6222000000000206E-2</v>
      </c>
      <c r="AE1397">
        <v>-2.3900000000026001E-2</v>
      </c>
      <c r="AF1397">
        <v>-2.51589017901096E-2</v>
      </c>
      <c r="AG1397">
        <v>-7.6222000000000206E-2</v>
      </c>
      <c r="AH1397">
        <v>0.51960793422711704</v>
      </c>
      <c r="AI1397">
        <v>98.335649317342401</v>
      </c>
      <c r="AJ1397">
        <v>92.772040019402993</v>
      </c>
      <c r="AK1397">
        <v>0.52577102329346503</v>
      </c>
    </row>
    <row r="1398" spans="1:37" x14ac:dyDescent="0.2">
      <c r="A1398" t="str">
        <f>"20200111160130706"</f>
        <v>20200111160130706</v>
      </c>
      <c r="B1398" t="str">
        <f>"1578729690702223"</f>
        <v>1578729690702223</v>
      </c>
      <c r="C1398" t="s">
        <v>37</v>
      </c>
      <c r="D1398">
        <v>5.32294</v>
      </c>
      <c r="E1398">
        <v>0.49250879999999903</v>
      </c>
      <c r="F1398" t="s">
        <v>42</v>
      </c>
      <c r="G1398">
        <v>-284.08949999999999</v>
      </c>
      <c r="H1398">
        <v>1.0296920000000001</v>
      </c>
      <c r="I1398">
        <v>285.77839999999998</v>
      </c>
      <c r="J1398">
        <v>-283.58859999999999</v>
      </c>
      <c r="K1398">
        <v>1.1047260000000001</v>
      </c>
      <c r="L1398">
        <v>285.80090000000001</v>
      </c>
      <c r="M1398">
        <v>-0.99989300000000003</v>
      </c>
      <c r="N1398">
        <v>0</v>
      </c>
      <c r="O1398">
        <v>2.7730809999999902E-3</v>
      </c>
      <c r="P1398">
        <v>-0.9997241</v>
      </c>
      <c r="Q1398">
        <v>-2.3491930000000001E-2</v>
      </c>
      <c r="R1398" s="1">
        <v>-9.6779079999999995E-5</v>
      </c>
      <c r="S1398">
        <v>-2.9943849999999999</v>
      </c>
      <c r="T1398">
        <v>-0.27619120000000003</v>
      </c>
      <c r="U1398">
        <v>-8.1878660000000006E-2</v>
      </c>
      <c r="V1398">
        <v>-2.8578639999999999E-3</v>
      </c>
      <c r="W1398">
        <v>-9.1258789999999999E-3</v>
      </c>
      <c r="X1398">
        <v>0.99995429999999996</v>
      </c>
      <c r="Y1398">
        <v>-2.9967199999999999E-2</v>
      </c>
      <c r="Z1398">
        <v>-1.63406799999999E-3</v>
      </c>
      <c r="AA1398">
        <v>0.99954959999999904</v>
      </c>
      <c r="AB1398">
        <v>32</v>
      </c>
      <c r="AC1398">
        <v>-0.50090000000000101</v>
      </c>
      <c r="AD1398">
        <v>-7.5034000000000003E-2</v>
      </c>
      <c r="AE1398">
        <v>-2.25000000000363E-2</v>
      </c>
      <c r="AF1398">
        <v>-2.3365830142926501E-2</v>
      </c>
      <c r="AG1398">
        <v>-7.5034000000000003E-2</v>
      </c>
      <c r="AH1398">
        <v>0.48986544784695402</v>
      </c>
      <c r="AI1398">
        <v>98.698724758492006</v>
      </c>
      <c r="AJ1398">
        <v>92.730850988912593</v>
      </c>
      <c r="AK1398">
        <v>0.49612923736518899</v>
      </c>
    </row>
    <row r="1399" spans="1:37" x14ac:dyDescent="0.2">
      <c r="A1399" t="str">
        <f>"20200111160130730"</f>
        <v>20200111160130730</v>
      </c>
      <c r="B1399" t="str">
        <f>"1578729690722719"</f>
        <v>1578729690722719</v>
      </c>
      <c r="C1399" t="s">
        <v>37</v>
      </c>
      <c r="D1399">
        <v>5.4226260000000002</v>
      </c>
      <c r="E1399">
        <v>0.49252790000000002</v>
      </c>
      <c r="F1399" t="s">
        <v>42</v>
      </c>
      <c r="G1399">
        <v>-284.37790000000001</v>
      </c>
      <c r="H1399">
        <v>1.031358</v>
      </c>
      <c r="I1399">
        <v>285.78050000000002</v>
      </c>
      <c r="J1399">
        <v>-283.93369999999999</v>
      </c>
      <c r="K1399">
        <v>1.1046479999999901</v>
      </c>
      <c r="L1399">
        <v>285.80130000000003</v>
      </c>
      <c r="M1399">
        <v>-0.99989419999999996</v>
      </c>
      <c r="N1399">
        <v>0</v>
      </c>
      <c r="O1399">
        <v>2.2388550000000001E-3</v>
      </c>
      <c r="P1399">
        <v>-0.99970099999999995</v>
      </c>
      <c r="Q1399">
        <v>-2.4386700000000001E-2</v>
      </c>
      <c r="R1399">
        <v>1.815086E-3</v>
      </c>
      <c r="S1399">
        <v>-2.9943240000000002</v>
      </c>
      <c r="T1399">
        <v>-0.27839970000000003</v>
      </c>
      <c r="U1399">
        <v>-7.7484129999999998E-2</v>
      </c>
      <c r="V1399">
        <v>-4.1226860000000002E-4</v>
      </c>
      <c r="W1399">
        <v>-1.00179E-2</v>
      </c>
      <c r="X1399">
        <v>0.9999498</v>
      </c>
      <c r="Y1399">
        <v>-2.797639E-2</v>
      </c>
      <c r="Z1399">
        <v>-1.505249E-3</v>
      </c>
      <c r="AA1399">
        <v>0.99960740000000003</v>
      </c>
      <c r="AB1399">
        <v>32</v>
      </c>
      <c r="AC1399">
        <v>-0.44420000000002302</v>
      </c>
      <c r="AD1399">
        <v>-7.32899999999998E-2</v>
      </c>
      <c r="AE1399">
        <v>-2.0800000000008301E-2</v>
      </c>
      <c r="AF1399">
        <v>-2.12181956426775E-2</v>
      </c>
      <c r="AG1399">
        <v>-7.32899999999998E-2</v>
      </c>
      <c r="AH1399">
        <v>0.43240675714589299</v>
      </c>
      <c r="AI1399">
        <v>99.608475349317402</v>
      </c>
      <c r="AJ1399">
        <v>92.809250061818801</v>
      </c>
      <c r="AK1399">
        <v>0.43908682461645099</v>
      </c>
    </row>
    <row r="1400" spans="1:37" x14ac:dyDescent="0.2">
      <c r="A1400" t="str">
        <f>"20200111160130752"</f>
        <v>20200111160130752</v>
      </c>
      <c r="B1400" t="str">
        <f>"1578729690742240"</f>
        <v>1578729690742240</v>
      </c>
      <c r="C1400" t="s">
        <v>37</v>
      </c>
      <c r="D1400">
        <v>5.2376360000000002</v>
      </c>
      <c r="E1400">
        <v>0.49256430000000001</v>
      </c>
      <c r="F1400" t="s">
        <v>42</v>
      </c>
      <c r="G1400">
        <v>-284.91910000000001</v>
      </c>
      <c r="H1400">
        <v>1.0121899999999999</v>
      </c>
      <c r="I1400">
        <v>285.77780000000001</v>
      </c>
      <c r="J1400">
        <v>-284.24189999999999</v>
      </c>
      <c r="K1400">
        <v>1.104584</v>
      </c>
      <c r="L1400">
        <v>285.80149999999998</v>
      </c>
      <c r="M1400">
        <v>-0.99989509999999904</v>
      </c>
      <c r="N1400">
        <v>0</v>
      </c>
      <c r="O1400">
        <v>1.853759E-3</v>
      </c>
      <c r="P1400">
        <v>-0.99971369999999904</v>
      </c>
      <c r="Q1400">
        <v>-2.3588049999999999E-2</v>
      </c>
      <c r="R1400">
        <v>4.0574959999999998E-3</v>
      </c>
      <c r="S1400">
        <v>-2.994202</v>
      </c>
      <c r="T1400">
        <v>-0.28088999999999997</v>
      </c>
      <c r="U1400">
        <v>-7.1411130000000003E-2</v>
      </c>
      <c r="V1400">
        <v>2.2126839999999999E-3</v>
      </c>
      <c r="W1400">
        <v>-9.2173050000000003E-3</v>
      </c>
      <c r="X1400">
        <v>0.99995509999999999</v>
      </c>
      <c r="Y1400">
        <v>-2.5576040000000001E-2</v>
      </c>
      <c r="Z1400">
        <v>-1.3703809999999999E-3</v>
      </c>
      <c r="AA1400">
        <v>0.99967189999999995</v>
      </c>
      <c r="AB1400">
        <v>32</v>
      </c>
      <c r="AC1400">
        <v>-0.677200000000027</v>
      </c>
      <c r="AD1400">
        <v>-9.2394000000000004E-2</v>
      </c>
      <c r="AE1400">
        <v>-2.3699999999962501E-2</v>
      </c>
      <c r="AF1400">
        <v>-2.4499955500947902E-2</v>
      </c>
      <c r="AG1400">
        <v>-9.2394000000000004E-2</v>
      </c>
      <c r="AH1400">
        <v>0.664795142010006</v>
      </c>
      <c r="AI1400">
        <v>97.907049546527801</v>
      </c>
      <c r="AJ1400">
        <v>92.110588613457097</v>
      </c>
      <c r="AK1400">
        <v>0.67163195270598297</v>
      </c>
    </row>
    <row r="1401" spans="1:37" x14ac:dyDescent="0.2">
      <c r="A1401" t="str">
        <f>"20200111160130774"</f>
        <v>20200111160130774</v>
      </c>
      <c r="B1401" t="str">
        <f>"1578729690762735"</f>
        <v>1578729690762735</v>
      </c>
      <c r="C1401" t="s">
        <v>37</v>
      </c>
      <c r="D1401">
        <v>5.5064890000000002</v>
      </c>
      <c r="E1401">
        <v>0.49249870000000001</v>
      </c>
      <c r="F1401" t="s">
        <v>42</v>
      </c>
      <c r="G1401">
        <v>-285.20209999999997</v>
      </c>
      <c r="H1401">
        <v>1.0153969999999899</v>
      </c>
      <c r="I1401">
        <v>285.78100000000001</v>
      </c>
      <c r="J1401">
        <v>-284.55450000000002</v>
      </c>
      <c r="K1401">
        <v>1.1045419999999999</v>
      </c>
      <c r="L1401">
        <v>285.80169999999998</v>
      </c>
      <c r="M1401">
        <v>-0.9998958</v>
      </c>
      <c r="N1401">
        <v>0</v>
      </c>
      <c r="O1401">
        <v>1.5262379999999901E-3</v>
      </c>
      <c r="P1401">
        <v>-0.99974110000000005</v>
      </c>
      <c r="Q1401">
        <v>-2.1809209999999999E-2</v>
      </c>
      <c r="R1401">
        <v>6.5207650000000004E-3</v>
      </c>
      <c r="S1401">
        <v>-2.9945680000000001</v>
      </c>
      <c r="T1401">
        <v>-0.27831689999999998</v>
      </c>
      <c r="U1401">
        <v>-6.4880370000000007E-2</v>
      </c>
      <c r="V1401">
        <v>5.0007350000000001E-3</v>
      </c>
      <c r="W1401">
        <v>-7.4373629999999998E-3</v>
      </c>
      <c r="X1401">
        <v>0.99995979999999995</v>
      </c>
      <c r="Y1401">
        <v>-2.3080949999999999E-2</v>
      </c>
      <c r="Z1401">
        <v>-1.2116900000000001E-3</v>
      </c>
      <c r="AA1401">
        <v>0.99973289999999904</v>
      </c>
      <c r="AB1401">
        <v>32</v>
      </c>
      <c r="AC1401">
        <v>-0.64759999999995399</v>
      </c>
      <c r="AD1401">
        <v>-8.9145000000000002E-2</v>
      </c>
      <c r="AE1401">
        <v>-2.0699999999976602E-2</v>
      </c>
      <c r="AF1401">
        <v>-2.1285546875599901E-2</v>
      </c>
      <c r="AG1401">
        <v>-8.9145000000000002E-2</v>
      </c>
      <c r="AH1401">
        <v>0.63553731050596696</v>
      </c>
      <c r="AI1401">
        <v>97.980204664413705</v>
      </c>
      <c r="AJ1401">
        <v>91.918245046827394</v>
      </c>
      <c r="AK1401">
        <v>0.64211181158420705</v>
      </c>
    </row>
    <row r="1402" spans="1:37" x14ac:dyDescent="0.2">
      <c r="A1402" t="str">
        <f>"20200111160130794"</f>
        <v>20200111160130794</v>
      </c>
      <c r="B1402" t="str">
        <f>"1578729690792015"</f>
        <v>1578729690792015</v>
      </c>
      <c r="C1402" t="s">
        <v>37</v>
      </c>
      <c r="D1402">
        <v>4.895295</v>
      </c>
      <c r="E1402">
        <v>0.43454880000000001</v>
      </c>
      <c r="F1402" t="s">
        <v>42</v>
      </c>
      <c r="G1402">
        <v>-285.48540000000003</v>
      </c>
      <c r="H1402">
        <v>1.0197700000000001</v>
      </c>
      <c r="I1402">
        <v>285.78359999999998</v>
      </c>
      <c r="J1402">
        <v>-284.84789999999998</v>
      </c>
      <c r="K1402">
        <v>1.104508</v>
      </c>
      <c r="L1402">
        <v>285.80180000000001</v>
      </c>
      <c r="M1402">
        <v>-0.99989609999999995</v>
      </c>
      <c r="N1402">
        <v>0</v>
      </c>
      <c r="O1402">
        <v>1.2688139999999901E-3</v>
      </c>
      <c r="P1402">
        <v>-0.99976969999999998</v>
      </c>
      <c r="Q1402">
        <v>-1.9923739999999999E-2</v>
      </c>
      <c r="R1402">
        <v>7.9944519999999904E-3</v>
      </c>
      <c r="S1402">
        <v>-2.995209</v>
      </c>
      <c r="T1402">
        <v>-0.27268920000000002</v>
      </c>
      <c r="U1402">
        <v>-5.8166499999999899E-2</v>
      </c>
      <c r="V1402">
        <v>6.7297290000000003E-3</v>
      </c>
      <c r="W1402">
        <v>-5.5523150000000004E-3</v>
      </c>
      <c r="X1402">
        <v>0.99996189999999996</v>
      </c>
      <c r="Y1402">
        <v>-2.059449E-2</v>
      </c>
      <c r="Z1402">
        <v>-1.050736E-3</v>
      </c>
      <c r="AA1402">
        <v>0.99978729999999905</v>
      </c>
      <c r="AB1402">
        <v>31</v>
      </c>
      <c r="AC1402">
        <v>-0.63750000000004503</v>
      </c>
      <c r="AD1402">
        <v>-8.4737999999999897E-2</v>
      </c>
      <c r="AE1402">
        <v>-1.8200000000035702E-2</v>
      </c>
      <c r="AF1402">
        <v>-1.8679176183660998E-2</v>
      </c>
      <c r="AG1402">
        <v>-8.4737999999999897E-2</v>
      </c>
      <c r="AH1402">
        <v>0.62641763807204198</v>
      </c>
      <c r="AI1402">
        <v>97.700481817401695</v>
      </c>
      <c r="AJ1402">
        <v>91.707999351259005</v>
      </c>
      <c r="AK1402">
        <v>0.63239900186089504</v>
      </c>
    </row>
    <row r="1403" spans="1:37" x14ac:dyDescent="0.2">
      <c r="A1403" t="str">
        <f>"20200111160130817"</f>
        <v>20200111160130817</v>
      </c>
      <c r="B1403" t="str">
        <f>"1578729690812511"</f>
        <v>1578729690812511</v>
      </c>
      <c r="C1403" t="s">
        <v>37</v>
      </c>
      <c r="D1403">
        <v>4.8969480000000001</v>
      </c>
      <c r="E1403">
        <v>0.43290469999999998</v>
      </c>
      <c r="F1403" t="s">
        <v>60</v>
      </c>
      <c r="G1403">
        <v>-308.02370000000002</v>
      </c>
      <c r="H1403" s="1">
        <v>2.7800000000000001E-6</v>
      </c>
      <c r="I1403">
        <v>281.88630000000001</v>
      </c>
      <c r="J1403">
        <v>-285.16989999999998</v>
      </c>
      <c r="K1403">
        <v>1.1044750000000001</v>
      </c>
      <c r="L1403">
        <v>285.80200000000002</v>
      </c>
      <c r="M1403">
        <v>-0.99989629999999996</v>
      </c>
      <c r="N1403">
        <v>0</v>
      </c>
      <c r="O1403">
        <v>1.0301539999999999E-3</v>
      </c>
      <c r="P1403">
        <v>-0.99978880000000003</v>
      </c>
      <c r="Q1403">
        <v>-1.88533E-2</v>
      </c>
      <c r="R1403">
        <v>8.1926680000000002E-3</v>
      </c>
      <c r="S1403">
        <v>-3.0018919999999998</v>
      </c>
      <c r="T1403">
        <v>-0.1430632</v>
      </c>
      <c r="U1403">
        <v>-0.50717159999999994</v>
      </c>
      <c r="V1403">
        <v>7.1653079999999996E-3</v>
      </c>
      <c r="W1403">
        <v>-4.4838150000000004E-3</v>
      </c>
      <c r="X1403">
        <v>0.99996430000000003</v>
      </c>
      <c r="Y1403">
        <v>-0.1674197</v>
      </c>
      <c r="Z1403">
        <v>-4.0078750000000002E-3</v>
      </c>
      <c r="AA1403">
        <v>0.98587760000000002</v>
      </c>
      <c r="AB1403">
        <v>31</v>
      </c>
      <c r="AC1403">
        <v>-22.8538</v>
      </c>
      <c r="AD1403">
        <v>-1.1044722199999999</v>
      </c>
      <c r="AE1403">
        <v>-3.91570000000001</v>
      </c>
      <c r="AF1403">
        <v>-3.93032552974107</v>
      </c>
      <c r="AG1403">
        <v>-1.1044722199999999</v>
      </c>
      <c r="AH1403">
        <v>22.7980258526425</v>
      </c>
      <c r="AI1403">
        <v>92.733321908520495</v>
      </c>
      <c r="AJ1403">
        <v>99.781507451964501</v>
      </c>
      <c r="AK1403">
        <v>23.160684368822999</v>
      </c>
    </row>
    <row r="1404" spans="1:37" x14ac:dyDescent="0.2">
      <c r="A1404" t="str">
        <f>"20200111160130840"</f>
        <v>20200111160130840</v>
      </c>
      <c r="B1404" t="str">
        <f>"1578729690832031"</f>
        <v>1578729690832031</v>
      </c>
      <c r="C1404" t="s">
        <v>37</v>
      </c>
      <c r="D1404">
        <v>4.8543159999999999</v>
      </c>
      <c r="E1404">
        <v>0.43172060000000001</v>
      </c>
      <c r="F1404" t="s">
        <v>60</v>
      </c>
      <c r="G1404">
        <v>-309.15440000000001</v>
      </c>
      <c r="H1404" s="1">
        <v>2.6000769999999999E-6</v>
      </c>
      <c r="I1404">
        <v>281.65010000000001</v>
      </c>
      <c r="J1404">
        <v>-285.49209999999999</v>
      </c>
      <c r="K1404">
        <v>1.1044529999999999</v>
      </c>
      <c r="L1404">
        <v>285.8021</v>
      </c>
      <c r="M1404">
        <v>-0.99989660000000002</v>
      </c>
      <c r="N1404">
        <v>0</v>
      </c>
      <c r="O1404">
        <v>8.1983779999999997E-4</v>
      </c>
      <c r="P1404">
        <v>-0.99979879999999999</v>
      </c>
      <c r="Q1404">
        <v>-1.7888290000000001E-2</v>
      </c>
      <c r="R1404">
        <v>9.0971579999999993E-3</v>
      </c>
      <c r="S1404">
        <v>-3.0022579999999999</v>
      </c>
      <c r="T1404">
        <v>-0.13825209999999999</v>
      </c>
      <c r="U1404">
        <v>-0.51971440000000002</v>
      </c>
      <c r="V1404">
        <v>8.2794319999999998E-3</v>
      </c>
      <c r="W1404">
        <v>-3.5207150000000002E-3</v>
      </c>
      <c r="X1404">
        <v>0.999959499999999</v>
      </c>
      <c r="Y1404">
        <v>-0.17120189999999999</v>
      </c>
      <c r="Z1404">
        <v>-3.9482069999999996E-3</v>
      </c>
      <c r="AA1404">
        <v>0.98522809999999905</v>
      </c>
      <c r="AB1404">
        <v>31</v>
      </c>
      <c r="AC1404">
        <v>-23.662299999999998</v>
      </c>
      <c r="AD1404">
        <v>-1.104450399923</v>
      </c>
      <c r="AE1404">
        <v>-4.1519999999999797</v>
      </c>
      <c r="AF1404">
        <v>-4.1626020640405104</v>
      </c>
      <c r="AG1404">
        <v>-1.104450399923</v>
      </c>
      <c r="AH1404">
        <v>23.608989401475799</v>
      </c>
      <c r="AI1404">
        <v>92.637769707740404</v>
      </c>
      <c r="AJ1404">
        <v>99.999294470630204</v>
      </c>
      <c r="AK1404">
        <v>23.998571773929399</v>
      </c>
    </row>
    <row r="1405" spans="1:37" x14ac:dyDescent="0.2">
      <c r="A1405" t="str">
        <f>"20200111160130863"</f>
        <v>20200111160130863</v>
      </c>
      <c r="B1405" t="str">
        <f>"1578729690852527"</f>
        <v>1578729690852527</v>
      </c>
      <c r="C1405" t="s">
        <v>37</v>
      </c>
      <c r="D1405">
        <v>4.8705150000000001</v>
      </c>
      <c r="E1405">
        <v>0.43170259999999999</v>
      </c>
      <c r="F1405" t="s">
        <v>60</v>
      </c>
      <c r="G1405">
        <v>-310.65769999999998</v>
      </c>
      <c r="H1405" s="1">
        <v>2.7905869999999999E-6</v>
      </c>
      <c r="I1405">
        <v>281.3913</v>
      </c>
      <c r="J1405">
        <v>-285.79829999999998</v>
      </c>
      <c r="K1405">
        <v>1.1044339999999999</v>
      </c>
      <c r="L1405">
        <v>285.8021</v>
      </c>
      <c r="M1405">
        <v>-0.99989669999999897</v>
      </c>
      <c r="N1405">
        <v>0</v>
      </c>
      <c r="O1405">
        <v>6.347363E-4</v>
      </c>
      <c r="P1405">
        <v>-0.99980999999999998</v>
      </c>
      <c r="Q1405">
        <v>-1.7104640000000001E-2</v>
      </c>
      <c r="R1405">
        <v>9.3586180000000008E-3</v>
      </c>
      <c r="S1405">
        <v>-3.0030209999999999</v>
      </c>
      <c r="T1405">
        <v>-0.1317943</v>
      </c>
      <c r="U1405">
        <v>-0.52633669999999899</v>
      </c>
      <c r="V1405">
        <v>8.7252389999999992E-3</v>
      </c>
      <c r="W1405">
        <v>-2.7393199999999999E-3</v>
      </c>
      <c r="X1405">
        <v>0.99995820000000002</v>
      </c>
      <c r="Y1405">
        <v>-0.17310039999999999</v>
      </c>
      <c r="Z1405">
        <v>-3.7955829999999999E-3</v>
      </c>
      <c r="AA1405">
        <v>0.98489680000000002</v>
      </c>
      <c r="AB1405">
        <v>31</v>
      </c>
      <c r="AC1405">
        <v>-24.859399999999901</v>
      </c>
      <c r="AD1405">
        <v>-1.104431209413</v>
      </c>
      <c r="AE1405">
        <v>-4.4107999999999903</v>
      </c>
      <c r="AF1405">
        <v>-4.4181256974897298</v>
      </c>
      <c r="AG1405">
        <v>-1.104431209413</v>
      </c>
      <c r="AH1405">
        <v>24.809122074067599</v>
      </c>
      <c r="AI1405">
        <v>92.509529862123998</v>
      </c>
      <c r="AJ1405">
        <v>100.097645099874</v>
      </c>
      <c r="AK1405">
        <v>25.223642501850001</v>
      </c>
    </row>
    <row r="1406" spans="1:37" x14ac:dyDescent="0.2">
      <c r="A1406" t="str">
        <f>"20200111160130883"</f>
        <v>20200111160130883</v>
      </c>
      <c r="B1406" t="str">
        <f>"1578729690872047"</f>
        <v>1578729690872047</v>
      </c>
      <c r="C1406" t="s">
        <v>37</v>
      </c>
      <c r="D1406">
        <v>4.8647159999999996</v>
      </c>
      <c r="E1406">
        <v>0.43071300000000001</v>
      </c>
      <c r="F1406" t="s">
        <v>60</v>
      </c>
      <c r="G1406">
        <v>-310.58949999999999</v>
      </c>
      <c r="H1406" s="1">
        <v>2.7543259999999999E-6</v>
      </c>
      <c r="I1406">
        <v>281.46030000000002</v>
      </c>
      <c r="J1406">
        <v>-286.0951</v>
      </c>
      <c r="K1406">
        <v>1.1044229999999999</v>
      </c>
      <c r="L1406">
        <v>285.8021</v>
      </c>
      <c r="M1406">
        <v>-0.99989680000000003</v>
      </c>
      <c r="N1406">
        <v>0</v>
      </c>
      <c r="O1406">
        <v>4.619526E-4</v>
      </c>
      <c r="P1406">
        <v>-0.99981330000000002</v>
      </c>
      <c r="Q1406">
        <v>-1.6915090000000001E-2</v>
      </c>
      <c r="R1406">
        <v>9.3481350000000005E-3</v>
      </c>
      <c r="S1406">
        <v>-3.0032040000000002</v>
      </c>
      <c r="T1406">
        <v>-0.13379089999999999</v>
      </c>
      <c r="U1406">
        <v>-0.52597050000000001</v>
      </c>
      <c r="V1406">
        <v>8.8873440000000001E-3</v>
      </c>
      <c r="W1406">
        <v>-2.5521559999999999E-3</v>
      </c>
      <c r="X1406">
        <v>0.99995730000000005</v>
      </c>
      <c r="Y1406">
        <v>-0.17279900000000001</v>
      </c>
      <c r="Z1406">
        <v>-3.8385390000000002E-3</v>
      </c>
      <c r="AA1406">
        <v>0.98494959999999898</v>
      </c>
      <c r="AB1406">
        <v>31</v>
      </c>
      <c r="AC1406">
        <v>-24.494399999999899</v>
      </c>
      <c r="AD1406">
        <v>-1.104420245674</v>
      </c>
      <c r="AE1406">
        <v>-4.3417999999999699</v>
      </c>
      <c r="AF1406">
        <v>-4.3445525867627497</v>
      </c>
      <c r="AG1406">
        <v>-1.104420245674</v>
      </c>
      <c r="AH1406">
        <v>24.444210498925599</v>
      </c>
      <c r="AI1406">
        <v>92.547072876386295</v>
      </c>
      <c r="AJ1406">
        <v>100.078133081768</v>
      </c>
      <c r="AK1406">
        <v>24.851847178308201</v>
      </c>
    </row>
    <row r="1407" spans="1:37" x14ac:dyDescent="0.2">
      <c r="A1407" t="str">
        <f>"20200111160130907"</f>
        <v>20200111160130907</v>
      </c>
      <c r="B1407" t="str">
        <f>"1578729690902303"</f>
        <v>1578729690902303</v>
      </c>
      <c r="C1407" t="s">
        <v>37</v>
      </c>
      <c r="D1407">
        <v>5.0752379999999997</v>
      </c>
      <c r="E1407">
        <v>0.430309</v>
      </c>
      <c r="F1407" t="s">
        <v>60</v>
      </c>
      <c r="G1407">
        <v>-311.23540000000003</v>
      </c>
      <c r="H1407" s="1">
        <v>3.0520650000000001E-6</v>
      </c>
      <c r="I1407">
        <v>281.33080000000001</v>
      </c>
      <c r="J1407">
        <v>-286.416</v>
      </c>
      <c r="K1407">
        <v>1.1044129999999901</v>
      </c>
      <c r="L1407">
        <v>285.80200000000002</v>
      </c>
      <c r="M1407">
        <v>-0.99989689999999998</v>
      </c>
      <c r="N1407">
        <v>0</v>
      </c>
      <c r="O1407">
        <v>2.7811699999999998E-4</v>
      </c>
      <c r="P1407">
        <v>-0.99983349999999904</v>
      </c>
      <c r="Q1407">
        <v>-1.596819E-2</v>
      </c>
      <c r="R1407">
        <v>8.8592740000000003E-3</v>
      </c>
      <c r="S1407">
        <v>-3.0033259999999999</v>
      </c>
      <c r="T1407">
        <v>-0.1319369</v>
      </c>
      <c r="U1407">
        <v>-0.53414919999999899</v>
      </c>
      <c r="V1407">
        <v>8.5819820000000002E-3</v>
      </c>
      <c r="W1407">
        <v>-1.607886E-3</v>
      </c>
      <c r="X1407">
        <v>0.99996189999999996</v>
      </c>
      <c r="Y1407">
        <v>-0.17521439999999999</v>
      </c>
      <c r="Z1407">
        <v>-3.8289650000000001E-3</v>
      </c>
      <c r="AA1407">
        <v>0.98452289999999998</v>
      </c>
      <c r="AB1407">
        <v>31</v>
      </c>
      <c r="AC1407">
        <v>-24.819400000000002</v>
      </c>
      <c r="AD1407">
        <v>-1.10440994793499</v>
      </c>
      <c r="AE1407">
        <v>-4.4711999999999996</v>
      </c>
      <c r="AF1407">
        <v>-4.4695314868024596</v>
      </c>
      <c r="AG1407">
        <v>-1.10440994793499</v>
      </c>
      <c r="AH1407">
        <v>24.770649792280601</v>
      </c>
      <c r="AI1407">
        <v>92.512349082378094</v>
      </c>
      <c r="AJ1407">
        <v>100.228201387342</v>
      </c>
      <c r="AK1407">
        <v>25.1948709894777</v>
      </c>
    </row>
    <row r="1408" spans="1:37" x14ac:dyDescent="0.2">
      <c r="A1408" t="str">
        <f>"20200111160130930"</f>
        <v>20200111160130930</v>
      </c>
      <c r="B1408" t="str">
        <f>"1578729690922799"</f>
        <v>1578729690922799</v>
      </c>
      <c r="C1408" t="s">
        <v>37</v>
      </c>
      <c r="D1408">
        <v>5.080095</v>
      </c>
      <c r="E1408">
        <v>0.43037389999999998</v>
      </c>
      <c r="F1408" t="s">
        <v>60</v>
      </c>
      <c r="G1408">
        <v>-315.91469999999998</v>
      </c>
      <c r="H1408" s="1">
        <v>5.1974249999999996E-6</v>
      </c>
      <c r="I1408">
        <v>280.52679999999998</v>
      </c>
      <c r="J1408">
        <v>-286.74149999999997</v>
      </c>
      <c r="K1408">
        <v>1.1044119999999999</v>
      </c>
      <c r="L1408">
        <v>285.80189999999999</v>
      </c>
      <c r="M1408">
        <v>-0.99989689999999998</v>
      </c>
      <c r="N1408">
        <v>0</v>
      </c>
      <c r="O1408" s="1">
        <v>9.1997919999999895E-5</v>
      </c>
      <c r="P1408">
        <v>-0.99984470000000003</v>
      </c>
      <c r="Q1408">
        <v>-1.5524090000000001E-2</v>
      </c>
      <c r="R1408">
        <v>8.3345380000000007E-3</v>
      </c>
      <c r="S1408">
        <v>-3.003479</v>
      </c>
      <c r="T1408">
        <v>-0.1124479</v>
      </c>
      <c r="U1408">
        <v>-0.53710939999999996</v>
      </c>
      <c r="V1408">
        <v>8.2429410000000002E-3</v>
      </c>
      <c r="W1408">
        <v>-1.1665379999999999E-3</v>
      </c>
      <c r="X1408">
        <v>0.9999654</v>
      </c>
      <c r="Y1408">
        <v>-0.17600750000000001</v>
      </c>
      <c r="Z1408">
        <v>-3.271159E-3</v>
      </c>
      <c r="AA1408">
        <v>0.98438340000000002</v>
      </c>
      <c r="AB1408">
        <v>31</v>
      </c>
      <c r="AC1408">
        <v>-29.173200000000001</v>
      </c>
      <c r="AD1408">
        <v>-1.104406802575</v>
      </c>
      <c r="AE1408">
        <v>-5.2751000000000001</v>
      </c>
      <c r="AF1408">
        <v>-5.2704699270410797</v>
      </c>
      <c r="AG1408">
        <v>-1.104406802575</v>
      </c>
      <c r="AH1408">
        <v>29.1322856105879</v>
      </c>
      <c r="AI1408">
        <v>92.136398953170698</v>
      </c>
      <c r="AJ1408">
        <v>100.25475067839299</v>
      </c>
      <c r="AK1408">
        <v>29.625793365482799</v>
      </c>
    </row>
    <row r="1409" spans="1:37" x14ac:dyDescent="0.2">
      <c r="A1409" t="str">
        <f>"20200111160130952"</f>
        <v>20200111160130952</v>
      </c>
      <c r="B1409" t="str">
        <f>"1578729690942319"</f>
        <v>1578729690942319</v>
      </c>
      <c r="C1409" t="s">
        <v>37</v>
      </c>
      <c r="D1409">
        <v>5.1824870000000001</v>
      </c>
      <c r="E1409">
        <v>0.43011189999999999</v>
      </c>
      <c r="F1409" t="s">
        <v>60</v>
      </c>
      <c r="G1409">
        <v>-318.97989999999999</v>
      </c>
      <c r="H1409" s="1">
        <v>6.5998809999999998E-6</v>
      </c>
      <c r="I1409">
        <v>280.03289999999998</v>
      </c>
      <c r="J1409">
        <v>-287.05029999999999</v>
      </c>
      <c r="K1409">
        <v>1.104411</v>
      </c>
      <c r="L1409">
        <v>285.80180000000001</v>
      </c>
      <c r="M1409">
        <v>-0.99989689999999998</v>
      </c>
      <c r="N1409">
        <v>0</v>
      </c>
      <c r="O1409" s="1">
        <v>-8.6784040000000004E-5</v>
      </c>
      <c r="P1409">
        <v>-0.99986799999999998</v>
      </c>
      <c r="Q1409">
        <v>-1.4479489999999999E-2</v>
      </c>
      <c r="R1409">
        <v>7.3728469999999897E-3</v>
      </c>
      <c r="S1409">
        <v>-3.0033569999999998</v>
      </c>
      <c r="T1409">
        <v>-0.1028873</v>
      </c>
      <c r="U1409">
        <v>-0.53744510000000001</v>
      </c>
      <c r="V1409">
        <v>7.45978599999999E-3</v>
      </c>
      <c r="W1409">
        <v>-1.2467319999999999E-4</v>
      </c>
      <c r="X1409">
        <v>0.99997219999999998</v>
      </c>
      <c r="Y1409">
        <v>-0.1759645</v>
      </c>
      <c r="Z1409">
        <v>-2.9864900000000001E-3</v>
      </c>
      <c r="AA1409">
        <v>0.98439200000000004</v>
      </c>
      <c r="AB1409">
        <v>31</v>
      </c>
      <c r="AC1409">
        <v>-31.929599999999901</v>
      </c>
      <c r="AD1409">
        <v>-1.1044044001190001</v>
      </c>
      <c r="AE1409">
        <v>-5.7689000000000297</v>
      </c>
      <c r="AF1409">
        <v>-5.7594560331877096</v>
      </c>
      <c r="AG1409">
        <v>-1.1044044001190001</v>
      </c>
      <c r="AH1409">
        <v>31.893150427572198</v>
      </c>
      <c r="AI1409">
        <v>91.951717157041799</v>
      </c>
      <c r="AJ1409">
        <v>100.236491273997</v>
      </c>
      <c r="AK1409">
        <v>32.427828898539801</v>
      </c>
    </row>
    <row r="1410" spans="1:37" x14ac:dyDescent="0.2">
      <c r="A1410" t="str">
        <f>"20200111160130973"</f>
        <v>20200111160130973</v>
      </c>
      <c r="B1410" t="str">
        <f>"1578729690962815"</f>
        <v>1578729690962815</v>
      </c>
      <c r="C1410" t="s">
        <v>37</v>
      </c>
      <c r="D1410">
        <v>5.105226</v>
      </c>
      <c r="E1410">
        <v>0.43003989999999997</v>
      </c>
      <c r="F1410" t="s">
        <v>57</v>
      </c>
      <c r="G1410">
        <v>-321.31040000000002</v>
      </c>
      <c r="H1410">
        <v>1.4454979999999999E-2</v>
      </c>
      <c r="I1410">
        <v>279.61630000000002</v>
      </c>
      <c r="J1410">
        <v>-287.34129999999999</v>
      </c>
      <c r="K1410">
        <v>1.104409</v>
      </c>
      <c r="L1410">
        <v>285.80160000000001</v>
      </c>
      <c r="M1410">
        <v>-0.99989709999999998</v>
      </c>
      <c r="N1410">
        <v>0</v>
      </c>
      <c r="O1410">
        <v>-2.5766340000000002E-4</v>
      </c>
      <c r="P1410">
        <v>-0.99989399999999995</v>
      </c>
      <c r="Q1410">
        <v>-1.3056899999999899E-2</v>
      </c>
      <c r="R1410">
        <v>6.4746480000000004E-3</v>
      </c>
      <c r="S1410">
        <v>-3.0030209999999999</v>
      </c>
      <c r="T1410">
        <v>-9.5538620000000005E-2</v>
      </c>
      <c r="U1410">
        <v>-0.54217530000000003</v>
      </c>
      <c r="V1410">
        <v>6.73202099999999E-3</v>
      </c>
      <c r="W1410">
        <v>1.2953909999999999E-3</v>
      </c>
      <c r="X1410">
        <v>0.99997649999999905</v>
      </c>
      <c r="Y1410">
        <v>-0.1773305</v>
      </c>
      <c r="Z1410">
        <v>-2.7893699999999998E-3</v>
      </c>
      <c r="AA1410">
        <v>0.98414740000000001</v>
      </c>
      <c r="AB1410">
        <v>31</v>
      </c>
      <c r="AC1410">
        <v>-33.969099999999997</v>
      </c>
      <c r="AD1410">
        <v>-1.08995402</v>
      </c>
      <c r="AE1410">
        <v>-6.1852999999999803</v>
      </c>
      <c r="AF1410">
        <v>-6.1703974236524299</v>
      </c>
      <c r="AG1410">
        <v>-1.08995402</v>
      </c>
      <c r="AH1410">
        <v>33.936874249976803</v>
      </c>
      <c r="AI1410">
        <v>91.809889400743501</v>
      </c>
      <c r="AJ1410">
        <v>100.30493905215199</v>
      </c>
      <c r="AK1410">
        <v>34.5104801182231</v>
      </c>
    </row>
    <row r="1411" spans="1:37" x14ac:dyDescent="0.2">
      <c r="A1411" t="str">
        <f>"20200111160130995"</f>
        <v>20200111160130995</v>
      </c>
      <c r="B1411" t="str">
        <f>"1578729690992601"</f>
        <v>1578729690992601</v>
      </c>
      <c r="C1411" t="s">
        <v>37</v>
      </c>
      <c r="D1411">
        <v>5.2384360000000001</v>
      </c>
      <c r="E1411">
        <v>0.42985469999999998</v>
      </c>
      <c r="F1411" t="s">
        <v>57</v>
      </c>
      <c r="G1411">
        <v>-322.68790000000001</v>
      </c>
      <c r="H1411">
        <v>8.0000909999999995E-2</v>
      </c>
      <c r="I1411">
        <v>279.38670000000002</v>
      </c>
      <c r="J1411">
        <v>-287.6567</v>
      </c>
      <c r="K1411">
        <v>1.1044069999999999</v>
      </c>
      <c r="L1411">
        <v>285.80130000000003</v>
      </c>
      <c r="M1411">
        <v>-0.99989699999999904</v>
      </c>
      <c r="N1411">
        <v>0</v>
      </c>
      <c r="O1411">
        <v>-4.447624E-4</v>
      </c>
      <c r="P1411">
        <v>-0.99991010000000002</v>
      </c>
      <c r="Q1411">
        <v>-1.205692E-2</v>
      </c>
      <c r="R1411">
        <v>5.88215099999999E-3</v>
      </c>
      <c r="S1411">
        <v>-3.0027469999999998</v>
      </c>
      <c r="T1411">
        <v>-8.702493E-2</v>
      </c>
      <c r="U1411">
        <v>-0.5449524</v>
      </c>
      <c r="V1411">
        <v>6.3261769999999997E-3</v>
      </c>
      <c r="W1411">
        <v>2.292456E-3</v>
      </c>
      <c r="X1411">
        <v>0.99997739999999902</v>
      </c>
      <c r="Y1411">
        <v>-0.17805789999999999</v>
      </c>
      <c r="Z1411">
        <v>-2.5460050000000001E-3</v>
      </c>
      <c r="AA1411">
        <v>0.98401669999999997</v>
      </c>
      <c r="AB1411">
        <v>31</v>
      </c>
      <c r="AC1411">
        <v>-35.031199999999998</v>
      </c>
      <c r="AD1411">
        <v>-1.0244060899999901</v>
      </c>
      <c r="AE1411">
        <v>-6.4146000000000001</v>
      </c>
      <c r="AF1411">
        <v>-6.3937270826138599</v>
      </c>
      <c r="AG1411">
        <v>-1.0244060899999901</v>
      </c>
      <c r="AH1411">
        <v>35.005086871238902</v>
      </c>
      <c r="AI1411">
        <v>91.648988202202801</v>
      </c>
      <c r="AJ1411">
        <v>100.351050242055</v>
      </c>
      <c r="AK1411">
        <v>35.598950275354497</v>
      </c>
    </row>
    <row r="1412" spans="1:37" x14ac:dyDescent="0.2">
      <c r="A1412" t="str">
        <f>"20200111160131019"</f>
        <v>20200111160131019</v>
      </c>
      <c r="B1412" t="str">
        <f>"1578729691012120"</f>
        <v>1578729691012120</v>
      </c>
      <c r="C1412" t="s">
        <v>37</v>
      </c>
      <c r="D1412">
        <v>5.1379910000000004</v>
      </c>
      <c r="E1412">
        <v>0.43000179999999999</v>
      </c>
      <c r="F1412" t="s">
        <v>57</v>
      </c>
      <c r="G1412">
        <v>-326.33839999999998</v>
      </c>
      <c r="H1412">
        <v>8.0001320000000001E-2</v>
      </c>
      <c r="I1412">
        <v>278.73700000000002</v>
      </c>
      <c r="J1412">
        <v>-287.9862</v>
      </c>
      <c r="K1412">
        <v>1.104403</v>
      </c>
      <c r="L1412">
        <v>285.80090000000001</v>
      </c>
      <c r="M1412">
        <v>-0.99989699999999904</v>
      </c>
      <c r="N1412">
        <v>0</v>
      </c>
      <c r="O1412">
        <v>-6.4031739999999998E-4</v>
      </c>
      <c r="P1412">
        <v>-0.99990270000000003</v>
      </c>
      <c r="Q1412">
        <v>-1.286371E-2</v>
      </c>
      <c r="R1412">
        <v>5.4333589999999996E-3</v>
      </c>
      <c r="S1412">
        <v>-3.0025330000000001</v>
      </c>
      <c r="T1412">
        <v>-7.9515929999999999E-2</v>
      </c>
      <c r="U1412">
        <v>-0.54833980000000004</v>
      </c>
      <c r="V1412">
        <v>6.0732290000000003E-3</v>
      </c>
      <c r="W1412">
        <v>1.482312E-3</v>
      </c>
      <c r="X1412">
        <v>0.99998039999999999</v>
      </c>
      <c r="Y1412">
        <v>-0.17896389999999901</v>
      </c>
      <c r="Z1412">
        <v>-2.3330909999999998E-3</v>
      </c>
      <c r="AA1412">
        <v>0.98385290000000003</v>
      </c>
      <c r="AB1412">
        <v>31</v>
      </c>
      <c r="AC1412">
        <v>-38.352199999999897</v>
      </c>
      <c r="AD1412">
        <v>-1.02440168</v>
      </c>
      <c r="AE1412">
        <v>-7.0638999999999896</v>
      </c>
      <c r="AF1412">
        <v>-7.0344844030675304</v>
      </c>
      <c r="AG1412">
        <v>-1.02440168</v>
      </c>
      <c r="AH1412">
        <v>38.330266500493501</v>
      </c>
      <c r="AI1412">
        <v>91.505767346704005</v>
      </c>
      <c r="AJ1412">
        <v>100.399369598543</v>
      </c>
      <c r="AK1412">
        <v>38.983877431803002</v>
      </c>
    </row>
    <row r="1413" spans="1:37" x14ac:dyDescent="0.2">
      <c r="A1413" t="str">
        <f>"20200111160131043"</f>
        <v>20200111160131043</v>
      </c>
      <c r="B1413" t="str">
        <f>"1578729691033593"</f>
        <v>1578729691033593</v>
      </c>
      <c r="C1413" t="s">
        <v>37</v>
      </c>
      <c r="D1413">
        <v>5.1092919999999999</v>
      </c>
      <c r="E1413">
        <v>0.43026209999999998</v>
      </c>
      <c r="F1413" t="s">
        <v>57</v>
      </c>
      <c r="G1413">
        <v>-326.05829999999997</v>
      </c>
      <c r="H1413">
        <v>8.0001399999999903E-2</v>
      </c>
      <c r="I1413">
        <v>278.84190000000001</v>
      </c>
      <c r="J1413">
        <v>-288.3109</v>
      </c>
      <c r="K1413">
        <v>1.104387</v>
      </c>
      <c r="L1413">
        <v>285.8005</v>
      </c>
      <c r="M1413">
        <v>-0.99989680000000003</v>
      </c>
      <c r="N1413">
        <v>0</v>
      </c>
      <c r="O1413">
        <v>-8.2449339999999996E-4</v>
      </c>
      <c r="P1413">
        <v>-0.99986889999999995</v>
      </c>
      <c r="Q1413">
        <v>-1.534019E-2</v>
      </c>
      <c r="R1413">
        <v>5.22157099999999E-3</v>
      </c>
      <c r="S1413">
        <v>-3.0022579999999999</v>
      </c>
      <c r="T1413">
        <v>-8.0781339999999993E-2</v>
      </c>
      <c r="U1413">
        <v>-0.54876709999999995</v>
      </c>
      <c r="V1413">
        <v>6.0465550000000003E-3</v>
      </c>
      <c r="W1413">
        <v>-9.9748570000000002E-4</v>
      </c>
      <c r="X1413">
        <v>0.99998120000000001</v>
      </c>
      <c r="Y1413">
        <v>-0.17893220000000001</v>
      </c>
      <c r="Z1413">
        <v>-2.3650529999999898E-3</v>
      </c>
      <c r="AA1413">
        <v>0.98385859999999903</v>
      </c>
      <c r="AB1413">
        <v>31</v>
      </c>
      <c r="AC1413">
        <v>-37.747399999999899</v>
      </c>
      <c r="AD1413">
        <v>-1.0243856</v>
      </c>
      <c r="AE1413">
        <v>-6.9585999999999899</v>
      </c>
      <c r="AF1413">
        <v>-6.9225412941690001</v>
      </c>
      <c r="AG1413">
        <v>-1.0243856</v>
      </c>
      <c r="AH1413">
        <v>37.726254136545599</v>
      </c>
      <c r="AI1413">
        <v>91.529847777088804</v>
      </c>
      <c r="AJ1413">
        <v>100.39776376296901</v>
      </c>
      <c r="AK1413">
        <v>38.369795347410701</v>
      </c>
    </row>
    <row r="1414" spans="1:37" x14ac:dyDescent="0.2">
      <c r="A1414" t="str">
        <f>"20200111160131063"</f>
        <v>20200111160131063</v>
      </c>
      <c r="B1414" t="str">
        <f>"1578729691052137"</f>
        <v>1578729691052137</v>
      </c>
      <c r="C1414" t="s">
        <v>37</v>
      </c>
      <c r="D1414">
        <v>5.1250980000000004</v>
      </c>
      <c r="E1414">
        <v>0.43035649999999998</v>
      </c>
      <c r="F1414" t="s">
        <v>57</v>
      </c>
      <c r="G1414">
        <v>-322.9957</v>
      </c>
      <c r="H1414">
        <v>8.0000799999999997E-2</v>
      </c>
      <c r="I1414">
        <v>279.4796</v>
      </c>
      <c r="J1414">
        <v>-288.59440000000001</v>
      </c>
      <c r="K1414">
        <v>1.104368</v>
      </c>
      <c r="L1414">
        <v>285.80009999999999</v>
      </c>
      <c r="M1414">
        <v>-0.99989680000000003</v>
      </c>
      <c r="N1414">
        <v>0</v>
      </c>
      <c r="O1414">
        <v>-9.6515990000000003E-4</v>
      </c>
      <c r="P1414">
        <v>-0.99982469999999901</v>
      </c>
      <c r="Q1414">
        <v>-1.7753910000000001E-2</v>
      </c>
      <c r="R1414">
        <v>5.9673919999999898E-3</v>
      </c>
      <c r="S1414">
        <v>-3.0018919999999998</v>
      </c>
      <c r="T1414">
        <v>-8.8658329999999994E-2</v>
      </c>
      <c r="U1414">
        <v>-0.54705809999999999</v>
      </c>
      <c r="V1414">
        <v>6.9335359999999997E-3</v>
      </c>
      <c r="W1414">
        <v>-3.4142819999999998E-3</v>
      </c>
      <c r="X1414">
        <v>0.99997009999999897</v>
      </c>
      <c r="Y1414">
        <v>-0.17826049999999999</v>
      </c>
      <c r="Z1414">
        <v>-2.5820610000000001E-3</v>
      </c>
      <c r="AA1414">
        <v>0.98397990000000002</v>
      </c>
      <c r="AB1414">
        <v>31</v>
      </c>
      <c r="AC1414">
        <v>-34.4012999999999</v>
      </c>
      <c r="AD1414">
        <v>-1.0243671999999999</v>
      </c>
      <c r="AE1414">
        <v>-6.3204999999999796</v>
      </c>
      <c r="AF1414">
        <v>-6.2819028003859803</v>
      </c>
      <c r="AG1414">
        <v>-1.0243671999999999</v>
      </c>
      <c r="AH1414">
        <v>34.377898420608602</v>
      </c>
      <c r="AI1414">
        <v>91.678967897457994</v>
      </c>
      <c r="AJ1414">
        <v>100.355457339653</v>
      </c>
      <c r="AK1414">
        <v>34.962144253057701</v>
      </c>
    </row>
    <row r="1415" spans="1:37" x14ac:dyDescent="0.2">
      <c r="A1415" t="str">
        <f>"20200111160131085"</f>
        <v>20200111160131085</v>
      </c>
      <c r="B1415" t="str">
        <f>"1578729691082392"</f>
        <v>1578729691082392</v>
      </c>
      <c r="C1415" t="s">
        <v>37</v>
      </c>
      <c r="D1415">
        <v>5.1604299999999999</v>
      </c>
      <c r="E1415">
        <v>0.43018800000000001</v>
      </c>
      <c r="F1415" t="s">
        <v>57</v>
      </c>
      <c r="G1415">
        <v>-322.70749999999998</v>
      </c>
      <c r="H1415">
        <v>1.0603260000000001E-3</v>
      </c>
      <c r="I1415">
        <v>279.61630000000002</v>
      </c>
      <c r="J1415">
        <v>-288.89729999999997</v>
      </c>
      <c r="K1415">
        <v>1.104349</v>
      </c>
      <c r="L1415">
        <v>285.79969999999997</v>
      </c>
      <c r="M1415">
        <v>-0.99989660000000002</v>
      </c>
      <c r="N1415">
        <v>0</v>
      </c>
      <c r="O1415">
        <v>-1.0811600000000001E-3</v>
      </c>
      <c r="P1415">
        <v>-0.99981419999999999</v>
      </c>
      <c r="Q1415">
        <v>-1.7892080000000001E-2</v>
      </c>
      <c r="R1415">
        <v>7.1761159999999997E-3</v>
      </c>
      <c r="S1415">
        <v>-3.0020449999999999</v>
      </c>
      <c r="T1415">
        <v>-9.7094059999999996E-2</v>
      </c>
      <c r="U1415">
        <v>-0.54418949999999999</v>
      </c>
      <c r="V1415">
        <v>8.2581180000000001E-3</v>
      </c>
      <c r="W1415">
        <v>-3.5557729999999999E-3</v>
      </c>
      <c r="X1415">
        <v>0.99995959999999995</v>
      </c>
      <c r="Y1415">
        <v>-0.17721289999999901</v>
      </c>
      <c r="Z1415">
        <v>-2.8071999999999902E-3</v>
      </c>
      <c r="AA1415">
        <v>0.9841685</v>
      </c>
      <c r="AB1415">
        <v>31</v>
      </c>
      <c r="AC1415">
        <v>-33.810200000000002</v>
      </c>
      <c r="AD1415">
        <v>-1.1032886740000001</v>
      </c>
      <c r="AE1415">
        <v>-6.1833999999999403</v>
      </c>
      <c r="AF1415">
        <v>-6.1405113722688904</v>
      </c>
      <c r="AG1415">
        <v>-1.1032886740000001</v>
      </c>
      <c r="AH1415">
        <v>33.782058039451002</v>
      </c>
      <c r="AI1415">
        <v>91.840423489902804</v>
      </c>
      <c r="AJ1415">
        <v>100.302086634354</v>
      </c>
      <c r="AK1415">
        <v>34.353319653156902</v>
      </c>
    </row>
    <row r="1416" spans="1:37" x14ac:dyDescent="0.2">
      <c r="A1416" t="str">
        <f>"20200111160131108"</f>
        <v>20200111160131108</v>
      </c>
      <c r="B1416" t="str">
        <f>"1578729691101912"</f>
        <v>1578729691101912</v>
      </c>
      <c r="C1416" t="s">
        <v>37</v>
      </c>
      <c r="D1416">
        <v>5.1472559999999996</v>
      </c>
      <c r="E1416">
        <v>0.43000509999999997</v>
      </c>
      <c r="F1416" t="s">
        <v>57</v>
      </c>
      <c r="G1416">
        <v>-323.12509999999997</v>
      </c>
      <c r="H1416" s="1">
        <v>3.4431709999999901E-7</v>
      </c>
      <c r="I1416">
        <v>279.62670000000003</v>
      </c>
      <c r="J1416">
        <v>-289.21379999999999</v>
      </c>
      <c r="K1416">
        <v>1.1043240000000001</v>
      </c>
      <c r="L1416">
        <v>285.79930000000002</v>
      </c>
      <c r="M1416">
        <v>-0.99989660000000002</v>
      </c>
      <c r="N1416">
        <v>0</v>
      </c>
      <c r="O1416">
        <v>-1.162543E-3</v>
      </c>
      <c r="P1416">
        <v>-0.99982769999999999</v>
      </c>
      <c r="Q1416">
        <v>-1.6394639999999999E-2</v>
      </c>
      <c r="R1416">
        <v>8.7314760000000002E-3</v>
      </c>
      <c r="S1416">
        <v>-3.0026860000000002</v>
      </c>
      <c r="T1416">
        <v>-9.6880789999999994E-2</v>
      </c>
      <c r="U1416">
        <v>-0.54153439999999997</v>
      </c>
      <c r="V1416">
        <v>9.8944840000000003E-3</v>
      </c>
      <c r="W1416">
        <v>-2.0619810000000001E-3</v>
      </c>
      <c r="X1416">
        <v>0.99994889999999903</v>
      </c>
      <c r="Y1416">
        <v>-0.1762541</v>
      </c>
      <c r="Z1416">
        <v>-2.782723E-3</v>
      </c>
      <c r="AA1416">
        <v>0.98434080000000002</v>
      </c>
      <c r="AB1416">
        <v>31</v>
      </c>
      <c r="AC1416">
        <v>-33.911299999999898</v>
      </c>
      <c r="AD1416">
        <v>-1.1043236556828999</v>
      </c>
      <c r="AE1416">
        <v>-6.1725999999999797</v>
      </c>
      <c r="AF1416">
        <v>-6.1268793493980596</v>
      </c>
      <c r="AG1416">
        <v>-1.1043236556828999</v>
      </c>
      <c r="AH1416">
        <v>33.8836730112371</v>
      </c>
      <c r="AI1416">
        <v>91.836933326626294</v>
      </c>
      <c r="AJ1416">
        <v>100.24953029429</v>
      </c>
      <c r="AK1416">
        <v>34.450855984010303</v>
      </c>
    </row>
    <row r="1417" spans="1:37" x14ac:dyDescent="0.2">
      <c r="A1417" t="str">
        <f>"20200111160131132"</f>
        <v>20200111160131132</v>
      </c>
      <c r="B1417" t="str">
        <f>"1578729691122409"</f>
        <v>1578729691122409</v>
      </c>
      <c r="C1417" t="s">
        <v>37</v>
      </c>
      <c r="D1417">
        <v>5.0206150000000003</v>
      </c>
      <c r="E1417">
        <v>0.42995990000000001</v>
      </c>
      <c r="F1417" t="s">
        <v>57</v>
      </c>
      <c r="G1417">
        <v>-323.73660000000001</v>
      </c>
      <c r="H1417">
        <v>5.464869E-2</v>
      </c>
      <c r="I1417">
        <v>279.61169999999998</v>
      </c>
      <c r="J1417">
        <v>-289.53300000000002</v>
      </c>
      <c r="K1417">
        <v>1.1042879999999999</v>
      </c>
      <c r="L1417">
        <v>285.7989</v>
      </c>
      <c r="M1417">
        <v>-0.99989680000000003</v>
      </c>
      <c r="N1417">
        <v>0</v>
      </c>
      <c r="O1417">
        <v>-1.1750580000000001E-3</v>
      </c>
      <c r="P1417">
        <v>-0.99985009999999996</v>
      </c>
      <c r="Q1417">
        <v>-1.455149E-2</v>
      </c>
      <c r="R1417">
        <v>9.4089880000000001E-3</v>
      </c>
      <c r="S1417">
        <v>-3.0037229999999999</v>
      </c>
      <c r="T1417">
        <v>-9.1328859999999998E-2</v>
      </c>
      <c r="U1417">
        <v>-0.53836059999999997</v>
      </c>
      <c r="V1417">
        <v>1.0584140000000001E-2</v>
      </c>
      <c r="W1417">
        <v>-2.2297500000000001E-4</v>
      </c>
      <c r="X1417">
        <v>0.99994400000000006</v>
      </c>
      <c r="Y1417">
        <v>-0.17518510000000001</v>
      </c>
      <c r="Z1417">
        <v>-2.6061819999999999E-3</v>
      </c>
      <c r="AA1417">
        <v>0.98453210000000002</v>
      </c>
      <c r="AB1417">
        <v>31</v>
      </c>
      <c r="AC1417">
        <v>-34.203599999999902</v>
      </c>
      <c r="AD1417">
        <v>-1.0496393100000001</v>
      </c>
      <c r="AE1417">
        <v>-6.1872000000000096</v>
      </c>
      <c r="AF1417">
        <v>-6.1413999767426599</v>
      </c>
      <c r="AG1417">
        <v>-1.0496393100000001</v>
      </c>
      <c r="AH1417">
        <v>34.179678585091402</v>
      </c>
      <c r="AI1417">
        <v>91.731261878621197</v>
      </c>
      <c r="AJ1417">
        <v>100.186205895806</v>
      </c>
      <c r="AK1417">
        <v>34.742898044572897</v>
      </c>
    </row>
    <row r="1418" spans="1:37" x14ac:dyDescent="0.2">
      <c r="A1418" t="str">
        <f>"20200111160131197"</f>
        <v>20200111160131197</v>
      </c>
      <c r="B1418" t="str">
        <f>"1578729691191982"</f>
        <v>1578729691191982</v>
      </c>
      <c r="C1418" t="s">
        <v>37</v>
      </c>
      <c r="D1418">
        <v>4.8038280000000002</v>
      </c>
      <c r="E1418">
        <v>0.45259559999999999</v>
      </c>
      <c r="F1418" t="s">
        <v>57</v>
      </c>
      <c r="G1418">
        <v>-324.92750000000001</v>
      </c>
      <c r="H1418">
        <v>8.000024E-2</v>
      </c>
      <c r="I1418">
        <v>279.47809999999998</v>
      </c>
      <c r="J1418">
        <v>-290.43369999999999</v>
      </c>
      <c r="K1418">
        <v>1.1041129999999999</v>
      </c>
      <c r="L1418">
        <v>285.79829999999998</v>
      </c>
      <c r="M1418">
        <v>-0.99989740000000005</v>
      </c>
      <c r="N1418">
        <v>0</v>
      </c>
      <c r="O1418">
        <v>-7.0744500000000001E-4</v>
      </c>
      <c r="P1418">
        <v>-0.99991869999999905</v>
      </c>
      <c r="Q1418">
        <v>-8.9066330000000006E-3</v>
      </c>
      <c r="R1418">
        <v>9.1512450000000006E-3</v>
      </c>
      <c r="S1418">
        <v>-3.0042719999999998</v>
      </c>
      <c r="T1418">
        <v>-8.6941119999999997E-2</v>
      </c>
      <c r="U1418">
        <v>-0.53649899999999995</v>
      </c>
      <c r="V1418">
        <v>9.8610169999999997E-3</v>
      </c>
      <c r="W1418">
        <v>5.4090400000000004E-3</v>
      </c>
      <c r="X1418">
        <v>0.99993679999999996</v>
      </c>
      <c r="Y1418">
        <v>-0.1750303</v>
      </c>
      <c r="Z1418">
        <v>-2.4919159999999998E-3</v>
      </c>
      <c r="AA1418">
        <v>0.98455990000000004</v>
      </c>
      <c r="AB1418">
        <v>31</v>
      </c>
      <c r="AC1418">
        <v>-34.4938</v>
      </c>
      <c r="AD1418">
        <v>-1.02411276</v>
      </c>
      <c r="AE1418">
        <v>-6.3201999999999998</v>
      </c>
      <c r="AF1418">
        <v>-6.2904286617590204</v>
      </c>
      <c r="AG1418">
        <v>-1.02411276</v>
      </c>
      <c r="AH1418">
        <v>34.468866245030704</v>
      </c>
      <c r="AI1418">
        <v>91.674193168525903</v>
      </c>
      <c r="AJ1418">
        <v>100.342432846938</v>
      </c>
      <c r="AK1418">
        <v>35.0531174064689</v>
      </c>
    </row>
    <row r="1419" spans="1:37" x14ac:dyDescent="0.2">
      <c r="A1419" t="str">
        <f>"20200111160131365"</f>
        <v>20200111160131365</v>
      </c>
      <c r="B1419" t="str">
        <f>"1578729691362783"</f>
        <v>1578729691362783</v>
      </c>
      <c r="C1419" t="s">
        <v>37</v>
      </c>
      <c r="D1419">
        <v>5.1411600000000002</v>
      </c>
      <c r="E1419">
        <v>0.45646110000000001</v>
      </c>
      <c r="F1419" t="s">
        <v>60</v>
      </c>
      <c r="G1419">
        <v>-309.74810000000002</v>
      </c>
      <c r="H1419" s="1">
        <v>2.33733399999999E-6</v>
      </c>
      <c r="I1419">
        <v>283.45080000000002</v>
      </c>
      <c r="J1419">
        <v>-292.73349999999999</v>
      </c>
      <c r="K1419">
        <v>1.1034629999999901</v>
      </c>
      <c r="L1419">
        <v>285.8066</v>
      </c>
      <c r="M1419">
        <v>-0.99988690000000002</v>
      </c>
      <c r="N1419">
        <v>0</v>
      </c>
      <c r="O1419">
        <v>4.6959389999999997E-3</v>
      </c>
      <c r="P1419">
        <v>-0.99969769999999902</v>
      </c>
      <c r="Q1419">
        <v>-1.378741E-2</v>
      </c>
      <c r="R1419">
        <v>2.036903E-2</v>
      </c>
      <c r="S1419">
        <v>-3.002014</v>
      </c>
      <c r="T1419">
        <v>-0.17161080000000001</v>
      </c>
      <c r="U1419">
        <v>-0.36486819999999998</v>
      </c>
      <c r="V1419">
        <v>1.5674770000000001E-2</v>
      </c>
      <c r="W1419">
        <v>4.8190750000000001E-4</v>
      </c>
      <c r="X1419">
        <v>0.99987700000000002</v>
      </c>
      <c r="Y1419">
        <v>-0.1251052</v>
      </c>
      <c r="Z1419">
        <v>-3.827137E-3</v>
      </c>
      <c r="AA1419">
        <v>0.99213609999999897</v>
      </c>
      <c r="AB1419">
        <v>30</v>
      </c>
      <c r="AC1419">
        <v>-17.014600000000002</v>
      </c>
      <c r="AD1419">
        <v>-1.103460662666</v>
      </c>
      <c r="AE1419">
        <v>-2.3557999999999799</v>
      </c>
      <c r="AF1419">
        <v>-2.42567121029446</v>
      </c>
      <c r="AG1419">
        <v>-1.103460662666</v>
      </c>
      <c r="AH1419">
        <v>16.933465906957501</v>
      </c>
      <c r="AI1419">
        <v>93.690809547456695</v>
      </c>
      <c r="AJ1419">
        <v>98.152001595263897</v>
      </c>
      <c r="AK1419">
        <v>17.1418719478532</v>
      </c>
    </row>
    <row r="1420" spans="1:37" x14ac:dyDescent="0.2">
      <c r="A1420" t="str">
        <f>"20200111160131386"</f>
        <v>20200111160131386</v>
      </c>
      <c r="B1420" t="str">
        <f>"1578729691382861"</f>
        <v>1578729691382861</v>
      </c>
      <c r="C1420" t="s">
        <v>37</v>
      </c>
      <c r="D1420">
        <v>5.096965</v>
      </c>
      <c r="E1420">
        <v>0.458754299999999</v>
      </c>
      <c r="F1420" t="s">
        <v>60</v>
      </c>
      <c r="G1420">
        <v>-310.0924</v>
      </c>
      <c r="H1420" s="1">
        <v>2.306529E-6</v>
      </c>
      <c r="I1420">
        <v>284.06099999999998</v>
      </c>
      <c r="J1420">
        <v>-293.02589999999998</v>
      </c>
      <c r="K1420">
        <v>1.103429</v>
      </c>
      <c r="L1420">
        <v>285.80900000000003</v>
      </c>
      <c r="M1420">
        <v>-0.99988169999999899</v>
      </c>
      <c r="N1420">
        <v>0</v>
      </c>
      <c r="O1420">
        <v>5.6931780000000001E-3</v>
      </c>
      <c r="P1420">
        <v>-0.99966259999999996</v>
      </c>
      <c r="Q1420">
        <v>-1.438477E-2</v>
      </c>
      <c r="R1420">
        <v>2.1633340000000001E-2</v>
      </c>
      <c r="S1420">
        <v>-3.0044249999999999</v>
      </c>
      <c r="T1420">
        <v>-0.19098289999999901</v>
      </c>
      <c r="U1420">
        <v>-0.302124</v>
      </c>
      <c r="V1420">
        <v>1.5940969999999999E-2</v>
      </c>
      <c r="W1420">
        <v>-1.197463E-4</v>
      </c>
      <c r="X1420">
        <v>0.99987289999999995</v>
      </c>
      <c r="Y1420">
        <v>-0.105496399999999</v>
      </c>
      <c r="Z1420">
        <v>-3.7019639999999999E-3</v>
      </c>
      <c r="AA1420">
        <v>0.99441279999999999</v>
      </c>
      <c r="AB1420">
        <v>30</v>
      </c>
      <c r="AC1420">
        <v>-17.066500000000001</v>
      </c>
      <c r="AD1420">
        <v>-1.103426693471</v>
      </c>
      <c r="AE1420">
        <v>-1.74800000000004</v>
      </c>
      <c r="AF1420">
        <v>-1.83754263929817</v>
      </c>
      <c r="AG1420">
        <v>-1.103426693471</v>
      </c>
      <c r="AH1420">
        <v>16.986002760532202</v>
      </c>
      <c r="AI1420">
        <v>93.6952659069687</v>
      </c>
      <c r="AJ1420">
        <v>96.174236113580506</v>
      </c>
      <c r="AK1420">
        <v>17.120701013682599</v>
      </c>
    </row>
    <row r="1421" spans="1:37" x14ac:dyDescent="0.2">
      <c r="A1421" t="str">
        <f>"20200111160131410"</f>
        <v>20200111160131410</v>
      </c>
      <c r="B1421" t="str">
        <f>"1578729691402381"</f>
        <v>1578729691402381</v>
      </c>
      <c r="C1421" t="s">
        <v>37</v>
      </c>
      <c r="D1421">
        <v>5.0927169999999897</v>
      </c>
      <c r="E1421">
        <v>0.46120339999999999</v>
      </c>
      <c r="F1421" t="s">
        <v>60</v>
      </c>
      <c r="G1421">
        <v>-310.05119999999999</v>
      </c>
      <c r="H1421" s="1">
        <v>2.274293E-6</v>
      </c>
      <c r="I1421">
        <v>284.22059999999999</v>
      </c>
      <c r="J1421">
        <v>-293.33690000000001</v>
      </c>
      <c r="K1421">
        <v>1.1034029999999999</v>
      </c>
      <c r="L1421">
        <v>285.81189999999998</v>
      </c>
      <c r="M1421">
        <v>-0.99987490000000001</v>
      </c>
      <c r="N1421">
        <v>0</v>
      </c>
      <c r="O1421">
        <v>6.7717189999999998E-3</v>
      </c>
      <c r="P1421">
        <v>-0.99963099999999905</v>
      </c>
      <c r="Q1421">
        <v>-1.5162490000000001E-2</v>
      </c>
      <c r="R1421">
        <v>2.2542779999999998E-2</v>
      </c>
      <c r="S1421">
        <v>-3.0042110000000002</v>
      </c>
      <c r="T1421">
        <v>-0.19470589999999999</v>
      </c>
      <c r="U1421">
        <v>-0.28027340000000001</v>
      </c>
      <c r="V1421">
        <v>1.5770659999999999E-2</v>
      </c>
      <c r="W1421">
        <v>-9.0096860000000003E-4</v>
      </c>
      <c r="X1421">
        <v>0.99987519999999996</v>
      </c>
      <c r="Y1421">
        <v>-9.9410269999999995E-2</v>
      </c>
      <c r="Z1421">
        <v>-3.6486650000000002E-3</v>
      </c>
      <c r="AA1421">
        <v>0.99503980000000003</v>
      </c>
      <c r="AB1421">
        <v>30</v>
      </c>
      <c r="AC1421">
        <v>-16.714299999999898</v>
      </c>
      <c r="AD1421">
        <v>-1.103400725707</v>
      </c>
      <c r="AE1421">
        <v>-1.59129999999998</v>
      </c>
      <c r="AF1421">
        <v>-1.6971299104881199</v>
      </c>
      <c r="AG1421">
        <v>-1.103400725707</v>
      </c>
      <c r="AH1421">
        <v>16.631311078872098</v>
      </c>
      <c r="AI1421">
        <v>93.776160927303707</v>
      </c>
      <c r="AJ1421">
        <v>95.826537572220701</v>
      </c>
      <c r="AK1421">
        <v>16.754051787456699</v>
      </c>
    </row>
    <row r="1422" spans="1:37" x14ac:dyDescent="0.2">
      <c r="A1422" t="str">
        <f>"20200111160131432"</f>
        <v>20200111160131432</v>
      </c>
      <c r="B1422" t="str">
        <f>"1578729691422877"</f>
        <v>1578729691422877</v>
      </c>
      <c r="C1422" t="s">
        <v>37</v>
      </c>
      <c r="D1422">
        <v>5.1689989999999897</v>
      </c>
      <c r="E1422">
        <v>0.46390929999999903</v>
      </c>
      <c r="F1422" t="s">
        <v>60</v>
      </c>
      <c r="G1422">
        <v>-309.6696</v>
      </c>
      <c r="H1422" s="1">
        <v>2.267727E-6</v>
      </c>
      <c r="I1422">
        <v>284.40649999999999</v>
      </c>
      <c r="J1422">
        <v>-293.64389999999997</v>
      </c>
      <c r="K1422">
        <v>1.1033899999999901</v>
      </c>
      <c r="L1422">
        <v>285.8152</v>
      </c>
      <c r="M1422">
        <v>-0.99986710000000001</v>
      </c>
      <c r="N1422">
        <v>0</v>
      </c>
      <c r="O1422">
        <v>7.8428259999999902E-3</v>
      </c>
      <c r="P1422">
        <v>-0.99962640000000003</v>
      </c>
      <c r="Q1422">
        <v>-1.54191E-2</v>
      </c>
      <c r="R1422">
        <v>2.2567159999999999E-2</v>
      </c>
      <c r="S1422">
        <v>-3.0038450000000001</v>
      </c>
      <c r="T1422">
        <v>-0.2029329</v>
      </c>
      <c r="U1422">
        <v>-0.25848389999999999</v>
      </c>
      <c r="V1422">
        <v>1.4723399999999999E-2</v>
      </c>
      <c r="W1422">
        <v>-1.1586879999999999E-3</v>
      </c>
      <c r="X1422">
        <v>0.99989089999999903</v>
      </c>
      <c r="Y1422">
        <v>-9.3317360000000002E-2</v>
      </c>
      <c r="Z1422">
        <v>-3.6711399999999998E-3</v>
      </c>
      <c r="AA1422">
        <v>0.99562969999999895</v>
      </c>
      <c r="AB1422">
        <v>30</v>
      </c>
      <c r="AC1422">
        <v>-16.025700000000001</v>
      </c>
      <c r="AD1422">
        <v>-1.1033877322729999</v>
      </c>
      <c r="AE1422">
        <v>-1.4087000000000101</v>
      </c>
      <c r="AF1422">
        <v>-1.52717226263348</v>
      </c>
      <c r="AG1422">
        <v>-1.1033877322729999</v>
      </c>
      <c r="AH1422">
        <v>15.9391777168573</v>
      </c>
      <c r="AI1422">
        <v>93.9419811350392</v>
      </c>
      <c r="AJ1422">
        <v>95.472944678250002</v>
      </c>
      <c r="AK1422">
        <v>16.050143485248</v>
      </c>
    </row>
    <row r="1423" spans="1:37" x14ac:dyDescent="0.2">
      <c r="A1423" t="str">
        <f>"20200111160131453"</f>
        <v>20200111160131453</v>
      </c>
      <c r="B1423" t="str">
        <f>"1578729691442396"</f>
        <v>1578729691442396</v>
      </c>
      <c r="C1423" t="s">
        <v>37</v>
      </c>
      <c r="D1423">
        <v>5.0015879999999999</v>
      </c>
      <c r="E1423">
        <v>0.50644089999999997</v>
      </c>
      <c r="F1423" t="s">
        <v>60</v>
      </c>
      <c r="G1423">
        <v>-309.34379999999999</v>
      </c>
      <c r="H1423" s="1">
        <v>2.3107530000000002E-6</v>
      </c>
      <c r="I1423">
        <v>284.5754</v>
      </c>
      <c r="J1423">
        <v>-293.92910000000001</v>
      </c>
      <c r="K1423">
        <v>1.1033930000000001</v>
      </c>
      <c r="L1423">
        <v>285.81849999999997</v>
      </c>
      <c r="M1423">
        <v>-0.99985900000000005</v>
      </c>
      <c r="N1423">
        <v>0</v>
      </c>
      <c r="O1423">
        <v>8.8355340000000008E-3</v>
      </c>
      <c r="P1423">
        <v>-0.99966880000000002</v>
      </c>
      <c r="Q1423">
        <v>-1.4118790000000001E-2</v>
      </c>
      <c r="R1423">
        <v>2.1519819999999999E-2</v>
      </c>
      <c r="S1423">
        <v>-3.003174</v>
      </c>
      <c r="T1423">
        <v>-0.211063</v>
      </c>
      <c r="U1423">
        <v>-0.2371521</v>
      </c>
      <c r="V1423">
        <v>1.268584E-2</v>
      </c>
      <c r="W1423">
        <v>1.4335309999999999E-4</v>
      </c>
      <c r="X1423">
        <v>0.99991949999999996</v>
      </c>
      <c r="Y1423">
        <v>-8.7292339999999996E-2</v>
      </c>
      <c r="Z1423">
        <v>-3.6782770000000002E-3</v>
      </c>
      <c r="AA1423">
        <v>0.9961759</v>
      </c>
      <c r="AB1423">
        <v>30</v>
      </c>
      <c r="AC1423">
        <v>-15.4146999999999</v>
      </c>
      <c r="AD1423">
        <v>-1.103390689247</v>
      </c>
      <c r="AE1423">
        <v>-1.2430999999999699</v>
      </c>
      <c r="AF1423">
        <v>-1.37227668112499</v>
      </c>
      <c r="AG1423">
        <v>-1.103390689247</v>
      </c>
      <c r="AH1423">
        <v>15.325098894831401</v>
      </c>
      <c r="AI1423">
        <v>94.101773356944406</v>
      </c>
      <c r="AJ1423">
        <v>95.1168689053154</v>
      </c>
      <c r="AK1423">
        <v>15.4259285114069</v>
      </c>
    </row>
    <row r="1424" spans="1:37" x14ac:dyDescent="0.2">
      <c r="A1424" t="str">
        <f>"20200111160131476"</f>
        <v>20200111160131476</v>
      </c>
      <c r="B1424" t="str">
        <f>"1578729691472654"</f>
        <v>1578729691472654</v>
      </c>
      <c r="C1424" t="s">
        <v>37</v>
      </c>
      <c r="D1424">
        <v>4.9751459999999996</v>
      </c>
      <c r="E1424">
        <v>0.50926720000000003</v>
      </c>
      <c r="F1424" t="s">
        <v>42</v>
      </c>
      <c r="G1424">
        <v>-294.85849999999999</v>
      </c>
      <c r="H1424">
        <v>1.02149</v>
      </c>
      <c r="I1424">
        <v>285.84800000000001</v>
      </c>
      <c r="J1424">
        <v>-294.23360000000002</v>
      </c>
      <c r="K1424">
        <v>1.1034010000000001</v>
      </c>
      <c r="L1424">
        <v>285.82229999999998</v>
      </c>
      <c r="M1424">
        <v>-0.99984910000000005</v>
      </c>
      <c r="N1424">
        <v>0</v>
      </c>
      <c r="O1424">
        <v>9.8894719999999998E-3</v>
      </c>
      <c r="P1424">
        <v>-0.99972549999999905</v>
      </c>
      <c r="Q1424">
        <v>-1.154607E-2</v>
      </c>
      <c r="R1424">
        <v>2.03903E-2</v>
      </c>
      <c r="S1424">
        <v>-2.995209</v>
      </c>
      <c r="T1424">
        <v>-0.26390859999999999</v>
      </c>
      <c r="U1424">
        <v>9.5458979999999999E-2</v>
      </c>
      <c r="V1424">
        <v>1.050716E-2</v>
      </c>
      <c r="W1424">
        <v>2.7182700000000001E-3</v>
      </c>
      <c r="X1424">
        <v>0.99994110000000003</v>
      </c>
      <c r="Y1424">
        <v>2.1920809999999999E-2</v>
      </c>
      <c r="Z1424" s="1">
        <v>9.4110200000000006E-5</v>
      </c>
      <c r="AA1424">
        <v>0.99975970000000003</v>
      </c>
      <c r="AB1424">
        <v>30</v>
      </c>
      <c r="AC1424">
        <v>-0.62489999999996804</v>
      </c>
      <c r="AD1424">
        <v>-8.1910999999999998E-2</v>
      </c>
      <c r="AE1424">
        <v>2.5700000000028901E-2</v>
      </c>
      <c r="AF1424">
        <v>1.9189039983976999E-2</v>
      </c>
      <c r="AG1424">
        <v>-8.1910999999999998E-2</v>
      </c>
      <c r="AH1424">
        <v>0.61458195387694503</v>
      </c>
      <c r="AI1424">
        <v>97.587942109619803</v>
      </c>
      <c r="AJ1424">
        <v>88.211639746651699</v>
      </c>
      <c r="AK1424">
        <v>0.62031331535580503</v>
      </c>
    </row>
    <row r="1425" spans="1:37" x14ac:dyDescent="0.2">
      <c r="A1425" t="str">
        <f>"20200111160131498"</f>
        <v>20200111160131498</v>
      </c>
      <c r="B1425" t="str">
        <f>"1578729691492738"</f>
        <v>1578729691492738</v>
      </c>
      <c r="C1425" t="s">
        <v>37</v>
      </c>
      <c r="D1425">
        <v>4.9568469999999998</v>
      </c>
      <c r="E1425">
        <v>0.51083900000000004</v>
      </c>
      <c r="F1425" t="s">
        <v>42</v>
      </c>
      <c r="G1425">
        <v>-295.13229999999999</v>
      </c>
      <c r="H1425">
        <v>1.0290539999999999</v>
      </c>
      <c r="I1425">
        <v>285.85739999999998</v>
      </c>
      <c r="J1425">
        <v>-294.54309999999998</v>
      </c>
      <c r="K1425">
        <v>1.1034079999999999</v>
      </c>
      <c r="L1425">
        <v>285.82639999999998</v>
      </c>
      <c r="M1425">
        <v>-0.99983789999999995</v>
      </c>
      <c r="N1425">
        <v>0</v>
      </c>
      <c r="O1425">
        <v>1.0955370000000001E-2</v>
      </c>
      <c r="P1425">
        <v>-0.9997741</v>
      </c>
      <c r="Q1425">
        <v>-9.2347560000000002E-3</v>
      </c>
      <c r="R1425">
        <v>1.9145499999999999E-2</v>
      </c>
      <c r="S1425">
        <v>-2.9955750000000001</v>
      </c>
      <c r="T1425">
        <v>-0.24788550000000001</v>
      </c>
      <c r="U1425">
        <v>0.1163025</v>
      </c>
      <c r="V1425">
        <v>8.2009409999999998E-3</v>
      </c>
      <c r="W1425">
        <v>5.0313900000000002E-3</v>
      </c>
      <c r="X1425">
        <v>0.99995369999999995</v>
      </c>
      <c r="Y1425">
        <v>2.7787539999999999E-2</v>
      </c>
      <c r="Z1425">
        <v>2.42618E-4</v>
      </c>
      <c r="AA1425">
        <v>0.9996138</v>
      </c>
      <c r="AB1425">
        <v>30</v>
      </c>
      <c r="AC1425">
        <v>-0.58920000000000505</v>
      </c>
      <c r="AD1425">
        <v>-7.4353999999999795E-2</v>
      </c>
      <c r="AE1425">
        <v>3.1000000000005901E-2</v>
      </c>
      <c r="AF1425">
        <v>2.4158904451301401E-2</v>
      </c>
      <c r="AG1425">
        <v>-7.4353999999999795E-2</v>
      </c>
      <c r="AH1425">
        <v>0.58028861955477995</v>
      </c>
      <c r="AI1425">
        <v>97.295430294445595</v>
      </c>
      <c r="AJ1425">
        <v>87.616006390899301</v>
      </c>
      <c r="AK1425">
        <v>0.58553142696620397</v>
      </c>
    </row>
    <row r="1426" spans="1:37" x14ac:dyDescent="0.2">
      <c r="A1426" t="str">
        <f>"20200111160131633"</f>
        <v>20200111160131633</v>
      </c>
      <c r="B1426" t="str">
        <f>"1578729691622556"</f>
        <v>1578729691622556</v>
      </c>
      <c r="C1426" t="s">
        <v>37</v>
      </c>
      <c r="D1426">
        <v>4.9973640000000001</v>
      </c>
      <c r="E1426">
        <v>0.51174310000000001</v>
      </c>
      <c r="F1426" t="s">
        <v>42</v>
      </c>
      <c r="G1426">
        <v>-297.01620000000003</v>
      </c>
      <c r="H1426">
        <v>1.031544</v>
      </c>
      <c r="I1426">
        <v>285.89069999999998</v>
      </c>
      <c r="J1426">
        <v>-296.34859999999998</v>
      </c>
      <c r="K1426">
        <v>1.1035090000000001</v>
      </c>
      <c r="L1426">
        <v>285.85730000000001</v>
      </c>
      <c r="M1426">
        <v>-0.99975499999999995</v>
      </c>
      <c r="N1426">
        <v>0</v>
      </c>
      <c r="O1426">
        <v>1.6923730000000001E-2</v>
      </c>
      <c r="P1426">
        <v>-0.99984930000000005</v>
      </c>
      <c r="Q1426">
        <v>-7.1013350000000003E-3</v>
      </c>
      <c r="R1426">
        <v>1.5837299999999999E-2</v>
      </c>
      <c r="S1426">
        <v>-2.997131</v>
      </c>
      <c r="T1426">
        <v>-0.2233376</v>
      </c>
      <c r="U1426">
        <v>0.121459999999999</v>
      </c>
      <c r="V1426">
        <v>-1.0741119999999999E-3</v>
      </c>
      <c r="W1426">
        <v>7.1647189999999999E-3</v>
      </c>
      <c r="X1426">
        <v>0.99997380000000002</v>
      </c>
      <c r="Y1426">
        <v>2.355643E-2</v>
      </c>
      <c r="Z1426">
        <v>-3.8271719999999999E-4</v>
      </c>
      <c r="AA1426">
        <v>0.99972240000000001</v>
      </c>
      <c r="AB1426">
        <v>30</v>
      </c>
      <c r="AC1426">
        <v>-0.66760000000004904</v>
      </c>
      <c r="AD1426">
        <v>-7.1965000000000001E-2</v>
      </c>
      <c r="AE1426">
        <v>3.3399999999971897E-2</v>
      </c>
      <c r="AF1426">
        <v>2.1842603899943702E-2</v>
      </c>
      <c r="AG1426">
        <v>-7.1965000000000001E-2</v>
      </c>
      <c r="AH1426">
        <v>0.66041475162924301</v>
      </c>
      <c r="AI1426">
        <v>96.215576921510106</v>
      </c>
      <c r="AJ1426">
        <v>88.105685887437403</v>
      </c>
      <c r="AK1426">
        <v>0.66468316116751802</v>
      </c>
    </row>
    <row r="1427" spans="1:37" x14ac:dyDescent="0.2">
      <c r="A1427" t="str">
        <f>"20200111160131653"</f>
        <v>20200111160131653</v>
      </c>
      <c r="B1427" t="str">
        <f>"1578729691642075"</f>
        <v>1578729691642075</v>
      </c>
      <c r="C1427" t="s">
        <v>37</v>
      </c>
      <c r="D1427">
        <v>4.9904919999999997</v>
      </c>
      <c r="E1427">
        <v>0.51195469999999998</v>
      </c>
      <c r="F1427" t="s">
        <v>42</v>
      </c>
      <c r="G1427">
        <v>-297.28370000000001</v>
      </c>
      <c r="H1427">
        <v>1.0312319999999999</v>
      </c>
      <c r="I1427">
        <v>285.89640000000003</v>
      </c>
      <c r="J1427">
        <v>-296.62329999999997</v>
      </c>
      <c r="K1427">
        <v>1.1035280000000001</v>
      </c>
      <c r="L1427">
        <v>285.86290000000002</v>
      </c>
      <c r="M1427">
        <v>-0.99974089999999904</v>
      </c>
      <c r="N1427">
        <v>0</v>
      </c>
      <c r="O1427">
        <v>1.77504E-2</v>
      </c>
      <c r="P1427">
        <v>-0.99984280000000003</v>
      </c>
      <c r="Q1427">
        <v>-7.4625239999999999E-3</v>
      </c>
      <c r="R1427">
        <v>1.6088149999999999E-2</v>
      </c>
      <c r="S1427">
        <v>-2.996826</v>
      </c>
      <c r="T1427">
        <v>-0.23177809999999999</v>
      </c>
      <c r="U1427">
        <v>0.124481199999999</v>
      </c>
      <c r="V1427">
        <v>-1.6510729999999901E-3</v>
      </c>
      <c r="W1427">
        <v>6.8018559999999898E-3</v>
      </c>
      <c r="X1427">
        <v>0.99997549999999902</v>
      </c>
      <c r="Y1427">
        <v>2.3740580000000001E-2</v>
      </c>
      <c r="Z1427">
        <v>-4.5386070000000002E-4</v>
      </c>
      <c r="AA1427">
        <v>0.99971810000000005</v>
      </c>
      <c r="AB1427">
        <v>30</v>
      </c>
      <c r="AC1427">
        <v>-0.66040000000003796</v>
      </c>
      <c r="AD1427">
        <v>-7.2296000000000096E-2</v>
      </c>
      <c r="AE1427">
        <v>3.3500000000003603E-2</v>
      </c>
      <c r="AF1427">
        <v>2.1513997012695799E-2</v>
      </c>
      <c r="AG1427">
        <v>-7.2296000000000096E-2</v>
      </c>
      <c r="AH1427">
        <v>0.65308393430495804</v>
      </c>
      <c r="AI1427">
        <v>96.313492037029405</v>
      </c>
      <c r="AJ1427">
        <v>88.113235426980694</v>
      </c>
      <c r="AK1427">
        <v>0.65742542461537401</v>
      </c>
    </row>
    <row r="1428" spans="1:37" x14ac:dyDescent="0.2">
      <c r="A1428" t="str">
        <f>"20200111160131676"</f>
        <v>20200111160131676</v>
      </c>
      <c r="B1428" t="str">
        <f>"1578729691672332"</f>
        <v>1578729691672332</v>
      </c>
      <c r="C1428" t="s">
        <v>37</v>
      </c>
      <c r="D1428">
        <v>5.024343</v>
      </c>
      <c r="E1428">
        <v>0.51229269999999905</v>
      </c>
      <c r="F1428" t="s">
        <v>42</v>
      </c>
      <c r="G1428">
        <v>-297.55070000000001</v>
      </c>
      <c r="H1428">
        <v>1.0307280000000001</v>
      </c>
      <c r="I1428">
        <v>285.90230000000003</v>
      </c>
      <c r="J1428">
        <v>-296.92919999999998</v>
      </c>
      <c r="K1428">
        <v>1.1035489999999999</v>
      </c>
      <c r="L1428">
        <v>285.86930000000001</v>
      </c>
      <c r="M1428">
        <v>-0.99972479999999997</v>
      </c>
      <c r="N1428">
        <v>0</v>
      </c>
      <c r="O1428">
        <v>1.8633090000000001E-2</v>
      </c>
      <c r="P1428">
        <v>-0.99980840000000004</v>
      </c>
      <c r="Q1428">
        <v>-8.7186769999999993E-3</v>
      </c>
      <c r="R1428">
        <v>1.7535140000000001E-2</v>
      </c>
      <c r="S1428">
        <v>-2.9966740000000001</v>
      </c>
      <c r="T1428">
        <v>-0.23533089999999901</v>
      </c>
      <c r="U1428">
        <v>0.1265869</v>
      </c>
      <c r="V1428">
        <v>-1.0893809999999999E-3</v>
      </c>
      <c r="W1428">
        <v>5.5411219999999999E-3</v>
      </c>
      <c r="X1428">
        <v>0.99998399999999998</v>
      </c>
      <c r="Y1428">
        <v>2.3563980000000002E-2</v>
      </c>
      <c r="Z1428">
        <v>-5.3689779999999999E-4</v>
      </c>
      <c r="AA1428">
        <v>0.99972220000000001</v>
      </c>
      <c r="AB1428">
        <v>30</v>
      </c>
      <c r="AC1428">
        <v>-0.62150000000002503</v>
      </c>
      <c r="AD1428">
        <v>-7.2820999999999803E-2</v>
      </c>
      <c r="AE1428">
        <v>3.3000000000015399E-2</v>
      </c>
      <c r="AF1428">
        <v>2.1123444674398702E-2</v>
      </c>
      <c r="AG1428">
        <v>-7.2820999999999803E-2</v>
      </c>
      <c r="AH1428">
        <v>0.61360666384467999</v>
      </c>
      <c r="AI1428">
        <v>96.764066029133502</v>
      </c>
      <c r="AJ1428">
        <v>88.028368100973907</v>
      </c>
      <c r="AK1428">
        <v>0.61827359305610896</v>
      </c>
    </row>
    <row r="1429" spans="1:37" x14ac:dyDescent="0.2">
      <c r="A1429" t="str">
        <f>"20200111160131699"</f>
        <v>20200111160131699</v>
      </c>
      <c r="B1429" t="str">
        <f>"1578729691692828"</f>
        <v>1578729691692828</v>
      </c>
      <c r="C1429" t="s">
        <v>37</v>
      </c>
      <c r="D1429">
        <v>5.0869179999999998</v>
      </c>
      <c r="E1429">
        <v>0.51320219999999905</v>
      </c>
      <c r="F1429" t="s">
        <v>42</v>
      </c>
      <c r="G1429">
        <v>-297.81830000000002</v>
      </c>
      <c r="H1429">
        <v>1.032179</v>
      </c>
      <c r="I1429">
        <v>285.90899999999999</v>
      </c>
      <c r="J1429">
        <v>-297.23910000000001</v>
      </c>
      <c r="K1429">
        <v>1.103572</v>
      </c>
      <c r="L1429">
        <v>285.87599999999998</v>
      </c>
      <c r="M1429">
        <v>-0.99970870000000001</v>
      </c>
      <c r="N1429">
        <v>0</v>
      </c>
      <c r="O1429">
        <v>1.947875E-2</v>
      </c>
      <c r="P1429">
        <v>-0.99977590000000005</v>
      </c>
      <c r="Q1429">
        <v>-9.8806060000000001E-3</v>
      </c>
      <c r="R1429">
        <v>1.8731669999999999E-2</v>
      </c>
      <c r="S1429">
        <v>-2.996124</v>
      </c>
      <c r="T1429">
        <v>-0.2405331</v>
      </c>
      <c r="U1429">
        <v>0.13348389999999999</v>
      </c>
      <c r="V1429">
        <v>-7.4082300000000005E-4</v>
      </c>
      <c r="W1429">
        <v>4.3743150000000001E-3</v>
      </c>
      <c r="X1429">
        <v>0.99999020000000005</v>
      </c>
      <c r="Y1429">
        <v>2.5020379999999998E-2</v>
      </c>
      <c r="Z1429">
        <v>-5.5818760000000002E-4</v>
      </c>
      <c r="AA1429">
        <v>0.99968679999999999</v>
      </c>
      <c r="AB1429">
        <v>30</v>
      </c>
      <c r="AC1429">
        <v>-0.57920000000001404</v>
      </c>
      <c r="AD1429">
        <v>-7.1392999999999804E-2</v>
      </c>
      <c r="AE1429">
        <v>3.3000000000015399E-2</v>
      </c>
      <c r="AF1429">
        <v>2.1386616413152201E-2</v>
      </c>
      <c r="AG1429">
        <v>-7.1392999999999804E-2</v>
      </c>
      <c r="AH1429">
        <v>0.57108432924951902</v>
      </c>
      <c r="AI1429">
        <v>97.120812959853595</v>
      </c>
      <c r="AJ1429">
        <v>87.855324607021799</v>
      </c>
      <c r="AK1429">
        <v>0.57592678260780295</v>
      </c>
    </row>
    <row r="1430" spans="1:37" x14ac:dyDescent="0.2">
      <c r="A1430" t="str">
        <f>"20200111160131723"</f>
        <v>20200111160131723</v>
      </c>
      <c r="B1430" t="str">
        <f>"1578729691712347"</f>
        <v>1578729691712347</v>
      </c>
      <c r="C1430" t="s">
        <v>37</v>
      </c>
      <c r="D1430">
        <v>5.0784479999999999</v>
      </c>
      <c r="E1430">
        <v>0.51362220000000003</v>
      </c>
      <c r="F1430" t="s">
        <v>42</v>
      </c>
      <c r="G1430">
        <v>-298.08580000000001</v>
      </c>
      <c r="H1430">
        <v>1.0340320000000001</v>
      </c>
      <c r="I1430">
        <v>285.9169</v>
      </c>
      <c r="J1430">
        <v>-297.54989999999998</v>
      </c>
      <c r="K1430">
        <v>1.1036059999999901</v>
      </c>
      <c r="L1430">
        <v>285.88299999999998</v>
      </c>
      <c r="M1430">
        <v>-0.9996931</v>
      </c>
      <c r="N1430">
        <v>0</v>
      </c>
      <c r="O1430">
        <v>2.0268870000000001E-2</v>
      </c>
      <c r="P1430">
        <v>-0.99974669999999899</v>
      </c>
      <c r="Q1430">
        <v>-1.083713E-2</v>
      </c>
      <c r="R1430">
        <v>1.9731220000000001E-2</v>
      </c>
      <c r="S1430">
        <v>-2.995514</v>
      </c>
      <c r="T1430">
        <v>-0.2460724</v>
      </c>
      <c r="U1430">
        <v>0.14416499999999999</v>
      </c>
      <c r="V1430">
        <v>-5.3340289999999997E-4</v>
      </c>
      <c r="W1430">
        <v>3.4134959999999998E-3</v>
      </c>
      <c r="X1430">
        <v>0.99999400000000005</v>
      </c>
      <c r="Y1430">
        <v>2.77887E-2</v>
      </c>
      <c r="Z1430">
        <v>-5.2234739999999997E-4</v>
      </c>
      <c r="AA1430">
        <v>0.99961369999999905</v>
      </c>
      <c r="AB1430">
        <v>30</v>
      </c>
      <c r="AC1430">
        <v>-0.53590000000002602</v>
      </c>
      <c r="AD1430">
        <v>-6.9573999999999803E-2</v>
      </c>
      <c r="AE1430">
        <v>3.3900000000016903E-2</v>
      </c>
      <c r="AF1430">
        <v>2.2649609331336799E-2</v>
      </c>
      <c r="AG1430">
        <v>-6.9573999999999803E-2</v>
      </c>
      <c r="AH1430">
        <v>0.52761953416724505</v>
      </c>
      <c r="AI1430">
        <v>97.505075918015805</v>
      </c>
      <c r="AJ1430">
        <v>87.541920521580195</v>
      </c>
      <c r="AK1430">
        <v>0.53266867667784101</v>
      </c>
    </row>
    <row r="1431" spans="1:37" x14ac:dyDescent="0.2">
      <c r="A1431" t="str">
        <f>"20200111160131745"</f>
        <v>20200111160131745</v>
      </c>
      <c r="B1431" t="str">
        <f>"1578729691742604"</f>
        <v>1578729691742604</v>
      </c>
      <c r="C1431" t="s">
        <v>37</v>
      </c>
      <c r="D1431">
        <v>4.9757730000000002</v>
      </c>
      <c r="E1431">
        <v>0.51373550000000001</v>
      </c>
      <c r="F1431" t="s">
        <v>42</v>
      </c>
      <c r="G1431">
        <v>-298.35379999999998</v>
      </c>
      <c r="H1431">
        <v>1.037625</v>
      </c>
      <c r="I1431">
        <v>285.9237</v>
      </c>
      <c r="J1431">
        <v>-297.83730000000003</v>
      </c>
      <c r="K1431">
        <v>1.1036489999999901</v>
      </c>
      <c r="L1431">
        <v>285.88959999999997</v>
      </c>
      <c r="M1431">
        <v>-0.99967929999999905</v>
      </c>
      <c r="N1431">
        <v>0</v>
      </c>
      <c r="O1431">
        <v>2.093983E-2</v>
      </c>
      <c r="P1431">
        <v>-0.99970720000000002</v>
      </c>
      <c r="Q1431">
        <v>-1.164396E-2</v>
      </c>
      <c r="R1431">
        <v>2.1214440000000001E-2</v>
      </c>
      <c r="S1431">
        <v>-2.9951479999999999</v>
      </c>
      <c r="T1431">
        <v>-0.2459431</v>
      </c>
      <c r="U1431">
        <v>0.15084839999999999</v>
      </c>
      <c r="V1431">
        <v>2.7783540000000001E-4</v>
      </c>
      <c r="W1431">
        <v>2.601922E-3</v>
      </c>
      <c r="X1431">
        <v>0.99999660000000001</v>
      </c>
      <c r="Y1431">
        <v>2.934581E-2</v>
      </c>
      <c r="Z1431">
        <v>-5.1326759999999996E-4</v>
      </c>
      <c r="AA1431">
        <v>0.99956919999999905</v>
      </c>
      <c r="AB1431">
        <v>30</v>
      </c>
      <c r="AC1431">
        <v>-0.51649999999995</v>
      </c>
      <c r="AD1431">
        <v>-6.6023999999999805E-2</v>
      </c>
      <c r="AE1431">
        <v>3.41000000000235E-2</v>
      </c>
      <c r="AF1431">
        <v>2.2903376080258001E-2</v>
      </c>
      <c r="AG1431">
        <v>-6.6023999999999805E-2</v>
      </c>
      <c r="AH1431">
        <v>0.50882256169153495</v>
      </c>
      <c r="AI1431">
        <v>97.385903038599196</v>
      </c>
      <c r="AJ1431">
        <v>87.422713361583007</v>
      </c>
      <c r="AK1431">
        <v>0.51359919440961899</v>
      </c>
    </row>
    <row r="1432" spans="1:37" x14ac:dyDescent="0.2">
      <c r="A1432" t="str">
        <f>"20200111160131767"</f>
        <v>20200111160131767</v>
      </c>
      <c r="B1432" t="str">
        <f>"1578729691763100"</f>
        <v>1578729691763100</v>
      </c>
      <c r="C1432" t="s">
        <v>37</v>
      </c>
      <c r="D1432">
        <v>4.994821</v>
      </c>
      <c r="E1432">
        <v>0.51404780000000005</v>
      </c>
      <c r="F1432" t="s">
        <v>42</v>
      </c>
      <c r="G1432">
        <v>-298.62139999999999</v>
      </c>
      <c r="H1432">
        <v>1.0396719999999999</v>
      </c>
      <c r="I1432">
        <v>285.93060000000003</v>
      </c>
      <c r="J1432">
        <v>-298.13080000000002</v>
      </c>
      <c r="K1432">
        <v>1.1036969999999999</v>
      </c>
      <c r="L1432">
        <v>285.8965</v>
      </c>
      <c r="M1432">
        <v>-0.99966619999999995</v>
      </c>
      <c r="N1432">
        <v>0</v>
      </c>
      <c r="O1432">
        <v>2.1560070000000001E-2</v>
      </c>
      <c r="P1432">
        <v>-0.99967009999999901</v>
      </c>
      <c r="Q1432">
        <v>-1.2773369999999999E-2</v>
      </c>
      <c r="R1432">
        <v>2.228875E-2</v>
      </c>
      <c r="S1432">
        <v>-2.9947509999999999</v>
      </c>
      <c r="T1432">
        <v>-0.24429429999999899</v>
      </c>
      <c r="U1432">
        <v>0.1566467</v>
      </c>
      <c r="V1432">
        <v>7.3049639999999999E-4</v>
      </c>
      <c r="W1432">
        <v>1.4684829999999901E-3</v>
      </c>
      <c r="X1432">
        <v>0.99999859999999896</v>
      </c>
      <c r="Y1432">
        <v>3.066058E-2</v>
      </c>
      <c r="Z1432">
        <v>-5.0683049999999995E-4</v>
      </c>
      <c r="AA1432">
        <v>0.99952969999999897</v>
      </c>
      <c r="AB1432">
        <v>30</v>
      </c>
      <c r="AC1432">
        <v>-0.490599999999972</v>
      </c>
      <c r="AD1432">
        <v>-6.4024999999999999E-2</v>
      </c>
      <c r="AE1432">
        <v>3.41000000000235E-2</v>
      </c>
      <c r="AF1432">
        <v>2.31217332553297E-2</v>
      </c>
      <c r="AG1432">
        <v>-6.4024999999999999E-2</v>
      </c>
      <c r="AH1432">
        <v>0.48303413641200399</v>
      </c>
      <c r="AI1432">
        <v>97.541868286179806</v>
      </c>
      <c r="AJ1432">
        <v>87.259474660090206</v>
      </c>
      <c r="AK1432">
        <v>0.48780712593505798</v>
      </c>
    </row>
    <row r="1433" spans="1:37" x14ac:dyDescent="0.2">
      <c r="A1433" t="str">
        <f>"20200111160132080"</f>
        <v>20200111160132080</v>
      </c>
      <c r="B1433" t="str">
        <f>"1578729692072870"</f>
        <v>1578729692072870</v>
      </c>
      <c r="C1433" t="s">
        <v>37</v>
      </c>
      <c r="D1433">
        <v>5.0677599999999998</v>
      </c>
      <c r="E1433">
        <v>0.4629337</v>
      </c>
      <c r="F1433" t="s">
        <v>42</v>
      </c>
      <c r="G1433">
        <v>-302.82859999999999</v>
      </c>
      <c r="H1433">
        <v>1.035652</v>
      </c>
      <c r="I1433">
        <v>286.03390000000002</v>
      </c>
      <c r="J1433">
        <v>-302.25490000000002</v>
      </c>
      <c r="K1433">
        <v>1.10425</v>
      </c>
      <c r="L1433">
        <v>285.9975</v>
      </c>
      <c r="M1433">
        <v>-0.99959929999999997</v>
      </c>
      <c r="N1433">
        <v>0</v>
      </c>
      <c r="O1433">
        <v>2.4494660000000001E-2</v>
      </c>
      <c r="P1433">
        <v>-0.99966429999999995</v>
      </c>
      <c r="Q1433">
        <v>-1.1731439999999999E-2</v>
      </c>
      <c r="R1433">
        <v>2.310796E-2</v>
      </c>
      <c r="S1433">
        <v>-2.994904</v>
      </c>
      <c r="T1433">
        <v>-0.23158709999999999</v>
      </c>
      <c r="U1433">
        <v>0.14926149999999999</v>
      </c>
      <c r="V1433">
        <v>-1.3874169999999999E-3</v>
      </c>
      <c r="W1433">
        <v>2.4631639999999999E-3</v>
      </c>
      <c r="X1433">
        <v>0.999995999999999</v>
      </c>
      <c r="Y1433">
        <v>2.529263E-2</v>
      </c>
      <c r="Z1433">
        <v>-9.1402819999999996E-4</v>
      </c>
      <c r="AA1433">
        <v>0.99967969999999895</v>
      </c>
      <c r="AB1433">
        <v>29</v>
      </c>
      <c r="AC1433">
        <v>-0.57369999999997301</v>
      </c>
      <c r="AD1433">
        <v>-6.8597999999999895E-2</v>
      </c>
      <c r="AE1433">
        <v>3.6400000000014601E-2</v>
      </c>
      <c r="AF1433">
        <v>2.2021490780344599E-2</v>
      </c>
      <c r="AG1433">
        <v>-6.8597999999999895E-2</v>
      </c>
      <c r="AH1433">
        <v>0.56635466704945403</v>
      </c>
      <c r="AI1433">
        <v>96.900972873035499</v>
      </c>
      <c r="AJ1433">
        <v>87.773297784252094</v>
      </c>
      <c r="AK1433">
        <v>0.57091876878316605</v>
      </c>
    </row>
    <row r="1434" spans="1:37" x14ac:dyDescent="0.2">
      <c r="A1434" t="str">
        <f>"20200111160132102"</f>
        <v>20200111160132102</v>
      </c>
      <c r="B1434" t="str">
        <f>"1578729692092390"</f>
        <v>1578729692092390</v>
      </c>
      <c r="C1434" t="s">
        <v>37</v>
      </c>
      <c r="D1434">
        <v>5.4417</v>
      </c>
      <c r="E1434">
        <v>0.46453129999999998</v>
      </c>
      <c r="F1434" t="s">
        <v>60</v>
      </c>
      <c r="G1434">
        <v>-318.60879999999997</v>
      </c>
      <c r="H1434" s="1">
        <v>6.0276499999999998E-6</v>
      </c>
      <c r="I1434">
        <v>284.69619999999998</v>
      </c>
      <c r="J1434">
        <v>-302.53519999999997</v>
      </c>
      <c r="K1434">
        <v>1.1042559999999999</v>
      </c>
      <c r="L1434">
        <v>286.00439999999998</v>
      </c>
      <c r="M1434">
        <v>-0.99959920000000002</v>
      </c>
      <c r="N1434">
        <v>0</v>
      </c>
      <c r="O1434">
        <v>2.4495579999999999E-2</v>
      </c>
      <c r="P1434">
        <v>-0.99967410000000001</v>
      </c>
      <c r="Q1434">
        <v>-1.19812999999999E-2</v>
      </c>
      <c r="R1434">
        <v>2.2544060000000001E-2</v>
      </c>
      <c r="S1434">
        <v>-3.0041199999999999</v>
      </c>
      <c r="T1434">
        <v>-0.20284389999999999</v>
      </c>
      <c r="U1434">
        <v>-0.23904420000000001</v>
      </c>
      <c r="V1434">
        <v>-1.952467E-3</v>
      </c>
      <c r="W1434">
        <v>2.2099629999999901E-3</v>
      </c>
      <c r="X1434">
        <v>0.99999559999999998</v>
      </c>
      <c r="Y1434">
        <v>-0.1034289</v>
      </c>
      <c r="Z1434">
        <v>-5.1323549999999999E-3</v>
      </c>
      <c r="AA1434">
        <v>0.99462359999999905</v>
      </c>
      <c r="AB1434">
        <v>29</v>
      </c>
      <c r="AC1434">
        <v>-16.073599999999999</v>
      </c>
      <c r="AD1434">
        <v>-1.1042499723499899</v>
      </c>
      <c r="AE1434">
        <v>-1.30819999999999</v>
      </c>
      <c r="AF1434">
        <v>-1.69363843410738</v>
      </c>
      <c r="AG1434">
        <v>-1.1042499723499899</v>
      </c>
      <c r="AH1434">
        <v>15.9618890412094</v>
      </c>
      <c r="AI1434">
        <v>93.935418949801104</v>
      </c>
      <c r="AJ1434">
        <v>96.056714973424207</v>
      </c>
      <c r="AK1434">
        <v>16.089427612901599</v>
      </c>
    </row>
    <row r="1435" spans="1:37" x14ac:dyDescent="0.2">
      <c r="A1435" t="str">
        <f>"20200111160132124"</f>
        <v>20200111160132124</v>
      </c>
      <c r="B1435" t="str">
        <f>"1578729692112886"</f>
        <v>1578729692112886</v>
      </c>
      <c r="C1435" t="s">
        <v>37</v>
      </c>
      <c r="D1435">
        <v>5.07857</v>
      </c>
      <c r="E1435">
        <v>0.4660897</v>
      </c>
      <c r="F1435" t="s">
        <v>57</v>
      </c>
      <c r="G1435">
        <v>-322.48340000000002</v>
      </c>
      <c r="H1435" s="1">
        <v>-2.1064499999999999E-7</v>
      </c>
      <c r="I1435">
        <v>284.51089999999999</v>
      </c>
      <c r="J1435">
        <v>-302.82080000000002</v>
      </c>
      <c r="K1435">
        <v>1.1042650000000001</v>
      </c>
      <c r="L1435">
        <v>286.01139999999998</v>
      </c>
      <c r="M1435">
        <v>-0.99959929999999997</v>
      </c>
      <c r="N1435">
        <v>0</v>
      </c>
      <c r="O1435">
        <v>2.4494680000000001E-2</v>
      </c>
      <c r="P1435">
        <v>-0.99969850000000005</v>
      </c>
      <c r="Q1435">
        <v>-1.201023E-2</v>
      </c>
      <c r="R1435">
        <v>2.141508E-2</v>
      </c>
      <c r="S1435">
        <v>-3.004089</v>
      </c>
      <c r="T1435">
        <v>-0.16629469999999999</v>
      </c>
      <c r="U1435">
        <v>-0.22491459999999999</v>
      </c>
      <c r="V1435">
        <v>-3.080658E-3</v>
      </c>
      <c r="W1435">
        <v>2.1780150000000002E-3</v>
      </c>
      <c r="X1435">
        <v>0.99999289999999996</v>
      </c>
      <c r="Y1435">
        <v>-9.8878949999999993E-2</v>
      </c>
      <c r="Z1435">
        <v>-4.084219E-3</v>
      </c>
      <c r="AA1435">
        <v>0.99509110000000001</v>
      </c>
      <c r="AB1435">
        <v>29</v>
      </c>
      <c r="AC1435">
        <v>-19.662600000000001</v>
      </c>
      <c r="AD1435">
        <v>-1.1042652106449999</v>
      </c>
      <c r="AE1435">
        <v>-1.50049999999998</v>
      </c>
      <c r="AF1435">
        <v>-1.97553246661705</v>
      </c>
      <c r="AG1435">
        <v>-1.1042652106449999</v>
      </c>
      <c r="AH1435">
        <v>19.5586101412643</v>
      </c>
      <c r="AI1435">
        <v>93.215123863557196</v>
      </c>
      <c r="AJ1435">
        <v>95.767643224097498</v>
      </c>
      <c r="AK1435">
        <v>19.6891178278781</v>
      </c>
    </row>
    <row r="1436" spans="1:37" x14ac:dyDescent="0.2">
      <c r="A1436" t="str">
        <f>"20200111160132146"</f>
        <v>20200111160132146</v>
      </c>
      <c r="B1436" t="str">
        <f>"1578729692142166"</f>
        <v>1578729692142166</v>
      </c>
      <c r="C1436" t="s">
        <v>37</v>
      </c>
      <c r="D1436">
        <v>5.0847360000000004</v>
      </c>
      <c r="E1436">
        <v>0.46660559999999901</v>
      </c>
      <c r="F1436" t="s">
        <v>57</v>
      </c>
      <c r="G1436">
        <v>-320.78500000000003</v>
      </c>
      <c r="H1436" s="1">
        <v>-1.123287E-6</v>
      </c>
      <c r="I1436">
        <v>284.7133</v>
      </c>
      <c r="J1436">
        <v>-303.09719999999999</v>
      </c>
      <c r="K1436">
        <v>1.104277</v>
      </c>
      <c r="L1436">
        <v>286.0181</v>
      </c>
      <c r="M1436">
        <v>-0.99959940000000003</v>
      </c>
      <c r="N1436">
        <v>0</v>
      </c>
      <c r="O1436">
        <v>2.4492980000000001E-2</v>
      </c>
      <c r="P1436">
        <v>-0.99973419999999902</v>
      </c>
      <c r="Q1436">
        <v>-1.1177619999999999E-2</v>
      </c>
      <c r="R1436">
        <v>2.015788E-2</v>
      </c>
      <c r="S1436">
        <v>-3.0033569999999998</v>
      </c>
      <c r="T1436">
        <v>-0.18461710000000001</v>
      </c>
      <c r="U1436">
        <v>-0.2170105</v>
      </c>
      <c r="V1436">
        <v>-4.3371030000000001E-3</v>
      </c>
      <c r="W1436">
        <v>3.0072329999999898E-3</v>
      </c>
      <c r="X1436">
        <v>0.99998609999999899</v>
      </c>
      <c r="Y1436">
        <v>-9.6251409999999996E-2</v>
      </c>
      <c r="Z1436">
        <v>-4.4542610000000002E-3</v>
      </c>
      <c r="AA1436">
        <v>0.99534709999999904</v>
      </c>
      <c r="AB1436">
        <v>29</v>
      </c>
      <c r="AC1436">
        <v>-17.687799999999999</v>
      </c>
      <c r="AD1436">
        <v>-1.104278123287</v>
      </c>
      <c r="AE1436">
        <v>-1.3048</v>
      </c>
      <c r="AF1436">
        <v>-1.7309686956120101</v>
      </c>
      <c r="AG1436">
        <v>-1.104278123287</v>
      </c>
      <c r="AH1436">
        <v>17.582370936038899</v>
      </c>
      <c r="AI1436">
        <v>93.576552092672898</v>
      </c>
      <c r="AJ1436">
        <v>95.622599798895806</v>
      </c>
      <c r="AK1436">
        <v>17.701848788508599</v>
      </c>
    </row>
    <row r="1437" spans="1:37" x14ac:dyDescent="0.2">
      <c r="A1437" t="str">
        <f>"20200111160132168"</f>
        <v>20200111160132168</v>
      </c>
      <c r="B1437" t="str">
        <f>"1578729692162662"</f>
        <v>1578729692162662</v>
      </c>
      <c r="C1437" t="s">
        <v>37</v>
      </c>
      <c r="D1437">
        <v>5.0314220000000001</v>
      </c>
      <c r="E1437">
        <v>0.46734910000000002</v>
      </c>
      <c r="F1437" t="s">
        <v>57</v>
      </c>
      <c r="G1437">
        <v>-320.07909999999998</v>
      </c>
      <c r="H1437" s="1">
        <v>-1.5022119999999999E-6</v>
      </c>
      <c r="I1437">
        <v>284.78870000000001</v>
      </c>
      <c r="J1437">
        <v>-303.40019999999998</v>
      </c>
      <c r="K1437">
        <v>1.104284</v>
      </c>
      <c r="L1437">
        <v>286.0256</v>
      </c>
      <c r="M1437">
        <v>-0.99959959999999903</v>
      </c>
      <c r="N1437">
        <v>0</v>
      </c>
      <c r="O1437">
        <v>2.4487470000000001E-2</v>
      </c>
      <c r="P1437">
        <v>-0.99977229999999995</v>
      </c>
      <c r="Q1437">
        <v>-9.9489109999999995E-3</v>
      </c>
      <c r="R1437">
        <v>1.887906E-2</v>
      </c>
      <c r="S1437">
        <v>-3.0029910000000002</v>
      </c>
      <c r="T1437">
        <v>-0.19527410000000001</v>
      </c>
      <c r="U1437">
        <v>-0.21740719999999999</v>
      </c>
      <c r="V1437">
        <v>-5.610688E-3</v>
      </c>
      <c r="W1437">
        <v>4.2326959999999898E-3</v>
      </c>
      <c r="X1437">
        <v>0.99997530000000001</v>
      </c>
      <c r="Y1437">
        <v>-9.6358260000000001E-2</v>
      </c>
      <c r="Z1437">
        <v>-4.7145160000000002E-3</v>
      </c>
      <c r="AA1437">
        <v>0.99533559999999999</v>
      </c>
      <c r="AB1437">
        <v>29</v>
      </c>
      <c r="AC1437">
        <v>-16.678899999999999</v>
      </c>
      <c r="AD1437">
        <v>-1.1042855022119999</v>
      </c>
      <c r="AE1437">
        <v>-1.2368999999999899</v>
      </c>
      <c r="AF1437">
        <v>-1.63785376484334</v>
      </c>
      <c r="AG1437">
        <v>-1.1042855022119999</v>
      </c>
      <c r="AH1437">
        <v>16.571361609492602</v>
      </c>
      <c r="AI1437">
        <v>93.794018547698599</v>
      </c>
      <c r="AJ1437">
        <v>95.644576422630706</v>
      </c>
      <c r="AK1437">
        <v>16.688679906390799</v>
      </c>
    </row>
    <row r="1438" spans="1:37" x14ac:dyDescent="0.2">
      <c r="A1438" t="str">
        <f>"20200111160132191"</f>
        <v>20200111160132191</v>
      </c>
      <c r="B1438" t="str">
        <f>"1578729692182181"</f>
        <v>1578729692182181</v>
      </c>
      <c r="C1438" t="s">
        <v>37</v>
      </c>
      <c r="D1438">
        <v>5.050643</v>
      </c>
      <c r="E1438">
        <v>0.46787699999999999</v>
      </c>
      <c r="F1438" t="s">
        <v>57</v>
      </c>
      <c r="G1438">
        <v>-320.11450000000002</v>
      </c>
      <c r="H1438" s="1">
        <v>-1.485E-6</v>
      </c>
      <c r="I1438">
        <v>284.82510000000002</v>
      </c>
      <c r="J1438">
        <v>-303.69619999999998</v>
      </c>
      <c r="K1438">
        <v>1.1042909999999999</v>
      </c>
      <c r="L1438">
        <v>286.03280000000001</v>
      </c>
      <c r="M1438">
        <v>-0.99960020000000005</v>
      </c>
      <c r="N1438">
        <v>0</v>
      </c>
      <c r="O1438">
        <v>2.4460369999999999E-2</v>
      </c>
      <c r="P1438">
        <v>-0.99981730000000002</v>
      </c>
      <c r="Q1438">
        <v>-8.1349500000000002E-3</v>
      </c>
      <c r="R1438">
        <v>1.7293360000000001E-2</v>
      </c>
      <c r="S1438">
        <v>-3.0027469999999998</v>
      </c>
      <c r="T1438">
        <v>-0.1983869</v>
      </c>
      <c r="U1438">
        <v>-0.21566769999999999</v>
      </c>
      <c r="V1438">
        <v>-7.1703100000000001E-3</v>
      </c>
      <c r="W1438">
        <v>6.0436999999999999E-3</v>
      </c>
      <c r="X1438">
        <v>0.99995599999999996</v>
      </c>
      <c r="Y1438">
        <v>-9.5756629999999995E-2</v>
      </c>
      <c r="Z1438">
        <v>-4.7683769999999999E-3</v>
      </c>
      <c r="AA1438">
        <v>0.99539330000000004</v>
      </c>
      <c r="AB1438">
        <v>29</v>
      </c>
      <c r="AC1438">
        <v>-16.418299999999999</v>
      </c>
      <c r="AD1438">
        <v>-1.104292485</v>
      </c>
      <c r="AE1438">
        <v>-1.20769999999998</v>
      </c>
      <c r="AF1438">
        <v>-1.60176944065198</v>
      </c>
      <c r="AG1438">
        <v>-1.104292485</v>
      </c>
      <c r="AH1438">
        <v>16.310453332460501</v>
      </c>
      <c r="AI1438">
        <v>93.854788640648806</v>
      </c>
      <c r="AJ1438">
        <v>95.608752267267604</v>
      </c>
      <c r="AK1438">
        <v>16.426077290205601</v>
      </c>
    </row>
    <row r="1439" spans="1:37" x14ac:dyDescent="0.2">
      <c r="A1439" t="str">
        <f>"20200111160132212"</f>
        <v>20200111160132212</v>
      </c>
      <c r="B1439" t="str">
        <f>"1578729692202678"</f>
        <v>1578729692202678</v>
      </c>
      <c r="C1439" t="s">
        <v>37</v>
      </c>
      <c r="D1439">
        <v>5.0872469999999996</v>
      </c>
      <c r="E1439">
        <v>0.46822259999999999</v>
      </c>
      <c r="F1439" t="s">
        <v>57</v>
      </c>
      <c r="G1439">
        <v>-320.36669999999998</v>
      </c>
      <c r="H1439" s="1">
        <v>-1.351204E-6</v>
      </c>
      <c r="I1439">
        <v>284.8349</v>
      </c>
      <c r="J1439">
        <v>-303.97059999999999</v>
      </c>
      <c r="K1439">
        <v>1.104309</v>
      </c>
      <c r="L1439">
        <v>286.03949999999998</v>
      </c>
      <c r="M1439">
        <v>-0.99960179999999998</v>
      </c>
      <c r="N1439">
        <v>0</v>
      </c>
      <c r="O1439">
        <v>2.4398550000000001E-2</v>
      </c>
      <c r="P1439">
        <v>-0.99983359999999899</v>
      </c>
      <c r="Q1439">
        <v>-6.7503419999999899E-3</v>
      </c>
      <c r="R1439">
        <v>1.6950449999999999E-2</v>
      </c>
      <c r="S1439">
        <v>-3.0026250000000001</v>
      </c>
      <c r="T1439">
        <v>-0.1989012</v>
      </c>
      <c r="U1439">
        <v>-0.21575929999999999</v>
      </c>
      <c r="V1439">
        <v>-7.4520389999999997E-3</v>
      </c>
      <c r="W1439">
        <v>7.4255429999999997E-3</v>
      </c>
      <c r="X1439">
        <v>0.99994470000000002</v>
      </c>
      <c r="Y1439">
        <v>-9.5726969999999995E-2</v>
      </c>
      <c r="Z1439">
        <v>-4.7758319999999998E-3</v>
      </c>
      <c r="AA1439">
        <v>0.99539619999999995</v>
      </c>
      <c r="AB1439">
        <v>29</v>
      </c>
      <c r="AC1439">
        <v>-16.396099999999901</v>
      </c>
      <c r="AD1439">
        <v>-1.104310351204</v>
      </c>
      <c r="AE1439">
        <v>-1.2045999999999699</v>
      </c>
      <c r="AF1439">
        <v>-1.59711650446001</v>
      </c>
      <c r="AG1439">
        <v>-1.104310351204</v>
      </c>
      <c r="AH1439">
        <v>16.288332656860099</v>
      </c>
      <c r="AI1439">
        <v>93.860127118370201</v>
      </c>
      <c r="AJ1439">
        <v>95.600109831900497</v>
      </c>
      <c r="AK1439">
        <v>16.403660055643901</v>
      </c>
    </row>
    <row r="1440" spans="1:37" x14ac:dyDescent="0.2">
      <c r="A1440" t="str">
        <f>"20200111160132234"</f>
        <v>20200111160132234</v>
      </c>
      <c r="B1440" t="str">
        <f>"1578729692222198"</f>
        <v>1578729692222198</v>
      </c>
      <c r="C1440" t="s">
        <v>37</v>
      </c>
      <c r="D1440">
        <v>5.1427100000000001</v>
      </c>
      <c r="E1440">
        <v>0.46869949999999999</v>
      </c>
      <c r="F1440" t="s">
        <v>57</v>
      </c>
      <c r="G1440">
        <v>-320.60860000000002</v>
      </c>
      <c r="H1440" s="1">
        <v>-1.223552E-6</v>
      </c>
      <c r="I1440">
        <v>284.85939999999999</v>
      </c>
      <c r="J1440">
        <v>-304.2534</v>
      </c>
      <c r="K1440">
        <v>1.1043319999999901</v>
      </c>
      <c r="L1440">
        <v>286.04629999999997</v>
      </c>
      <c r="M1440">
        <v>-0.99960450000000001</v>
      </c>
      <c r="N1440">
        <v>0</v>
      </c>
      <c r="O1440">
        <v>2.429458E-2</v>
      </c>
      <c r="P1440">
        <v>-0.99981219999999904</v>
      </c>
      <c r="Q1440">
        <v>-7.8751329999999994E-3</v>
      </c>
      <c r="R1440">
        <v>1.771497E-2</v>
      </c>
      <c r="S1440">
        <v>-3.002777</v>
      </c>
      <c r="T1440">
        <v>-0.19930300000000001</v>
      </c>
      <c r="U1440">
        <v>-0.21298220000000001</v>
      </c>
      <c r="V1440">
        <v>-6.5838149999999998E-3</v>
      </c>
      <c r="W1440">
        <v>6.29737099999999E-3</v>
      </c>
      <c r="X1440">
        <v>0.99995849999999897</v>
      </c>
      <c r="Y1440">
        <v>-9.4705280000000003E-2</v>
      </c>
      <c r="Z1440">
        <v>-4.7446559999999999E-3</v>
      </c>
      <c r="AA1440">
        <v>0.99549409999999905</v>
      </c>
      <c r="AB1440">
        <v>29</v>
      </c>
      <c r="AC1440">
        <v>-16.3552</v>
      </c>
      <c r="AD1440">
        <v>-1.10433322355199</v>
      </c>
      <c r="AE1440">
        <v>-1.1868999999999801</v>
      </c>
      <c r="AF1440">
        <v>-1.5767809885155699</v>
      </c>
      <c r="AG1440">
        <v>-1.10433322355199</v>
      </c>
      <c r="AH1440">
        <v>16.247844472579001</v>
      </c>
      <c r="AI1440">
        <v>93.870172447853307</v>
      </c>
      <c r="AJ1440">
        <v>95.542943022936797</v>
      </c>
      <c r="AK1440">
        <v>16.361486489909801</v>
      </c>
    </row>
    <row r="1441" spans="1:37" x14ac:dyDescent="0.2">
      <c r="A1441" t="str">
        <f>"20200111160132258"</f>
        <v>20200111160132258</v>
      </c>
      <c r="B1441" t="str">
        <f>"1578729692252454"</f>
        <v>1578729692252454</v>
      </c>
      <c r="C1441" t="s">
        <v>37</v>
      </c>
      <c r="D1441">
        <v>5.1593629999999999</v>
      </c>
      <c r="E1441">
        <v>0.46926849999999998</v>
      </c>
      <c r="F1441" t="s">
        <v>57</v>
      </c>
      <c r="G1441">
        <v>-320.18</v>
      </c>
      <c r="H1441" s="1">
        <v>-1.455833E-6</v>
      </c>
      <c r="I1441">
        <v>284.95499999999998</v>
      </c>
      <c r="J1441">
        <v>-304.54820000000001</v>
      </c>
      <c r="K1441">
        <v>1.104365</v>
      </c>
      <c r="L1441">
        <v>286.05329999999998</v>
      </c>
      <c r="M1441">
        <v>-0.99960899999999997</v>
      </c>
      <c r="N1441">
        <v>0</v>
      </c>
      <c r="O1441">
        <v>2.4111210000000001E-2</v>
      </c>
      <c r="P1441">
        <v>-0.99971089999999996</v>
      </c>
      <c r="Q1441">
        <v>-1.3193099999999999E-2</v>
      </c>
      <c r="R1441">
        <v>2.0116390000000001E-2</v>
      </c>
      <c r="S1441">
        <v>-3.00259399999999</v>
      </c>
      <c r="T1441">
        <v>-0.20819679999999999</v>
      </c>
      <c r="U1441">
        <v>-0.2057495</v>
      </c>
      <c r="V1441">
        <v>-3.9961850000000002E-3</v>
      </c>
      <c r="W1441">
        <v>9.7591069999999999E-4</v>
      </c>
      <c r="X1441">
        <v>0.99999150000000003</v>
      </c>
      <c r="Y1441">
        <v>-9.2123040000000003E-2</v>
      </c>
      <c r="Z1441">
        <v>-4.8545899999999998E-3</v>
      </c>
      <c r="AA1441">
        <v>0.99573579999999995</v>
      </c>
      <c r="AB1441">
        <v>29</v>
      </c>
      <c r="AC1441">
        <v>-15.631799999999901</v>
      </c>
      <c r="AD1441">
        <v>-1.104366455833</v>
      </c>
      <c r="AE1441">
        <v>-1.0982999999999901</v>
      </c>
      <c r="AF1441">
        <v>-1.4676307300806899</v>
      </c>
      <c r="AG1441">
        <v>-1.104366455833</v>
      </c>
      <c r="AH1441">
        <v>15.5236689170837</v>
      </c>
      <c r="AI1441">
        <v>94.051208685367499</v>
      </c>
      <c r="AJ1441">
        <v>95.400775442799898</v>
      </c>
      <c r="AK1441">
        <v>15.6319500343327</v>
      </c>
    </row>
    <row r="1442" spans="1:37" x14ac:dyDescent="0.2">
      <c r="A1442" t="str">
        <f>"20200111160132302"</f>
        <v>20200111160132302</v>
      </c>
      <c r="B1442" t="str">
        <f>"1578729692292470"</f>
        <v>1578729692292470</v>
      </c>
      <c r="C1442" t="s">
        <v>37</v>
      </c>
      <c r="D1442">
        <v>5.2294159999999996</v>
      </c>
      <c r="E1442">
        <v>0.46911809999999998</v>
      </c>
      <c r="F1442" t="s">
        <v>60</v>
      </c>
      <c r="G1442">
        <v>-319.0333</v>
      </c>
      <c r="H1442" s="1">
        <v>6.179058E-6</v>
      </c>
      <c r="I1442">
        <v>285.11750000000001</v>
      </c>
      <c r="J1442">
        <v>-305.12599999999998</v>
      </c>
      <c r="K1442">
        <v>1.10449</v>
      </c>
      <c r="L1442">
        <v>286.06659999999999</v>
      </c>
      <c r="M1442">
        <v>-0.99962719999999905</v>
      </c>
      <c r="N1442">
        <v>0</v>
      </c>
      <c r="O1442">
        <v>2.334833E-2</v>
      </c>
      <c r="P1442">
        <v>-0.9992259</v>
      </c>
      <c r="Q1442">
        <v>-2.7424199999999999E-2</v>
      </c>
      <c r="R1442">
        <v>2.8213740000000001E-2</v>
      </c>
      <c r="S1442">
        <v>-3.001709</v>
      </c>
      <c r="T1442">
        <v>-0.22885459999999999</v>
      </c>
      <c r="U1442">
        <v>-0.19393920000000001</v>
      </c>
      <c r="V1442">
        <v>4.88298799999999E-3</v>
      </c>
      <c r="W1442">
        <v>-1.325842E-2</v>
      </c>
      <c r="X1442">
        <v>0.99990020000000002</v>
      </c>
      <c r="Y1442">
        <v>-8.7439359999999994E-2</v>
      </c>
      <c r="Z1442">
        <v>-5.10104799999999E-3</v>
      </c>
      <c r="AA1442">
        <v>0.99615679999999995</v>
      </c>
      <c r="AB1442">
        <v>29</v>
      </c>
      <c r="AC1442">
        <v>-13.907299999999999</v>
      </c>
      <c r="AD1442">
        <v>-1.104483820942</v>
      </c>
      <c r="AE1442">
        <v>-0.94909999999998695</v>
      </c>
      <c r="AF1442">
        <v>-1.2656403949656601</v>
      </c>
      <c r="AG1442">
        <v>-1.104483820942</v>
      </c>
      <c r="AH1442">
        <v>13.7947436957202</v>
      </c>
      <c r="AI1442">
        <v>94.558588422951402</v>
      </c>
      <c r="AJ1442">
        <v>95.242098289459804</v>
      </c>
      <c r="AK1442">
        <v>13.896642894983801</v>
      </c>
    </row>
    <row r="1443" spans="1:37" x14ac:dyDescent="0.2">
      <c r="A1443" t="str">
        <f>"20200111160132324"</f>
        <v>20200111160132324</v>
      </c>
      <c r="B1443" t="str">
        <f>"1578729692312965"</f>
        <v>1578729692312965</v>
      </c>
      <c r="C1443" t="s">
        <v>37</v>
      </c>
      <c r="D1443">
        <v>5.3839999999999897</v>
      </c>
      <c r="E1443">
        <v>0.46859650000000003</v>
      </c>
      <c r="F1443" t="s">
        <v>60</v>
      </c>
      <c r="G1443">
        <v>-317.44119999999998</v>
      </c>
      <c r="H1443" s="1">
        <v>5.4518099999999999E-6</v>
      </c>
      <c r="I1443">
        <v>285.36040000000003</v>
      </c>
      <c r="J1443">
        <v>-305.40219999999999</v>
      </c>
      <c r="K1443">
        <v>1.10463</v>
      </c>
      <c r="L1443">
        <v>286.07240000000002</v>
      </c>
      <c r="M1443">
        <v>-0.99964200000000003</v>
      </c>
      <c r="N1443">
        <v>0</v>
      </c>
      <c r="O1443">
        <v>2.2699150000000001E-2</v>
      </c>
      <c r="P1443">
        <v>-0.99906219999999901</v>
      </c>
      <c r="Q1443">
        <v>-2.9905230000000001E-2</v>
      </c>
      <c r="R1443">
        <v>3.1316169999999997E-2</v>
      </c>
      <c r="S1443">
        <v>-2.9997859999999998</v>
      </c>
      <c r="T1443">
        <v>-0.26903369999999999</v>
      </c>
      <c r="U1443">
        <v>-0.17199710000000001</v>
      </c>
      <c r="V1443">
        <v>8.6448369999999903E-3</v>
      </c>
      <c r="W1443">
        <v>-1.5736159999999999E-2</v>
      </c>
      <c r="X1443">
        <v>0.99983880000000003</v>
      </c>
      <c r="Y1443">
        <v>-7.9482979999999995E-2</v>
      </c>
      <c r="Z1443">
        <v>-5.5845729999999998E-3</v>
      </c>
      <c r="AA1443">
        <v>0.99682059999999995</v>
      </c>
      <c r="AB1443">
        <v>29</v>
      </c>
      <c r="AC1443">
        <v>-12.0389999999999</v>
      </c>
      <c r="AD1443">
        <v>-1.1046245481900001</v>
      </c>
      <c r="AE1443">
        <v>-0.71199999999998898</v>
      </c>
      <c r="AF1443">
        <v>-0.97692316989516204</v>
      </c>
      <c r="AG1443">
        <v>-1.1046245481900001</v>
      </c>
      <c r="AH1443">
        <v>11.919734292029601</v>
      </c>
      <c r="AI1443">
        <v>95.276993880998305</v>
      </c>
      <c r="AJ1443">
        <v>94.685402164821198</v>
      </c>
      <c r="AK1443">
        <v>12.0106053080154</v>
      </c>
    </row>
    <row r="1444" spans="1:37" x14ac:dyDescent="0.2">
      <c r="A1444" t="str">
        <f>"20200111160132348"</f>
        <v>20200111160132348</v>
      </c>
      <c r="B1444" t="str">
        <f>"1578729692342246"</f>
        <v>1578729692342246</v>
      </c>
      <c r="C1444" t="s">
        <v>37</v>
      </c>
      <c r="D1444">
        <v>5.2657669999999897</v>
      </c>
      <c r="E1444">
        <v>0.43512499999999998</v>
      </c>
      <c r="F1444" t="s">
        <v>60</v>
      </c>
      <c r="G1444">
        <v>-317.63619999999997</v>
      </c>
      <c r="H1444" s="1">
        <v>5.5357649999999997E-6</v>
      </c>
      <c r="I1444">
        <v>285.38889999999998</v>
      </c>
      <c r="J1444">
        <v>-305.70080000000002</v>
      </c>
      <c r="K1444">
        <v>1.1048359999999999</v>
      </c>
      <c r="L1444">
        <v>286.07819999999998</v>
      </c>
      <c r="M1444">
        <v>-0.99966330000000003</v>
      </c>
      <c r="N1444">
        <v>0</v>
      </c>
      <c r="O1444">
        <v>2.1747860000000001E-2</v>
      </c>
      <c r="P1444">
        <v>-0.99913399999999997</v>
      </c>
      <c r="Q1444">
        <v>-2.5826519999999999E-2</v>
      </c>
      <c r="R1444">
        <v>3.2624180000000003E-2</v>
      </c>
      <c r="S1444">
        <v>-2.9999689999999899</v>
      </c>
      <c r="T1444">
        <v>-0.27087259999999902</v>
      </c>
      <c r="U1444">
        <v>-0.16760249999999999</v>
      </c>
      <c r="V1444">
        <v>1.090326E-2</v>
      </c>
      <c r="W1444">
        <v>-1.1649390000000001E-2</v>
      </c>
      <c r="X1444">
        <v>0.99987269999999995</v>
      </c>
      <c r="Y1444">
        <v>-7.7083180000000001E-2</v>
      </c>
      <c r="Z1444">
        <v>-5.4287629999999996E-3</v>
      </c>
      <c r="AA1444">
        <v>0.9970099</v>
      </c>
      <c r="AB1444">
        <v>29</v>
      </c>
      <c r="AC1444">
        <v>-11.9353999999999</v>
      </c>
      <c r="AD1444">
        <v>-1.104830464235</v>
      </c>
      <c r="AE1444">
        <v>-0.68930000000000202</v>
      </c>
      <c r="AF1444">
        <v>-0.94069853719827401</v>
      </c>
      <c r="AG1444">
        <v>-1.104830464235</v>
      </c>
      <c r="AH1444">
        <v>11.8166668257357</v>
      </c>
      <c r="AI1444">
        <v>95.324742961839405</v>
      </c>
      <c r="AJ1444">
        <v>94.551590558666007</v>
      </c>
      <c r="AK1444">
        <v>11.905426450280199</v>
      </c>
    </row>
    <row r="1445" spans="1:37" x14ac:dyDescent="0.2">
      <c r="A1445" t="str">
        <f>"20200111160132369"</f>
        <v>20200111160132369</v>
      </c>
      <c r="B1445" t="str">
        <f>"1578729692362742"</f>
        <v>1578729692362742</v>
      </c>
      <c r="C1445" t="s">
        <v>37</v>
      </c>
      <c r="D1445">
        <v>5.2766299999999999</v>
      </c>
      <c r="E1445">
        <v>0.45164090000000001</v>
      </c>
      <c r="F1445" t="s">
        <v>61</v>
      </c>
      <c r="G1445">
        <v>-440.6841</v>
      </c>
      <c r="H1445">
        <v>8.1940679999999997</v>
      </c>
      <c r="I1445">
        <v>267.98259999999999</v>
      </c>
      <c r="J1445">
        <v>-305.98180000000002</v>
      </c>
      <c r="K1445">
        <v>1.105075</v>
      </c>
      <c r="L1445">
        <v>286.08319999999998</v>
      </c>
      <c r="M1445">
        <v>-0.99968769999999996</v>
      </c>
      <c r="N1445">
        <v>0</v>
      </c>
      <c r="O1445">
        <v>2.0585659999999999E-2</v>
      </c>
      <c r="P1445">
        <v>-0.99921489999999902</v>
      </c>
      <c r="Q1445">
        <v>-1.9650190000000001E-2</v>
      </c>
      <c r="R1445">
        <v>3.4401479999999998E-2</v>
      </c>
      <c r="S1445">
        <v>-3.01992799999999</v>
      </c>
      <c r="T1445">
        <v>0.15860489999999999</v>
      </c>
      <c r="U1445">
        <v>-0.40484619999999999</v>
      </c>
      <c r="V1445">
        <v>1.383385E-2</v>
      </c>
      <c r="W1445">
        <v>-5.4600369999999896E-3</v>
      </c>
      <c r="X1445">
        <v>0.99988940000000004</v>
      </c>
      <c r="Y1445">
        <v>-0.15301139999999999</v>
      </c>
      <c r="Z1445">
        <v>5.073447E-3</v>
      </c>
      <c r="AA1445">
        <v>0.98821139999999996</v>
      </c>
      <c r="AB1445">
        <v>29</v>
      </c>
      <c r="AC1445">
        <v>-134.70229999999901</v>
      </c>
      <c r="AD1445">
        <v>7.0889929999999897</v>
      </c>
      <c r="AE1445">
        <v>-18.100599999999901</v>
      </c>
      <c r="AF1445">
        <v>-20.8133551574686</v>
      </c>
      <c r="AG1445">
        <v>7.0889929999999897</v>
      </c>
      <c r="AH1445">
        <v>133.93672614940101</v>
      </c>
      <c r="AI1445">
        <v>87.006146199775998</v>
      </c>
      <c r="AJ1445">
        <v>98.8329401207682</v>
      </c>
      <c r="AK1445">
        <v>135.729496375271</v>
      </c>
    </row>
    <row r="1446" spans="1:37" x14ac:dyDescent="0.2">
      <c r="A1446" t="str">
        <f>"20200111160132673"</f>
        <v>20200111160132673</v>
      </c>
      <c r="B1446" t="str">
        <f>"1578729692662374"</f>
        <v>1578729692662374</v>
      </c>
      <c r="C1446" t="s">
        <v>37</v>
      </c>
      <c r="D1446">
        <v>5.3940019999999897</v>
      </c>
      <c r="E1446">
        <v>0.45893919999999999</v>
      </c>
      <c r="F1446" t="s">
        <v>59</v>
      </c>
      <c r="G1446">
        <v>-512.82569999999998</v>
      </c>
      <c r="H1446">
        <v>1.5839490000000001</v>
      </c>
      <c r="I1446">
        <v>266.96050000000002</v>
      </c>
      <c r="J1446">
        <v>-309.81310000000002</v>
      </c>
      <c r="K1446">
        <v>1.1056280000000001</v>
      </c>
      <c r="L1446">
        <v>286.08780000000002</v>
      </c>
      <c r="M1446">
        <v>-0.99988469999999996</v>
      </c>
      <c r="N1446">
        <v>0</v>
      </c>
      <c r="O1446">
        <v>-5.5428559999999997E-3</v>
      </c>
      <c r="P1446">
        <v>-0.99993840000000001</v>
      </c>
      <c r="Q1446">
        <v>-1.1092629999999999E-2</v>
      </c>
      <c r="R1446">
        <v>-6.0645580000000005E-4</v>
      </c>
      <c r="S1446">
        <v>-3.012146</v>
      </c>
      <c r="T1446">
        <v>6.9746969999999898E-3</v>
      </c>
      <c r="U1446">
        <v>-0.27847290000000002</v>
      </c>
      <c r="V1446">
        <v>4.9268580000000001E-3</v>
      </c>
      <c r="W1446">
        <v>3.06493E-3</v>
      </c>
      <c r="X1446">
        <v>0.99998319999999996</v>
      </c>
      <c r="Y1446">
        <v>-8.6535929999999997E-2</v>
      </c>
      <c r="Z1446" s="1">
        <v>8.7167000000000001E-5</v>
      </c>
      <c r="AA1446">
        <v>0.99624869999999899</v>
      </c>
      <c r="AB1446">
        <v>28</v>
      </c>
      <c r="AC1446">
        <v>-203.01259999999999</v>
      </c>
      <c r="AD1446">
        <v>0.478321</v>
      </c>
      <c r="AE1446">
        <v>-19.127299999999899</v>
      </c>
      <c r="AF1446">
        <v>-18.0015249854129</v>
      </c>
      <c r="AG1446">
        <v>0.478321</v>
      </c>
      <c r="AH1446">
        <v>203.11439359156199</v>
      </c>
      <c r="AI1446">
        <v>89.865599281210393</v>
      </c>
      <c r="AJ1446">
        <v>95.064749581104095</v>
      </c>
      <c r="AK1446">
        <v>203.911109498348</v>
      </c>
    </row>
    <row r="1447" spans="1:37" x14ac:dyDescent="0.2">
      <c r="A1447" t="str">
        <f>"20200111160132693"</f>
        <v>20200111160132693</v>
      </c>
      <c r="B1447" t="str">
        <f>"1578729692682869"</f>
        <v>1578729692682869</v>
      </c>
      <c r="C1447" t="s">
        <v>37</v>
      </c>
      <c r="D1447">
        <v>5.3323109999999998</v>
      </c>
      <c r="E1447">
        <v>0.46661540000000001</v>
      </c>
      <c r="F1447" t="s">
        <v>61</v>
      </c>
      <c r="G1447">
        <v>-456.08099999999899</v>
      </c>
      <c r="H1447">
        <v>1.025347</v>
      </c>
      <c r="I1447">
        <v>270.10610000000003</v>
      </c>
      <c r="J1447">
        <v>-310.07749999999999</v>
      </c>
      <c r="K1447">
        <v>1.1055680000000001</v>
      </c>
      <c r="L1447">
        <v>286.08460000000002</v>
      </c>
      <c r="M1447">
        <v>-0.99987539999999997</v>
      </c>
      <c r="N1447">
        <v>0</v>
      </c>
      <c r="O1447">
        <v>-7.038468E-3</v>
      </c>
      <c r="P1447">
        <v>-0.99995630000000002</v>
      </c>
      <c r="Q1447">
        <v>-7.6957359999999999E-3</v>
      </c>
      <c r="R1447">
        <v>-5.3503409999999998E-3</v>
      </c>
      <c r="S1447">
        <v>-3</v>
      </c>
      <c r="T1447">
        <v>-1.646399E-3</v>
      </c>
      <c r="U1447">
        <v>-0.32778930000000001</v>
      </c>
      <c r="V1447">
        <v>1.669212E-3</v>
      </c>
      <c r="W1447">
        <v>6.4475729999999998E-3</v>
      </c>
      <c r="X1447">
        <v>0.99997780000000003</v>
      </c>
      <c r="Y1447">
        <v>-0.1016164</v>
      </c>
      <c r="Z1447" s="1">
        <v>-2.394957E-5</v>
      </c>
      <c r="AA1447">
        <v>0.99482359999999903</v>
      </c>
      <c r="AB1447">
        <v>28</v>
      </c>
      <c r="AC1447">
        <v>-146.00349999999901</v>
      </c>
      <c r="AD1447">
        <v>-8.0221000000000098E-2</v>
      </c>
      <c r="AE1447">
        <v>-15.978499999999899</v>
      </c>
      <c r="AF1447">
        <v>-14.9503561090047</v>
      </c>
      <c r="AG1447">
        <v>-8.0221000000000098E-2</v>
      </c>
      <c r="AH1447">
        <v>146.11231452516901</v>
      </c>
      <c r="AI1447">
        <v>90.031294082094803</v>
      </c>
      <c r="AJ1447">
        <v>95.842228705379995</v>
      </c>
      <c r="AK1447">
        <v>146.87521247336699</v>
      </c>
    </row>
    <row r="1448" spans="1:37" x14ac:dyDescent="0.2">
      <c r="A1448" t="str">
        <f>"20200111160132716"</f>
        <v>20200111160132716</v>
      </c>
      <c r="B1448" t="str">
        <f>"1578729692702390"</f>
        <v>1578729692702390</v>
      </c>
      <c r="C1448" t="s">
        <v>37</v>
      </c>
      <c r="D1448">
        <v>5.282464</v>
      </c>
      <c r="E1448">
        <v>0.47173579999999998</v>
      </c>
      <c r="F1448" t="s">
        <v>57</v>
      </c>
      <c r="G1448">
        <v>-378.30529999999999</v>
      </c>
      <c r="H1448">
        <v>5.7438450000000002E-2</v>
      </c>
      <c r="I1448">
        <v>279.60890000000001</v>
      </c>
      <c r="J1448">
        <v>-310.36020000000002</v>
      </c>
      <c r="K1448">
        <v>1.105499</v>
      </c>
      <c r="L1448">
        <v>286.08080000000001</v>
      </c>
      <c r="M1448">
        <v>-0.99986359999999996</v>
      </c>
      <c r="N1448">
        <v>0</v>
      </c>
      <c r="O1448">
        <v>-8.5499530000000008E-3</v>
      </c>
      <c r="P1448">
        <v>-0.99993980000000005</v>
      </c>
      <c r="Q1448">
        <v>-5.4113210000000002E-3</v>
      </c>
      <c r="R1448">
        <v>-9.5575269999999997E-3</v>
      </c>
      <c r="S1448">
        <v>-2.998291</v>
      </c>
      <c r="T1448">
        <v>-4.6060320000000002E-2</v>
      </c>
      <c r="U1448">
        <v>-0.28457640000000001</v>
      </c>
      <c r="V1448">
        <v>-1.0316609999999999E-3</v>
      </c>
      <c r="W1448">
        <v>8.7191600000000001E-3</v>
      </c>
      <c r="X1448">
        <v>0.9999614</v>
      </c>
      <c r="Y1448">
        <v>-8.5963189999999995E-2</v>
      </c>
      <c r="Z1448">
        <v>-5.2773010000000005E-4</v>
      </c>
      <c r="AA1448">
        <v>0.99629820000000002</v>
      </c>
      <c r="AB1448">
        <v>28</v>
      </c>
      <c r="AC1448">
        <v>-67.945099999999897</v>
      </c>
      <c r="AD1448">
        <v>-1.04806055</v>
      </c>
      <c r="AE1448">
        <v>-6.4718999999999998</v>
      </c>
      <c r="AF1448">
        <v>-5.8892893122289198</v>
      </c>
      <c r="AG1448">
        <v>-1.04806055</v>
      </c>
      <c r="AH1448">
        <v>67.981926200660396</v>
      </c>
      <c r="AI1448">
        <v>90.879949669299407</v>
      </c>
      <c r="AJ1448">
        <v>94.951184874058896</v>
      </c>
      <c r="AK1448">
        <v>68.244592822227602</v>
      </c>
    </row>
    <row r="1449" spans="1:37" x14ac:dyDescent="0.2">
      <c r="A1449" t="str">
        <f>"20200111160132739"</f>
        <v>20200111160132739</v>
      </c>
      <c r="B1449" t="str">
        <f>"1578729692732646"</f>
        <v>1578729692732646</v>
      </c>
      <c r="C1449" t="s">
        <v>37</v>
      </c>
      <c r="D1449">
        <v>5.4476149999999999</v>
      </c>
      <c r="E1449">
        <v>0.4767479</v>
      </c>
      <c r="F1449" t="s">
        <v>57</v>
      </c>
      <c r="G1449">
        <v>-355.37939999999998</v>
      </c>
      <c r="H1449" s="1">
        <v>1.3258529999999899E-6</v>
      </c>
      <c r="I1449">
        <v>282.20159999999998</v>
      </c>
      <c r="J1449">
        <v>-310.64980000000003</v>
      </c>
      <c r="K1449">
        <v>1.1054280000000001</v>
      </c>
      <c r="L1449">
        <v>286.07670000000002</v>
      </c>
      <c r="M1449">
        <v>-0.99985020000000002</v>
      </c>
      <c r="N1449">
        <v>0</v>
      </c>
      <c r="O1449">
        <v>-9.9991049999999995E-3</v>
      </c>
      <c r="P1449">
        <v>-0.99990959999999995</v>
      </c>
      <c r="Q1449">
        <v>-4.9776569999999999E-3</v>
      </c>
      <c r="R1449">
        <v>-1.2479809999999999E-2</v>
      </c>
      <c r="S1449">
        <v>-2.9973139999999998</v>
      </c>
      <c r="T1449">
        <v>-7.3602559999999997E-2</v>
      </c>
      <c r="U1449">
        <v>-0.25827030000000001</v>
      </c>
      <c r="V1449">
        <v>-2.5045429999999902E-3</v>
      </c>
      <c r="W1449">
        <v>9.1444790000000005E-3</v>
      </c>
      <c r="X1449">
        <v>0.99995509999999999</v>
      </c>
      <c r="Y1449">
        <v>-7.5861929999999994E-2</v>
      </c>
      <c r="Z1449">
        <v>-6.8453329999999997E-4</v>
      </c>
      <c r="AA1449">
        <v>0.99711810000000001</v>
      </c>
      <c r="AB1449">
        <v>28</v>
      </c>
      <c r="AC1449">
        <v>-44.729599999999898</v>
      </c>
      <c r="AD1449">
        <v>-1.105426674147</v>
      </c>
      <c r="AE1449">
        <v>-3.87510000000003</v>
      </c>
      <c r="AF1449">
        <v>-3.42552904045337</v>
      </c>
      <c r="AG1449">
        <v>-1.105426674147</v>
      </c>
      <c r="AH1449">
        <v>44.738993632053301</v>
      </c>
      <c r="AI1449">
        <v>91.411267082365697</v>
      </c>
      <c r="AJ1449">
        <v>94.378421218051898</v>
      </c>
      <c r="AK1449">
        <v>44.883557886466797</v>
      </c>
    </row>
    <row r="1450" spans="1:37" x14ac:dyDescent="0.2">
      <c r="A1450" t="str">
        <f>"20200111160132761"</f>
        <v>20200111160132761</v>
      </c>
      <c r="B1450" t="str">
        <f>"1578729692753143"</f>
        <v>1578729692753143</v>
      </c>
      <c r="C1450" t="s">
        <v>37</v>
      </c>
      <c r="D1450">
        <v>5.3759160000000001</v>
      </c>
      <c r="E1450">
        <v>0.47916069999999999</v>
      </c>
      <c r="F1450" t="s">
        <v>57</v>
      </c>
      <c r="G1450">
        <v>-341.89640000000003</v>
      </c>
      <c r="H1450" s="1">
        <v>-5.2764100000000001E-7</v>
      </c>
      <c r="I1450">
        <v>283.68579999999997</v>
      </c>
      <c r="J1450">
        <v>-310.928</v>
      </c>
      <c r="K1450">
        <v>1.1053539999999999</v>
      </c>
      <c r="L1450">
        <v>286.07229999999998</v>
      </c>
      <c r="M1450">
        <v>-0.99983650000000002</v>
      </c>
      <c r="N1450">
        <v>0</v>
      </c>
      <c r="O1450">
        <v>-1.1287190000000001E-2</v>
      </c>
      <c r="P1450">
        <v>-0.99987689999999996</v>
      </c>
      <c r="Q1450">
        <v>-4.8554799999999997E-3</v>
      </c>
      <c r="R1450">
        <v>-1.4920589999999999E-2</v>
      </c>
      <c r="S1450">
        <v>-2.9968569999999999</v>
      </c>
      <c r="T1450">
        <v>-0.10602149999999901</v>
      </c>
      <c r="U1450">
        <v>-0.22930909999999999</v>
      </c>
      <c r="V1450">
        <v>-3.6560479999999999E-3</v>
      </c>
      <c r="W1450">
        <v>9.2598709999999994E-3</v>
      </c>
      <c r="X1450">
        <v>0.99995049999999996</v>
      </c>
      <c r="Y1450">
        <v>-6.4999860000000007E-2</v>
      </c>
      <c r="Z1450">
        <v>-7.4913639999999999E-4</v>
      </c>
      <c r="AA1450">
        <v>0.99788500000000002</v>
      </c>
      <c r="AB1450">
        <v>28</v>
      </c>
      <c r="AC1450">
        <v>-30.968399999999999</v>
      </c>
      <c r="AD1450">
        <v>-1.105354527641</v>
      </c>
      <c r="AE1450">
        <v>-2.3865000000000101</v>
      </c>
      <c r="AF1450">
        <v>-2.0341906070098901</v>
      </c>
      <c r="AG1450">
        <v>-1.105354527641</v>
      </c>
      <c r="AH1450">
        <v>30.954163959610302</v>
      </c>
      <c r="AI1450">
        <v>92.040730648959993</v>
      </c>
      <c r="AJ1450">
        <v>93.759855729056497</v>
      </c>
      <c r="AK1450">
        <v>31.0406186551728</v>
      </c>
    </row>
    <row r="1451" spans="1:37" x14ac:dyDescent="0.2">
      <c r="A1451" t="str">
        <f>"20200111160132783"</f>
        <v>20200111160132783</v>
      </c>
      <c r="B1451" t="str">
        <f>"1578729692772662"</f>
        <v>1578729692772662</v>
      </c>
      <c r="C1451" t="s">
        <v>37</v>
      </c>
      <c r="D1451">
        <v>5.2857059999999896</v>
      </c>
      <c r="E1451">
        <v>0.48138799999999998</v>
      </c>
      <c r="F1451" t="s">
        <v>57</v>
      </c>
      <c r="G1451">
        <v>-338.20440000000002</v>
      </c>
      <c r="H1451" s="1">
        <v>2.852377E-6</v>
      </c>
      <c r="I1451">
        <v>284.08580000000001</v>
      </c>
      <c r="J1451">
        <v>-311.1952</v>
      </c>
      <c r="K1451">
        <v>1.1052819999999901</v>
      </c>
      <c r="L1451">
        <v>286.06799999999998</v>
      </c>
      <c r="M1451">
        <v>-0.99982320000000002</v>
      </c>
      <c r="N1451">
        <v>0</v>
      </c>
      <c r="O1451">
        <v>-1.241841E-2</v>
      </c>
      <c r="P1451">
        <v>-0.99984390000000001</v>
      </c>
      <c r="Q1451">
        <v>-3.75589E-3</v>
      </c>
      <c r="R1451">
        <v>-1.7273E-2</v>
      </c>
      <c r="S1451">
        <v>-2.9964900000000001</v>
      </c>
      <c r="T1451">
        <v>-0.121430199999999</v>
      </c>
      <c r="U1451">
        <v>-0.21823119999999999</v>
      </c>
      <c r="V1451">
        <v>-4.8775889999999999E-3</v>
      </c>
      <c r="W1451">
        <v>1.0352729999999999E-2</v>
      </c>
      <c r="X1451">
        <v>0.99993449999999995</v>
      </c>
      <c r="Y1451">
        <v>-6.0205120000000001E-2</v>
      </c>
      <c r="Z1451">
        <v>-7.1541140000000003E-4</v>
      </c>
      <c r="AA1451">
        <v>0.99818580000000001</v>
      </c>
      <c r="AB1451">
        <v>28</v>
      </c>
      <c r="AC1451">
        <v>-27.0092</v>
      </c>
      <c r="AD1451">
        <v>-1.1052791476229999</v>
      </c>
      <c r="AE1451">
        <v>-1.98219999999997</v>
      </c>
      <c r="AF1451">
        <v>-1.6438642353875701</v>
      </c>
      <c r="AG1451">
        <v>-1.1052791476229999</v>
      </c>
      <c r="AH1451">
        <v>26.9867841521875</v>
      </c>
      <c r="AI1451">
        <v>92.340978830863307</v>
      </c>
      <c r="AJ1451">
        <v>93.485789513949598</v>
      </c>
      <c r="AK1451">
        <v>27.059387474503499</v>
      </c>
    </row>
    <row r="1452" spans="1:37" x14ac:dyDescent="0.2">
      <c r="A1452" t="str">
        <f>"20200111160132803"</f>
        <v>20200111160132803</v>
      </c>
      <c r="B1452" t="str">
        <f>"1578729692792181"</f>
        <v>1578729692792181</v>
      </c>
      <c r="C1452" t="s">
        <v>37</v>
      </c>
      <c r="D1452">
        <v>5.5343</v>
      </c>
      <c r="E1452">
        <v>0.48210890000000001</v>
      </c>
      <c r="F1452" t="s">
        <v>57</v>
      </c>
      <c r="G1452">
        <v>-336.45359999999999</v>
      </c>
      <c r="H1452" s="1">
        <v>1.9107190000000001E-6</v>
      </c>
      <c r="I1452">
        <v>284.31380000000001</v>
      </c>
      <c r="J1452">
        <v>-311.45890000000003</v>
      </c>
      <c r="K1452">
        <v>1.1052029999999999</v>
      </c>
      <c r="L1452">
        <v>286.06349999999998</v>
      </c>
      <c r="M1452">
        <v>-0.99981030000000004</v>
      </c>
      <c r="N1452">
        <v>0</v>
      </c>
      <c r="O1452">
        <v>-1.34243E-2</v>
      </c>
      <c r="P1452">
        <v>-0.99981059999999999</v>
      </c>
      <c r="Q1452">
        <v>-1.5279429999999999E-3</v>
      </c>
      <c r="R1452">
        <v>-1.9403199999999999E-2</v>
      </c>
      <c r="S1452">
        <v>-2.9963679999999999</v>
      </c>
      <c r="T1452">
        <v>-0.13111779999999901</v>
      </c>
      <c r="U1452">
        <v>-0.20809939999999999</v>
      </c>
      <c r="V1452">
        <v>-6.00460199999999E-3</v>
      </c>
      <c r="W1452">
        <v>1.257464E-2</v>
      </c>
      <c r="X1452">
        <v>0.99990290000000004</v>
      </c>
      <c r="Y1452">
        <v>-5.5843629999999998E-2</v>
      </c>
      <c r="Z1452">
        <v>-6.3335330000000001E-4</v>
      </c>
      <c r="AA1452">
        <v>0.99843930000000003</v>
      </c>
      <c r="AB1452">
        <v>28</v>
      </c>
      <c r="AC1452">
        <v>-24.994699999999899</v>
      </c>
      <c r="AD1452">
        <v>-1.105201089281</v>
      </c>
      <c r="AE1452">
        <v>-1.7496999999999601</v>
      </c>
      <c r="AF1452">
        <v>-1.4112267883954901</v>
      </c>
      <c r="AG1452">
        <v>-1.105201089281</v>
      </c>
      <c r="AH1452">
        <v>24.967360481743899</v>
      </c>
      <c r="AI1452">
        <v>92.530557105754497</v>
      </c>
      <c r="AJ1452">
        <v>93.235079457101094</v>
      </c>
      <c r="AK1452">
        <v>25.031622398905402</v>
      </c>
    </row>
    <row r="1453" spans="1:37" x14ac:dyDescent="0.2">
      <c r="A1453" t="str">
        <f>"20200111160132827"</f>
        <v>20200111160132827</v>
      </c>
      <c r="B1453" t="str">
        <f>"1578729692822438"</f>
        <v>1578729692822438</v>
      </c>
      <c r="C1453" t="s">
        <v>37</v>
      </c>
      <c r="D1453">
        <v>5.4752479999999997</v>
      </c>
      <c r="E1453">
        <v>0.480137799999999</v>
      </c>
      <c r="F1453" t="s">
        <v>57</v>
      </c>
      <c r="G1453">
        <v>-337.95330000000001</v>
      </c>
      <c r="H1453" s="1">
        <v>2.7129689999999999E-6</v>
      </c>
      <c r="I1453">
        <v>284.21850000000001</v>
      </c>
      <c r="J1453">
        <v>-311.74829999999997</v>
      </c>
      <c r="K1453">
        <v>1.1051040000000001</v>
      </c>
      <c r="L1453">
        <v>286.05840000000001</v>
      </c>
      <c r="M1453">
        <v>-0.99979680000000004</v>
      </c>
      <c r="N1453">
        <v>0</v>
      </c>
      <c r="O1453">
        <v>-1.439937E-2</v>
      </c>
      <c r="P1453">
        <v>-0.99973939999999994</v>
      </c>
      <c r="Q1453">
        <v>8.1836799999999998E-4</v>
      </c>
      <c r="R1453">
        <v>-2.2812720000000002E-2</v>
      </c>
      <c r="S1453">
        <v>-2.9963069999999998</v>
      </c>
      <c r="T1453">
        <v>-0.1249893</v>
      </c>
      <c r="U1453">
        <v>-0.20864869999999999</v>
      </c>
      <c r="V1453">
        <v>-8.4402350000000008E-3</v>
      </c>
      <c r="W1453">
        <v>1.491283E-2</v>
      </c>
      <c r="X1453">
        <v>0.999853199999999</v>
      </c>
      <c r="Y1453">
        <v>-5.5058650000000001E-2</v>
      </c>
      <c r="Z1453">
        <v>-5.4684030000000004E-4</v>
      </c>
      <c r="AA1453">
        <v>0.99848289999999995</v>
      </c>
      <c r="AB1453">
        <v>28</v>
      </c>
      <c r="AC1453">
        <v>-26.204999999999998</v>
      </c>
      <c r="AD1453">
        <v>-1.105101287031</v>
      </c>
      <c r="AE1453">
        <v>-1.8399000000000001</v>
      </c>
      <c r="AF1453">
        <v>-1.4597528358506799</v>
      </c>
      <c r="AG1453">
        <v>-1.105101287031</v>
      </c>
      <c r="AH1453">
        <v>26.182443534430998</v>
      </c>
      <c r="AI1453">
        <v>92.413146593674597</v>
      </c>
      <c r="AJ1453">
        <v>93.191114600089094</v>
      </c>
      <c r="AK1453">
        <v>26.2463802576668</v>
      </c>
    </row>
    <row r="1454" spans="1:37" x14ac:dyDescent="0.2">
      <c r="A1454" t="str">
        <f>"20200111160132850"</f>
        <v>20200111160132850</v>
      </c>
      <c r="B1454" t="str">
        <f>"1578729692842935"</f>
        <v>1578729692842935</v>
      </c>
      <c r="C1454" t="s">
        <v>37</v>
      </c>
      <c r="D1454">
        <v>5.4040089999999896</v>
      </c>
      <c r="E1454">
        <v>0.47842249999999997</v>
      </c>
      <c r="F1454" t="s">
        <v>57</v>
      </c>
      <c r="G1454">
        <v>-338.13279999999997</v>
      </c>
      <c r="H1454" s="1">
        <v>2.818471E-6</v>
      </c>
      <c r="I1454">
        <v>283.98919999999998</v>
      </c>
      <c r="J1454">
        <v>-312.0301</v>
      </c>
      <c r="K1454">
        <v>1.105019</v>
      </c>
      <c r="L1454">
        <v>286.05329999999998</v>
      </c>
      <c r="M1454">
        <v>-0.99978489999999998</v>
      </c>
      <c r="N1454">
        <v>0</v>
      </c>
      <c r="O1454">
        <v>-1.5202810000000001E-2</v>
      </c>
      <c r="P1454">
        <v>-0.99963939999999996</v>
      </c>
      <c r="Q1454">
        <v>4.39343799999999E-3</v>
      </c>
      <c r="R1454">
        <v>-2.6494070000000002E-2</v>
      </c>
      <c r="S1454">
        <v>-2.995514</v>
      </c>
      <c r="T1454">
        <v>-0.12546579999999999</v>
      </c>
      <c r="U1454">
        <v>-0.2349243</v>
      </c>
      <c r="V1454">
        <v>-1.1320149999999999E-2</v>
      </c>
      <c r="W1454">
        <v>1.8479550000000001E-2</v>
      </c>
      <c r="X1454">
        <v>0.99976520000000002</v>
      </c>
      <c r="Y1454">
        <v>-6.2976879999999999E-2</v>
      </c>
      <c r="Z1454">
        <v>-6.8082349999999995E-4</v>
      </c>
      <c r="AA1454">
        <v>0.99801469999999903</v>
      </c>
      <c r="AB1454">
        <v>28</v>
      </c>
      <c r="AC1454">
        <v>-26.102699999999899</v>
      </c>
      <c r="AD1454">
        <v>-1.1050161815290001</v>
      </c>
      <c r="AE1454">
        <v>-2.0640999999999901</v>
      </c>
      <c r="AF1454">
        <v>-1.66402392613066</v>
      </c>
      <c r="AG1454">
        <v>-1.1050161815290001</v>
      </c>
      <c r="AH1454">
        <v>26.0846097833454</v>
      </c>
      <c r="AI1454">
        <v>92.420842176131302</v>
      </c>
      <c r="AJ1454">
        <v>93.650141982028003</v>
      </c>
      <c r="AK1454">
        <v>26.160980561469302</v>
      </c>
    </row>
    <row r="1455" spans="1:37" x14ac:dyDescent="0.2">
      <c r="A1455" t="str">
        <f>"20200111160132872"</f>
        <v>20200111160132872</v>
      </c>
      <c r="B1455" t="str">
        <f>"1578729692862453"</f>
        <v>1578729692862453</v>
      </c>
      <c r="C1455" t="s">
        <v>37</v>
      </c>
      <c r="D1455">
        <v>5.6124650000000003</v>
      </c>
      <c r="E1455">
        <v>0.47684870000000001</v>
      </c>
      <c r="F1455" t="s">
        <v>57</v>
      </c>
      <c r="G1455">
        <v>-339.39269999999999</v>
      </c>
      <c r="H1455" s="1">
        <v>3.502624E-6</v>
      </c>
      <c r="I1455">
        <v>283.67649999999998</v>
      </c>
      <c r="J1455">
        <v>-312.30090000000001</v>
      </c>
      <c r="K1455">
        <v>1.104943</v>
      </c>
      <c r="L1455">
        <v>286.04829999999998</v>
      </c>
      <c r="M1455">
        <v>-0.99977530000000003</v>
      </c>
      <c r="N1455">
        <v>0</v>
      </c>
      <c r="O1455">
        <v>-1.583091E-2</v>
      </c>
      <c r="P1455">
        <v>-0.99939469999999997</v>
      </c>
      <c r="Q1455">
        <v>1.2930550000000001E-2</v>
      </c>
      <c r="R1455">
        <v>-3.2298529999999999E-2</v>
      </c>
      <c r="S1455">
        <v>-2.99472</v>
      </c>
      <c r="T1455">
        <v>-0.12093909999999999</v>
      </c>
      <c r="U1455">
        <v>-0.26013179999999902</v>
      </c>
      <c r="V1455">
        <v>-1.650592E-2</v>
      </c>
      <c r="W1455">
        <v>2.700603E-2</v>
      </c>
      <c r="X1455">
        <v>0.99949900000000003</v>
      </c>
      <c r="Y1455">
        <v>-7.0709300000000003E-2</v>
      </c>
      <c r="Z1455">
        <v>-7.8671449999999897E-4</v>
      </c>
      <c r="AA1455">
        <v>0.99749669999999901</v>
      </c>
      <c r="AB1455">
        <v>28</v>
      </c>
      <c r="AC1455">
        <v>-27.0917999999999</v>
      </c>
      <c r="AD1455">
        <v>-1.1049394973760001</v>
      </c>
      <c r="AE1455">
        <v>-2.3717999999999999</v>
      </c>
      <c r="AF1455">
        <v>-1.9393707979332599</v>
      </c>
      <c r="AG1455">
        <v>-1.1049394973760001</v>
      </c>
      <c r="AH1455">
        <v>27.0812509632967</v>
      </c>
      <c r="AI1455">
        <v>92.330462077091397</v>
      </c>
      <c r="AJ1455">
        <v>94.096132449761399</v>
      </c>
      <c r="AK1455">
        <v>27.173078664770301</v>
      </c>
    </row>
    <row r="1456" spans="1:37" x14ac:dyDescent="0.2">
      <c r="A1456" t="str">
        <f>"20200111160132893"</f>
        <v>20200111160132893</v>
      </c>
      <c r="B1456" t="str">
        <f>"1578729692882950"</f>
        <v>1578729692882950</v>
      </c>
      <c r="C1456" t="s">
        <v>37</v>
      </c>
      <c r="D1456">
        <v>5.3769819999999999</v>
      </c>
      <c r="E1456">
        <v>0.47589140000000002</v>
      </c>
      <c r="F1456" t="s">
        <v>57</v>
      </c>
      <c r="G1456">
        <v>-345.3784</v>
      </c>
      <c r="H1456" s="1">
        <v>1.3253419999999999E-6</v>
      </c>
      <c r="I1456">
        <v>282.83730000000003</v>
      </c>
      <c r="J1456">
        <v>-312.5659</v>
      </c>
      <c r="K1456">
        <v>1.104876</v>
      </c>
      <c r="L1456">
        <v>286.04349999999999</v>
      </c>
      <c r="M1456">
        <v>-0.99976719999999897</v>
      </c>
      <c r="N1456">
        <v>0</v>
      </c>
      <c r="O1456">
        <v>-1.6339619999999999E-2</v>
      </c>
      <c r="P1456">
        <v>-0.99908639999999904</v>
      </c>
      <c r="Q1456">
        <v>2.0024610000000002E-2</v>
      </c>
      <c r="R1456">
        <v>-3.7759250000000001E-2</v>
      </c>
      <c r="S1456">
        <v>-2.9937130000000001</v>
      </c>
      <c r="T1456">
        <v>-0.100003699999999</v>
      </c>
      <c r="U1456">
        <v>-0.29061890000000001</v>
      </c>
      <c r="V1456">
        <v>-2.1463389999999999E-2</v>
      </c>
      <c r="W1456">
        <v>3.4090420000000003E-2</v>
      </c>
      <c r="X1456">
        <v>0.99918819999999997</v>
      </c>
      <c r="Y1456">
        <v>-8.0309169999999999E-2</v>
      </c>
      <c r="Z1456">
        <v>-7.9351520000000002E-4</v>
      </c>
      <c r="AA1456">
        <v>0.99676969999999998</v>
      </c>
      <c r="AB1456">
        <v>28</v>
      </c>
      <c r="AC1456">
        <v>-32.8125</v>
      </c>
      <c r="AD1456">
        <v>-1.104874674658</v>
      </c>
      <c r="AE1456">
        <v>-3.20619999999996</v>
      </c>
      <c r="AF1456">
        <v>-2.6665800170148199</v>
      </c>
      <c r="AG1456">
        <v>-1.104874674658</v>
      </c>
      <c r="AH1456">
        <v>32.823647520423897</v>
      </c>
      <c r="AI1456">
        <v>91.921575723829804</v>
      </c>
      <c r="AJ1456">
        <v>94.6444864952052</v>
      </c>
      <c r="AK1456">
        <v>32.9503146203322</v>
      </c>
    </row>
    <row r="1457" spans="1:37" x14ac:dyDescent="0.2">
      <c r="A1457" t="str">
        <f>"20200111160132917"</f>
        <v>20200111160132917</v>
      </c>
      <c r="B1457" t="str">
        <f>"1578729692912230"</f>
        <v>1578729692912230</v>
      </c>
      <c r="C1457" t="s">
        <v>37</v>
      </c>
      <c r="D1457">
        <v>5.5397150000000002</v>
      </c>
      <c r="E1457">
        <v>0.47482849999999999</v>
      </c>
      <c r="F1457" t="s">
        <v>57</v>
      </c>
      <c r="G1457">
        <v>-352.47719999999998</v>
      </c>
      <c r="H1457" s="1">
        <v>-2.185305E-7</v>
      </c>
      <c r="I1457">
        <v>281.84190000000001</v>
      </c>
      <c r="J1457">
        <v>-312.85399999999998</v>
      </c>
      <c r="K1457">
        <v>1.1048169999999999</v>
      </c>
      <c r="L1457">
        <v>286.03820000000002</v>
      </c>
      <c r="M1457">
        <v>-0.99975990000000003</v>
      </c>
      <c r="N1457">
        <v>0</v>
      </c>
      <c r="O1457">
        <v>-1.6775829999999999E-2</v>
      </c>
      <c r="P1457">
        <v>-0.99866860000000002</v>
      </c>
      <c r="Q1457">
        <v>2.5506620000000001E-2</v>
      </c>
      <c r="R1457">
        <v>-4.4839879999999999E-2</v>
      </c>
      <c r="S1457">
        <v>-2.9924930000000001</v>
      </c>
      <c r="T1457">
        <v>-8.2842109999999997E-2</v>
      </c>
      <c r="U1457">
        <v>-0.31503300000000001</v>
      </c>
      <c r="V1457">
        <v>-2.8111299999999999E-2</v>
      </c>
      <c r="W1457">
        <v>3.9562220000000002E-2</v>
      </c>
      <c r="X1457">
        <v>0.99882159999999998</v>
      </c>
      <c r="Y1457">
        <v>-8.7968889999999994E-2</v>
      </c>
      <c r="Z1457">
        <v>-7.5107869999999999E-4</v>
      </c>
      <c r="AA1457">
        <v>0.99612299999999998</v>
      </c>
      <c r="AB1457">
        <v>28</v>
      </c>
      <c r="AC1457">
        <v>-39.623199999999898</v>
      </c>
      <c r="AD1457">
        <v>-1.1048172185304901</v>
      </c>
      <c r="AE1457">
        <v>-4.1962999999999999</v>
      </c>
      <c r="AF1457">
        <v>-3.52821859350929</v>
      </c>
      <c r="AG1457">
        <v>-1.1048172185304901</v>
      </c>
      <c r="AH1457">
        <v>39.657535927358097</v>
      </c>
      <c r="AI1457">
        <v>91.589512386696498</v>
      </c>
      <c r="AJ1457">
        <v>95.084057635054705</v>
      </c>
      <c r="AK1457">
        <v>39.829500415642201</v>
      </c>
    </row>
    <row r="1458" spans="1:37" x14ac:dyDescent="0.2">
      <c r="A1458" t="str">
        <f>"20200111160132939"</f>
        <v>20200111160132939</v>
      </c>
      <c r="B1458" t="str">
        <f>"1578729692932726"</f>
        <v>1578729692932726</v>
      </c>
      <c r="C1458" t="s">
        <v>37</v>
      </c>
      <c r="D1458">
        <v>5.6386180000000001</v>
      </c>
      <c r="E1458">
        <v>0.47452870000000003</v>
      </c>
      <c r="F1458" t="s">
        <v>57</v>
      </c>
      <c r="G1458">
        <v>-356.60820000000001</v>
      </c>
      <c r="H1458" s="1">
        <v>1.97975799999999E-6</v>
      </c>
      <c r="I1458">
        <v>280.97770000000003</v>
      </c>
      <c r="J1458">
        <v>-313.13549999999998</v>
      </c>
      <c r="K1458">
        <v>1.1047450000000001</v>
      </c>
      <c r="L1458">
        <v>286.03300000000002</v>
      </c>
      <c r="M1458">
        <v>-0.999754699999999</v>
      </c>
      <c r="N1458">
        <v>0</v>
      </c>
      <c r="O1458">
        <v>-1.708989E-2</v>
      </c>
      <c r="P1458">
        <v>-0.99833019999999995</v>
      </c>
      <c r="Q1458">
        <v>2.7540180000000001E-2</v>
      </c>
      <c r="R1458">
        <v>-5.0778509999999999E-2</v>
      </c>
      <c r="S1458">
        <v>-2.9903559999999998</v>
      </c>
      <c r="T1458">
        <v>-7.5508000000000006E-2</v>
      </c>
      <c r="U1458">
        <v>-0.34585569999999999</v>
      </c>
      <c r="V1458">
        <v>-3.3734279999999998E-2</v>
      </c>
      <c r="W1458">
        <v>4.1589960000000002E-2</v>
      </c>
      <c r="X1458">
        <v>0.99856509999999998</v>
      </c>
      <c r="Y1458">
        <v>-9.7870579999999999E-2</v>
      </c>
      <c r="Z1458">
        <v>-8.0139350000000002E-4</v>
      </c>
      <c r="AA1458">
        <v>0.99519880000000005</v>
      </c>
      <c r="AB1458">
        <v>28</v>
      </c>
      <c r="AC1458">
        <v>-43.472700000000003</v>
      </c>
      <c r="AD1458">
        <v>-1.1047430202420001</v>
      </c>
      <c r="AE1458">
        <v>-5.0552999999999804</v>
      </c>
      <c r="AF1458">
        <v>-4.3087987223482296</v>
      </c>
      <c r="AG1458">
        <v>-1.1047430202420001</v>
      </c>
      <c r="AH1458">
        <v>43.5250200873854</v>
      </c>
      <c r="AI1458">
        <v>91.446887826691906</v>
      </c>
      <c r="AJ1458">
        <v>95.653626654315104</v>
      </c>
      <c r="AK1458">
        <v>43.751726562248798</v>
      </c>
    </row>
    <row r="1459" spans="1:37" x14ac:dyDescent="0.2">
      <c r="A1459" t="str">
        <f>"20200111160132962"</f>
        <v>20200111160132962</v>
      </c>
      <c r="B1459" t="str">
        <f>"1578729692952245"</f>
        <v>1578729692952245</v>
      </c>
      <c r="C1459" t="s">
        <v>37</v>
      </c>
      <c r="D1459">
        <v>5.4181679999999997</v>
      </c>
      <c r="E1459">
        <v>0.47427239999999998</v>
      </c>
      <c r="F1459" t="s">
        <v>57</v>
      </c>
      <c r="G1459">
        <v>-356.61750000000001</v>
      </c>
      <c r="H1459" s="1">
        <v>1.9846960000000001E-6</v>
      </c>
      <c r="I1459">
        <v>280.69529999999997</v>
      </c>
      <c r="J1459">
        <v>-313.42189999999999</v>
      </c>
      <c r="K1459">
        <v>1.10467</v>
      </c>
      <c r="L1459">
        <v>286.02769999999998</v>
      </c>
      <c r="M1459">
        <v>-0.99975119999999895</v>
      </c>
      <c r="N1459">
        <v>0</v>
      </c>
      <c r="O1459">
        <v>-1.730226E-2</v>
      </c>
      <c r="P1459">
        <v>-0.99807539999999995</v>
      </c>
      <c r="Q1459">
        <v>2.7178219999999999E-2</v>
      </c>
      <c r="R1459">
        <v>-5.5740869999999998E-2</v>
      </c>
      <c r="S1459">
        <v>-2.988464</v>
      </c>
      <c r="T1459">
        <v>-7.5927729999999999E-2</v>
      </c>
      <c r="U1459">
        <v>-0.36685180000000001</v>
      </c>
      <c r="V1459">
        <v>-3.8479800000000002E-2</v>
      </c>
      <c r="W1459">
        <v>4.1226449999999998E-2</v>
      </c>
      <c r="X1459">
        <v>0.99840859999999998</v>
      </c>
      <c r="Y1459">
        <v>-0.1046203</v>
      </c>
      <c r="Z1459">
        <v>-8.8606519999999997E-4</v>
      </c>
      <c r="AA1459">
        <v>0.99451179999999995</v>
      </c>
      <c r="AB1459">
        <v>28</v>
      </c>
      <c r="AC1459">
        <v>-43.195599999999999</v>
      </c>
      <c r="AD1459">
        <v>-1.1046680153039901</v>
      </c>
      <c r="AE1459">
        <v>-5.3323999999999998</v>
      </c>
      <c r="AF1459">
        <v>-4.5811948649016401</v>
      </c>
      <c r="AG1459">
        <v>-1.1046680153039901</v>
      </c>
      <c r="AH1459">
        <v>43.253540620021298</v>
      </c>
      <c r="AI1459">
        <v>91.454845948547998</v>
      </c>
      <c r="AJ1459">
        <v>96.045936860804304</v>
      </c>
      <c r="AK1459">
        <v>43.509497974374199</v>
      </c>
    </row>
    <row r="1460" spans="1:37" x14ac:dyDescent="0.2">
      <c r="A1460" t="str">
        <f>"20200111160132983"</f>
        <v>20200111160132983</v>
      </c>
      <c r="B1460" t="str">
        <f>"1578729692972742"</f>
        <v>1578729692972742</v>
      </c>
      <c r="C1460" t="s">
        <v>37</v>
      </c>
      <c r="D1460">
        <v>5.5167979999999996</v>
      </c>
      <c r="E1460">
        <v>0.47413339999999998</v>
      </c>
      <c r="F1460" t="s">
        <v>57</v>
      </c>
      <c r="G1460">
        <v>-352.6429</v>
      </c>
      <c r="H1460" s="1">
        <v>-1.3034750000000001E-7</v>
      </c>
      <c r="I1460">
        <v>280.98050000000001</v>
      </c>
      <c r="J1460">
        <v>-313.67469999999997</v>
      </c>
      <c r="K1460">
        <v>1.1046069999999999</v>
      </c>
      <c r="L1460">
        <v>286.02319999999997</v>
      </c>
      <c r="M1460">
        <v>-0.99974940000000001</v>
      </c>
      <c r="N1460">
        <v>0</v>
      </c>
      <c r="O1460">
        <v>-1.740997E-2</v>
      </c>
      <c r="P1460">
        <v>-0.99783759999999999</v>
      </c>
      <c r="Q1460">
        <v>2.7505990000000001E-2</v>
      </c>
      <c r="R1460">
        <v>-5.9695709999999999E-2</v>
      </c>
      <c r="S1460">
        <v>-2.9866029999999899</v>
      </c>
      <c r="T1460">
        <v>-8.4118490000000004E-2</v>
      </c>
      <c r="U1460">
        <v>-0.38433840000000002</v>
      </c>
      <c r="V1460">
        <v>-4.2323739999999999E-2</v>
      </c>
      <c r="W1460">
        <v>4.155375E-2</v>
      </c>
      <c r="X1460">
        <v>0.99823949999999995</v>
      </c>
      <c r="Y1460">
        <v>-0.11031009999999999</v>
      </c>
      <c r="Z1460">
        <v>-1.0586339999999999E-3</v>
      </c>
      <c r="AA1460">
        <v>0.99389669999999897</v>
      </c>
      <c r="AB1460">
        <v>28</v>
      </c>
      <c r="AC1460">
        <v>-38.968200000000003</v>
      </c>
      <c r="AD1460">
        <v>-1.10460713034749</v>
      </c>
      <c r="AE1460">
        <v>-5.04269999999996</v>
      </c>
      <c r="AF1460">
        <v>-4.3599875496490901</v>
      </c>
      <c r="AG1460">
        <v>-1.10460713034749</v>
      </c>
      <c r="AH1460">
        <v>39.019258309641302</v>
      </c>
      <c r="AI1460">
        <v>91.611545127934605</v>
      </c>
      <c r="AJ1460">
        <v>96.375747191731094</v>
      </c>
      <c r="AK1460">
        <v>39.277629350306</v>
      </c>
    </row>
    <row r="1461" spans="1:37" x14ac:dyDescent="0.2">
      <c r="A1461" t="str">
        <f>"20200111160133005"</f>
        <v>20200111160133005</v>
      </c>
      <c r="B1461" t="str">
        <f>"1578729693002999"</f>
        <v>1578729693002999</v>
      </c>
      <c r="C1461" t="s">
        <v>37</v>
      </c>
      <c r="D1461">
        <v>5.4558309999999999</v>
      </c>
      <c r="E1461">
        <v>0.47425</v>
      </c>
      <c r="F1461" t="s">
        <v>57</v>
      </c>
      <c r="G1461">
        <v>-350.15629999999999</v>
      </c>
      <c r="H1461" s="1">
        <v>-1.4536149999999999E-6</v>
      </c>
      <c r="I1461">
        <v>281.16320000000002</v>
      </c>
      <c r="J1461">
        <v>-313.9502</v>
      </c>
      <c r="K1461">
        <v>1.1045419999999999</v>
      </c>
      <c r="L1461">
        <v>286.01819999999998</v>
      </c>
      <c r="M1461">
        <v>-0.99974830000000003</v>
      </c>
      <c r="N1461">
        <v>0</v>
      </c>
      <c r="O1461">
        <v>-1.7462780000000001E-2</v>
      </c>
      <c r="P1461">
        <v>-0.9976853</v>
      </c>
      <c r="Q1461">
        <v>2.7906009999999998E-2</v>
      </c>
      <c r="R1461">
        <v>-6.2011719999999999E-2</v>
      </c>
      <c r="S1461">
        <v>-2.9851990000000002</v>
      </c>
      <c r="T1461">
        <v>-9.0387229999999999E-2</v>
      </c>
      <c r="U1461">
        <v>-0.39767459999999999</v>
      </c>
      <c r="V1461">
        <v>-4.4582450000000003E-2</v>
      </c>
      <c r="W1461">
        <v>4.1954430000000001E-2</v>
      </c>
      <c r="X1461">
        <v>0.99812440000000002</v>
      </c>
      <c r="Y1461">
        <v>-0.11467339999999999</v>
      </c>
      <c r="Z1461">
        <v>-1.2018599999999999E-3</v>
      </c>
      <c r="AA1461">
        <v>0.99340249999999997</v>
      </c>
      <c r="AB1461">
        <v>28</v>
      </c>
      <c r="AC1461">
        <v>-36.2060999999999</v>
      </c>
      <c r="AD1461">
        <v>-1.1045434536149901</v>
      </c>
      <c r="AE1461">
        <v>-4.8549999999999596</v>
      </c>
      <c r="AF1461">
        <v>-4.2180812908725098</v>
      </c>
      <c r="AG1461">
        <v>-1.1045434536149901</v>
      </c>
      <c r="AH1461">
        <v>36.252224787692398</v>
      </c>
      <c r="AI1461">
        <v>91.733477367203804</v>
      </c>
      <c r="AJ1461">
        <v>96.636734785730695</v>
      </c>
      <c r="AK1461">
        <v>36.513504735573001</v>
      </c>
    </row>
    <row r="1462" spans="1:37" x14ac:dyDescent="0.2">
      <c r="A1462" t="str">
        <f>"20200111160133028"</f>
        <v>20200111160133028</v>
      </c>
      <c r="B1462" t="str">
        <f>"1578729693022518"</f>
        <v>1578729693022518</v>
      </c>
      <c r="C1462" t="s">
        <v>37</v>
      </c>
      <c r="D1462">
        <v>5.3182210000000003</v>
      </c>
      <c r="E1462">
        <v>0.47458929999999999</v>
      </c>
      <c r="F1462" t="s">
        <v>57</v>
      </c>
      <c r="G1462">
        <v>-346.99279999999999</v>
      </c>
      <c r="H1462" s="1">
        <v>2.184447E-6</v>
      </c>
      <c r="I1462">
        <v>281.54640000000001</v>
      </c>
      <c r="J1462">
        <v>-314.23070000000001</v>
      </c>
      <c r="K1462">
        <v>1.10449</v>
      </c>
      <c r="L1462">
        <v>286.01330000000002</v>
      </c>
      <c r="M1462">
        <v>-0.99974869999999905</v>
      </c>
      <c r="N1462">
        <v>0</v>
      </c>
      <c r="O1462">
        <v>-1.7456699999999999E-2</v>
      </c>
      <c r="P1462">
        <v>-0.99766499999999902</v>
      </c>
      <c r="Q1462">
        <v>2.8842759999999999E-2</v>
      </c>
      <c r="R1462">
        <v>-6.191083E-2</v>
      </c>
      <c r="S1462">
        <v>-2.98468</v>
      </c>
      <c r="T1462">
        <v>-9.9771020000000002E-2</v>
      </c>
      <c r="U1462">
        <v>-0.40393069999999998</v>
      </c>
      <c r="V1462">
        <v>-4.4482630000000002E-2</v>
      </c>
      <c r="W1462">
        <v>4.2892949999999999E-2</v>
      </c>
      <c r="X1462">
        <v>0.99808889999999995</v>
      </c>
      <c r="Y1462">
        <v>-0.11673650000000001</v>
      </c>
      <c r="Z1462">
        <v>-1.3611350000000001E-3</v>
      </c>
      <c r="AA1462">
        <v>0.99316199999999999</v>
      </c>
      <c r="AB1462">
        <v>28</v>
      </c>
      <c r="AC1462">
        <v>-32.762099999999897</v>
      </c>
      <c r="AD1462">
        <v>-1.104487815553</v>
      </c>
      <c r="AE1462">
        <v>-4.4669000000000096</v>
      </c>
      <c r="AF1462">
        <v>-3.8899041943678601</v>
      </c>
      <c r="AG1462">
        <v>-1.104487815553</v>
      </c>
      <c r="AH1462">
        <v>32.798495819872699</v>
      </c>
      <c r="AI1462">
        <v>91.915290789666102</v>
      </c>
      <c r="AJ1462">
        <v>96.763689421073906</v>
      </c>
      <c r="AK1462">
        <v>33.046823992969003</v>
      </c>
    </row>
    <row r="1463" spans="1:37" x14ac:dyDescent="0.2">
      <c r="A1463" t="str">
        <f>"20200111160133051"</f>
        <v>20200111160133051</v>
      </c>
      <c r="B1463" t="str">
        <f>"1578729693043013"</f>
        <v>1578729693043013</v>
      </c>
      <c r="C1463" t="s">
        <v>37</v>
      </c>
      <c r="D1463">
        <v>5.2288990000000002</v>
      </c>
      <c r="E1463">
        <v>0.48930479999999998</v>
      </c>
      <c r="F1463" t="s">
        <v>57</v>
      </c>
      <c r="G1463">
        <v>-346.12869999999998</v>
      </c>
      <c r="H1463" s="1">
        <v>1.7245749999999999E-6</v>
      </c>
      <c r="I1463">
        <v>281.72609999999997</v>
      </c>
      <c r="J1463">
        <v>-314.51260000000002</v>
      </c>
      <c r="K1463">
        <v>1.104452</v>
      </c>
      <c r="L1463">
        <v>286.00839999999999</v>
      </c>
      <c r="M1463">
        <v>-0.99974989999999997</v>
      </c>
      <c r="N1463">
        <v>0</v>
      </c>
      <c r="O1463">
        <v>-1.738669E-2</v>
      </c>
      <c r="P1463">
        <v>-0.99772039999999995</v>
      </c>
      <c r="Q1463">
        <v>2.9308480000000001E-2</v>
      </c>
      <c r="R1463">
        <v>-6.0787960000000002E-2</v>
      </c>
      <c r="S1463">
        <v>-2.9851380000000001</v>
      </c>
      <c r="T1463">
        <v>-0.1033626</v>
      </c>
      <c r="U1463">
        <v>-0.40121459999999998</v>
      </c>
      <c r="V1463">
        <v>-4.3424230000000001E-2</v>
      </c>
      <c r="W1463">
        <v>4.3359809999999999E-2</v>
      </c>
      <c r="X1463">
        <v>0.99811539999999999</v>
      </c>
      <c r="Y1463">
        <v>-0.115894699999999</v>
      </c>
      <c r="Z1463">
        <v>-1.3978809999999999E-3</v>
      </c>
      <c r="AA1463">
        <v>0.99326049999999999</v>
      </c>
      <c r="AB1463">
        <v>28</v>
      </c>
      <c r="AC1463">
        <v>-31.6160999999999</v>
      </c>
      <c r="AD1463">
        <v>-1.1044502754250001</v>
      </c>
      <c r="AE1463">
        <v>-4.2823000000000198</v>
      </c>
      <c r="AF1463">
        <v>-3.7274321105763302</v>
      </c>
      <c r="AG1463">
        <v>-1.1044502754250001</v>
      </c>
      <c r="AH1463">
        <v>31.647857428107901</v>
      </c>
      <c r="AI1463">
        <v>91.984993893927097</v>
      </c>
      <c r="AJ1463">
        <v>96.717255861236197</v>
      </c>
      <c r="AK1463">
        <v>31.885740391900701</v>
      </c>
    </row>
    <row r="1464" spans="1:37" x14ac:dyDescent="0.2">
      <c r="A1464" t="str">
        <f>"20200111160133073"</f>
        <v>20200111160133073</v>
      </c>
      <c r="B1464" t="str">
        <f>"1578729693062533"</f>
        <v>1578729693062533</v>
      </c>
      <c r="C1464" t="s">
        <v>37</v>
      </c>
      <c r="D1464">
        <v>5.1915180000000003</v>
      </c>
      <c r="E1464">
        <v>0.48863190000000001</v>
      </c>
      <c r="F1464" t="s">
        <v>57</v>
      </c>
      <c r="G1464">
        <v>-329.70420000000001</v>
      </c>
      <c r="H1464" s="1">
        <v>3.630269E-6</v>
      </c>
      <c r="I1464">
        <v>284.54840000000002</v>
      </c>
      <c r="J1464">
        <v>-314.78059999999999</v>
      </c>
      <c r="K1464">
        <v>1.1044129999999901</v>
      </c>
      <c r="L1464">
        <v>286.00380000000001</v>
      </c>
      <c r="M1464">
        <v>-0.99975199999999997</v>
      </c>
      <c r="N1464">
        <v>0</v>
      </c>
      <c r="O1464">
        <v>-1.7272019999999999E-2</v>
      </c>
      <c r="P1464">
        <v>-0.99787599999999999</v>
      </c>
      <c r="Q1464">
        <v>2.90639E-2</v>
      </c>
      <c r="R1464">
        <v>-5.830304E-2</v>
      </c>
      <c r="S1464">
        <v>-2.99572799999999</v>
      </c>
      <c r="T1464">
        <v>-0.21779319999999999</v>
      </c>
      <c r="U1464">
        <v>-0.28790279999999902</v>
      </c>
      <c r="V1464">
        <v>-4.1048170000000002E-2</v>
      </c>
      <c r="W1464">
        <v>4.3116380000000003E-2</v>
      </c>
      <c r="X1464">
        <v>0.99822649999999902</v>
      </c>
      <c r="Y1464">
        <v>-7.8295420000000004E-2</v>
      </c>
      <c r="Z1464">
        <v>-1.584839E-3</v>
      </c>
      <c r="AA1464">
        <v>0.99692890000000001</v>
      </c>
      <c r="AB1464">
        <v>27</v>
      </c>
      <c r="AC1464">
        <v>-14.9236</v>
      </c>
      <c r="AD1464">
        <v>-1.10440936973099</v>
      </c>
      <c r="AE1464">
        <v>-1.45539999999999</v>
      </c>
      <c r="AF1464">
        <v>-1.1909358010684801</v>
      </c>
      <c r="AG1464">
        <v>-1.10440936973099</v>
      </c>
      <c r="AH1464">
        <v>14.8658658123216</v>
      </c>
      <c r="AI1464">
        <v>94.235271956069596</v>
      </c>
      <c r="AJ1464">
        <v>94.580303492754496</v>
      </c>
      <c r="AK1464">
        <v>14.9543309609013</v>
      </c>
    </row>
    <row r="1465" spans="1:37" x14ac:dyDescent="0.2">
      <c r="A1465" t="str">
        <f>"20200111160133095"</f>
        <v>20200111160133095</v>
      </c>
      <c r="B1465" t="str">
        <f>"1578729693092790"</f>
        <v>1578729693092790</v>
      </c>
      <c r="C1465" t="s">
        <v>37</v>
      </c>
      <c r="D1465">
        <v>5.1695289999999998</v>
      </c>
      <c r="E1465">
        <v>0.48849160000000003</v>
      </c>
      <c r="F1465" t="s">
        <v>57</v>
      </c>
      <c r="G1465">
        <v>-329.79640000000001</v>
      </c>
      <c r="H1465" s="1">
        <v>3.6782190000000001E-6</v>
      </c>
      <c r="I1465">
        <v>284.57429999999999</v>
      </c>
      <c r="J1465">
        <v>-315.05029999999999</v>
      </c>
      <c r="K1465">
        <v>1.1043829999999999</v>
      </c>
      <c r="L1465">
        <v>285.99930000000001</v>
      </c>
      <c r="M1465">
        <v>-0.99975460000000005</v>
      </c>
      <c r="N1465">
        <v>0</v>
      </c>
      <c r="O1465">
        <v>-1.7127420000000001E-2</v>
      </c>
      <c r="P1465">
        <v>-0.99801219999999902</v>
      </c>
      <c r="Q1465">
        <v>2.8649150000000002E-2</v>
      </c>
      <c r="R1465">
        <v>-5.6136909999999998E-2</v>
      </c>
      <c r="S1465">
        <v>-2.9960939999999998</v>
      </c>
      <c r="T1465">
        <v>-0.22036149999999999</v>
      </c>
      <c r="U1465">
        <v>-0.28521729999999901</v>
      </c>
      <c r="V1465">
        <v>-3.902154E-2</v>
      </c>
      <c r="W1465">
        <v>4.270144E-2</v>
      </c>
      <c r="X1465">
        <v>0.99832549999999898</v>
      </c>
      <c r="Y1465">
        <v>-7.7540360000000003E-2</v>
      </c>
      <c r="Z1465">
        <v>-1.5862750000000001E-3</v>
      </c>
      <c r="AA1465">
        <v>0.99698790000000004</v>
      </c>
      <c r="AB1465">
        <v>27</v>
      </c>
      <c r="AC1465">
        <v>-14.7461</v>
      </c>
      <c r="AD1465">
        <v>-1.1043793217809901</v>
      </c>
      <c r="AE1465">
        <v>-1.42500000000001</v>
      </c>
      <c r="AF1465">
        <v>-1.16572534422473</v>
      </c>
      <c r="AG1465">
        <v>-1.1043793217809901</v>
      </c>
      <c r="AH1465">
        <v>14.686730429927399</v>
      </c>
      <c r="AI1465">
        <v>94.286872572456801</v>
      </c>
      <c r="AJ1465">
        <v>94.5382060009795</v>
      </c>
      <c r="AK1465">
        <v>14.7742553107052</v>
      </c>
    </row>
    <row r="1466" spans="1:37" x14ac:dyDescent="0.2">
      <c r="A1466" t="str">
        <f>"20200111160133119"</f>
        <v>20200111160133119</v>
      </c>
      <c r="B1466" t="str">
        <f>"1578729693112310"</f>
        <v>1578729693112310</v>
      </c>
      <c r="C1466" t="s">
        <v>37</v>
      </c>
      <c r="D1466">
        <v>5.1193289999999996</v>
      </c>
      <c r="E1466">
        <v>0.48858019999999902</v>
      </c>
      <c r="F1466" t="s">
        <v>57</v>
      </c>
      <c r="G1466">
        <v>-329.55829999999997</v>
      </c>
      <c r="H1466" s="1">
        <v>3.5484420000000001E-6</v>
      </c>
      <c r="I1466">
        <v>284.64429999999999</v>
      </c>
      <c r="J1466">
        <v>-315.34039999999999</v>
      </c>
      <c r="K1466">
        <v>1.104355</v>
      </c>
      <c r="L1466">
        <v>285.99450000000002</v>
      </c>
      <c r="M1466">
        <v>-0.99975759999999902</v>
      </c>
      <c r="N1466">
        <v>0</v>
      </c>
      <c r="O1466">
        <v>-1.6947960000000001E-2</v>
      </c>
      <c r="P1466">
        <v>-0.99813499999999999</v>
      </c>
      <c r="Q1466">
        <v>2.79024999999999E-2</v>
      </c>
      <c r="R1466">
        <v>-5.4295540000000003E-2</v>
      </c>
      <c r="S1466">
        <v>-2.9967959999999998</v>
      </c>
      <c r="T1466">
        <v>-0.22812159999999901</v>
      </c>
      <c r="U1466">
        <v>-0.27987669999999998</v>
      </c>
      <c r="V1466">
        <v>-3.7355569999999998E-2</v>
      </c>
      <c r="W1466">
        <v>4.1954419999999999E-2</v>
      </c>
      <c r="X1466">
        <v>0.998420999999999</v>
      </c>
      <c r="Y1466">
        <v>-7.5928699999999905E-2</v>
      </c>
      <c r="Z1466">
        <v>-1.594215E-3</v>
      </c>
      <c r="AA1466">
        <v>0.997112</v>
      </c>
      <c r="AB1466">
        <v>27</v>
      </c>
      <c r="AC1466">
        <v>-14.217899999999901</v>
      </c>
      <c r="AD1466">
        <v>-1.104351451558</v>
      </c>
      <c r="AE1466">
        <v>-1.3502000000000201</v>
      </c>
      <c r="AF1466">
        <v>-1.10242618580634</v>
      </c>
      <c r="AG1466">
        <v>-1.104351451558</v>
      </c>
      <c r="AH1466">
        <v>14.1541123430603</v>
      </c>
      <c r="AI1466">
        <v>94.447954081650593</v>
      </c>
      <c r="AJ1466">
        <v>94.4536246057433</v>
      </c>
      <c r="AK1466">
        <v>14.2398676905259</v>
      </c>
    </row>
    <row r="1467" spans="1:37" x14ac:dyDescent="0.2">
      <c r="A1467" t="str">
        <f>"20200111160133141"</f>
        <v>20200111160133141</v>
      </c>
      <c r="B1467" t="str">
        <f>"1578729693132807"</f>
        <v>1578729693132807</v>
      </c>
      <c r="C1467" t="s">
        <v>37</v>
      </c>
      <c r="D1467">
        <v>5.0069919999999897</v>
      </c>
      <c r="E1467">
        <v>0.48865589999999998</v>
      </c>
      <c r="F1467" t="s">
        <v>57</v>
      </c>
      <c r="G1467">
        <v>-329.72899999999998</v>
      </c>
      <c r="H1467" s="1">
        <v>3.6376589999999998E-6</v>
      </c>
      <c r="I1467">
        <v>284.68189999999998</v>
      </c>
      <c r="J1467">
        <v>-315.61599999999999</v>
      </c>
      <c r="K1467">
        <v>1.1043319999999901</v>
      </c>
      <c r="L1467">
        <v>285.99</v>
      </c>
      <c r="M1467">
        <v>-0.99976089999999995</v>
      </c>
      <c r="N1467">
        <v>0</v>
      </c>
      <c r="O1467">
        <v>-1.6761359999999999E-2</v>
      </c>
      <c r="P1467">
        <v>-0.99822630000000001</v>
      </c>
      <c r="Q1467">
        <v>2.7012029999999999E-2</v>
      </c>
      <c r="R1467">
        <v>-5.3053139999999999E-2</v>
      </c>
      <c r="S1467">
        <v>-2.9971619999999999</v>
      </c>
      <c r="T1467">
        <v>-0.2300362</v>
      </c>
      <c r="U1467">
        <v>-0.27340700000000001</v>
      </c>
      <c r="V1467">
        <v>-3.6297139999999999E-2</v>
      </c>
      <c r="W1467">
        <v>4.1062550000000003E-2</v>
      </c>
      <c r="X1467">
        <v>0.99849709999999903</v>
      </c>
      <c r="Y1467">
        <v>-7.3971490000000001E-2</v>
      </c>
      <c r="Z1467">
        <v>-1.546934E-3</v>
      </c>
      <c r="AA1467">
        <v>0.99725909999999995</v>
      </c>
      <c r="AB1467">
        <v>27</v>
      </c>
      <c r="AC1467">
        <v>-14.113</v>
      </c>
      <c r="AD1467">
        <v>-1.1043283623409901</v>
      </c>
      <c r="AE1467">
        <v>-1.30810000000002</v>
      </c>
      <c r="AF1467">
        <v>-1.06487520258183</v>
      </c>
      <c r="AG1467">
        <v>-1.1043283623409901</v>
      </c>
      <c r="AH1467">
        <v>14.0476647642442</v>
      </c>
      <c r="AI1467">
        <v>94.482139043967905</v>
      </c>
      <c r="AJ1467">
        <v>94.3349831330396</v>
      </c>
      <c r="AK1467">
        <v>14.1311848638935</v>
      </c>
    </row>
    <row r="1468" spans="1:37" x14ac:dyDescent="0.2">
      <c r="A1468" t="str">
        <f>"20200111160133162"</f>
        <v>20200111160133162</v>
      </c>
      <c r="B1468" t="str">
        <f>"1578729693152325"</f>
        <v>1578729693152325</v>
      </c>
      <c r="C1468" t="s">
        <v>37</v>
      </c>
      <c r="D1468">
        <v>5.0206970000000002</v>
      </c>
      <c r="E1468">
        <v>0.48848589999999997</v>
      </c>
      <c r="F1468" t="s">
        <v>57</v>
      </c>
      <c r="G1468">
        <v>-329.81810000000002</v>
      </c>
      <c r="H1468" s="1">
        <v>3.6836499999999999E-6</v>
      </c>
      <c r="I1468">
        <v>284.71460000000002</v>
      </c>
      <c r="J1468">
        <v>-315.87110000000001</v>
      </c>
      <c r="K1468">
        <v>1.1043190000000001</v>
      </c>
      <c r="L1468">
        <v>285.98590000000002</v>
      </c>
      <c r="M1468">
        <v>-0.99976379999999998</v>
      </c>
      <c r="N1468">
        <v>0</v>
      </c>
      <c r="O1468">
        <v>-1.6579529999999999E-2</v>
      </c>
      <c r="P1468">
        <v>-0.99829840000000003</v>
      </c>
      <c r="Q1468">
        <v>2.5924389999999999E-2</v>
      </c>
      <c r="R1468">
        <v>-5.2231600000000003E-2</v>
      </c>
      <c r="S1468">
        <v>-2.9973749999999999</v>
      </c>
      <c r="T1468">
        <v>-0.23306979999999999</v>
      </c>
      <c r="U1468">
        <v>-0.26916499999999999</v>
      </c>
      <c r="V1468">
        <v>-3.565546E-2</v>
      </c>
      <c r="W1468">
        <v>3.9972920000000002E-2</v>
      </c>
      <c r="X1468">
        <v>0.99856440000000002</v>
      </c>
      <c r="Y1468">
        <v>-7.2745210000000005E-2</v>
      </c>
      <c r="Z1468">
        <v>-1.533834E-3</v>
      </c>
      <c r="AA1468">
        <v>0.99734940000000005</v>
      </c>
      <c r="AB1468">
        <v>27</v>
      </c>
      <c r="AC1468">
        <v>-13.946999999999999</v>
      </c>
      <c r="AD1468">
        <v>-1.1043153163499999</v>
      </c>
      <c r="AE1468">
        <v>-1.2712999999999901</v>
      </c>
      <c r="AF1468">
        <v>-1.03344203522855</v>
      </c>
      <c r="AG1468">
        <v>-1.1043153163499999</v>
      </c>
      <c r="AH1468">
        <v>13.8798611749763</v>
      </c>
      <c r="AI1468">
        <v>94.536503667204499</v>
      </c>
      <c r="AJ1468">
        <v>94.258170206268105</v>
      </c>
      <c r="AK1468">
        <v>13.9620220954817</v>
      </c>
    </row>
    <row r="1469" spans="1:37" x14ac:dyDescent="0.2">
      <c r="A1469" t="str">
        <f>"20200111160133183"</f>
        <v>20200111160133183</v>
      </c>
      <c r="B1469" t="str">
        <f>"1578729693172822"</f>
        <v>1578729693172822</v>
      </c>
      <c r="C1469" t="s">
        <v>37</v>
      </c>
      <c r="D1469">
        <v>4.9984690000000001</v>
      </c>
      <c r="E1469">
        <v>0.48836560000000001</v>
      </c>
      <c r="F1469" t="s">
        <v>57</v>
      </c>
      <c r="G1469">
        <v>-329.9128</v>
      </c>
      <c r="H1469" s="1">
        <v>3.7333540000000001E-6</v>
      </c>
      <c r="I1469">
        <v>284.73020000000002</v>
      </c>
      <c r="J1469">
        <v>-316.13249999999999</v>
      </c>
      <c r="K1469">
        <v>1.104311</v>
      </c>
      <c r="L1469">
        <v>285.98180000000002</v>
      </c>
      <c r="M1469">
        <v>-0.99976710000000002</v>
      </c>
      <c r="N1469">
        <v>0</v>
      </c>
      <c r="O1469">
        <v>-1.6388719999999999E-2</v>
      </c>
      <c r="P1469">
        <v>-0.99833150000000004</v>
      </c>
      <c r="Q1469">
        <v>2.527312E-2</v>
      </c>
      <c r="R1469">
        <v>-5.1917060000000001E-2</v>
      </c>
      <c r="S1469">
        <v>-2.997223</v>
      </c>
      <c r="T1469">
        <v>-0.23571710000000001</v>
      </c>
      <c r="U1469">
        <v>-0.26803589999999999</v>
      </c>
      <c r="V1469">
        <v>-3.5531630000000002E-2</v>
      </c>
      <c r="W1469">
        <v>3.9319689999999997E-2</v>
      </c>
      <c r="X1469">
        <v>0.9985948</v>
      </c>
      <c r="Y1469">
        <v>-7.2563440000000007E-2</v>
      </c>
      <c r="Z1469">
        <v>-1.5591310000000001E-3</v>
      </c>
      <c r="AA1469">
        <v>0.99736259999999999</v>
      </c>
      <c r="AB1469">
        <v>27</v>
      </c>
      <c r="AC1469">
        <v>-13.7803</v>
      </c>
      <c r="AD1469">
        <v>-1.1043072666460001</v>
      </c>
      <c r="AE1469">
        <v>-1.2515999999999901</v>
      </c>
      <c r="AF1469">
        <v>-1.01907727503076</v>
      </c>
      <c r="AG1469">
        <v>-1.1043072666460001</v>
      </c>
      <c r="AH1469">
        <v>13.7116289654493</v>
      </c>
      <c r="AI1469">
        <v>94.591938865083094</v>
      </c>
      <c r="AJ1469">
        <v>94.250528727583003</v>
      </c>
      <c r="AK1469">
        <v>13.7937225547638</v>
      </c>
    </row>
    <row r="1470" spans="1:37" x14ac:dyDescent="0.2">
      <c r="A1470" t="str">
        <f>"20200111160133206"</f>
        <v>20200111160133206</v>
      </c>
      <c r="B1470" t="str">
        <f>"1578729693202102"</f>
        <v>1578729693202102</v>
      </c>
      <c r="C1470" t="s">
        <v>37</v>
      </c>
      <c r="D1470">
        <v>5.1035459999999997</v>
      </c>
      <c r="E1470">
        <v>0.48796079999999997</v>
      </c>
      <c r="F1470" t="s">
        <v>57</v>
      </c>
      <c r="G1470">
        <v>-330.14519999999999</v>
      </c>
      <c r="H1470" s="1">
        <v>-1.4643929999999999E-6</v>
      </c>
      <c r="I1470">
        <v>284.72809999999998</v>
      </c>
      <c r="J1470">
        <v>-316.41050000000001</v>
      </c>
      <c r="K1470">
        <v>1.1043069999999999</v>
      </c>
      <c r="L1470">
        <v>285.97739999999999</v>
      </c>
      <c r="M1470">
        <v>-0.99977039999999995</v>
      </c>
      <c r="N1470">
        <v>0</v>
      </c>
      <c r="O1470">
        <v>-1.6184850000000001E-2</v>
      </c>
      <c r="P1470">
        <v>-0.99834140000000005</v>
      </c>
      <c r="Q1470">
        <v>2.5066359999999999E-2</v>
      </c>
      <c r="R1470">
        <v>-5.1829229999999997E-2</v>
      </c>
      <c r="S1470">
        <v>-2.9969790000000001</v>
      </c>
      <c r="T1470">
        <v>-0.23618600000000001</v>
      </c>
      <c r="U1470">
        <v>-0.26812740000000002</v>
      </c>
      <c r="V1470">
        <v>-3.5646690000000002E-2</v>
      </c>
      <c r="W1470">
        <v>3.9109570000000003E-2</v>
      </c>
      <c r="X1470">
        <v>0.99859889999999996</v>
      </c>
      <c r="Y1470">
        <v>-7.2802190000000003E-2</v>
      </c>
      <c r="Z1470">
        <v>-1.587726E-3</v>
      </c>
      <c r="AA1470">
        <v>0.99734509999999899</v>
      </c>
      <c r="AB1470">
        <v>27</v>
      </c>
      <c r="AC1470">
        <v>-13.734699999999901</v>
      </c>
      <c r="AD1470">
        <v>-1.1043084643929999</v>
      </c>
      <c r="AE1470">
        <v>-1.2493000000000001</v>
      </c>
      <c r="AF1470">
        <v>-1.0202787662655799</v>
      </c>
      <c r="AG1470">
        <v>-1.1043084643929999</v>
      </c>
      <c r="AH1470">
        <v>13.6655050830873</v>
      </c>
      <c r="AI1470">
        <v>94.607260830443096</v>
      </c>
      <c r="AJ1470">
        <v>94.269831926032694</v>
      </c>
      <c r="AK1470">
        <v>13.7479633081161</v>
      </c>
    </row>
    <row r="1471" spans="1:37" x14ac:dyDescent="0.2">
      <c r="A1471" t="str">
        <f>"20200111160133229"</f>
        <v>20200111160133229</v>
      </c>
      <c r="B1471" t="str">
        <f>"1578729693222598"</f>
        <v>1578729693222598</v>
      </c>
      <c r="C1471" t="s">
        <v>37</v>
      </c>
      <c r="D1471">
        <v>5.0334570000000003</v>
      </c>
      <c r="E1471">
        <v>0.48772729999999997</v>
      </c>
      <c r="F1471" t="s">
        <v>57</v>
      </c>
      <c r="G1471">
        <v>-330.49439999999998</v>
      </c>
      <c r="H1471" s="1">
        <v>-1.277553E-6</v>
      </c>
      <c r="I1471">
        <v>284.70530000000002</v>
      </c>
      <c r="J1471">
        <v>-316.69290000000001</v>
      </c>
      <c r="K1471">
        <v>1.1043129999999901</v>
      </c>
      <c r="L1471">
        <v>285.97309999999999</v>
      </c>
      <c r="M1471">
        <v>-0.99977389999999999</v>
      </c>
      <c r="N1471">
        <v>0</v>
      </c>
      <c r="O1471">
        <v>-1.5979819999999999E-2</v>
      </c>
      <c r="P1471">
        <v>-0.99832980000000004</v>
      </c>
      <c r="Q1471">
        <v>2.446541E-2</v>
      </c>
      <c r="R1471">
        <v>-5.2337370000000001E-2</v>
      </c>
      <c r="S1471">
        <v>-2.996826</v>
      </c>
      <c r="T1471">
        <v>-0.2349783</v>
      </c>
      <c r="U1471">
        <v>-0.27069090000000001</v>
      </c>
      <c r="V1471">
        <v>-3.6360360000000001E-2</v>
      </c>
      <c r="W1471">
        <v>3.8505869999999998E-2</v>
      </c>
      <c r="X1471">
        <v>0.99859659999999995</v>
      </c>
      <c r="Y1471">
        <v>-7.3855409999999996E-2</v>
      </c>
      <c r="Z1471">
        <v>-1.6368120000000001E-3</v>
      </c>
      <c r="AA1471">
        <v>0.99726759999999903</v>
      </c>
      <c r="AB1471">
        <v>27</v>
      </c>
      <c r="AC1471">
        <v>-13.8014999999999</v>
      </c>
      <c r="AD1471">
        <v>-1.1043142775529999</v>
      </c>
      <c r="AE1471">
        <v>-1.2677999999999601</v>
      </c>
      <c r="AF1471">
        <v>-1.0404653160114701</v>
      </c>
      <c r="AG1471">
        <v>-1.1043142775529999</v>
      </c>
      <c r="AH1471">
        <v>13.732813358709601</v>
      </c>
      <c r="AI1471">
        <v>94.584422988832799</v>
      </c>
      <c r="AJ1471">
        <v>94.332731589749102</v>
      </c>
      <c r="AK1471">
        <v>13.8163758215599</v>
      </c>
    </row>
    <row r="1472" spans="1:37" x14ac:dyDescent="0.2">
      <c r="A1472" t="str">
        <f>"20200111160133251"</f>
        <v>20200111160133251</v>
      </c>
      <c r="B1472" t="str">
        <f>"1578729693242117"</f>
        <v>1578729693242117</v>
      </c>
      <c r="C1472" t="s">
        <v>37</v>
      </c>
      <c r="D1472">
        <v>4.8752040000000001</v>
      </c>
      <c r="E1472">
        <v>0.48765399999999998</v>
      </c>
      <c r="F1472" t="s">
        <v>57</v>
      </c>
      <c r="G1472">
        <v>-330.77760000000001</v>
      </c>
      <c r="H1472" s="1">
        <v>-1.1260619999999999E-6</v>
      </c>
      <c r="I1472">
        <v>284.68650000000002</v>
      </c>
      <c r="J1472">
        <v>-316.96120000000002</v>
      </c>
      <c r="K1472">
        <v>1.1043179999999999</v>
      </c>
      <c r="L1472">
        <v>285.96899999999999</v>
      </c>
      <c r="M1472">
        <v>-0.99977689999999997</v>
      </c>
      <c r="N1472">
        <v>0</v>
      </c>
      <c r="O1472">
        <v>-1.578829E-2</v>
      </c>
      <c r="P1472">
        <v>-0.99828779999999995</v>
      </c>
      <c r="Q1472">
        <v>2.4373809999999999E-2</v>
      </c>
      <c r="R1472">
        <v>-5.3173369999999998E-2</v>
      </c>
      <c r="S1472">
        <v>-2.9964599999999999</v>
      </c>
      <c r="T1472">
        <v>-0.23493890000000001</v>
      </c>
      <c r="U1472">
        <v>-0.27371220000000002</v>
      </c>
      <c r="V1472">
        <v>-3.7388520000000001E-2</v>
      </c>
      <c r="W1472">
        <v>3.841058E-2</v>
      </c>
      <c r="X1472">
        <v>0.99856230000000001</v>
      </c>
      <c r="Y1472">
        <v>-7.5050439999999996E-2</v>
      </c>
      <c r="Z1472">
        <v>-1.6983039999999899E-3</v>
      </c>
      <c r="AA1472">
        <v>0.99717829999999996</v>
      </c>
      <c r="AB1472">
        <v>27</v>
      </c>
      <c r="AC1472">
        <v>-13.8163999999999</v>
      </c>
      <c r="AD1472">
        <v>-1.104319126062</v>
      </c>
      <c r="AE1472">
        <v>-1.28249999999997</v>
      </c>
      <c r="AF1472">
        <v>-1.0574832806824099</v>
      </c>
      <c r="AG1472">
        <v>-1.104319126062</v>
      </c>
      <c r="AH1472">
        <v>13.7478500782899</v>
      </c>
      <c r="AI1472">
        <v>94.579050403683098</v>
      </c>
      <c r="AJ1472">
        <v>94.398524515107496</v>
      </c>
      <c r="AK1472">
        <v>13.832612674265301</v>
      </c>
    </row>
    <row r="1473" spans="1:37" x14ac:dyDescent="0.2">
      <c r="A1473" t="str">
        <f>"20200111160133273"</f>
        <v>20200111160133273</v>
      </c>
      <c r="B1473" t="str">
        <f>"1578729693262614"</f>
        <v>1578729693262614</v>
      </c>
      <c r="C1473" t="s">
        <v>37</v>
      </c>
      <c r="D1473">
        <v>4.7389739999999998</v>
      </c>
      <c r="E1473">
        <v>0.48780039999999902</v>
      </c>
      <c r="F1473" t="s">
        <v>57</v>
      </c>
      <c r="G1473">
        <v>-331.10809999999998</v>
      </c>
      <c r="H1473" s="1">
        <v>-9.4927030000000001E-7</v>
      </c>
      <c r="I1473">
        <v>284.66559999999998</v>
      </c>
      <c r="J1473">
        <v>-317.22089999999997</v>
      </c>
      <c r="K1473">
        <v>1.1043229999999999</v>
      </c>
      <c r="L1473">
        <v>285.96510000000001</v>
      </c>
      <c r="M1473">
        <v>-0.99977969999999905</v>
      </c>
      <c r="N1473">
        <v>0</v>
      </c>
      <c r="O1473">
        <v>-1.560568E-2</v>
      </c>
      <c r="P1473">
        <v>-0.9982394</v>
      </c>
      <c r="Q1473">
        <v>2.452648E-2</v>
      </c>
      <c r="R1473">
        <v>-5.4007880000000001E-2</v>
      </c>
      <c r="S1473">
        <v>-2.9961849999999899</v>
      </c>
      <c r="T1473">
        <v>-0.233884499999999</v>
      </c>
      <c r="U1473">
        <v>-0.27603149999999999</v>
      </c>
      <c r="V1473">
        <v>-3.8406290000000003E-2</v>
      </c>
      <c r="W1473">
        <v>3.8560190000000001E-2</v>
      </c>
      <c r="X1473">
        <v>0.99851789999999996</v>
      </c>
      <c r="Y1473">
        <v>-7.6004429999999998E-2</v>
      </c>
      <c r="Z1473">
        <v>-1.7420979999999899E-3</v>
      </c>
      <c r="AA1473">
        <v>0.99710599999999905</v>
      </c>
      <c r="AB1473">
        <v>27</v>
      </c>
      <c r="AC1473">
        <v>-13.8872</v>
      </c>
      <c r="AD1473">
        <v>-1.1043239492703001</v>
      </c>
      <c r="AE1473">
        <v>-1.2995000000000201</v>
      </c>
      <c r="AF1473">
        <v>-1.0758569481686799</v>
      </c>
      <c r="AG1473">
        <v>-1.1043239492703001</v>
      </c>
      <c r="AH1473">
        <v>13.819161970424201</v>
      </c>
      <c r="AI1473">
        <v>94.555214923731796</v>
      </c>
      <c r="AJ1473">
        <v>94.451642991266098</v>
      </c>
      <c r="AK1473">
        <v>13.9048997523417</v>
      </c>
    </row>
    <row r="1474" spans="1:37" x14ac:dyDescent="0.2">
      <c r="A1474" t="str">
        <f>"20200111160133296"</f>
        <v>20200111160133296</v>
      </c>
      <c r="B1474" t="str">
        <f>"1578729693292870"</f>
        <v>1578729693292870</v>
      </c>
      <c r="C1474" t="s">
        <v>37</v>
      </c>
      <c r="D1474">
        <v>4.8125099999999996</v>
      </c>
      <c r="E1474">
        <v>0.48751260000000002</v>
      </c>
      <c r="F1474" t="s">
        <v>57</v>
      </c>
      <c r="G1474">
        <v>-331.5018</v>
      </c>
      <c r="H1474" s="1">
        <v>-7.3873199999999995E-7</v>
      </c>
      <c r="I1474">
        <v>284.64229999999998</v>
      </c>
      <c r="J1474">
        <v>-317.5018</v>
      </c>
      <c r="K1474">
        <v>1.104317</v>
      </c>
      <c r="L1474">
        <v>285.96089999999998</v>
      </c>
      <c r="M1474">
        <v>-0.99978289999999903</v>
      </c>
      <c r="N1474">
        <v>0</v>
      </c>
      <c r="O1474">
        <v>-1.5411279999999999E-2</v>
      </c>
      <c r="P1474">
        <v>-0.99820969999999998</v>
      </c>
      <c r="Q1474">
        <v>2.4086079999999999E-2</v>
      </c>
      <c r="R1474">
        <v>-5.4753089999999997E-2</v>
      </c>
      <c r="S1474">
        <v>-2.9959410000000002</v>
      </c>
      <c r="T1474">
        <v>-0.23167219999999999</v>
      </c>
      <c r="U1474">
        <v>-0.27749629999999997</v>
      </c>
      <c r="V1474">
        <v>-3.9346829999999999E-2</v>
      </c>
      <c r="W1474">
        <v>3.81161E-2</v>
      </c>
      <c r="X1474">
        <v>0.99849840000000001</v>
      </c>
      <c r="Y1474">
        <v>-7.6689939999999998E-2</v>
      </c>
      <c r="Z1474">
        <v>-1.7671529999999901E-3</v>
      </c>
      <c r="AA1474">
        <v>0.99705339999999998</v>
      </c>
      <c r="AB1474">
        <v>27</v>
      </c>
      <c r="AC1474">
        <v>-14</v>
      </c>
      <c r="AD1474">
        <v>-1.104317738732</v>
      </c>
      <c r="AE1474">
        <v>-1.3186</v>
      </c>
      <c r="AF1474">
        <v>-1.0959054357893401</v>
      </c>
      <c r="AG1474">
        <v>-1.104317738732</v>
      </c>
      <c r="AH1474">
        <v>13.932732726975701</v>
      </c>
      <c r="AI1474">
        <v>94.517931299795094</v>
      </c>
      <c r="AJ1474">
        <v>94.497448025216997</v>
      </c>
      <c r="AK1474">
        <v>14.0193283588626</v>
      </c>
    </row>
    <row r="1475" spans="1:37" x14ac:dyDescent="0.2">
      <c r="A1475" t="str">
        <f>"20200111160133319"</f>
        <v>20200111160133319</v>
      </c>
      <c r="B1475" t="str">
        <f>"1578729693312390"</f>
        <v>1578729693312390</v>
      </c>
      <c r="C1475" t="s">
        <v>37</v>
      </c>
      <c r="D1475">
        <v>4.7654709999999998</v>
      </c>
      <c r="E1475">
        <v>0.48744849999999901</v>
      </c>
      <c r="F1475" t="s">
        <v>57</v>
      </c>
      <c r="G1475">
        <v>-331.77640000000002</v>
      </c>
      <c r="H1475" s="1">
        <v>-5.9140409999999895E-7</v>
      </c>
      <c r="I1475">
        <v>284.6146</v>
      </c>
      <c r="J1475">
        <v>-317.77710000000002</v>
      </c>
      <c r="K1475">
        <v>1.1043129999999901</v>
      </c>
      <c r="L1475">
        <v>285.95679999999999</v>
      </c>
      <c r="M1475">
        <v>-0.99978579999999995</v>
      </c>
      <c r="N1475">
        <v>0</v>
      </c>
      <c r="O1475">
        <v>-1.522164E-2</v>
      </c>
      <c r="P1475">
        <v>-0.99820279999999995</v>
      </c>
      <c r="Q1475">
        <v>2.2382260000000001E-2</v>
      </c>
      <c r="R1475">
        <v>-5.5590670000000002E-2</v>
      </c>
      <c r="S1475">
        <v>-2.995422</v>
      </c>
      <c r="T1475">
        <v>-0.2317331</v>
      </c>
      <c r="U1475">
        <v>-0.28250120000000001</v>
      </c>
      <c r="V1475">
        <v>-4.0374470000000003E-2</v>
      </c>
      <c r="W1475">
        <v>3.6409740000000003E-2</v>
      </c>
      <c r="X1475">
        <v>0.99852099999999899</v>
      </c>
      <c r="Y1475">
        <v>-7.8540109999999996E-2</v>
      </c>
      <c r="Z1475">
        <v>-1.853702E-3</v>
      </c>
      <c r="AA1475">
        <v>0.9969093</v>
      </c>
      <c r="AB1475">
        <v>27</v>
      </c>
      <c r="AC1475">
        <v>-13.9993</v>
      </c>
      <c r="AD1475">
        <v>-1.10431359140409</v>
      </c>
      <c r="AE1475">
        <v>-1.3421999999999901</v>
      </c>
      <c r="AF1475">
        <v>-1.1220129582637499</v>
      </c>
      <c r="AG1475">
        <v>-1.10431359140409</v>
      </c>
      <c r="AH1475">
        <v>13.9322053313316</v>
      </c>
      <c r="AI1475">
        <v>94.517416834584793</v>
      </c>
      <c r="AJ1475">
        <v>94.604307999732697</v>
      </c>
      <c r="AK1475">
        <v>14.020868980953299</v>
      </c>
    </row>
    <row r="1476" spans="1:37" x14ac:dyDescent="0.2">
      <c r="A1476" t="str">
        <f>"20200111160133340"</f>
        <v>20200111160133340</v>
      </c>
      <c r="B1476" t="str">
        <f>"1578729693332886"</f>
        <v>1578729693332886</v>
      </c>
      <c r="C1476" t="s">
        <v>37</v>
      </c>
      <c r="D1476">
        <v>4.6702750000000002</v>
      </c>
      <c r="E1476">
        <v>0.48741980000000001</v>
      </c>
      <c r="F1476" t="s">
        <v>57</v>
      </c>
      <c r="G1476">
        <v>-331.81979999999999</v>
      </c>
      <c r="H1476" s="1">
        <v>-5.6855419999999898E-7</v>
      </c>
      <c r="I1476">
        <v>284.62020000000001</v>
      </c>
      <c r="J1476">
        <v>-318.04070000000002</v>
      </c>
      <c r="K1476">
        <v>1.1043129999999901</v>
      </c>
      <c r="L1476">
        <v>285.95310000000001</v>
      </c>
      <c r="M1476">
        <v>-0.99978860000000003</v>
      </c>
      <c r="N1476">
        <v>0</v>
      </c>
      <c r="O1476">
        <v>-1.504081E-2</v>
      </c>
      <c r="P1476">
        <v>-0.99816680000000002</v>
      </c>
      <c r="Q1476">
        <v>2.0677259999999999E-2</v>
      </c>
      <c r="R1476">
        <v>-5.688534E-2</v>
      </c>
      <c r="S1476">
        <v>-2.994812</v>
      </c>
      <c r="T1476">
        <v>-0.23551059999999999</v>
      </c>
      <c r="U1476">
        <v>-0.2850647</v>
      </c>
      <c r="V1476">
        <v>-4.185154E-2</v>
      </c>
      <c r="W1476">
        <v>3.4701820000000001E-2</v>
      </c>
      <c r="X1476">
        <v>0.99852099999999899</v>
      </c>
      <c r="Y1476">
        <v>-7.9575179999999995E-2</v>
      </c>
      <c r="Z1476">
        <v>-1.9388420000000001E-3</v>
      </c>
      <c r="AA1476">
        <v>0.99682700000000002</v>
      </c>
      <c r="AB1476">
        <v>27</v>
      </c>
      <c r="AC1476">
        <v>-13.7790999999999</v>
      </c>
      <c r="AD1476">
        <v>-1.1043135685541901</v>
      </c>
      <c r="AE1476">
        <v>-1.33289999999999</v>
      </c>
      <c r="AF1476">
        <v>-1.11836326105172</v>
      </c>
      <c r="AG1476">
        <v>-1.1043135685541901</v>
      </c>
      <c r="AH1476">
        <v>13.7103446742199</v>
      </c>
      <c r="AI1476">
        <v>94.589825977412403</v>
      </c>
      <c r="AJ1476">
        <v>94.663335726107107</v>
      </c>
      <c r="AK1476">
        <v>13.800137532911499</v>
      </c>
    </row>
    <row r="1477" spans="1:37" x14ac:dyDescent="0.2">
      <c r="A1477" t="str">
        <f>"20200111160133363"</f>
        <v>20200111160133363</v>
      </c>
      <c r="B1477" t="str">
        <f>"1578729693352405"</f>
        <v>1578729693352405</v>
      </c>
      <c r="C1477" t="s">
        <v>37</v>
      </c>
      <c r="D1477">
        <v>4.6912649999999996</v>
      </c>
      <c r="E1477">
        <v>0.48726849999999999</v>
      </c>
      <c r="F1477" t="s">
        <v>57</v>
      </c>
      <c r="G1477">
        <v>-331.83300000000003</v>
      </c>
      <c r="H1477" s="1">
        <v>-5.6162959999999996E-7</v>
      </c>
      <c r="I1477">
        <v>284.62270000000001</v>
      </c>
      <c r="J1477">
        <v>-318.3075</v>
      </c>
      <c r="K1477">
        <v>1.104309</v>
      </c>
      <c r="L1477">
        <v>285.94920000000002</v>
      </c>
      <c r="M1477">
        <v>-0.99979130000000005</v>
      </c>
      <c r="N1477">
        <v>0</v>
      </c>
      <c r="O1477">
        <v>-1.4857840000000001E-2</v>
      </c>
      <c r="P1477">
        <v>-0.99809780000000003</v>
      </c>
      <c r="Q1477">
        <v>1.9466420000000002E-2</v>
      </c>
      <c r="R1477">
        <v>-5.8499130000000003E-2</v>
      </c>
      <c r="S1477">
        <v>-2.99401899999999</v>
      </c>
      <c r="T1477">
        <v>-0.23972249999999901</v>
      </c>
      <c r="U1477">
        <v>-0.28878779999999998</v>
      </c>
      <c r="V1477">
        <v>-4.3649239999999999E-2</v>
      </c>
      <c r="W1477">
        <v>3.3488499999999997E-2</v>
      </c>
      <c r="X1477">
        <v>0.99848549999999903</v>
      </c>
      <c r="Y1477">
        <v>-8.0998459999999994E-2</v>
      </c>
      <c r="Z1477">
        <v>-2.045158E-3</v>
      </c>
      <c r="AA1477">
        <v>0.99671209999999899</v>
      </c>
      <c r="AB1477">
        <v>27</v>
      </c>
      <c r="AC1477">
        <v>-13.525499999999999</v>
      </c>
      <c r="AD1477">
        <v>-1.1043095616295999</v>
      </c>
      <c r="AE1477">
        <v>-1.32650000000001</v>
      </c>
      <c r="AF1477">
        <v>-1.11799237223227</v>
      </c>
      <c r="AG1477">
        <v>-1.1043095616295999</v>
      </c>
      <c r="AH1477">
        <v>13.4548798278087</v>
      </c>
      <c r="AI1477">
        <v>94.675992994545496</v>
      </c>
      <c r="AJ1477">
        <v>94.749907271700494</v>
      </c>
      <c r="AK1477">
        <v>13.546335214110499</v>
      </c>
    </row>
    <row r="1478" spans="1:37" x14ac:dyDescent="0.2">
      <c r="A1478" t="str">
        <f>"20200111160133384"</f>
        <v>20200111160133384</v>
      </c>
      <c r="B1478" t="str">
        <f>"1578729693382662"</f>
        <v>1578729693382662</v>
      </c>
      <c r="C1478" t="s">
        <v>37</v>
      </c>
      <c r="D1478">
        <v>4.8018450000000001</v>
      </c>
      <c r="E1478">
        <v>0.48710969999999998</v>
      </c>
      <c r="F1478" t="s">
        <v>57</v>
      </c>
      <c r="G1478">
        <v>-332.00810000000001</v>
      </c>
      <c r="H1478" s="1">
        <v>-4.6747250000000001E-7</v>
      </c>
      <c r="I1478">
        <v>284.6003</v>
      </c>
      <c r="J1478">
        <v>-318.56920000000002</v>
      </c>
      <c r="K1478">
        <v>1.104304</v>
      </c>
      <c r="L1478">
        <v>285.94549999999998</v>
      </c>
      <c r="M1478">
        <v>-0.99979399999999996</v>
      </c>
      <c r="N1478">
        <v>0</v>
      </c>
      <c r="O1478">
        <v>-1.4678780000000001E-2</v>
      </c>
      <c r="P1478">
        <v>-0.99802239999999998</v>
      </c>
      <c r="Q1478">
        <v>1.846865E-2</v>
      </c>
      <c r="R1478">
        <v>-6.0087920000000003E-2</v>
      </c>
      <c r="S1478">
        <v>-2.9931640000000002</v>
      </c>
      <c r="T1478">
        <v>-0.24125779999999999</v>
      </c>
      <c r="U1478">
        <v>-0.29470829999999998</v>
      </c>
      <c r="V1478">
        <v>-4.5418029999999998E-2</v>
      </c>
      <c r="W1478">
        <v>3.2487700000000001E-2</v>
      </c>
      <c r="X1478">
        <v>0.99843969999999904</v>
      </c>
      <c r="Y1478">
        <v>-8.3146639999999994E-2</v>
      </c>
      <c r="Z1478">
        <v>-2.1592009999999999E-3</v>
      </c>
      <c r="AA1478">
        <v>0.99653499999999995</v>
      </c>
      <c r="AB1478">
        <v>27</v>
      </c>
      <c r="AC1478">
        <v>-13.438899999999901</v>
      </c>
      <c r="AD1478">
        <v>-1.1043044674725</v>
      </c>
      <c r="AE1478">
        <v>-1.34519999999997</v>
      </c>
      <c r="AF1478">
        <v>-1.14014678548537</v>
      </c>
      <c r="AG1478">
        <v>-1.1043044674725</v>
      </c>
      <c r="AH1478">
        <v>13.3678317819813</v>
      </c>
      <c r="AI1478">
        <v>94.705423007709697</v>
      </c>
      <c r="AJ1478">
        <v>94.874977880156095</v>
      </c>
      <c r="AK1478">
        <v>13.461736500194901</v>
      </c>
    </row>
    <row r="1479" spans="1:37" x14ac:dyDescent="0.2">
      <c r="A1479" t="str">
        <f>"20200111160133408"</f>
        <v>20200111160133408</v>
      </c>
      <c r="B1479" t="str">
        <f>"1578729693402182"</f>
        <v>1578729693402182</v>
      </c>
      <c r="C1479" t="s">
        <v>37</v>
      </c>
      <c r="D1479">
        <v>5.0415489999999998</v>
      </c>
      <c r="E1479">
        <v>0.48708299999999999</v>
      </c>
      <c r="F1479" t="s">
        <v>57</v>
      </c>
      <c r="G1479">
        <v>-332.28160000000003</v>
      </c>
      <c r="H1479" s="1">
        <v>-3.2054299999999901E-7</v>
      </c>
      <c r="I1479">
        <v>284.56900000000002</v>
      </c>
      <c r="J1479">
        <v>-318.84769999999997</v>
      </c>
      <c r="K1479">
        <v>1.104298</v>
      </c>
      <c r="L1479">
        <v>285.94159999999999</v>
      </c>
      <c r="M1479">
        <v>-0.99979689999999999</v>
      </c>
      <c r="N1479">
        <v>0</v>
      </c>
      <c r="O1479">
        <v>-1.448721E-2</v>
      </c>
      <c r="P1479">
        <v>-0.99785380000000001</v>
      </c>
      <c r="Q1479">
        <v>1.7280429999999999E-2</v>
      </c>
      <c r="R1479">
        <v>-6.3161369999999994E-2</v>
      </c>
      <c r="S1479">
        <v>-2.9923099999999998</v>
      </c>
      <c r="T1479">
        <v>-0.240978899999999</v>
      </c>
      <c r="U1479">
        <v>-0.3003845</v>
      </c>
      <c r="V1479">
        <v>-4.8685630000000001E-2</v>
      </c>
      <c r="W1479">
        <v>3.1295259999999998E-2</v>
      </c>
      <c r="X1479">
        <v>0.99832369999999904</v>
      </c>
      <c r="Y1479">
        <v>-8.5230180000000003E-2</v>
      </c>
      <c r="Z1479">
        <v>-2.25604E-3</v>
      </c>
      <c r="AA1479">
        <v>0.99635879999999999</v>
      </c>
      <c r="AB1479">
        <v>27</v>
      </c>
      <c r="AC1479">
        <v>-13.4339</v>
      </c>
      <c r="AD1479">
        <v>-1.1042983205429999</v>
      </c>
      <c r="AE1479">
        <v>-1.3725999999999701</v>
      </c>
      <c r="AF1479">
        <v>-1.16999286360344</v>
      </c>
      <c r="AG1479">
        <v>-1.1042983205429999</v>
      </c>
      <c r="AH1479">
        <v>13.363012989953701</v>
      </c>
      <c r="AI1479">
        <v>94.706176044582307</v>
      </c>
      <c r="AJ1479">
        <v>95.0037474884912</v>
      </c>
      <c r="AK1479">
        <v>13.459512407636099</v>
      </c>
    </row>
    <row r="1480" spans="1:37" x14ac:dyDescent="0.2">
      <c r="A1480" t="str">
        <f>"20200111160133442"</f>
        <v>20200111160133442</v>
      </c>
      <c r="B1480" t="str">
        <f>"1578729693432438"</f>
        <v>1578729693432438</v>
      </c>
      <c r="C1480" t="s">
        <v>37</v>
      </c>
      <c r="D1480">
        <v>4.7198510000000002</v>
      </c>
      <c r="E1480">
        <v>0.48727900000000002</v>
      </c>
      <c r="F1480" t="s">
        <v>57</v>
      </c>
      <c r="G1480">
        <v>-332.41090000000003</v>
      </c>
      <c r="H1480" s="1">
        <v>-2.5039050000000002E-7</v>
      </c>
      <c r="I1480">
        <v>284.53789999999998</v>
      </c>
      <c r="J1480">
        <v>-319.25810000000001</v>
      </c>
      <c r="K1480">
        <v>1.1042969999999901</v>
      </c>
      <c r="L1480">
        <v>285.93599999999998</v>
      </c>
      <c r="M1480">
        <v>-0.99980089999999999</v>
      </c>
      <c r="N1480">
        <v>0</v>
      </c>
      <c r="O1480">
        <v>-1.4205509999999999E-2</v>
      </c>
      <c r="P1480">
        <v>-0.99759050000000005</v>
      </c>
      <c r="Q1480">
        <v>1.7022590000000001E-2</v>
      </c>
      <c r="R1480">
        <v>-6.7257170000000005E-2</v>
      </c>
      <c r="S1480">
        <v>-2.9910890000000001</v>
      </c>
      <c r="T1480">
        <v>-0.24353049999999901</v>
      </c>
      <c r="U1480">
        <v>-0.30957030000000002</v>
      </c>
      <c r="V1480">
        <v>-5.3066090000000003E-2</v>
      </c>
      <c r="W1480">
        <v>3.1031220000000002E-2</v>
      </c>
      <c r="X1480">
        <v>0.99810869999999996</v>
      </c>
      <c r="Y1480">
        <v>-8.8562450000000001E-2</v>
      </c>
      <c r="Z1480">
        <v>-2.4383270000000001E-3</v>
      </c>
      <c r="AA1480">
        <v>0.99606759999999905</v>
      </c>
      <c r="AB1480">
        <v>27</v>
      </c>
      <c r="AC1480">
        <v>-13.152799999999999</v>
      </c>
      <c r="AD1480">
        <v>-1.10429725039049</v>
      </c>
      <c r="AE1480">
        <v>-1.3980999999999899</v>
      </c>
      <c r="AF1480">
        <v>-1.2027149492776801</v>
      </c>
      <c r="AG1480">
        <v>-1.10429725039049</v>
      </c>
      <c r="AH1480">
        <v>13.080161655981099</v>
      </c>
      <c r="AI1480">
        <v>94.805595915568105</v>
      </c>
      <c r="AJ1480">
        <v>95.253548491035602</v>
      </c>
      <c r="AK1480">
        <v>13.1816776099643</v>
      </c>
    </row>
    <row r="1481" spans="1:37" x14ac:dyDescent="0.2">
      <c r="A1481" t="str">
        <f>"20200111160133464"</f>
        <v>20200111160133464</v>
      </c>
      <c r="B1481" t="str">
        <f>"1578729693452933"</f>
        <v>1578729693452933</v>
      </c>
      <c r="C1481" t="s">
        <v>37</v>
      </c>
      <c r="D1481">
        <v>4.7013189999999998</v>
      </c>
      <c r="E1481">
        <v>0.48731469999999999</v>
      </c>
      <c r="F1481" t="s">
        <v>57</v>
      </c>
      <c r="G1481">
        <v>-332.93669999999997</v>
      </c>
      <c r="H1481" s="1">
        <v>3.2309730000000003E-8</v>
      </c>
      <c r="I1481">
        <v>284.47109999999998</v>
      </c>
      <c r="J1481">
        <v>-319.52440000000001</v>
      </c>
      <c r="K1481">
        <v>1.1042989999999999</v>
      </c>
      <c r="L1481">
        <v>285.93239999999997</v>
      </c>
      <c r="M1481">
        <v>-0.99980360000000001</v>
      </c>
      <c r="N1481">
        <v>0</v>
      </c>
      <c r="O1481">
        <v>-1.402169E-2</v>
      </c>
      <c r="P1481">
        <v>-0.99741840000000004</v>
      </c>
      <c r="Q1481">
        <v>1.6911780000000001E-2</v>
      </c>
      <c r="R1481">
        <v>-6.9791229999999996E-2</v>
      </c>
      <c r="S1481">
        <v>-2.9898069999999999</v>
      </c>
      <c r="T1481">
        <v>-0.241371999999999</v>
      </c>
      <c r="U1481">
        <v>-0.32019039999999999</v>
      </c>
      <c r="V1481">
        <v>-5.5786059999999998E-2</v>
      </c>
      <c r="W1481">
        <v>3.091636E-2</v>
      </c>
      <c r="X1481">
        <v>0.99796399999999996</v>
      </c>
      <c r="Y1481">
        <v>-9.2279659999999999E-2</v>
      </c>
      <c r="Z1481">
        <v>-2.5815209999999998E-3</v>
      </c>
      <c r="AA1481">
        <v>0.9957298</v>
      </c>
      <c r="AB1481">
        <v>27</v>
      </c>
      <c r="AC1481">
        <v>-13.412299999999901</v>
      </c>
      <c r="AD1481">
        <v>-1.1042989676902699</v>
      </c>
      <c r="AE1481">
        <v>-1.4612999999999901</v>
      </c>
      <c r="AF1481">
        <v>-1.2646025590171099</v>
      </c>
      <c r="AG1481">
        <v>-1.1042989676902699</v>
      </c>
      <c r="AH1481">
        <v>13.342087895908101</v>
      </c>
      <c r="AI1481">
        <v>94.710460790194702</v>
      </c>
      <c r="AJ1481">
        <v>95.414487893704404</v>
      </c>
      <c r="AK1481">
        <v>13.447304758368899</v>
      </c>
    </row>
    <row r="1482" spans="1:37" x14ac:dyDescent="0.2">
      <c r="A1482" t="str">
        <f>"20200111160133486"</f>
        <v>20200111160133486</v>
      </c>
      <c r="B1482" t="str">
        <f>"1578729693482214"</f>
        <v>1578729693482214</v>
      </c>
      <c r="C1482" t="s">
        <v>37</v>
      </c>
      <c r="D1482">
        <v>4.7874210000000001</v>
      </c>
      <c r="E1482">
        <v>0.48737419999999998</v>
      </c>
      <c r="F1482" t="s">
        <v>57</v>
      </c>
      <c r="G1482">
        <v>-333.31670000000003</v>
      </c>
      <c r="H1482" s="1">
        <v>2.3675009999999999E-7</v>
      </c>
      <c r="I1482">
        <v>284.42129999999997</v>
      </c>
      <c r="J1482">
        <v>-319.78269999999998</v>
      </c>
      <c r="K1482">
        <v>1.104301</v>
      </c>
      <c r="L1482">
        <v>285.92899999999997</v>
      </c>
      <c r="M1482">
        <v>-0.99980619999999998</v>
      </c>
      <c r="N1482">
        <v>0</v>
      </c>
      <c r="O1482">
        <v>-1.3843350000000001E-2</v>
      </c>
      <c r="P1482">
        <v>-0.99728449999999902</v>
      </c>
      <c r="Q1482">
        <v>1.7519949999999999E-2</v>
      </c>
      <c r="R1482">
        <v>-7.1532589999999993E-2</v>
      </c>
      <c r="S1482">
        <v>-2.9889220000000001</v>
      </c>
      <c r="T1482">
        <v>-0.23931179999999999</v>
      </c>
      <c r="U1482">
        <v>-0.3274841</v>
      </c>
      <c r="V1482">
        <v>-5.7706880000000002E-2</v>
      </c>
      <c r="W1482">
        <v>3.1521170000000001E-2</v>
      </c>
      <c r="X1482">
        <v>0.99783580000000005</v>
      </c>
      <c r="Y1482">
        <v>-9.4885189999999994E-2</v>
      </c>
      <c r="Z1482">
        <v>-2.6780200000000001E-3</v>
      </c>
      <c r="AA1482">
        <v>0.99548459999999905</v>
      </c>
      <c r="AB1482">
        <v>27</v>
      </c>
      <c r="AC1482">
        <v>-13.534000000000001</v>
      </c>
      <c r="AD1482">
        <v>-1.10430076324989</v>
      </c>
      <c r="AE1482">
        <v>-1.50770000000005</v>
      </c>
      <c r="AF1482">
        <v>-1.3115563667618699</v>
      </c>
      <c r="AG1482">
        <v>-1.10430076324989</v>
      </c>
      <c r="AH1482">
        <v>13.465029659977199</v>
      </c>
      <c r="AI1482">
        <v>94.666490774348603</v>
      </c>
      <c r="AJ1482">
        <v>95.563324753651202</v>
      </c>
      <c r="AK1482">
        <v>13.573749814365</v>
      </c>
    </row>
    <row r="1483" spans="1:37" x14ac:dyDescent="0.2">
      <c r="A1483" t="str">
        <f>"20200111160133509"</f>
        <v>20200111160133509</v>
      </c>
      <c r="B1483" t="str">
        <f>"1578729693502873"</f>
        <v>1578729693502873</v>
      </c>
      <c r="C1483" t="s">
        <v>37</v>
      </c>
      <c r="D1483">
        <v>4.7791410000000001</v>
      </c>
      <c r="E1483">
        <v>0.48752440000000002</v>
      </c>
      <c r="F1483" t="s">
        <v>57</v>
      </c>
      <c r="G1483">
        <v>-333.7971</v>
      </c>
      <c r="H1483" s="1">
        <v>4.9454919999999995E-7</v>
      </c>
      <c r="I1483">
        <v>284.37099999999998</v>
      </c>
      <c r="J1483">
        <v>-320.06799999999998</v>
      </c>
      <c r="K1483">
        <v>1.104298</v>
      </c>
      <c r="L1483">
        <v>285.92529999999999</v>
      </c>
      <c r="M1483">
        <v>-0.99980910000000001</v>
      </c>
      <c r="N1483">
        <v>0</v>
      </c>
      <c r="O1483">
        <v>-1.364606E-2</v>
      </c>
      <c r="P1483">
        <v>-0.99720169999999997</v>
      </c>
      <c r="Q1483">
        <v>1.758007E-2</v>
      </c>
      <c r="R1483">
        <v>-7.2663489999999997E-2</v>
      </c>
      <c r="S1483">
        <v>-2.988464</v>
      </c>
      <c r="T1483">
        <v>-0.2354842</v>
      </c>
      <c r="U1483">
        <v>-0.33224490000000001</v>
      </c>
      <c r="V1483">
        <v>-5.9036150000000003E-2</v>
      </c>
      <c r="W1483">
        <v>3.156072E-2</v>
      </c>
      <c r="X1483">
        <v>0.9977568</v>
      </c>
      <c r="Y1483">
        <v>-9.6666810000000006E-2</v>
      </c>
      <c r="Z1483">
        <v>-2.7208359999999999E-3</v>
      </c>
      <c r="AA1483">
        <v>0.99531309999999995</v>
      </c>
      <c r="AB1483">
        <v>27</v>
      </c>
      <c r="AC1483">
        <v>-13.729100000000001</v>
      </c>
      <c r="AD1483">
        <v>-1.1042975054508</v>
      </c>
      <c r="AE1483">
        <v>-1.55430000000001</v>
      </c>
      <c r="AF1483">
        <v>-1.35811333365242</v>
      </c>
      <c r="AG1483">
        <v>-1.1042975054508</v>
      </c>
      <c r="AH1483">
        <v>13.6617637808969</v>
      </c>
      <c r="AI1483">
        <v>94.598673661840493</v>
      </c>
      <c r="AJ1483">
        <v>95.677110561041999</v>
      </c>
      <c r="AK1483">
        <v>13.7734430848868</v>
      </c>
    </row>
    <row r="1484" spans="1:37" x14ac:dyDescent="0.2">
      <c r="A1484" t="str">
        <f>"20200111160133531"</f>
        <v>20200111160133531</v>
      </c>
      <c r="B1484" t="str">
        <f>"1578729693522393"</f>
        <v>1578729693522393</v>
      </c>
      <c r="C1484" t="s">
        <v>37</v>
      </c>
      <c r="D1484">
        <v>4.7773789999999998</v>
      </c>
      <c r="E1484">
        <v>0.4876375</v>
      </c>
      <c r="F1484" t="s">
        <v>57</v>
      </c>
      <c r="G1484">
        <v>-334.22620000000001</v>
      </c>
      <c r="H1484" s="1">
        <v>7.2418889999999996E-7</v>
      </c>
      <c r="I1484">
        <v>284.3417</v>
      </c>
      <c r="J1484">
        <v>-320.32799999999997</v>
      </c>
      <c r="K1484">
        <v>1.1042780000000001</v>
      </c>
      <c r="L1484">
        <v>285.92189999999999</v>
      </c>
      <c r="M1484">
        <v>-0.99981249999999999</v>
      </c>
      <c r="N1484">
        <v>0</v>
      </c>
      <c r="O1484">
        <v>-1.346581E-2</v>
      </c>
      <c r="P1484">
        <v>-0.99724049999999997</v>
      </c>
      <c r="Q1484">
        <v>1.6392070000000002E-2</v>
      </c>
      <c r="R1484">
        <v>-7.2407600000000003E-2</v>
      </c>
      <c r="S1484">
        <v>-2.9881899999999999</v>
      </c>
      <c r="T1484">
        <v>-0.2330701</v>
      </c>
      <c r="U1484">
        <v>-0.33422849999999998</v>
      </c>
      <c r="V1484">
        <v>-5.895947E-2</v>
      </c>
      <c r="W1484">
        <v>3.030439E-2</v>
      </c>
      <c r="X1484">
        <v>0.99780029999999997</v>
      </c>
      <c r="Y1484">
        <v>-9.7510940000000004E-2</v>
      </c>
      <c r="Z1484">
        <v>-2.739932E-3</v>
      </c>
      <c r="AA1484">
        <v>0.99523069999999902</v>
      </c>
      <c r="AB1484">
        <v>27</v>
      </c>
      <c r="AC1484">
        <v>-13.898199999999999</v>
      </c>
      <c r="AD1484">
        <v>-1.1042772758110999</v>
      </c>
      <c r="AE1484">
        <v>-1.5801999999999901</v>
      </c>
      <c r="AF1484">
        <v>-1.3842606787452401</v>
      </c>
      <c r="AG1484">
        <v>-1.1042772758110999</v>
      </c>
      <c r="AH1484">
        <v>13.8320126240927</v>
      </c>
      <c r="AI1484">
        <v>94.541929329626498</v>
      </c>
      <c r="AJ1484">
        <v>95.7149380321747</v>
      </c>
      <c r="AK1484">
        <v>13.9448979616795</v>
      </c>
    </row>
    <row r="1485" spans="1:37" x14ac:dyDescent="0.2">
      <c r="A1485" t="str">
        <f>"20200111160133552"</f>
        <v>20200111160133552</v>
      </c>
      <c r="B1485" t="str">
        <f>"1578729693542890"</f>
        <v>1578729693542890</v>
      </c>
      <c r="C1485" t="s">
        <v>37</v>
      </c>
      <c r="D1485">
        <v>4.8342080000000003</v>
      </c>
      <c r="E1485">
        <v>0.48775779999999902</v>
      </c>
      <c r="F1485" t="s">
        <v>57</v>
      </c>
      <c r="G1485">
        <v>-334.36520000000002</v>
      </c>
      <c r="H1485" s="1">
        <v>7.9738699999999899E-7</v>
      </c>
      <c r="I1485">
        <v>284.35980000000001</v>
      </c>
      <c r="J1485">
        <v>-320.58539999999999</v>
      </c>
      <c r="K1485">
        <v>1.104249</v>
      </c>
      <c r="L1485">
        <v>285.9187</v>
      </c>
      <c r="M1485">
        <v>-0.99981620000000004</v>
      </c>
      <c r="N1485">
        <v>0</v>
      </c>
      <c r="O1485">
        <v>-1.3290349999999999E-2</v>
      </c>
      <c r="P1485">
        <v>-0.99735069999999904</v>
      </c>
      <c r="Q1485">
        <v>1.5745350000000002E-2</v>
      </c>
      <c r="R1485">
        <v>-7.1020879999999995E-2</v>
      </c>
      <c r="S1485">
        <v>-2.9880680000000002</v>
      </c>
      <c r="T1485">
        <v>-0.23506489999999999</v>
      </c>
      <c r="U1485">
        <v>-0.33251950000000002</v>
      </c>
      <c r="V1485">
        <v>-5.7746980000000003E-2</v>
      </c>
      <c r="W1485">
        <v>2.9558950000000001E-2</v>
      </c>
      <c r="X1485">
        <v>0.99789359999999905</v>
      </c>
      <c r="Y1485">
        <v>-9.7124160000000001E-2</v>
      </c>
      <c r="Z1485">
        <v>-2.7621019999999998E-3</v>
      </c>
      <c r="AA1485">
        <v>0.9952685</v>
      </c>
      <c r="AB1485">
        <v>27</v>
      </c>
      <c r="AC1485">
        <v>-13.7798</v>
      </c>
      <c r="AD1485">
        <v>-1.1042482026130001</v>
      </c>
      <c r="AE1485">
        <v>-1.55889999999999</v>
      </c>
      <c r="AF1485">
        <v>-1.36693933843374</v>
      </c>
      <c r="AG1485">
        <v>-1.1042482026130001</v>
      </c>
      <c r="AH1485">
        <v>13.7123595913068</v>
      </c>
      <c r="AI1485">
        <v>94.581449688114105</v>
      </c>
      <c r="AJ1485">
        <v>95.692817321718493</v>
      </c>
      <c r="AK1485">
        <v>13.824496114117</v>
      </c>
    </row>
    <row r="1486" spans="1:37" x14ac:dyDescent="0.2">
      <c r="A1486" t="str">
        <f>"20200111160133576"</f>
        <v>20200111160133576</v>
      </c>
      <c r="B1486" t="str">
        <f>"1578729693572170"</f>
        <v>1578729693572170</v>
      </c>
      <c r="C1486" t="s">
        <v>37</v>
      </c>
      <c r="D1486">
        <v>4.8954699999999898</v>
      </c>
      <c r="E1486">
        <v>0.52806660000000005</v>
      </c>
      <c r="F1486" t="s">
        <v>57</v>
      </c>
      <c r="G1486">
        <v>-334.55680000000001</v>
      </c>
      <c r="H1486" s="1">
        <v>8.9805639999999995E-7</v>
      </c>
      <c r="I1486">
        <v>284.38929999999999</v>
      </c>
      <c r="J1486">
        <v>-320.85719999999998</v>
      </c>
      <c r="K1486">
        <v>1.1042049999999899</v>
      </c>
      <c r="L1486">
        <v>285.91539999999998</v>
      </c>
      <c r="M1486">
        <v>-0.99982090000000001</v>
      </c>
      <c r="N1486">
        <v>0</v>
      </c>
      <c r="O1486">
        <v>-1.3106990000000001E-2</v>
      </c>
      <c r="P1486">
        <v>-0.99750519999999998</v>
      </c>
      <c r="Q1486">
        <v>1.5254210000000001E-2</v>
      </c>
      <c r="R1486">
        <v>-6.8926699999999994E-2</v>
      </c>
      <c r="S1486">
        <v>-2.9884029999999999</v>
      </c>
      <c r="T1486">
        <v>-0.2361926</v>
      </c>
      <c r="U1486">
        <v>-0.32714840000000001</v>
      </c>
      <c r="V1486">
        <v>-5.5834139999999997E-2</v>
      </c>
      <c r="W1486">
        <v>2.8912150000000001E-2</v>
      </c>
      <c r="X1486">
        <v>0.99802139999999995</v>
      </c>
      <c r="Y1486">
        <v>-9.5528890000000005E-2</v>
      </c>
      <c r="Z1486">
        <v>-2.7269379999999999E-3</v>
      </c>
      <c r="AA1486">
        <v>0.995422899999999</v>
      </c>
      <c r="AB1486">
        <v>27</v>
      </c>
      <c r="AC1486">
        <v>-13.6996</v>
      </c>
      <c r="AD1486">
        <v>-1.1042041019436</v>
      </c>
      <c r="AE1486">
        <v>-1.52609999999998</v>
      </c>
      <c r="AF1486">
        <v>-1.3378070241740301</v>
      </c>
      <c r="AG1486">
        <v>-1.1042041019436</v>
      </c>
      <c r="AH1486">
        <v>13.630958621221</v>
      </c>
      <c r="AI1486">
        <v>94.609201409712298</v>
      </c>
      <c r="AJ1486">
        <v>95.605328372297095</v>
      </c>
      <c r="AK1486">
        <v>13.740888881950699</v>
      </c>
    </row>
    <row r="1487" spans="1:37" x14ac:dyDescent="0.2">
      <c r="A1487" t="str">
        <f>"20200111160133597"</f>
        <v>20200111160133597</v>
      </c>
      <c r="B1487" t="str">
        <f>"1578729693592540"</f>
        <v>1578729693592540</v>
      </c>
      <c r="C1487" t="s">
        <v>37</v>
      </c>
      <c r="D1487">
        <v>4.9822870000000004</v>
      </c>
      <c r="E1487">
        <v>0.53453200000000001</v>
      </c>
      <c r="F1487" t="s">
        <v>42</v>
      </c>
      <c r="G1487">
        <v>-321.7396</v>
      </c>
      <c r="H1487">
        <v>1.031549</v>
      </c>
      <c r="I1487">
        <v>285.9151</v>
      </c>
      <c r="J1487">
        <v>-321.11930000000001</v>
      </c>
      <c r="K1487">
        <v>1.104166</v>
      </c>
      <c r="L1487">
        <v>285.91219999999998</v>
      </c>
      <c r="M1487">
        <v>-0.99982599999999999</v>
      </c>
      <c r="N1487">
        <v>0</v>
      </c>
      <c r="O1487">
        <v>-1.292429E-2</v>
      </c>
      <c r="P1487">
        <v>-0.99769680000000005</v>
      </c>
      <c r="Q1487">
        <v>1.488012E-2</v>
      </c>
      <c r="R1487">
        <v>-6.6180359999999994E-2</v>
      </c>
      <c r="S1487">
        <v>-3.0112610000000002</v>
      </c>
      <c r="T1487">
        <v>-0.24790509999999999</v>
      </c>
      <c r="U1487">
        <v>-3.9672850000000001E-4</v>
      </c>
      <c r="V1487">
        <v>-5.3268339999999997E-2</v>
      </c>
      <c r="W1487">
        <v>2.833447E-2</v>
      </c>
      <c r="X1487">
        <v>0.99817819999999902</v>
      </c>
      <c r="Y1487">
        <v>1.2707E-2</v>
      </c>
      <c r="Z1487">
        <v>1.5844570000000001E-3</v>
      </c>
      <c r="AA1487">
        <v>0.99991799999999997</v>
      </c>
      <c r="AB1487">
        <v>27</v>
      </c>
      <c r="AC1487">
        <v>-0.62029999999998597</v>
      </c>
      <c r="AD1487">
        <v>-7.2616999999999904E-2</v>
      </c>
      <c r="AE1487">
        <v>2.9000000000110001E-3</v>
      </c>
      <c r="AF1487">
        <v>1.0769825001652999E-2</v>
      </c>
      <c r="AG1487">
        <v>-7.2616999999999904E-2</v>
      </c>
      <c r="AH1487">
        <v>0.61182592277978498</v>
      </c>
      <c r="AI1487">
        <v>96.767674159259599</v>
      </c>
      <c r="AJ1487">
        <v>88.991540283754802</v>
      </c>
      <c r="AK1487">
        <v>0.61621439256552701</v>
      </c>
    </row>
    <row r="1488" spans="1:37" x14ac:dyDescent="0.2">
      <c r="A1488" t="str">
        <f>"20200111160133620"</f>
        <v>20200111160133620</v>
      </c>
      <c r="B1488" t="str">
        <f>"1578729693613036"</f>
        <v>1578729693613036</v>
      </c>
      <c r="C1488" t="s">
        <v>37</v>
      </c>
      <c r="D1488">
        <v>4.9568839999999996</v>
      </c>
      <c r="E1488">
        <v>0.53738520000000001</v>
      </c>
      <c r="F1488" t="s">
        <v>42</v>
      </c>
      <c r="G1488">
        <v>-321.97989999999999</v>
      </c>
      <c r="H1488">
        <v>1.033704</v>
      </c>
      <c r="I1488">
        <v>285.92930000000001</v>
      </c>
      <c r="J1488">
        <v>-321.39350000000002</v>
      </c>
      <c r="K1488">
        <v>1.10412</v>
      </c>
      <c r="L1488">
        <v>285.90890000000002</v>
      </c>
      <c r="M1488">
        <v>-0.99983199999999905</v>
      </c>
      <c r="N1488">
        <v>0</v>
      </c>
      <c r="O1488">
        <v>-1.272796E-2</v>
      </c>
      <c r="P1488">
        <v>-0.99788299999999996</v>
      </c>
      <c r="Q1488">
        <v>1.437686E-2</v>
      </c>
      <c r="R1488">
        <v>-6.3430920000000002E-2</v>
      </c>
      <c r="S1488">
        <v>-3.0145569999999999</v>
      </c>
      <c r="T1488">
        <v>-0.24688789999999999</v>
      </c>
      <c r="U1488">
        <v>5.9143069999999999E-2</v>
      </c>
      <c r="V1488">
        <v>-5.0713300000000003E-2</v>
      </c>
      <c r="W1488">
        <v>2.7575160000000001E-2</v>
      </c>
      <c r="X1488">
        <v>0.99833249999999996</v>
      </c>
      <c r="Y1488">
        <v>3.2190070000000001E-2</v>
      </c>
      <c r="Z1488">
        <v>2.3564929999999999E-3</v>
      </c>
      <c r="AA1488">
        <v>0.99947900000000001</v>
      </c>
      <c r="AB1488">
        <v>27</v>
      </c>
      <c r="AC1488">
        <v>-0.58639999999996895</v>
      </c>
      <c r="AD1488">
        <v>-7.0415999999999798E-2</v>
      </c>
      <c r="AE1488">
        <v>2.0399999999994999E-2</v>
      </c>
      <c r="AF1488">
        <v>2.7467085241074801E-2</v>
      </c>
      <c r="AG1488">
        <v>-7.0415999999999798E-2</v>
      </c>
      <c r="AH1488">
        <v>0.57777162308227203</v>
      </c>
      <c r="AI1488">
        <v>96.940900247674193</v>
      </c>
      <c r="AJ1488">
        <v>87.278225455399706</v>
      </c>
      <c r="AK1488">
        <v>0.58269451882334</v>
      </c>
    </row>
    <row r="1489" spans="1:37" x14ac:dyDescent="0.2">
      <c r="A1489" t="str">
        <f>"20200111160133642"</f>
        <v>20200111160133642</v>
      </c>
      <c r="B1489" t="str">
        <f>"1578729693632555"</f>
        <v>1578729693632555</v>
      </c>
      <c r="C1489" t="s">
        <v>37</v>
      </c>
      <c r="D1489">
        <v>4.9334959999999999</v>
      </c>
      <c r="E1489">
        <v>0.53886679999999998</v>
      </c>
      <c r="F1489" t="s">
        <v>42</v>
      </c>
      <c r="G1489">
        <v>-322.22059999999999</v>
      </c>
      <c r="H1489">
        <v>1.0365549999999999</v>
      </c>
      <c r="I1489">
        <v>285.93360000000001</v>
      </c>
      <c r="J1489">
        <v>-321.65260000000001</v>
      </c>
      <c r="K1489">
        <v>1.1040700000000001</v>
      </c>
      <c r="L1489">
        <v>285.9058</v>
      </c>
      <c r="M1489">
        <v>-0.99983770000000005</v>
      </c>
      <c r="N1489">
        <v>0</v>
      </c>
      <c r="O1489">
        <v>-1.2541129999999999E-2</v>
      </c>
      <c r="P1489">
        <v>-0.9980483</v>
      </c>
      <c r="Q1489">
        <v>1.4716299999999899E-2</v>
      </c>
      <c r="R1489">
        <v>-6.0687659999999997E-2</v>
      </c>
      <c r="S1489">
        <v>-3.015625</v>
      </c>
      <c r="T1489">
        <v>-0.24631459999999999</v>
      </c>
      <c r="U1489">
        <v>8.9965820000000002E-2</v>
      </c>
      <c r="V1489">
        <v>-4.8155730000000001E-2</v>
      </c>
      <c r="W1489">
        <v>2.7652380000000001E-2</v>
      </c>
      <c r="X1489">
        <v>0.99845699999999904</v>
      </c>
      <c r="Y1489">
        <v>4.217216E-2</v>
      </c>
      <c r="Z1489">
        <v>2.7415930000000001E-3</v>
      </c>
      <c r="AA1489">
        <v>0.99910659999999896</v>
      </c>
      <c r="AB1489">
        <v>27</v>
      </c>
      <c r="AC1489">
        <v>-0.56799999999998296</v>
      </c>
      <c r="AD1489">
        <v>-6.75150000000002E-2</v>
      </c>
      <c r="AE1489">
        <v>2.78000000000133E-2</v>
      </c>
      <c r="AF1489">
        <v>3.4436390538454403E-2</v>
      </c>
      <c r="AG1489">
        <v>-6.75150000000002E-2</v>
      </c>
      <c r="AH1489">
        <v>0.55971743898123905</v>
      </c>
      <c r="AI1489">
        <v>96.865123200106197</v>
      </c>
      <c r="AJ1489">
        <v>86.479337937882306</v>
      </c>
      <c r="AK1489">
        <v>0.56482541702550304</v>
      </c>
    </row>
    <row r="1490" spans="1:37" x14ac:dyDescent="0.2">
      <c r="A1490" t="str">
        <f>"20200111160133663"</f>
        <v>20200111160133663</v>
      </c>
      <c r="B1490" t="str">
        <f>"1578729693652076"</f>
        <v>1578729693652076</v>
      </c>
      <c r="C1490" t="s">
        <v>37</v>
      </c>
      <c r="D1490">
        <v>5.1279320000000004</v>
      </c>
      <c r="E1490">
        <v>0.53956559999999998</v>
      </c>
      <c r="F1490" t="s">
        <v>42</v>
      </c>
      <c r="G1490">
        <v>-322.46140000000003</v>
      </c>
      <c r="H1490">
        <v>1.0386010000000001</v>
      </c>
      <c r="I1490">
        <v>285.93540000000002</v>
      </c>
      <c r="J1490">
        <v>-321.9135</v>
      </c>
      <c r="K1490">
        <v>1.104026</v>
      </c>
      <c r="L1490">
        <v>285.90269999999998</v>
      </c>
      <c r="M1490">
        <v>-0.99984340000000005</v>
      </c>
      <c r="N1490">
        <v>0</v>
      </c>
      <c r="O1490">
        <v>-1.235525E-2</v>
      </c>
      <c r="P1490">
        <v>-0.9981776</v>
      </c>
      <c r="Q1490">
        <v>1.383143E-2</v>
      </c>
      <c r="R1490">
        <v>-5.8736730000000001E-2</v>
      </c>
      <c r="S1490">
        <v>-3.0161739999999999</v>
      </c>
      <c r="T1490">
        <v>-0.24416940000000001</v>
      </c>
      <c r="U1490">
        <v>0.11007690000000001</v>
      </c>
      <c r="V1490">
        <v>-4.6389329999999999E-2</v>
      </c>
      <c r="W1490">
        <v>2.6505999999999998E-2</v>
      </c>
      <c r="X1490">
        <v>0.99857169999999895</v>
      </c>
      <c r="Y1490">
        <v>4.8617269999999997E-2</v>
      </c>
      <c r="Z1490">
        <v>2.962353E-3</v>
      </c>
      <c r="AA1490">
        <v>0.99881309999999901</v>
      </c>
      <c r="AB1490">
        <v>27</v>
      </c>
      <c r="AC1490">
        <v>-0.54790000000002603</v>
      </c>
      <c r="AD1490">
        <v>-6.5424999999999803E-2</v>
      </c>
      <c r="AE1490">
        <v>3.2700000000033903E-2</v>
      </c>
      <c r="AF1490">
        <v>3.8914580336154997E-2</v>
      </c>
      <c r="AG1490">
        <v>-6.5424999999999803E-2</v>
      </c>
      <c r="AH1490">
        <v>0.539784725997838</v>
      </c>
      <c r="AI1490">
        <v>96.893148934819905</v>
      </c>
      <c r="AJ1490">
        <v>85.876521967027998</v>
      </c>
      <c r="AK1490">
        <v>0.54512597223788495</v>
      </c>
    </row>
    <row r="1491" spans="1:37" x14ac:dyDescent="0.2">
      <c r="A1491" t="str">
        <f>"20200111160133687"</f>
        <v>20200111160133687</v>
      </c>
      <c r="B1491" t="str">
        <f>"1578729693682332"</f>
        <v>1578729693682332</v>
      </c>
      <c r="C1491" t="s">
        <v>37</v>
      </c>
      <c r="D1491">
        <v>4.9672219999999996</v>
      </c>
      <c r="E1491">
        <v>0.54018409999999994</v>
      </c>
      <c r="F1491" t="s">
        <v>42</v>
      </c>
      <c r="G1491">
        <v>-322.702</v>
      </c>
      <c r="H1491">
        <v>1.0401290000000001</v>
      </c>
      <c r="I1491">
        <v>285.93450000000001</v>
      </c>
      <c r="J1491">
        <v>-322.18920000000003</v>
      </c>
      <c r="K1491">
        <v>1.10399</v>
      </c>
      <c r="L1491">
        <v>285.89949999999999</v>
      </c>
      <c r="M1491">
        <v>-0.99984910000000005</v>
      </c>
      <c r="N1491">
        <v>0</v>
      </c>
      <c r="O1491">
        <v>-1.21627E-2</v>
      </c>
      <c r="P1491">
        <v>-0.99830560000000002</v>
      </c>
      <c r="Q1491">
        <v>1.305158E-2</v>
      </c>
      <c r="R1491">
        <v>-5.6708849999999998E-2</v>
      </c>
      <c r="S1491">
        <v>-3.0159910000000001</v>
      </c>
      <c r="T1491">
        <v>-0.244386299999999</v>
      </c>
      <c r="U1491">
        <v>0.1213989</v>
      </c>
      <c r="V1491">
        <v>-4.4552499999999898E-2</v>
      </c>
      <c r="W1491">
        <v>2.546638E-2</v>
      </c>
      <c r="X1491">
        <v>0.99868239999999997</v>
      </c>
      <c r="Y1491">
        <v>5.2159480000000001E-2</v>
      </c>
      <c r="Z1491">
        <v>3.0925919999999999E-3</v>
      </c>
      <c r="AA1491">
        <v>0.99863400000000002</v>
      </c>
      <c r="AB1491">
        <v>27</v>
      </c>
      <c r="AC1491">
        <v>-0.51279999999996995</v>
      </c>
      <c r="AD1491">
        <v>-6.3860999999999904E-2</v>
      </c>
      <c r="AE1491">
        <v>3.5000000000024997E-2</v>
      </c>
      <c r="AF1491">
        <v>4.0608064973409998E-2</v>
      </c>
      <c r="AG1491">
        <v>-6.3860999999999904E-2</v>
      </c>
      <c r="AH1491">
        <v>0.50454773905603501</v>
      </c>
      <c r="AI1491">
        <v>97.190606398773497</v>
      </c>
      <c r="AJ1491">
        <v>85.398519947516405</v>
      </c>
      <c r="AK1491">
        <v>0.51019179065175302</v>
      </c>
    </row>
    <row r="1492" spans="1:37" x14ac:dyDescent="0.2">
      <c r="A1492" t="str">
        <f>"20200111160133710"</f>
        <v>20200111160133710</v>
      </c>
      <c r="B1492" t="str">
        <f>"1578729693702830"</f>
        <v>1578729693702830</v>
      </c>
      <c r="C1492" t="s">
        <v>37</v>
      </c>
      <c r="D1492">
        <v>5.0052099999999999</v>
      </c>
      <c r="E1492">
        <v>0.54033920000000002</v>
      </c>
      <c r="F1492" t="s">
        <v>42</v>
      </c>
      <c r="G1492">
        <v>-322.9434</v>
      </c>
      <c r="H1492">
        <v>1.0426580000000001</v>
      </c>
      <c r="I1492">
        <v>285.93290000000002</v>
      </c>
      <c r="J1492">
        <v>-322.47390000000001</v>
      </c>
      <c r="K1492">
        <v>1.10397099999999</v>
      </c>
      <c r="L1492">
        <v>285.8963</v>
      </c>
      <c r="M1492">
        <v>-0.99985429999999997</v>
      </c>
      <c r="N1492">
        <v>0</v>
      </c>
      <c r="O1492">
        <v>-1.196648E-2</v>
      </c>
      <c r="P1492">
        <v>-0.9984035</v>
      </c>
      <c r="Q1492">
        <v>1.274399E-2</v>
      </c>
      <c r="R1492">
        <v>-5.5028130000000001E-2</v>
      </c>
      <c r="S1492">
        <v>-3.0158390000000002</v>
      </c>
      <c r="T1492">
        <v>-0.24537249999999999</v>
      </c>
      <c r="U1492">
        <v>0.13235469999999999</v>
      </c>
      <c r="V1492">
        <v>-4.3066779999999999E-2</v>
      </c>
      <c r="W1492">
        <v>2.492248E-2</v>
      </c>
      <c r="X1492">
        <v>0.99876129999999996</v>
      </c>
      <c r="Y1492">
        <v>5.5574279999999997E-2</v>
      </c>
      <c r="Z1492">
        <v>3.227644E-3</v>
      </c>
      <c r="AA1492">
        <v>0.99844929999999998</v>
      </c>
      <c r="AB1492">
        <v>27</v>
      </c>
      <c r="AC1492">
        <v>-0.46949999999998199</v>
      </c>
      <c r="AD1492">
        <v>-6.1312999999999701E-2</v>
      </c>
      <c r="AE1492">
        <v>3.6600000000021199E-2</v>
      </c>
      <c r="AF1492">
        <v>4.1512369547415003E-2</v>
      </c>
      <c r="AG1492">
        <v>-6.1312999999999701E-2</v>
      </c>
      <c r="AH1492">
        <v>0.46121026465198101</v>
      </c>
      <c r="AI1492">
        <v>97.5423270676268</v>
      </c>
      <c r="AJ1492">
        <v>84.856810821722206</v>
      </c>
      <c r="AK1492">
        <v>0.46711611941228498</v>
      </c>
    </row>
    <row r="1493" spans="1:37" x14ac:dyDescent="0.2">
      <c r="A1493" t="str">
        <f>"20200111160133733"</f>
        <v>20200111160133733</v>
      </c>
      <c r="B1493" t="str">
        <f>"1578729693722347"</f>
        <v>1578729693722347</v>
      </c>
      <c r="C1493" t="s">
        <v>37</v>
      </c>
      <c r="D1493">
        <v>4.9938949999999904</v>
      </c>
      <c r="E1493">
        <v>0.54042290000000004</v>
      </c>
      <c r="F1493" t="s">
        <v>42</v>
      </c>
      <c r="G1493">
        <v>-323.4169</v>
      </c>
      <c r="H1493">
        <v>1.0275080000000001</v>
      </c>
      <c r="I1493">
        <v>285.93990000000002</v>
      </c>
      <c r="J1493">
        <v>-322.7398</v>
      </c>
      <c r="K1493">
        <v>1.103963</v>
      </c>
      <c r="L1493">
        <v>285.89330000000001</v>
      </c>
      <c r="M1493">
        <v>-0.99985879999999905</v>
      </c>
      <c r="N1493">
        <v>0</v>
      </c>
      <c r="O1493">
        <v>-1.1783449999999999E-2</v>
      </c>
      <c r="P1493">
        <v>-0.99850669999999897</v>
      </c>
      <c r="Q1493">
        <v>1.279049E-2</v>
      </c>
      <c r="R1493">
        <v>-5.311507E-2</v>
      </c>
      <c r="S1493">
        <v>-3.0155639999999999</v>
      </c>
      <c r="T1493">
        <v>-0.24463649999999901</v>
      </c>
      <c r="U1493">
        <v>0.13882449999999999</v>
      </c>
      <c r="V1493">
        <v>-4.1335719999999999E-2</v>
      </c>
      <c r="W1493">
        <v>2.4779470000000001E-2</v>
      </c>
      <c r="X1493">
        <v>0.998837999999999</v>
      </c>
      <c r="Y1493">
        <v>5.7528669999999997E-2</v>
      </c>
      <c r="Z1493">
        <v>3.2824149999999999E-3</v>
      </c>
      <c r="AA1493">
        <v>0.99833850000000002</v>
      </c>
      <c r="AB1493">
        <v>27</v>
      </c>
      <c r="AC1493">
        <v>-0.67709999999999504</v>
      </c>
      <c r="AD1493">
        <v>-7.6454999999999898E-2</v>
      </c>
      <c r="AE1493">
        <v>4.6600000000012097E-2</v>
      </c>
      <c r="AF1493">
        <v>5.3892033067517803E-2</v>
      </c>
      <c r="AG1493">
        <v>-7.6454999999999898E-2</v>
      </c>
      <c r="AH1493">
        <v>0.66802672671587204</v>
      </c>
      <c r="AI1493">
        <v>96.508075978599194</v>
      </c>
      <c r="AJ1493">
        <v>85.387739283673696</v>
      </c>
      <c r="AK1493">
        <v>0.67454386503760599</v>
      </c>
    </row>
    <row r="1494" spans="1:37" x14ac:dyDescent="0.2">
      <c r="A1494" t="str">
        <f>"20200111160133754"</f>
        <v>20200111160133754</v>
      </c>
      <c r="B1494" t="str">
        <f>"1578729693742844"</f>
        <v>1578729693742844</v>
      </c>
      <c r="C1494" t="s">
        <v>37</v>
      </c>
      <c r="D1494">
        <v>4.9885849999999996</v>
      </c>
      <c r="E1494">
        <v>0.54031680000000004</v>
      </c>
      <c r="F1494" t="s">
        <v>42</v>
      </c>
      <c r="G1494">
        <v>-323.65899999999999</v>
      </c>
      <c r="H1494">
        <v>1.030046</v>
      </c>
      <c r="I1494">
        <v>285.93770000000001</v>
      </c>
      <c r="J1494">
        <v>-322.99669999999998</v>
      </c>
      <c r="K1494">
        <v>1.1039570000000001</v>
      </c>
      <c r="L1494">
        <v>285.89049999999997</v>
      </c>
      <c r="M1494">
        <v>-0.99986280000000005</v>
      </c>
      <c r="N1494">
        <v>0</v>
      </c>
      <c r="O1494">
        <v>-1.160595E-2</v>
      </c>
      <c r="P1494">
        <v>-0.99859019999999998</v>
      </c>
      <c r="Q1494">
        <v>1.358731E-2</v>
      </c>
      <c r="R1494">
        <v>-5.1314850000000002E-2</v>
      </c>
      <c r="S1494">
        <v>-3.01532</v>
      </c>
      <c r="T1494">
        <v>-0.24241509999999999</v>
      </c>
      <c r="U1494">
        <v>0.14550779999999999</v>
      </c>
      <c r="V1494">
        <v>-3.9711860000000002E-2</v>
      </c>
      <c r="W1494">
        <v>2.541299E-2</v>
      </c>
      <c r="X1494">
        <v>0.998887999999999</v>
      </c>
      <c r="Y1494">
        <v>5.9561000000000003E-2</v>
      </c>
      <c r="Z1494">
        <v>3.320075E-3</v>
      </c>
      <c r="AA1494">
        <v>0.99821909999999903</v>
      </c>
      <c r="AB1494">
        <v>27</v>
      </c>
      <c r="AC1494">
        <v>-0.66230000000001599</v>
      </c>
      <c r="AD1494">
        <v>-7.3911000000000004E-2</v>
      </c>
      <c r="AE1494">
        <v>4.7200000000032098E-2</v>
      </c>
      <c r="AF1494">
        <v>5.4212231142487501E-2</v>
      </c>
      <c r="AG1494">
        <v>-7.3911000000000004E-2</v>
      </c>
      <c r="AH1494">
        <v>0.65360864385533901</v>
      </c>
      <c r="AI1494">
        <v>96.429788505672406</v>
      </c>
      <c r="AJ1494">
        <v>85.258571905157595</v>
      </c>
      <c r="AK1494">
        <v>0.660004591839225</v>
      </c>
    </row>
    <row r="1495" spans="1:37" x14ac:dyDescent="0.2">
      <c r="A1495" t="str">
        <f>"20200111160133776"</f>
        <v>20200111160133776</v>
      </c>
      <c r="B1495" t="str">
        <f>"1578729693773100"</f>
        <v>1578729693773100</v>
      </c>
      <c r="C1495" t="s">
        <v>37</v>
      </c>
      <c r="D1495">
        <v>5.0396589999999897</v>
      </c>
      <c r="E1495">
        <v>0.5402344</v>
      </c>
      <c r="F1495" t="s">
        <v>42</v>
      </c>
      <c r="G1495">
        <v>-323.90120000000002</v>
      </c>
      <c r="H1495">
        <v>1.0325040000000001</v>
      </c>
      <c r="I1495">
        <v>285.9357</v>
      </c>
      <c r="J1495">
        <v>-323.265999999999</v>
      </c>
      <c r="K1495">
        <v>1.103947</v>
      </c>
      <c r="L1495">
        <v>285.88749999999999</v>
      </c>
      <c r="M1495">
        <v>-0.99986679999999994</v>
      </c>
      <c r="N1495">
        <v>0</v>
      </c>
      <c r="O1495">
        <v>-1.1418879999999999E-2</v>
      </c>
      <c r="P1495">
        <v>-0.99868210000000002</v>
      </c>
      <c r="Q1495">
        <v>1.415783E-2</v>
      </c>
      <c r="R1495">
        <v>-4.933709E-2</v>
      </c>
      <c r="S1495">
        <v>-3.0151669999999999</v>
      </c>
      <c r="T1495">
        <v>-0.23838009999999901</v>
      </c>
      <c r="U1495">
        <v>0.15032960000000001</v>
      </c>
      <c r="V1495">
        <v>-3.7919050000000003E-2</v>
      </c>
      <c r="W1495">
        <v>2.583295E-2</v>
      </c>
      <c r="X1495">
        <v>0.99894680000000002</v>
      </c>
      <c r="Y1495">
        <v>6.0972819999999997E-2</v>
      </c>
      <c r="Z1495">
        <v>3.305952E-3</v>
      </c>
      <c r="AA1495">
        <v>0.99813399999999997</v>
      </c>
      <c r="AB1495">
        <v>27</v>
      </c>
      <c r="AC1495">
        <v>-0.63520000000005405</v>
      </c>
      <c r="AD1495">
        <v>-7.1442999999999895E-2</v>
      </c>
      <c r="AE1495">
        <v>4.8200000000008403E-2</v>
      </c>
      <c r="AF1495">
        <v>5.4761839094744601E-2</v>
      </c>
      <c r="AG1495">
        <v>-7.1442999999999895E-2</v>
      </c>
      <c r="AH1495">
        <v>0.62672532406662396</v>
      </c>
      <c r="AI1495">
        <v>96.478834906331201</v>
      </c>
      <c r="AJ1495">
        <v>85.006307535306902</v>
      </c>
      <c r="AK1495">
        <v>0.63315684715278298</v>
      </c>
    </row>
    <row r="1496" spans="1:37" x14ac:dyDescent="0.2">
      <c r="A1496" t="str">
        <f>"20200111160133799"</f>
        <v>20200111160133799</v>
      </c>
      <c r="B1496" t="str">
        <f>"1578729693792620"</f>
        <v>1578729693792620</v>
      </c>
      <c r="C1496" t="s">
        <v>37</v>
      </c>
      <c r="D1496">
        <v>5.0540880000000001</v>
      </c>
      <c r="E1496">
        <v>0.54008080000000003</v>
      </c>
      <c r="F1496" t="s">
        <v>42</v>
      </c>
      <c r="G1496">
        <v>-324.14370000000002</v>
      </c>
      <c r="H1496">
        <v>1.0353139999999901</v>
      </c>
      <c r="I1496">
        <v>285.93310000000002</v>
      </c>
      <c r="J1496">
        <v>-323.53699999999998</v>
      </c>
      <c r="K1496">
        <v>1.1039479999999999</v>
      </c>
      <c r="L1496">
        <v>285.88470000000001</v>
      </c>
      <c r="M1496">
        <v>-0.99987039999999905</v>
      </c>
      <c r="N1496">
        <v>0</v>
      </c>
      <c r="O1496">
        <v>-1.1229350000000001E-2</v>
      </c>
      <c r="P1496">
        <v>-0.99876039999999899</v>
      </c>
      <c r="Q1496">
        <v>1.403887E-2</v>
      </c>
      <c r="R1496">
        <v>-4.7758910000000002E-2</v>
      </c>
      <c r="S1496">
        <v>-3.015015</v>
      </c>
      <c r="T1496">
        <v>-0.23586170000000001</v>
      </c>
      <c r="U1496">
        <v>0.15597529999999901</v>
      </c>
      <c r="V1496">
        <v>-3.653025E-2</v>
      </c>
      <c r="W1496">
        <v>2.5586500000000002E-2</v>
      </c>
      <c r="X1496">
        <v>0.99900499999999903</v>
      </c>
      <c r="Y1496">
        <v>6.265047E-2</v>
      </c>
      <c r="Z1496">
        <v>3.3218229999999998E-3</v>
      </c>
      <c r="AA1496">
        <v>0.99802999999999997</v>
      </c>
      <c r="AB1496">
        <v>27</v>
      </c>
      <c r="AC1496">
        <v>-0.60669999999998903</v>
      </c>
      <c r="AD1496">
        <v>-6.8634000000000001E-2</v>
      </c>
      <c r="AE1496">
        <v>4.8400000000015098E-2</v>
      </c>
      <c r="AF1496">
        <v>5.4516970346955601E-2</v>
      </c>
      <c r="AG1496">
        <v>-6.8634000000000001E-2</v>
      </c>
      <c r="AH1496">
        <v>0.59850715108463803</v>
      </c>
      <c r="AI1496">
        <v>96.515096881479096</v>
      </c>
      <c r="AJ1496">
        <v>84.795390209462497</v>
      </c>
      <c r="AK1496">
        <v>0.60489134223533103</v>
      </c>
    </row>
    <row r="1497" spans="1:37" x14ac:dyDescent="0.2">
      <c r="A1497" t="str">
        <f>"20200111160133821"</f>
        <v>20200111160133821</v>
      </c>
      <c r="B1497" t="str">
        <f>"1578729693813117"</f>
        <v>1578729693813117</v>
      </c>
      <c r="C1497" t="s">
        <v>37</v>
      </c>
      <c r="D1497">
        <v>5.0874809999999897</v>
      </c>
      <c r="E1497">
        <v>0.54002569999999905</v>
      </c>
      <c r="F1497" t="s">
        <v>42</v>
      </c>
      <c r="G1497">
        <v>-324.38619999999997</v>
      </c>
      <c r="H1497">
        <v>1.0376019999999999</v>
      </c>
      <c r="I1497">
        <v>285.93</v>
      </c>
      <c r="J1497">
        <v>-323.81630000000001</v>
      </c>
      <c r="K1497">
        <v>1.103945</v>
      </c>
      <c r="L1497">
        <v>285.88170000000002</v>
      </c>
      <c r="M1497">
        <v>-0.99987380000000003</v>
      </c>
      <c r="N1497">
        <v>0</v>
      </c>
      <c r="O1497">
        <v>-1.1033980000000001E-2</v>
      </c>
      <c r="P1497">
        <v>-0.99878069999999897</v>
      </c>
      <c r="Q1497">
        <v>1.4988949999999999E-2</v>
      </c>
      <c r="R1497">
        <v>-4.7041109999999997E-2</v>
      </c>
      <c r="S1497">
        <v>-3.014618</v>
      </c>
      <c r="T1497">
        <v>-0.23565359999999999</v>
      </c>
      <c r="U1497">
        <v>0.1599121</v>
      </c>
      <c r="V1497">
        <v>-3.6006879999999998E-2</v>
      </c>
      <c r="W1497">
        <v>2.642974E-2</v>
      </c>
      <c r="X1497">
        <v>0.99900199999999995</v>
      </c>
      <c r="Y1497">
        <v>6.375952E-2</v>
      </c>
      <c r="Z1497">
        <v>3.3472350000000001E-3</v>
      </c>
      <c r="AA1497">
        <v>0.99795970000000001</v>
      </c>
      <c r="AB1497">
        <v>27</v>
      </c>
      <c r="AC1497">
        <v>-0.56989999999996099</v>
      </c>
      <c r="AD1497">
        <v>-6.6342999999999999E-2</v>
      </c>
      <c r="AE1497">
        <v>4.8299999999983301E-2</v>
      </c>
      <c r="AF1497">
        <v>5.3861033607705902E-2</v>
      </c>
      <c r="AG1497">
        <v>-6.6342999999999999E-2</v>
      </c>
      <c r="AH1497">
        <v>0.56177364645626904</v>
      </c>
      <c r="AI1497">
        <v>96.704720809410006</v>
      </c>
      <c r="AJ1497">
        <v>84.523406638730606</v>
      </c>
      <c r="AK1497">
        <v>0.56823589682724596</v>
      </c>
    </row>
    <row r="1498" spans="1:37" x14ac:dyDescent="0.2">
      <c r="A1498" t="str">
        <f>"20200111160133843"</f>
        <v>20200111160133843</v>
      </c>
      <c r="B1498" t="str">
        <f>"1578729693832636"</f>
        <v>1578729693832636</v>
      </c>
      <c r="C1498" t="s">
        <v>37</v>
      </c>
      <c r="D1498">
        <v>5.0508680000000004</v>
      </c>
      <c r="E1498">
        <v>0.53979659999999996</v>
      </c>
      <c r="F1498" t="s">
        <v>42</v>
      </c>
      <c r="G1498">
        <v>-324.62950000000001</v>
      </c>
      <c r="H1498">
        <v>1.041156</v>
      </c>
      <c r="I1498">
        <v>285.92529999999999</v>
      </c>
      <c r="J1498">
        <v>-324.06979999999999</v>
      </c>
      <c r="K1498">
        <v>1.10395</v>
      </c>
      <c r="L1498">
        <v>285.87909999999999</v>
      </c>
      <c r="M1498">
        <v>-0.99987669999999995</v>
      </c>
      <c r="N1498">
        <v>0</v>
      </c>
      <c r="O1498">
        <v>-1.085712E-2</v>
      </c>
      <c r="P1498">
        <v>-0.9988013</v>
      </c>
      <c r="Q1498">
        <v>1.550877E-2</v>
      </c>
      <c r="R1498">
        <v>-4.6432439999999998E-2</v>
      </c>
      <c r="S1498">
        <v>-3.0147710000000001</v>
      </c>
      <c r="T1498">
        <v>-0.23272509999999999</v>
      </c>
      <c r="U1498">
        <v>0.16162109999999999</v>
      </c>
      <c r="V1498">
        <v>-3.5574880000000003E-2</v>
      </c>
      <c r="W1498">
        <v>2.6871610000000001E-2</v>
      </c>
      <c r="X1498">
        <v>0.999005699999999</v>
      </c>
      <c r="Y1498">
        <v>6.4149419999999999E-2</v>
      </c>
      <c r="Z1498">
        <v>3.3069379999999902E-3</v>
      </c>
      <c r="AA1498">
        <v>0.99793480000000001</v>
      </c>
      <c r="AB1498">
        <v>27</v>
      </c>
      <c r="AC1498">
        <v>-0.55970000000001996</v>
      </c>
      <c r="AD1498">
        <v>-6.2794000000000003E-2</v>
      </c>
      <c r="AE1498">
        <v>4.6199999999998902E-2</v>
      </c>
      <c r="AF1498">
        <v>5.1628937054823097E-2</v>
      </c>
      <c r="AG1498">
        <v>-6.2794000000000003E-2</v>
      </c>
      <c r="AH1498">
        <v>0.55226105347147803</v>
      </c>
      <c r="AI1498">
        <v>96.458945997860098</v>
      </c>
      <c r="AJ1498">
        <v>84.659142862361307</v>
      </c>
      <c r="AK1498">
        <v>0.55821223988626201</v>
      </c>
    </row>
    <row r="1499" spans="1:37" x14ac:dyDescent="0.2">
      <c r="A1499" t="str">
        <f>"20200111160133865"</f>
        <v>20200111160133865</v>
      </c>
      <c r="B1499" t="str">
        <f>"1578729693853133"</f>
        <v>1578729693853133</v>
      </c>
      <c r="C1499" t="s">
        <v>37</v>
      </c>
      <c r="D1499">
        <v>5.1381030000000001</v>
      </c>
      <c r="E1499">
        <v>0.53953619999999902</v>
      </c>
      <c r="F1499" t="s">
        <v>42</v>
      </c>
      <c r="G1499">
        <v>-324.87180000000001</v>
      </c>
      <c r="H1499">
        <v>1.0423789999999999</v>
      </c>
      <c r="I1499">
        <v>285.92230000000001</v>
      </c>
      <c r="J1499">
        <v>-324.33780000000002</v>
      </c>
      <c r="K1499">
        <v>1.10395</v>
      </c>
      <c r="L1499">
        <v>285.87639999999999</v>
      </c>
      <c r="M1499">
        <v>-0.99987939999999997</v>
      </c>
      <c r="N1499">
        <v>0</v>
      </c>
      <c r="O1499">
        <v>-1.0670199999999999E-2</v>
      </c>
      <c r="P1499">
        <v>-0.9987935</v>
      </c>
      <c r="Q1499">
        <v>1.5600599999999999E-2</v>
      </c>
      <c r="R1499">
        <v>-4.6564999999999898E-2</v>
      </c>
      <c r="S1499">
        <v>-3.0147400000000002</v>
      </c>
      <c r="T1499">
        <v>-0.23155689999999901</v>
      </c>
      <c r="U1499">
        <v>0.1612854</v>
      </c>
      <c r="V1499">
        <v>-3.5894009999999997E-2</v>
      </c>
      <c r="W1499">
        <v>2.6898780000000001E-2</v>
      </c>
      <c r="X1499">
        <v>0.99899349999999998</v>
      </c>
      <c r="Y1499">
        <v>6.385623E-2</v>
      </c>
      <c r="Z1499">
        <v>3.264865E-3</v>
      </c>
      <c r="AA1499">
        <v>0.9979538</v>
      </c>
      <c r="AB1499">
        <v>27</v>
      </c>
      <c r="AC1499">
        <v>-0.53399999999999104</v>
      </c>
      <c r="AD1499">
        <v>-6.15709999999998E-2</v>
      </c>
      <c r="AE1499">
        <v>4.5900000000017302E-2</v>
      </c>
      <c r="AF1499">
        <v>5.09236009132484E-2</v>
      </c>
      <c r="AG1499">
        <v>-6.15709999999998E-2</v>
      </c>
      <c r="AH1499">
        <v>0.52653120608328297</v>
      </c>
      <c r="AI1499">
        <v>96.639008336762799</v>
      </c>
      <c r="AJ1499">
        <v>84.475805351622398</v>
      </c>
      <c r="AK1499">
        <v>0.53255920999498996</v>
      </c>
    </row>
    <row r="1500" spans="1:37" x14ac:dyDescent="0.2">
      <c r="A1500" t="str">
        <f>"20200111160133888"</f>
        <v>20200111160133888</v>
      </c>
      <c r="B1500" t="str">
        <f>"1578729693882412"</f>
        <v>1578729693882412</v>
      </c>
      <c r="C1500" t="s">
        <v>37</v>
      </c>
      <c r="D1500">
        <v>5.0579789999999996</v>
      </c>
      <c r="E1500">
        <v>0.53935619999999995</v>
      </c>
      <c r="F1500" t="s">
        <v>42</v>
      </c>
      <c r="G1500">
        <v>-325.11470000000003</v>
      </c>
      <c r="H1500">
        <v>1.0444279999999999</v>
      </c>
      <c r="I1500">
        <v>285.91719999999998</v>
      </c>
      <c r="J1500">
        <v>-324.61200000000002</v>
      </c>
      <c r="K1500">
        <v>1.103953</v>
      </c>
      <c r="L1500">
        <v>285.87369999999999</v>
      </c>
      <c r="M1500">
        <v>-0.99988199999999905</v>
      </c>
      <c r="N1500">
        <v>0</v>
      </c>
      <c r="O1500">
        <v>-1.047884E-2</v>
      </c>
      <c r="P1500">
        <v>-0.99876369999999903</v>
      </c>
      <c r="Q1500">
        <v>1.543843E-2</v>
      </c>
      <c r="R1500">
        <v>-4.7254919999999999E-2</v>
      </c>
      <c r="S1500">
        <v>-3.0146790000000001</v>
      </c>
      <c r="T1500">
        <v>-0.23091909999999999</v>
      </c>
      <c r="U1500">
        <v>0.15899659999999999</v>
      </c>
      <c r="V1500">
        <v>-3.6775469999999998E-2</v>
      </c>
      <c r="W1500">
        <v>2.6686660000000001E-2</v>
      </c>
      <c r="X1500">
        <v>0.99896719999999894</v>
      </c>
      <c r="Y1500">
        <v>6.2915239999999997E-2</v>
      </c>
      <c r="Z1500">
        <v>3.205439E-3</v>
      </c>
      <c r="AA1500">
        <v>0.998013699999999</v>
      </c>
      <c r="AB1500">
        <v>27</v>
      </c>
      <c r="AC1500">
        <v>-0.50270000000000403</v>
      </c>
      <c r="AD1500">
        <v>-5.95249999999998E-2</v>
      </c>
      <c r="AE1500">
        <v>4.3499999999994501E-2</v>
      </c>
      <c r="AF1500">
        <v>4.8096307117350898E-2</v>
      </c>
      <c r="AG1500">
        <v>-5.95249999999998E-2</v>
      </c>
      <c r="AH1500">
        <v>0.49532319516574902</v>
      </c>
      <c r="AI1500">
        <v>96.820829041557602</v>
      </c>
      <c r="AJ1500">
        <v>84.453917607337601</v>
      </c>
      <c r="AK1500">
        <v>0.50120010779381696</v>
      </c>
    </row>
    <row r="1501" spans="1:37" x14ac:dyDescent="0.2">
      <c r="A1501" t="str">
        <f>"20200111160133910"</f>
        <v>20200111160133910</v>
      </c>
      <c r="B1501" t="str">
        <f>"1578729693902972"</f>
        <v>1578729693902972</v>
      </c>
      <c r="C1501" t="s">
        <v>37</v>
      </c>
      <c r="D1501">
        <v>5.2306369999999998</v>
      </c>
      <c r="E1501">
        <v>0.53907360000000004</v>
      </c>
      <c r="F1501" t="s">
        <v>42</v>
      </c>
      <c r="G1501">
        <v>-325.35879999999997</v>
      </c>
      <c r="H1501">
        <v>1.0467439999999999</v>
      </c>
      <c r="I1501">
        <v>285.91250000000002</v>
      </c>
      <c r="J1501">
        <v>-324.89249999999998</v>
      </c>
      <c r="K1501">
        <v>1.103953</v>
      </c>
      <c r="L1501">
        <v>285.87090000000001</v>
      </c>
      <c r="M1501">
        <v>-0.99988440000000001</v>
      </c>
      <c r="N1501">
        <v>0</v>
      </c>
      <c r="O1501">
        <v>-1.02842E-2</v>
      </c>
      <c r="P1501">
        <v>-0.99872090000000002</v>
      </c>
      <c r="Q1501">
        <v>1.507381E-2</v>
      </c>
      <c r="R1501">
        <v>-4.826163E-2</v>
      </c>
      <c r="S1501">
        <v>-3.0146790000000001</v>
      </c>
      <c r="T1501">
        <v>-0.231076</v>
      </c>
      <c r="U1501">
        <v>0.15557860000000001</v>
      </c>
      <c r="V1501">
        <v>-3.7977669999999998E-2</v>
      </c>
      <c r="W1501">
        <v>2.6281970000000002E-2</v>
      </c>
      <c r="X1501">
        <v>0.99893290000000001</v>
      </c>
      <c r="Y1501">
        <v>6.1596570000000003E-2</v>
      </c>
      <c r="Z1501">
        <v>3.1423809999999901E-3</v>
      </c>
      <c r="AA1501">
        <v>0.99809619999999999</v>
      </c>
      <c r="AB1501">
        <v>27</v>
      </c>
      <c r="AC1501">
        <v>-0.466299999999989</v>
      </c>
      <c r="AD1501">
        <v>-5.7208999999999802E-2</v>
      </c>
      <c r="AE1501">
        <v>4.16000000000167E-2</v>
      </c>
      <c r="AF1501">
        <v>4.5711007968054398E-2</v>
      </c>
      <c r="AG1501">
        <v>-5.7208999999999802E-2</v>
      </c>
      <c r="AH1501">
        <v>0.45899321614788702</v>
      </c>
      <c r="AI1501">
        <v>97.070098849836796</v>
      </c>
      <c r="AJ1501">
        <v>84.312682115134507</v>
      </c>
      <c r="AK1501">
        <v>0.46479795438473798</v>
      </c>
    </row>
    <row r="1502" spans="1:37" x14ac:dyDescent="0.2">
      <c r="A1502" t="str">
        <f>"20200111160133933"</f>
        <v>20200111160133933</v>
      </c>
      <c r="B1502" t="str">
        <f>"1578729693922492"</f>
        <v>1578729693922492</v>
      </c>
      <c r="C1502" t="s">
        <v>37</v>
      </c>
      <c r="D1502">
        <v>5.012689</v>
      </c>
      <c r="E1502">
        <v>0.53903000000000001</v>
      </c>
      <c r="F1502" t="s">
        <v>42</v>
      </c>
      <c r="G1502">
        <v>-325.83499999999998</v>
      </c>
      <c r="H1502">
        <v>1.031622</v>
      </c>
      <c r="I1502">
        <v>285.91820000000001</v>
      </c>
      <c r="J1502">
        <v>-325.15519999999998</v>
      </c>
      <c r="K1502">
        <v>1.103947</v>
      </c>
      <c r="L1502">
        <v>285.86849999999998</v>
      </c>
      <c r="M1502">
        <v>-0.99988650000000001</v>
      </c>
      <c r="N1502">
        <v>0</v>
      </c>
      <c r="O1502">
        <v>-1.0100929999999999E-2</v>
      </c>
      <c r="P1502">
        <v>-0.99869769999999902</v>
      </c>
      <c r="Q1502">
        <v>1.4612470000000001E-2</v>
      </c>
      <c r="R1502">
        <v>-4.888224E-2</v>
      </c>
      <c r="S1502">
        <v>-3.014618</v>
      </c>
      <c r="T1502">
        <v>-0.2314755</v>
      </c>
      <c r="U1502">
        <v>0.15039059999999899</v>
      </c>
      <c r="V1502">
        <v>-3.8781719999999999E-2</v>
      </c>
      <c r="W1502">
        <v>2.5790520000000001E-2</v>
      </c>
      <c r="X1502">
        <v>0.99891479999999999</v>
      </c>
      <c r="Y1502">
        <v>5.9706639999999998E-2</v>
      </c>
      <c r="Z1502">
        <v>3.0615459999999901E-3</v>
      </c>
      <c r="AA1502">
        <v>0.99821130000000002</v>
      </c>
      <c r="AB1502">
        <v>27</v>
      </c>
      <c r="AC1502">
        <v>-0.67979999999999996</v>
      </c>
      <c r="AD1502">
        <v>-7.2324999999999903E-2</v>
      </c>
      <c r="AE1502">
        <v>4.9700000000029797E-2</v>
      </c>
      <c r="AF1502">
        <v>5.5934736843752102E-2</v>
      </c>
      <c r="AG1502">
        <v>-7.2324999999999903E-2</v>
      </c>
      <c r="AH1502">
        <v>0.67170059740575705</v>
      </c>
      <c r="AI1502">
        <v>96.124578212149999</v>
      </c>
      <c r="AJ1502">
        <v>85.239773288114307</v>
      </c>
      <c r="AK1502">
        <v>0.67789475065531402</v>
      </c>
    </row>
    <row r="1503" spans="1:37" x14ac:dyDescent="0.2">
      <c r="A1503" t="str">
        <f>"20200111160133954"</f>
        <v>20200111160133954</v>
      </c>
      <c r="B1503" t="str">
        <f>"1578729693942988"</f>
        <v>1578729693942988</v>
      </c>
      <c r="C1503" t="s">
        <v>37</v>
      </c>
      <c r="D1503">
        <v>5.059666</v>
      </c>
      <c r="E1503">
        <v>0.53900349999999997</v>
      </c>
      <c r="F1503" t="s">
        <v>42</v>
      </c>
      <c r="G1503">
        <v>-326.07799999999997</v>
      </c>
      <c r="H1503">
        <v>1.0327120000000001</v>
      </c>
      <c r="I1503">
        <v>285.91359999999997</v>
      </c>
      <c r="J1503">
        <v>-325.42110000000002</v>
      </c>
      <c r="K1503">
        <v>1.1039399999999999</v>
      </c>
      <c r="L1503">
        <v>285.86590000000001</v>
      </c>
      <c r="M1503">
        <v>-0.99988869999999896</v>
      </c>
      <c r="N1503">
        <v>0</v>
      </c>
      <c r="O1503">
        <v>-9.9157910000000002E-3</v>
      </c>
      <c r="P1503">
        <v>-0.99864419999999898</v>
      </c>
      <c r="Q1503">
        <v>1.443351E-2</v>
      </c>
      <c r="R1503">
        <v>-5.001854E-2</v>
      </c>
      <c r="S1503">
        <v>-3.0145869999999899</v>
      </c>
      <c r="T1503">
        <v>-0.2325856</v>
      </c>
      <c r="U1503">
        <v>0.148345899999999</v>
      </c>
      <c r="V1503">
        <v>-4.0103199999999999E-2</v>
      </c>
      <c r="W1503">
        <v>2.5586500000000002E-2</v>
      </c>
      <c r="X1503">
        <v>0.99886790000000003</v>
      </c>
      <c r="Y1503">
        <v>5.8848020000000001E-2</v>
      </c>
      <c r="Z1503">
        <v>3.0289559999999902E-3</v>
      </c>
      <c r="AA1503">
        <v>0.99826229999999905</v>
      </c>
      <c r="AB1503">
        <v>27</v>
      </c>
      <c r="AC1503">
        <v>-0.65689999999994997</v>
      </c>
      <c r="AD1503">
        <v>-7.1227999999999805E-2</v>
      </c>
      <c r="AE1503">
        <v>4.7699999999963397E-2</v>
      </c>
      <c r="AF1503">
        <v>5.3585038304355001E-2</v>
      </c>
      <c r="AG1503">
        <v>-7.1227999999999805E-2</v>
      </c>
      <c r="AH1503">
        <v>0.64880656654268298</v>
      </c>
      <c r="AI1503">
        <v>96.243929271289105</v>
      </c>
      <c r="AJ1503">
        <v>85.278647923621705</v>
      </c>
      <c r="AK1503">
        <v>0.65490056123275997</v>
      </c>
    </row>
    <row r="1504" spans="1:37" x14ac:dyDescent="0.2">
      <c r="A1504" t="str">
        <f>"20200111160133978"</f>
        <v>20200111160133978</v>
      </c>
      <c r="B1504" t="str">
        <f>"1578729693972268"</f>
        <v>1578729693972268</v>
      </c>
      <c r="C1504" t="s">
        <v>37</v>
      </c>
      <c r="D1504">
        <v>4.9624670000000002</v>
      </c>
      <c r="E1504">
        <v>0.53881759999999901</v>
      </c>
      <c r="F1504" t="s">
        <v>42</v>
      </c>
      <c r="G1504">
        <v>-326.32150000000001</v>
      </c>
      <c r="H1504">
        <v>1.0344530000000001</v>
      </c>
      <c r="I1504">
        <v>285.90940000000001</v>
      </c>
      <c r="J1504">
        <v>-325.70139999999998</v>
      </c>
      <c r="K1504">
        <v>1.1039369999999999</v>
      </c>
      <c r="L1504">
        <v>285.86340000000001</v>
      </c>
      <c r="M1504">
        <v>-0.99989099999999997</v>
      </c>
      <c r="N1504">
        <v>0</v>
      </c>
      <c r="O1504">
        <v>-9.7201839999999998E-3</v>
      </c>
      <c r="P1504">
        <v>-0.99858329999999995</v>
      </c>
      <c r="Q1504">
        <v>1.4747039999999999E-2</v>
      </c>
      <c r="R1504">
        <v>-5.1130559999999999E-2</v>
      </c>
      <c r="S1504">
        <v>-3.0147089999999999</v>
      </c>
      <c r="T1504">
        <v>-0.23279820000000001</v>
      </c>
      <c r="U1504">
        <v>0.14486689999999999</v>
      </c>
      <c r="V1504">
        <v>-4.1411719999999999E-2</v>
      </c>
      <c r="W1504">
        <v>2.5878709999999999E-2</v>
      </c>
      <c r="X1504">
        <v>0.998807</v>
      </c>
      <c r="Y1504">
        <v>5.7505609999999999E-2</v>
      </c>
      <c r="Z1504">
        <v>2.9648769999999999E-3</v>
      </c>
      <c r="AA1504">
        <v>0.99834080000000003</v>
      </c>
      <c r="AB1504">
        <v>27</v>
      </c>
      <c r="AC1504">
        <v>-0.62010000000003596</v>
      </c>
      <c r="AD1504">
        <v>-6.9484000000000101E-2</v>
      </c>
      <c r="AE1504">
        <v>4.59999999999922E-2</v>
      </c>
      <c r="AF1504">
        <v>5.13840453978315E-2</v>
      </c>
      <c r="AG1504">
        <v>-6.9484000000000101E-2</v>
      </c>
      <c r="AH1504">
        <v>0.61198164761981699</v>
      </c>
      <c r="AI1504">
        <v>96.455065224439295</v>
      </c>
      <c r="AJ1504">
        <v>85.200510334685404</v>
      </c>
      <c r="AK1504">
        <v>0.61805330142384396</v>
      </c>
    </row>
    <row r="1505" spans="1:37" x14ac:dyDescent="0.2">
      <c r="A1505" t="str">
        <f>"20200111160134000"</f>
        <v>20200111160134000</v>
      </c>
      <c r="B1505" t="str">
        <f>"1578729693992740"</f>
        <v>1578729693992740</v>
      </c>
      <c r="C1505" t="s">
        <v>37</v>
      </c>
      <c r="D1505">
        <v>5.2522129999999896</v>
      </c>
      <c r="E1505">
        <v>0.53865030000000003</v>
      </c>
      <c r="F1505" t="s">
        <v>42</v>
      </c>
      <c r="G1505">
        <v>-326.56569999999999</v>
      </c>
      <c r="H1505">
        <v>1.0374399999999999</v>
      </c>
      <c r="I1505">
        <v>285.90370000000001</v>
      </c>
      <c r="J1505">
        <v>-325.98059999999998</v>
      </c>
      <c r="K1505">
        <v>1.1039289999999999</v>
      </c>
      <c r="L1505">
        <v>285.86090000000002</v>
      </c>
      <c r="M1505">
        <v>-0.99989300000000003</v>
      </c>
      <c r="N1505">
        <v>0</v>
      </c>
      <c r="O1505">
        <v>-9.5255500000000007E-3</v>
      </c>
      <c r="P1505">
        <v>-0.99850729999999999</v>
      </c>
      <c r="Q1505">
        <v>1.5171820000000001E-2</v>
      </c>
      <c r="R1505">
        <v>-5.247019E-2</v>
      </c>
      <c r="S1505">
        <v>-3.0148619999999999</v>
      </c>
      <c r="T1505">
        <v>-0.23203989999999999</v>
      </c>
      <c r="U1505">
        <v>0.14041139999999999</v>
      </c>
      <c r="V1505">
        <v>-4.2945749999999998E-2</v>
      </c>
      <c r="W1505">
        <v>2.6286739999999999E-2</v>
      </c>
      <c r="X1505">
        <v>0.99873159999999905</v>
      </c>
      <c r="Y1505">
        <v>5.5843429999999999E-2</v>
      </c>
      <c r="Z1505">
        <v>2.8764120000000001E-3</v>
      </c>
      <c r="AA1505">
        <v>0.99843539999999997</v>
      </c>
      <c r="AB1505">
        <v>27</v>
      </c>
      <c r="AC1505">
        <v>-0.58510000000001094</v>
      </c>
      <c r="AD1505">
        <v>-6.6489000000000201E-2</v>
      </c>
      <c r="AE1505">
        <v>4.2799999999999699E-2</v>
      </c>
      <c r="AF1505">
        <v>4.77583620888508E-2</v>
      </c>
      <c r="AG1505">
        <v>-6.6489000000000201E-2</v>
      </c>
      <c r="AH1505">
        <v>0.57725115285182205</v>
      </c>
      <c r="AI1505">
        <v>96.548315698570704</v>
      </c>
      <c r="AJ1505">
        <v>85.270456016398199</v>
      </c>
      <c r="AK1505">
        <v>0.583027050606717</v>
      </c>
    </row>
    <row r="1506" spans="1:37" x14ac:dyDescent="0.2">
      <c r="A1506" t="str">
        <f>"20200111160134022"</f>
        <v>20200111160134022</v>
      </c>
      <c r="B1506" t="str">
        <f>"1578729694012260"</f>
        <v>1578729694012260</v>
      </c>
      <c r="C1506" t="s">
        <v>37</v>
      </c>
      <c r="D1506">
        <v>4.9265790000000003</v>
      </c>
      <c r="E1506">
        <v>0.53863709999999998</v>
      </c>
      <c r="F1506" t="s">
        <v>42</v>
      </c>
      <c r="G1506">
        <v>-326.81020000000001</v>
      </c>
      <c r="H1506">
        <v>1.0405869999999999</v>
      </c>
      <c r="I1506">
        <v>285.89819999999997</v>
      </c>
      <c r="J1506">
        <v>-326.24160000000001</v>
      </c>
      <c r="K1506">
        <v>1.103923</v>
      </c>
      <c r="L1506">
        <v>285.85860000000002</v>
      </c>
      <c r="M1506">
        <v>-0.99989479999999997</v>
      </c>
      <c r="N1506">
        <v>0</v>
      </c>
      <c r="O1506">
        <v>-9.3436909999999995E-3</v>
      </c>
      <c r="P1506">
        <v>-0.99844679999999997</v>
      </c>
      <c r="Q1506">
        <v>1.530026E-2</v>
      </c>
      <c r="R1506">
        <v>-5.3571470000000003E-2</v>
      </c>
      <c r="S1506">
        <v>-3.0150759999999899</v>
      </c>
      <c r="T1506">
        <v>-0.23033979999999901</v>
      </c>
      <c r="U1506">
        <v>0.13497919999999999</v>
      </c>
      <c r="V1506">
        <v>-4.4229030000000003E-2</v>
      </c>
      <c r="W1506">
        <v>2.6401609999999999E-2</v>
      </c>
      <c r="X1506">
        <v>0.99867249999999996</v>
      </c>
      <c r="Y1506">
        <v>5.3872429999999999E-2</v>
      </c>
      <c r="Z1506">
        <v>2.766302E-3</v>
      </c>
      <c r="AA1506">
        <v>0.99854399999999999</v>
      </c>
      <c r="AB1506">
        <v>27</v>
      </c>
      <c r="AC1506">
        <v>-0.56860000000000299</v>
      </c>
      <c r="AD1506">
        <v>-6.3335999999999795E-2</v>
      </c>
      <c r="AE1506">
        <v>3.95999999999503E-2</v>
      </c>
      <c r="AF1506">
        <v>4.4363631898086502E-2</v>
      </c>
      <c r="AG1506">
        <v>-6.3335999999999795E-2</v>
      </c>
      <c r="AH1506">
        <v>0.56127469003709496</v>
      </c>
      <c r="AI1506">
        <v>96.418350757696999</v>
      </c>
      <c r="AJ1506">
        <v>85.480688321031593</v>
      </c>
      <c r="AK1506">
        <v>0.566576436509167</v>
      </c>
    </row>
    <row r="1507" spans="1:37" x14ac:dyDescent="0.2">
      <c r="A1507" t="str">
        <f>"20200111160134044"</f>
        <v>20200111160134044</v>
      </c>
      <c r="B1507" t="str">
        <f>"1578729694032756"</f>
        <v>1578729694032756</v>
      </c>
      <c r="C1507" t="s">
        <v>37</v>
      </c>
      <c r="D1507">
        <v>4.9160180000000002</v>
      </c>
      <c r="E1507">
        <v>0.53873909999999903</v>
      </c>
      <c r="F1507" t="s">
        <v>42</v>
      </c>
      <c r="G1507">
        <v>-327.05399999999997</v>
      </c>
      <c r="H1507">
        <v>1.0421009999999999</v>
      </c>
      <c r="I1507">
        <v>285.89400000000001</v>
      </c>
      <c r="J1507">
        <v>-326.50779999999997</v>
      </c>
      <c r="K1507">
        <v>1.1039129999999999</v>
      </c>
      <c r="L1507">
        <v>285.85629999999998</v>
      </c>
      <c r="M1507">
        <v>-0.99989669999999897</v>
      </c>
      <c r="N1507">
        <v>0</v>
      </c>
      <c r="O1507">
        <v>-9.1587590000000007E-3</v>
      </c>
      <c r="P1507">
        <v>-0.99837929999999997</v>
      </c>
      <c r="Q1507">
        <v>1.574157E-2</v>
      </c>
      <c r="R1507">
        <v>-5.4692530000000003E-2</v>
      </c>
      <c r="S1507">
        <v>-3.0152890000000001</v>
      </c>
      <c r="T1507">
        <v>-0.2293714</v>
      </c>
      <c r="U1507">
        <v>0.13211059999999999</v>
      </c>
      <c r="V1507">
        <v>-4.5535640000000002E-2</v>
      </c>
      <c r="W1507">
        <v>2.683586E-2</v>
      </c>
      <c r="X1507">
        <v>0.998602199999999</v>
      </c>
      <c r="Y1507">
        <v>5.2741780000000002E-2</v>
      </c>
      <c r="Z1507">
        <v>2.6976050000000001E-3</v>
      </c>
      <c r="AA1507">
        <v>0.99860450000000001</v>
      </c>
      <c r="AB1507">
        <v>27</v>
      </c>
      <c r="AC1507">
        <v>-0.54620000000005497</v>
      </c>
      <c r="AD1507">
        <v>-6.1811999999999902E-2</v>
      </c>
      <c r="AE1507">
        <v>3.77000000000293E-2</v>
      </c>
      <c r="AF1507">
        <v>4.2163814537511599E-2</v>
      </c>
      <c r="AG1507">
        <v>-6.1811999999999902E-2</v>
      </c>
      <c r="AH1507">
        <v>0.53896210472638495</v>
      </c>
      <c r="AI1507">
        <v>96.522744672044695</v>
      </c>
      <c r="AJ1507">
        <v>85.526775938195399</v>
      </c>
      <c r="AK1507">
        <v>0.54413110638103501</v>
      </c>
    </row>
    <row r="1508" spans="1:37" x14ac:dyDescent="0.2">
      <c r="A1508" t="str">
        <f>"20200111160134066"</f>
        <v>20200111160134066</v>
      </c>
      <c r="B1508" t="str">
        <f>"1578729694063012"</f>
        <v>1578729694063012</v>
      </c>
      <c r="C1508" t="s">
        <v>37</v>
      </c>
      <c r="D1508">
        <v>5.2791499999999996</v>
      </c>
      <c r="E1508">
        <v>0.53873090000000001</v>
      </c>
      <c r="F1508" t="s">
        <v>42</v>
      </c>
      <c r="G1508">
        <v>-327.29840000000002</v>
      </c>
      <c r="H1508">
        <v>1.044244</v>
      </c>
      <c r="I1508">
        <v>285.8904</v>
      </c>
      <c r="J1508">
        <v>-326.78339999999997</v>
      </c>
      <c r="K1508">
        <v>1.1039099999999999</v>
      </c>
      <c r="L1508">
        <v>285.85390000000001</v>
      </c>
      <c r="M1508">
        <v>-0.99989839999999997</v>
      </c>
      <c r="N1508">
        <v>0</v>
      </c>
      <c r="O1508">
        <v>-8.9667150000000001E-3</v>
      </c>
      <c r="P1508">
        <v>-0.99836150000000001</v>
      </c>
      <c r="Q1508">
        <v>1.507412E-2</v>
      </c>
      <c r="R1508">
        <v>-5.5205079999999997E-2</v>
      </c>
      <c r="S1508">
        <v>-3.0155639999999999</v>
      </c>
      <c r="T1508">
        <v>-0.22767599999999999</v>
      </c>
      <c r="U1508">
        <v>0.12957759999999999</v>
      </c>
      <c r="V1508">
        <v>-4.624023E-2</v>
      </c>
      <c r="W1508">
        <v>2.6167570000000001E-2</v>
      </c>
      <c r="X1508">
        <v>0.99858749999999996</v>
      </c>
      <c r="Y1508">
        <v>5.1714889999999999E-2</v>
      </c>
      <c r="Z1508">
        <v>2.6243600000000001E-3</v>
      </c>
      <c r="AA1508">
        <v>0.99865839999999995</v>
      </c>
      <c r="AB1508">
        <v>27</v>
      </c>
      <c r="AC1508">
        <v>-0.51500000000004298</v>
      </c>
      <c r="AD1508">
        <v>-5.9665999999999997E-2</v>
      </c>
      <c r="AE1508">
        <v>3.6499999999989499E-2</v>
      </c>
      <c r="AF1508">
        <v>4.0574773832819301E-2</v>
      </c>
      <c r="AG1508">
        <v>-5.9665999999999997E-2</v>
      </c>
      <c r="AH1508">
        <v>0.50786909274568404</v>
      </c>
      <c r="AI1508">
        <v>96.679477158975601</v>
      </c>
      <c r="AJ1508">
        <v>85.432216593554102</v>
      </c>
      <c r="AK1508">
        <v>0.51296916008070903</v>
      </c>
    </row>
    <row r="1509" spans="1:37" x14ac:dyDescent="0.2">
      <c r="A1509" t="str">
        <f>"20200111160134090"</f>
        <v>20200111160134090</v>
      </c>
      <c r="B1509" t="str">
        <f>"1578729694082532"</f>
        <v>1578729694082532</v>
      </c>
      <c r="C1509" t="s">
        <v>37</v>
      </c>
      <c r="D1509">
        <v>4.7879459999999998</v>
      </c>
      <c r="E1509">
        <v>0.53884969999999999</v>
      </c>
      <c r="F1509" t="s">
        <v>42</v>
      </c>
      <c r="G1509">
        <v>-327.54340000000002</v>
      </c>
      <c r="H1509">
        <v>1.046041</v>
      </c>
      <c r="I1509">
        <v>285.88619999999997</v>
      </c>
      <c r="J1509">
        <v>-327.06369999999998</v>
      </c>
      <c r="K1509">
        <v>1.103904</v>
      </c>
      <c r="L1509">
        <v>285.85169999999999</v>
      </c>
      <c r="M1509">
        <v>-0.99990000000000001</v>
      </c>
      <c r="N1509">
        <v>0</v>
      </c>
      <c r="O1509">
        <v>-8.7715859999999996E-3</v>
      </c>
      <c r="P1509">
        <v>-0.99836190000000002</v>
      </c>
      <c r="Q1509">
        <v>1.434823E-2</v>
      </c>
      <c r="R1509">
        <v>-5.5388220000000002E-2</v>
      </c>
      <c r="S1509">
        <v>-3.015533</v>
      </c>
      <c r="T1509">
        <v>-0.22961329999999999</v>
      </c>
      <c r="U1509">
        <v>0.1279602</v>
      </c>
      <c r="V1509">
        <v>-4.6618699999999902E-2</v>
      </c>
      <c r="W1509">
        <v>2.5444930000000001E-2</v>
      </c>
      <c r="X1509">
        <v>0.99858860000000005</v>
      </c>
      <c r="Y1509">
        <v>5.0985460000000003E-2</v>
      </c>
      <c r="Z1509">
        <v>2.6041329999999998E-3</v>
      </c>
      <c r="AA1509">
        <v>0.99869599999999903</v>
      </c>
      <c r="AB1509">
        <v>27</v>
      </c>
      <c r="AC1509">
        <v>-0.47970000000003599</v>
      </c>
      <c r="AD1509">
        <v>-5.7862999999999998E-2</v>
      </c>
      <c r="AE1509">
        <v>3.4499999999979901E-2</v>
      </c>
      <c r="AF1509">
        <v>3.8154372558606799E-2</v>
      </c>
      <c r="AG1509">
        <v>-5.7862999999999998E-2</v>
      </c>
      <c r="AH1509">
        <v>0.47253885302141901</v>
      </c>
      <c r="AI1509">
        <v>96.958764947786406</v>
      </c>
      <c r="AJ1509">
        <v>85.383760969979903</v>
      </c>
      <c r="AK1509">
        <v>0.47759486024154302</v>
      </c>
    </row>
    <row r="1510" spans="1:37" x14ac:dyDescent="0.2">
      <c r="A1510" t="str">
        <f>"20200111160134111"</f>
        <v>20200111160134111</v>
      </c>
      <c r="B1510" t="str">
        <f>"1578729694103028"</f>
        <v>1578729694103028</v>
      </c>
      <c r="C1510" t="s">
        <v>37</v>
      </c>
      <c r="D1510">
        <v>4.8399470000000004</v>
      </c>
      <c r="E1510">
        <v>0.51515230000000001</v>
      </c>
      <c r="F1510" t="s">
        <v>42</v>
      </c>
      <c r="G1510">
        <v>-328.02190000000002</v>
      </c>
      <c r="H1510">
        <v>1.0303739999999999</v>
      </c>
      <c r="I1510">
        <v>285.89249999999998</v>
      </c>
      <c r="J1510">
        <v>-327.33240000000001</v>
      </c>
      <c r="K1510">
        <v>1.1039079999999999</v>
      </c>
      <c r="L1510">
        <v>285.84949999999998</v>
      </c>
      <c r="M1510">
        <v>-0.99990159999999995</v>
      </c>
      <c r="N1510">
        <v>0</v>
      </c>
      <c r="O1510">
        <v>-8.5850400000000004E-3</v>
      </c>
      <c r="P1510">
        <v>-0.99835620000000003</v>
      </c>
      <c r="Q1510">
        <v>1.380871E-2</v>
      </c>
      <c r="R1510">
        <v>-5.5623810000000003E-2</v>
      </c>
      <c r="S1510">
        <v>-3.0153810000000001</v>
      </c>
      <c r="T1510">
        <v>-0.23137679999999999</v>
      </c>
      <c r="U1510">
        <v>0.128418</v>
      </c>
      <c r="V1510">
        <v>-4.704121E-2</v>
      </c>
      <c r="W1510">
        <v>2.4908650000000001E-2</v>
      </c>
      <c r="X1510">
        <v>0.99858239999999998</v>
      </c>
      <c r="Y1510">
        <v>5.0950589999999997E-2</v>
      </c>
      <c r="Z1510">
        <v>2.608576E-3</v>
      </c>
      <c r="AA1510">
        <v>0.99869779999999997</v>
      </c>
      <c r="AB1510">
        <v>27</v>
      </c>
      <c r="AC1510">
        <v>-0.68950000000000899</v>
      </c>
      <c r="AD1510">
        <v>-7.3533999999999905E-2</v>
      </c>
      <c r="AE1510">
        <v>4.3000000000006297E-2</v>
      </c>
      <c r="AF1510">
        <v>4.8370140829173201E-2</v>
      </c>
      <c r="AG1510">
        <v>-7.3533999999999905E-2</v>
      </c>
      <c r="AH1510">
        <v>0.68138545084968904</v>
      </c>
      <c r="AI1510">
        <v>96.144085925994304</v>
      </c>
      <c r="AJ1510">
        <v>85.939502897851199</v>
      </c>
      <c r="AK1510">
        <v>0.68704661581982096</v>
      </c>
    </row>
    <row r="1511" spans="1:37" x14ac:dyDescent="0.2">
      <c r="A1511" t="str">
        <f>"20200111160134132"</f>
        <v>20200111160134132</v>
      </c>
      <c r="B1511" t="str">
        <f>"1578729694122548"</f>
        <v>1578729694122548</v>
      </c>
      <c r="C1511" t="s">
        <v>37</v>
      </c>
      <c r="D1511">
        <v>4.797237</v>
      </c>
      <c r="E1511">
        <v>0.49896590000000002</v>
      </c>
      <c r="F1511" t="s">
        <v>42</v>
      </c>
      <c r="G1511">
        <v>-328.27010000000001</v>
      </c>
      <c r="H1511">
        <v>1.0337240000000001</v>
      </c>
      <c r="I1511">
        <v>285.83069999999998</v>
      </c>
      <c r="J1511">
        <v>-327.58969999999999</v>
      </c>
      <c r="K1511">
        <v>1.103907</v>
      </c>
      <c r="L1511">
        <v>285.84750000000003</v>
      </c>
      <c r="M1511">
        <v>-0.99990309999999905</v>
      </c>
      <c r="N1511">
        <v>0</v>
      </c>
      <c r="O1511">
        <v>-8.4063699999999998E-3</v>
      </c>
      <c r="P1511">
        <v>-0.99836930000000002</v>
      </c>
      <c r="Q1511">
        <v>1.330698E-2</v>
      </c>
      <c r="R1511">
        <v>-5.5516219999999998E-2</v>
      </c>
      <c r="S1511">
        <v>-3.0046689999999998</v>
      </c>
      <c r="T1511">
        <v>-0.2250375</v>
      </c>
      <c r="U1511">
        <v>-6.0791020000000001E-2</v>
      </c>
      <c r="V1511">
        <v>-4.7111790000000001E-2</v>
      </c>
      <c r="W1511">
        <v>2.441051E-2</v>
      </c>
      <c r="X1511">
        <v>0.99859129999999996</v>
      </c>
      <c r="Y1511">
        <v>-1.1812629999999999E-2</v>
      </c>
      <c r="Z1511">
        <v>1.8698289999999999E-4</v>
      </c>
      <c r="AA1511">
        <v>0.99993019999999999</v>
      </c>
      <c r="AB1511">
        <v>27</v>
      </c>
      <c r="AC1511">
        <v>-0.68040000000001999</v>
      </c>
      <c r="AD1511">
        <v>-7.0182999999999801E-2</v>
      </c>
      <c r="AE1511">
        <v>-1.6800000000046101E-2</v>
      </c>
      <c r="AF1511">
        <v>-1.0962788729118701E-2</v>
      </c>
      <c r="AG1511">
        <v>-7.0182999999999801E-2</v>
      </c>
      <c r="AH1511">
        <v>0.67335714188972495</v>
      </c>
      <c r="AI1511">
        <v>95.949584580103902</v>
      </c>
      <c r="AJ1511">
        <v>90.932738361421102</v>
      </c>
      <c r="AK1511">
        <v>0.67709355096590496</v>
      </c>
    </row>
    <row r="1512" spans="1:37" x14ac:dyDescent="0.2">
      <c r="A1512" t="str">
        <f>"20200111160134155"</f>
        <v>20200111160134155</v>
      </c>
      <c r="B1512" t="str">
        <f>"1578729694143044"</f>
        <v>1578729694143044</v>
      </c>
      <c r="C1512" t="s">
        <v>37</v>
      </c>
      <c r="D1512">
        <v>4.7630610000000004</v>
      </c>
      <c r="E1512">
        <v>0.49437309999999901</v>
      </c>
      <c r="F1512" t="s">
        <v>57</v>
      </c>
      <c r="G1512">
        <v>-343.19909999999999</v>
      </c>
      <c r="H1512" s="1">
        <v>1.656254E-7</v>
      </c>
      <c r="I1512">
        <v>284.86540000000002</v>
      </c>
      <c r="J1512">
        <v>-327.86329999999998</v>
      </c>
      <c r="K1512">
        <v>1.1039030000000001</v>
      </c>
      <c r="L1512">
        <v>285.84539999999998</v>
      </c>
      <c r="M1512">
        <v>-0.99990469999999898</v>
      </c>
      <c r="N1512">
        <v>0</v>
      </c>
      <c r="O1512">
        <v>-8.2155470000000001E-3</v>
      </c>
      <c r="P1512">
        <v>-0.9983938</v>
      </c>
      <c r="Q1512">
        <v>1.270246E-2</v>
      </c>
      <c r="R1512">
        <v>-5.5216069999999999E-2</v>
      </c>
      <c r="S1512">
        <v>-2.99725299999999</v>
      </c>
      <c r="T1512">
        <v>-0.21196770000000001</v>
      </c>
      <c r="U1512">
        <v>-0.18856809999999999</v>
      </c>
      <c r="V1512">
        <v>-4.7002469999999998E-2</v>
      </c>
      <c r="W1512">
        <v>2.381082E-2</v>
      </c>
      <c r="X1512">
        <v>0.99861089999999997</v>
      </c>
      <c r="Y1512">
        <v>-5.4472470000000002E-2</v>
      </c>
      <c r="Z1512">
        <v>-1.342162E-3</v>
      </c>
      <c r="AA1512">
        <v>0.99851440000000002</v>
      </c>
      <c r="AB1512">
        <v>27</v>
      </c>
      <c r="AC1512">
        <v>-15.335800000000001</v>
      </c>
      <c r="AD1512">
        <v>-1.1039028343746</v>
      </c>
      <c r="AE1512">
        <v>-0.97999999999996101</v>
      </c>
      <c r="AF1512">
        <v>-0.84958303788662803</v>
      </c>
      <c r="AG1512">
        <v>-1.1039028343746</v>
      </c>
      <c r="AH1512">
        <v>15.2645636563522</v>
      </c>
      <c r="AI1512">
        <v>94.129946225389205</v>
      </c>
      <c r="AJ1512">
        <v>93.185636584944405</v>
      </c>
      <c r="AK1512">
        <v>15.327990619283201</v>
      </c>
    </row>
    <row r="1513" spans="1:37" x14ac:dyDescent="0.2">
      <c r="A1513" t="str">
        <f>"20200111160134179"</f>
        <v>20200111160134179</v>
      </c>
      <c r="B1513" t="str">
        <f>"1578729694172324"</f>
        <v>1578729694172324</v>
      </c>
      <c r="C1513" t="s">
        <v>37</v>
      </c>
      <c r="D1513">
        <v>4.7837309999999897</v>
      </c>
      <c r="E1513">
        <v>0.49111670000000002</v>
      </c>
      <c r="F1513" t="s">
        <v>57</v>
      </c>
      <c r="G1513">
        <v>-343.39080000000001</v>
      </c>
      <c r="H1513" s="1">
        <v>2.6762459999999901E-7</v>
      </c>
      <c r="I1513">
        <v>284.68329999999997</v>
      </c>
      <c r="J1513">
        <v>-328.1567</v>
      </c>
      <c r="K1513">
        <v>1.103888</v>
      </c>
      <c r="L1513">
        <v>285.84320000000002</v>
      </c>
      <c r="M1513">
        <v>-0.99990619999999997</v>
      </c>
      <c r="N1513">
        <v>0</v>
      </c>
      <c r="O1513">
        <v>-8.0114899999999996E-3</v>
      </c>
      <c r="P1513">
        <v>-0.9984248</v>
      </c>
      <c r="Q1513">
        <v>1.176844E-2</v>
      </c>
      <c r="R1513">
        <v>-5.486013E-2</v>
      </c>
      <c r="S1513">
        <v>-2.9951779999999899</v>
      </c>
      <c r="T1513">
        <v>-0.21293799999999999</v>
      </c>
      <c r="U1513">
        <v>-0.22415160000000001</v>
      </c>
      <c r="V1513">
        <v>-4.685015E-2</v>
      </c>
      <c r="W1513">
        <v>2.2881720000000001E-2</v>
      </c>
      <c r="X1513">
        <v>0.99863979999999997</v>
      </c>
      <c r="Y1513">
        <v>-6.6490019999999997E-2</v>
      </c>
      <c r="Z1513">
        <v>-1.7891999999999999E-3</v>
      </c>
      <c r="AA1513">
        <v>0.99778549999999999</v>
      </c>
      <c r="AB1513">
        <v>27</v>
      </c>
      <c r="AC1513">
        <v>-15.2341</v>
      </c>
      <c r="AD1513">
        <v>-1.1038877323753999</v>
      </c>
      <c r="AE1513">
        <v>-1.1599000000000499</v>
      </c>
      <c r="AF1513">
        <v>-1.03241774076688</v>
      </c>
      <c r="AG1513">
        <v>-1.1038877323753999</v>
      </c>
      <c r="AH1513">
        <v>15.1637429591411</v>
      </c>
      <c r="AI1513">
        <v>94.154080962456504</v>
      </c>
      <c r="AJ1513">
        <v>93.894950668863402</v>
      </c>
      <c r="AK1513">
        <v>15.238882998699101</v>
      </c>
    </row>
    <row r="1514" spans="1:37" x14ac:dyDescent="0.2">
      <c r="A1514" t="str">
        <f>"20200111160134200"</f>
        <v>20200111160134200</v>
      </c>
      <c r="B1514" t="str">
        <f>"1578729694192820"</f>
        <v>1578729694192820</v>
      </c>
      <c r="C1514" t="s">
        <v>37</v>
      </c>
      <c r="D1514">
        <v>4.7852559999999897</v>
      </c>
      <c r="E1514">
        <v>0.4899963</v>
      </c>
      <c r="F1514" t="s">
        <v>57</v>
      </c>
      <c r="G1514">
        <v>-343.6352</v>
      </c>
      <c r="H1514" s="1">
        <v>3.9767990000000001E-7</v>
      </c>
      <c r="I1514">
        <v>284.55590000000001</v>
      </c>
      <c r="J1514">
        <v>-328.41849999999999</v>
      </c>
      <c r="K1514">
        <v>1.1038840000000001</v>
      </c>
      <c r="L1514">
        <v>285.84129999999999</v>
      </c>
      <c r="M1514">
        <v>-0.99990759999999901</v>
      </c>
      <c r="N1514">
        <v>0</v>
      </c>
      <c r="O1514">
        <v>-7.8292469999999992E-3</v>
      </c>
      <c r="P1514">
        <v>-0.99844169999999999</v>
      </c>
      <c r="Q1514">
        <v>1.151742E-2</v>
      </c>
      <c r="R1514">
        <v>-5.460433E-2</v>
      </c>
      <c r="S1514">
        <v>-2.9935610000000001</v>
      </c>
      <c r="T1514">
        <v>-0.21349380000000001</v>
      </c>
      <c r="U1514">
        <v>-0.248962399999999</v>
      </c>
      <c r="V1514">
        <v>-4.6776610000000003E-2</v>
      </c>
      <c r="W1514">
        <v>2.263478E-2</v>
      </c>
      <c r="X1514">
        <v>0.99864889999999995</v>
      </c>
      <c r="Y1514">
        <v>-7.4905349999999996E-2</v>
      </c>
      <c r="Z1514">
        <v>-2.106386E-3</v>
      </c>
      <c r="AA1514">
        <v>0.99718839999999997</v>
      </c>
      <c r="AB1514">
        <v>27</v>
      </c>
      <c r="AC1514">
        <v>-15.216699999999999</v>
      </c>
      <c r="AD1514">
        <v>-1.1038836023201</v>
      </c>
      <c r="AE1514">
        <v>-1.2853999999999799</v>
      </c>
      <c r="AF1514">
        <v>-1.1601556883379101</v>
      </c>
      <c r="AG1514">
        <v>-1.1038836023201</v>
      </c>
      <c r="AH1514">
        <v>15.1471483414942</v>
      </c>
      <c r="AI1514">
        <v>94.156064263594402</v>
      </c>
      <c r="AJ1514">
        <v>94.379867092593301</v>
      </c>
      <c r="AK1514">
        <v>15.231566666232499</v>
      </c>
    </row>
    <row r="1515" spans="1:37" x14ac:dyDescent="0.2">
      <c r="A1515" t="str">
        <f>"20200111160134222"</f>
        <v>20200111160134222</v>
      </c>
      <c r="B1515" t="str">
        <f>"1578729694212340"</f>
        <v>1578729694212340</v>
      </c>
      <c r="C1515" t="s">
        <v>37</v>
      </c>
      <c r="D1515">
        <v>4.6951689999999999</v>
      </c>
      <c r="E1515">
        <v>0.4890447</v>
      </c>
      <c r="F1515" t="s">
        <v>57</v>
      </c>
      <c r="G1515">
        <v>-344.09070000000003</v>
      </c>
      <c r="H1515" s="1">
        <v>6.4005519999999897E-7</v>
      </c>
      <c r="I1515">
        <v>284.49770000000001</v>
      </c>
      <c r="J1515">
        <v>-328.68119999999999</v>
      </c>
      <c r="K1515">
        <v>1.1038790000000001</v>
      </c>
      <c r="L1515">
        <v>285.83949999999999</v>
      </c>
      <c r="M1515">
        <v>-0.99990900000000005</v>
      </c>
      <c r="N1515">
        <v>0</v>
      </c>
      <c r="O1515">
        <v>-7.6467619999999997E-3</v>
      </c>
      <c r="P1515">
        <v>-0.99846039999999903</v>
      </c>
      <c r="Q1515">
        <v>1.0774280000000001E-2</v>
      </c>
      <c r="R1515">
        <v>-5.4416829999999999E-2</v>
      </c>
      <c r="S1515">
        <v>-2.9930110000000001</v>
      </c>
      <c r="T1515">
        <v>-0.2108158</v>
      </c>
      <c r="U1515">
        <v>-0.25659179999999998</v>
      </c>
      <c r="V1515">
        <v>-4.6771670000000001E-2</v>
      </c>
      <c r="W1515">
        <v>2.1896349999999998E-2</v>
      </c>
      <c r="X1515">
        <v>0.99866559999999904</v>
      </c>
      <c r="Y1515">
        <v>-7.7623139999999993E-2</v>
      </c>
      <c r="Z1515">
        <v>-2.1884259999999998E-3</v>
      </c>
      <c r="AA1515">
        <v>0.99698039999999999</v>
      </c>
      <c r="AB1515">
        <v>27</v>
      </c>
      <c r="AC1515">
        <v>-15.4095</v>
      </c>
      <c r="AD1515">
        <v>-1.1038783599448001</v>
      </c>
      <c r="AE1515">
        <v>-1.3417999999999699</v>
      </c>
      <c r="AF1515">
        <v>-1.2177187073586</v>
      </c>
      <c r="AG1515">
        <v>-1.1038783599448001</v>
      </c>
      <c r="AH1515">
        <v>15.341175861089599</v>
      </c>
      <c r="AI1515">
        <v>94.102779472866601</v>
      </c>
      <c r="AJ1515">
        <v>94.538385138193306</v>
      </c>
      <c r="AK1515">
        <v>15.428968309147701</v>
      </c>
    </row>
    <row r="1516" spans="1:37" x14ac:dyDescent="0.2">
      <c r="A1516" t="str">
        <f>"20200111160134246"</f>
        <v>20200111160134246</v>
      </c>
      <c r="B1516" t="str">
        <f>"1578729694242598"</f>
        <v>1578729694242598</v>
      </c>
      <c r="C1516" t="s">
        <v>37</v>
      </c>
      <c r="D1516">
        <v>4.6644759999999996</v>
      </c>
      <c r="E1516">
        <v>0.487944499999999</v>
      </c>
      <c r="F1516" t="s">
        <v>57</v>
      </c>
      <c r="G1516">
        <v>-344.28550000000001</v>
      </c>
      <c r="H1516" s="1">
        <v>7.4371619999999997E-7</v>
      </c>
      <c r="I1516">
        <v>284.46550000000002</v>
      </c>
      <c r="J1516">
        <v>-328.96960000000001</v>
      </c>
      <c r="K1516">
        <v>1.1038760000000001</v>
      </c>
      <c r="L1516">
        <v>285.83749999999998</v>
      </c>
      <c r="M1516">
        <v>-0.99991049999999904</v>
      </c>
      <c r="N1516">
        <v>0</v>
      </c>
      <c r="O1516">
        <v>-7.4459239999999996E-3</v>
      </c>
      <c r="P1516">
        <v>-0.99849769999999904</v>
      </c>
      <c r="Q1516">
        <v>9.7115169999999994E-3</v>
      </c>
      <c r="R1516">
        <v>-5.3926420000000003E-2</v>
      </c>
      <c r="S1516">
        <v>-2.9925540000000002</v>
      </c>
      <c r="T1516">
        <v>-0.21169949999999901</v>
      </c>
      <c r="U1516">
        <v>-0.26348879999999902</v>
      </c>
      <c r="V1516">
        <v>-4.6481759999999997E-2</v>
      </c>
      <c r="W1516">
        <v>2.0838010000000001E-2</v>
      </c>
      <c r="X1516">
        <v>0.99870179999999997</v>
      </c>
      <c r="Y1516">
        <v>-8.0108529999999997E-2</v>
      </c>
      <c r="Z1516">
        <v>-2.2994859999999999E-3</v>
      </c>
      <c r="AA1516">
        <v>0.99678349999999905</v>
      </c>
      <c r="AB1516">
        <v>27</v>
      </c>
      <c r="AC1516">
        <v>-15.315899999999999</v>
      </c>
      <c r="AD1516">
        <v>-1.1038752562837999</v>
      </c>
      <c r="AE1516">
        <v>-1.3719999999999499</v>
      </c>
      <c r="AF1516">
        <v>-1.25146473931415</v>
      </c>
      <c r="AG1516">
        <v>-1.1038752562837999</v>
      </c>
      <c r="AH1516">
        <v>15.2471191209476</v>
      </c>
      <c r="AI1516">
        <v>94.127098285504104</v>
      </c>
      <c r="AJ1516">
        <v>94.692248698519805</v>
      </c>
      <c r="AK1516">
        <v>15.3381663201162</v>
      </c>
    </row>
    <row r="1517" spans="1:37" x14ac:dyDescent="0.2">
      <c r="A1517" t="str">
        <f>"20200111160134267"</f>
        <v>20200111160134267</v>
      </c>
      <c r="B1517" t="str">
        <f>"1578729694263092"</f>
        <v>1578729694263092</v>
      </c>
      <c r="C1517" t="s">
        <v>37</v>
      </c>
      <c r="D1517">
        <v>4.8322629999999904</v>
      </c>
      <c r="E1517">
        <v>0.48736980000000002</v>
      </c>
      <c r="F1517" t="s">
        <v>57</v>
      </c>
      <c r="G1517">
        <v>-344.69139999999999</v>
      </c>
      <c r="H1517" s="1">
        <v>9.5974750000000004E-7</v>
      </c>
      <c r="I1517">
        <v>284.41379999999998</v>
      </c>
      <c r="J1517">
        <v>-329.23910000000001</v>
      </c>
      <c r="K1517">
        <v>1.103872</v>
      </c>
      <c r="L1517">
        <v>285.83569999999997</v>
      </c>
      <c r="M1517">
        <v>-0.99991169999999996</v>
      </c>
      <c r="N1517">
        <v>0</v>
      </c>
      <c r="O1517">
        <v>-7.2583129999999997E-3</v>
      </c>
      <c r="P1517">
        <v>-0.99852680000000005</v>
      </c>
      <c r="Q1517">
        <v>8.6220740000000004E-3</v>
      </c>
      <c r="R1517">
        <v>-5.3571090000000002E-2</v>
      </c>
      <c r="S1517">
        <v>-2.991943</v>
      </c>
      <c r="T1517">
        <v>-0.2100737</v>
      </c>
      <c r="U1517">
        <v>-0.27093509999999998</v>
      </c>
      <c r="V1517">
        <v>-4.63142E-2</v>
      </c>
      <c r="W1517">
        <v>1.9752479999999999E-2</v>
      </c>
      <c r="X1517">
        <v>0.99873159999999905</v>
      </c>
      <c r="Y1517">
        <v>-8.276994E-2</v>
      </c>
      <c r="Z1517">
        <v>-2.3883379999999998E-3</v>
      </c>
      <c r="AA1517">
        <v>0.99656579999999995</v>
      </c>
      <c r="AB1517">
        <v>27</v>
      </c>
      <c r="AC1517">
        <v>-15.4522999999999</v>
      </c>
      <c r="AD1517">
        <v>-1.1038710402525</v>
      </c>
      <c r="AE1517">
        <v>-1.4218999999999899</v>
      </c>
      <c r="AF1517">
        <v>-1.3031036786074199</v>
      </c>
      <c r="AG1517">
        <v>-1.1038710402525</v>
      </c>
      <c r="AH1517">
        <v>15.384362451781101</v>
      </c>
      <c r="AI1517">
        <v>94.089504676448499</v>
      </c>
      <c r="AJ1517">
        <v>94.841575205462902</v>
      </c>
      <c r="AK1517">
        <v>15.478863605526101</v>
      </c>
    </row>
    <row r="1518" spans="1:37" x14ac:dyDescent="0.2">
      <c r="A1518" t="str">
        <f>"20200111160134290"</f>
        <v>20200111160134290</v>
      </c>
      <c r="B1518" t="str">
        <f>"1578729694282612"</f>
        <v>1578729694282612</v>
      </c>
      <c r="C1518" t="s">
        <v>37</v>
      </c>
      <c r="D1518">
        <v>4.6714289999999998</v>
      </c>
      <c r="E1518">
        <v>0.48720180000000002</v>
      </c>
      <c r="F1518" t="s">
        <v>57</v>
      </c>
      <c r="G1518">
        <v>-344.75209999999998</v>
      </c>
      <c r="H1518" s="1">
        <v>9.9204730000000005E-7</v>
      </c>
      <c r="I1518">
        <v>284.4128</v>
      </c>
      <c r="J1518">
        <v>-329.51620000000003</v>
      </c>
      <c r="K1518">
        <v>1.103864</v>
      </c>
      <c r="L1518">
        <v>285.83390000000003</v>
      </c>
      <c r="M1518">
        <v>-0.99991319999999995</v>
      </c>
      <c r="N1518">
        <v>0</v>
      </c>
      <c r="O1518">
        <v>-7.0662889999999999E-3</v>
      </c>
      <c r="P1518">
        <v>-0.99856809999999996</v>
      </c>
      <c r="Q1518">
        <v>6.9298559999999999E-3</v>
      </c>
      <c r="R1518">
        <v>-5.3046290000000003E-2</v>
      </c>
      <c r="S1518">
        <v>-2.9915159999999998</v>
      </c>
      <c r="T1518">
        <v>-0.21286929999999901</v>
      </c>
      <c r="U1518">
        <v>-0.2743835</v>
      </c>
      <c r="V1518">
        <v>-4.5981349999999997E-2</v>
      </c>
      <c r="W1518">
        <v>1.806429E-2</v>
      </c>
      <c r="X1518">
        <v>0.99877890000000003</v>
      </c>
      <c r="Y1518">
        <v>-8.4104570000000003E-2</v>
      </c>
      <c r="Z1518">
        <v>-2.481203E-3</v>
      </c>
      <c r="AA1518">
        <v>0.99645379999999995</v>
      </c>
      <c r="AB1518">
        <v>27</v>
      </c>
      <c r="AC1518">
        <v>-15.2358999999999</v>
      </c>
      <c r="AD1518">
        <v>-1.1038630079526901</v>
      </c>
      <c r="AE1518">
        <v>-1.42110000000002</v>
      </c>
      <c r="AF1518">
        <v>-1.3065971344999101</v>
      </c>
      <c r="AG1518">
        <v>-1.1038630079526901</v>
      </c>
      <c r="AH1518">
        <v>15.166635847662199</v>
      </c>
      <c r="AI1518">
        <v>94.147471563365102</v>
      </c>
      <c r="AJ1518">
        <v>94.923842009027595</v>
      </c>
      <c r="AK1518">
        <v>15.2627832503709</v>
      </c>
    </row>
    <row r="1519" spans="1:37" x14ac:dyDescent="0.2">
      <c r="A1519" t="str">
        <f>"20200111160134312"</f>
        <v>20200111160134312</v>
      </c>
      <c r="B1519" t="str">
        <f>"1578729694303108"</f>
        <v>1578729694303108</v>
      </c>
      <c r="C1519" t="s">
        <v>37</v>
      </c>
      <c r="D1519">
        <v>4.7603949999999999</v>
      </c>
      <c r="E1519">
        <v>0.48704069999999999</v>
      </c>
      <c r="F1519" t="s">
        <v>57</v>
      </c>
      <c r="G1519">
        <v>-344.55759999999998</v>
      </c>
      <c r="H1519" s="1">
        <v>8.8855840000000003E-7</v>
      </c>
      <c r="I1519">
        <v>284.45400000000001</v>
      </c>
      <c r="J1519">
        <v>-329.78489999999999</v>
      </c>
      <c r="K1519">
        <v>1.1038569999999901</v>
      </c>
      <c r="L1519">
        <v>285.8322</v>
      </c>
      <c r="M1519">
        <v>-0.99991450000000004</v>
      </c>
      <c r="N1519">
        <v>0</v>
      </c>
      <c r="O1519">
        <v>-6.8798679999999999E-3</v>
      </c>
      <c r="P1519">
        <v>-0.99859050000000005</v>
      </c>
      <c r="Q1519">
        <v>5.9647519999999898E-3</v>
      </c>
      <c r="R1519">
        <v>-5.2747330000000002E-2</v>
      </c>
      <c r="S1519">
        <v>-2.991241</v>
      </c>
      <c r="T1519">
        <v>-0.2195222</v>
      </c>
      <c r="U1519">
        <v>-0.27441409999999899</v>
      </c>
      <c r="V1519">
        <v>-4.5868770000000003E-2</v>
      </c>
      <c r="W1519">
        <v>1.7103139999999999E-2</v>
      </c>
      <c r="X1519">
        <v>0.9988011</v>
      </c>
      <c r="Y1519">
        <v>-8.4295460000000003E-2</v>
      </c>
      <c r="Z1519">
        <v>-2.5793909999999999E-3</v>
      </c>
      <c r="AA1519">
        <v>0.99643749999999998</v>
      </c>
      <c r="AB1519">
        <v>27</v>
      </c>
      <c r="AC1519">
        <v>-14.772699999999899</v>
      </c>
      <c r="AD1519">
        <v>-1.1038561114415999</v>
      </c>
      <c r="AE1519">
        <v>-1.3781999999999901</v>
      </c>
      <c r="AF1519">
        <v>-1.2694997994842401</v>
      </c>
      <c r="AG1519">
        <v>-1.1038561114415999</v>
      </c>
      <c r="AH1519">
        <v>14.7004612216161</v>
      </c>
      <c r="AI1519">
        <v>94.278410768935402</v>
      </c>
      <c r="AJ1519">
        <v>94.935693383598604</v>
      </c>
      <c r="AK1519">
        <v>14.7964079486845</v>
      </c>
    </row>
    <row r="1520" spans="1:37" x14ac:dyDescent="0.2">
      <c r="A1520" t="str">
        <f>"20200111160134334"</f>
        <v>20200111160134334</v>
      </c>
      <c r="B1520" t="str">
        <f>"1578729694322628"</f>
        <v>1578729694322628</v>
      </c>
      <c r="C1520" t="s">
        <v>37</v>
      </c>
      <c r="D1520">
        <v>4.8639859999999997</v>
      </c>
      <c r="E1520">
        <v>0.48705609999999999</v>
      </c>
      <c r="F1520" t="s">
        <v>57</v>
      </c>
      <c r="G1520">
        <v>-344.66590000000002</v>
      </c>
      <c r="H1520" s="1">
        <v>9.4618549999999996E-7</v>
      </c>
      <c r="I1520">
        <v>284.46600000000001</v>
      </c>
      <c r="J1520">
        <v>-330.04640000000001</v>
      </c>
      <c r="K1520">
        <v>1.103855</v>
      </c>
      <c r="L1520">
        <v>285.8306</v>
      </c>
      <c r="M1520">
        <v>-0.99991559999999902</v>
      </c>
      <c r="N1520">
        <v>0</v>
      </c>
      <c r="O1520">
        <v>-6.6979759999999996E-3</v>
      </c>
      <c r="P1520">
        <v>-0.99861169999999999</v>
      </c>
      <c r="Q1520">
        <v>5.1666200000000002E-3</v>
      </c>
      <c r="R1520">
        <v>-5.2422009999999998E-2</v>
      </c>
      <c r="S1520">
        <v>-2.9910580000000002</v>
      </c>
      <c r="T1520">
        <v>-0.2218726</v>
      </c>
      <c r="U1520">
        <v>-0.27459719999999999</v>
      </c>
      <c r="V1520">
        <v>-4.572507E-2</v>
      </c>
      <c r="W1520">
        <v>1.6307889999999998E-2</v>
      </c>
      <c r="X1520">
        <v>0.99882099999999996</v>
      </c>
      <c r="Y1520">
        <v>-8.4537130000000002E-2</v>
      </c>
      <c r="Z1520">
        <v>-2.6294619999999999E-3</v>
      </c>
      <c r="AA1520">
        <v>0.99641689999999905</v>
      </c>
      <c r="AB1520">
        <v>27</v>
      </c>
      <c r="AC1520">
        <v>-14.6195</v>
      </c>
      <c r="AD1520">
        <v>-1.1038540538145001</v>
      </c>
      <c r="AE1520">
        <v>-1.36459999999999</v>
      </c>
      <c r="AF1520">
        <v>-1.2595236153973499</v>
      </c>
      <c r="AG1520">
        <v>-1.1038540538145001</v>
      </c>
      <c r="AH1520">
        <v>14.5461002255424</v>
      </c>
      <c r="AI1520">
        <v>94.323548072041106</v>
      </c>
      <c r="AJ1520">
        <v>94.948806805677407</v>
      </c>
      <c r="AK1520">
        <v>14.642196736876301</v>
      </c>
    </row>
    <row r="1521" spans="1:37" x14ac:dyDescent="0.2">
      <c r="A1521" t="str">
        <f>"20200111160134357"</f>
        <v>20200111160134357</v>
      </c>
      <c r="B1521" t="str">
        <f>"1578729694352884"</f>
        <v>1578729694352884</v>
      </c>
      <c r="C1521" t="s">
        <v>37</v>
      </c>
      <c r="D1521">
        <v>4.7785900000000003</v>
      </c>
      <c r="E1521">
        <v>0.48668050000000002</v>
      </c>
      <c r="F1521" t="s">
        <v>57</v>
      </c>
      <c r="G1521">
        <v>-344.72590000000002</v>
      </c>
      <c r="H1521" s="1">
        <v>9.7807859999999903E-7</v>
      </c>
      <c r="I1521">
        <v>284.48899999999998</v>
      </c>
      <c r="J1521">
        <v>-330.3261</v>
      </c>
      <c r="K1521">
        <v>1.1038520000000001</v>
      </c>
      <c r="L1521">
        <v>285.82900000000001</v>
      </c>
      <c r="M1521">
        <v>-0.9999169</v>
      </c>
      <c r="N1521">
        <v>0</v>
      </c>
      <c r="O1521">
        <v>-6.5035669999999896E-3</v>
      </c>
      <c r="P1521">
        <v>-0.99862070000000003</v>
      </c>
      <c r="Q1521">
        <v>4.7674010000000001E-3</v>
      </c>
      <c r="R1521">
        <v>-5.2289139999999998E-2</v>
      </c>
      <c r="S1521">
        <v>-2.9909669999999999</v>
      </c>
      <c r="T1521">
        <v>-0.22491169999999999</v>
      </c>
      <c r="U1521">
        <v>-0.27334589999999998</v>
      </c>
      <c r="V1521">
        <v>-4.5786809999999997E-2</v>
      </c>
      <c r="W1521">
        <v>1.5912160000000002E-2</v>
      </c>
      <c r="X1521">
        <v>0.9988245</v>
      </c>
      <c r="Y1521">
        <v>-8.4314479999999997E-2</v>
      </c>
      <c r="Z1521">
        <v>-2.6717339999999998E-3</v>
      </c>
      <c r="AA1521">
        <v>0.99643559999999998</v>
      </c>
      <c r="AB1521">
        <v>27</v>
      </c>
      <c r="AC1521">
        <v>-14.399800000000001</v>
      </c>
      <c r="AD1521">
        <v>-1.1038510219213999</v>
      </c>
      <c r="AE1521">
        <v>-1.3399999999999701</v>
      </c>
      <c r="AF1521">
        <v>-1.2390969306347099</v>
      </c>
      <c r="AG1521">
        <v>-1.1038510219213999</v>
      </c>
      <c r="AH1521">
        <v>14.32475608231</v>
      </c>
      <c r="AI1521">
        <v>94.390116794648904</v>
      </c>
      <c r="AJ1521">
        <v>94.9438011891109</v>
      </c>
      <c r="AK1521">
        <v>14.4205577249905</v>
      </c>
    </row>
    <row r="1522" spans="1:37" x14ac:dyDescent="0.2">
      <c r="A1522" t="str">
        <f>"20200111160134379"</f>
        <v>20200111160134379</v>
      </c>
      <c r="B1522" t="str">
        <f>"1578729694372405"</f>
        <v>1578729694372405</v>
      </c>
      <c r="C1522" t="s">
        <v>37</v>
      </c>
      <c r="D1522">
        <v>4.8190429999999997</v>
      </c>
      <c r="E1522">
        <v>0.48658379999999901</v>
      </c>
      <c r="F1522" t="s">
        <v>57</v>
      </c>
      <c r="G1522">
        <v>-345.00720000000001</v>
      </c>
      <c r="H1522" s="1">
        <v>1.1278E-6</v>
      </c>
      <c r="I1522">
        <v>284.47469999999998</v>
      </c>
      <c r="J1522">
        <v>-330.60849999999999</v>
      </c>
      <c r="K1522">
        <v>1.1038509999999999</v>
      </c>
      <c r="L1522">
        <v>285.82740000000001</v>
      </c>
      <c r="M1522">
        <v>-0.99991819999999898</v>
      </c>
      <c r="N1522">
        <v>0</v>
      </c>
      <c r="O1522">
        <v>-6.3074860000000002E-3</v>
      </c>
      <c r="P1522">
        <v>-0.99861319999999998</v>
      </c>
      <c r="Q1522">
        <v>4.9633759999999898E-3</v>
      </c>
      <c r="R1522">
        <v>-5.2415070000000001E-2</v>
      </c>
      <c r="S1522">
        <v>-2.99075299999999</v>
      </c>
      <c r="T1522">
        <v>-0.22486990000000001</v>
      </c>
      <c r="U1522">
        <v>-0.27587889999999998</v>
      </c>
      <c r="V1522">
        <v>-4.61091E-2</v>
      </c>
      <c r="W1522">
        <v>1.611098E-2</v>
      </c>
      <c r="X1522">
        <v>0.99880650000000004</v>
      </c>
      <c r="Y1522">
        <v>-8.5349750000000002E-2</v>
      </c>
      <c r="Z1522">
        <v>-2.724799E-3</v>
      </c>
      <c r="AA1522">
        <v>0.99634730000000005</v>
      </c>
      <c r="AB1522">
        <v>27</v>
      </c>
      <c r="AC1522">
        <v>-14.3987</v>
      </c>
      <c r="AD1522">
        <v>-1.1038498722000001</v>
      </c>
      <c r="AE1522">
        <v>-1.35270000000002</v>
      </c>
      <c r="AF1522">
        <v>-1.2545391444028799</v>
      </c>
      <c r="AG1522">
        <v>-1.1038498722000001</v>
      </c>
      <c r="AH1522">
        <v>14.3235000342997</v>
      </c>
      <c r="AI1522">
        <v>94.390085549135705</v>
      </c>
      <c r="AJ1522">
        <v>95.005538808151499</v>
      </c>
      <c r="AK1522">
        <v>14.4206451394443</v>
      </c>
    </row>
    <row r="1523" spans="1:37" x14ac:dyDescent="0.2">
      <c r="A1523" t="str">
        <f>"20200111160134401"</f>
        <v>20200111160134401</v>
      </c>
      <c r="B1523" t="str">
        <f>"1578729694392900"</f>
        <v>1578729694392900</v>
      </c>
      <c r="C1523" t="s">
        <v>37</v>
      </c>
      <c r="D1523">
        <v>4.870018</v>
      </c>
      <c r="E1523">
        <v>0.48649100000000001</v>
      </c>
      <c r="F1523" t="s">
        <v>57</v>
      </c>
      <c r="G1523">
        <v>-345.41590000000002</v>
      </c>
      <c r="H1523" s="1">
        <v>1.3452860000000001E-6</v>
      </c>
      <c r="I1523">
        <v>284.45729999999998</v>
      </c>
      <c r="J1523">
        <v>-330.88330000000002</v>
      </c>
      <c r="K1523">
        <v>1.103853</v>
      </c>
      <c r="L1523">
        <v>285.82580000000002</v>
      </c>
      <c r="M1523">
        <v>-0.99991919999999901</v>
      </c>
      <c r="N1523">
        <v>0</v>
      </c>
      <c r="O1523">
        <v>-6.1173629999999998E-3</v>
      </c>
      <c r="P1523">
        <v>-0.99861329999999904</v>
      </c>
      <c r="Q1523">
        <v>5.2125399999999999E-3</v>
      </c>
      <c r="R1523">
        <v>-5.239125E-2</v>
      </c>
      <c r="S1523">
        <v>-2.99075299999999</v>
      </c>
      <c r="T1523">
        <v>-0.2229524</v>
      </c>
      <c r="U1523">
        <v>-0.27673340000000002</v>
      </c>
      <c r="V1523">
        <v>-4.6274650000000001E-2</v>
      </c>
      <c r="W1523">
        <v>1.6362720000000001E-2</v>
      </c>
      <c r="X1523">
        <v>0.99879470000000004</v>
      </c>
      <c r="Y1523">
        <v>-8.5823380000000005E-2</v>
      </c>
      <c r="Z1523">
        <v>-2.7333069999999999E-3</v>
      </c>
      <c r="AA1523">
        <v>0.99630659999999904</v>
      </c>
      <c r="AB1523">
        <v>27</v>
      </c>
      <c r="AC1523">
        <v>-14.5326</v>
      </c>
      <c r="AD1523">
        <v>-1.10385165471399</v>
      </c>
      <c r="AE1523">
        <v>-1.36850000000004</v>
      </c>
      <c r="AF1523">
        <v>-1.2722917703093799</v>
      </c>
      <c r="AG1523">
        <v>-1.10385165471399</v>
      </c>
      <c r="AH1523">
        <v>14.458018471210501</v>
      </c>
      <c r="AI1523">
        <v>94.349248462709795</v>
      </c>
      <c r="AJ1523">
        <v>95.029019097014597</v>
      </c>
      <c r="AK1523">
        <v>14.5558068460074</v>
      </c>
    </row>
    <row r="1524" spans="1:37" x14ac:dyDescent="0.2">
      <c r="A1524" t="str">
        <f>"20200111160134423"</f>
        <v>20200111160134423</v>
      </c>
      <c r="B1524" t="str">
        <f>"1578729694412420"</f>
        <v>1578729694412420</v>
      </c>
      <c r="C1524" t="s">
        <v>37</v>
      </c>
      <c r="D1524">
        <v>4.9054099999999998</v>
      </c>
      <c r="E1524">
        <v>0.48621170000000002</v>
      </c>
      <c r="F1524" t="s">
        <v>57</v>
      </c>
      <c r="G1524">
        <v>-345.79860000000002</v>
      </c>
      <c r="H1524" s="1">
        <v>1.5489220000000001E-6</v>
      </c>
      <c r="I1524">
        <v>284.44130000000001</v>
      </c>
      <c r="J1524">
        <v>-331.14460000000003</v>
      </c>
      <c r="K1524">
        <v>1.1038520000000001</v>
      </c>
      <c r="L1524">
        <v>285.8245</v>
      </c>
      <c r="M1524">
        <v>-0.99992039999999904</v>
      </c>
      <c r="N1524">
        <v>0</v>
      </c>
      <c r="O1524">
        <v>-5.9374780000000004E-3</v>
      </c>
      <c r="P1524">
        <v>-0.99862719999999905</v>
      </c>
      <c r="Q1524">
        <v>4.62930299999999E-3</v>
      </c>
      <c r="R1524">
        <v>-5.217339E-2</v>
      </c>
      <c r="S1524">
        <v>-2.9907840000000001</v>
      </c>
      <c r="T1524">
        <v>-0.22134179999999901</v>
      </c>
      <c r="U1524">
        <v>-0.27761839999999999</v>
      </c>
      <c r="V1524">
        <v>-4.6236970000000002E-2</v>
      </c>
      <c r="W1524">
        <v>1.5778670000000002E-2</v>
      </c>
      <c r="X1524">
        <v>0.99880590000000002</v>
      </c>
      <c r="Y1524">
        <v>-8.6295369999999996E-2</v>
      </c>
      <c r="Z1524">
        <v>-2.7442220000000002E-3</v>
      </c>
      <c r="AA1524">
        <v>0.99626579999999998</v>
      </c>
      <c r="AB1524">
        <v>27</v>
      </c>
      <c r="AC1524">
        <v>-14.6539999999999</v>
      </c>
      <c r="AD1524">
        <v>-1.1038504510780001</v>
      </c>
      <c r="AE1524">
        <v>-1.38319999999998</v>
      </c>
      <c r="AF1524">
        <v>-1.28891339543372</v>
      </c>
      <c r="AG1524">
        <v>-1.1038504510780001</v>
      </c>
      <c r="AH1524">
        <v>14.579955231875701</v>
      </c>
      <c r="AI1524">
        <v>94.312855523451006</v>
      </c>
      <c r="AJ1524">
        <v>95.051991826797106</v>
      </c>
      <c r="AK1524">
        <v>14.678381318209899</v>
      </c>
    </row>
    <row r="1525" spans="1:37" x14ac:dyDescent="0.2">
      <c r="A1525" t="str">
        <f>"20200111160134446"</f>
        <v>20200111160134446</v>
      </c>
      <c r="B1525" t="str">
        <f>"1578729694442676"</f>
        <v>1578729694442676</v>
      </c>
      <c r="C1525" t="s">
        <v>37</v>
      </c>
      <c r="D1525">
        <v>4.8952879999999999</v>
      </c>
      <c r="E1525">
        <v>0.48600409999999999</v>
      </c>
      <c r="F1525" t="s">
        <v>57</v>
      </c>
      <c r="G1525">
        <v>-345.9803</v>
      </c>
      <c r="H1525" s="1">
        <v>1.6456069999999999E-6</v>
      </c>
      <c r="I1525">
        <v>284.43889999999999</v>
      </c>
      <c r="J1525">
        <v>-331.42860000000002</v>
      </c>
      <c r="K1525">
        <v>1.1038429999999999</v>
      </c>
      <c r="L1525">
        <v>285.82299999999998</v>
      </c>
      <c r="M1525">
        <v>-0.99992169999999903</v>
      </c>
      <c r="N1525">
        <v>0</v>
      </c>
      <c r="O1525">
        <v>-5.7419109999999997E-3</v>
      </c>
      <c r="P1525">
        <v>-0.99864169999999997</v>
      </c>
      <c r="Q1525">
        <v>3.303669E-3</v>
      </c>
      <c r="R1525">
        <v>-5.200221E-2</v>
      </c>
      <c r="S1525">
        <v>-2.9905400000000002</v>
      </c>
      <c r="T1525">
        <v>-0.2225116</v>
      </c>
      <c r="U1525">
        <v>-0.27929690000000001</v>
      </c>
      <c r="V1525">
        <v>-4.6261249999999997E-2</v>
      </c>
      <c r="W1525">
        <v>1.4438909999999999E-2</v>
      </c>
      <c r="X1525">
        <v>0.99882499999999996</v>
      </c>
      <c r="Y1525">
        <v>-8.7047120000000006E-2</v>
      </c>
      <c r="Z1525">
        <v>-2.8012050000000002E-3</v>
      </c>
      <c r="AA1525">
        <v>0.99620030000000004</v>
      </c>
      <c r="AB1525">
        <v>27</v>
      </c>
      <c r="AC1525">
        <v>-14.551699999999901</v>
      </c>
      <c r="AD1525">
        <v>-1.1038413543929999</v>
      </c>
      <c r="AE1525">
        <v>-1.3840999999999799</v>
      </c>
      <c r="AF1525">
        <v>-1.2931431449689199</v>
      </c>
      <c r="AG1525">
        <v>-1.1038413543929999</v>
      </c>
      <c r="AH1525">
        <v>14.476851971381301</v>
      </c>
      <c r="AI1525">
        <v>94.343067003257403</v>
      </c>
      <c r="AJ1525">
        <v>95.104391840492198</v>
      </c>
      <c r="AK1525">
        <v>14.5763482371386</v>
      </c>
    </row>
    <row r="1526" spans="1:37" x14ac:dyDescent="0.2">
      <c r="A1526" t="str">
        <f>"20200111160134480"</f>
        <v>20200111160134480</v>
      </c>
      <c r="B1526" t="str">
        <f>"1578729694472932"</f>
        <v>1578729694472932</v>
      </c>
      <c r="C1526" t="s">
        <v>37</v>
      </c>
      <c r="D1526">
        <v>5.0484830000000001</v>
      </c>
      <c r="E1526">
        <v>0.4855122</v>
      </c>
      <c r="F1526" t="s">
        <v>57</v>
      </c>
      <c r="G1526">
        <v>-346.03930000000003</v>
      </c>
      <c r="H1526" s="1">
        <v>1.6770109999999899E-6</v>
      </c>
      <c r="I1526">
        <v>284.4529</v>
      </c>
      <c r="J1526">
        <v>-331.85050000000001</v>
      </c>
      <c r="K1526">
        <v>1.10382</v>
      </c>
      <c r="L1526">
        <v>285.82089999999999</v>
      </c>
      <c r="M1526">
        <v>-0.99992399999999904</v>
      </c>
      <c r="N1526">
        <v>0</v>
      </c>
      <c r="O1526">
        <v>-5.4524909999999899E-3</v>
      </c>
      <c r="P1526">
        <v>-0.99867269999999897</v>
      </c>
      <c r="Q1526">
        <v>2.4645890000000001E-3</v>
      </c>
      <c r="R1526">
        <v>-5.144746E-2</v>
      </c>
      <c r="S1526">
        <v>-2.990265</v>
      </c>
      <c r="T1526">
        <v>-0.225915</v>
      </c>
      <c r="U1526">
        <v>-0.28039550000000002</v>
      </c>
      <c r="V1526">
        <v>-4.5995590000000003E-2</v>
      </c>
      <c r="W1526">
        <v>1.353157E-2</v>
      </c>
      <c r="X1526">
        <v>0.99885000000000002</v>
      </c>
      <c r="Y1526">
        <v>-8.7697200000000003E-2</v>
      </c>
      <c r="Z1526">
        <v>-2.8903940000000001E-3</v>
      </c>
      <c r="AA1526">
        <v>0.996143</v>
      </c>
      <c r="AB1526">
        <v>27</v>
      </c>
      <c r="AC1526">
        <v>-14.188800000000001</v>
      </c>
      <c r="AD1526">
        <v>-1.103818322989</v>
      </c>
      <c r="AE1526">
        <v>-1.3679999999999899</v>
      </c>
      <c r="AF1526">
        <v>-1.2829178307126201</v>
      </c>
      <c r="AG1526">
        <v>-1.103818322989</v>
      </c>
      <c r="AH1526">
        <v>14.1114317351515</v>
      </c>
      <c r="AI1526">
        <v>94.454362494865805</v>
      </c>
      <c r="AJ1526">
        <v>95.194672136883895</v>
      </c>
      <c r="AK1526">
        <v>14.2125577805815</v>
      </c>
    </row>
    <row r="1527" spans="1:37" x14ac:dyDescent="0.2">
      <c r="A1527" t="str">
        <f>"20200111160134503"</f>
        <v>20200111160134503</v>
      </c>
      <c r="B1527" t="str">
        <f>"1578729694492452"</f>
        <v>1578729694492452</v>
      </c>
      <c r="C1527" t="s">
        <v>37</v>
      </c>
      <c r="D1527">
        <v>4.9454260000000003</v>
      </c>
      <c r="E1527">
        <v>0.48517259999999901</v>
      </c>
      <c r="F1527" t="s">
        <v>57</v>
      </c>
      <c r="G1527">
        <v>-346.37389999999999</v>
      </c>
      <c r="H1527" s="1">
        <v>1.8550700000000001E-6</v>
      </c>
      <c r="I1527">
        <v>284.45119999999997</v>
      </c>
      <c r="J1527">
        <v>-332.1198</v>
      </c>
      <c r="K1527">
        <v>1.1037969999999999</v>
      </c>
      <c r="L1527">
        <v>285.81959999999998</v>
      </c>
      <c r="M1527">
        <v>-0.99992569999999903</v>
      </c>
      <c r="N1527">
        <v>0</v>
      </c>
      <c r="O1527">
        <v>-5.2680859999999999E-3</v>
      </c>
      <c r="P1527">
        <v>-0.99870530000000002</v>
      </c>
      <c r="Q1527">
        <v>2.3833890000000001E-3</v>
      </c>
      <c r="R1527">
        <v>-5.0814199999999997E-2</v>
      </c>
      <c r="S1527">
        <v>-2.990021</v>
      </c>
      <c r="T1527">
        <v>-0.2272506</v>
      </c>
      <c r="U1527">
        <v>-0.28198240000000002</v>
      </c>
      <c r="V1527">
        <v>-4.5547020000000001E-2</v>
      </c>
      <c r="W1527">
        <v>1.3383290000000001E-2</v>
      </c>
      <c r="X1527">
        <v>0.99887250000000005</v>
      </c>
      <c r="Y1527">
        <v>-8.8407180000000002E-2</v>
      </c>
      <c r="Z1527">
        <v>-2.9484429999999998E-3</v>
      </c>
      <c r="AA1527">
        <v>0.99607999999999997</v>
      </c>
      <c r="AB1527">
        <v>28</v>
      </c>
      <c r="AC1527">
        <v>-14.2540999999999</v>
      </c>
      <c r="AD1527">
        <v>-1.1037951449299901</v>
      </c>
      <c r="AE1527">
        <v>-1.3684000000000001</v>
      </c>
      <c r="AF1527">
        <v>-1.2856456825464899</v>
      </c>
      <c r="AG1527">
        <v>-1.1037951449299901</v>
      </c>
      <c r="AH1527">
        <v>14.176876239115201</v>
      </c>
      <c r="AI1527">
        <v>94.433879725244594</v>
      </c>
      <c r="AJ1527">
        <v>95.181757205621594</v>
      </c>
      <c r="AK1527">
        <v>14.277782336280801</v>
      </c>
    </row>
    <row r="1528" spans="1:37" x14ac:dyDescent="0.2">
      <c r="A1528" t="str">
        <f>"20200111160134523"</f>
        <v>20200111160134523</v>
      </c>
      <c r="B1528" t="str">
        <f>"1578729694512948"</f>
        <v>1578729694512948</v>
      </c>
      <c r="C1528" t="s">
        <v>37</v>
      </c>
      <c r="D1528">
        <v>4.9658199999999999</v>
      </c>
      <c r="E1528">
        <v>0.48161799999999999</v>
      </c>
      <c r="F1528" t="s">
        <v>57</v>
      </c>
      <c r="G1528">
        <v>-346.73219999999998</v>
      </c>
      <c r="H1528" s="1">
        <v>2.04577799999999E-6</v>
      </c>
      <c r="I1528">
        <v>284.43740000000003</v>
      </c>
      <c r="J1528">
        <v>-332.38470000000001</v>
      </c>
      <c r="K1528">
        <v>1.103777</v>
      </c>
      <c r="L1528">
        <v>285.8184</v>
      </c>
      <c r="M1528">
        <v>-0.99992780000000003</v>
      </c>
      <c r="N1528">
        <v>0</v>
      </c>
      <c r="O1528">
        <v>-5.086625E-3</v>
      </c>
      <c r="P1528">
        <v>-0.99871639999999995</v>
      </c>
      <c r="Q1528">
        <v>3.0951239999999999E-3</v>
      </c>
      <c r="R1528">
        <v>-5.0560880000000002E-2</v>
      </c>
      <c r="S1528">
        <v>-2.9900509999999998</v>
      </c>
      <c r="T1528">
        <v>-0.22586210000000001</v>
      </c>
      <c r="U1528">
        <v>-0.2828369</v>
      </c>
      <c r="V1528">
        <v>-4.5474710000000002E-2</v>
      </c>
      <c r="W1528">
        <v>1.3997880000000001E-2</v>
      </c>
      <c r="X1528">
        <v>0.99886739999999996</v>
      </c>
      <c r="Y1528">
        <v>-8.8870199999999996E-2</v>
      </c>
      <c r="Z1528">
        <v>-2.9614929999999999E-3</v>
      </c>
      <c r="AA1528">
        <v>0.9960388</v>
      </c>
      <c r="AB1528">
        <v>28</v>
      </c>
      <c r="AC1528">
        <v>-14.347499999999901</v>
      </c>
      <c r="AD1528">
        <v>-1.1037749542219999</v>
      </c>
      <c r="AE1528">
        <v>-1.38099999999997</v>
      </c>
      <c r="AF1528">
        <v>-1.3003719063951</v>
      </c>
      <c r="AG1528">
        <v>-1.1037749542219999</v>
      </c>
      <c r="AH1528">
        <v>14.2706544571046</v>
      </c>
      <c r="AI1528">
        <v>94.404605247713107</v>
      </c>
      <c r="AJ1528">
        <v>95.206532777225306</v>
      </c>
      <c r="AK1528">
        <v>14.3722254671498</v>
      </c>
    </row>
    <row r="1529" spans="1:37" x14ac:dyDescent="0.2">
      <c r="A1529" t="str">
        <f>"20200111160134546"</f>
        <v>20200111160134546</v>
      </c>
      <c r="B1529" t="str">
        <f>"1578729694542228"</f>
        <v>1578729694542228</v>
      </c>
      <c r="C1529" t="s">
        <v>37</v>
      </c>
      <c r="D1529">
        <v>5.0263819999999999</v>
      </c>
      <c r="E1529">
        <v>0.48412619999999901</v>
      </c>
      <c r="F1529" t="s">
        <v>38</v>
      </c>
      <c r="G1529">
        <v>-499.97089999999997</v>
      </c>
      <c r="H1529">
        <v>6.3177720000000007E-2</v>
      </c>
      <c r="I1529">
        <v>269.01089999999999</v>
      </c>
      <c r="J1529">
        <v>-332.65820000000002</v>
      </c>
      <c r="K1529">
        <v>1.103745</v>
      </c>
      <c r="L1529">
        <v>285.81720000000001</v>
      </c>
      <c r="M1529">
        <v>-0.99993029999999905</v>
      </c>
      <c r="N1529">
        <v>0</v>
      </c>
      <c r="O1529">
        <v>-4.8994859999999998E-3</v>
      </c>
      <c r="P1529">
        <v>-0.99870340000000002</v>
      </c>
      <c r="Q1529">
        <v>4.4033579999999996E-3</v>
      </c>
      <c r="R1529">
        <v>-5.0715749999999997E-2</v>
      </c>
      <c r="S1529">
        <v>-2.9887079999999999</v>
      </c>
      <c r="T1529">
        <v>-1.855791E-2</v>
      </c>
      <c r="U1529">
        <v>-0.2997437</v>
      </c>
      <c r="V1529">
        <v>-4.5815920000000003E-2</v>
      </c>
      <c r="W1529">
        <v>1.5149320000000001E-2</v>
      </c>
      <c r="X1529">
        <v>0.99883500000000003</v>
      </c>
      <c r="Y1529">
        <v>-9.4913189999999995E-2</v>
      </c>
      <c r="Z1529">
        <v>-2.6358810000000002E-4</v>
      </c>
      <c r="AA1529">
        <v>0.99548549999999902</v>
      </c>
      <c r="AB1529">
        <v>28</v>
      </c>
      <c r="AC1529">
        <v>-167.31269999999901</v>
      </c>
      <c r="AD1529">
        <v>-1.0405672800000001</v>
      </c>
      <c r="AE1529">
        <v>-16.8063</v>
      </c>
      <c r="AF1529">
        <v>-15.9856925830113</v>
      </c>
      <c r="AG1529">
        <v>-1.0405672800000001</v>
      </c>
      <c r="AH1529">
        <v>167.386628789387</v>
      </c>
      <c r="AI1529">
        <v>90.354564266592803</v>
      </c>
      <c r="AJ1529">
        <v>95.4552942412856</v>
      </c>
      <c r="AK1529">
        <v>168.151445563512</v>
      </c>
    </row>
    <row r="1530" spans="1:37" x14ac:dyDescent="0.2">
      <c r="A1530" t="str">
        <f>"20200111160134570"</f>
        <v>20200111160134570</v>
      </c>
      <c r="B1530" t="str">
        <f>"1578729694562724"</f>
        <v>1578729694562724</v>
      </c>
      <c r="C1530" t="s">
        <v>37</v>
      </c>
      <c r="D1530">
        <v>4.8913949999999904</v>
      </c>
      <c r="E1530">
        <v>0.51485119999999995</v>
      </c>
      <c r="F1530" t="s">
        <v>57</v>
      </c>
      <c r="G1530">
        <v>-358.60359999999997</v>
      </c>
      <c r="H1530" s="1">
        <v>3.0416280000000002E-6</v>
      </c>
      <c r="I1530">
        <v>283.33530000000002</v>
      </c>
      <c r="J1530">
        <v>-332.95310000000001</v>
      </c>
      <c r="K1530">
        <v>1.103693</v>
      </c>
      <c r="L1530">
        <v>285.81599999999997</v>
      </c>
      <c r="M1530">
        <v>-0.99993399999999999</v>
      </c>
      <c r="N1530">
        <v>0</v>
      </c>
      <c r="O1530">
        <v>-4.697845E-3</v>
      </c>
      <c r="P1530">
        <v>-0.99869200000000002</v>
      </c>
      <c r="Q1530">
        <v>5.8484080000000003E-3</v>
      </c>
      <c r="R1530">
        <v>-5.0796170000000002E-2</v>
      </c>
      <c r="S1530">
        <v>-2.98996</v>
      </c>
      <c r="T1530">
        <v>-0.12719559999999999</v>
      </c>
      <c r="U1530">
        <v>-0.28601070000000001</v>
      </c>
      <c r="V1530">
        <v>-4.6097480000000003E-2</v>
      </c>
      <c r="W1530">
        <v>1.6348410000000001E-2</v>
      </c>
      <c r="X1530">
        <v>0.99880309999999894</v>
      </c>
      <c r="Y1530">
        <v>-9.0467720000000001E-2</v>
      </c>
      <c r="Z1530">
        <v>-1.71974E-3</v>
      </c>
      <c r="AA1530">
        <v>0.995897899999999</v>
      </c>
      <c r="AB1530">
        <v>28</v>
      </c>
      <c r="AC1530">
        <v>-25.650499999999901</v>
      </c>
      <c r="AD1530">
        <v>-1.1036899583719999</v>
      </c>
      <c r="AE1530">
        <v>-2.4806999999999499</v>
      </c>
      <c r="AF1530">
        <v>-2.3558427127894301</v>
      </c>
      <c r="AG1530">
        <v>-1.1036899583719999</v>
      </c>
      <c r="AH1530">
        <v>25.6148873027878</v>
      </c>
      <c r="AI1530">
        <v>92.456868434656201</v>
      </c>
      <c r="AJ1530">
        <v>95.254802600183297</v>
      </c>
      <c r="AK1530">
        <v>25.746661491271698</v>
      </c>
    </row>
    <row r="1531" spans="1:37" x14ac:dyDescent="0.2">
      <c r="A1531" t="str">
        <f>"20200111160134592"</f>
        <v>20200111160134592</v>
      </c>
      <c r="B1531" t="str">
        <f>"1578729694582244"</f>
        <v>1578729694582244</v>
      </c>
      <c r="C1531" t="s">
        <v>37</v>
      </c>
      <c r="D1531">
        <v>4.9681179999999996</v>
      </c>
      <c r="E1531">
        <v>0.51693459999999902</v>
      </c>
      <c r="F1531" t="s">
        <v>42</v>
      </c>
      <c r="G1531">
        <v>-333.92129999999997</v>
      </c>
      <c r="H1531">
        <v>1.037452</v>
      </c>
      <c r="I1531">
        <v>285.80149999999998</v>
      </c>
      <c r="J1531">
        <v>-333.22340000000003</v>
      </c>
      <c r="K1531">
        <v>1.1036440000000001</v>
      </c>
      <c r="L1531">
        <v>285.81490000000002</v>
      </c>
      <c r="M1531">
        <v>-0.99993779999999999</v>
      </c>
      <c r="N1531">
        <v>0</v>
      </c>
      <c r="O1531">
        <v>-4.5126929999999999E-3</v>
      </c>
      <c r="P1531">
        <v>-0.99870009999999998</v>
      </c>
      <c r="Q1531">
        <v>6.7176859999999996E-3</v>
      </c>
      <c r="R1531">
        <v>-5.0526670000000003E-2</v>
      </c>
      <c r="S1531">
        <v>-3.002777</v>
      </c>
      <c r="T1531">
        <v>-0.20553850000000001</v>
      </c>
      <c r="U1531">
        <v>-4.5440670000000002E-2</v>
      </c>
      <c r="V1531">
        <v>-4.6012740000000003E-2</v>
      </c>
      <c r="W1531">
        <v>1.6925780000000001E-2</v>
      </c>
      <c r="X1531">
        <v>0.9987975</v>
      </c>
      <c r="Y1531">
        <v>-1.060434E-2</v>
      </c>
      <c r="Z1531" s="1">
        <v>-5.396031E-5</v>
      </c>
      <c r="AA1531">
        <v>0.99994380000000005</v>
      </c>
      <c r="AB1531">
        <v>28</v>
      </c>
      <c r="AC1531">
        <v>-0.69789999999994701</v>
      </c>
      <c r="AD1531">
        <v>-6.6192000000000001E-2</v>
      </c>
      <c r="AE1531">
        <v>-1.34000000000469E-2</v>
      </c>
      <c r="AF1531">
        <v>-1.01589403431102E-2</v>
      </c>
      <c r="AG1531">
        <v>-6.6192000000000001E-2</v>
      </c>
      <c r="AH1531">
        <v>0.69173318355735203</v>
      </c>
      <c r="AI1531">
        <v>95.465408870035702</v>
      </c>
      <c r="AJ1531">
        <v>90.841397489302807</v>
      </c>
      <c r="AK1531">
        <v>0.69496718064041296</v>
      </c>
    </row>
    <row r="1532" spans="1:37" x14ac:dyDescent="0.2">
      <c r="A1532" t="str">
        <f>"20200111160134613"</f>
        <v>20200111160134613</v>
      </c>
      <c r="B1532" t="str">
        <f>"1578729694602740"</f>
        <v>1578729694602740</v>
      </c>
      <c r="C1532" t="s">
        <v>37</v>
      </c>
      <c r="D1532">
        <v>5.0083539999999998</v>
      </c>
      <c r="E1532">
        <v>0.51766210000000001</v>
      </c>
      <c r="F1532" t="s">
        <v>57</v>
      </c>
      <c r="G1532">
        <v>-352.3381</v>
      </c>
      <c r="H1532" s="1">
        <v>-2.9254590000000001E-7</v>
      </c>
      <c r="I1532">
        <v>285.64690000000002</v>
      </c>
      <c r="J1532">
        <v>-333.491999999999</v>
      </c>
      <c r="K1532">
        <v>1.103604</v>
      </c>
      <c r="L1532">
        <v>285.81389999999999</v>
      </c>
      <c r="M1532">
        <v>-0.99994179999999999</v>
      </c>
      <c r="N1532">
        <v>0</v>
      </c>
      <c r="O1532">
        <v>-4.329042E-3</v>
      </c>
      <c r="P1532">
        <v>-0.99870619999999999</v>
      </c>
      <c r="Q1532">
        <v>8.0793519999999997E-3</v>
      </c>
      <c r="R1532">
        <v>-5.0205439999999997E-2</v>
      </c>
      <c r="S1532">
        <v>-3.0037229999999999</v>
      </c>
      <c r="T1532">
        <v>-0.173429</v>
      </c>
      <c r="U1532">
        <v>-2.6397710000000001E-2</v>
      </c>
      <c r="V1532">
        <v>-4.5874739999999997E-2</v>
      </c>
      <c r="W1532">
        <v>1.7976099999999998E-2</v>
      </c>
      <c r="X1532">
        <v>0.99878539999999905</v>
      </c>
      <c r="Y1532">
        <v>-4.4586069999999998E-3</v>
      </c>
      <c r="Z1532">
        <v>1.21142E-4</v>
      </c>
      <c r="AA1532">
        <v>0.99998999999999905</v>
      </c>
      <c r="AB1532">
        <v>28</v>
      </c>
      <c r="AC1532">
        <v>-18.8461</v>
      </c>
      <c r="AD1532">
        <v>-1.1036042925459</v>
      </c>
      <c r="AE1532">
        <v>-0.166999999999973</v>
      </c>
      <c r="AF1532">
        <v>-8.5117038253206503E-2</v>
      </c>
      <c r="AG1532">
        <v>-1.1036042925459</v>
      </c>
      <c r="AH1532">
        <v>18.7822446969904</v>
      </c>
      <c r="AI1532">
        <v>93.362675948956294</v>
      </c>
      <c r="AJ1532">
        <v>90.259650204238199</v>
      </c>
      <c r="AK1532">
        <v>18.8148320003754</v>
      </c>
    </row>
    <row r="1533" spans="1:37" x14ac:dyDescent="0.2">
      <c r="A1533" t="str">
        <f>"20200111160134635"</f>
        <v>20200111160134635</v>
      </c>
      <c r="B1533" t="str">
        <f>"1578729694622260"</f>
        <v>1578729694622260</v>
      </c>
      <c r="C1533" t="s">
        <v>37</v>
      </c>
      <c r="D1533">
        <v>4.9877029999999998</v>
      </c>
      <c r="E1533">
        <v>0.51794070000000003</v>
      </c>
      <c r="F1533" t="s">
        <v>57</v>
      </c>
      <c r="G1533">
        <v>-354.11759999999998</v>
      </c>
      <c r="H1533" s="1">
        <v>6.5441360000000003E-7</v>
      </c>
      <c r="I1533">
        <v>285.68119999999999</v>
      </c>
      <c r="J1533">
        <v>-333.77249999999998</v>
      </c>
      <c r="K1533">
        <v>1.103556</v>
      </c>
      <c r="L1533">
        <v>285.81290000000001</v>
      </c>
      <c r="M1533">
        <v>-0.999945999999999</v>
      </c>
      <c r="N1533">
        <v>0</v>
      </c>
      <c r="O1533">
        <v>-4.1373809999999999E-3</v>
      </c>
      <c r="P1533">
        <v>-0.99872839999999996</v>
      </c>
      <c r="Q1533">
        <v>8.3200219999999998E-3</v>
      </c>
      <c r="R1533">
        <v>-4.9725079999999998E-2</v>
      </c>
      <c r="S1533">
        <v>-3.0042110000000002</v>
      </c>
      <c r="T1533">
        <v>-0.16074449999999901</v>
      </c>
      <c r="U1533">
        <v>-1.9317629999999999E-2</v>
      </c>
      <c r="V1533">
        <v>-4.5585260000000002E-2</v>
      </c>
      <c r="W1533">
        <v>1.786358E-2</v>
      </c>
      <c r="X1533">
        <v>0.99880069999999999</v>
      </c>
      <c r="Y1533">
        <v>-2.2951460000000001E-3</v>
      </c>
      <c r="Z1533">
        <v>1.5986679999999999E-4</v>
      </c>
      <c r="AA1533">
        <v>0.99999740000000004</v>
      </c>
      <c r="AB1533">
        <v>28</v>
      </c>
      <c r="AC1533">
        <v>-20.345099999999999</v>
      </c>
      <c r="AD1533">
        <v>-1.10355534558639</v>
      </c>
      <c r="AE1533">
        <v>-0.13170000000002299</v>
      </c>
      <c r="AF1533">
        <v>-4.7380222247895398E-2</v>
      </c>
      <c r="AG1533">
        <v>-1.10355534558639</v>
      </c>
      <c r="AH1533">
        <v>20.2857889173712</v>
      </c>
      <c r="AI1533">
        <v>93.113836445335295</v>
      </c>
      <c r="AJ1533">
        <v>90.133821851439293</v>
      </c>
      <c r="AK1533">
        <v>20.315838926472399</v>
      </c>
    </row>
    <row r="1534" spans="1:37" x14ac:dyDescent="0.2">
      <c r="A1534" t="str">
        <f>"20200111160134658"</f>
        <v>20200111160134658</v>
      </c>
      <c r="B1534" t="str">
        <f>"1578729694652517"</f>
        <v>1578729694652517</v>
      </c>
      <c r="C1534" t="s">
        <v>37</v>
      </c>
      <c r="D1534">
        <v>4.9995199999999897</v>
      </c>
      <c r="E1534">
        <v>0.51853930000000004</v>
      </c>
      <c r="F1534" t="s">
        <v>57</v>
      </c>
      <c r="G1534">
        <v>-355.27690000000001</v>
      </c>
      <c r="H1534" s="1">
        <v>1.271322E-6</v>
      </c>
      <c r="I1534">
        <v>285.70229999999998</v>
      </c>
      <c r="J1534">
        <v>-334.05869999999999</v>
      </c>
      <c r="K1534">
        <v>1.1034999999999999</v>
      </c>
      <c r="L1534">
        <v>285.81189999999998</v>
      </c>
      <c r="M1534">
        <v>-0.99995049999999996</v>
      </c>
      <c r="N1534">
        <v>0</v>
      </c>
      <c r="O1534">
        <v>-3.9435659999999999E-3</v>
      </c>
      <c r="P1534">
        <v>-0.9987395</v>
      </c>
      <c r="Q1534">
        <v>8.7261330000000005E-3</v>
      </c>
      <c r="R1534">
        <v>-4.9430699999999897E-2</v>
      </c>
      <c r="S1534">
        <v>-3.0043329999999999</v>
      </c>
      <c r="T1534">
        <v>-0.15417510000000001</v>
      </c>
      <c r="U1534">
        <v>-1.544189E-2</v>
      </c>
      <c r="V1534">
        <v>-4.5484770000000001E-2</v>
      </c>
      <c r="W1534">
        <v>1.7872160000000002E-2</v>
      </c>
      <c r="X1534">
        <v>0.99880519999999995</v>
      </c>
      <c r="Y1534">
        <v>-1.1996979999999999E-3</v>
      </c>
      <c r="Z1534">
        <v>1.71485E-4</v>
      </c>
      <c r="AA1534">
        <v>0.99999930000000004</v>
      </c>
      <c r="AB1534">
        <v>28</v>
      </c>
      <c r="AC1534">
        <v>-21.2182</v>
      </c>
      <c r="AD1534">
        <v>-1.103498728678</v>
      </c>
      <c r="AE1534">
        <v>-0.1096</v>
      </c>
      <c r="AF1534">
        <v>-2.5850367361342299E-2</v>
      </c>
      <c r="AG1534">
        <v>-1.103498728678</v>
      </c>
      <c r="AH1534">
        <v>21.161232981134301</v>
      </c>
      <c r="AI1534">
        <v>92.985107511797906</v>
      </c>
      <c r="AJ1534">
        <v>90.069991961869107</v>
      </c>
      <c r="AK1534">
        <v>21.190001391399999</v>
      </c>
    </row>
    <row r="1535" spans="1:37" x14ac:dyDescent="0.2">
      <c r="A1535" t="str">
        <f>"20200111160134680"</f>
        <v>20200111160134680</v>
      </c>
      <c r="B1535" t="str">
        <f>"1578729694673012"</f>
        <v>1578729694673012</v>
      </c>
      <c r="C1535" t="s">
        <v>37</v>
      </c>
      <c r="D1535">
        <v>4.9951049999999997</v>
      </c>
      <c r="E1535">
        <v>0.51877450000000003</v>
      </c>
      <c r="F1535" t="s">
        <v>57</v>
      </c>
      <c r="G1535">
        <v>-355.86970000000002</v>
      </c>
      <c r="H1535" s="1">
        <v>1.586746E-6</v>
      </c>
      <c r="I1535">
        <v>285.74009999999998</v>
      </c>
      <c r="J1535">
        <v>-334.34620000000001</v>
      </c>
      <c r="K1535">
        <v>1.1034389999999901</v>
      </c>
      <c r="L1535">
        <v>285.8109</v>
      </c>
      <c r="M1535">
        <v>-0.99995499999999904</v>
      </c>
      <c r="N1535">
        <v>0</v>
      </c>
      <c r="O1535">
        <v>-3.7506709999999902E-3</v>
      </c>
      <c r="P1535">
        <v>-0.99874830000000003</v>
      </c>
      <c r="Q1535">
        <v>9.8505429999999998E-3</v>
      </c>
      <c r="R1535">
        <v>-4.9040029999999998E-2</v>
      </c>
      <c r="S1535">
        <v>-3.0046390000000001</v>
      </c>
      <c r="T1535">
        <v>-0.15201589999999901</v>
      </c>
      <c r="U1535">
        <v>-9.8876950000000002E-3</v>
      </c>
      <c r="V1535">
        <v>-4.528654E-2</v>
      </c>
      <c r="W1535">
        <v>1.8570610000000001E-2</v>
      </c>
      <c r="X1535">
        <v>0.99880139999999995</v>
      </c>
      <c r="Y1535">
        <v>4.5464479999999998E-4</v>
      </c>
      <c r="Z1535">
        <v>2.01139E-4</v>
      </c>
      <c r="AA1535">
        <v>0.99999989999999905</v>
      </c>
      <c r="AB1535">
        <v>28</v>
      </c>
      <c r="AC1535">
        <v>-21.523499999999999</v>
      </c>
      <c r="AD1535">
        <v>-1.1034374132539999</v>
      </c>
      <c r="AE1535">
        <v>-7.0800000000019694E-2</v>
      </c>
      <c r="AF1535">
        <v>9.9050973460777202E-3</v>
      </c>
      <c r="AG1535">
        <v>-1.1034374132539999</v>
      </c>
      <c r="AH1535">
        <v>21.467193231204799</v>
      </c>
      <c r="AI1535">
        <v>92.942476369307897</v>
      </c>
      <c r="AJ1535">
        <v>89.9735633705249</v>
      </c>
      <c r="AK1535">
        <v>21.495535756565999</v>
      </c>
    </row>
    <row r="1536" spans="1:37" x14ac:dyDescent="0.2">
      <c r="A1536" t="str">
        <f>"20200111160134702"</f>
        <v>20200111160134702</v>
      </c>
      <c r="B1536" t="str">
        <f>"1578729694692531"</f>
        <v>1578729694692531</v>
      </c>
      <c r="C1536" t="s">
        <v>37</v>
      </c>
      <c r="D1536">
        <v>5.0648460000000002</v>
      </c>
      <c r="E1536">
        <v>0.51872559999999901</v>
      </c>
      <c r="F1536" t="s">
        <v>57</v>
      </c>
      <c r="G1536">
        <v>-356.50560000000002</v>
      </c>
      <c r="H1536" s="1">
        <v>1.9251789999999999E-6</v>
      </c>
      <c r="I1536">
        <v>285.76119999999997</v>
      </c>
      <c r="J1536">
        <v>-334.6189</v>
      </c>
      <c r="K1536">
        <v>1.1033809999999999</v>
      </c>
      <c r="L1536">
        <v>285.81009999999998</v>
      </c>
      <c r="M1536">
        <v>-0.9999593</v>
      </c>
      <c r="N1536">
        <v>0</v>
      </c>
      <c r="O1536">
        <v>-3.5709159999999999E-3</v>
      </c>
      <c r="P1536">
        <v>-0.9987395</v>
      </c>
      <c r="Q1536">
        <v>1.1025160000000001E-2</v>
      </c>
      <c r="R1536">
        <v>-4.8969819999999997E-2</v>
      </c>
      <c r="S1536">
        <v>-3.0049440000000001</v>
      </c>
      <c r="T1536">
        <v>-0.1496326</v>
      </c>
      <c r="U1536">
        <v>-6.7443850000000003E-3</v>
      </c>
      <c r="V1536">
        <v>-4.5395419999999999E-2</v>
      </c>
      <c r="W1536">
        <v>1.933294E-2</v>
      </c>
      <c r="X1536">
        <v>0.99878199999999995</v>
      </c>
      <c r="Y1536">
        <v>1.3205599999999999E-3</v>
      </c>
      <c r="Z1536">
        <v>2.1056929999999999E-4</v>
      </c>
      <c r="AA1536">
        <v>0.99999910000000003</v>
      </c>
      <c r="AB1536">
        <v>28</v>
      </c>
      <c r="AC1536">
        <v>-21.886700000000001</v>
      </c>
      <c r="AD1536">
        <v>-1.1033790748209999</v>
      </c>
      <c r="AE1536">
        <v>-4.8900000000003198E-2</v>
      </c>
      <c r="AF1536">
        <v>2.91843901663759E-2</v>
      </c>
      <c r="AG1536">
        <v>-1.1033790748209999</v>
      </c>
      <c r="AH1536">
        <v>21.831251374838001</v>
      </c>
      <c r="AI1536">
        <v>92.893336706176598</v>
      </c>
      <c r="AJ1536">
        <v>89.923406067778501</v>
      </c>
      <c r="AK1536">
        <v>21.8591361609454</v>
      </c>
    </row>
    <row r="1537" spans="1:37" x14ac:dyDescent="0.2">
      <c r="A1537" t="str">
        <f>"20200111160134726"</f>
        <v>20200111160134726</v>
      </c>
      <c r="B1537" t="str">
        <f>"1578729694713030"</f>
        <v>1578729694713030</v>
      </c>
      <c r="C1537" t="s">
        <v>37</v>
      </c>
      <c r="D1537">
        <v>5.0122549999999997</v>
      </c>
      <c r="E1537">
        <v>0.51894470000000004</v>
      </c>
      <c r="F1537" t="s">
        <v>57</v>
      </c>
      <c r="G1537">
        <v>-357.13760000000002</v>
      </c>
      <c r="H1537" s="1">
        <v>2.2614940000000001E-6</v>
      </c>
      <c r="I1537">
        <v>285.75639999999999</v>
      </c>
      <c r="J1537">
        <v>-334.92</v>
      </c>
      <c r="K1537">
        <v>1.103329</v>
      </c>
      <c r="L1537">
        <v>285.80919999999998</v>
      </c>
      <c r="M1537">
        <v>-0.99996359999999995</v>
      </c>
      <c r="N1537">
        <v>0</v>
      </c>
      <c r="O1537">
        <v>-3.3771389999999999E-3</v>
      </c>
      <c r="P1537">
        <v>-0.99871900000000002</v>
      </c>
      <c r="Q1537">
        <v>1.1476790000000001E-2</v>
      </c>
      <c r="R1537">
        <v>-4.9283189999999998E-2</v>
      </c>
      <c r="S1537">
        <v>-3.0050659999999998</v>
      </c>
      <c r="T1537">
        <v>-0.14724309999999999</v>
      </c>
      <c r="U1537">
        <v>-7.17163099999999E-3</v>
      </c>
      <c r="V1537">
        <v>-4.590263E-2</v>
      </c>
      <c r="W1537">
        <v>1.9327690000000002E-2</v>
      </c>
      <c r="X1537">
        <v>0.99875890000000001</v>
      </c>
      <c r="Y1537">
        <v>9.8550580000000007E-4</v>
      </c>
      <c r="Z1537">
        <v>1.895089E-4</v>
      </c>
      <c r="AA1537">
        <v>0.99999950000000004</v>
      </c>
      <c r="AB1537">
        <v>28</v>
      </c>
      <c r="AC1537">
        <v>-22.217600000000001</v>
      </c>
      <c r="AD1537">
        <v>-1.1033267385059999</v>
      </c>
      <c r="AE1537">
        <v>-5.2799999999990598E-2</v>
      </c>
      <c r="AF1537">
        <v>2.2179830118043101E-2</v>
      </c>
      <c r="AG1537">
        <v>-1.1033267385059999</v>
      </c>
      <c r="AH1537">
        <v>22.162995342199999</v>
      </c>
      <c r="AI1537">
        <v>92.849966265613205</v>
      </c>
      <c r="AJ1537">
        <v>89.942660718363499</v>
      </c>
      <c r="AK1537">
        <v>22.190452550030201</v>
      </c>
    </row>
    <row r="1538" spans="1:37" x14ac:dyDescent="0.2">
      <c r="A1538" t="str">
        <f>"20200111160134749"</f>
        <v>20200111160134749</v>
      </c>
      <c r="B1538" t="str">
        <f>"1578729694742309"</f>
        <v>1578729694742309</v>
      </c>
      <c r="C1538" t="s">
        <v>37</v>
      </c>
      <c r="D1538">
        <v>5.0593870000000001</v>
      </c>
      <c r="E1538">
        <v>0.51922209999999902</v>
      </c>
      <c r="F1538" t="s">
        <v>57</v>
      </c>
      <c r="G1538">
        <v>-357.52499999999998</v>
      </c>
      <c r="H1538" s="1">
        <v>2.467643E-6</v>
      </c>
      <c r="I1538">
        <v>285.76260000000002</v>
      </c>
      <c r="J1538">
        <v>-335.21350000000001</v>
      </c>
      <c r="K1538">
        <v>1.103278</v>
      </c>
      <c r="L1538">
        <v>285.80829999999997</v>
      </c>
      <c r="M1538">
        <v>-0.99996749999999901</v>
      </c>
      <c r="N1538">
        <v>0</v>
      </c>
      <c r="O1538">
        <v>-3.1956809999999902E-3</v>
      </c>
      <c r="P1538">
        <v>-0.99865879999999996</v>
      </c>
      <c r="Q1538">
        <v>1.1632190000000001E-2</v>
      </c>
      <c r="R1538">
        <v>-5.0450010000000003E-2</v>
      </c>
      <c r="S1538">
        <v>-3.0052189999999999</v>
      </c>
      <c r="T1538">
        <v>-0.14668139999999999</v>
      </c>
      <c r="U1538">
        <v>-6.1950679999999998E-3</v>
      </c>
      <c r="V1538">
        <v>-4.7251580000000001E-2</v>
      </c>
      <c r="W1538">
        <v>1.904117E-2</v>
      </c>
      <c r="X1538">
        <v>0.99870149999999902</v>
      </c>
      <c r="Y1538">
        <v>1.1291910000000001E-3</v>
      </c>
      <c r="Z1538">
        <v>1.834296E-4</v>
      </c>
      <c r="AA1538">
        <v>0.99999930000000004</v>
      </c>
      <c r="AB1538">
        <v>29</v>
      </c>
      <c r="AC1538">
        <v>-22.311499999999899</v>
      </c>
      <c r="AD1538">
        <v>-1.103275532357</v>
      </c>
      <c r="AE1538">
        <v>-4.5699999999953798E-2</v>
      </c>
      <c r="AF1538">
        <v>2.5540173229655801E-2</v>
      </c>
      <c r="AG1538">
        <v>-1.103275532357</v>
      </c>
      <c r="AH1538">
        <v>22.257109752056</v>
      </c>
      <c r="AI1538">
        <v>92.8378029555967</v>
      </c>
      <c r="AJ1538">
        <v>89.934252762011795</v>
      </c>
      <c r="AK1538">
        <v>22.2844520622745</v>
      </c>
    </row>
    <row r="1539" spans="1:37" x14ac:dyDescent="0.2">
      <c r="A1539" t="str">
        <f>"20200111160134771"</f>
        <v>20200111160134771</v>
      </c>
      <c r="B1539" t="str">
        <f>"1578729694762805"</f>
        <v>1578729694762805</v>
      </c>
      <c r="C1539" t="s">
        <v>37</v>
      </c>
      <c r="D1539">
        <v>5.071002</v>
      </c>
      <c r="E1539">
        <v>0.51950419999999997</v>
      </c>
      <c r="F1539" t="s">
        <v>57</v>
      </c>
      <c r="G1539">
        <v>-357.82130000000001</v>
      </c>
      <c r="H1539" s="1">
        <v>2.625326E-6</v>
      </c>
      <c r="I1539">
        <v>285.75189999999998</v>
      </c>
      <c r="J1539">
        <v>-335.5018</v>
      </c>
      <c r="K1539">
        <v>1.1032439999999999</v>
      </c>
      <c r="L1539">
        <v>285.80759999999998</v>
      </c>
      <c r="M1539">
        <v>-0.99997119999999995</v>
      </c>
      <c r="N1539">
        <v>0</v>
      </c>
      <c r="O1539">
        <v>-3.027152E-3</v>
      </c>
      <c r="P1539">
        <v>-0.99855149999999904</v>
      </c>
      <c r="Q1539">
        <v>1.115434E-2</v>
      </c>
      <c r="R1539">
        <v>-5.2639289999999998E-2</v>
      </c>
      <c r="S1539">
        <v>-3.0053709999999998</v>
      </c>
      <c r="T1539">
        <v>-0.14666379999999901</v>
      </c>
      <c r="U1539">
        <v>-7.5073240000000001E-3</v>
      </c>
      <c r="V1539">
        <v>-4.9609550000000002E-2</v>
      </c>
      <c r="W1539">
        <v>1.814201E-2</v>
      </c>
      <c r="X1539">
        <v>0.99860389999999999</v>
      </c>
      <c r="Y1539">
        <v>5.2503849999999998E-4</v>
      </c>
      <c r="Z1539">
        <v>1.604454E-4</v>
      </c>
      <c r="AA1539">
        <v>0.99999979999999999</v>
      </c>
      <c r="AB1539">
        <v>29</v>
      </c>
      <c r="AC1539">
        <v>-22.319500000000001</v>
      </c>
      <c r="AD1539">
        <v>-1.103241374674</v>
      </c>
      <c r="AE1539">
        <v>-5.5700000000001602E-2</v>
      </c>
      <c r="AF1539">
        <v>1.1837488558450701E-2</v>
      </c>
      <c r="AG1539">
        <v>-1.103241374674</v>
      </c>
      <c r="AH1539">
        <v>22.265166784749599</v>
      </c>
      <c r="AI1539">
        <v>92.836691506025701</v>
      </c>
      <c r="AJ1539">
        <v>89.969538154504406</v>
      </c>
      <c r="AK1539">
        <v>22.292486034752699</v>
      </c>
    </row>
    <row r="1540" spans="1:37" x14ac:dyDescent="0.2">
      <c r="A1540" t="str">
        <f>"20200111160134793"</f>
        <v>20200111160134793</v>
      </c>
      <c r="B1540" t="str">
        <f>"1578729694782324"</f>
        <v>1578729694782324</v>
      </c>
      <c r="C1540" t="s">
        <v>37</v>
      </c>
      <c r="D1540">
        <v>5.2034570000000002</v>
      </c>
      <c r="E1540">
        <v>0.51944120000000005</v>
      </c>
      <c r="F1540" t="s">
        <v>57</v>
      </c>
      <c r="G1540">
        <v>-357.72399999999999</v>
      </c>
      <c r="H1540" s="1">
        <v>2.5735279999999999E-6</v>
      </c>
      <c r="I1540">
        <v>285.71660000000003</v>
      </c>
      <c r="J1540">
        <v>-335.7808</v>
      </c>
      <c r="K1540">
        <v>1.1032299999999999</v>
      </c>
      <c r="L1540">
        <v>285.80689999999998</v>
      </c>
      <c r="M1540">
        <v>-0.99997409999999998</v>
      </c>
      <c r="N1540">
        <v>0</v>
      </c>
      <c r="O1540">
        <v>-2.8733819999999998E-3</v>
      </c>
      <c r="P1540">
        <v>-0.99839840000000002</v>
      </c>
      <c r="Q1540">
        <v>1.127647E-2</v>
      </c>
      <c r="R1540">
        <v>-5.5443050000000001E-2</v>
      </c>
      <c r="S1540">
        <v>-3.0054020000000001</v>
      </c>
      <c r="T1540">
        <v>-0.1492058</v>
      </c>
      <c r="U1540">
        <v>-1.229858E-2</v>
      </c>
      <c r="V1540">
        <v>-5.2567549999999998E-2</v>
      </c>
      <c r="W1540">
        <v>1.7882180000000001E-2</v>
      </c>
      <c r="X1540">
        <v>0.99845729999999999</v>
      </c>
      <c r="Y1540">
        <v>-1.2207239999999901E-3</v>
      </c>
      <c r="Z1540">
        <v>1.122827E-4</v>
      </c>
      <c r="AA1540">
        <v>0.99999919999999998</v>
      </c>
      <c r="AB1540">
        <v>29</v>
      </c>
      <c r="AC1540">
        <v>-21.943199999999901</v>
      </c>
      <c r="AD1540">
        <v>-1.1032274264719999</v>
      </c>
      <c r="AE1540">
        <v>-9.0299999999956498E-2</v>
      </c>
      <c r="AF1540">
        <v>-2.7178360230316799E-2</v>
      </c>
      <c r="AG1540">
        <v>-1.1032274264719999</v>
      </c>
      <c r="AH1540">
        <v>21.888042821717399</v>
      </c>
      <c r="AI1540">
        <v>92.8854466582398</v>
      </c>
      <c r="AJ1540">
        <v>90.071144073851599</v>
      </c>
      <c r="AK1540">
        <v>21.915845135041401</v>
      </c>
    </row>
    <row r="1541" spans="1:37" x14ac:dyDescent="0.2">
      <c r="A1541" t="str">
        <f>"20200111160134816"</f>
        <v>20200111160134816</v>
      </c>
      <c r="B1541" t="str">
        <f>"1578729694812579"</f>
        <v>1578729694812579</v>
      </c>
      <c r="C1541" t="s">
        <v>37</v>
      </c>
      <c r="D1541">
        <v>5.2205859999999999</v>
      </c>
      <c r="E1541">
        <v>0.51946669999999995</v>
      </c>
      <c r="F1541" t="s">
        <v>57</v>
      </c>
      <c r="G1541">
        <v>-357.80090000000001</v>
      </c>
      <c r="H1541" s="1">
        <v>2.6144849999999999E-6</v>
      </c>
      <c r="I1541">
        <v>285.649</v>
      </c>
      <c r="J1541">
        <v>-336.08099999999899</v>
      </c>
      <c r="K1541">
        <v>1.1032280000000001</v>
      </c>
      <c r="L1541">
        <v>285.80619999999999</v>
      </c>
      <c r="M1541">
        <v>-0.99997709999999995</v>
      </c>
      <c r="N1541">
        <v>0</v>
      </c>
      <c r="O1541">
        <v>-2.717915E-3</v>
      </c>
      <c r="P1541">
        <v>-0.99819550000000001</v>
      </c>
      <c r="Q1541">
        <v>1.324094E-2</v>
      </c>
      <c r="R1541">
        <v>-5.857101E-2</v>
      </c>
      <c r="S1541">
        <v>-3.0053099999999899</v>
      </c>
      <c r="T1541">
        <v>-0.1505687</v>
      </c>
      <c r="U1541">
        <v>-2.1545410000000001E-2</v>
      </c>
      <c r="V1541">
        <v>-5.585118E-2</v>
      </c>
      <c r="W1541">
        <v>1.947167E-2</v>
      </c>
      <c r="X1541">
        <v>0.99824919999999995</v>
      </c>
      <c r="Y1541">
        <v>-4.4488359999999899E-3</v>
      </c>
      <c r="Z1541" s="1">
        <v>2.4710999999999899E-5</v>
      </c>
      <c r="AA1541">
        <v>0.99999009999999999</v>
      </c>
      <c r="AB1541">
        <v>29</v>
      </c>
      <c r="AC1541">
        <v>-21.719899999999999</v>
      </c>
      <c r="AD1541">
        <v>-1.1032253855149901</v>
      </c>
      <c r="AE1541">
        <v>-0.15719999999998799</v>
      </c>
      <c r="AF1541">
        <v>-9.7912845593307707E-2</v>
      </c>
      <c r="AG1541">
        <v>-1.1032253855149901</v>
      </c>
      <c r="AH1541">
        <v>21.664356807549598</v>
      </c>
      <c r="AI1541">
        <v>92.915155109176894</v>
      </c>
      <c r="AJ1541">
        <v>90.258948588502093</v>
      </c>
      <c r="AK1541">
        <v>21.6926496551573</v>
      </c>
    </row>
    <row r="1542" spans="1:37" x14ac:dyDescent="0.2">
      <c r="A1542" t="str">
        <f>"20200111160134837"</f>
        <v>20200111160134837</v>
      </c>
      <c r="B1542" t="str">
        <f>"1578729694833075"</f>
        <v>1578729694833075</v>
      </c>
      <c r="C1542" t="s">
        <v>37</v>
      </c>
      <c r="D1542">
        <v>5.0931980000000001</v>
      </c>
      <c r="E1542">
        <v>0.51970740000000004</v>
      </c>
      <c r="F1542" t="s">
        <v>57</v>
      </c>
      <c r="G1542">
        <v>-358.80290000000002</v>
      </c>
      <c r="H1542" s="1">
        <v>3.147709E-6</v>
      </c>
      <c r="I1542">
        <v>285.57240000000002</v>
      </c>
      <c r="J1542">
        <v>-336.3691</v>
      </c>
      <c r="K1542">
        <v>1.1032329999999999</v>
      </c>
      <c r="L1542">
        <v>285.80549999999999</v>
      </c>
      <c r="M1542">
        <v>-0.99997939999999996</v>
      </c>
      <c r="N1542">
        <v>0</v>
      </c>
      <c r="O1542">
        <v>-2.5788809999999999E-3</v>
      </c>
      <c r="P1542">
        <v>-0.99790679999999998</v>
      </c>
      <c r="Q1542">
        <v>1.716966E-2</v>
      </c>
      <c r="R1542">
        <v>-6.2351049999999998E-2</v>
      </c>
      <c r="S1542">
        <v>-3.0055540000000001</v>
      </c>
      <c r="T1542">
        <v>-0.14592959999999999</v>
      </c>
      <c r="U1542">
        <v>-3.091431E-2</v>
      </c>
      <c r="V1542">
        <v>-5.9769839999999998E-2</v>
      </c>
      <c r="W1542">
        <v>2.3080030000000001E-2</v>
      </c>
      <c r="X1542">
        <v>0.99794530000000004</v>
      </c>
      <c r="Y1542">
        <v>-7.7003250000000001E-3</v>
      </c>
      <c r="Z1542" s="1">
        <v>-6.1685319999999998E-5</v>
      </c>
      <c r="AA1542">
        <v>0.99997039999999904</v>
      </c>
      <c r="AB1542">
        <v>29</v>
      </c>
      <c r="AC1542">
        <v>-22.433800000000002</v>
      </c>
      <c r="AD1542">
        <v>-1.103229852291</v>
      </c>
      <c r="AE1542">
        <v>-0.23309999999997899</v>
      </c>
      <c r="AF1542">
        <v>-0.17482138420753099</v>
      </c>
      <c r="AG1542">
        <v>-1.103229852291</v>
      </c>
      <c r="AH1542">
        <v>22.3802083182558</v>
      </c>
      <c r="AI1542">
        <v>92.822018638748801</v>
      </c>
      <c r="AJ1542">
        <v>90.447552749192496</v>
      </c>
      <c r="AK1542">
        <v>22.408065578980501</v>
      </c>
    </row>
    <row r="1543" spans="1:37" x14ac:dyDescent="0.2">
      <c r="A1543" t="str">
        <f>"20200111160134859"</f>
        <v>20200111160134859</v>
      </c>
      <c r="B1543" t="str">
        <f>"1578729694852596"</f>
        <v>1578729694852596</v>
      </c>
      <c r="C1543" t="s">
        <v>37</v>
      </c>
      <c r="D1543">
        <v>5.0577220000000001</v>
      </c>
      <c r="E1543">
        <v>0.51997130000000003</v>
      </c>
      <c r="F1543" t="s">
        <v>57</v>
      </c>
      <c r="G1543">
        <v>-360.9486</v>
      </c>
      <c r="H1543" s="1">
        <v>-1.0319739999999999E-6</v>
      </c>
      <c r="I1543">
        <v>285.47989999999999</v>
      </c>
      <c r="J1543">
        <v>-336.66649999999998</v>
      </c>
      <c r="K1543">
        <v>1.1032389999999901</v>
      </c>
      <c r="L1543">
        <v>285.8048</v>
      </c>
      <c r="M1543">
        <v>-0.99998120000000001</v>
      </c>
      <c r="N1543">
        <v>0</v>
      </c>
      <c r="O1543">
        <v>-2.4530099999999998E-3</v>
      </c>
      <c r="P1543">
        <v>-0.99765979999999999</v>
      </c>
      <c r="Q1543">
        <v>1.9639360000000002E-2</v>
      </c>
      <c r="R1543">
        <v>-6.5491350000000004E-2</v>
      </c>
      <c r="S1543">
        <v>-3.0061040000000001</v>
      </c>
      <c r="T1543">
        <v>-0.13492699999999999</v>
      </c>
      <c r="U1543">
        <v>-3.9825439999999997E-2</v>
      </c>
      <c r="V1543">
        <v>-6.3036259999999997E-2</v>
      </c>
      <c r="W1543">
        <v>2.5266170000000001E-2</v>
      </c>
      <c r="X1543">
        <v>0.99769129999999995</v>
      </c>
      <c r="Y1543">
        <v>-1.078577E-2</v>
      </c>
      <c r="Z1543">
        <v>-1.3188100000000001E-4</v>
      </c>
      <c r="AA1543">
        <v>0.99994179999999999</v>
      </c>
      <c r="AB1543">
        <v>29</v>
      </c>
      <c r="AC1543">
        <v>-24.2821</v>
      </c>
      <c r="AD1543">
        <v>-1.1032400319739999</v>
      </c>
      <c r="AE1543">
        <v>-0.32490000000001301</v>
      </c>
      <c r="AF1543">
        <v>-0.264787351678622</v>
      </c>
      <c r="AG1543">
        <v>-1.1032400319739999</v>
      </c>
      <c r="AH1543">
        <v>24.232809709844599</v>
      </c>
      <c r="AI1543">
        <v>92.606532842297597</v>
      </c>
      <c r="AJ1543">
        <v>90.626035286665001</v>
      </c>
      <c r="AK1543">
        <v>24.259355254072499</v>
      </c>
    </row>
    <row r="1544" spans="1:37" x14ac:dyDescent="0.2">
      <c r="A1544" t="str">
        <f>"20200111160135016"</f>
        <v>20200111160135016</v>
      </c>
      <c r="B1544" t="str">
        <f>"1578729695012660"</f>
        <v>1578729695012660</v>
      </c>
      <c r="C1544" t="s">
        <v>37</v>
      </c>
      <c r="D1544">
        <v>5.1028070000000003</v>
      </c>
      <c r="E1544">
        <v>0.51997130000000003</v>
      </c>
      <c r="F1544" t="s">
        <v>57</v>
      </c>
      <c r="G1544">
        <v>-362.34899999999999</v>
      </c>
      <c r="H1544" s="1">
        <v>-2.8679019999999997E-7</v>
      </c>
      <c r="I1544">
        <v>285.40649999999999</v>
      </c>
      <c r="J1544">
        <v>-338.75420000000003</v>
      </c>
      <c r="K1544">
        <v>1.1036549999999901</v>
      </c>
      <c r="L1544">
        <v>285.7989</v>
      </c>
      <c r="M1544">
        <v>-0.99998229999999999</v>
      </c>
      <c r="N1544">
        <v>0</v>
      </c>
      <c r="O1544">
        <v>-3.4107509999999901E-3</v>
      </c>
      <c r="P1544">
        <v>-0.99718929999999995</v>
      </c>
      <c r="Q1544">
        <v>1.7881930000000001E-2</v>
      </c>
      <c r="R1544">
        <v>-7.2761939999999997E-2</v>
      </c>
      <c r="S1544">
        <v>-3.0065</v>
      </c>
      <c r="T1544">
        <v>-0.12914990000000001</v>
      </c>
      <c r="U1544">
        <v>-4.6630860000000003E-2</v>
      </c>
      <c r="V1544">
        <v>-6.9377919999999996E-2</v>
      </c>
      <c r="W1544">
        <v>2.2713440000000001E-2</v>
      </c>
      <c r="X1544">
        <v>0.99733189999999905</v>
      </c>
      <c r="Y1544">
        <v>-1.208968E-2</v>
      </c>
      <c r="Z1544">
        <v>-1.130927E-4</v>
      </c>
      <c r="AA1544">
        <v>0.99992689999999995</v>
      </c>
      <c r="AB1544">
        <v>30</v>
      </c>
      <c r="AC1544">
        <v>-23.5947999999999</v>
      </c>
      <c r="AD1544">
        <v>-1.1036552867902001</v>
      </c>
      <c r="AE1544">
        <v>-0.39240000000000902</v>
      </c>
      <c r="AF1544">
        <v>-0.31123998909094602</v>
      </c>
      <c r="AG1544">
        <v>-1.1036552867902001</v>
      </c>
      <c r="AH1544">
        <v>23.5445015683169</v>
      </c>
      <c r="AI1544">
        <v>92.683557492346196</v>
      </c>
      <c r="AJ1544">
        <v>90.757361505560596</v>
      </c>
      <c r="AK1544">
        <v>23.5724092833835</v>
      </c>
    </row>
    <row r="1545" spans="1:37" x14ac:dyDescent="0.2">
      <c r="A1545" t="str">
        <f>"20200111160135038"</f>
        <v>20200111160135038</v>
      </c>
      <c r="B1545" t="str">
        <f>"1578729695032180"</f>
        <v>1578729695032180</v>
      </c>
      <c r="C1545" t="s">
        <v>37</v>
      </c>
      <c r="D1545">
        <v>4.6887860000000003</v>
      </c>
      <c r="E1545">
        <v>0.52272059999999998</v>
      </c>
      <c r="F1545" t="s">
        <v>57</v>
      </c>
      <c r="G1545">
        <v>-363.6354</v>
      </c>
      <c r="H1545" s="1">
        <v>3.9781209999999898E-7</v>
      </c>
      <c r="I1545">
        <v>285.24160000000001</v>
      </c>
      <c r="J1545">
        <v>-339.07420000000002</v>
      </c>
      <c r="K1545">
        <v>1.1038049999999999</v>
      </c>
      <c r="L1545">
        <v>285.7971</v>
      </c>
      <c r="M1545">
        <v>-0.99997950000000002</v>
      </c>
      <c r="N1545">
        <v>0</v>
      </c>
      <c r="O1545">
        <v>-4.1169869999999999E-3</v>
      </c>
      <c r="P1545">
        <v>-0.99732559999999904</v>
      </c>
      <c r="Q1545">
        <v>1.9514199999999999E-2</v>
      </c>
      <c r="R1545">
        <v>-7.0432229999999998E-2</v>
      </c>
      <c r="S1545">
        <v>-3.00589</v>
      </c>
      <c r="T1545">
        <v>-0.13333220000000001</v>
      </c>
      <c r="U1545">
        <v>-6.7321779999999998E-2</v>
      </c>
      <c r="V1545">
        <v>-6.6352839999999996E-2</v>
      </c>
      <c r="W1545">
        <v>2.4343299999999998E-2</v>
      </c>
      <c r="X1545">
        <v>0.99749920000000003</v>
      </c>
      <c r="Y1545">
        <v>-1.8260910000000002E-2</v>
      </c>
      <c r="Z1545">
        <v>-2.2224570000000001E-4</v>
      </c>
      <c r="AA1545">
        <v>0.99983319999999998</v>
      </c>
      <c r="AB1545">
        <v>30</v>
      </c>
      <c r="AC1545">
        <v>-24.5611999999999</v>
      </c>
      <c r="AD1545">
        <v>-1.1038046021879</v>
      </c>
      <c r="AE1545">
        <v>-0.555499999999995</v>
      </c>
      <c r="AF1545">
        <v>-0.453460552446526</v>
      </c>
      <c r="AG1545">
        <v>-1.1038046021879</v>
      </c>
      <c r="AH1545">
        <v>24.5137938459204</v>
      </c>
      <c r="AI1545">
        <v>92.577726626059103</v>
      </c>
      <c r="AJ1545">
        <v>91.059746734588302</v>
      </c>
      <c r="AK1545">
        <v>24.542821756935801</v>
      </c>
    </row>
    <row r="1546" spans="1:37" x14ac:dyDescent="0.2">
      <c r="A1546" t="str">
        <f>"20200111160135062"</f>
        <v>20200111160135062</v>
      </c>
      <c r="B1546" t="str">
        <f>"1578729695052676"</f>
        <v>1578729695052676</v>
      </c>
      <c r="C1546" t="s">
        <v>37</v>
      </c>
      <c r="D1546">
        <v>4.8456619999999999</v>
      </c>
      <c r="E1546">
        <v>0.52573510000000001</v>
      </c>
      <c r="F1546" t="s">
        <v>57</v>
      </c>
      <c r="G1546">
        <v>-365.45639999999997</v>
      </c>
      <c r="H1546" s="1">
        <v>1.366823E-6</v>
      </c>
      <c r="I1546">
        <v>285.46120000000002</v>
      </c>
      <c r="J1546">
        <v>-339.3965</v>
      </c>
      <c r="K1546">
        <v>1.1039589999999999</v>
      </c>
      <c r="L1546">
        <v>285.79500000000002</v>
      </c>
      <c r="M1546">
        <v>-0.99997530000000001</v>
      </c>
      <c r="N1546">
        <v>0</v>
      </c>
      <c r="O1546">
        <v>-5.0293859999999899E-3</v>
      </c>
      <c r="P1546">
        <v>-0.99746229999999902</v>
      </c>
      <c r="Q1546">
        <v>2.164075E-2</v>
      </c>
      <c r="R1546">
        <v>-6.782995E-2</v>
      </c>
      <c r="S1546">
        <v>-3.0077820000000002</v>
      </c>
      <c r="T1546">
        <v>-0.1258428</v>
      </c>
      <c r="U1546">
        <v>-3.8299560000000003E-2</v>
      </c>
      <c r="V1546">
        <v>-6.285114E-2</v>
      </c>
      <c r="W1546">
        <v>2.648265E-2</v>
      </c>
      <c r="X1546">
        <v>0.99767150000000004</v>
      </c>
      <c r="Y1546">
        <v>-7.7009189999999996E-3</v>
      </c>
      <c r="Z1546" s="1">
        <v>4.930185E-5</v>
      </c>
      <c r="AA1546">
        <v>0.99997029999999998</v>
      </c>
      <c r="AB1546">
        <v>31</v>
      </c>
      <c r="AC1546">
        <v>-26.059899999999899</v>
      </c>
      <c r="AD1546">
        <v>-1.103957633177</v>
      </c>
      <c r="AE1546">
        <v>-0.33379999999999599</v>
      </c>
      <c r="AF1546">
        <v>-0.20236580316641301</v>
      </c>
      <c r="AG1546">
        <v>-1.103957633177</v>
      </c>
      <c r="AH1546">
        <v>26.014572034083301</v>
      </c>
      <c r="AI1546">
        <v>92.4298794978871</v>
      </c>
      <c r="AJ1546">
        <v>90.445691459382402</v>
      </c>
      <c r="AK1546">
        <v>26.038771716243598</v>
      </c>
    </row>
    <row r="1547" spans="1:37" x14ac:dyDescent="0.2">
      <c r="A1547" t="str">
        <f>"20200111160135082"</f>
        <v>20200111160135082</v>
      </c>
      <c r="B1547" t="str">
        <f>"1578729695072196"</f>
        <v>1578729695072196</v>
      </c>
      <c r="C1547" t="s">
        <v>37</v>
      </c>
      <c r="D1547">
        <v>4.4427570000000003</v>
      </c>
      <c r="E1547">
        <v>0.52706589999999998</v>
      </c>
      <c r="F1547" t="s">
        <v>57</v>
      </c>
      <c r="G1547">
        <v>-370.02839999999998</v>
      </c>
      <c r="H1547" s="1">
        <v>-1.5217030000000001E-6</v>
      </c>
      <c r="I1547">
        <v>285.73219999999998</v>
      </c>
      <c r="J1547">
        <v>-339.68959999999998</v>
      </c>
      <c r="K1547">
        <v>1.104109</v>
      </c>
      <c r="L1547">
        <v>285.79250000000002</v>
      </c>
      <c r="M1547">
        <v>-0.99996949999999996</v>
      </c>
      <c r="N1547">
        <v>0</v>
      </c>
      <c r="O1547">
        <v>-6.0365990000000001E-3</v>
      </c>
      <c r="P1547">
        <v>-0.99758590000000003</v>
      </c>
      <c r="Q1547">
        <v>2.3571249999999998E-2</v>
      </c>
      <c r="R1547">
        <v>-6.5325739999999993E-2</v>
      </c>
      <c r="S1547">
        <v>-3.0095519999999998</v>
      </c>
      <c r="T1547">
        <v>-0.1084632</v>
      </c>
      <c r="U1547">
        <v>-6.1645509999999999E-3</v>
      </c>
      <c r="V1547">
        <v>-5.9352870000000002E-2</v>
      </c>
      <c r="W1547">
        <v>2.8438850000000002E-2</v>
      </c>
      <c r="X1547">
        <v>0.99783189999999999</v>
      </c>
      <c r="Y1547">
        <v>3.9818689999999999E-3</v>
      </c>
      <c r="Z1547">
        <v>2.8921660000000001E-4</v>
      </c>
      <c r="AA1547">
        <v>0.99999199999999999</v>
      </c>
      <c r="AB1547">
        <v>31</v>
      </c>
      <c r="AC1547">
        <v>-30.3387999999999</v>
      </c>
      <c r="AD1547">
        <v>-1.1041105217030001</v>
      </c>
      <c r="AE1547">
        <v>-6.0300000000040599E-2</v>
      </c>
      <c r="AF1547">
        <v>0.122684031861475</v>
      </c>
      <c r="AG1547">
        <v>-1.1041105217030001</v>
      </c>
      <c r="AH1547">
        <v>30.298483215877798</v>
      </c>
      <c r="AI1547">
        <v>92.086981529961506</v>
      </c>
      <c r="AJ1547">
        <v>89.768000306398804</v>
      </c>
      <c r="AK1547">
        <v>30.318842270090599</v>
      </c>
    </row>
    <row r="1548" spans="1:37" x14ac:dyDescent="0.2">
      <c r="A1548" t="str">
        <f>"20200111160135106"</f>
        <v>20200111160135106</v>
      </c>
      <c r="B1548" t="str">
        <f>"1578729695102452"</f>
        <v>1578729695102452</v>
      </c>
      <c r="C1548" t="s">
        <v>37</v>
      </c>
      <c r="D1548">
        <v>5.0965480000000003</v>
      </c>
      <c r="E1548">
        <v>0.52573719999999902</v>
      </c>
      <c r="F1548" t="s">
        <v>57</v>
      </c>
      <c r="G1548">
        <v>-374.46710000000002</v>
      </c>
      <c r="H1548" s="1">
        <v>8.4038540000000001E-7</v>
      </c>
      <c r="I1548">
        <v>285.93669999999997</v>
      </c>
      <c r="J1548">
        <v>-340.00240000000002</v>
      </c>
      <c r="K1548">
        <v>1.1042529999999999</v>
      </c>
      <c r="L1548">
        <v>285.78949999999998</v>
      </c>
      <c r="M1548">
        <v>-0.99996090000000004</v>
      </c>
      <c r="N1548">
        <v>0</v>
      </c>
      <c r="O1548">
        <v>-7.2788250000000001E-3</v>
      </c>
      <c r="P1548">
        <v>-0.99765409999999899</v>
      </c>
      <c r="Q1548">
        <v>2.510739E-2</v>
      </c>
      <c r="R1548">
        <v>-6.3689469999999998E-2</v>
      </c>
      <c r="S1548">
        <v>-3.010345</v>
      </c>
      <c r="T1548">
        <v>-9.5571639999999999E-2</v>
      </c>
      <c r="U1548">
        <v>1.248169E-2</v>
      </c>
      <c r="V1548">
        <v>-5.6489989999999997E-2</v>
      </c>
      <c r="W1548">
        <v>3.001127E-2</v>
      </c>
      <c r="X1548">
        <v>0.99795199999999995</v>
      </c>
      <c r="Y1548">
        <v>1.141556E-2</v>
      </c>
      <c r="Z1548">
        <v>4.1219189999999999E-4</v>
      </c>
      <c r="AA1548">
        <v>0.99993469999999995</v>
      </c>
      <c r="AB1548">
        <v>31</v>
      </c>
      <c r="AC1548">
        <v>-34.464699999999901</v>
      </c>
      <c r="AD1548">
        <v>-1.1042521596146</v>
      </c>
      <c r="AE1548">
        <v>0.147199999999998</v>
      </c>
      <c r="AF1548">
        <v>0.39765357270021801</v>
      </c>
      <c r="AG1548">
        <v>-1.1042521596146</v>
      </c>
      <c r="AH1548">
        <v>34.427374137534898</v>
      </c>
      <c r="AI1548">
        <v>91.837000078211204</v>
      </c>
      <c r="AJ1548">
        <v>89.338234214912006</v>
      </c>
      <c r="AK1548">
        <v>34.447374227968403</v>
      </c>
    </row>
    <row r="1549" spans="1:37" x14ac:dyDescent="0.2">
      <c r="A1549" t="str">
        <f>"20200111160135128"</f>
        <v>20200111160135128</v>
      </c>
      <c r="B1549" t="str">
        <f>"1578729695122948"</f>
        <v>1578729695122948</v>
      </c>
      <c r="C1549" t="s">
        <v>37</v>
      </c>
      <c r="D1549">
        <v>5.0456300000000001</v>
      </c>
      <c r="E1549">
        <v>0.52506390000000003</v>
      </c>
      <c r="F1549" t="s">
        <v>57</v>
      </c>
      <c r="G1549">
        <v>-377.35059999999999</v>
      </c>
      <c r="H1549" s="1">
        <v>2.3748230000000001E-6</v>
      </c>
      <c r="I1549">
        <v>285.87439999999998</v>
      </c>
      <c r="J1549">
        <v>-340.31360000000001</v>
      </c>
      <c r="K1549">
        <v>1.1043810000000001</v>
      </c>
      <c r="L1549">
        <v>285.786</v>
      </c>
      <c r="M1549">
        <v>-0.99994959999999899</v>
      </c>
      <c r="N1549">
        <v>0</v>
      </c>
      <c r="O1549">
        <v>-8.6539149999999999E-3</v>
      </c>
      <c r="P1549">
        <v>-0.9976583</v>
      </c>
      <c r="Q1549">
        <v>2.5996499999999999E-2</v>
      </c>
      <c r="R1549">
        <v>-6.3264790000000001E-2</v>
      </c>
      <c r="S1549">
        <v>-3.009735</v>
      </c>
      <c r="T1549">
        <v>-8.8987109999999994E-2</v>
      </c>
      <c r="U1549">
        <v>6.8359379999999997E-3</v>
      </c>
      <c r="V1549">
        <v>-5.4704339999999997E-2</v>
      </c>
      <c r="W1549">
        <v>3.0941139999999999E-2</v>
      </c>
      <c r="X1549">
        <v>0.99802309999999905</v>
      </c>
      <c r="Y1549">
        <v>1.091664E-2</v>
      </c>
      <c r="Z1549">
        <v>4.17158099999999E-4</v>
      </c>
      <c r="AA1549">
        <v>0.9999403</v>
      </c>
      <c r="AB1549">
        <v>31</v>
      </c>
      <c r="AC1549">
        <v>-37.0369999999999</v>
      </c>
      <c r="AD1549">
        <v>-1.104378625177</v>
      </c>
      <c r="AE1549">
        <v>8.8399999999978704E-2</v>
      </c>
      <c r="AF1549">
        <v>0.40855263786559498</v>
      </c>
      <c r="AG1549">
        <v>-1.104378625177</v>
      </c>
      <c r="AH1549">
        <v>37.001948778637903</v>
      </c>
      <c r="AI1549">
        <v>91.709466769688902</v>
      </c>
      <c r="AJ1549">
        <v>89.367401138388502</v>
      </c>
      <c r="AK1549">
        <v>37.0206804478604</v>
      </c>
    </row>
    <row r="1550" spans="1:37" x14ac:dyDescent="0.2">
      <c r="A1550" t="str">
        <f>"20200111160135151"</f>
        <v>20200111160135151</v>
      </c>
      <c r="B1550" t="str">
        <f>"1578729695142468"</f>
        <v>1578729695142468</v>
      </c>
      <c r="C1550" t="s">
        <v>37</v>
      </c>
      <c r="D1550">
        <v>4.9603140000000003</v>
      </c>
      <c r="E1550">
        <v>0.52452860000000001</v>
      </c>
      <c r="F1550" t="s">
        <v>57</v>
      </c>
      <c r="G1550">
        <v>-377.53250000000003</v>
      </c>
      <c r="H1550" s="1">
        <v>2.4716289999999999E-6</v>
      </c>
      <c r="I1550">
        <v>285.82069999999999</v>
      </c>
      <c r="J1550">
        <v>-340.6318</v>
      </c>
      <c r="K1550">
        <v>1.1044830000000001</v>
      </c>
      <c r="L1550">
        <v>285.78179999999998</v>
      </c>
      <c r="M1550">
        <v>-0.99993519999999902</v>
      </c>
      <c r="N1550">
        <v>0</v>
      </c>
      <c r="O1550">
        <v>-1.016677E-2</v>
      </c>
      <c r="P1550">
        <v>-0.99764010000000003</v>
      </c>
      <c r="Q1550">
        <v>2.6100370000000001E-2</v>
      </c>
      <c r="R1550">
        <v>-6.3507770000000005E-2</v>
      </c>
      <c r="S1550">
        <v>-3.0095519999999998</v>
      </c>
      <c r="T1550">
        <v>-8.9301110000000003E-2</v>
      </c>
      <c r="U1550">
        <v>2.8076170000000001E-3</v>
      </c>
      <c r="V1550">
        <v>-5.3445299999999897E-2</v>
      </c>
      <c r="W1550">
        <v>3.1092700000000001E-2</v>
      </c>
      <c r="X1550">
        <v>0.99808660000000005</v>
      </c>
      <c r="Y1550">
        <v>1.10904E-2</v>
      </c>
      <c r="Z1550">
        <v>4.6611219999999999E-4</v>
      </c>
      <c r="AA1550">
        <v>0.99993840000000001</v>
      </c>
      <c r="AB1550">
        <v>31</v>
      </c>
      <c r="AC1550">
        <v>-36.900700000000001</v>
      </c>
      <c r="AD1550">
        <v>-1.104480528371</v>
      </c>
      <c r="AE1550">
        <v>3.89000000000123E-2</v>
      </c>
      <c r="AF1550">
        <v>0.41369322345925202</v>
      </c>
      <c r="AG1550">
        <v>-1.104480528371</v>
      </c>
      <c r="AH1550">
        <v>36.8653706314619</v>
      </c>
      <c r="AI1550">
        <v>91.715950974941293</v>
      </c>
      <c r="AJ1550">
        <v>89.357069237584298</v>
      </c>
      <c r="AK1550">
        <v>36.884232012009399</v>
      </c>
    </row>
    <row r="1551" spans="1:37" x14ac:dyDescent="0.2">
      <c r="A1551" t="str">
        <f>"20200111160135171"</f>
        <v>20200111160135171</v>
      </c>
      <c r="B1551" t="str">
        <f>"1578729695162964"</f>
        <v>1578729695162964</v>
      </c>
      <c r="C1551" t="s">
        <v>37</v>
      </c>
      <c r="D1551">
        <v>4.9639119999999997</v>
      </c>
      <c r="E1551">
        <v>0.52409079999999997</v>
      </c>
      <c r="F1551" t="s">
        <v>57</v>
      </c>
      <c r="G1551">
        <v>-377.010999999999</v>
      </c>
      <c r="H1551" s="1">
        <v>2.1941380000000001E-6</v>
      </c>
      <c r="I1551">
        <v>285.75779999999997</v>
      </c>
      <c r="J1551">
        <v>-340.92160000000001</v>
      </c>
      <c r="K1551">
        <v>1.104549</v>
      </c>
      <c r="L1551">
        <v>285.77749999999997</v>
      </c>
      <c r="M1551">
        <v>-0.99991929999999996</v>
      </c>
      <c r="N1551">
        <v>0</v>
      </c>
      <c r="O1551">
        <v>-1.1602919999999999E-2</v>
      </c>
      <c r="P1551">
        <v>-0.99755869999999902</v>
      </c>
      <c r="Q1551">
        <v>2.6636799999999999E-2</v>
      </c>
      <c r="R1551">
        <v>-6.4554070000000005E-2</v>
      </c>
      <c r="S1551">
        <v>-3.0093990000000002</v>
      </c>
      <c r="T1551">
        <v>-9.1366050000000004E-2</v>
      </c>
      <c r="U1551">
        <v>-1.9836429999999898E-3</v>
      </c>
      <c r="V1551">
        <v>-5.3065000000000001E-2</v>
      </c>
      <c r="W1551">
        <v>3.1679400000000003E-2</v>
      </c>
      <c r="X1551">
        <v>0.99808839999999999</v>
      </c>
      <c r="Y1551">
        <v>1.093359E-2</v>
      </c>
      <c r="Z1551">
        <v>5.181195E-4</v>
      </c>
      <c r="AA1551">
        <v>0.9999401</v>
      </c>
      <c r="AB1551">
        <v>31</v>
      </c>
      <c r="AC1551">
        <v>-36.089399999999898</v>
      </c>
      <c r="AD1551">
        <v>-1.104546805862</v>
      </c>
      <c r="AE1551">
        <v>-1.97000000000002E-2</v>
      </c>
      <c r="AF1551">
        <v>0.39867590446311801</v>
      </c>
      <c r="AG1551">
        <v>-1.104546805862</v>
      </c>
      <c r="AH1551">
        <v>36.053427227620197</v>
      </c>
      <c r="AI1551">
        <v>91.754679685847094</v>
      </c>
      <c r="AJ1551">
        <v>89.366453690973103</v>
      </c>
      <c r="AK1551">
        <v>36.072546083974203</v>
      </c>
    </row>
    <row r="1552" spans="1:37" x14ac:dyDescent="0.2">
      <c r="A1552" t="str">
        <f>"20200111160135195"</f>
        <v>20200111160135195</v>
      </c>
      <c r="B1552" t="str">
        <f>"1578729695182484"</f>
        <v>1578729695182484</v>
      </c>
      <c r="C1552" t="s">
        <v>37</v>
      </c>
      <c r="D1552">
        <v>5.0068330000000003</v>
      </c>
      <c r="E1552">
        <v>0.52362649999999999</v>
      </c>
      <c r="F1552" t="s">
        <v>57</v>
      </c>
      <c r="G1552">
        <v>-377.08580000000001</v>
      </c>
      <c r="H1552" s="1">
        <v>2.2339459999999999E-6</v>
      </c>
      <c r="I1552">
        <v>285.67259999999999</v>
      </c>
      <c r="J1552">
        <v>-341.2423</v>
      </c>
      <c r="K1552">
        <v>1.104598</v>
      </c>
      <c r="L1552">
        <v>285.7722</v>
      </c>
      <c r="M1552">
        <v>-0.99989869999999903</v>
      </c>
      <c r="N1552">
        <v>0</v>
      </c>
      <c r="O1552">
        <v>-1.3231E-2</v>
      </c>
      <c r="P1552">
        <v>-0.99742559999999902</v>
      </c>
      <c r="Q1552">
        <v>2.6944849999999999E-2</v>
      </c>
      <c r="R1552">
        <v>-6.6454040000000006E-2</v>
      </c>
      <c r="S1552">
        <v>-3.0092469999999998</v>
      </c>
      <c r="T1552">
        <v>-9.1909889999999994E-2</v>
      </c>
      <c r="U1552">
        <v>-8.7280269999999993E-3</v>
      </c>
      <c r="V1552">
        <v>-5.3346129999999999E-2</v>
      </c>
      <c r="W1552">
        <v>3.2044950000000003E-2</v>
      </c>
      <c r="X1552">
        <v>0.9980618</v>
      </c>
      <c r="Y1552">
        <v>1.0320009999999999E-2</v>
      </c>
      <c r="Z1552">
        <v>5.6156960000000003E-4</v>
      </c>
      <c r="AA1552">
        <v>0.99994660000000002</v>
      </c>
      <c r="AB1552">
        <v>31</v>
      </c>
      <c r="AC1552">
        <v>-35.843499999999999</v>
      </c>
      <c r="AD1552">
        <v>-1.104595766054</v>
      </c>
      <c r="AE1552">
        <v>-9.9600000000009403E-2</v>
      </c>
      <c r="AF1552">
        <v>0.37430512087861001</v>
      </c>
      <c r="AG1552">
        <v>-1.104595766054</v>
      </c>
      <c r="AH1552">
        <v>35.807673986503502</v>
      </c>
      <c r="AI1552">
        <v>91.766804444635696</v>
      </c>
      <c r="AJ1552">
        <v>89.401097021825095</v>
      </c>
      <c r="AK1552">
        <v>35.826662591617698</v>
      </c>
    </row>
    <row r="1553" spans="1:37" x14ac:dyDescent="0.2">
      <c r="A1553" t="str">
        <f>"20200111160135216"</f>
        <v>20200111160135216</v>
      </c>
      <c r="B1553" t="str">
        <f>"1578729695212740"</f>
        <v>1578729695212740</v>
      </c>
      <c r="C1553" t="s">
        <v>37</v>
      </c>
      <c r="D1553">
        <v>5.078214</v>
      </c>
      <c r="E1553">
        <v>0.52297159999999998</v>
      </c>
      <c r="F1553" t="s">
        <v>57</v>
      </c>
      <c r="G1553">
        <v>-376.85860000000002</v>
      </c>
      <c r="H1553" s="1">
        <v>2.1130220000000001E-6</v>
      </c>
      <c r="I1553">
        <v>285.55689999999998</v>
      </c>
      <c r="J1553">
        <v>-341.54820000000001</v>
      </c>
      <c r="K1553">
        <v>1.104625</v>
      </c>
      <c r="L1553">
        <v>285.76670000000001</v>
      </c>
      <c r="M1553">
        <v>-0.99987649999999995</v>
      </c>
      <c r="N1553">
        <v>0</v>
      </c>
      <c r="O1553">
        <v>-1.478934E-2</v>
      </c>
      <c r="P1553">
        <v>-0.9973071</v>
      </c>
      <c r="Q1553">
        <v>2.6459949999999999E-2</v>
      </c>
      <c r="R1553">
        <v>-6.8400530000000001E-2</v>
      </c>
      <c r="S1553">
        <v>-3.009064</v>
      </c>
      <c r="T1553">
        <v>-9.3322520000000006E-2</v>
      </c>
      <c r="U1553">
        <v>-1.818848E-2</v>
      </c>
      <c r="V1553">
        <v>-5.3739479999999999E-2</v>
      </c>
      <c r="W1553">
        <v>3.1615530000000003E-2</v>
      </c>
      <c r="X1553">
        <v>0.99805440000000001</v>
      </c>
      <c r="Y1553">
        <v>8.7341780000000004E-3</v>
      </c>
      <c r="Z1553">
        <v>5.9395450000000001E-4</v>
      </c>
      <c r="AA1553">
        <v>0.99996169999999995</v>
      </c>
      <c r="AB1553">
        <v>31</v>
      </c>
      <c r="AC1553">
        <v>-35.310400000000001</v>
      </c>
      <c r="AD1553">
        <v>-1.1046228869779999</v>
      </c>
      <c r="AE1553">
        <v>-0.20980000000002899</v>
      </c>
      <c r="AF1553">
        <v>0.31214237226869401</v>
      </c>
      <c r="AG1553">
        <v>-1.1046228869779999</v>
      </c>
      <c r="AH1553">
        <v>35.275120488576597</v>
      </c>
      <c r="AI1553">
        <v>91.793532607666293</v>
      </c>
      <c r="AJ1553">
        <v>89.493014523512599</v>
      </c>
      <c r="AK1553">
        <v>35.29379194797</v>
      </c>
    </row>
    <row r="1554" spans="1:37" x14ac:dyDescent="0.2">
      <c r="A1554" t="str">
        <f>"20200111160135240"</f>
        <v>20200111160135240</v>
      </c>
      <c r="B1554" t="str">
        <f>"1578729695232259"</f>
        <v>1578729695232259</v>
      </c>
      <c r="C1554" t="s">
        <v>37</v>
      </c>
      <c r="D1554">
        <v>4.9469909999999997</v>
      </c>
      <c r="E1554">
        <v>0.52269769999999904</v>
      </c>
      <c r="F1554" t="s">
        <v>57</v>
      </c>
      <c r="G1554">
        <v>-375.1062</v>
      </c>
      <c r="H1554" s="1">
        <v>1.180479E-6</v>
      </c>
      <c r="I1554">
        <v>285.43439999999998</v>
      </c>
      <c r="J1554">
        <v>-341.87779999999998</v>
      </c>
      <c r="K1554">
        <v>1.1046339999999999</v>
      </c>
      <c r="L1554">
        <v>285.7602</v>
      </c>
      <c r="M1554">
        <v>-0.99985020000000002</v>
      </c>
      <c r="N1554">
        <v>0</v>
      </c>
      <c r="O1554">
        <v>-1.6447090000000001E-2</v>
      </c>
      <c r="P1554">
        <v>-0.99715219999999904</v>
      </c>
      <c r="Q1554">
        <v>2.550972E-2</v>
      </c>
      <c r="R1554">
        <v>-7.0969870000000004E-2</v>
      </c>
      <c r="S1554">
        <v>-3.008667</v>
      </c>
      <c r="T1554">
        <v>-9.9035860000000003E-2</v>
      </c>
      <c r="U1554">
        <v>-2.9785160000000001E-2</v>
      </c>
      <c r="V1554">
        <v>-5.4654260000000003E-2</v>
      </c>
      <c r="W1554">
        <v>3.0723810000000001E-2</v>
      </c>
      <c r="X1554">
        <v>0.99803259999999905</v>
      </c>
      <c r="Y1554">
        <v>6.5361119999999898E-3</v>
      </c>
      <c r="Z1554">
        <v>6.487474E-4</v>
      </c>
      <c r="AA1554">
        <v>0.99997839999999905</v>
      </c>
      <c r="AB1554">
        <v>32</v>
      </c>
      <c r="AC1554">
        <v>-33.228400000000001</v>
      </c>
      <c r="AD1554">
        <v>-1.104632819521</v>
      </c>
      <c r="AE1554">
        <v>-0.32580000000001502</v>
      </c>
      <c r="AF1554">
        <v>0.22051881850208299</v>
      </c>
      <c r="AG1554">
        <v>-1.104632819521</v>
      </c>
      <c r="AH1554">
        <v>33.192584947490097</v>
      </c>
      <c r="AI1554">
        <v>91.906029721143298</v>
      </c>
      <c r="AJ1554">
        <v>89.619354390800893</v>
      </c>
      <c r="AK1554">
        <v>33.211692785999603</v>
      </c>
    </row>
    <row r="1555" spans="1:37" x14ac:dyDescent="0.2">
      <c r="A1555" t="str">
        <f>"20200111160135261"</f>
        <v>20200111160135261</v>
      </c>
      <c r="B1555" t="str">
        <f>"1578729695252755"</f>
        <v>1578729695252755</v>
      </c>
      <c r="C1555" t="s">
        <v>37</v>
      </c>
      <c r="D1555">
        <v>4.9821619999999998</v>
      </c>
      <c r="E1555">
        <v>0.52238019999999996</v>
      </c>
      <c r="F1555" t="s">
        <v>57</v>
      </c>
      <c r="G1555">
        <v>-373.44920000000002</v>
      </c>
      <c r="H1555" s="1">
        <v>2.98702E-7</v>
      </c>
      <c r="I1555">
        <v>285.33780000000002</v>
      </c>
      <c r="J1555">
        <v>-342.18759999999997</v>
      </c>
      <c r="K1555">
        <v>1.1046209999999901</v>
      </c>
      <c r="L1555">
        <v>285.75369999999998</v>
      </c>
      <c r="M1555">
        <v>-0.99982369999999898</v>
      </c>
      <c r="N1555">
        <v>0</v>
      </c>
      <c r="O1555">
        <v>-1.7970819999999998E-2</v>
      </c>
      <c r="P1555">
        <v>-0.99706469999999903</v>
      </c>
      <c r="Q1555">
        <v>2.4647329999999999E-2</v>
      </c>
      <c r="R1555">
        <v>-7.2491390000000003E-2</v>
      </c>
      <c r="S1555">
        <v>-3.00839199999999</v>
      </c>
      <c r="T1555">
        <v>-0.10525909999999999</v>
      </c>
      <c r="U1555">
        <v>-4.0252690000000001E-2</v>
      </c>
      <c r="V1555">
        <v>-5.4652729999999997E-2</v>
      </c>
      <c r="W1555">
        <v>2.9921659999999999E-2</v>
      </c>
      <c r="X1555">
        <v>0.99805699999999997</v>
      </c>
      <c r="Y1555">
        <v>4.5789059999999998E-3</v>
      </c>
      <c r="Z1555">
        <v>7.0859259999999996E-4</v>
      </c>
      <c r="AA1555">
        <v>0.99998929999999997</v>
      </c>
      <c r="AB1555">
        <v>32</v>
      </c>
      <c r="AC1555">
        <v>-31.261600000000001</v>
      </c>
      <c r="AD1555">
        <v>-1.1046207012979901</v>
      </c>
      <c r="AE1555">
        <v>-0.41589999999996502</v>
      </c>
      <c r="AF1555">
        <v>0.145790078280361</v>
      </c>
      <c r="AG1555">
        <v>-1.1046207012979901</v>
      </c>
      <c r="AH1555">
        <v>31.2250466901985</v>
      </c>
      <c r="AI1555">
        <v>92.026034860157097</v>
      </c>
      <c r="AJ1555">
        <v>89.732487334114893</v>
      </c>
      <c r="AK1555">
        <v>31.2449193061166</v>
      </c>
    </row>
    <row r="1556" spans="1:37" x14ac:dyDescent="0.2">
      <c r="A1556" t="str">
        <f>"20200111160135283"</f>
        <v>20200111160135283</v>
      </c>
      <c r="B1556" t="str">
        <f>"1578729695272276"</f>
        <v>1578729695272276</v>
      </c>
      <c r="C1556" t="s">
        <v>37</v>
      </c>
      <c r="D1556">
        <v>6.0505940000000002</v>
      </c>
      <c r="E1556">
        <v>0.52204129999999904</v>
      </c>
      <c r="F1556" t="s">
        <v>57</v>
      </c>
      <c r="G1556">
        <v>-372.40100000000001</v>
      </c>
      <c r="H1556" s="1">
        <v>-2.590984E-7</v>
      </c>
      <c r="I1556">
        <v>285.27550000000002</v>
      </c>
      <c r="J1556">
        <v>-342.49380000000002</v>
      </c>
      <c r="K1556">
        <v>1.1046020000000001</v>
      </c>
      <c r="L1556">
        <v>285.74680000000001</v>
      </c>
      <c r="M1556">
        <v>-0.99979609999999997</v>
      </c>
      <c r="N1556">
        <v>0</v>
      </c>
      <c r="O1556">
        <v>-1.9437010000000001E-2</v>
      </c>
      <c r="P1556">
        <v>-0.99702789999999997</v>
      </c>
      <c r="Q1556">
        <v>2.3804499999999999E-2</v>
      </c>
      <c r="R1556">
        <v>-7.3272589999999999E-2</v>
      </c>
      <c r="S1556">
        <v>-3.008057</v>
      </c>
      <c r="T1556">
        <v>-0.1099765</v>
      </c>
      <c r="U1556">
        <v>-4.7607419999999998E-2</v>
      </c>
      <c r="V1556">
        <v>-5.3968179999999998E-2</v>
      </c>
      <c r="W1556">
        <v>2.913951E-2</v>
      </c>
      <c r="X1556">
        <v>0.99811740000000004</v>
      </c>
      <c r="Y1556">
        <v>3.597818E-3</v>
      </c>
      <c r="Z1556">
        <v>7.7604119999999995E-4</v>
      </c>
      <c r="AA1556">
        <v>0.99999319999999903</v>
      </c>
      <c r="AB1556">
        <v>32</v>
      </c>
      <c r="AC1556">
        <v>-29.9071999999999</v>
      </c>
      <c r="AD1556">
        <v>-1.1046022590983999</v>
      </c>
      <c r="AE1556">
        <v>-0.47129999999998501</v>
      </c>
      <c r="AF1556">
        <v>0.109954336622857</v>
      </c>
      <c r="AG1556">
        <v>-1.1046022590983999</v>
      </c>
      <c r="AH1556">
        <v>29.869973825513298</v>
      </c>
      <c r="AI1556">
        <v>92.117838905851301</v>
      </c>
      <c r="AJ1556">
        <v>89.789089504764306</v>
      </c>
      <c r="AK1556">
        <v>29.890593377244901</v>
      </c>
    </row>
    <row r="1557" spans="1:37" x14ac:dyDescent="0.2">
      <c r="A1557" t="str">
        <f>"20200111160135304"</f>
        <v>20200111160135304</v>
      </c>
      <c r="B1557" t="str">
        <f>"1578729695303012"</f>
        <v>1578729695303012</v>
      </c>
      <c r="C1557" t="s">
        <v>37</v>
      </c>
      <c r="D1557">
        <v>5.2751419999999998</v>
      </c>
      <c r="E1557">
        <v>0.52144460000000004</v>
      </c>
      <c r="F1557" t="s">
        <v>57</v>
      </c>
      <c r="G1557">
        <v>-373.00220000000002</v>
      </c>
      <c r="H1557" s="1">
        <v>6.0849150000000006E-8</v>
      </c>
      <c r="I1557">
        <v>285.21440000000001</v>
      </c>
      <c r="J1557">
        <v>-342.81380000000001</v>
      </c>
      <c r="K1557">
        <v>1.1045830000000001</v>
      </c>
      <c r="L1557">
        <v>285.73910000000001</v>
      </c>
      <c r="M1557">
        <v>-0.99976549999999997</v>
      </c>
      <c r="N1557">
        <v>0</v>
      </c>
      <c r="O1557">
        <v>-2.0931180000000001E-2</v>
      </c>
      <c r="P1557">
        <v>-0.99701989999999996</v>
      </c>
      <c r="Q1557">
        <v>2.334381E-2</v>
      </c>
      <c r="R1557">
        <v>-7.3530620000000005E-2</v>
      </c>
      <c r="S1557">
        <v>-3.00766</v>
      </c>
      <c r="T1557">
        <v>-0.1088966</v>
      </c>
      <c r="U1557">
        <v>-5.2490229999999999E-2</v>
      </c>
      <c r="V1557">
        <v>-5.2732260000000003E-2</v>
      </c>
      <c r="W1557">
        <v>2.8741039999999999E-2</v>
      </c>
      <c r="X1557">
        <v>0.99819500000000005</v>
      </c>
      <c r="Y1557">
        <v>3.466635E-3</v>
      </c>
      <c r="Z1557">
        <v>8.2020499999999996E-4</v>
      </c>
      <c r="AA1557">
        <v>0.99999369999999999</v>
      </c>
      <c r="AB1557">
        <v>32</v>
      </c>
      <c r="AC1557">
        <v>-30.188400000000001</v>
      </c>
      <c r="AD1557">
        <v>-1.1045829391508499</v>
      </c>
      <c r="AE1557">
        <v>-0.52469999999999495</v>
      </c>
      <c r="AF1557">
        <v>0.107160107718626</v>
      </c>
      <c r="AG1557">
        <v>-1.1045829391508499</v>
      </c>
      <c r="AH1557">
        <v>30.1524129158338</v>
      </c>
      <c r="AI1557">
        <v>92.097983121262601</v>
      </c>
      <c r="AJ1557">
        <v>89.796374636019607</v>
      </c>
      <c r="AK1557">
        <v>30.172828694126299</v>
      </c>
    </row>
    <row r="1558" spans="1:37" x14ac:dyDescent="0.2">
      <c r="A1558" t="str">
        <f>"20200111160135329"</f>
        <v>20200111160135329</v>
      </c>
      <c r="B1558" t="str">
        <f>"1578729695322532"</f>
        <v>1578729695322532</v>
      </c>
      <c r="C1558" t="s">
        <v>37</v>
      </c>
      <c r="D1558">
        <v>5.1265010000000002</v>
      </c>
      <c r="E1558">
        <v>0.52120100000000003</v>
      </c>
      <c r="F1558" t="s">
        <v>57</v>
      </c>
      <c r="G1558">
        <v>-375.33240000000001</v>
      </c>
      <c r="H1558" s="1">
        <v>1.3008680000000001E-6</v>
      </c>
      <c r="I1558">
        <v>285.11770000000001</v>
      </c>
      <c r="J1558">
        <v>-343.15480000000002</v>
      </c>
      <c r="K1558">
        <v>1.1045670000000001</v>
      </c>
      <c r="L1558">
        <v>285.73059999999998</v>
      </c>
      <c r="M1558">
        <v>-0.99973140000000005</v>
      </c>
      <c r="N1558">
        <v>0</v>
      </c>
      <c r="O1558">
        <v>-2.24882E-2</v>
      </c>
      <c r="P1558">
        <v>-0.997031</v>
      </c>
      <c r="Q1558">
        <v>2.256712E-2</v>
      </c>
      <c r="R1558">
        <v>-7.3622110000000004E-2</v>
      </c>
      <c r="S1558">
        <v>-3.0071110000000001</v>
      </c>
      <c r="T1558">
        <v>-0.1021445</v>
      </c>
      <c r="U1558">
        <v>-5.7464599999999998E-2</v>
      </c>
      <c r="V1558">
        <v>-5.12658E-2</v>
      </c>
      <c r="W1558">
        <v>2.8027030000000001E-2</v>
      </c>
      <c r="X1558">
        <v>0.998291699999999</v>
      </c>
      <c r="Y1558">
        <v>3.3682930000000001E-3</v>
      </c>
      <c r="Z1558">
        <v>8.2068910000000002E-4</v>
      </c>
      <c r="AA1558">
        <v>0.99999400000000005</v>
      </c>
      <c r="AB1558">
        <v>32</v>
      </c>
      <c r="AC1558">
        <v>-32.177599999999899</v>
      </c>
      <c r="AD1558">
        <v>-1.1045656991320001</v>
      </c>
      <c r="AE1558">
        <v>-0.61289999999996703</v>
      </c>
      <c r="AF1558">
        <v>0.110752212624424</v>
      </c>
      <c r="AG1558">
        <v>-1.1045656991320001</v>
      </c>
      <c r="AH1558">
        <v>32.145380632858803</v>
      </c>
      <c r="AI1558">
        <v>91.967986875940298</v>
      </c>
      <c r="AJ1558">
        <v>89.802596543521105</v>
      </c>
      <c r="AK1558">
        <v>32.164543016614999</v>
      </c>
    </row>
    <row r="1559" spans="1:37" x14ac:dyDescent="0.2">
      <c r="A1559" t="str">
        <f>"20200111160135351"</f>
        <v>20200111160135351</v>
      </c>
      <c r="B1559" t="str">
        <f>"1578729695343027"</f>
        <v>1578729695343027</v>
      </c>
      <c r="C1559" t="s">
        <v>37</v>
      </c>
      <c r="D1559">
        <v>5.0917769999999898</v>
      </c>
      <c r="E1559">
        <v>0.52096549999999997</v>
      </c>
      <c r="F1559" t="s">
        <v>57</v>
      </c>
      <c r="G1559">
        <v>-374.1241</v>
      </c>
      <c r="H1559" s="1">
        <v>6.5784289999999995E-7</v>
      </c>
      <c r="I1559">
        <v>285.11540000000002</v>
      </c>
      <c r="J1559">
        <v>-343.47280000000001</v>
      </c>
      <c r="K1559">
        <v>1.1045529999999999</v>
      </c>
      <c r="L1559">
        <v>285.72199999999998</v>
      </c>
      <c r="M1559">
        <v>-0.99969799999999998</v>
      </c>
      <c r="N1559">
        <v>0</v>
      </c>
      <c r="O1559">
        <v>-2.3915180000000001E-2</v>
      </c>
      <c r="P1559">
        <v>-0.99700750000000005</v>
      </c>
      <c r="Q1559">
        <v>2.15015E-2</v>
      </c>
      <c r="R1559">
        <v>-7.425706E-2</v>
      </c>
      <c r="S1559">
        <v>-3.006958</v>
      </c>
      <c r="T1559">
        <v>-0.107247699999999</v>
      </c>
      <c r="U1559">
        <v>-5.9722900000000002E-2</v>
      </c>
      <c r="V1559">
        <v>-5.0472719999999999E-2</v>
      </c>
      <c r="W1559">
        <v>2.7013659999999998E-2</v>
      </c>
      <c r="X1559">
        <v>0.99836000000000003</v>
      </c>
      <c r="Y1559">
        <v>4.0411129999999998E-3</v>
      </c>
      <c r="Z1559">
        <v>9.2455409999999999E-4</v>
      </c>
      <c r="AA1559">
        <v>0.99999139999999997</v>
      </c>
      <c r="AB1559">
        <v>32</v>
      </c>
      <c r="AC1559">
        <v>-30.6512999999999</v>
      </c>
      <c r="AD1559">
        <v>-1.1045523421571</v>
      </c>
      <c r="AE1559">
        <v>-0.60659999999995695</v>
      </c>
      <c r="AF1559">
        <v>0.12645242749535399</v>
      </c>
      <c r="AG1559">
        <v>-1.1045523421571</v>
      </c>
      <c r="AH1559">
        <v>30.617296357108099</v>
      </c>
      <c r="AI1559">
        <v>92.0660940718804</v>
      </c>
      <c r="AJ1559">
        <v>89.763364174121094</v>
      </c>
      <c r="AK1559">
        <v>30.637474803122501</v>
      </c>
    </row>
    <row r="1560" spans="1:37" x14ac:dyDescent="0.2">
      <c r="A1560" t="str">
        <f>"20200111160135372"</f>
        <v>20200111160135372</v>
      </c>
      <c r="B1560" t="str">
        <f>"1578729695362547"</f>
        <v>1578729695362547</v>
      </c>
      <c r="C1560" t="s">
        <v>37</v>
      </c>
      <c r="D1560">
        <v>6.0834720000000004</v>
      </c>
      <c r="E1560">
        <v>0.52061679999999999</v>
      </c>
      <c r="F1560" t="s">
        <v>57</v>
      </c>
      <c r="G1560">
        <v>-372.88380000000001</v>
      </c>
      <c r="H1560" s="1">
        <v>-2.1586290000000001E-9</v>
      </c>
      <c r="I1560">
        <v>285.09989999999999</v>
      </c>
      <c r="J1560">
        <v>-343.77890000000002</v>
      </c>
      <c r="K1560">
        <v>1.104549</v>
      </c>
      <c r="L1560">
        <v>285.71339999999998</v>
      </c>
      <c r="M1560">
        <v>-0.9996642</v>
      </c>
      <c r="N1560">
        <v>0</v>
      </c>
      <c r="O1560">
        <v>-2.527507E-2</v>
      </c>
      <c r="P1560">
        <v>-0.9969614</v>
      </c>
      <c r="Q1560">
        <v>2.0081930000000001E-2</v>
      </c>
      <c r="R1560">
        <v>-7.5266490000000005E-2</v>
      </c>
      <c r="S1560">
        <v>-3.0067140000000001</v>
      </c>
      <c r="T1560">
        <v>-0.112919399999999</v>
      </c>
      <c r="U1560">
        <v>-6.3598630000000003E-2</v>
      </c>
      <c r="V1560">
        <v>-5.0120350000000001E-2</v>
      </c>
      <c r="W1560">
        <v>2.5638459999999998E-2</v>
      </c>
      <c r="X1560">
        <v>0.99841399999999902</v>
      </c>
      <c r="Y1560">
        <v>4.108408E-3</v>
      </c>
      <c r="Z1560">
        <v>1.0257719999999899E-3</v>
      </c>
      <c r="AA1560">
        <v>0.99999110000000002</v>
      </c>
      <c r="AB1560">
        <v>32</v>
      </c>
      <c r="AC1560">
        <v>-29.104899999999901</v>
      </c>
      <c r="AD1560">
        <v>-1.10454900215862</v>
      </c>
      <c r="AE1560">
        <v>-0.61349999999998694</v>
      </c>
      <c r="AF1560">
        <v>0.122160532281426</v>
      </c>
      <c r="AG1560">
        <v>-1.10454900215862</v>
      </c>
      <c r="AH1560">
        <v>29.069259795660798</v>
      </c>
      <c r="AI1560">
        <v>92.176010252585399</v>
      </c>
      <c r="AJ1560">
        <v>89.759221880099901</v>
      </c>
      <c r="AK1560">
        <v>29.0904935805744</v>
      </c>
    </row>
    <row r="1561" spans="1:37" x14ac:dyDescent="0.2">
      <c r="A1561" t="str">
        <f>"20200111160135394"</f>
        <v>20200111160135394</v>
      </c>
      <c r="B1561" t="str">
        <f>"1578729695383045"</f>
        <v>1578729695383045</v>
      </c>
      <c r="C1561" t="s">
        <v>37</v>
      </c>
      <c r="D1561">
        <v>5.1738589999999904</v>
      </c>
      <c r="E1561">
        <v>0.51953870000000002</v>
      </c>
      <c r="F1561" t="s">
        <v>57</v>
      </c>
      <c r="G1561">
        <v>-372.82709999999997</v>
      </c>
      <c r="H1561" s="1">
        <v>-3.2349929999999999E-8</v>
      </c>
      <c r="I1561">
        <v>285.0437</v>
      </c>
      <c r="J1561">
        <v>-344.1035</v>
      </c>
      <c r="K1561">
        <v>1.1045499999999999</v>
      </c>
      <c r="L1561">
        <v>285.7038</v>
      </c>
      <c r="M1561">
        <v>-0.99962680000000004</v>
      </c>
      <c r="N1561">
        <v>0</v>
      </c>
      <c r="O1561">
        <v>-2.6709960000000001E-2</v>
      </c>
      <c r="P1561">
        <v>-0.99683679999999997</v>
      </c>
      <c r="Q1561">
        <v>1.8596439999999999E-2</v>
      </c>
      <c r="R1561">
        <v>-7.7271629999999994E-2</v>
      </c>
      <c r="S1561">
        <v>-3.006256</v>
      </c>
      <c r="T1561">
        <v>-0.1143121</v>
      </c>
      <c r="U1561">
        <v>-6.9305420000000006E-2</v>
      </c>
      <c r="V1561">
        <v>-5.0690600000000002E-2</v>
      </c>
      <c r="W1561">
        <v>2.4193610000000001E-2</v>
      </c>
      <c r="X1561">
        <v>0.99842129999999996</v>
      </c>
      <c r="Y1561">
        <v>3.642008E-3</v>
      </c>
      <c r="Z1561">
        <v>1.084195E-3</v>
      </c>
      <c r="AA1561">
        <v>0.99999280000000002</v>
      </c>
      <c r="AB1561">
        <v>32</v>
      </c>
      <c r="AC1561">
        <v>-28.723599999999902</v>
      </c>
      <c r="AD1561">
        <v>-1.10455003234993</v>
      </c>
      <c r="AE1561">
        <v>-0.66009999999999902</v>
      </c>
      <c r="AF1561">
        <v>0.107195887460918</v>
      </c>
      <c r="AG1561">
        <v>-1.10455003234993</v>
      </c>
      <c r="AH1561">
        <v>28.688582664653801</v>
      </c>
      <c r="AI1561">
        <v>92.204862180835306</v>
      </c>
      <c r="AJ1561">
        <v>89.785913322346303</v>
      </c>
      <c r="AK1561">
        <v>28.710038262582099</v>
      </c>
    </row>
    <row r="1562" spans="1:37" x14ac:dyDescent="0.2">
      <c r="A1562" t="str">
        <f>"20200111160135417"</f>
        <v>20200111160135417</v>
      </c>
      <c r="B1562" t="str">
        <f>"1578729695412831"</f>
        <v>1578729695412831</v>
      </c>
      <c r="C1562" t="s">
        <v>37</v>
      </c>
      <c r="D1562">
        <v>5.2683220000000004</v>
      </c>
      <c r="E1562">
        <v>0.5178547</v>
      </c>
      <c r="F1562" t="s">
        <v>57</v>
      </c>
      <c r="G1562">
        <v>-371.06369999999998</v>
      </c>
      <c r="H1562" s="1">
        <v>-9.7075930000000005E-7</v>
      </c>
      <c r="I1562">
        <v>284.95010000000002</v>
      </c>
      <c r="J1562">
        <v>-344.4391</v>
      </c>
      <c r="K1562">
        <v>1.1045450000000001</v>
      </c>
      <c r="L1562">
        <v>285.6934</v>
      </c>
      <c r="M1562">
        <v>-0.99958579999999997</v>
      </c>
      <c r="N1562">
        <v>0</v>
      </c>
      <c r="O1562">
        <v>-2.8189680000000002E-2</v>
      </c>
      <c r="P1562">
        <v>-0.9966969</v>
      </c>
      <c r="Q1562">
        <v>1.7134010000000002E-2</v>
      </c>
      <c r="R1562">
        <v>-7.9384940000000001E-2</v>
      </c>
      <c r="S1562">
        <v>-3.0053099999999899</v>
      </c>
      <c r="T1562">
        <v>-0.1231269</v>
      </c>
      <c r="U1562">
        <v>-8.4014889999999995E-2</v>
      </c>
      <c r="V1562">
        <v>-5.1325019999999999E-2</v>
      </c>
      <c r="W1562">
        <v>2.2767780000000001E-2</v>
      </c>
      <c r="X1562">
        <v>0.99842240000000004</v>
      </c>
      <c r="Y1562">
        <v>2.2187669999999899E-4</v>
      </c>
      <c r="Z1562">
        <v>1.158549E-3</v>
      </c>
      <c r="AA1562">
        <v>0.99999930000000004</v>
      </c>
      <c r="AB1562">
        <v>32</v>
      </c>
      <c r="AC1562">
        <v>-26.624599999999901</v>
      </c>
      <c r="AD1562">
        <v>-1.1045459707592999</v>
      </c>
      <c r="AE1562">
        <v>-0.74329999999997598</v>
      </c>
      <c r="AF1562">
        <v>7.5339991388377802E-3</v>
      </c>
      <c r="AG1562">
        <v>-1.1045459707592999</v>
      </c>
      <c r="AH1562">
        <v>26.589245939824401</v>
      </c>
      <c r="AI1562">
        <v>92.378760734992895</v>
      </c>
      <c r="AJ1562">
        <v>89.983765378569402</v>
      </c>
      <c r="AK1562">
        <v>26.612179133079898</v>
      </c>
    </row>
    <row r="1563" spans="1:37" x14ac:dyDescent="0.2">
      <c r="A1563" t="str">
        <f>"20200111160135440"</f>
        <v>20200111160135440</v>
      </c>
      <c r="B1563" t="str">
        <f>"1578729695432350"</f>
        <v>1578729695432350</v>
      </c>
      <c r="C1563" t="s">
        <v>37</v>
      </c>
      <c r="D1563">
        <v>5.2174889999999996</v>
      </c>
      <c r="E1563">
        <v>0.51681049999999995</v>
      </c>
      <c r="F1563" t="s">
        <v>57</v>
      </c>
      <c r="G1563">
        <v>-369.68729999999999</v>
      </c>
      <c r="H1563" s="1">
        <v>3.6183350000000001E-6</v>
      </c>
      <c r="I1563">
        <v>284.82</v>
      </c>
      <c r="J1563">
        <v>-344.76170000000002</v>
      </c>
      <c r="K1563">
        <v>1.1045339999999999</v>
      </c>
      <c r="L1563">
        <v>285.68290000000002</v>
      </c>
      <c r="M1563">
        <v>-0.99954460000000001</v>
      </c>
      <c r="N1563">
        <v>0</v>
      </c>
      <c r="O1563">
        <v>-2.9611780000000001E-2</v>
      </c>
      <c r="P1563">
        <v>-0.99653159999999896</v>
      </c>
      <c r="Q1563">
        <v>1.5832470000000001E-2</v>
      </c>
      <c r="R1563">
        <v>-8.169564E-2</v>
      </c>
      <c r="S1563">
        <v>-3.0039060000000002</v>
      </c>
      <c r="T1563">
        <v>-0.13141269999999999</v>
      </c>
      <c r="U1563">
        <v>-0.1039124</v>
      </c>
      <c r="V1563">
        <v>-5.2215320000000003E-2</v>
      </c>
      <c r="W1563">
        <v>2.1492560000000001E-2</v>
      </c>
      <c r="X1563">
        <v>0.99840459999999998</v>
      </c>
      <c r="Y1563">
        <v>-4.9855070000000001E-3</v>
      </c>
      <c r="Z1563">
        <v>1.1851769999999999E-3</v>
      </c>
      <c r="AA1563">
        <v>0.99998690000000001</v>
      </c>
      <c r="AB1563">
        <v>33</v>
      </c>
      <c r="AC1563">
        <v>-24.9255999999999</v>
      </c>
      <c r="AD1563">
        <v>-1.1045303816649901</v>
      </c>
      <c r="AE1563">
        <v>-0.86290000000002398</v>
      </c>
      <c r="AF1563">
        <v>-0.12417420760528999</v>
      </c>
      <c r="AG1563">
        <v>-1.1045303816649901</v>
      </c>
      <c r="AH1563">
        <v>24.891402077103699</v>
      </c>
      <c r="AI1563">
        <v>92.540742986776195</v>
      </c>
      <c r="AJ1563">
        <v>90.285825562550798</v>
      </c>
      <c r="AK1563">
        <v>24.916205649374</v>
      </c>
    </row>
    <row r="1564" spans="1:37" x14ac:dyDescent="0.2">
      <c r="A1564" t="str">
        <f>"20200111160135462"</f>
        <v>20200111160135462</v>
      </c>
      <c r="B1564" t="str">
        <f>"1578729695452846"</f>
        <v>1578729695452846</v>
      </c>
      <c r="C1564" t="s">
        <v>37</v>
      </c>
      <c r="D1564">
        <v>5.164936</v>
      </c>
      <c r="E1564">
        <v>0.5159108</v>
      </c>
      <c r="F1564" t="s">
        <v>57</v>
      </c>
      <c r="G1564">
        <v>-368.95710000000003</v>
      </c>
      <c r="H1564" s="1">
        <v>3.2297519999999999E-6</v>
      </c>
      <c r="I1564">
        <v>284.72340000000003</v>
      </c>
      <c r="J1564">
        <v>-345.09140000000002</v>
      </c>
      <c r="K1564">
        <v>1.104533</v>
      </c>
      <c r="L1564">
        <v>285.67180000000002</v>
      </c>
      <c r="M1564">
        <v>-0.99950030000000001</v>
      </c>
      <c r="N1564">
        <v>0</v>
      </c>
      <c r="O1564">
        <v>-3.1065820000000001E-2</v>
      </c>
      <c r="P1564">
        <v>-0.99639899999999904</v>
      </c>
      <c r="Q1564">
        <v>1.47899E-2</v>
      </c>
      <c r="R1564">
        <v>-8.3488870000000007E-2</v>
      </c>
      <c r="S1564">
        <v>-3.002869</v>
      </c>
      <c r="T1564">
        <v>-0.13708190000000001</v>
      </c>
      <c r="U1564">
        <v>-0.11907959999999999</v>
      </c>
      <c r="V1564">
        <v>-5.2556360000000003E-2</v>
      </c>
      <c r="W1564">
        <v>2.047473E-2</v>
      </c>
      <c r="X1564">
        <v>0.99840799999999996</v>
      </c>
      <c r="Y1564">
        <v>-8.5864219999999998E-3</v>
      </c>
      <c r="Z1564">
        <v>1.2206980000000001E-3</v>
      </c>
      <c r="AA1564">
        <v>0.99996240000000003</v>
      </c>
      <c r="AB1564">
        <v>33</v>
      </c>
      <c r="AC1564">
        <v>-23.8657</v>
      </c>
      <c r="AD1564">
        <v>-1.1045297702479999</v>
      </c>
      <c r="AE1564">
        <v>-0.94839999999999203</v>
      </c>
      <c r="AF1564">
        <v>-0.20608134469414</v>
      </c>
      <c r="AG1564">
        <v>-1.1045297702479999</v>
      </c>
      <c r="AH1564">
        <v>23.832676355786699</v>
      </c>
      <c r="AI1564">
        <v>92.653385689593605</v>
      </c>
      <c r="AJ1564">
        <v>90.4954247201116</v>
      </c>
      <c r="AK1564">
        <v>23.859147466195701</v>
      </c>
    </row>
    <row r="1565" spans="1:37" x14ac:dyDescent="0.2">
      <c r="A1565" t="str">
        <f>"20200111160135484"</f>
        <v>20200111160135484</v>
      </c>
      <c r="B1565" t="str">
        <f>"1578729695472367"</f>
        <v>1578729695472367</v>
      </c>
      <c r="C1565" t="s">
        <v>37</v>
      </c>
      <c r="D1565">
        <v>5.3952070000000001</v>
      </c>
      <c r="E1565">
        <v>0.51547149999999997</v>
      </c>
      <c r="F1565" t="s">
        <v>57</v>
      </c>
      <c r="G1565">
        <v>-368.27199999999999</v>
      </c>
      <c r="H1565" s="1">
        <v>2.8651709999999999E-6</v>
      </c>
      <c r="I1565">
        <v>284.65210000000002</v>
      </c>
      <c r="J1565">
        <v>-345.40699999999998</v>
      </c>
      <c r="K1565">
        <v>1.10453</v>
      </c>
      <c r="L1565">
        <v>285.66070000000002</v>
      </c>
      <c r="M1565">
        <v>-0.99945589999999995</v>
      </c>
      <c r="N1565">
        <v>0</v>
      </c>
      <c r="O1565">
        <v>-3.2458319999999999E-2</v>
      </c>
      <c r="P1565">
        <v>-0.9962394</v>
      </c>
      <c r="Q1565">
        <v>1.4304269999999999E-2</v>
      </c>
      <c r="R1565">
        <v>-8.5454890000000006E-2</v>
      </c>
      <c r="S1565">
        <v>-3.0019230000000001</v>
      </c>
      <c r="T1565">
        <v>-0.143038</v>
      </c>
      <c r="U1565">
        <v>-0.13204959999999999</v>
      </c>
      <c r="V1565">
        <v>-5.3134340000000002E-2</v>
      </c>
      <c r="W1565">
        <v>2.000849E-2</v>
      </c>
      <c r="X1565">
        <v>0.99838689999999997</v>
      </c>
      <c r="Y1565">
        <v>-1.1518840000000001E-2</v>
      </c>
      <c r="Z1565">
        <v>1.2703839999999901E-3</v>
      </c>
      <c r="AA1565">
        <v>0.99993279999999995</v>
      </c>
      <c r="AB1565">
        <v>33</v>
      </c>
      <c r="AC1565">
        <v>-22.864999999999998</v>
      </c>
      <c r="AD1565">
        <v>-1.104527134829</v>
      </c>
      <c r="AE1565">
        <v>-1.0085999999999999</v>
      </c>
      <c r="AF1565">
        <v>-0.26527847345966699</v>
      </c>
      <c r="AG1565">
        <v>-1.104527134829</v>
      </c>
      <c r="AH1565">
        <v>22.832513296869202</v>
      </c>
      <c r="AI1565">
        <v>92.769348479386395</v>
      </c>
      <c r="AJ1565">
        <v>90.665658347422706</v>
      </c>
      <c r="AK1565">
        <v>22.860752750330899</v>
      </c>
    </row>
    <row r="1566" spans="1:37" x14ac:dyDescent="0.2">
      <c r="A1566" t="str">
        <f>"20200111160135519"</f>
        <v>20200111160135519</v>
      </c>
      <c r="B1566" t="str">
        <f>"1578729695512384"</f>
        <v>1578729695512384</v>
      </c>
      <c r="C1566" t="s">
        <v>37</v>
      </c>
      <c r="D1566">
        <v>5.1322029999999996</v>
      </c>
      <c r="E1566">
        <v>0.4825429</v>
      </c>
      <c r="F1566" t="s">
        <v>57</v>
      </c>
      <c r="G1566">
        <v>-368.11520000000002</v>
      </c>
      <c r="H1566" s="1">
        <v>2.7817290000000001E-6</v>
      </c>
      <c r="I1566">
        <v>284.58929999999998</v>
      </c>
      <c r="J1566">
        <v>-345.92500000000001</v>
      </c>
      <c r="K1566">
        <v>1.1045370000000001</v>
      </c>
      <c r="L1566">
        <v>285.64150000000001</v>
      </c>
      <c r="M1566">
        <v>-0.99937889999999996</v>
      </c>
      <c r="N1566">
        <v>0</v>
      </c>
      <c r="O1566">
        <v>-3.474344E-2</v>
      </c>
      <c r="P1566">
        <v>-0.99604419999999905</v>
      </c>
      <c r="Q1566">
        <v>1.4283860000000001E-2</v>
      </c>
      <c r="R1566">
        <v>-8.7705669999999999E-2</v>
      </c>
      <c r="S1566">
        <v>-3.0012819999999998</v>
      </c>
      <c r="T1566">
        <v>-0.1459819</v>
      </c>
      <c r="U1566">
        <v>-0.14160159999999999</v>
      </c>
      <c r="V1566">
        <v>-5.3107679999999997E-2</v>
      </c>
      <c r="W1566">
        <v>2.0019450000000001E-2</v>
      </c>
      <c r="X1566">
        <v>0.998388099999999</v>
      </c>
      <c r="Y1566">
        <v>-1.242036E-2</v>
      </c>
      <c r="Z1566">
        <v>1.3856929999999999E-3</v>
      </c>
      <c r="AA1566">
        <v>0.99992190000000003</v>
      </c>
      <c r="AB1566">
        <v>33</v>
      </c>
      <c r="AC1566">
        <v>-22.190200000000001</v>
      </c>
      <c r="AD1566">
        <v>-1.1045342182709901</v>
      </c>
      <c r="AE1566">
        <v>-1.05220000000002</v>
      </c>
      <c r="AF1566">
        <v>-0.27989554456740001</v>
      </c>
      <c r="AG1566">
        <v>-1.1045342182709901</v>
      </c>
      <c r="AH1566">
        <v>22.158582664419399</v>
      </c>
      <c r="AI1566">
        <v>92.853421515485294</v>
      </c>
      <c r="AJ1566">
        <v>90.723691619561706</v>
      </c>
      <c r="AK1566">
        <v>22.187859812318798</v>
      </c>
    </row>
    <row r="1567" spans="1:37" x14ac:dyDescent="0.2">
      <c r="A1567" t="str">
        <f>"20200111160135540"</f>
        <v>20200111160135540</v>
      </c>
      <c r="B1567" t="str">
        <f>"1578729695532879"</f>
        <v>1578729695532879</v>
      </c>
      <c r="C1567" t="s">
        <v>37</v>
      </c>
      <c r="D1567">
        <v>5.1638479999999998</v>
      </c>
      <c r="E1567">
        <v>0.48402849999999997</v>
      </c>
      <c r="F1567" t="s">
        <v>57</v>
      </c>
      <c r="G1567">
        <v>-372.23270000000002</v>
      </c>
      <c r="H1567" s="1">
        <v>-3.4865510000000001E-7</v>
      </c>
      <c r="I1567">
        <v>282.01979999999998</v>
      </c>
      <c r="J1567">
        <v>-346.25</v>
      </c>
      <c r="K1567">
        <v>1.104549</v>
      </c>
      <c r="L1567">
        <v>285.62889999999999</v>
      </c>
      <c r="M1567">
        <v>-0.99932779999999999</v>
      </c>
      <c r="N1567">
        <v>0</v>
      </c>
      <c r="O1567">
        <v>-3.6175880000000001E-2</v>
      </c>
      <c r="P1567">
        <v>-0.99599519999999997</v>
      </c>
      <c r="Q1567">
        <v>1.344762E-2</v>
      </c>
      <c r="R1567">
        <v>-8.8388449999999993E-2</v>
      </c>
      <c r="S1567">
        <v>-2.9775700000000001</v>
      </c>
      <c r="T1567">
        <v>-0.12501429999999999</v>
      </c>
      <c r="U1567">
        <v>-0.4099121</v>
      </c>
      <c r="V1567">
        <v>-5.2358689999999999E-2</v>
      </c>
      <c r="W1567">
        <v>1.9203270000000001E-2</v>
      </c>
      <c r="X1567">
        <v>0.99844370000000005</v>
      </c>
      <c r="Y1567">
        <v>-0.1003971</v>
      </c>
      <c r="Z1567">
        <v>-5.8688550000000005E-4</v>
      </c>
      <c r="AA1567">
        <v>0.99494729999999998</v>
      </c>
      <c r="AB1567">
        <v>33</v>
      </c>
      <c r="AC1567">
        <v>-25.982700000000001</v>
      </c>
      <c r="AD1567">
        <v>-1.1045493486550999</v>
      </c>
      <c r="AE1567">
        <v>-3.60910000000001</v>
      </c>
      <c r="AF1567">
        <v>-2.6620541833058802</v>
      </c>
      <c r="AG1567">
        <v>-1.1045493486550999</v>
      </c>
      <c r="AH1567">
        <v>26.050070729805501</v>
      </c>
      <c r="AI1567">
        <v>92.415380807764805</v>
      </c>
      <c r="AJ1567">
        <v>95.834795874880399</v>
      </c>
      <c r="AK1567">
        <v>26.209020332060099</v>
      </c>
    </row>
    <row r="1568" spans="1:37" x14ac:dyDescent="0.2">
      <c r="A1568" t="str">
        <f>"20200111160135563"</f>
        <v>20200111160135563</v>
      </c>
      <c r="B1568" t="str">
        <f>"1578729695552399"</f>
        <v>1578729695552399</v>
      </c>
      <c r="C1568" t="s">
        <v>37</v>
      </c>
      <c r="D1568">
        <v>5.448366</v>
      </c>
      <c r="E1568">
        <v>0.48498009999999903</v>
      </c>
      <c r="F1568" t="s">
        <v>57</v>
      </c>
      <c r="G1568">
        <v>-366.81259999999997</v>
      </c>
      <c r="H1568" s="1">
        <v>2.0885270000000001E-6</v>
      </c>
      <c r="I1568">
        <v>282.8544</v>
      </c>
      <c r="J1568">
        <v>-346.57049999999998</v>
      </c>
      <c r="K1568">
        <v>1.104552</v>
      </c>
      <c r="L1568">
        <v>285.61599999999999</v>
      </c>
      <c r="M1568">
        <v>-0.99927569999999999</v>
      </c>
      <c r="N1568">
        <v>0</v>
      </c>
      <c r="O1568">
        <v>-3.758806E-2</v>
      </c>
      <c r="P1568">
        <v>-0.99595739999999999</v>
      </c>
      <c r="Q1568">
        <v>1.3007639999999999E-2</v>
      </c>
      <c r="R1568">
        <v>-8.8881370000000001E-2</v>
      </c>
      <c r="S1568">
        <v>-2.9785459999999899</v>
      </c>
      <c r="T1568">
        <v>-0.15999639999999901</v>
      </c>
      <c r="U1568">
        <v>-0.40188600000000002</v>
      </c>
      <c r="V1568">
        <v>-5.144021E-2</v>
      </c>
      <c r="W1568">
        <v>1.8783250000000001E-2</v>
      </c>
      <c r="X1568">
        <v>0.99849940000000004</v>
      </c>
      <c r="Y1568">
        <v>-9.6286540000000004E-2</v>
      </c>
      <c r="Z1568">
        <v>-5.6561320000000003E-4</v>
      </c>
      <c r="AA1568">
        <v>0.9953535</v>
      </c>
      <c r="AB1568">
        <v>33</v>
      </c>
      <c r="AC1568">
        <v>-20.242099999999901</v>
      </c>
      <c r="AD1568">
        <v>-1.104549911473</v>
      </c>
      <c r="AE1568">
        <v>-2.7615999999999801</v>
      </c>
      <c r="AF1568">
        <v>-1.9929480183513899</v>
      </c>
      <c r="AG1568">
        <v>-1.104549911473</v>
      </c>
      <c r="AH1568">
        <v>20.2723408018188</v>
      </c>
      <c r="AI1568">
        <v>93.103776267185097</v>
      </c>
      <c r="AJ1568">
        <v>95.614633789633999</v>
      </c>
      <c r="AK1568">
        <v>20.399992007250201</v>
      </c>
    </row>
    <row r="1569" spans="1:37" x14ac:dyDescent="0.2">
      <c r="A1569" t="str">
        <f>"20200111160135585"</f>
        <v>20200111160135585</v>
      </c>
      <c r="B1569" t="str">
        <f>"1578729695582656"</f>
        <v>1578729695582656</v>
      </c>
      <c r="C1569" t="s">
        <v>37</v>
      </c>
      <c r="D1569">
        <v>5.267836</v>
      </c>
      <c r="E1569">
        <v>0.48531790000000002</v>
      </c>
      <c r="F1569" t="s">
        <v>57</v>
      </c>
      <c r="G1569">
        <v>-368.29739999999998</v>
      </c>
      <c r="H1569" s="1">
        <v>2.878675E-6</v>
      </c>
      <c r="I1569">
        <v>282.7328</v>
      </c>
      <c r="J1569">
        <v>-346.90789999999998</v>
      </c>
      <c r="K1569">
        <v>1.104554</v>
      </c>
      <c r="L1569">
        <v>285.6019</v>
      </c>
      <c r="M1569">
        <v>-0.99921859999999996</v>
      </c>
      <c r="N1569">
        <v>0</v>
      </c>
      <c r="O1569">
        <v>-3.907368E-2</v>
      </c>
      <c r="P1569">
        <v>-0.99593379999999998</v>
      </c>
      <c r="Q1569">
        <v>1.2449139999999999E-2</v>
      </c>
      <c r="R1569">
        <v>-8.9222659999999995E-2</v>
      </c>
      <c r="S1569">
        <v>-2.978882</v>
      </c>
      <c r="T1569">
        <v>-0.1514402</v>
      </c>
      <c r="U1569">
        <v>-0.39529419999999998</v>
      </c>
      <c r="V1569">
        <v>-5.0296090000000002E-2</v>
      </c>
      <c r="W1569">
        <v>1.8245939999999999E-2</v>
      </c>
      <c r="X1569">
        <v>0.9985676</v>
      </c>
      <c r="Y1569">
        <v>-9.2642520000000006E-2</v>
      </c>
      <c r="Z1569">
        <v>-3.6822629999999997E-4</v>
      </c>
      <c r="AA1569">
        <v>0.99569929999999995</v>
      </c>
      <c r="AB1569">
        <v>33</v>
      </c>
      <c r="AC1569">
        <v>-21.389500000000002</v>
      </c>
      <c r="AD1569">
        <v>-1.1045511213250001</v>
      </c>
      <c r="AE1569">
        <v>-2.8691</v>
      </c>
      <c r="AF1569">
        <v>-2.02582086726806</v>
      </c>
      <c r="AG1569">
        <v>-1.1045511213250001</v>
      </c>
      <c r="AH1569">
        <v>21.429138641831099</v>
      </c>
      <c r="AI1569">
        <v>92.937588350360301</v>
      </c>
      <c r="AJ1569">
        <v>95.400452807317095</v>
      </c>
      <c r="AK1569">
        <v>21.553003649067101</v>
      </c>
    </row>
    <row r="1570" spans="1:37" x14ac:dyDescent="0.2">
      <c r="A1570" t="str">
        <f>"20200111160135607"</f>
        <v>20200111160135607</v>
      </c>
      <c r="B1570" t="str">
        <f>"1578729695603101"</f>
        <v>1578729695603101</v>
      </c>
      <c r="C1570" t="s">
        <v>37</v>
      </c>
      <c r="D1570">
        <v>5.1674160000000002</v>
      </c>
      <c r="E1570">
        <v>0.48542239999999998</v>
      </c>
      <c r="F1570" t="s">
        <v>57</v>
      </c>
      <c r="G1570">
        <v>-365.95850000000002</v>
      </c>
      <c r="H1570" s="1">
        <v>1.6340500000000001E-6</v>
      </c>
      <c r="I1570">
        <v>283.0772</v>
      </c>
      <c r="J1570">
        <v>-347.24189999999999</v>
      </c>
      <c r="K1570">
        <v>1.104557</v>
      </c>
      <c r="L1570">
        <v>285.58749999999998</v>
      </c>
      <c r="M1570">
        <v>-0.99916000000000005</v>
      </c>
      <c r="N1570">
        <v>0</v>
      </c>
      <c r="O1570">
        <v>-4.0542969999999998E-2</v>
      </c>
      <c r="P1570">
        <v>-0.99590719999999999</v>
      </c>
      <c r="Q1570">
        <v>1.200888E-2</v>
      </c>
      <c r="R1570">
        <v>-8.9582120000000001E-2</v>
      </c>
      <c r="S1570">
        <v>-2.979034</v>
      </c>
      <c r="T1570">
        <v>-0.17272379999999901</v>
      </c>
      <c r="U1570">
        <v>-0.39480589999999999</v>
      </c>
      <c r="V1570">
        <v>-4.9186979999999998E-2</v>
      </c>
      <c r="W1570">
        <v>1.782591E-2</v>
      </c>
      <c r="X1570">
        <v>0.99863049999999998</v>
      </c>
      <c r="Y1570">
        <v>-9.0995950000000006E-2</v>
      </c>
      <c r="Z1570">
        <v>-2.8780290000000002E-4</v>
      </c>
      <c r="AA1570">
        <v>0.99585119999999905</v>
      </c>
      <c r="AB1570">
        <v>33</v>
      </c>
      <c r="AC1570">
        <v>-18.7166</v>
      </c>
      <c r="AD1570">
        <v>-1.10455536595</v>
      </c>
      <c r="AE1570">
        <v>-2.5102999999999702</v>
      </c>
      <c r="AF1570">
        <v>-1.7434312792119899</v>
      </c>
      <c r="AG1570">
        <v>-1.10455536595</v>
      </c>
      <c r="AH1570">
        <v>18.738878009483901</v>
      </c>
      <c r="AI1570">
        <v>93.358899863274502</v>
      </c>
      <c r="AJ1570">
        <v>95.315393953089995</v>
      </c>
      <c r="AK1570">
        <v>18.852192027350601</v>
      </c>
    </row>
    <row r="1571" spans="1:37" x14ac:dyDescent="0.2">
      <c r="A1571" t="str">
        <f>"20200111160135631"</f>
        <v>20200111160135631</v>
      </c>
      <c r="B1571" t="str">
        <f>"1578729695622621"</f>
        <v>1578729695622621</v>
      </c>
      <c r="C1571" t="s">
        <v>37</v>
      </c>
      <c r="D1571">
        <v>5.0784029999999998</v>
      </c>
      <c r="E1571">
        <v>0.48572599999999999</v>
      </c>
      <c r="F1571" t="s">
        <v>57</v>
      </c>
      <c r="G1571">
        <v>-365.32909999999998</v>
      </c>
      <c r="H1571" s="1">
        <v>1.2990829999999999E-6</v>
      </c>
      <c r="I1571">
        <v>283.1848</v>
      </c>
      <c r="J1571">
        <v>-347.5994</v>
      </c>
      <c r="K1571">
        <v>1.104552</v>
      </c>
      <c r="L1571">
        <v>285.57159999999999</v>
      </c>
      <c r="M1571">
        <v>-0.99909509999999901</v>
      </c>
      <c r="N1571">
        <v>0</v>
      </c>
      <c r="O1571">
        <v>-4.2112030000000002E-2</v>
      </c>
      <c r="P1571">
        <v>-0.99584719999999904</v>
      </c>
      <c r="Q1571">
        <v>1.141934E-2</v>
      </c>
      <c r="R1571">
        <v>-9.0324059999999998E-2</v>
      </c>
      <c r="S1571">
        <v>-2.9789729999999999</v>
      </c>
      <c r="T1571">
        <v>-0.18192169999999999</v>
      </c>
      <c r="U1571">
        <v>-0.3957214</v>
      </c>
      <c r="V1571">
        <v>-4.8360800000000002E-2</v>
      </c>
      <c r="W1571">
        <v>1.725666E-2</v>
      </c>
      <c r="X1571">
        <v>0.99868080000000004</v>
      </c>
      <c r="Y1571">
        <v>-8.9731480000000002E-2</v>
      </c>
      <c r="Z1571">
        <v>-1.695759E-4</v>
      </c>
      <c r="AA1571">
        <v>0.99596600000000002</v>
      </c>
      <c r="AB1571">
        <v>33</v>
      </c>
      <c r="AC1571">
        <v>-17.729699999999902</v>
      </c>
      <c r="AD1571">
        <v>-1.1045507009169999</v>
      </c>
      <c r="AE1571">
        <v>-2.3867999999999898</v>
      </c>
      <c r="AF1571">
        <v>-1.6318149500271899</v>
      </c>
      <c r="AG1571">
        <v>-1.1045507009169999</v>
      </c>
      <c r="AH1571">
        <v>17.746832787783202</v>
      </c>
      <c r="AI1571">
        <v>93.546533530741101</v>
      </c>
      <c r="AJ1571">
        <v>95.253553935081698</v>
      </c>
      <c r="AK1571">
        <v>17.855893320681702</v>
      </c>
    </row>
    <row r="1572" spans="1:37" x14ac:dyDescent="0.2">
      <c r="A1572" t="str">
        <f>"20200111160135651"</f>
        <v>20200111160135651</v>
      </c>
      <c r="B1572" t="str">
        <f>"1578729695643117"</f>
        <v>1578729695643117</v>
      </c>
      <c r="C1572" t="s">
        <v>37</v>
      </c>
      <c r="D1572">
        <v>5.2297519999999897</v>
      </c>
      <c r="E1572">
        <v>0.48503370000000001</v>
      </c>
      <c r="F1572" t="s">
        <v>57</v>
      </c>
      <c r="G1572">
        <v>-365.0471</v>
      </c>
      <c r="H1572" s="1">
        <v>1.14905E-6</v>
      </c>
      <c r="I1572">
        <v>283.25409999999999</v>
      </c>
      <c r="J1572">
        <v>-347.91559999999998</v>
      </c>
      <c r="K1572">
        <v>1.1045469999999999</v>
      </c>
      <c r="L1572">
        <v>285.55689999999998</v>
      </c>
      <c r="M1572">
        <v>-0.99903580000000003</v>
      </c>
      <c r="N1572">
        <v>0</v>
      </c>
      <c r="O1572">
        <v>-4.3492320000000001E-2</v>
      </c>
      <c r="P1572">
        <v>-0.99577769999999999</v>
      </c>
      <c r="Q1572">
        <v>1.0638470000000001E-2</v>
      </c>
      <c r="R1572">
        <v>-9.1180529999999996E-2</v>
      </c>
      <c r="S1572">
        <v>-2.9788209999999999</v>
      </c>
      <c r="T1572">
        <v>-0.18857789999999999</v>
      </c>
      <c r="U1572">
        <v>-0.39566040000000002</v>
      </c>
      <c r="V1572">
        <v>-4.7837110000000002E-2</v>
      </c>
      <c r="W1572">
        <v>1.6488590000000001E-2</v>
      </c>
      <c r="X1572">
        <v>0.99871900000000002</v>
      </c>
      <c r="Y1572">
        <v>-8.8340950000000001E-2</v>
      </c>
      <c r="Z1572" s="1">
        <v>-4.5265539999999998E-5</v>
      </c>
      <c r="AA1572">
        <v>0.99609029999999998</v>
      </c>
      <c r="AB1572">
        <v>34</v>
      </c>
      <c r="AC1572">
        <v>-17.131499999999999</v>
      </c>
      <c r="AD1572">
        <v>-1.1045458509499999</v>
      </c>
      <c r="AE1572">
        <v>-2.3027999999999902</v>
      </c>
      <c r="AF1572">
        <v>-1.54919322073925</v>
      </c>
      <c r="AG1572">
        <v>-1.1045458509499999</v>
      </c>
      <c r="AH1572">
        <v>17.145436744953901</v>
      </c>
      <c r="AI1572">
        <v>93.671109275478798</v>
      </c>
      <c r="AJ1572">
        <v>95.162997779035294</v>
      </c>
      <c r="AK1572">
        <v>17.250681793693001</v>
      </c>
    </row>
    <row r="1573" spans="1:37" x14ac:dyDescent="0.2">
      <c r="A1573" t="str">
        <f>"20200111160135674"</f>
        <v>20200111160135674</v>
      </c>
      <c r="B1573" t="str">
        <f>"1578729695662637"</f>
        <v>1578729695662637</v>
      </c>
      <c r="C1573" t="s">
        <v>37</v>
      </c>
      <c r="D1573">
        <v>5.0051649999999999</v>
      </c>
      <c r="E1573">
        <v>0.48523840000000001</v>
      </c>
      <c r="F1573" t="s">
        <v>57</v>
      </c>
      <c r="G1573">
        <v>-365.47680000000003</v>
      </c>
      <c r="H1573" s="1">
        <v>1.3777019999999901E-6</v>
      </c>
      <c r="I1573">
        <v>283.17570000000001</v>
      </c>
      <c r="J1573">
        <v>-348.24630000000002</v>
      </c>
      <c r="K1573">
        <v>1.1045389999999999</v>
      </c>
      <c r="L1573">
        <v>285.5412</v>
      </c>
      <c r="M1573">
        <v>-0.99897219999999998</v>
      </c>
      <c r="N1573">
        <v>0</v>
      </c>
      <c r="O1573">
        <v>-4.4927519999999999E-2</v>
      </c>
      <c r="P1573">
        <v>-0.99566089999999996</v>
      </c>
      <c r="Q1573">
        <v>9.6110380000000006E-3</v>
      </c>
      <c r="R1573">
        <v>-9.2558660000000001E-2</v>
      </c>
      <c r="S1573">
        <v>-2.9777529999999999</v>
      </c>
      <c r="T1573">
        <v>-0.1872915</v>
      </c>
      <c r="U1573">
        <v>-0.40377809999999997</v>
      </c>
      <c r="V1573">
        <v>-4.7780740000000002E-2</v>
      </c>
      <c r="W1573">
        <v>1.5469709999999999E-2</v>
      </c>
      <c r="X1573">
        <v>0.99873809999999996</v>
      </c>
      <c r="Y1573">
        <v>-8.9625350000000006E-2</v>
      </c>
      <c r="Z1573" s="1">
        <v>4.3984040000000002E-6</v>
      </c>
      <c r="AA1573">
        <v>0.99597559999999996</v>
      </c>
      <c r="AB1573">
        <v>34</v>
      </c>
      <c r="AC1573">
        <v>-17.230499999999999</v>
      </c>
      <c r="AD1573">
        <v>-1.1045376222979999</v>
      </c>
      <c r="AE1573">
        <v>-2.3654999999999902</v>
      </c>
      <c r="AF1573">
        <v>-1.5825907574828499</v>
      </c>
      <c r="AG1573">
        <v>-1.1045376222979999</v>
      </c>
      <c r="AH1573">
        <v>17.2498058847126</v>
      </c>
      <c r="AI1573">
        <v>93.648473928589098</v>
      </c>
      <c r="AJ1573">
        <v>95.241950905107203</v>
      </c>
      <c r="AK1573">
        <v>17.357430683283901</v>
      </c>
    </row>
    <row r="1574" spans="1:37" x14ac:dyDescent="0.2">
      <c r="A1574" t="str">
        <f>"20200111160135696"</f>
        <v>20200111160135696</v>
      </c>
      <c r="B1574" t="str">
        <f>"1578729695692893"</f>
        <v>1578729695692893</v>
      </c>
      <c r="C1574" t="s">
        <v>37</v>
      </c>
      <c r="D1574">
        <v>5.0274809999999999</v>
      </c>
      <c r="E1574">
        <v>0.48547289999999998</v>
      </c>
      <c r="F1574" t="s">
        <v>57</v>
      </c>
      <c r="G1574">
        <v>-365.25110000000001</v>
      </c>
      <c r="H1574" s="1">
        <v>1.2575870000000001E-6</v>
      </c>
      <c r="I1574">
        <v>283.2201</v>
      </c>
      <c r="J1574">
        <v>-348.58870000000002</v>
      </c>
      <c r="K1574">
        <v>1.104533</v>
      </c>
      <c r="L1574">
        <v>285.52440000000001</v>
      </c>
      <c r="M1574">
        <v>-0.99890509999999999</v>
      </c>
      <c r="N1574">
        <v>0</v>
      </c>
      <c r="O1574">
        <v>-4.6393539999999997E-2</v>
      </c>
      <c r="P1574">
        <v>-0.99557439999999997</v>
      </c>
      <c r="Q1574">
        <v>9.3351809999999997E-3</v>
      </c>
      <c r="R1574">
        <v>-9.35116E-2</v>
      </c>
      <c r="S1574">
        <v>-2.9771730000000001</v>
      </c>
      <c r="T1574">
        <v>-0.19338069999999999</v>
      </c>
      <c r="U1574">
        <v>-0.40637209999999901</v>
      </c>
      <c r="V1574">
        <v>-4.7270399999999997E-2</v>
      </c>
      <c r="W1574">
        <v>1.520415E-2</v>
      </c>
      <c r="X1574">
        <v>0.99876640000000005</v>
      </c>
      <c r="Y1574">
        <v>-8.9040030000000006E-2</v>
      </c>
      <c r="Z1574">
        <v>1.178985E-4</v>
      </c>
      <c r="AA1574">
        <v>0.99602809999999897</v>
      </c>
      <c r="AB1574">
        <v>34</v>
      </c>
      <c r="AC1574">
        <v>-16.662399999999899</v>
      </c>
      <c r="AD1574">
        <v>-1.1045317424129999</v>
      </c>
      <c r="AE1574">
        <v>-2.3043000000000098</v>
      </c>
      <c r="AF1574">
        <v>-1.52221359518748</v>
      </c>
      <c r="AG1574">
        <v>-1.1045317424129999</v>
      </c>
      <c r="AH1574">
        <v>16.679446871275299</v>
      </c>
      <c r="AI1574">
        <v>93.773024974053897</v>
      </c>
      <c r="AJ1574">
        <v>95.214530135071996</v>
      </c>
      <c r="AK1574">
        <v>16.785144400065999</v>
      </c>
    </row>
    <row r="1575" spans="1:37" x14ac:dyDescent="0.2">
      <c r="A1575" t="str">
        <f>"20200111160135720"</f>
        <v>20200111160135720</v>
      </c>
      <c r="B1575" t="str">
        <f>"1578729695713269"</f>
        <v>1578729695713269</v>
      </c>
      <c r="C1575" t="s">
        <v>37</v>
      </c>
      <c r="D1575">
        <v>5.2077619999999998</v>
      </c>
      <c r="E1575">
        <v>0.48515239999999998</v>
      </c>
      <c r="F1575" t="s">
        <v>57</v>
      </c>
      <c r="G1575">
        <v>-365.18799999999999</v>
      </c>
      <c r="H1575" s="1">
        <v>1.2240109999999999E-6</v>
      </c>
      <c r="I1575">
        <v>283.25459999999998</v>
      </c>
      <c r="J1575">
        <v>-348.94659999999999</v>
      </c>
      <c r="K1575">
        <v>1.1045180000000001</v>
      </c>
      <c r="L1575">
        <v>285.50630000000001</v>
      </c>
      <c r="M1575">
        <v>-0.99883449999999996</v>
      </c>
      <c r="N1575">
        <v>0</v>
      </c>
      <c r="O1575">
        <v>-4.7888409999999999E-2</v>
      </c>
      <c r="P1575">
        <v>-0.99546069999999998</v>
      </c>
      <c r="Q1575">
        <v>9.921048E-3</v>
      </c>
      <c r="R1575">
        <v>-9.4655669999999997E-2</v>
      </c>
      <c r="S1575">
        <v>-2.9769589999999999</v>
      </c>
      <c r="T1575">
        <v>-0.19808919999999999</v>
      </c>
      <c r="U1575">
        <v>-0.40707399999999999</v>
      </c>
      <c r="V1575">
        <v>-4.6924680000000003E-2</v>
      </c>
      <c r="W1575">
        <v>1.5800600000000001E-2</v>
      </c>
      <c r="X1575">
        <v>0.99877349999999998</v>
      </c>
      <c r="Y1575">
        <v>-8.7791049999999995E-2</v>
      </c>
      <c r="Z1575">
        <v>2.6074380000000002E-4</v>
      </c>
      <c r="AA1575">
        <v>0.99613890000000005</v>
      </c>
      <c r="AB1575">
        <v>34</v>
      </c>
      <c r="AC1575">
        <v>-16.241399999999999</v>
      </c>
      <c r="AD1575">
        <v>-1.104516775989</v>
      </c>
      <c r="AE1575">
        <v>-2.25170000000002</v>
      </c>
      <c r="AF1575">
        <v>-1.4646813703563899</v>
      </c>
      <c r="AG1575">
        <v>-1.104516775989</v>
      </c>
      <c r="AH1575">
        <v>16.2568301942019</v>
      </c>
      <c r="AI1575">
        <v>93.871167656725603</v>
      </c>
      <c r="AJ1575">
        <v>95.148241677067205</v>
      </c>
      <c r="AK1575">
        <v>16.3600054030622</v>
      </c>
    </row>
    <row r="1576" spans="1:37" x14ac:dyDescent="0.2">
      <c r="A1576" t="str">
        <f>"20200111160135742"</f>
        <v>20200111160135742</v>
      </c>
      <c r="B1576" t="str">
        <f>"1578729695732788"</f>
        <v>1578729695732788</v>
      </c>
      <c r="C1576" t="s">
        <v>37</v>
      </c>
      <c r="D1576">
        <v>5.0004150000000003</v>
      </c>
      <c r="E1576">
        <v>0.48545059999999901</v>
      </c>
      <c r="F1576" t="s">
        <v>57</v>
      </c>
      <c r="G1576">
        <v>-365.98719999999997</v>
      </c>
      <c r="H1576" s="1">
        <v>1.6492939999999899E-6</v>
      </c>
      <c r="I1576">
        <v>283.14319999999998</v>
      </c>
      <c r="J1576">
        <v>-349.28550000000001</v>
      </c>
      <c r="K1576">
        <v>1.1044940000000001</v>
      </c>
      <c r="L1576">
        <v>285.4889</v>
      </c>
      <c r="M1576">
        <v>-0.99876830000000005</v>
      </c>
      <c r="N1576">
        <v>0</v>
      </c>
      <c r="O1576">
        <v>-4.924949E-2</v>
      </c>
      <c r="P1576">
        <v>-0.99534769999999995</v>
      </c>
      <c r="Q1576">
        <v>1.0370829999999999E-2</v>
      </c>
      <c r="R1576">
        <v>-9.5788199999999907E-2</v>
      </c>
      <c r="S1576">
        <v>-2.9763489999999999</v>
      </c>
      <c r="T1576">
        <v>-0.19291729999999899</v>
      </c>
      <c r="U1576">
        <v>-0.41275020000000001</v>
      </c>
      <c r="V1576">
        <v>-4.6700499999999999E-2</v>
      </c>
      <c r="W1576">
        <v>1.6261640000000001E-2</v>
      </c>
      <c r="X1576">
        <v>0.99877660000000001</v>
      </c>
      <c r="Y1576">
        <v>-8.8331560000000003E-2</v>
      </c>
      <c r="Z1576">
        <v>3.2400570000000001E-4</v>
      </c>
      <c r="AA1576">
        <v>0.99609110000000001</v>
      </c>
      <c r="AB1576">
        <v>34</v>
      </c>
      <c r="AC1576">
        <v>-16.701699999999899</v>
      </c>
      <c r="AD1576">
        <v>-1.104492350706</v>
      </c>
      <c r="AE1576">
        <v>-2.3457000000000199</v>
      </c>
      <c r="AF1576">
        <v>-1.5137960957094401</v>
      </c>
      <c r="AG1576">
        <v>-1.104492350706</v>
      </c>
      <c r="AH1576">
        <v>16.725229804415999</v>
      </c>
      <c r="AI1576">
        <v>93.762847460173802</v>
      </c>
      <c r="AJ1576">
        <v>95.171734162412307</v>
      </c>
      <c r="AK1576">
        <v>16.8298780144919</v>
      </c>
    </row>
    <row r="1577" spans="1:37" x14ac:dyDescent="0.2">
      <c r="A1577" t="str">
        <f>"20200111160135764"</f>
        <v>20200111160135764</v>
      </c>
      <c r="B1577" t="str">
        <f>"1578729695752309"</f>
        <v>1578729695752309</v>
      </c>
      <c r="C1577" t="s">
        <v>37</v>
      </c>
      <c r="D1577">
        <v>5.0217960000000001</v>
      </c>
      <c r="E1577">
        <v>0.48562429999999901</v>
      </c>
      <c r="F1577" t="s">
        <v>57</v>
      </c>
      <c r="G1577">
        <v>-366.27749999999997</v>
      </c>
      <c r="H1577" s="1">
        <v>1.8037669999999999E-6</v>
      </c>
      <c r="I1577">
        <v>283.12549999999999</v>
      </c>
      <c r="J1577">
        <v>-349.62199999999899</v>
      </c>
      <c r="K1577">
        <v>1.104452</v>
      </c>
      <c r="L1577">
        <v>285.47109999999998</v>
      </c>
      <c r="M1577">
        <v>-0.9987045</v>
      </c>
      <c r="N1577">
        <v>0</v>
      </c>
      <c r="O1577">
        <v>-5.0527669999999997E-2</v>
      </c>
      <c r="P1577">
        <v>-0.99521729999999997</v>
      </c>
      <c r="Q1577">
        <v>1.080334E-2</v>
      </c>
      <c r="R1577">
        <v>-9.7087930000000003E-2</v>
      </c>
      <c r="S1577">
        <v>-2.9761660000000001</v>
      </c>
      <c r="T1577">
        <v>-0.19345279999999901</v>
      </c>
      <c r="U1577">
        <v>-0.41394039999999999</v>
      </c>
      <c r="V1577">
        <v>-4.6726820000000002E-2</v>
      </c>
      <c r="W1577">
        <v>1.6707420000000001E-2</v>
      </c>
      <c r="X1577">
        <v>0.99876799999999999</v>
      </c>
      <c r="Y1577">
        <v>-8.7459880000000004E-2</v>
      </c>
      <c r="Z1577">
        <v>4.3545169999999899E-4</v>
      </c>
      <c r="AA1577">
        <v>0.99616800000000005</v>
      </c>
      <c r="AB1577">
        <v>34</v>
      </c>
      <c r="AC1577">
        <v>-16.6555</v>
      </c>
      <c r="AD1577">
        <v>-1.104450196233</v>
      </c>
      <c r="AE1577">
        <v>-2.3455999999999899</v>
      </c>
      <c r="AF1577">
        <v>-1.4945807210203099</v>
      </c>
      <c r="AG1577">
        <v>-1.104450196233</v>
      </c>
      <c r="AH1577">
        <v>16.680821794034699</v>
      </c>
      <c r="AI1577">
        <v>93.772998653638396</v>
      </c>
      <c r="AJ1577">
        <v>95.119958325962699</v>
      </c>
      <c r="AK1577">
        <v>16.784022089235599</v>
      </c>
    </row>
    <row r="1578" spans="1:37" x14ac:dyDescent="0.2">
      <c r="A1578" t="str">
        <f>"20200111160135786"</f>
        <v>20200111160135786</v>
      </c>
      <c r="B1578" t="str">
        <f>"1578729695782564"</f>
        <v>1578729695782564</v>
      </c>
      <c r="C1578" t="s">
        <v>37</v>
      </c>
      <c r="D1578">
        <v>5.0219339999999999</v>
      </c>
      <c r="E1578">
        <v>0.48605809999999999</v>
      </c>
      <c r="F1578" t="s">
        <v>57</v>
      </c>
      <c r="G1578">
        <v>-366.62049999999999</v>
      </c>
      <c r="H1578" s="1">
        <v>1.9863310000000002E-6</v>
      </c>
      <c r="I1578">
        <v>283.09480000000002</v>
      </c>
      <c r="J1578">
        <v>-349.96019999999999</v>
      </c>
      <c r="K1578">
        <v>1.1043879999999999</v>
      </c>
      <c r="L1578">
        <v>285.4529</v>
      </c>
      <c r="M1578">
        <v>-0.99864359999999996</v>
      </c>
      <c r="N1578">
        <v>0</v>
      </c>
      <c r="O1578">
        <v>-5.1717079999999999E-2</v>
      </c>
      <c r="P1578">
        <v>-0.99510480000000001</v>
      </c>
      <c r="Q1578">
        <v>1.2156129999999999E-2</v>
      </c>
      <c r="R1578">
        <v>-9.8076679999999999E-2</v>
      </c>
      <c r="S1578">
        <v>-2.9759220000000002</v>
      </c>
      <c r="T1578">
        <v>-0.19335569999999999</v>
      </c>
      <c r="U1578">
        <v>-0.41601559999999999</v>
      </c>
      <c r="V1578">
        <v>-4.6531400000000001E-2</v>
      </c>
      <c r="W1578">
        <v>1.807622E-2</v>
      </c>
      <c r="X1578">
        <v>0.99875319999999901</v>
      </c>
      <c r="Y1578">
        <v>-8.6969560000000001E-2</v>
      </c>
      <c r="Z1578">
        <v>5.2768529999999995E-4</v>
      </c>
      <c r="AA1578">
        <v>0.99621079999999995</v>
      </c>
      <c r="AB1578">
        <v>34</v>
      </c>
      <c r="AC1578">
        <v>-16.660299999999999</v>
      </c>
      <c r="AD1578">
        <v>-1.104386013669</v>
      </c>
      <c r="AE1578">
        <v>-2.3580999999999701</v>
      </c>
      <c r="AF1578">
        <v>-1.48690114829454</v>
      </c>
      <c r="AG1578">
        <v>-1.104386013669</v>
      </c>
      <c r="AH1578">
        <v>16.688070355074199</v>
      </c>
      <c r="AI1578">
        <v>93.771312390286298</v>
      </c>
      <c r="AJ1578">
        <v>95.091588423295406</v>
      </c>
      <c r="AK1578">
        <v>16.7905400648071</v>
      </c>
    </row>
    <row r="1579" spans="1:37" x14ac:dyDescent="0.2">
      <c r="A1579" t="str">
        <f>"20200111160135808"</f>
        <v>20200111160135808</v>
      </c>
      <c r="B1579" t="str">
        <f>"1578729695803061"</f>
        <v>1578729695803061</v>
      </c>
      <c r="C1579" t="s">
        <v>37</v>
      </c>
      <c r="D1579">
        <v>5.4071680000000004</v>
      </c>
      <c r="E1579">
        <v>0.52638099999999999</v>
      </c>
      <c r="F1579" t="s">
        <v>57</v>
      </c>
      <c r="G1579">
        <v>-367.17219999999998</v>
      </c>
      <c r="H1579" s="1">
        <v>2.2799049999999999E-6</v>
      </c>
      <c r="I1579">
        <v>283.05090000000001</v>
      </c>
      <c r="J1579">
        <v>-350.30259999999998</v>
      </c>
      <c r="K1579">
        <v>1.1043049999999901</v>
      </c>
      <c r="L1579">
        <v>285.43419999999998</v>
      </c>
      <c r="M1579">
        <v>-0.99858630000000004</v>
      </c>
      <c r="N1579">
        <v>0</v>
      </c>
      <c r="O1579">
        <v>-5.280522E-2</v>
      </c>
      <c r="P1579">
        <v>-0.99513229999999997</v>
      </c>
      <c r="Q1579">
        <v>1.336276E-2</v>
      </c>
      <c r="R1579">
        <v>-9.7637160000000001E-2</v>
      </c>
      <c r="S1579">
        <v>-2.9761959999999998</v>
      </c>
      <c r="T1579">
        <v>-0.1909641</v>
      </c>
      <c r="U1579">
        <v>-0.4153442</v>
      </c>
      <c r="V1579">
        <v>-4.5002050000000002E-2</v>
      </c>
      <c r="W1579">
        <v>1.930577E-2</v>
      </c>
      <c r="X1579">
        <v>0.99880029999999997</v>
      </c>
      <c r="Y1579">
        <v>-8.5657520000000001E-2</v>
      </c>
      <c r="Z1579">
        <v>6.32202E-4</v>
      </c>
      <c r="AA1579">
        <v>0.9963244</v>
      </c>
      <c r="AB1579">
        <v>34</v>
      </c>
      <c r="AC1579">
        <v>-16.869599999999899</v>
      </c>
      <c r="AD1579">
        <v>-1.104302720095</v>
      </c>
      <c r="AE1579">
        <v>-2.3832999999999598</v>
      </c>
      <c r="AF1579">
        <v>-1.4829251315112499</v>
      </c>
      <c r="AG1579">
        <v>-1.104302720095</v>
      </c>
      <c r="AH1579">
        <v>16.900910381515899</v>
      </c>
      <c r="AI1579">
        <v>93.724115349902107</v>
      </c>
      <c r="AJ1579">
        <v>95.014422879411896</v>
      </c>
      <c r="AK1579">
        <v>17.001744709508699</v>
      </c>
    </row>
    <row r="1580" spans="1:37" x14ac:dyDescent="0.2">
      <c r="A1580" t="str">
        <f>"20200111160135831"</f>
        <v>20200111160135831</v>
      </c>
      <c r="B1580" t="str">
        <f>"1578729695822580"</f>
        <v>1578729695822580</v>
      </c>
      <c r="C1580" t="s">
        <v>37</v>
      </c>
      <c r="D1580">
        <v>5.2145809999999999</v>
      </c>
      <c r="E1580">
        <v>0.53148009999999901</v>
      </c>
      <c r="F1580" t="s">
        <v>42</v>
      </c>
      <c r="G1580">
        <v>-351.03629999999998</v>
      </c>
      <c r="H1580">
        <v>1.037928</v>
      </c>
      <c r="I1580">
        <v>285.41070000000002</v>
      </c>
      <c r="J1580">
        <v>-350.65230000000003</v>
      </c>
      <c r="K1580">
        <v>1.104206</v>
      </c>
      <c r="L1580">
        <v>285.41480000000001</v>
      </c>
      <c r="M1580">
        <v>-0.99853519999999896</v>
      </c>
      <c r="N1580">
        <v>0</v>
      </c>
      <c r="O1580">
        <v>-5.376442E-2</v>
      </c>
      <c r="P1580">
        <v>-0.99531979999999998</v>
      </c>
      <c r="Q1580">
        <v>1.463777E-2</v>
      </c>
      <c r="R1580">
        <v>-9.5521519999999999E-2</v>
      </c>
      <c r="S1580">
        <v>-3.0088200000000001</v>
      </c>
      <c r="T1580">
        <v>-0.27234079999999999</v>
      </c>
      <c r="U1580">
        <v>-9.7045899999999893E-2</v>
      </c>
      <c r="V1580">
        <v>-4.1918370000000003E-2</v>
      </c>
      <c r="W1580">
        <v>2.060965E-2</v>
      </c>
      <c r="X1580">
        <v>0.99890849999999898</v>
      </c>
      <c r="Y1580">
        <v>2.1241030000000001E-2</v>
      </c>
      <c r="Z1580">
        <v>5.8116369999999997E-3</v>
      </c>
      <c r="AA1580">
        <v>0.99975749999999997</v>
      </c>
      <c r="AB1580">
        <v>35</v>
      </c>
      <c r="AC1580">
        <v>-0.38399999999995699</v>
      </c>
      <c r="AD1580">
        <v>-6.6278000000000004E-2</v>
      </c>
      <c r="AE1580">
        <v>-4.0999999999939904E-3</v>
      </c>
      <c r="AF1580">
        <v>1.60730789811965E-2</v>
      </c>
      <c r="AG1580">
        <v>-6.6278000000000004E-2</v>
      </c>
      <c r="AH1580">
        <v>0.372567352894769</v>
      </c>
      <c r="AI1580">
        <v>100.07794625493599</v>
      </c>
      <c r="AJ1580">
        <v>87.529711374881302</v>
      </c>
      <c r="AK1580">
        <v>0.37875790367324502</v>
      </c>
    </row>
    <row r="1581" spans="1:37" x14ac:dyDescent="0.2">
      <c r="A1581" t="str">
        <f>"20200111160135852"</f>
        <v>20200111160135852</v>
      </c>
      <c r="B1581" t="str">
        <f>"1578729695843076"</f>
        <v>1578729695843076</v>
      </c>
      <c r="C1581" t="s">
        <v>37</v>
      </c>
      <c r="D1581">
        <v>4.9869629999999896</v>
      </c>
      <c r="E1581">
        <v>0.53459489999999998</v>
      </c>
      <c r="F1581" t="s">
        <v>42</v>
      </c>
      <c r="G1581">
        <v>-351.6474</v>
      </c>
      <c r="H1581">
        <v>1.018087</v>
      </c>
      <c r="I1581">
        <v>285.39859999999999</v>
      </c>
      <c r="J1581">
        <v>-350.98480000000001</v>
      </c>
      <c r="K1581">
        <v>1.1040920000000001</v>
      </c>
      <c r="L1581">
        <v>285.39620000000002</v>
      </c>
      <c r="M1581">
        <v>-0.99849409999999905</v>
      </c>
      <c r="N1581">
        <v>0</v>
      </c>
      <c r="O1581">
        <v>-5.4520760000000001E-2</v>
      </c>
      <c r="P1581">
        <v>-0.99558409999999997</v>
      </c>
      <c r="Q1581">
        <v>1.4859270000000001E-2</v>
      </c>
      <c r="R1581">
        <v>-9.2689720000000003E-2</v>
      </c>
      <c r="S1581">
        <v>-3.0131839999999999</v>
      </c>
      <c r="T1581">
        <v>-0.26088089999999903</v>
      </c>
      <c r="U1581">
        <v>-4.9652099999999998E-2</v>
      </c>
      <c r="V1581">
        <v>-3.8314559999999998E-2</v>
      </c>
      <c r="W1581">
        <v>2.0861370000000001E-2</v>
      </c>
      <c r="X1581">
        <v>0.99904789999999999</v>
      </c>
      <c r="Y1581">
        <v>3.7718069999999999E-2</v>
      </c>
      <c r="Z1581">
        <v>6.3387219999999998E-3</v>
      </c>
      <c r="AA1581">
        <v>0.9992683</v>
      </c>
      <c r="AB1581">
        <v>35</v>
      </c>
      <c r="AC1581">
        <v>-0.66259999999999697</v>
      </c>
      <c r="AD1581">
        <v>-8.6004999999999804E-2</v>
      </c>
      <c r="AE1581">
        <v>2.3999999999659801E-3</v>
      </c>
      <c r="AF1581">
        <v>3.7884293855597898E-2</v>
      </c>
      <c r="AG1581">
        <v>-8.6004999999999804E-2</v>
      </c>
      <c r="AH1581">
        <v>0.65052379980208197</v>
      </c>
      <c r="AI1581">
        <v>97.518737998768998</v>
      </c>
      <c r="AJ1581">
        <v>86.667053144107101</v>
      </c>
      <c r="AK1581">
        <v>0.65727718190644402</v>
      </c>
    </row>
    <row r="1582" spans="1:37" x14ac:dyDescent="0.2">
      <c r="A1582" t="str">
        <f>"20200111160135875"</f>
        <v>20200111160135875</v>
      </c>
      <c r="B1582" t="str">
        <f>"1578729695872358"</f>
        <v>1578729695872358</v>
      </c>
      <c r="C1582" t="s">
        <v>37</v>
      </c>
      <c r="D1582">
        <v>5.0163060000000002</v>
      </c>
      <c r="E1582">
        <v>0.53675569999999995</v>
      </c>
      <c r="F1582" t="s">
        <v>42</v>
      </c>
      <c r="G1582">
        <v>-351.96</v>
      </c>
      <c r="H1582">
        <v>1.0194570000000001</v>
      </c>
      <c r="I1582">
        <v>285.39120000000003</v>
      </c>
      <c r="J1582">
        <v>-351.33819999999997</v>
      </c>
      <c r="K1582">
        <v>1.103977</v>
      </c>
      <c r="L1582">
        <v>285.37630000000001</v>
      </c>
      <c r="M1582">
        <v>-0.99845799999999996</v>
      </c>
      <c r="N1582">
        <v>0</v>
      </c>
      <c r="O1582">
        <v>-5.5177049999999998E-2</v>
      </c>
      <c r="P1582">
        <v>-0.99577549999999904</v>
      </c>
      <c r="Q1582">
        <v>1.4813679999999999E-2</v>
      </c>
      <c r="R1582">
        <v>-9.0619989999999997E-2</v>
      </c>
      <c r="S1582">
        <v>-3.015717</v>
      </c>
      <c r="T1582">
        <v>-0.2617545</v>
      </c>
      <c r="U1582">
        <v>-1.5991209999999999E-2</v>
      </c>
      <c r="V1582">
        <v>-3.557428E-2</v>
      </c>
      <c r="W1582">
        <v>2.08442E-2</v>
      </c>
      <c r="X1582">
        <v>0.99914959999999997</v>
      </c>
      <c r="Y1582">
        <v>4.9489499999999999E-2</v>
      </c>
      <c r="Z1582">
        <v>6.9219809999999998E-3</v>
      </c>
      <c r="AA1582">
        <v>0.99875069999999999</v>
      </c>
      <c r="AB1582">
        <v>35</v>
      </c>
      <c r="AC1582">
        <v>-0.62180000000000701</v>
      </c>
      <c r="AD1582">
        <v>-8.4519999999999901E-2</v>
      </c>
      <c r="AE1582">
        <v>1.4900000000011401E-2</v>
      </c>
      <c r="AF1582">
        <v>4.8295216660659702E-2</v>
      </c>
      <c r="AG1582">
        <v>-8.4519999999999901E-2</v>
      </c>
      <c r="AH1582">
        <v>0.60878877815820598</v>
      </c>
      <c r="AI1582">
        <v>97.879580826800293</v>
      </c>
      <c r="AJ1582">
        <v>85.464224546211497</v>
      </c>
      <c r="AK1582">
        <v>0.61652237166518298</v>
      </c>
    </row>
    <row r="1583" spans="1:37" x14ac:dyDescent="0.2">
      <c r="A1583" t="str">
        <f>"20200111160135897"</f>
        <v>20200111160135897</v>
      </c>
      <c r="B1583" t="str">
        <f>"1578729695892852"</f>
        <v>1578729695892852</v>
      </c>
      <c r="C1583" t="s">
        <v>37</v>
      </c>
      <c r="D1583">
        <v>4.9609249999999996</v>
      </c>
      <c r="E1583">
        <v>0.53715900000000005</v>
      </c>
      <c r="F1583" t="s">
        <v>42</v>
      </c>
      <c r="G1583">
        <v>-352.27409999999998</v>
      </c>
      <c r="H1583">
        <v>1.0225389999999901</v>
      </c>
      <c r="I1583">
        <v>285.37880000000001</v>
      </c>
      <c r="J1583">
        <v>-351.69580000000002</v>
      </c>
      <c r="K1583">
        <v>1.103845</v>
      </c>
      <c r="L1583">
        <v>285.35610000000003</v>
      </c>
      <c r="M1583">
        <v>-0.99843019999999905</v>
      </c>
      <c r="N1583">
        <v>0</v>
      </c>
      <c r="O1583">
        <v>-5.5676699999999898E-2</v>
      </c>
      <c r="P1583">
        <v>-0.99590599999999996</v>
      </c>
      <c r="Q1583">
        <v>1.567435E-2</v>
      </c>
      <c r="R1583">
        <v>-8.9027529999999994E-2</v>
      </c>
      <c r="S1583">
        <v>-3.0173030000000001</v>
      </c>
      <c r="T1583">
        <v>-0.26262249999999998</v>
      </c>
      <c r="U1583">
        <v>7.5378419999999899E-3</v>
      </c>
      <c r="V1583">
        <v>-3.347203E-2</v>
      </c>
      <c r="W1583">
        <v>2.173187E-2</v>
      </c>
      <c r="X1583">
        <v>0.99920339999999996</v>
      </c>
      <c r="Y1583">
        <v>5.774323E-2</v>
      </c>
      <c r="Z1583">
        <v>7.3433819999999999E-3</v>
      </c>
      <c r="AA1583">
        <v>0.99830450000000004</v>
      </c>
      <c r="AB1583">
        <v>35</v>
      </c>
      <c r="AC1583">
        <v>-0.57829999999995596</v>
      </c>
      <c r="AD1583">
        <v>-8.13060000000001E-2</v>
      </c>
      <c r="AE1583">
        <v>2.2699999999986099E-2</v>
      </c>
      <c r="AF1583">
        <v>5.3801371901325001E-2</v>
      </c>
      <c r="AG1583">
        <v>-8.13060000000001E-2</v>
      </c>
      <c r="AH1583">
        <v>0.56498816215075098</v>
      </c>
      <c r="AI1583">
        <v>98.152686249560006</v>
      </c>
      <c r="AJ1583">
        <v>84.560373924642207</v>
      </c>
      <c r="AK1583">
        <v>0.57333836137567895</v>
      </c>
    </row>
    <row r="1584" spans="1:37" x14ac:dyDescent="0.2">
      <c r="A1584" t="str">
        <f>"20200111160135920"</f>
        <v>20200111160135920</v>
      </c>
      <c r="B1584" t="str">
        <f>"1578729695912372"</f>
        <v>1578729695912372</v>
      </c>
      <c r="C1584" t="s">
        <v>37</v>
      </c>
      <c r="D1584">
        <v>5.1338189999999999</v>
      </c>
      <c r="E1584">
        <v>0.537053</v>
      </c>
      <c r="F1584" t="s">
        <v>42</v>
      </c>
      <c r="G1584">
        <v>-352.58940000000001</v>
      </c>
      <c r="H1584">
        <v>1.0267189999999999</v>
      </c>
      <c r="I1584">
        <v>285.36090000000002</v>
      </c>
      <c r="J1584">
        <v>-352.04419999999999</v>
      </c>
      <c r="K1584">
        <v>1.103721</v>
      </c>
      <c r="L1584">
        <v>285.33629999999999</v>
      </c>
      <c r="M1584">
        <v>-0.99841209999999903</v>
      </c>
      <c r="N1584">
        <v>0</v>
      </c>
      <c r="O1584">
        <v>-5.5998760000000002E-2</v>
      </c>
      <c r="P1584">
        <v>-0.99594740000000004</v>
      </c>
      <c r="Q1584">
        <v>1.6615959999999999E-2</v>
      </c>
      <c r="R1584">
        <v>-8.8390789999999997E-2</v>
      </c>
      <c r="S1584">
        <v>-3.0178219999999998</v>
      </c>
      <c r="T1584">
        <v>-0.26062649999999998</v>
      </c>
      <c r="U1584">
        <v>1.556396E-2</v>
      </c>
      <c r="V1584">
        <v>-3.2506019999999997E-2</v>
      </c>
      <c r="W1584">
        <v>2.269819E-2</v>
      </c>
      <c r="X1584">
        <v>0.99921380000000004</v>
      </c>
      <c r="Y1584">
        <v>6.0713950000000003E-2</v>
      </c>
      <c r="Z1584">
        <v>7.4423529999999996E-3</v>
      </c>
      <c r="AA1584">
        <v>0.99812749999999995</v>
      </c>
      <c r="AB1584">
        <v>35</v>
      </c>
      <c r="AC1584">
        <v>-0.545200000000022</v>
      </c>
      <c r="AD1584">
        <v>-7.7001999999999696E-2</v>
      </c>
      <c r="AE1584">
        <v>2.46000000000208E-2</v>
      </c>
      <c r="AF1584">
        <v>5.4017164675623799E-2</v>
      </c>
      <c r="AG1584">
        <v>-7.7001999999999696E-2</v>
      </c>
      <c r="AH1584">
        <v>0.53236891922028196</v>
      </c>
      <c r="AI1584">
        <v>98.188731106560397</v>
      </c>
      <c r="AJ1584">
        <v>84.206274200895194</v>
      </c>
      <c r="AK1584">
        <v>0.54061430635469199</v>
      </c>
    </row>
    <row r="1585" spans="1:37" x14ac:dyDescent="0.2">
      <c r="A1585" t="str">
        <f>"20200111160135942"</f>
        <v>20200111160135942</v>
      </c>
      <c r="B1585" t="str">
        <f>"1578729695932868"</f>
        <v>1578729695932868</v>
      </c>
      <c r="C1585" t="s">
        <v>37</v>
      </c>
      <c r="D1585">
        <v>5.0088269999999904</v>
      </c>
      <c r="E1585">
        <v>0.53723369999999904</v>
      </c>
      <c r="F1585" t="s">
        <v>42</v>
      </c>
      <c r="G1585">
        <v>-352.90499999999997</v>
      </c>
      <c r="H1585">
        <v>1.0298529999999999</v>
      </c>
      <c r="I1585">
        <v>285.34129999999999</v>
      </c>
      <c r="J1585">
        <v>-352.39109999999999</v>
      </c>
      <c r="K1585">
        <v>1.1035950000000001</v>
      </c>
      <c r="L1585">
        <v>285.31670000000003</v>
      </c>
      <c r="M1585">
        <v>-0.99840300000000004</v>
      </c>
      <c r="N1585">
        <v>0</v>
      </c>
      <c r="O1585">
        <v>-5.6160979999999999E-2</v>
      </c>
      <c r="P1585">
        <v>-0.99594869999999902</v>
      </c>
      <c r="Q1585">
        <v>1.701592E-2</v>
      </c>
      <c r="R1585">
        <v>-8.8300409999999996E-2</v>
      </c>
      <c r="S1585">
        <v>-3.0179749999999999</v>
      </c>
      <c r="T1585">
        <v>-0.25912370000000001</v>
      </c>
      <c r="U1585">
        <v>1.6357420000000001E-2</v>
      </c>
      <c r="V1585">
        <v>-3.2246980000000001E-2</v>
      </c>
      <c r="W1585">
        <v>2.312198E-2</v>
      </c>
      <c r="X1585">
        <v>0.9992124</v>
      </c>
      <c r="Y1585">
        <v>6.1141130000000002E-2</v>
      </c>
      <c r="Z1585">
        <v>7.4314219999999896E-3</v>
      </c>
      <c r="AA1585">
        <v>0.99810149999999997</v>
      </c>
      <c r="AB1585">
        <v>35</v>
      </c>
      <c r="AC1585">
        <v>-0.51389999999997804</v>
      </c>
      <c r="AD1585">
        <v>-7.3741999999999905E-2</v>
      </c>
      <c r="AE1585">
        <v>2.4599999999963901E-2</v>
      </c>
      <c r="AF1585">
        <v>5.2347430630231E-2</v>
      </c>
      <c r="AG1585">
        <v>-7.3741999999999905E-2</v>
      </c>
      <c r="AH1585">
        <v>0.50140656552920204</v>
      </c>
      <c r="AI1585">
        <v>98.321936723518803</v>
      </c>
      <c r="AJ1585">
        <v>84.039845606377398</v>
      </c>
      <c r="AK1585">
        <v>0.50949649656634299</v>
      </c>
    </row>
    <row r="1586" spans="1:37" x14ac:dyDescent="0.2">
      <c r="A1586" t="str">
        <f>"20200111160135964"</f>
        <v>20200111160135964</v>
      </c>
      <c r="B1586" t="str">
        <f>"1578729695952388"</f>
        <v>1578729695952388</v>
      </c>
      <c r="C1586" t="s">
        <v>37</v>
      </c>
      <c r="D1586">
        <v>5.0687249999999997</v>
      </c>
      <c r="E1586">
        <v>0.53737219999999997</v>
      </c>
      <c r="F1586" t="s">
        <v>42</v>
      </c>
      <c r="G1586">
        <v>-353.22109999999998</v>
      </c>
      <c r="H1586">
        <v>1.0319940000000001</v>
      </c>
      <c r="I1586">
        <v>285.32170000000002</v>
      </c>
      <c r="J1586">
        <v>-352.74040000000002</v>
      </c>
      <c r="K1586">
        <v>1.103458</v>
      </c>
      <c r="L1586">
        <v>285.29700000000003</v>
      </c>
      <c r="M1586">
        <v>-0.99840309999999899</v>
      </c>
      <c r="N1586">
        <v>0</v>
      </c>
      <c r="O1586">
        <v>-5.6158430000000002E-2</v>
      </c>
      <c r="P1586">
        <v>-0.99593539999999903</v>
      </c>
      <c r="Q1586">
        <v>1.7660490000000001E-2</v>
      </c>
      <c r="R1586">
        <v>-8.8324410000000006E-2</v>
      </c>
      <c r="S1586">
        <v>-3.0182500000000001</v>
      </c>
      <c r="T1586">
        <v>-0.26052989999999998</v>
      </c>
      <c r="U1586">
        <v>1.7456050000000001E-2</v>
      </c>
      <c r="V1586">
        <v>-3.2266009999999998E-2</v>
      </c>
      <c r="W1586">
        <v>2.3792230000000001E-2</v>
      </c>
      <c r="X1586">
        <v>0.99919609999999903</v>
      </c>
      <c r="Y1586">
        <v>6.1495479999999998E-2</v>
      </c>
      <c r="Z1586">
        <v>7.4859749999999997E-3</v>
      </c>
      <c r="AA1586">
        <v>0.9980793</v>
      </c>
      <c r="AB1586">
        <v>35</v>
      </c>
      <c r="AC1586">
        <v>-0.480699999999956</v>
      </c>
      <c r="AD1586">
        <v>-7.1463999999999903E-2</v>
      </c>
      <c r="AE1586">
        <v>2.4699999999995701E-2</v>
      </c>
      <c r="AF1586">
        <v>5.0542741210714198E-2</v>
      </c>
      <c r="AG1586">
        <v>-7.1463999999999903E-2</v>
      </c>
      <c r="AH1586">
        <v>0.468232720458513</v>
      </c>
      <c r="AI1586">
        <v>98.6284361624365</v>
      </c>
      <c r="AJ1586">
        <v>83.839139898689396</v>
      </c>
      <c r="AK1586">
        <v>0.47634394348314502</v>
      </c>
    </row>
    <row r="1587" spans="1:37" x14ac:dyDescent="0.2">
      <c r="A1587" t="str">
        <f>"20200111160135987"</f>
        <v>20200111160135987</v>
      </c>
      <c r="B1587" t="str">
        <f>"1578729695982646"</f>
        <v>1578729695982646</v>
      </c>
      <c r="C1587" t="s">
        <v>37</v>
      </c>
      <c r="D1587">
        <v>5.0830140000000004</v>
      </c>
      <c r="E1587">
        <v>0.53754590000000002</v>
      </c>
      <c r="F1587" t="s">
        <v>42</v>
      </c>
      <c r="G1587">
        <v>-353.53840000000002</v>
      </c>
      <c r="H1587">
        <v>1.034708</v>
      </c>
      <c r="I1587">
        <v>285.30200000000002</v>
      </c>
      <c r="J1587">
        <v>-353.1019</v>
      </c>
      <c r="K1587">
        <v>1.103307</v>
      </c>
      <c r="L1587">
        <v>285.27670000000001</v>
      </c>
      <c r="M1587">
        <v>-0.99841270000000004</v>
      </c>
      <c r="N1587">
        <v>0</v>
      </c>
      <c r="O1587">
        <v>-5.5982999999999998E-2</v>
      </c>
      <c r="P1587">
        <v>-0.99590559999999995</v>
      </c>
      <c r="Q1587">
        <v>1.8281970000000002E-2</v>
      </c>
      <c r="R1587">
        <v>-8.8530529999999996E-2</v>
      </c>
      <c r="S1587">
        <v>-3.0185240000000002</v>
      </c>
      <c r="T1587">
        <v>-0.26018419999999998</v>
      </c>
      <c r="U1587">
        <v>1.8341059999999999E-2</v>
      </c>
      <c r="V1587">
        <v>-3.264094E-2</v>
      </c>
      <c r="W1587">
        <v>2.4441020000000001E-2</v>
      </c>
      <c r="X1587">
        <v>0.99916830000000001</v>
      </c>
      <c r="Y1587">
        <v>6.1613649999999999E-2</v>
      </c>
      <c r="Z1587">
        <v>7.4654099999999996E-3</v>
      </c>
      <c r="AA1587">
        <v>0.99807209999999902</v>
      </c>
      <c r="AB1587">
        <v>35</v>
      </c>
      <c r="AC1587">
        <v>-0.43650000000002298</v>
      </c>
      <c r="AD1587">
        <v>-6.8598999999999993E-2</v>
      </c>
      <c r="AE1587">
        <v>2.5300000000015602E-2</v>
      </c>
      <c r="AF1587">
        <v>4.8503423562354299E-2</v>
      </c>
      <c r="AG1587">
        <v>-6.8598999999999993E-2</v>
      </c>
      <c r="AH1587">
        <v>0.42396292011594899</v>
      </c>
      <c r="AI1587">
        <v>99.132486315729494</v>
      </c>
      <c r="AJ1587">
        <v>83.473459133367697</v>
      </c>
      <c r="AK1587">
        <v>0.43220708292612697</v>
      </c>
    </row>
    <row r="1588" spans="1:37" x14ac:dyDescent="0.2">
      <c r="A1588" t="str">
        <f>"20200111160136010"</f>
        <v>20200111160136010</v>
      </c>
      <c r="B1588" t="str">
        <f>"1578729696002566"</f>
        <v>1578729696002566</v>
      </c>
      <c r="C1588" t="s">
        <v>37</v>
      </c>
      <c r="D1588">
        <v>5.0642069999999997</v>
      </c>
      <c r="E1588">
        <v>0.53769060000000002</v>
      </c>
      <c r="F1588" t="s">
        <v>42</v>
      </c>
      <c r="G1588">
        <v>-353.85680000000002</v>
      </c>
      <c r="H1588">
        <v>1.0380229999999999</v>
      </c>
      <c r="I1588">
        <v>285.28149999999999</v>
      </c>
      <c r="J1588">
        <v>-353.4665</v>
      </c>
      <c r="K1588">
        <v>1.103148</v>
      </c>
      <c r="L1588">
        <v>285.25650000000002</v>
      </c>
      <c r="M1588">
        <v>-0.99843230000000005</v>
      </c>
      <c r="N1588">
        <v>0</v>
      </c>
      <c r="O1588">
        <v>-5.563154E-2</v>
      </c>
      <c r="P1588">
        <v>-0.99590869999999998</v>
      </c>
      <c r="Q1588">
        <v>1.7912939999999999E-2</v>
      </c>
      <c r="R1588">
        <v>-8.8575269999999998E-2</v>
      </c>
      <c r="S1588">
        <v>-3.0187680000000001</v>
      </c>
      <c r="T1588">
        <v>-0.26114510000000002</v>
      </c>
      <c r="U1588">
        <v>1.8676760000000001E-2</v>
      </c>
      <c r="V1588">
        <v>-3.3028080000000001E-2</v>
      </c>
      <c r="W1588">
        <v>2.4101129999999998E-2</v>
      </c>
      <c r="X1588">
        <v>0.99916380000000005</v>
      </c>
      <c r="Y1588">
        <v>6.1371870000000002E-2</v>
      </c>
      <c r="Z1588">
        <v>7.451526E-3</v>
      </c>
      <c r="AA1588">
        <v>0.99808719999999995</v>
      </c>
      <c r="AB1588">
        <v>35</v>
      </c>
      <c r="AC1588">
        <v>-0.39030000000002402</v>
      </c>
      <c r="AD1588">
        <v>-6.5125000000000099E-2</v>
      </c>
      <c r="AE1588">
        <v>2.49999999999772E-2</v>
      </c>
      <c r="AF1588">
        <v>4.5415403077715903E-2</v>
      </c>
      <c r="AG1588">
        <v>-6.5125000000000099E-2</v>
      </c>
      <c r="AH1588">
        <v>0.37782826873015601</v>
      </c>
      <c r="AI1588">
        <v>99.711226243789199</v>
      </c>
      <c r="AJ1588">
        <v>83.1458638209849</v>
      </c>
      <c r="AK1588">
        <v>0.386080335051319</v>
      </c>
    </row>
    <row r="1589" spans="1:37" x14ac:dyDescent="0.2">
      <c r="A1589" t="str">
        <f>"20200111160136031"</f>
        <v>20200111160136031</v>
      </c>
      <c r="B1589" t="str">
        <f>"1578729696023062"</f>
        <v>1578729696023062</v>
      </c>
      <c r="C1589" t="s">
        <v>37</v>
      </c>
      <c r="D1589">
        <v>5.0216969999999996</v>
      </c>
      <c r="E1589">
        <v>0.53790899999999997</v>
      </c>
      <c r="F1589" t="s">
        <v>42</v>
      </c>
      <c r="G1589">
        <v>-354.48309999999998</v>
      </c>
      <c r="H1589">
        <v>1.0144469999999901</v>
      </c>
      <c r="I1589">
        <v>285.26319999999998</v>
      </c>
      <c r="J1589">
        <v>-353.81389999999999</v>
      </c>
      <c r="K1589">
        <v>1.103008</v>
      </c>
      <c r="L1589">
        <v>285.23759999999999</v>
      </c>
      <c r="M1589">
        <v>-0.99845910000000004</v>
      </c>
      <c r="N1589">
        <v>0</v>
      </c>
      <c r="O1589">
        <v>-5.5146380000000002E-2</v>
      </c>
      <c r="P1589">
        <v>-0.9958998</v>
      </c>
      <c r="Q1589">
        <v>1.794275E-2</v>
      </c>
      <c r="R1589">
        <v>-8.8667499999999996E-2</v>
      </c>
      <c r="S1589">
        <v>-3.0187680000000001</v>
      </c>
      <c r="T1589">
        <v>-0.26339600000000002</v>
      </c>
      <c r="U1589">
        <v>1.9622799999999999E-2</v>
      </c>
      <c r="V1589">
        <v>-3.3597849999999999E-2</v>
      </c>
      <c r="W1589">
        <v>2.415786E-2</v>
      </c>
      <c r="X1589">
        <v>0.99914340000000001</v>
      </c>
      <c r="Y1589">
        <v>6.1194619999999998E-2</v>
      </c>
      <c r="Z1589">
        <v>7.4655889999999999E-3</v>
      </c>
      <c r="AA1589">
        <v>0.99809799999999904</v>
      </c>
      <c r="AB1589">
        <v>36</v>
      </c>
      <c r="AC1589">
        <v>-0.66919999999998903</v>
      </c>
      <c r="AD1589">
        <v>-8.8561000000000098E-2</v>
      </c>
      <c r="AE1589">
        <v>2.5599999999997101E-2</v>
      </c>
      <c r="AF1589">
        <v>6.1392087071325603E-2</v>
      </c>
      <c r="AG1589">
        <v>-8.8561000000000098E-2</v>
      </c>
      <c r="AH1589">
        <v>0.65530984808514503</v>
      </c>
      <c r="AI1589">
        <v>97.663379085303106</v>
      </c>
      <c r="AJ1589">
        <v>84.647920152073297</v>
      </c>
      <c r="AK1589">
        <v>0.66411071070518701</v>
      </c>
    </row>
    <row r="1590" spans="1:37" x14ac:dyDescent="0.2">
      <c r="A1590" t="str">
        <f>"20200111160136054"</f>
        <v>20200111160136054</v>
      </c>
      <c r="B1590" t="str">
        <f>"1578729696042582"</f>
        <v>1578729696042582</v>
      </c>
      <c r="C1590" t="s">
        <v>37</v>
      </c>
      <c r="D1590">
        <v>5.2729039999999996</v>
      </c>
      <c r="E1590">
        <v>0.53772580000000003</v>
      </c>
      <c r="F1590" t="s">
        <v>42</v>
      </c>
      <c r="G1590">
        <v>-354.80369999999999</v>
      </c>
      <c r="H1590">
        <v>1.0164120000000001</v>
      </c>
      <c r="I1590">
        <v>285.24459999999999</v>
      </c>
      <c r="J1590">
        <v>-354.16829999999999</v>
      </c>
      <c r="K1590">
        <v>1.1028830000000001</v>
      </c>
      <c r="L1590">
        <v>285.21850000000001</v>
      </c>
      <c r="M1590">
        <v>-0.99849239999999995</v>
      </c>
      <c r="N1590">
        <v>0</v>
      </c>
      <c r="O1590">
        <v>-5.4540859999999997E-2</v>
      </c>
      <c r="P1590">
        <v>-0.99588149999999998</v>
      </c>
      <c r="Q1590">
        <v>1.834883E-2</v>
      </c>
      <c r="R1590">
        <v>-8.8789660000000006E-2</v>
      </c>
      <c r="S1590">
        <v>-3.0189509999999999</v>
      </c>
      <c r="T1590">
        <v>-0.26422109999999999</v>
      </c>
      <c r="U1590">
        <v>2.087402E-2</v>
      </c>
      <c r="V1590">
        <v>-3.4319259999999997E-2</v>
      </c>
      <c r="W1590">
        <v>2.459165E-2</v>
      </c>
      <c r="X1590">
        <v>0.99910829999999995</v>
      </c>
      <c r="Y1590">
        <v>6.1002920000000002E-2</v>
      </c>
      <c r="Z1590">
        <v>7.4272230000000002E-3</v>
      </c>
      <c r="AA1590">
        <v>0.99810989999999999</v>
      </c>
      <c r="AB1590">
        <v>36</v>
      </c>
      <c r="AC1590">
        <v>-0.63540000000000396</v>
      </c>
      <c r="AD1590">
        <v>-8.6470999999999895E-2</v>
      </c>
      <c r="AE1590">
        <v>2.6099999999985302E-2</v>
      </c>
      <c r="AF1590">
        <v>5.9614852993726701E-2</v>
      </c>
      <c r="AG1590">
        <v>-8.6470999999999895E-2</v>
      </c>
      <c r="AH1590">
        <v>0.62153899251938205</v>
      </c>
      <c r="AI1590">
        <v>97.884652182973198</v>
      </c>
      <c r="AJ1590">
        <v>84.5212406949816</v>
      </c>
      <c r="AK1590">
        <v>0.63035060383922203</v>
      </c>
    </row>
    <row r="1591" spans="1:37" x14ac:dyDescent="0.2">
      <c r="A1591" t="str">
        <f>"20200111160136076"</f>
        <v>20200111160136076</v>
      </c>
      <c r="B1591" t="str">
        <f>"1578729696072838"</f>
        <v>1578729696072838</v>
      </c>
      <c r="C1591" t="s">
        <v>37</v>
      </c>
      <c r="D1591">
        <v>5.0761900000000004</v>
      </c>
      <c r="E1591">
        <v>0.5378925</v>
      </c>
      <c r="F1591" t="s">
        <v>42</v>
      </c>
      <c r="G1591">
        <v>-355.12560000000002</v>
      </c>
      <c r="H1591">
        <v>1.0192459999999901</v>
      </c>
      <c r="I1591">
        <v>285.22449999999998</v>
      </c>
      <c r="J1591">
        <v>-354.5326</v>
      </c>
      <c r="K1591">
        <v>1.1027769999999999</v>
      </c>
      <c r="L1591">
        <v>285.19920000000002</v>
      </c>
      <c r="M1591">
        <v>-0.99853099999999995</v>
      </c>
      <c r="N1591">
        <v>0</v>
      </c>
      <c r="O1591">
        <v>-5.3823919999999997E-2</v>
      </c>
      <c r="P1591">
        <v>-0.99591640000000003</v>
      </c>
      <c r="Q1591">
        <v>1.8320340000000001E-2</v>
      </c>
      <c r="R1591">
        <v>-8.8403819999999994E-2</v>
      </c>
      <c r="S1591">
        <v>-3.01892099999999</v>
      </c>
      <c r="T1591">
        <v>-0.26372869999999998</v>
      </c>
      <c r="U1591">
        <v>1.8798829999999999E-2</v>
      </c>
      <c r="V1591">
        <v>-3.4643220000000002E-2</v>
      </c>
      <c r="W1591">
        <v>2.4594040000000001E-2</v>
      </c>
      <c r="X1591">
        <v>0.99909709999999996</v>
      </c>
      <c r="Y1591">
        <v>5.9609889999999999E-2</v>
      </c>
      <c r="Z1591">
        <v>7.2903259999999998E-3</v>
      </c>
      <c r="AA1591">
        <v>0.998195099999999</v>
      </c>
      <c r="AB1591">
        <v>36</v>
      </c>
      <c r="AC1591">
        <v>-0.59300000000001696</v>
      </c>
      <c r="AD1591">
        <v>-8.3531000000000202E-2</v>
      </c>
      <c r="AE1591">
        <v>2.52999999999588E-2</v>
      </c>
      <c r="AF1591">
        <v>5.6070988537381301E-2</v>
      </c>
      <c r="AG1591">
        <v>-8.3531000000000202E-2</v>
      </c>
      <c r="AH1591">
        <v>0.57930491020567998</v>
      </c>
      <c r="AI1591">
        <v>98.167377769018302</v>
      </c>
      <c r="AJ1591">
        <v>84.471556115211897</v>
      </c>
      <c r="AK1591">
        <v>0.58797581812942801</v>
      </c>
    </row>
    <row r="1592" spans="1:37" x14ac:dyDescent="0.2">
      <c r="A1592" t="str">
        <f>"20200111160136100"</f>
        <v>20200111160136100</v>
      </c>
      <c r="B1592" t="str">
        <f>"1578729696092358"</f>
        <v>1578729696092358</v>
      </c>
      <c r="C1592" t="s">
        <v>37</v>
      </c>
      <c r="D1592">
        <v>5.2338969999999998</v>
      </c>
      <c r="E1592">
        <v>0.53799680000000005</v>
      </c>
      <c r="F1592" t="s">
        <v>42</v>
      </c>
      <c r="G1592">
        <v>-355.44850000000002</v>
      </c>
      <c r="H1592">
        <v>1.0223789999999999</v>
      </c>
      <c r="I1592">
        <v>285.20589999999999</v>
      </c>
      <c r="J1592">
        <v>-354.90750000000003</v>
      </c>
      <c r="K1592">
        <v>1.102684</v>
      </c>
      <c r="L1592">
        <v>285.17970000000003</v>
      </c>
      <c r="M1592">
        <v>-0.99857430000000003</v>
      </c>
      <c r="N1592">
        <v>0</v>
      </c>
      <c r="O1592">
        <v>-5.3012110000000001E-2</v>
      </c>
      <c r="P1592">
        <v>-0.99606170000000005</v>
      </c>
      <c r="Q1592">
        <v>1.7654759999999999E-2</v>
      </c>
      <c r="R1592">
        <v>-8.6888770000000004E-2</v>
      </c>
      <c r="S1592">
        <v>-3.019012</v>
      </c>
      <c r="T1592">
        <v>-0.2650959</v>
      </c>
      <c r="U1592">
        <v>2.0690920000000002E-2</v>
      </c>
      <c r="V1592">
        <v>-3.3930080000000001E-2</v>
      </c>
      <c r="W1592">
        <v>2.3960510000000001E-2</v>
      </c>
      <c r="X1592">
        <v>0.99913689999999999</v>
      </c>
      <c r="Y1592">
        <v>5.9423129999999998E-2</v>
      </c>
      <c r="Z1592">
        <v>7.2484999999999997E-3</v>
      </c>
      <c r="AA1592">
        <v>0.99820659999999894</v>
      </c>
      <c r="AB1592">
        <v>36</v>
      </c>
      <c r="AC1592">
        <v>-0.54099999999999604</v>
      </c>
      <c r="AD1592">
        <v>-8.0304999999999793E-2</v>
      </c>
      <c r="AE1592">
        <v>2.61999999999602E-2</v>
      </c>
      <c r="AF1592">
        <v>5.3663619770557898E-2</v>
      </c>
      <c r="AG1592">
        <v>-8.0304999999999793E-2</v>
      </c>
      <c r="AH1592">
        <v>0.52725991997731703</v>
      </c>
      <c r="AI1592">
        <v>98.616116064874106</v>
      </c>
      <c r="AJ1592">
        <v>84.188544286875995</v>
      </c>
      <c r="AK1592">
        <v>0.53603330150874495</v>
      </c>
    </row>
    <row r="1593" spans="1:37" x14ac:dyDescent="0.2">
      <c r="A1593" t="str">
        <f>"20200111160136121"</f>
        <v>20200111160136121</v>
      </c>
      <c r="B1593" t="str">
        <f>"1578729696112854"</f>
        <v>1578729696112854</v>
      </c>
      <c r="C1593" t="s">
        <v>37</v>
      </c>
      <c r="D1593">
        <v>5.0749219999999999</v>
      </c>
      <c r="E1593">
        <v>0.53806580000000004</v>
      </c>
      <c r="F1593" t="s">
        <v>42</v>
      </c>
      <c r="G1593">
        <v>-355.77249999999998</v>
      </c>
      <c r="H1593">
        <v>1.0258399999999901</v>
      </c>
      <c r="I1593">
        <v>285.18720000000002</v>
      </c>
      <c r="J1593">
        <v>-355.2586</v>
      </c>
      <c r="K1593">
        <v>1.1026119999999999</v>
      </c>
      <c r="L1593">
        <v>285.1617</v>
      </c>
      <c r="M1593">
        <v>-0.99861659999999997</v>
      </c>
      <c r="N1593">
        <v>0</v>
      </c>
      <c r="O1593">
        <v>-5.2206759999999998E-2</v>
      </c>
      <c r="P1593">
        <v>-0.99624380000000001</v>
      </c>
      <c r="Q1593">
        <v>1.6665799999999901E-2</v>
      </c>
      <c r="R1593">
        <v>-8.4974919999999995E-2</v>
      </c>
      <c r="S1593">
        <v>-3.0188599999999899</v>
      </c>
      <c r="T1593">
        <v>-0.26816380000000001</v>
      </c>
      <c r="U1593">
        <v>2.572632E-2</v>
      </c>
      <c r="V1593">
        <v>-3.2813109999999999E-2</v>
      </c>
      <c r="W1593">
        <v>2.2999950000000002E-2</v>
      </c>
      <c r="X1593">
        <v>0.9991968</v>
      </c>
      <c r="Y1593">
        <v>6.027304E-2</v>
      </c>
      <c r="Z1593">
        <v>7.2987729999999997E-3</v>
      </c>
      <c r="AA1593">
        <v>0.99815520000000002</v>
      </c>
      <c r="AB1593">
        <v>36</v>
      </c>
      <c r="AC1593">
        <v>-0.51389999999997804</v>
      </c>
      <c r="AD1593">
        <v>-7.6772000000000201E-2</v>
      </c>
      <c r="AE1593">
        <v>2.5500000000022199E-2</v>
      </c>
      <c r="AF1593">
        <v>5.1155929894086301E-2</v>
      </c>
      <c r="AG1593">
        <v>-7.6772000000000201E-2</v>
      </c>
      <c r="AH1593">
        <v>0.50072041108148602</v>
      </c>
      <c r="AI1593">
        <v>98.672432801693304</v>
      </c>
      <c r="AJ1593">
        <v>84.166635534738404</v>
      </c>
      <c r="AK1593">
        <v>0.50914811128093296</v>
      </c>
    </row>
    <row r="1594" spans="1:37" x14ac:dyDescent="0.2">
      <c r="A1594" t="str">
        <f>"20200111160136144"</f>
        <v>20200111160136144</v>
      </c>
      <c r="B1594" t="str">
        <f>"1578729696132374"</f>
        <v>1578729696132374</v>
      </c>
      <c r="C1594" t="s">
        <v>37</v>
      </c>
      <c r="D1594">
        <v>5.2406819999999996</v>
      </c>
      <c r="E1594">
        <v>0.53799219999999903</v>
      </c>
      <c r="F1594" t="s">
        <v>42</v>
      </c>
      <c r="G1594">
        <v>-356.09640000000002</v>
      </c>
      <c r="H1594">
        <v>1.027069</v>
      </c>
      <c r="I1594">
        <v>285.17070000000001</v>
      </c>
      <c r="J1594">
        <v>-355.61290000000002</v>
      </c>
      <c r="K1594">
        <v>1.102554</v>
      </c>
      <c r="L1594">
        <v>285.14389999999997</v>
      </c>
      <c r="M1594">
        <v>-0.99865979999999999</v>
      </c>
      <c r="N1594">
        <v>0</v>
      </c>
      <c r="O1594">
        <v>-5.1368469999999999E-2</v>
      </c>
      <c r="P1594">
        <v>-0.99647220000000003</v>
      </c>
      <c r="Q1594">
        <v>1.5858580000000001E-2</v>
      </c>
      <c r="R1594">
        <v>-8.2411970000000001E-2</v>
      </c>
      <c r="S1594">
        <v>-3.0185550000000001</v>
      </c>
      <c r="T1594">
        <v>-0.2721981</v>
      </c>
      <c r="U1594">
        <v>3.1951899999999998E-2</v>
      </c>
      <c r="V1594">
        <v>-3.1078830000000002E-2</v>
      </c>
      <c r="W1594">
        <v>2.221909E-2</v>
      </c>
      <c r="X1594">
        <v>0.99926999999999999</v>
      </c>
      <c r="Y1594">
        <v>6.147946E-2</v>
      </c>
      <c r="Z1594">
        <v>7.387785E-3</v>
      </c>
      <c r="AA1594">
        <v>0.998081</v>
      </c>
      <c r="AB1594">
        <v>36</v>
      </c>
      <c r="AC1594">
        <v>-0.48349999999999199</v>
      </c>
      <c r="AD1594">
        <v>-7.5484999999999997E-2</v>
      </c>
      <c r="AE1594">
        <v>2.6800000000036999E-2</v>
      </c>
      <c r="AF1594">
        <v>5.0377619507724597E-2</v>
      </c>
      <c r="AG1594">
        <v>-7.5484999999999997E-2</v>
      </c>
      <c r="AH1594">
        <v>0.47006268494592901</v>
      </c>
      <c r="AI1594">
        <v>99.071874170344998</v>
      </c>
      <c r="AJ1594">
        <v>83.882838223279407</v>
      </c>
      <c r="AK1594">
        <v>0.47874295561484898</v>
      </c>
    </row>
    <row r="1595" spans="1:37" x14ac:dyDescent="0.2">
      <c r="A1595" t="str">
        <f>"20200111160136165"</f>
        <v>20200111160136165</v>
      </c>
      <c r="B1595" t="str">
        <f>"1578729696162631"</f>
        <v>1578729696162631</v>
      </c>
      <c r="C1595" t="s">
        <v>37</v>
      </c>
      <c r="D1595">
        <v>5.3188339999999998</v>
      </c>
      <c r="E1595">
        <v>0.53796489999999997</v>
      </c>
      <c r="F1595" t="s">
        <v>42</v>
      </c>
      <c r="G1595">
        <v>-356.42149999999998</v>
      </c>
      <c r="H1595">
        <v>1.028932</v>
      </c>
      <c r="I1595">
        <v>285.15449999999998</v>
      </c>
      <c r="J1595">
        <v>-355.96800000000002</v>
      </c>
      <c r="K1595">
        <v>1.1025069999999999</v>
      </c>
      <c r="L1595">
        <v>285.12630000000001</v>
      </c>
      <c r="M1595">
        <v>-0.99870319999999901</v>
      </c>
      <c r="N1595">
        <v>0</v>
      </c>
      <c r="O1595">
        <v>-5.0514629999999998E-2</v>
      </c>
      <c r="P1595">
        <v>-0.99666469999999896</v>
      </c>
      <c r="Q1595">
        <v>1.4956550000000001E-2</v>
      </c>
      <c r="R1595">
        <v>-8.0222409999999994E-2</v>
      </c>
      <c r="S1595">
        <v>-3.01821899999999</v>
      </c>
      <c r="T1595">
        <v>-0.2748157</v>
      </c>
      <c r="U1595">
        <v>3.9428709999999999E-2</v>
      </c>
      <c r="V1595">
        <v>-2.9735669999999999E-2</v>
      </c>
      <c r="W1595">
        <v>2.1342389999999999E-2</v>
      </c>
      <c r="X1595">
        <v>0.99932989999999999</v>
      </c>
      <c r="Y1595">
        <v>6.3087329999999997E-2</v>
      </c>
      <c r="Z1595">
        <v>7.4548590000000003E-3</v>
      </c>
      <c r="AA1595">
        <v>0.99798019999999998</v>
      </c>
      <c r="AB1595">
        <v>36</v>
      </c>
      <c r="AC1595">
        <v>-0.45349999999996199</v>
      </c>
      <c r="AD1595">
        <v>-7.3574999999999904E-2</v>
      </c>
      <c r="AE1595">
        <v>2.8199999999969801E-2</v>
      </c>
      <c r="AF1595">
        <v>4.9767934415349199E-2</v>
      </c>
      <c r="AG1595">
        <v>-7.3574999999999904E-2</v>
      </c>
      <c r="AH1595">
        <v>0.43996076448632798</v>
      </c>
      <c r="AI1595">
        <v>99.434690474658893</v>
      </c>
      <c r="AJ1595">
        <v>83.546191219864497</v>
      </c>
      <c r="AK1595">
        <v>0.44883805788765802</v>
      </c>
    </row>
    <row r="1596" spans="1:37" x14ac:dyDescent="0.2">
      <c r="A1596" t="str">
        <f>"20200111160136188"</f>
        <v>20200111160136188</v>
      </c>
      <c r="B1596" t="str">
        <f>"1578729696183126"</f>
        <v>1578729696183126</v>
      </c>
      <c r="C1596" t="s">
        <v>37</v>
      </c>
      <c r="D1596">
        <v>5.1170580000000001</v>
      </c>
      <c r="E1596">
        <v>0.53808459999999902</v>
      </c>
      <c r="F1596" t="s">
        <v>42</v>
      </c>
      <c r="G1596">
        <v>-356.7473</v>
      </c>
      <c r="H1596">
        <v>1.0305819999999899</v>
      </c>
      <c r="I1596">
        <v>285.1386</v>
      </c>
      <c r="J1596">
        <v>-356.34249999999997</v>
      </c>
      <c r="K1596">
        <v>1.1024670000000001</v>
      </c>
      <c r="L1596">
        <v>285.10809999999998</v>
      </c>
      <c r="M1596">
        <v>-0.99874850000000004</v>
      </c>
      <c r="N1596">
        <v>0</v>
      </c>
      <c r="O1596">
        <v>-4.9608979999999997E-2</v>
      </c>
      <c r="P1596">
        <v>-0.99677769999999999</v>
      </c>
      <c r="Q1596">
        <v>1.4054530000000001E-2</v>
      </c>
      <c r="R1596">
        <v>-7.8974959999999997E-2</v>
      </c>
      <c r="S1596">
        <v>-3.017944</v>
      </c>
      <c r="T1596">
        <v>-0.2786669</v>
      </c>
      <c r="U1596">
        <v>4.6081539999999997E-2</v>
      </c>
      <c r="V1596">
        <v>-2.9389780000000001E-2</v>
      </c>
      <c r="W1596">
        <v>2.046806E-2</v>
      </c>
      <c r="X1596">
        <v>0.99935839999999998</v>
      </c>
      <c r="Y1596">
        <v>6.4368079999999994E-2</v>
      </c>
      <c r="Z1596">
        <v>7.5351389999999997E-3</v>
      </c>
      <c r="AA1596">
        <v>0.99789779999999995</v>
      </c>
      <c r="AB1596">
        <v>36</v>
      </c>
      <c r="AC1596">
        <v>-0.40480000000002198</v>
      </c>
      <c r="AD1596">
        <v>-7.1885000000000199E-2</v>
      </c>
      <c r="AE1596">
        <v>3.05000000000177E-2</v>
      </c>
      <c r="AF1596">
        <v>4.9007817855884803E-2</v>
      </c>
      <c r="AG1596">
        <v>-7.1885000000000199E-2</v>
      </c>
      <c r="AH1596">
        <v>0.39054215048351698</v>
      </c>
      <c r="AI1596">
        <v>100.34999342332701</v>
      </c>
      <c r="AJ1596">
        <v>82.8475324731222</v>
      </c>
      <c r="AK1596">
        <v>0.400115471758198</v>
      </c>
    </row>
    <row r="1597" spans="1:37" x14ac:dyDescent="0.2">
      <c r="A1597" t="str">
        <f>"20200111160136211"</f>
        <v>20200111160136211</v>
      </c>
      <c r="B1597" t="str">
        <f>"1578729696203153"</f>
        <v>1578729696203153</v>
      </c>
      <c r="C1597" t="s">
        <v>37</v>
      </c>
      <c r="D1597">
        <v>5.0951909999999998</v>
      </c>
      <c r="E1597">
        <v>0.55834729999999999</v>
      </c>
      <c r="F1597" t="s">
        <v>42</v>
      </c>
      <c r="G1597">
        <v>-357.07499999999999</v>
      </c>
      <c r="H1597">
        <v>1.034446</v>
      </c>
      <c r="I1597">
        <v>285.12060000000002</v>
      </c>
      <c r="J1597">
        <v>-356.71730000000002</v>
      </c>
      <c r="K1597">
        <v>1.102436</v>
      </c>
      <c r="L1597">
        <v>285.09019999999998</v>
      </c>
      <c r="M1597">
        <v>-0.99879289999999998</v>
      </c>
      <c r="N1597">
        <v>0</v>
      </c>
      <c r="O1597">
        <v>-4.8701220000000003E-2</v>
      </c>
      <c r="P1597">
        <v>-0.99681399999999998</v>
      </c>
      <c r="Q1597">
        <v>1.347487E-2</v>
      </c>
      <c r="R1597">
        <v>-7.8615320000000002E-2</v>
      </c>
      <c r="S1597">
        <v>-3.0177</v>
      </c>
      <c r="T1597">
        <v>-0.2803155</v>
      </c>
      <c r="U1597">
        <v>5.1269530000000001E-2</v>
      </c>
      <c r="V1597">
        <v>-2.9936689999999998E-2</v>
      </c>
      <c r="W1597">
        <v>1.9920770000000001E-2</v>
      </c>
      <c r="X1597">
        <v>0.9993533</v>
      </c>
      <c r="Y1597">
        <v>6.517212E-2</v>
      </c>
      <c r="Z1597">
        <v>7.5332690000000004E-3</v>
      </c>
      <c r="AA1597">
        <v>0.9978456</v>
      </c>
      <c r="AB1597">
        <v>36</v>
      </c>
      <c r="AC1597">
        <v>-0.35769999999996499</v>
      </c>
      <c r="AD1597">
        <v>-6.7989999999999995E-2</v>
      </c>
      <c r="AE1597">
        <v>3.0400000000042799E-2</v>
      </c>
      <c r="AF1597">
        <v>4.6130042061668999E-2</v>
      </c>
      <c r="AG1597">
        <v>-6.7989999999999995E-2</v>
      </c>
      <c r="AH1597">
        <v>0.34347468322956998</v>
      </c>
      <c r="AI1597">
        <v>101.099667713651</v>
      </c>
      <c r="AJ1597">
        <v>82.3507169521544</v>
      </c>
      <c r="AK1597">
        <v>0.35316494574103002</v>
      </c>
    </row>
    <row r="1598" spans="1:37" x14ac:dyDescent="0.2">
      <c r="A1598" t="str">
        <f>"20200111160136232"</f>
        <v>20200111160136232</v>
      </c>
      <c r="B1598" t="str">
        <f>"1578729696222674"</f>
        <v>1578729696222674</v>
      </c>
      <c r="C1598" t="s">
        <v>37</v>
      </c>
      <c r="D1598">
        <v>5.2082110000000004</v>
      </c>
      <c r="E1598">
        <v>0.56111169999999899</v>
      </c>
      <c r="F1598" t="s">
        <v>42</v>
      </c>
      <c r="G1598">
        <v>-357.72820000000002</v>
      </c>
      <c r="H1598">
        <v>1.0242579999999999</v>
      </c>
      <c r="I1598">
        <v>285.16239999999999</v>
      </c>
      <c r="J1598">
        <v>-357.0598</v>
      </c>
      <c r="K1598">
        <v>1.102411</v>
      </c>
      <c r="L1598">
        <v>285.07420000000002</v>
      </c>
      <c r="M1598">
        <v>-0.99883279999999997</v>
      </c>
      <c r="N1598">
        <v>0</v>
      </c>
      <c r="O1598">
        <v>-4.7873730000000003E-2</v>
      </c>
      <c r="P1598">
        <v>-0.99681500000000001</v>
      </c>
      <c r="Q1598">
        <v>1.341171E-2</v>
      </c>
      <c r="R1598">
        <v>-7.8613160000000001E-2</v>
      </c>
      <c r="S1598">
        <v>-3.0298159999999998</v>
      </c>
      <c r="T1598">
        <v>-0.234335399999999</v>
      </c>
      <c r="U1598">
        <v>0.21615599999999999</v>
      </c>
      <c r="V1598">
        <v>-3.0762049999999999E-2</v>
      </c>
      <c r="W1598">
        <v>1.9889299999999999E-2</v>
      </c>
      <c r="X1598">
        <v>0.99932889999999996</v>
      </c>
      <c r="Y1598">
        <v>0.118339599999999</v>
      </c>
      <c r="Z1598">
        <v>8.2568809999999902E-3</v>
      </c>
      <c r="AA1598">
        <v>0.99293889999999996</v>
      </c>
      <c r="AB1598">
        <v>37</v>
      </c>
      <c r="AC1598">
        <v>-0.66840000000001898</v>
      </c>
      <c r="AD1598">
        <v>-7.8153000000000097E-2</v>
      </c>
      <c r="AE1598">
        <v>8.8199999999971995E-2</v>
      </c>
      <c r="AF1598">
        <v>0.11850589148440099</v>
      </c>
      <c r="AG1598">
        <v>-7.8153000000000097E-2</v>
      </c>
      <c r="AH1598">
        <v>0.65461458751435297</v>
      </c>
      <c r="AI1598">
        <v>96.700299535842206</v>
      </c>
      <c r="AJ1598">
        <v>79.738788150132095</v>
      </c>
      <c r="AK1598">
        <v>0.66982967679261496</v>
      </c>
    </row>
    <row r="1599" spans="1:37" x14ac:dyDescent="0.2">
      <c r="A1599" t="str">
        <f>"20200111160136255"</f>
        <v>20200111160136255</v>
      </c>
      <c r="B1599" t="str">
        <f>"1578729696243171"</f>
        <v>1578729696243171</v>
      </c>
      <c r="C1599" t="s">
        <v>37</v>
      </c>
      <c r="D1599">
        <v>5.1321969999999997</v>
      </c>
      <c r="E1599">
        <v>0.56220360000000003</v>
      </c>
      <c r="F1599" t="s">
        <v>42</v>
      </c>
      <c r="G1599">
        <v>-358.05869999999999</v>
      </c>
      <c r="H1599">
        <v>1.028205</v>
      </c>
      <c r="I1599">
        <v>285.15300000000002</v>
      </c>
      <c r="J1599">
        <v>-357.4307</v>
      </c>
      <c r="K1599">
        <v>1.1023879999999999</v>
      </c>
      <c r="L1599">
        <v>285.05709999999999</v>
      </c>
      <c r="M1599">
        <v>-0.99887519999999996</v>
      </c>
      <c r="N1599">
        <v>0</v>
      </c>
      <c r="O1599">
        <v>-4.6977709999999999E-2</v>
      </c>
      <c r="P1599">
        <v>-0.99681409999999904</v>
      </c>
      <c r="Q1599">
        <v>1.371616E-2</v>
      </c>
      <c r="R1599">
        <v>-7.8572729999999993E-2</v>
      </c>
      <c r="S1599">
        <v>-3.0314329999999998</v>
      </c>
      <c r="T1599">
        <v>-0.2253097</v>
      </c>
      <c r="U1599">
        <v>0.2382813</v>
      </c>
      <c r="V1599">
        <v>-3.1616209999999999E-2</v>
      </c>
      <c r="W1599">
        <v>2.0228739999999999E-2</v>
      </c>
      <c r="X1599">
        <v>0.99929539999999994</v>
      </c>
      <c r="Y1599">
        <v>0.12463869999999901</v>
      </c>
      <c r="Z1599">
        <v>8.1005319999999902E-3</v>
      </c>
      <c r="AA1599">
        <v>0.99216909999999903</v>
      </c>
      <c r="AB1599">
        <v>37</v>
      </c>
      <c r="AC1599">
        <v>-0.62799999999998501</v>
      </c>
      <c r="AD1599">
        <v>-7.4182999999999805E-2</v>
      </c>
      <c r="AE1599">
        <v>9.5900000000028698E-2</v>
      </c>
      <c r="AF1599">
        <v>0.12361120057684701</v>
      </c>
      <c r="AG1599">
        <v>-7.4182999999999805E-2</v>
      </c>
      <c r="AH1599">
        <v>0.61442325714345403</v>
      </c>
      <c r="AI1599">
        <v>96.750372129398102</v>
      </c>
      <c r="AJ1599">
        <v>78.624936531478397</v>
      </c>
      <c r="AK1599">
        <v>0.63110917067954297</v>
      </c>
    </row>
    <row r="1600" spans="1:37" x14ac:dyDescent="0.2">
      <c r="A1600" t="str">
        <f>"20200111160136277"</f>
        <v>20200111160136277</v>
      </c>
      <c r="B1600" t="str">
        <f>"1578729696272450"</f>
        <v>1578729696272450</v>
      </c>
      <c r="C1600" t="s">
        <v>37</v>
      </c>
      <c r="D1600">
        <v>5.127332</v>
      </c>
      <c r="E1600">
        <v>0.56279250000000003</v>
      </c>
      <c r="F1600" t="s">
        <v>42</v>
      </c>
      <c r="G1600">
        <v>-358.3897</v>
      </c>
      <c r="H1600">
        <v>1.0324199999999999</v>
      </c>
      <c r="I1600">
        <v>285.13549999999998</v>
      </c>
      <c r="J1600">
        <v>-357.8021</v>
      </c>
      <c r="K1600">
        <v>1.102373</v>
      </c>
      <c r="L1600">
        <v>285.04039999999998</v>
      </c>
      <c r="M1600">
        <v>-0.99891669999999999</v>
      </c>
      <c r="N1600">
        <v>0</v>
      </c>
      <c r="O1600">
        <v>-4.6081839999999999E-2</v>
      </c>
      <c r="P1600">
        <v>-0.99683169999999899</v>
      </c>
      <c r="Q1600">
        <v>1.3657620000000001E-2</v>
      </c>
      <c r="R1600">
        <v>-7.8358419999999998E-2</v>
      </c>
      <c r="S1600">
        <v>-3.0321349999999998</v>
      </c>
      <c r="T1600">
        <v>-0.22126199999999999</v>
      </c>
      <c r="U1600">
        <v>0.2473755</v>
      </c>
      <c r="V1600">
        <v>-3.229667E-2</v>
      </c>
      <c r="W1600">
        <v>2.0205379999999998E-2</v>
      </c>
      <c r="X1600">
        <v>0.99927410000000005</v>
      </c>
      <c r="Y1600">
        <v>0.12670149999999999</v>
      </c>
      <c r="Z1600">
        <v>7.9625249999999998E-3</v>
      </c>
      <c r="AA1600">
        <v>0.99190889999999998</v>
      </c>
      <c r="AB1600">
        <v>37</v>
      </c>
      <c r="AC1600">
        <v>-0.587600000000009</v>
      </c>
      <c r="AD1600">
        <v>-6.9952999999999904E-2</v>
      </c>
      <c r="AE1600">
        <v>9.51000000000021E-2</v>
      </c>
      <c r="AF1600">
        <v>0.120414204307105</v>
      </c>
      <c r="AG1600">
        <v>-6.9952999999999904E-2</v>
      </c>
      <c r="AH1600">
        <v>0.57465678589396996</v>
      </c>
      <c r="AI1600">
        <v>96.794336289650403</v>
      </c>
      <c r="AJ1600">
        <v>78.165406712537902</v>
      </c>
      <c r="AK1600">
        <v>0.59128962817040998</v>
      </c>
    </row>
    <row r="1601" spans="1:37" x14ac:dyDescent="0.2">
      <c r="A1601" t="str">
        <f>"20200111160136300"</f>
        <v>20200111160136300</v>
      </c>
      <c r="B1601" t="str">
        <f>"1578729696292946"</f>
        <v>1578729696292946</v>
      </c>
      <c r="C1601" t="s">
        <v>37</v>
      </c>
      <c r="D1601">
        <v>5.2168099999999997</v>
      </c>
      <c r="E1601">
        <v>0.56311889999999998</v>
      </c>
      <c r="F1601" t="s">
        <v>42</v>
      </c>
      <c r="G1601">
        <v>-358.72160000000002</v>
      </c>
      <c r="H1601">
        <v>1.0368629999999901</v>
      </c>
      <c r="I1601">
        <v>285.1173</v>
      </c>
      <c r="J1601">
        <v>-358.18490000000003</v>
      </c>
      <c r="K1601">
        <v>1.1023559999999999</v>
      </c>
      <c r="L1601">
        <v>285.02350000000001</v>
      </c>
      <c r="M1601">
        <v>-0.99895849999999897</v>
      </c>
      <c r="N1601">
        <v>0</v>
      </c>
      <c r="O1601">
        <v>-4.5158209999999997E-2</v>
      </c>
      <c r="P1601">
        <v>-0.99689499999999998</v>
      </c>
      <c r="Q1601">
        <v>1.3103679999999999E-2</v>
      </c>
      <c r="R1601">
        <v>-7.7643119999999996E-2</v>
      </c>
      <c r="S1601">
        <v>-3.03241</v>
      </c>
      <c r="T1601">
        <v>-0.21613779999999899</v>
      </c>
      <c r="U1601">
        <v>0.2528687</v>
      </c>
      <c r="V1601">
        <v>-3.2503799999999999E-2</v>
      </c>
      <c r="W1601">
        <v>1.9691449999999999E-2</v>
      </c>
      <c r="X1601">
        <v>0.99927759999999999</v>
      </c>
      <c r="Y1601">
        <v>0.1275829</v>
      </c>
      <c r="Z1601">
        <v>7.7430210000000001E-3</v>
      </c>
      <c r="AA1601">
        <v>0.99179769999999901</v>
      </c>
      <c r="AB1601">
        <v>37</v>
      </c>
      <c r="AC1601">
        <v>-0.53669999999999596</v>
      </c>
      <c r="AD1601">
        <v>-6.5492999999999996E-2</v>
      </c>
      <c r="AE1601">
        <v>9.3799999999987393E-2</v>
      </c>
      <c r="AF1601">
        <v>0.116261290269533</v>
      </c>
      <c r="AG1601">
        <v>-6.5492999999999996E-2</v>
      </c>
      <c r="AH1601">
        <v>0.52433996277797901</v>
      </c>
      <c r="AI1601">
        <v>96.952547750228604</v>
      </c>
      <c r="AJ1601">
        <v>77.498133680346996</v>
      </c>
      <c r="AK1601">
        <v>0.541053063229614</v>
      </c>
    </row>
    <row r="1602" spans="1:37" x14ac:dyDescent="0.2">
      <c r="A1602" t="str">
        <f>"20200111160136323"</f>
        <v>20200111160136323</v>
      </c>
      <c r="B1602" t="str">
        <f>"1578729696312466"</f>
        <v>1578729696312466</v>
      </c>
      <c r="C1602" t="s">
        <v>37</v>
      </c>
      <c r="D1602">
        <v>5.1641440000000003</v>
      </c>
      <c r="E1602">
        <v>0.56330119999999995</v>
      </c>
      <c r="F1602" t="s">
        <v>42</v>
      </c>
      <c r="G1602">
        <v>-359.05349999999999</v>
      </c>
      <c r="H1602">
        <v>1.0400180000000001</v>
      </c>
      <c r="I1602">
        <v>285.09730000000002</v>
      </c>
      <c r="J1602">
        <v>-358.54759999999999</v>
      </c>
      <c r="K1602">
        <v>1.102349</v>
      </c>
      <c r="L1602">
        <v>285.00790000000001</v>
      </c>
      <c r="M1602">
        <v>-0.99899740000000004</v>
      </c>
      <c r="N1602">
        <v>0</v>
      </c>
      <c r="O1602">
        <v>-4.4283980000000001E-2</v>
      </c>
      <c r="P1602">
        <v>-0.99695230000000001</v>
      </c>
      <c r="Q1602">
        <v>1.281741E-2</v>
      </c>
      <c r="R1602">
        <v>-7.6956060000000007E-2</v>
      </c>
      <c r="S1602">
        <v>-3.0322879999999999</v>
      </c>
      <c r="T1602">
        <v>-0.2175994</v>
      </c>
      <c r="U1602">
        <v>0.25750729999999999</v>
      </c>
      <c r="V1602">
        <v>-3.2688830000000002E-2</v>
      </c>
      <c r="W1602">
        <v>1.9454989999999998E-2</v>
      </c>
      <c r="X1602">
        <v>0.99927619999999895</v>
      </c>
      <c r="Y1602">
        <v>0.12821959999999999</v>
      </c>
      <c r="Z1602">
        <v>7.7553090000000002E-3</v>
      </c>
      <c r="AA1602">
        <v>0.99171549999999997</v>
      </c>
      <c r="AB1602">
        <v>37</v>
      </c>
      <c r="AC1602">
        <v>-0.50589999999999602</v>
      </c>
      <c r="AD1602">
        <v>-6.23309999999999E-2</v>
      </c>
      <c r="AE1602">
        <v>8.9400000000011901E-2</v>
      </c>
      <c r="AF1602">
        <v>0.110095377188178</v>
      </c>
      <c r="AG1602">
        <v>-6.23309999999999E-2</v>
      </c>
      <c r="AH1602">
        <v>0.49417015180340301</v>
      </c>
      <c r="AI1602">
        <v>97.018611324998105</v>
      </c>
      <c r="AJ1602">
        <v>77.4402830006252</v>
      </c>
      <c r="AK1602">
        <v>0.51010811067126305</v>
      </c>
    </row>
    <row r="1603" spans="1:37" x14ac:dyDescent="0.2">
      <c r="A1603" t="str">
        <f>"20200111160136344"</f>
        <v>20200111160136344</v>
      </c>
      <c r="B1603" t="str">
        <f>"1578729696332962"</f>
        <v>1578729696332962</v>
      </c>
      <c r="C1603" t="s">
        <v>37</v>
      </c>
      <c r="D1603">
        <v>5.2639559999999896</v>
      </c>
      <c r="E1603">
        <v>0.56346399999999996</v>
      </c>
      <c r="F1603" t="s">
        <v>42</v>
      </c>
      <c r="G1603">
        <v>-359.38589999999999</v>
      </c>
      <c r="H1603">
        <v>1.04204599999999</v>
      </c>
      <c r="I1603">
        <v>285.08030000000002</v>
      </c>
      <c r="J1603">
        <v>-358.91329999999999</v>
      </c>
      <c r="K1603">
        <v>1.1023430000000001</v>
      </c>
      <c r="L1603">
        <v>284.99239999999998</v>
      </c>
      <c r="M1603">
        <v>-0.99903549999999997</v>
      </c>
      <c r="N1603">
        <v>0</v>
      </c>
      <c r="O1603">
        <v>-4.3402639999999999E-2</v>
      </c>
      <c r="P1603">
        <v>-0.99696969999999996</v>
      </c>
      <c r="Q1603">
        <v>1.3526109999999999E-2</v>
      </c>
      <c r="R1603">
        <v>-7.6604430000000001E-2</v>
      </c>
      <c r="S1603">
        <v>-3.0321349999999998</v>
      </c>
      <c r="T1603">
        <v>-0.21816969999999999</v>
      </c>
      <c r="U1603">
        <v>0.26113890000000001</v>
      </c>
      <c r="V1603">
        <v>-3.3217209999999997E-2</v>
      </c>
      <c r="W1603">
        <v>2.023494E-2</v>
      </c>
      <c r="X1603">
        <v>0.99924329999999995</v>
      </c>
      <c r="Y1603">
        <v>0.12852719999999901</v>
      </c>
      <c r="Z1603">
        <v>7.7234039999999997E-3</v>
      </c>
      <c r="AA1603">
        <v>0.99167590000000005</v>
      </c>
      <c r="AB1603">
        <v>37</v>
      </c>
      <c r="AC1603">
        <v>-0.47259999999999902</v>
      </c>
      <c r="AD1603">
        <v>-6.0297000000000198E-2</v>
      </c>
      <c r="AE1603">
        <v>8.7900000000047301E-2</v>
      </c>
      <c r="AF1603">
        <v>0.106651667706238</v>
      </c>
      <c r="AG1603">
        <v>-6.0297000000000198E-2</v>
      </c>
      <c r="AH1603">
        <v>0.46108482566578701</v>
      </c>
      <c r="AI1603">
        <v>97.260828151868594</v>
      </c>
      <c r="AJ1603">
        <v>76.976189279868507</v>
      </c>
      <c r="AK1603">
        <v>0.47708439808148301</v>
      </c>
    </row>
    <row r="1604" spans="1:37" x14ac:dyDescent="0.2">
      <c r="A1604" t="str">
        <f>"20200111160136368"</f>
        <v>20200111160136368</v>
      </c>
      <c r="B1604" t="str">
        <f>"1578729696363218"</f>
        <v>1578729696363218</v>
      </c>
      <c r="C1604" t="s">
        <v>37</v>
      </c>
      <c r="D1604">
        <v>5.1603289999999999</v>
      </c>
      <c r="E1604">
        <v>0.56379809999999997</v>
      </c>
      <c r="F1604" t="s">
        <v>42</v>
      </c>
      <c r="G1604">
        <v>-359.7201</v>
      </c>
      <c r="H1604">
        <v>1.0454729999999901</v>
      </c>
      <c r="I1604">
        <v>285.06259999999997</v>
      </c>
      <c r="J1604">
        <v>-359.29809999999998</v>
      </c>
      <c r="K1604">
        <v>1.1023459999999901</v>
      </c>
      <c r="L1604">
        <v>284.97649999999999</v>
      </c>
      <c r="M1604">
        <v>-0.99907479999999904</v>
      </c>
      <c r="N1604">
        <v>0</v>
      </c>
      <c r="O1604">
        <v>-4.247621E-2</v>
      </c>
      <c r="P1604">
        <v>-0.99697099999999905</v>
      </c>
      <c r="Q1604">
        <v>1.346409E-2</v>
      </c>
      <c r="R1604">
        <v>-7.6600080000000001E-2</v>
      </c>
      <c r="S1604">
        <v>-3.0322879999999999</v>
      </c>
      <c r="T1604">
        <v>-0.21372359999999899</v>
      </c>
      <c r="U1604">
        <v>0.26367190000000001</v>
      </c>
      <c r="V1604">
        <v>-3.4138670000000003E-2</v>
      </c>
      <c r="W1604">
        <v>2.027928E-2</v>
      </c>
      <c r="X1604">
        <v>0.99921130000000002</v>
      </c>
      <c r="Y1604">
        <v>0.128446</v>
      </c>
      <c r="Z1604">
        <v>7.4977990000000003E-3</v>
      </c>
      <c r="AA1604">
        <v>0.99168809999999996</v>
      </c>
      <c r="AB1604">
        <v>37</v>
      </c>
      <c r="AC1604">
        <v>-0.42200000000002502</v>
      </c>
      <c r="AD1604">
        <v>-5.6872999999999903E-2</v>
      </c>
      <c r="AE1604">
        <v>8.6099999999987603E-2</v>
      </c>
      <c r="AF1604">
        <v>0.10216617179281701</v>
      </c>
      <c r="AG1604">
        <v>-5.6872999999999903E-2</v>
      </c>
      <c r="AH1604">
        <v>0.41079868588239199</v>
      </c>
      <c r="AI1604">
        <v>97.651997036133395</v>
      </c>
      <c r="AJ1604">
        <v>76.0338102714651</v>
      </c>
      <c r="AK1604">
        <v>0.42711593872214498</v>
      </c>
    </row>
    <row r="1605" spans="1:37" x14ac:dyDescent="0.2">
      <c r="A1605" t="str">
        <f>"20200111160136389"</f>
        <v>20200111160136389</v>
      </c>
      <c r="B1605" t="str">
        <f>"1578729696382738"</f>
        <v>1578729696382738</v>
      </c>
      <c r="C1605" t="s">
        <v>37</v>
      </c>
      <c r="D1605">
        <v>5.1540699999999999</v>
      </c>
      <c r="E1605">
        <v>0.57878969999999996</v>
      </c>
      <c r="F1605" t="s">
        <v>42</v>
      </c>
      <c r="G1605">
        <v>-360.05619999999999</v>
      </c>
      <c r="H1605">
        <v>1.0497080000000001</v>
      </c>
      <c r="I1605">
        <v>285.04349999999999</v>
      </c>
      <c r="J1605">
        <v>-359.66250000000002</v>
      </c>
      <c r="K1605">
        <v>1.102352</v>
      </c>
      <c r="L1605">
        <v>284.96179999999998</v>
      </c>
      <c r="M1605">
        <v>-0.99911079999999997</v>
      </c>
      <c r="N1605">
        <v>0</v>
      </c>
      <c r="O1605">
        <v>-4.1599199999999899E-2</v>
      </c>
      <c r="P1605">
        <v>-0.99695299999999998</v>
      </c>
      <c r="Q1605">
        <v>1.306414E-2</v>
      </c>
      <c r="R1605">
        <v>-7.690371E-2</v>
      </c>
      <c r="S1605">
        <v>-3.0324709999999899</v>
      </c>
      <c r="T1605">
        <v>-0.2107137</v>
      </c>
      <c r="U1605">
        <v>0.26666259999999897</v>
      </c>
      <c r="V1605">
        <v>-3.5319990000000002E-2</v>
      </c>
      <c r="W1605">
        <v>2.001611E-2</v>
      </c>
      <c r="X1605">
        <v>0.99917559999999905</v>
      </c>
      <c r="Y1605">
        <v>0.12855469999999999</v>
      </c>
      <c r="Z1605">
        <v>7.3347169999999897E-3</v>
      </c>
      <c r="AA1605">
        <v>0.99167530000000004</v>
      </c>
      <c r="AB1605">
        <v>37</v>
      </c>
      <c r="AC1605">
        <v>-0.39369999999996702</v>
      </c>
      <c r="AD1605">
        <v>-5.2643999999999899E-2</v>
      </c>
      <c r="AE1605">
        <v>8.1700000000012096E-2</v>
      </c>
      <c r="AF1605">
        <v>9.63555600742666E-2</v>
      </c>
      <c r="AG1605">
        <v>-5.2643999999999899E-2</v>
      </c>
      <c r="AH1605">
        <v>0.38338849136912401</v>
      </c>
      <c r="AI1605">
        <v>97.585501933895699</v>
      </c>
      <c r="AJ1605">
        <v>75.8922647297004</v>
      </c>
      <c r="AK1605">
        <v>0.398801354069314</v>
      </c>
    </row>
    <row r="1606" spans="1:37" x14ac:dyDescent="0.2">
      <c r="A1606" t="str">
        <f>"20200111160136412"</f>
        <v>20200111160136412</v>
      </c>
      <c r="B1606" t="str">
        <f>"1578729696403234"</f>
        <v>1578729696403234</v>
      </c>
      <c r="C1606" t="s">
        <v>37</v>
      </c>
      <c r="D1606">
        <v>5.1934659999999999</v>
      </c>
      <c r="E1606">
        <v>0.57896510000000001</v>
      </c>
      <c r="F1606" t="s">
        <v>57</v>
      </c>
      <c r="G1606">
        <v>-375.85840000000002</v>
      </c>
      <c r="H1606" s="1">
        <v>1.5807829999999999E-6</v>
      </c>
      <c r="I1606">
        <v>287.01440000000002</v>
      </c>
      <c r="J1606">
        <v>-360.04020000000003</v>
      </c>
      <c r="K1606">
        <v>1.102373</v>
      </c>
      <c r="L1606">
        <v>284.9468</v>
      </c>
      <c r="M1606">
        <v>-0.9991468</v>
      </c>
      <c r="N1606">
        <v>0</v>
      </c>
      <c r="O1606">
        <v>-4.0691570000000003E-2</v>
      </c>
      <c r="P1606">
        <v>-0.99698790000000004</v>
      </c>
      <c r="Q1606">
        <v>1.247438E-2</v>
      </c>
      <c r="R1606">
        <v>-7.6549859999999997E-2</v>
      </c>
      <c r="S1606">
        <v>-3.0416259999999999</v>
      </c>
      <c r="T1606">
        <v>-0.2070237</v>
      </c>
      <c r="U1606">
        <v>0.38549800000000001</v>
      </c>
      <c r="V1606">
        <v>-3.5872939999999999E-2</v>
      </c>
      <c r="W1606">
        <v>1.9616600000000001E-2</v>
      </c>
      <c r="X1606">
        <v>0.99916380000000005</v>
      </c>
      <c r="Y1606">
        <v>0.16553029999999999</v>
      </c>
      <c r="Z1606">
        <v>8.3611309999999904E-3</v>
      </c>
      <c r="AA1606">
        <v>0.98616930000000003</v>
      </c>
      <c r="AB1606">
        <v>37</v>
      </c>
      <c r="AC1606">
        <v>-15.8181999999999</v>
      </c>
      <c r="AD1606">
        <v>-1.102371419217</v>
      </c>
      <c r="AE1606">
        <v>2.0676000000000201</v>
      </c>
      <c r="AF1606">
        <v>2.6966938363751498</v>
      </c>
      <c r="AG1606">
        <v>-1.102371419217</v>
      </c>
      <c r="AH1606">
        <v>15.6462492691238</v>
      </c>
      <c r="AI1606">
        <v>93.971799318986001</v>
      </c>
      <c r="AJ1606">
        <v>80.220919318925496</v>
      </c>
      <c r="AK1606">
        <v>15.9151656159968</v>
      </c>
    </row>
    <row r="1607" spans="1:37" x14ac:dyDescent="0.2">
      <c r="A1607" t="str">
        <f>"20200111160136433"</f>
        <v>20200111160136433</v>
      </c>
      <c r="B1607" t="str">
        <f>"1578729696422754"</f>
        <v>1578729696422754</v>
      </c>
      <c r="C1607" t="s">
        <v>37</v>
      </c>
      <c r="D1607">
        <v>5.1864349999999897</v>
      </c>
      <c r="E1607">
        <v>0.57944329999999999</v>
      </c>
      <c r="F1607" t="s">
        <v>57</v>
      </c>
      <c r="G1607">
        <v>-376.35419999999999</v>
      </c>
      <c r="H1607" s="1">
        <v>1.8445709999999999E-6</v>
      </c>
      <c r="I1607">
        <v>287.02690000000001</v>
      </c>
      <c r="J1607">
        <v>-360.39580000000001</v>
      </c>
      <c r="K1607">
        <v>1.102398</v>
      </c>
      <c r="L1607">
        <v>284.93310000000002</v>
      </c>
      <c r="M1607">
        <v>-0.99917979999999995</v>
      </c>
      <c r="N1607">
        <v>0</v>
      </c>
      <c r="O1607">
        <v>-3.9837289999999997E-2</v>
      </c>
      <c r="P1607">
        <v>-0.99707610000000002</v>
      </c>
      <c r="Q1607">
        <v>1.204028E-2</v>
      </c>
      <c r="R1607">
        <v>-7.5463760000000005E-2</v>
      </c>
      <c r="S1607">
        <v>-3.0414430000000001</v>
      </c>
      <c r="T1607">
        <v>-0.205516899999999</v>
      </c>
      <c r="U1607">
        <v>0.38778689999999999</v>
      </c>
      <c r="V1607">
        <v>-3.5638690000000001E-2</v>
      </c>
      <c r="W1607">
        <v>1.938871E-2</v>
      </c>
      <c r="X1607">
        <v>0.99917659999999997</v>
      </c>
      <c r="Y1607">
        <v>0.16543389999999999</v>
      </c>
      <c r="Z1607">
        <v>8.2398209999999996E-3</v>
      </c>
      <c r="AA1607">
        <v>0.98618639999999902</v>
      </c>
      <c r="AB1607">
        <v>37</v>
      </c>
      <c r="AC1607">
        <v>-15.9583999999999</v>
      </c>
      <c r="AD1607">
        <v>-1.102396155429</v>
      </c>
      <c r="AE1607">
        <v>2.0937999999999799</v>
      </c>
      <c r="AF1607">
        <v>2.71515662905743</v>
      </c>
      <c r="AG1607">
        <v>-1.102396155429</v>
      </c>
      <c r="AH1607">
        <v>15.788251831413</v>
      </c>
      <c r="AI1607">
        <v>93.936526885047797</v>
      </c>
      <c r="AJ1607">
        <v>80.242108596076804</v>
      </c>
      <c r="AK1607">
        <v>16.057902998085801</v>
      </c>
    </row>
    <row r="1608" spans="1:37" x14ac:dyDescent="0.2">
      <c r="A1608" t="str">
        <f>"20200111160136455"</f>
        <v>20200111160136455</v>
      </c>
      <c r="B1608" t="str">
        <f>"1578729696453011"</f>
        <v>1578729696453011</v>
      </c>
      <c r="C1608" t="s">
        <v>37</v>
      </c>
      <c r="D1608">
        <v>5.1393769999999996</v>
      </c>
      <c r="E1608">
        <v>0.58005319999999905</v>
      </c>
      <c r="F1608" t="s">
        <v>57</v>
      </c>
      <c r="G1608">
        <v>-376.53059999999999</v>
      </c>
      <c r="H1608" s="1">
        <v>1.9384529999999999E-6</v>
      </c>
      <c r="I1608">
        <v>287.02679999999998</v>
      </c>
      <c r="J1608">
        <v>-360.77499999999998</v>
      </c>
      <c r="K1608">
        <v>1.10243</v>
      </c>
      <c r="L1608">
        <v>284.9187</v>
      </c>
      <c r="M1608">
        <v>-0.99921360000000004</v>
      </c>
      <c r="N1608">
        <v>0</v>
      </c>
      <c r="O1608">
        <v>-3.8927400000000001E-2</v>
      </c>
      <c r="P1608">
        <v>-0.99718209999999996</v>
      </c>
      <c r="Q1608">
        <v>1.100373E-2</v>
      </c>
      <c r="R1608">
        <v>-7.4209440000000002E-2</v>
      </c>
      <c r="S1608">
        <v>-3.0411380000000001</v>
      </c>
      <c r="T1608">
        <v>-0.207783</v>
      </c>
      <c r="U1608">
        <v>0.3946228</v>
      </c>
      <c r="V1608">
        <v>-3.5292829999999997E-2</v>
      </c>
      <c r="W1608">
        <v>1.862544E-2</v>
      </c>
      <c r="X1608">
        <v>0.99920339999999996</v>
      </c>
      <c r="Y1608">
        <v>0.166717899999999</v>
      </c>
      <c r="Z1608">
        <v>8.3118979999999999E-3</v>
      </c>
      <c r="AA1608">
        <v>0.9859696</v>
      </c>
      <c r="AB1608">
        <v>37</v>
      </c>
      <c r="AC1608">
        <v>-15.755599999999999</v>
      </c>
      <c r="AD1608">
        <v>-1.1024280615469999</v>
      </c>
      <c r="AE1608">
        <v>2.1080999999999701</v>
      </c>
      <c r="AF1608">
        <v>2.7068248219494002</v>
      </c>
      <c r="AG1608">
        <v>-1.1024280615469999</v>
      </c>
      <c r="AH1608">
        <v>15.5866239428188</v>
      </c>
      <c r="AI1608">
        <v>93.986274394726294</v>
      </c>
      <c r="AJ1608">
        <v>80.148081830254199</v>
      </c>
      <c r="AK1608">
        <v>15.858281564610399</v>
      </c>
    </row>
    <row r="1609" spans="1:37" x14ac:dyDescent="0.2">
      <c r="A1609" t="str">
        <f>"20200111160136479"</f>
        <v>20200111160136479</v>
      </c>
      <c r="B1609" t="str">
        <f>"1578729696472530"</f>
        <v>1578729696472530</v>
      </c>
      <c r="C1609" t="s">
        <v>37</v>
      </c>
      <c r="D1609">
        <v>5.1778309999999896</v>
      </c>
      <c r="E1609">
        <v>0.58000019999999997</v>
      </c>
      <c r="F1609" t="s">
        <v>57</v>
      </c>
      <c r="G1609">
        <v>-376.661</v>
      </c>
      <c r="H1609" s="1">
        <v>2.00785699999999E-6</v>
      </c>
      <c r="I1609">
        <v>287.0258</v>
      </c>
      <c r="J1609">
        <v>-361.15980000000002</v>
      </c>
      <c r="K1609">
        <v>1.1024909999999899</v>
      </c>
      <c r="L1609">
        <v>284.90460000000002</v>
      </c>
      <c r="M1609">
        <v>-0.99924609999999903</v>
      </c>
      <c r="N1609">
        <v>0</v>
      </c>
      <c r="O1609">
        <v>-3.8006249999999998E-2</v>
      </c>
      <c r="P1609">
        <v>-0.99725839999999999</v>
      </c>
      <c r="Q1609">
        <v>8.0183630000000006E-3</v>
      </c>
      <c r="R1609">
        <v>-7.3563959999999998E-2</v>
      </c>
      <c r="S1609">
        <v>-3.0408330000000001</v>
      </c>
      <c r="T1609">
        <v>-0.21102270000000001</v>
      </c>
      <c r="U1609">
        <v>0.40332030000000002</v>
      </c>
      <c r="V1609">
        <v>-3.5571730000000003E-2</v>
      </c>
      <c r="W1609">
        <v>1.6015620000000001E-2</v>
      </c>
      <c r="X1609">
        <v>0.99923879999999998</v>
      </c>
      <c r="Y1609">
        <v>0.168577</v>
      </c>
      <c r="Z1609">
        <v>8.441044E-3</v>
      </c>
      <c r="AA1609">
        <v>0.98565230000000004</v>
      </c>
      <c r="AB1609">
        <v>37</v>
      </c>
      <c r="AC1609">
        <v>-15.5011999999999</v>
      </c>
      <c r="AD1609">
        <v>-1.1024889921429999</v>
      </c>
      <c r="AE1609">
        <v>2.12119999999998</v>
      </c>
      <c r="AF1609">
        <v>2.695444151407</v>
      </c>
      <c r="AG1609">
        <v>-1.1024889921429999</v>
      </c>
      <c r="AH1609">
        <v>15.333241501659799</v>
      </c>
      <c r="AI1609">
        <v>94.050696696621202</v>
      </c>
      <c r="AJ1609">
        <v>80.029792338849603</v>
      </c>
      <c r="AK1609">
        <v>15.6073443000202</v>
      </c>
    </row>
    <row r="1610" spans="1:37" x14ac:dyDescent="0.2">
      <c r="A1610" t="str">
        <f>"20200111160136500"</f>
        <v>20200111160136500</v>
      </c>
      <c r="B1610" t="str">
        <f>"1578729696493026"</f>
        <v>1578729696493026</v>
      </c>
      <c r="C1610" t="s">
        <v>37</v>
      </c>
      <c r="D1610">
        <v>5.3387919999999998</v>
      </c>
      <c r="E1610">
        <v>0.57960389999999995</v>
      </c>
      <c r="F1610" t="s">
        <v>57</v>
      </c>
      <c r="G1610">
        <v>-376.56150000000002</v>
      </c>
      <c r="H1610" s="1">
        <v>1.954933E-6</v>
      </c>
      <c r="I1610">
        <v>286.9579</v>
      </c>
      <c r="J1610">
        <v>-361.52859999999998</v>
      </c>
      <c r="K1610">
        <v>1.102557</v>
      </c>
      <c r="L1610">
        <v>284.89139999999998</v>
      </c>
      <c r="M1610">
        <v>-0.99927509999999997</v>
      </c>
      <c r="N1610">
        <v>0</v>
      </c>
      <c r="O1610">
        <v>-3.7132900000000003E-2</v>
      </c>
      <c r="P1610">
        <v>-0.99726209999999904</v>
      </c>
      <c r="Q1610">
        <v>5.0881320000000004E-3</v>
      </c>
      <c r="R1610">
        <v>-7.377446E-2</v>
      </c>
      <c r="S1610">
        <v>-3.0398860000000001</v>
      </c>
      <c r="T1610">
        <v>-0.2176014</v>
      </c>
      <c r="U1610">
        <v>0.40527340000000001</v>
      </c>
      <c r="V1610">
        <v>-3.6660350000000001E-2</v>
      </c>
      <c r="W1610">
        <v>1.3563520000000001E-2</v>
      </c>
      <c r="X1610">
        <v>0.99923569999999995</v>
      </c>
      <c r="Y1610">
        <v>0.16834959999999999</v>
      </c>
      <c r="Z1610">
        <v>8.6355719999999993E-3</v>
      </c>
      <c r="AA1610">
        <v>0.9856895</v>
      </c>
      <c r="AB1610">
        <v>37</v>
      </c>
      <c r="AC1610">
        <v>-15.0329</v>
      </c>
      <c r="AD1610">
        <v>-1.1025550450670001</v>
      </c>
      <c r="AE1610">
        <v>2.0665000000000102</v>
      </c>
      <c r="AF1610">
        <v>2.60953276067031</v>
      </c>
      <c r="AG1610">
        <v>-1.1025550450670001</v>
      </c>
      <c r="AH1610">
        <v>14.867303282839501</v>
      </c>
      <c r="AI1610">
        <v>94.177642521032297</v>
      </c>
      <c r="AJ1610">
        <v>80.044760002540499</v>
      </c>
      <c r="AK1610">
        <v>15.134794209381999</v>
      </c>
    </row>
    <row r="1611" spans="1:37" x14ac:dyDescent="0.2">
      <c r="A1611" t="str">
        <f>"20200111160136522"</f>
        <v>20200111160136522</v>
      </c>
      <c r="B1611" t="str">
        <f>"1578729696512546"</f>
        <v>1578729696512546</v>
      </c>
      <c r="C1611" t="s">
        <v>37</v>
      </c>
      <c r="D1611">
        <v>5.3233449999999998</v>
      </c>
      <c r="E1611">
        <v>0.57939669999999999</v>
      </c>
      <c r="F1611" t="s">
        <v>42</v>
      </c>
      <c r="G1611">
        <v>-362.39599999999899</v>
      </c>
      <c r="H1611">
        <v>1.0387679999999999</v>
      </c>
      <c r="I1611">
        <v>285.00630000000001</v>
      </c>
      <c r="J1611">
        <v>-361.88709999999998</v>
      </c>
      <c r="K1611">
        <v>1.1026479999999901</v>
      </c>
      <c r="L1611">
        <v>284.87880000000001</v>
      </c>
      <c r="M1611">
        <v>-0.999301199999999</v>
      </c>
      <c r="N1611">
        <v>0</v>
      </c>
      <c r="O1611">
        <v>-3.629404E-2</v>
      </c>
      <c r="P1611">
        <v>-0.9971643</v>
      </c>
      <c r="Q1611">
        <v>2.3190730000000001E-3</v>
      </c>
      <c r="R1611">
        <v>-7.5222120000000003E-2</v>
      </c>
      <c r="S1611">
        <v>-3.0391240000000002</v>
      </c>
      <c r="T1611">
        <v>-0.22352759999999999</v>
      </c>
      <c r="U1611">
        <v>0.40228269999999999</v>
      </c>
      <c r="V1611">
        <v>-3.895411E-2</v>
      </c>
      <c r="W1611">
        <v>1.13545E-2</v>
      </c>
      <c r="X1611">
        <v>0.99917649999999902</v>
      </c>
      <c r="Y1611">
        <v>0.16657939999999999</v>
      </c>
      <c r="Z1611">
        <v>8.7467880000000001E-3</v>
      </c>
      <c r="AA1611">
        <v>0.98598929999999996</v>
      </c>
      <c r="AB1611">
        <v>37</v>
      </c>
      <c r="AC1611">
        <v>-0.50889999999998203</v>
      </c>
      <c r="AD1611">
        <v>-6.3879999999999701E-2</v>
      </c>
      <c r="AE1611">
        <v>0.127499999999997</v>
      </c>
      <c r="AF1611">
        <v>0.14375543973299801</v>
      </c>
      <c r="AG1611">
        <v>-6.3879999999999701E-2</v>
      </c>
      <c r="AH1611">
        <v>0.49657476991895899</v>
      </c>
      <c r="AI1611">
        <v>97.044189635447694</v>
      </c>
      <c r="AJ1611">
        <v>73.854584733951697</v>
      </c>
      <c r="AK1611">
        <v>0.52089613453441397</v>
      </c>
    </row>
    <row r="1612" spans="1:37" x14ac:dyDescent="0.2">
      <c r="A1612" t="str">
        <f>"20200111160136560"</f>
        <v>20200111160136560</v>
      </c>
      <c r="B1612" t="str">
        <f>"1578729696552562"</f>
        <v>1578729696552562</v>
      </c>
      <c r="C1612" t="s">
        <v>37</v>
      </c>
      <c r="D1612">
        <v>5.170534</v>
      </c>
      <c r="E1612">
        <v>0.57993629999999996</v>
      </c>
      <c r="F1612" t="s">
        <v>42</v>
      </c>
      <c r="G1612">
        <v>-362.72989999999999</v>
      </c>
      <c r="H1612">
        <v>1.039674</v>
      </c>
      <c r="I1612">
        <v>284.98939999999999</v>
      </c>
      <c r="J1612">
        <v>-362.50850000000003</v>
      </c>
      <c r="K1612">
        <v>1.1028209999999901</v>
      </c>
      <c r="L1612">
        <v>284.8578</v>
      </c>
      <c r="M1612">
        <v>-0.9993436</v>
      </c>
      <c r="N1612">
        <v>0</v>
      </c>
      <c r="O1612">
        <v>-3.4832540000000002E-2</v>
      </c>
      <c r="P1612">
        <v>-0.99702349999999995</v>
      </c>
      <c r="Q1612">
        <v>2.7830900000000002E-3</v>
      </c>
      <c r="R1612">
        <v>-7.7049549999999994E-2</v>
      </c>
      <c r="S1612">
        <v>-3.0390009999999998</v>
      </c>
      <c r="T1612">
        <v>-0.22723179999999901</v>
      </c>
      <c r="U1612">
        <v>0.39718629999999999</v>
      </c>
      <c r="V1612">
        <v>-4.2242979999999999E-2</v>
      </c>
      <c r="W1612">
        <v>1.2837360000000001E-2</v>
      </c>
      <c r="X1612">
        <v>0.99902489999999999</v>
      </c>
      <c r="Y1612">
        <v>0.16351109999999999</v>
      </c>
      <c r="Z1612">
        <v>8.6698490000000003E-3</v>
      </c>
      <c r="AA1612">
        <v>0.98650339999999903</v>
      </c>
      <c r="AB1612">
        <v>37</v>
      </c>
      <c r="AC1612">
        <v>-0.22139999999995999</v>
      </c>
      <c r="AD1612">
        <v>-6.3146999999999801E-2</v>
      </c>
      <c r="AE1612">
        <v>0.131599999999991</v>
      </c>
      <c r="AF1612">
        <v>0.13133762442617899</v>
      </c>
      <c r="AG1612">
        <v>-6.3146999999999801E-2</v>
      </c>
      <c r="AH1612">
        <v>0.20439508443313101</v>
      </c>
      <c r="AI1612">
        <v>104.569535810368</v>
      </c>
      <c r="AJ1612">
        <v>57.276520582846601</v>
      </c>
      <c r="AK1612">
        <v>0.25102682274876298</v>
      </c>
    </row>
    <row r="1613" spans="1:37" x14ac:dyDescent="0.2">
      <c r="A1613" t="str">
        <f>"20200111160136579"</f>
        <v>20200111160136579</v>
      </c>
      <c r="B1613" t="str">
        <f>"1578729696573060"</f>
        <v>1578729696573060</v>
      </c>
      <c r="C1613" t="s">
        <v>37</v>
      </c>
      <c r="D1613">
        <v>5.17035</v>
      </c>
      <c r="E1613">
        <v>0.58023789999999997</v>
      </c>
      <c r="F1613" t="s">
        <v>42</v>
      </c>
      <c r="G1613">
        <v>-363.39699999999999</v>
      </c>
      <c r="H1613">
        <v>1.0381860000000001</v>
      </c>
      <c r="I1613">
        <v>284.97410000000002</v>
      </c>
      <c r="J1613">
        <v>-362.8494</v>
      </c>
      <c r="K1613">
        <v>1.1028979999999999</v>
      </c>
      <c r="L1613">
        <v>284.84660000000002</v>
      </c>
      <c r="M1613">
        <v>-0.99936589999999903</v>
      </c>
      <c r="N1613">
        <v>0</v>
      </c>
      <c r="O1613">
        <v>-3.4027189999999999E-2</v>
      </c>
      <c r="P1613">
        <v>-0.99694189999999905</v>
      </c>
      <c r="Q1613">
        <v>4.1286669999999999E-3</v>
      </c>
      <c r="R1613">
        <v>-7.8038730000000001E-2</v>
      </c>
      <c r="S1613">
        <v>-3.0402529999999999</v>
      </c>
      <c r="T1613">
        <v>-0.221361</v>
      </c>
      <c r="U1613">
        <v>0.39682009999999901</v>
      </c>
      <c r="V1613">
        <v>-4.40358E-2</v>
      </c>
      <c r="W1613">
        <v>1.470543E-2</v>
      </c>
      <c r="X1613">
        <v>0.99892169999999902</v>
      </c>
      <c r="Y1613">
        <v>0.1625799</v>
      </c>
      <c r="Z1613">
        <v>8.3510169999999901E-3</v>
      </c>
      <c r="AA1613">
        <v>0.98666010000000004</v>
      </c>
      <c r="AB1613">
        <v>37</v>
      </c>
      <c r="AC1613">
        <v>-0.54759999999998799</v>
      </c>
      <c r="AD1613">
        <v>-6.4711999999999797E-2</v>
      </c>
      <c r="AE1613">
        <v>0.127499999999997</v>
      </c>
      <c r="AF1613">
        <v>0.14415091562954299</v>
      </c>
      <c r="AG1613">
        <v>-6.4711999999999797E-2</v>
      </c>
      <c r="AH1613">
        <v>0.53584584187293205</v>
      </c>
      <c r="AI1613">
        <v>96.651782735076296</v>
      </c>
      <c r="AJ1613">
        <v>74.943005038002696</v>
      </c>
      <c r="AK1613">
        <v>0.55865722556264097</v>
      </c>
    </row>
    <row r="1614" spans="1:37" x14ac:dyDescent="0.2">
      <c r="A1614" t="str">
        <f>"20200111160136601"</f>
        <v>20200111160136601</v>
      </c>
      <c r="B1614" t="str">
        <f>"1578729696592578"</f>
        <v>1578729696592578</v>
      </c>
      <c r="C1614" t="s">
        <v>37</v>
      </c>
      <c r="D1614">
        <v>5.219868</v>
      </c>
      <c r="E1614">
        <v>0.580563099999999</v>
      </c>
      <c r="F1614" t="s">
        <v>57</v>
      </c>
      <c r="G1614">
        <v>-378.48390000000001</v>
      </c>
      <c r="H1614" s="1">
        <v>2.9779529999999999E-6</v>
      </c>
      <c r="I1614">
        <v>286.88400000000001</v>
      </c>
      <c r="J1614">
        <v>-363.20699999999999</v>
      </c>
      <c r="K1614">
        <v>1.1029599999999999</v>
      </c>
      <c r="L1614">
        <v>284.83530000000002</v>
      </c>
      <c r="M1614">
        <v>-0.99938899999999997</v>
      </c>
      <c r="N1614">
        <v>0</v>
      </c>
      <c r="O1614">
        <v>-3.3185180000000002E-2</v>
      </c>
      <c r="P1614">
        <v>-0.9968958</v>
      </c>
      <c r="Q1614">
        <v>5.8870199999999998E-3</v>
      </c>
      <c r="R1614">
        <v>-7.8512070000000003E-2</v>
      </c>
      <c r="S1614">
        <v>-3.0411380000000001</v>
      </c>
      <c r="T1614">
        <v>-0.21452860000000001</v>
      </c>
      <c r="U1614">
        <v>0.39630129999999902</v>
      </c>
      <c r="V1614">
        <v>-4.5346890000000001E-2</v>
      </c>
      <c r="W1614">
        <v>1.6968219999999999E-2</v>
      </c>
      <c r="X1614">
        <v>0.99882719999999903</v>
      </c>
      <c r="Y1614">
        <v>0.16158220000000001</v>
      </c>
      <c r="Z1614">
        <v>7.9975519999999998E-3</v>
      </c>
      <c r="AA1614">
        <v>0.9868268</v>
      </c>
      <c r="AB1614">
        <v>37</v>
      </c>
      <c r="AC1614">
        <v>-15.276899999999999</v>
      </c>
      <c r="AD1614">
        <v>-1.102957022047</v>
      </c>
      <c r="AE1614">
        <v>2.04869999999999</v>
      </c>
      <c r="AF1614">
        <v>2.5415548392613001</v>
      </c>
      <c r="AG1614">
        <v>-1.102957022047</v>
      </c>
      <c r="AH1614">
        <v>15.1230577709028</v>
      </c>
      <c r="AI1614">
        <v>94.113830689429093</v>
      </c>
      <c r="AJ1614">
        <v>80.460117610130894</v>
      </c>
      <c r="AK1614">
        <v>15.3747485031632</v>
      </c>
    </row>
    <row r="1615" spans="1:37" x14ac:dyDescent="0.2">
      <c r="A1615" t="str">
        <f>"20200111160136624"</f>
        <v>20200111160136624</v>
      </c>
      <c r="B1615" t="str">
        <f>"1578729696613075"</f>
        <v>1578729696613075</v>
      </c>
      <c r="C1615" t="s">
        <v>37</v>
      </c>
      <c r="D1615">
        <v>5.2456829999999997</v>
      </c>
      <c r="E1615">
        <v>0.58072919999999995</v>
      </c>
      <c r="F1615" t="s">
        <v>57</v>
      </c>
      <c r="G1615">
        <v>-379.31270000000001</v>
      </c>
      <c r="H1615" s="1">
        <v>3.4189569999999899E-6</v>
      </c>
      <c r="I1615">
        <v>286.9384</v>
      </c>
      <c r="J1615">
        <v>-363.57089999999999</v>
      </c>
      <c r="K1615">
        <v>1.1030040000000001</v>
      </c>
      <c r="L1615">
        <v>284.82409999999999</v>
      </c>
      <c r="M1615">
        <v>-0.99941159999999996</v>
      </c>
      <c r="N1615">
        <v>0</v>
      </c>
      <c r="O1615">
        <v>-3.2333460000000001E-2</v>
      </c>
      <c r="P1615">
        <v>-0.99691459999999998</v>
      </c>
      <c r="Q1615">
        <v>7.338738E-3</v>
      </c>
      <c r="R1615">
        <v>-7.8149839999999998E-2</v>
      </c>
      <c r="S1615">
        <v>-3.04190099999999</v>
      </c>
      <c r="T1615">
        <v>-0.20831729999999901</v>
      </c>
      <c r="U1615">
        <v>0.39721679999999998</v>
      </c>
      <c r="V1615">
        <v>-4.58311E-2</v>
      </c>
      <c r="W1615">
        <v>1.8886699999999999E-2</v>
      </c>
      <c r="X1615">
        <v>0.99877070000000001</v>
      </c>
      <c r="Y1615">
        <v>0.16103239999999999</v>
      </c>
      <c r="Z1615">
        <v>7.6876959999999999E-3</v>
      </c>
      <c r="AA1615">
        <v>0.986919199999999</v>
      </c>
      <c r="AB1615">
        <v>37</v>
      </c>
      <c r="AC1615">
        <v>-15.7418</v>
      </c>
      <c r="AD1615">
        <v>-1.1030005810429999</v>
      </c>
      <c r="AE1615">
        <v>2.1143000000000098</v>
      </c>
      <c r="AF1615">
        <v>2.6096294614604201</v>
      </c>
      <c r="AG1615">
        <v>-1.1030005810429999</v>
      </c>
      <c r="AH1615">
        <v>15.590017135495099</v>
      </c>
      <c r="AI1615">
        <v>93.991605788613697</v>
      </c>
      <c r="AJ1615">
        <v>80.497299724630594</v>
      </c>
      <c r="AK1615">
        <v>15.8453592730785</v>
      </c>
    </row>
    <row r="1616" spans="1:37" x14ac:dyDescent="0.2">
      <c r="A1616" t="str">
        <f>"20200111160136646"</f>
        <v>20200111160136646</v>
      </c>
      <c r="B1616" t="str">
        <f>"1578729696642354"</f>
        <v>1578729696642354</v>
      </c>
      <c r="C1616" t="s">
        <v>37</v>
      </c>
      <c r="D1616">
        <v>5.1923969999999997</v>
      </c>
      <c r="E1616">
        <v>0.58101449999999999</v>
      </c>
      <c r="F1616" t="s">
        <v>57</v>
      </c>
      <c r="G1616">
        <v>-380.0324</v>
      </c>
      <c r="H1616" s="1">
        <v>-1.5195550000000001E-6</v>
      </c>
      <c r="I1616">
        <v>286.9864</v>
      </c>
      <c r="J1616">
        <v>-363.93740000000003</v>
      </c>
      <c r="K1616">
        <v>1.1030439999999999</v>
      </c>
      <c r="L1616">
        <v>284.81299999999999</v>
      </c>
      <c r="M1616">
        <v>-0.99943379999999904</v>
      </c>
      <c r="N1616">
        <v>0</v>
      </c>
      <c r="O1616">
        <v>-3.1477980000000003E-2</v>
      </c>
      <c r="P1616">
        <v>-0.99708240000000004</v>
      </c>
      <c r="Q1616">
        <v>6.7050360000000002E-3</v>
      </c>
      <c r="R1616">
        <v>-7.6038579999999995E-2</v>
      </c>
      <c r="S1616">
        <v>-3.042084</v>
      </c>
      <c r="T1616">
        <v>-0.2038354</v>
      </c>
      <c r="U1616">
        <v>0.39959719999999999</v>
      </c>
      <c r="V1616">
        <v>-4.4571079999999999E-2</v>
      </c>
      <c r="W1616">
        <v>1.867454E-2</v>
      </c>
      <c r="X1616">
        <v>0.99883159999999904</v>
      </c>
      <c r="Y1616">
        <v>0.16096050000000001</v>
      </c>
      <c r="Z1616">
        <v>7.4624069999999999E-3</v>
      </c>
      <c r="AA1616">
        <v>0.98693259999999905</v>
      </c>
      <c r="AB1616">
        <v>37</v>
      </c>
      <c r="AC1616">
        <v>-16.094999999999899</v>
      </c>
      <c r="AD1616">
        <v>-1.103045519555</v>
      </c>
      <c r="AE1616">
        <v>2.1734000000000102</v>
      </c>
      <c r="AF1616">
        <v>2.66669595437051</v>
      </c>
      <c r="AG1616">
        <v>-1.103045519555</v>
      </c>
      <c r="AH1616">
        <v>15.9450537932352</v>
      </c>
      <c r="AI1616">
        <v>93.903257879173594</v>
      </c>
      <c r="AJ1616">
        <v>80.5055611605233</v>
      </c>
      <c r="AK1616">
        <v>16.2040956921524</v>
      </c>
    </row>
    <row r="1617" spans="1:37" x14ac:dyDescent="0.2">
      <c r="A1617" t="str">
        <f>"20200111160136669"</f>
        <v>20200111160136669</v>
      </c>
      <c r="B1617" t="str">
        <f>"1578729696662850"</f>
        <v>1578729696662850</v>
      </c>
      <c r="C1617" t="s">
        <v>37</v>
      </c>
      <c r="D1617">
        <v>5.1758860000000002</v>
      </c>
      <c r="E1617">
        <v>0.58125899999999997</v>
      </c>
      <c r="F1617" t="s">
        <v>57</v>
      </c>
      <c r="G1617">
        <v>-380.19319999999999</v>
      </c>
      <c r="H1617" s="1">
        <v>-1.43397E-6</v>
      </c>
      <c r="I1617">
        <v>286.99340000000001</v>
      </c>
      <c r="J1617">
        <v>-364.32729999999998</v>
      </c>
      <c r="K1617">
        <v>1.1030610000000001</v>
      </c>
      <c r="L1617">
        <v>284.80169999999998</v>
      </c>
      <c r="M1617">
        <v>-0.99945729999999999</v>
      </c>
      <c r="N1617">
        <v>0</v>
      </c>
      <c r="O1617">
        <v>-3.0569829999999999E-2</v>
      </c>
      <c r="P1617">
        <v>-0.9972839</v>
      </c>
      <c r="Q1617">
        <v>4.9749590000000002E-3</v>
      </c>
      <c r="R1617">
        <v>-7.3486930000000006E-2</v>
      </c>
      <c r="S1617">
        <v>-3.04129</v>
      </c>
      <c r="T1617">
        <v>-0.20636779999999999</v>
      </c>
      <c r="U1617">
        <v>0.40792849999999897</v>
      </c>
      <c r="V1617">
        <v>-4.2925070000000003E-2</v>
      </c>
      <c r="W1617">
        <v>1.734343E-2</v>
      </c>
      <c r="X1617">
        <v>0.99892780000000003</v>
      </c>
      <c r="Y1617">
        <v>0.1627411</v>
      </c>
      <c r="Z1617">
        <v>7.5542909999999899E-3</v>
      </c>
      <c r="AA1617">
        <v>0.98663989999999901</v>
      </c>
      <c r="AB1617">
        <v>37</v>
      </c>
      <c r="AC1617">
        <v>-15.8659</v>
      </c>
      <c r="AD1617">
        <v>-1.1030624339699999</v>
      </c>
      <c r="AE1617">
        <v>2.19170000000002</v>
      </c>
      <c r="AF1617">
        <v>2.6630985889578702</v>
      </c>
      <c r="AG1617">
        <v>-1.1030624339699999</v>
      </c>
      <c r="AH1617">
        <v>15.716931911608301</v>
      </c>
      <c r="AI1617">
        <v>93.958372550618904</v>
      </c>
      <c r="AJ1617">
        <v>80.383065266337795</v>
      </c>
      <c r="AK1617">
        <v>15.9790734882181</v>
      </c>
    </row>
    <row r="1618" spans="1:37" x14ac:dyDescent="0.2">
      <c r="A1618" t="str">
        <f>"20200111160136691"</f>
        <v>20200111160136691</v>
      </c>
      <c r="B1618" t="str">
        <f>"1578729696682369"</f>
        <v>1578729696682369</v>
      </c>
      <c r="C1618" t="s">
        <v>37</v>
      </c>
      <c r="D1618">
        <v>5.1871710000000002</v>
      </c>
      <c r="E1618">
        <v>0.58147760000000004</v>
      </c>
      <c r="F1618" t="s">
        <v>57</v>
      </c>
      <c r="G1618">
        <v>-380.15129999999999</v>
      </c>
      <c r="H1618" s="1">
        <v>-1.4562899999999899E-6</v>
      </c>
      <c r="I1618">
        <v>286.97489999999999</v>
      </c>
      <c r="J1618">
        <v>-364.68680000000001</v>
      </c>
      <c r="K1618">
        <v>1.103084</v>
      </c>
      <c r="L1618">
        <v>284.79160000000002</v>
      </c>
      <c r="M1618">
        <v>-0.99947830000000004</v>
      </c>
      <c r="N1618">
        <v>0</v>
      </c>
      <c r="O1618">
        <v>-2.9737E-2</v>
      </c>
      <c r="P1618">
        <v>-0.99744140000000003</v>
      </c>
      <c r="Q1618">
        <v>3.7074569999999999E-3</v>
      </c>
      <c r="R1618">
        <v>-7.1395100000000003E-2</v>
      </c>
      <c r="S1618">
        <v>-3.0399780000000001</v>
      </c>
      <c r="T1618">
        <v>-0.2119122</v>
      </c>
      <c r="U1618">
        <v>0.41751099999999902</v>
      </c>
      <c r="V1618">
        <v>-4.1664399999999997E-2</v>
      </c>
      <c r="W1618">
        <v>1.6396569999999999E-2</v>
      </c>
      <c r="X1618">
        <v>0.99899709999999997</v>
      </c>
      <c r="Y1618">
        <v>0.16500119999999999</v>
      </c>
      <c r="Z1618">
        <v>7.7790350000000001E-3</v>
      </c>
      <c r="AA1618">
        <v>0.98626270000000005</v>
      </c>
      <c r="AB1618">
        <v>37</v>
      </c>
      <c r="AC1618">
        <v>-15.4644999999999</v>
      </c>
      <c r="AD1618">
        <v>-1.1030854562899901</v>
      </c>
      <c r="AE1618">
        <v>2.1832999999999698</v>
      </c>
      <c r="AF1618">
        <v>2.6291231220426798</v>
      </c>
      <c r="AG1618">
        <v>-1.1030854562899901</v>
      </c>
      <c r="AH1618">
        <v>15.316323499231199</v>
      </c>
      <c r="AI1618">
        <v>94.060163971122606</v>
      </c>
      <c r="AJ1618">
        <v>80.259820307873795</v>
      </c>
      <c r="AK1618">
        <v>15.579436814206099</v>
      </c>
    </row>
    <row r="1619" spans="1:37" x14ac:dyDescent="0.2">
      <c r="A1619" t="str">
        <f>"20200111160136713"</f>
        <v>20200111160136713</v>
      </c>
      <c r="B1619" t="str">
        <f>"1578729696702866"</f>
        <v>1578729696702866</v>
      </c>
      <c r="C1619" t="s">
        <v>37</v>
      </c>
      <c r="D1619">
        <v>5.2062179999999998</v>
      </c>
      <c r="E1619">
        <v>0.5815458</v>
      </c>
      <c r="F1619" t="s">
        <v>57</v>
      </c>
      <c r="G1619">
        <v>-380.27510000000001</v>
      </c>
      <c r="H1619" s="1">
        <v>-1.3904019999999999E-6</v>
      </c>
      <c r="I1619">
        <v>286.97570000000002</v>
      </c>
      <c r="J1619">
        <v>-365.0505</v>
      </c>
      <c r="K1619">
        <v>1.1031089999999999</v>
      </c>
      <c r="L1619">
        <v>284.78160000000003</v>
      </c>
      <c r="M1619">
        <v>-0.99949909999999997</v>
      </c>
      <c r="N1619">
        <v>0</v>
      </c>
      <c r="O1619">
        <v>-2.890481E-2</v>
      </c>
      <c r="P1619">
        <v>-0.99757289999999998</v>
      </c>
      <c r="Q1619">
        <v>3.583742E-3</v>
      </c>
      <c r="R1619">
        <v>-6.9540630000000006E-2</v>
      </c>
      <c r="S1619">
        <v>-3.0390009999999998</v>
      </c>
      <c r="T1619">
        <v>-0.21505059999999901</v>
      </c>
      <c r="U1619">
        <v>0.42581179999999902</v>
      </c>
      <c r="V1619">
        <v>-4.0639139999999997E-2</v>
      </c>
      <c r="W1619">
        <v>1.655819E-2</v>
      </c>
      <c r="X1619">
        <v>0.9990367</v>
      </c>
      <c r="Y1619">
        <v>0.1668492</v>
      </c>
      <c r="Z1619">
        <v>7.9014410000000004E-3</v>
      </c>
      <c r="AA1619">
        <v>0.98595080000000002</v>
      </c>
      <c r="AB1619">
        <v>37</v>
      </c>
      <c r="AC1619">
        <v>-15.224600000000001</v>
      </c>
      <c r="AD1619">
        <v>-1.1031103904020001</v>
      </c>
      <c r="AE1619">
        <v>2.1940999999999899</v>
      </c>
      <c r="AF1619">
        <v>2.6198100506455502</v>
      </c>
      <c r="AG1619">
        <v>-1.1031103904020001</v>
      </c>
      <c r="AH1619">
        <v>15.0772695533615</v>
      </c>
      <c r="AI1619">
        <v>94.122961402773001</v>
      </c>
      <c r="AJ1619">
        <v>80.142764743656599</v>
      </c>
      <c r="AK1619">
        <v>15.342891331805699</v>
      </c>
    </row>
    <row r="1620" spans="1:37" x14ac:dyDescent="0.2">
      <c r="A1620" t="str">
        <f>"20200111160136736"</f>
        <v>20200111160136736</v>
      </c>
      <c r="B1620" t="str">
        <f>"1578729696733123"</f>
        <v>1578729696733123</v>
      </c>
      <c r="C1620" t="s">
        <v>37</v>
      </c>
      <c r="D1620">
        <v>5.2322649999999999</v>
      </c>
      <c r="E1620">
        <v>0.54731070000000004</v>
      </c>
      <c r="F1620" t="s">
        <v>57</v>
      </c>
      <c r="G1620">
        <v>-380.62520000000001</v>
      </c>
      <c r="H1620" s="1">
        <v>-1.204089E-6</v>
      </c>
      <c r="I1620">
        <v>286.9973</v>
      </c>
      <c r="J1620">
        <v>-365.41890000000001</v>
      </c>
      <c r="K1620">
        <v>1.1031439999999999</v>
      </c>
      <c r="L1620">
        <v>284.77179999999998</v>
      </c>
      <c r="M1620">
        <v>-0.99951950000000001</v>
      </c>
      <c r="N1620">
        <v>0</v>
      </c>
      <c r="O1620">
        <v>-2.807314E-2</v>
      </c>
      <c r="P1620">
        <v>-0.99766239999999995</v>
      </c>
      <c r="Q1620">
        <v>4.9500170000000001E-3</v>
      </c>
      <c r="R1620">
        <v>-6.8158079999999996E-2</v>
      </c>
      <c r="S1620">
        <v>-3.0382389999999999</v>
      </c>
      <c r="T1620">
        <v>-0.2151892</v>
      </c>
      <c r="U1620">
        <v>0.43222050000000001</v>
      </c>
      <c r="V1620">
        <v>-4.0083029999999999E-2</v>
      </c>
      <c r="W1620">
        <v>1.8178239999999998E-2</v>
      </c>
      <c r="X1620">
        <v>0.999031</v>
      </c>
      <c r="Y1620">
        <v>0.16810020000000001</v>
      </c>
      <c r="Z1620">
        <v>7.8927890000000007E-3</v>
      </c>
      <c r="AA1620">
        <v>0.98573829999999996</v>
      </c>
      <c r="AB1620">
        <v>37</v>
      </c>
      <c r="AC1620">
        <v>-15.206300000000001</v>
      </c>
      <c r="AD1620">
        <v>-1.103145204089</v>
      </c>
      <c r="AE1620">
        <v>2.22550000000001</v>
      </c>
      <c r="AF1620">
        <v>2.63795621614873</v>
      </c>
      <c r="AG1620">
        <v>-1.103145204089</v>
      </c>
      <c r="AH1620">
        <v>15.0602264384378</v>
      </c>
      <c r="AI1620">
        <v>94.126764934057505</v>
      </c>
      <c r="AJ1620">
        <v>80.064834151630393</v>
      </c>
      <c r="AK1620">
        <v>15.329258387692599</v>
      </c>
    </row>
    <row r="1621" spans="1:37" x14ac:dyDescent="0.2">
      <c r="A1621" t="str">
        <f>"20200111160136758"</f>
        <v>20200111160136758</v>
      </c>
      <c r="B1621" t="str">
        <f>"1578729696752644"</f>
        <v>1578729696752644</v>
      </c>
      <c r="C1621" t="s">
        <v>37</v>
      </c>
      <c r="D1621">
        <v>5.1480110000000003</v>
      </c>
      <c r="E1621">
        <v>0.54774709999999904</v>
      </c>
      <c r="F1621" t="s">
        <v>42</v>
      </c>
      <c r="G1621">
        <v>-366.36790000000002</v>
      </c>
      <c r="H1621">
        <v>1.0276259999999999</v>
      </c>
      <c r="I1621">
        <v>284.82330000000002</v>
      </c>
      <c r="J1621">
        <v>-365.79880000000003</v>
      </c>
      <c r="K1621">
        <v>1.1031739999999901</v>
      </c>
      <c r="L1621">
        <v>284.762</v>
      </c>
      <c r="M1621">
        <v>-0.99953959999999997</v>
      </c>
      <c r="N1621">
        <v>0</v>
      </c>
      <c r="O1621">
        <v>-2.7231379999999999E-2</v>
      </c>
      <c r="P1621">
        <v>-0.99770139999999996</v>
      </c>
      <c r="Q1621">
        <v>6.0959719999999998E-3</v>
      </c>
      <c r="R1621">
        <v>-6.7489709999999994E-2</v>
      </c>
      <c r="S1621">
        <v>-3.0193479999999999</v>
      </c>
      <c r="T1621">
        <v>-0.24037399999999901</v>
      </c>
      <c r="U1621">
        <v>0.1628723</v>
      </c>
      <c r="V1621">
        <v>-4.0252530000000002E-2</v>
      </c>
      <c r="W1621">
        <v>1.9552719999999999E-2</v>
      </c>
      <c r="X1621">
        <v>0.99899819999999995</v>
      </c>
      <c r="Y1621">
        <v>8.0698270000000002E-2</v>
      </c>
      <c r="Z1621">
        <v>5.3681750000000002E-3</v>
      </c>
      <c r="AA1621">
        <v>0.9967241</v>
      </c>
      <c r="AB1621">
        <v>37</v>
      </c>
      <c r="AC1621">
        <v>-0.56909999999999095</v>
      </c>
      <c r="AD1621">
        <v>-7.5547999999999907E-2</v>
      </c>
      <c r="AE1621">
        <v>6.1300000000017001E-2</v>
      </c>
      <c r="AF1621">
        <v>7.5461457798597198E-2</v>
      </c>
      <c r="AG1621">
        <v>-7.5547999999999907E-2</v>
      </c>
      <c r="AH1621">
        <v>0.55750746066255896</v>
      </c>
      <c r="AI1621">
        <v>97.648253123056804</v>
      </c>
      <c r="AJ1621">
        <v>82.291573652088999</v>
      </c>
      <c r="AK1621">
        <v>0.56764117240692102</v>
      </c>
    </row>
    <row r="1622" spans="1:37" x14ac:dyDescent="0.2">
      <c r="A1622" t="str">
        <f>"20200111160136781"</f>
        <v>20200111160136781</v>
      </c>
      <c r="B1622" t="str">
        <f>"1578729696773138"</f>
        <v>1578729696773138</v>
      </c>
      <c r="C1622" t="s">
        <v>37</v>
      </c>
      <c r="D1622">
        <v>5.1642970000000004</v>
      </c>
      <c r="E1622">
        <v>0.54798630000000004</v>
      </c>
      <c r="F1622" t="s">
        <v>42</v>
      </c>
      <c r="G1622">
        <v>-366.70159999999998</v>
      </c>
      <c r="H1622">
        <v>1.036216</v>
      </c>
      <c r="I1622">
        <v>284.81270000000001</v>
      </c>
      <c r="J1622">
        <v>-366.1798</v>
      </c>
      <c r="K1622">
        <v>1.103194</v>
      </c>
      <c r="L1622">
        <v>284.75240000000002</v>
      </c>
      <c r="M1622">
        <v>-0.99955899999999998</v>
      </c>
      <c r="N1622">
        <v>0</v>
      </c>
      <c r="O1622">
        <v>-2.640895E-2</v>
      </c>
      <c r="P1622">
        <v>-0.99773029999999996</v>
      </c>
      <c r="Q1622">
        <v>6.2681719999999998E-3</v>
      </c>
      <c r="R1622">
        <v>-6.7048789999999997E-2</v>
      </c>
      <c r="S1622">
        <v>-3.0196529999999999</v>
      </c>
      <c r="T1622">
        <v>-0.22408839999999999</v>
      </c>
      <c r="U1622">
        <v>0.16864009999999999</v>
      </c>
      <c r="V1622">
        <v>-4.0633320000000001E-2</v>
      </c>
      <c r="W1622">
        <v>1.9923630000000001E-2</v>
      </c>
      <c r="X1622">
        <v>0.99897549999999902</v>
      </c>
      <c r="Y1622">
        <v>8.1814699999999893E-2</v>
      </c>
      <c r="Z1622">
        <v>4.9851829999999998E-3</v>
      </c>
      <c r="AA1622">
        <v>0.9966351</v>
      </c>
      <c r="AB1622">
        <v>37</v>
      </c>
      <c r="AC1622">
        <v>-0.52179999999998405</v>
      </c>
      <c r="AD1622">
        <v>-6.6977999999999899E-2</v>
      </c>
      <c r="AE1622">
        <v>6.0299999999983797E-2</v>
      </c>
      <c r="AF1622">
        <v>7.2875539410321294E-2</v>
      </c>
      <c r="AG1622">
        <v>-6.6977999999999899E-2</v>
      </c>
      <c r="AH1622">
        <v>0.511705528956241</v>
      </c>
      <c r="AI1622">
        <v>97.383479466557404</v>
      </c>
      <c r="AJ1622">
        <v>81.894616081709003</v>
      </c>
      <c r="AK1622">
        <v>0.52119041155102896</v>
      </c>
    </row>
    <row r="1623" spans="1:37" x14ac:dyDescent="0.2">
      <c r="A1623" t="str">
        <f>"20200111160136802"</f>
        <v>20200111160136802</v>
      </c>
      <c r="B1623" t="str">
        <f>"1578729696792658"</f>
        <v>1578729696792658</v>
      </c>
      <c r="C1623" t="s">
        <v>37</v>
      </c>
      <c r="D1623">
        <v>5.1422569999999999</v>
      </c>
      <c r="E1623">
        <v>0.54816989999999999</v>
      </c>
      <c r="F1623" t="s">
        <v>42</v>
      </c>
      <c r="G1623">
        <v>-367.03289999999998</v>
      </c>
      <c r="H1623">
        <v>1.0409619999999999</v>
      </c>
      <c r="I1623">
        <v>284.80130000000003</v>
      </c>
      <c r="J1623">
        <v>-366.5188</v>
      </c>
      <c r="K1623">
        <v>1.1032249999999999</v>
      </c>
      <c r="L1623">
        <v>284.74419999999998</v>
      </c>
      <c r="M1623">
        <v>-0.9995754</v>
      </c>
      <c r="N1623">
        <v>0</v>
      </c>
      <c r="O1623">
        <v>-2.5700000000000001E-2</v>
      </c>
      <c r="P1623">
        <v>-0.99774609999999997</v>
      </c>
      <c r="Q1623">
        <v>5.6326950000000001E-3</v>
      </c>
      <c r="R1623">
        <v>-6.6867129999999997E-2</v>
      </c>
      <c r="S1623">
        <v>-3.0197750000000001</v>
      </c>
      <c r="T1623">
        <v>-0.22042390000000001</v>
      </c>
      <c r="U1623">
        <v>0.17208860000000001</v>
      </c>
      <c r="V1623">
        <v>-4.1161969999999999E-2</v>
      </c>
      <c r="W1623">
        <v>1.944164E-2</v>
      </c>
      <c r="X1623">
        <v>0.9989633</v>
      </c>
      <c r="Y1623">
        <v>8.2250539999999997E-2</v>
      </c>
      <c r="Z1623">
        <v>4.867761E-3</v>
      </c>
      <c r="AA1623">
        <v>0.99659979999999904</v>
      </c>
      <c r="AB1623">
        <v>37</v>
      </c>
      <c r="AC1623">
        <v>-0.51409999999998401</v>
      </c>
      <c r="AD1623">
        <v>-6.2262999999999701E-2</v>
      </c>
      <c r="AE1623">
        <v>5.7100000000048098E-2</v>
      </c>
      <c r="AF1623">
        <v>6.9290793620529298E-2</v>
      </c>
      <c r="AG1623">
        <v>-6.2262999999999701E-2</v>
      </c>
      <c r="AH1623">
        <v>0.50514349896030697</v>
      </c>
      <c r="AI1623">
        <v>96.962178866027301</v>
      </c>
      <c r="AJ1623">
        <v>82.189452152932802</v>
      </c>
      <c r="AK1623">
        <v>0.51366122083667598</v>
      </c>
    </row>
    <row r="1624" spans="1:37" x14ac:dyDescent="0.2">
      <c r="A1624" t="str">
        <f>"20200111160136824"</f>
        <v>20200111160136824</v>
      </c>
      <c r="B1624" t="str">
        <f>"1578729696813154"</f>
        <v>1578729696813154</v>
      </c>
      <c r="C1624" t="s">
        <v>37</v>
      </c>
      <c r="D1624">
        <v>5.117534</v>
      </c>
      <c r="E1624">
        <v>0.54844159999999997</v>
      </c>
      <c r="F1624" t="s">
        <v>42</v>
      </c>
      <c r="G1624">
        <v>-367.36169999999998</v>
      </c>
      <c r="H1624">
        <v>1.0413490000000001</v>
      </c>
      <c r="I1624">
        <v>284.79309999999998</v>
      </c>
      <c r="J1624">
        <v>-366.88229999999999</v>
      </c>
      <c r="K1624">
        <v>1.1032580000000001</v>
      </c>
      <c r="L1624">
        <v>284.73559999999998</v>
      </c>
      <c r="M1624">
        <v>-0.99959189999999998</v>
      </c>
      <c r="N1624">
        <v>0</v>
      </c>
      <c r="O1624">
        <v>-2.4966180000000001E-2</v>
      </c>
      <c r="P1624">
        <v>-0.99778709999999904</v>
      </c>
      <c r="Q1624">
        <v>5.8620310000000002E-3</v>
      </c>
      <c r="R1624">
        <v>-6.6232470000000002E-2</v>
      </c>
      <c r="S1624">
        <v>-3.0196839999999998</v>
      </c>
      <c r="T1624">
        <v>-0.22186979999999901</v>
      </c>
      <c r="U1624">
        <v>0.1739502</v>
      </c>
      <c r="V1624">
        <v>-4.1260280000000003E-2</v>
      </c>
      <c r="W1624">
        <v>1.981254E-2</v>
      </c>
      <c r="X1624">
        <v>0.99895199999999995</v>
      </c>
      <c r="Y1624">
        <v>8.2131579999999996E-2</v>
      </c>
      <c r="Z1624">
        <v>4.8415009999999998E-3</v>
      </c>
      <c r="AA1624">
        <v>0.99660969999999904</v>
      </c>
      <c r="AB1624">
        <v>37</v>
      </c>
      <c r="AC1624">
        <v>-0.47939999999999799</v>
      </c>
      <c r="AD1624">
        <v>-6.1908999999999902E-2</v>
      </c>
      <c r="AE1624">
        <v>5.7500000000004499E-2</v>
      </c>
      <c r="AF1624">
        <v>6.8328673658895195E-2</v>
      </c>
      <c r="AG1624">
        <v>-6.1908999999999902E-2</v>
      </c>
      <c r="AH1624">
        <v>0.47008650950063302</v>
      </c>
      <c r="AI1624">
        <v>97.425362634235</v>
      </c>
      <c r="AJ1624">
        <v>81.729782248994695</v>
      </c>
      <c r="AK1624">
        <v>0.47904369147236697</v>
      </c>
    </row>
    <row r="1625" spans="1:37" x14ac:dyDescent="0.2">
      <c r="A1625" t="str">
        <f>"20200111160136847"</f>
        <v>20200111160136847</v>
      </c>
      <c r="B1625" t="str">
        <f>"1578729696842434"</f>
        <v>1578729696842434</v>
      </c>
      <c r="C1625" t="s">
        <v>37</v>
      </c>
      <c r="D1625">
        <v>5.0738289999999999</v>
      </c>
      <c r="E1625">
        <v>0.54805199999999998</v>
      </c>
      <c r="F1625" t="s">
        <v>42</v>
      </c>
      <c r="G1625">
        <v>-367.69199999999898</v>
      </c>
      <c r="H1625">
        <v>1.0446299999999999</v>
      </c>
      <c r="I1625">
        <v>284.7835</v>
      </c>
      <c r="J1625">
        <v>-367.26029999999997</v>
      </c>
      <c r="K1625">
        <v>1.1032999999999999</v>
      </c>
      <c r="L1625">
        <v>284.7269</v>
      </c>
      <c r="M1625">
        <v>-0.99960830000000001</v>
      </c>
      <c r="N1625">
        <v>0</v>
      </c>
      <c r="O1625">
        <v>-2.423413E-2</v>
      </c>
      <c r="P1625">
        <v>-0.997853199999999</v>
      </c>
      <c r="Q1625">
        <v>5.9512590000000004E-3</v>
      </c>
      <c r="R1625">
        <v>-6.5226499999999896E-2</v>
      </c>
      <c r="S1625">
        <v>-3.0197449999999999</v>
      </c>
      <c r="T1625">
        <v>-0.21879079999999901</v>
      </c>
      <c r="U1625">
        <v>0.177948</v>
      </c>
      <c r="V1625">
        <v>-4.0985720000000003E-2</v>
      </c>
      <c r="W1625">
        <v>2.0028509999999999E-2</v>
      </c>
      <c r="X1625">
        <v>0.99895889999999998</v>
      </c>
      <c r="Y1625">
        <v>8.2723870000000005E-2</v>
      </c>
      <c r="Z1625">
        <v>4.7426949999999999E-3</v>
      </c>
      <c r="AA1625">
        <v>0.99656119999999904</v>
      </c>
      <c r="AB1625">
        <v>37</v>
      </c>
      <c r="AC1625">
        <v>-0.43169999999997699</v>
      </c>
      <c r="AD1625">
        <v>-5.867E-2</v>
      </c>
      <c r="AE1625">
        <v>5.6600000000003002E-2</v>
      </c>
      <c r="AF1625">
        <v>6.5850563679755197E-2</v>
      </c>
      <c r="AG1625">
        <v>-5.867E-2</v>
      </c>
      <c r="AH1625">
        <v>0.42252915227555798</v>
      </c>
      <c r="AI1625">
        <v>97.812101067762697</v>
      </c>
      <c r="AJ1625">
        <v>81.141794385275205</v>
      </c>
      <c r="AK1625">
        <v>0.43163566831257499</v>
      </c>
    </row>
    <row r="1626" spans="1:37" x14ac:dyDescent="0.2">
      <c r="A1626" t="str">
        <f>"20200111160136870"</f>
        <v>20200111160136870</v>
      </c>
      <c r="B1626" t="str">
        <f>"1578729696862930"</f>
        <v>1578729696862930</v>
      </c>
      <c r="C1626" t="s">
        <v>37</v>
      </c>
      <c r="D1626">
        <v>5.0939680000000003</v>
      </c>
      <c r="E1626">
        <v>0.54797479999999998</v>
      </c>
      <c r="F1626" t="s">
        <v>42</v>
      </c>
      <c r="G1626">
        <v>-368.02359999999999</v>
      </c>
      <c r="H1626">
        <v>1.0485979999999999</v>
      </c>
      <c r="I1626">
        <v>284.7722</v>
      </c>
      <c r="J1626">
        <v>-367.62950000000001</v>
      </c>
      <c r="K1626">
        <v>1.103337</v>
      </c>
      <c r="L1626">
        <v>284.71859999999998</v>
      </c>
      <c r="M1626">
        <v>-0.99962289999999998</v>
      </c>
      <c r="N1626">
        <v>0</v>
      </c>
      <c r="O1626">
        <v>-2.3549190000000001E-2</v>
      </c>
      <c r="P1626">
        <v>-0.9978998</v>
      </c>
      <c r="Q1626">
        <v>6.2620250000000001E-3</v>
      </c>
      <c r="R1626">
        <v>-6.4475829999999998E-2</v>
      </c>
      <c r="S1626">
        <v>-3.0193789999999998</v>
      </c>
      <c r="T1626">
        <v>-0.21662600000000001</v>
      </c>
      <c r="U1626">
        <v>0.17791750000000001</v>
      </c>
      <c r="V1626">
        <v>-4.0919659999999997E-2</v>
      </c>
      <c r="W1626">
        <v>2.0444230000000001E-2</v>
      </c>
      <c r="X1626">
        <v>0.99895330000000004</v>
      </c>
      <c r="Y1626">
        <v>8.2047030000000007E-2</v>
      </c>
      <c r="Z1626">
        <v>4.623187E-3</v>
      </c>
      <c r="AA1626">
        <v>0.99661769999999905</v>
      </c>
      <c r="AB1626">
        <v>37</v>
      </c>
      <c r="AC1626">
        <v>-0.39409999999998002</v>
      </c>
      <c r="AD1626">
        <v>-5.4739000000000003E-2</v>
      </c>
      <c r="AE1626">
        <v>5.3600000000017099E-2</v>
      </c>
      <c r="AF1626">
        <v>6.1698121964477201E-2</v>
      </c>
      <c r="AG1626">
        <v>-5.4739000000000003E-2</v>
      </c>
      <c r="AH1626">
        <v>0.38542763765891502</v>
      </c>
      <c r="AI1626">
        <v>97.982876593677702</v>
      </c>
      <c r="AJ1626">
        <v>80.905418287855795</v>
      </c>
      <c r="AK1626">
        <v>0.39415413260078302</v>
      </c>
    </row>
    <row r="1627" spans="1:37" x14ac:dyDescent="0.2">
      <c r="A1627" t="str">
        <f>"20200111160136892"</f>
        <v>20200111160136892</v>
      </c>
      <c r="B1627" t="str">
        <f>"1578729696882449"</f>
        <v>1578729696882449</v>
      </c>
      <c r="C1627" t="s">
        <v>37</v>
      </c>
      <c r="D1627">
        <v>5.0557699999999999</v>
      </c>
      <c r="E1627">
        <v>0.54777869999999995</v>
      </c>
      <c r="F1627" t="s">
        <v>42</v>
      </c>
      <c r="G1627">
        <v>-368.66699999999997</v>
      </c>
      <c r="H1627">
        <v>1.029623</v>
      </c>
      <c r="I1627">
        <v>284.78059999999999</v>
      </c>
      <c r="J1627">
        <v>-367.98779999999999</v>
      </c>
      <c r="K1627">
        <v>1.103375</v>
      </c>
      <c r="L1627">
        <v>284.71080000000001</v>
      </c>
      <c r="M1627">
        <v>-0.99963659999999999</v>
      </c>
      <c r="N1627">
        <v>0</v>
      </c>
      <c r="O1627">
        <v>-2.2914199999999999E-2</v>
      </c>
      <c r="P1627">
        <v>-0.99796719999999906</v>
      </c>
      <c r="Q1627">
        <v>6.6040600000000001E-3</v>
      </c>
      <c r="R1627">
        <v>-6.3390089999999996E-2</v>
      </c>
      <c r="S1627">
        <v>-3.0192869999999998</v>
      </c>
      <c r="T1627">
        <v>-0.21458759999999999</v>
      </c>
      <c r="U1627">
        <v>0.17990110000000001</v>
      </c>
      <c r="V1627">
        <v>-4.0468190000000001E-2</v>
      </c>
      <c r="W1627">
        <v>2.087234E-2</v>
      </c>
      <c r="X1627">
        <v>0.99896280000000004</v>
      </c>
      <c r="Y1627">
        <v>8.2074830000000001E-2</v>
      </c>
      <c r="Z1627">
        <v>4.5357899999999996E-3</v>
      </c>
      <c r="AA1627">
        <v>0.99661580000000005</v>
      </c>
      <c r="AB1627">
        <v>37</v>
      </c>
      <c r="AC1627">
        <v>-0.67919999999998004</v>
      </c>
      <c r="AD1627">
        <v>-7.3751999999999998E-2</v>
      </c>
      <c r="AE1627">
        <v>6.9799999999986498E-2</v>
      </c>
      <c r="AF1627">
        <v>8.4362239831522398E-2</v>
      </c>
      <c r="AG1627">
        <v>-7.3751999999999998E-2</v>
      </c>
      <c r="AH1627">
        <v>0.66960918031112904</v>
      </c>
      <c r="AI1627">
        <v>96.236422296069506</v>
      </c>
      <c r="AJ1627">
        <v>82.819293674012499</v>
      </c>
      <c r="AK1627">
        <v>0.67892031886689996</v>
      </c>
    </row>
    <row r="1628" spans="1:37" x14ac:dyDescent="0.2">
      <c r="A1628" t="str">
        <f>"20200111160136913"</f>
        <v>20200111160136913</v>
      </c>
      <c r="B1628" t="str">
        <f>"1578729696902946"</f>
        <v>1578729696902946</v>
      </c>
      <c r="C1628" t="s">
        <v>37</v>
      </c>
      <c r="D1628">
        <v>5.038583</v>
      </c>
      <c r="E1628">
        <v>0.54754369999999997</v>
      </c>
      <c r="F1628" t="s">
        <v>42</v>
      </c>
      <c r="G1628">
        <v>-368.99509999999998</v>
      </c>
      <c r="H1628">
        <v>1.0325229999999901</v>
      </c>
      <c r="I1628">
        <v>284.77179999999998</v>
      </c>
      <c r="J1628">
        <v>-368.34789999999998</v>
      </c>
      <c r="K1628">
        <v>1.103413</v>
      </c>
      <c r="L1628">
        <v>284.70319999999998</v>
      </c>
      <c r="M1628">
        <v>-0.99964929999999996</v>
      </c>
      <c r="N1628">
        <v>0</v>
      </c>
      <c r="O1628">
        <v>-2.2297709999999998E-2</v>
      </c>
      <c r="P1628">
        <v>-0.99800829999999996</v>
      </c>
      <c r="Q1628">
        <v>6.5503469999999998E-3</v>
      </c>
      <c r="R1628">
        <v>-6.2743859999999999E-2</v>
      </c>
      <c r="S1628">
        <v>-3.0190730000000001</v>
      </c>
      <c r="T1628">
        <v>-0.21244160000000001</v>
      </c>
      <c r="U1628">
        <v>0.18173220000000001</v>
      </c>
      <c r="V1628">
        <v>-4.0438160000000001E-2</v>
      </c>
      <c r="W1628">
        <v>2.0894260000000001E-2</v>
      </c>
      <c r="X1628">
        <v>0.9989635</v>
      </c>
      <c r="Y1628">
        <v>8.2073460000000001E-2</v>
      </c>
      <c r="Z1628">
        <v>4.4474340000000001E-3</v>
      </c>
      <c r="AA1628">
        <v>0.99661639999999996</v>
      </c>
      <c r="AB1628">
        <v>37</v>
      </c>
      <c r="AC1628">
        <v>-0.647199999999997</v>
      </c>
      <c r="AD1628">
        <v>-7.0890000000000106E-2</v>
      </c>
      <c r="AE1628">
        <v>6.8600000000003505E-2</v>
      </c>
      <c r="AF1628">
        <v>8.2042122070812906E-2</v>
      </c>
      <c r="AG1628">
        <v>-7.0890000000000106E-2</v>
      </c>
      <c r="AH1628">
        <v>0.63794058158086397</v>
      </c>
      <c r="AI1628">
        <v>96.289498051556194</v>
      </c>
      <c r="AJ1628">
        <v>82.671721131324304</v>
      </c>
      <c r="AK1628">
        <v>0.64708924231640097</v>
      </c>
    </row>
    <row r="1629" spans="1:37" x14ac:dyDescent="0.2">
      <c r="A1629" t="str">
        <f>"20200111160136937"</f>
        <v>20200111160136937</v>
      </c>
      <c r="B1629" t="str">
        <f>"1578729696933203"</f>
        <v>1578729696933203</v>
      </c>
      <c r="C1629" t="s">
        <v>37</v>
      </c>
      <c r="D1629">
        <v>5.0300539999999998</v>
      </c>
      <c r="E1629">
        <v>0.54725889999999999</v>
      </c>
      <c r="F1629" t="s">
        <v>42</v>
      </c>
      <c r="G1629">
        <v>-369.32260000000002</v>
      </c>
      <c r="H1629">
        <v>1.035231</v>
      </c>
      <c r="I1629">
        <v>284.76249999999999</v>
      </c>
      <c r="J1629">
        <v>-368.72300000000001</v>
      </c>
      <c r="K1629">
        <v>1.1034459999999999</v>
      </c>
      <c r="L1629">
        <v>284.69540000000001</v>
      </c>
      <c r="M1629">
        <v>-0.99966200000000005</v>
      </c>
      <c r="N1629">
        <v>0</v>
      </c>
      <c r="O1629">
        <v>-2.1676730000000002E-2</v>
      </c>
      <c r="P1629">
        <v>-0.99802009999999997</v>
      </c>
      <c r="Q1629">
        <v>6.565067E-3</v>
      </c>
      <c r="R1629">
        <v>-6.2551919999999997E-2</v>
      </c>
      <c r="S1629">
        <v>-3.0188290000000002</v>
      </c>
      <c r="T1629">
        <v>-0.21134849999999999</v>
      </c>
      <c r="U1629">
        <v>0.18209839999999999</v>
      </c>
      <c r="V1629">
        <v>-4.0867750000000001E-2</v>
      </c>
      <c r="W1629">
        <v>2.097626E-2</v>
      </c>
      <c r="X1629">
        <v>0.99894430000000001</v>
      </c>
      <c r="Y1629">
        <v>8.1584980000000001E-2</v>
      </c>
      <c r="Z1629">
        <v>4.3644929999999997E-3</v>
      </c>
      <c r="AA1629">
        <v>0.99665680000000001</v>
      </c>
      <c r="AB1629">
        <v>37</v>
      </c>
      <c r="AC1629">
        <v>-0.59960000000000901</v>
      </c>
      <c r="AD1629">
        <v>-6.8214999999999901E-2</v>
      </c>
      <c r="AE1629">
        <v>6.7099999999982105E-2</v>
      </c>
      <c r="AF1629">
        <v>7.9072160358433799E-2</v>
      </c>
      <c r="AG1629">
        <v>-6.8214999999999901E-2</v>
      </c>
      <c r="AH1629">
        <v>0.59045664170368595</v>
      </c>
      <c r="AI1629">
        <v>96.532317862949299</v>
      </c>
      <c r="AJ1629">
        <v>82.372503715263804</v>
      </c>
      <c r="AK1629">
        <v>0.59962049539750195</v>
      </c>
    </row>
    <row r="1630" spans="1:37" x14ac:dyDescent="0.2">
      <c r="A1630" t="str">
        <f>"20200111160136959"</f>
        <v>20200111160136959</v>
      </c>
      <c r="B1630" t="str">
        <f>"1578729696952722"</f>
        <v>1578729696952722</v>
      </c>
      <c r="C1630" t="s">
        <v>37</v>
      </c>
      <c r="D1630">
        <v>5.0398160000000001</v>
      </c>
      <c r="E1630">
        <v>0.5470798</v>
      </c>
      <c r="F1630" t="s">
        <v>42</v>
      </c>
      <c r="G1630">
        <v>-369.65019999999998</v>
      </c>
      <c r="H1630">
        <v>1.0387959999999901</v>
      </c>
      <c r="I1630">
        <v>284.75130000000001</v>
      </c>
      <c r="J1630">
        <v>-369.08800000000002</v>
      </c>
      <c r="K1630">
        <v>1.103472</v>
      </c>
      <c r="L1630">
        <v>284.68810000000002</v>
      </c>
      <c r="M1630">
        <v>-0.999673699999999</v>
      </c>
      <c r="N1630">
        <v>0</v>
      </c>
      <c r="O1630">
        <v>-2.1089119999999999E-2</v>
      </c>
      <c r="P1630">
        <v>-0.99802060000000004</v>
      </c>
      <c r="Q1630">
        <v>5.8318659999999998E-3</v>
      </c>
      <c r="R1630">
        <v>-6.2619040000000001E-2</v>
      </c>
      <c r="S1630">
        <v>-3.0186160000000002</v>
      </c>
      <c r="T1630">
        <v>-0.210701</v>
      </c>
      <c r="U1630">
        <v>0.18045039999999901</v>
      </c>
      <c r="V1630">
        <v>-4.1524239999999997E-2</v>
      </c>
      <c r="W1630">
        <v>2.0299299999999999E-2</v>
      </c>
      <c r="X1630">
        <v>0.99893129999999997</v>
      </c>
      <c r="Y1630">
        <v>8.0466839999999998E-2</v>
      </c>
      <c r="Z1630">
        <v>4.2716480000000003E-3</v>
      </c>
      <c r="AA1630">
        <v>0.99674810000000003</v>
      </c>
      <c r="AB1630">
        <v>36</v>
      </c>
      <c r="AC1630">
        <v>-0.56219999999996095</v>
      </c>
      <c r="AD1630">
        <v>-6.4676000000000095E-2</v>
      </c>
      <c r="AE1630">
        <v>6.3199999999994802E-2</v>
      </c>
      <c r="AF1630">
        <v>7.40753667519716E-2</v>
      </c>
      <c r="AG1630">
        <v>-6.4676000000000095E-2</v>
      </c>
      <c r="AH1630">
        <v>0.55350803390951697</v>
      </c>
      <c r="AI1630">
        <v>96.606273941230796</v>
      </c>
      <c r="AJ1630">
        <v>82.377460993602796</v>
      </c>
      <c r="AK1630">
        <v>0.56217549620898499</v>
      </c>
    </row>
    <row r="1631" spans="1:37" x14ac:dyDescent="0.2">
      <c r="A1631" t="str">
        <f>"20200111160136982"</f>
        <v>20200111160136982</v>
      </c>
      <c r="B1631" t="str">
        <f>"1578729696973218"</f>
        <v>1578729696973218</v>
      </c>
      <c r="C1631" t="s">
        <v>37</v>
      </c>
      <c r="D1631">
        <v>7.3680509999999897</v>
      </c>
      <c r="E1631">
        <v>0.52148139999999998</v>
      </c>
      <c r="F1631" t="s">
        <v>42</v>
      </c>
      <c r="G1631">
        <v>-369.97669999999999</v>
      </c>
      <c r="H1631">
        <v>1.040832</v>
      </c>
      <c r="I1631">
        <v>284.74110000000002</v>
      </c>
      <c r="J1631">
        <v>-369.46390000000002</v>
      </c>
      <c r="K1631">
        <v>1.10349599999999</v>
      </c>
      <c r="L1631">
        <v>284.68079999999998</v>
      </c>
      <c r="M1631">
        <v>-0.9996853</v>
      </c>
      <c r="N1631">
        <v>0</v>
      </c>
      <c r="O1631">
        <v>-2.0496190000000001E-2</v>
      </c>
      <c r="P1631">
        <v>-0.9980173</v>
      </c>
      <c r="Q1631">
        <v>5.5980259999999999E-3</v>
      </c>
      <c r="R1631">
        <v>-6.2691990000000003E-2</v>
      </c>
      <c r="S1631">
        <v>-3.0183719999999998</v>
      </c>
      <c r="T1631">
        <v>-0.2129211</v>
      </c>
      <c r="U1631">
        <v>0.1788025</v>
      </c>
      <c r="V1631">
        <v>-4.2191239999999998E-2</v>
      </c>
      <c r="W1631">
        <v>2.0115270000000001E-2</v>
      </c>
      <c r="X1631">
        <v>0.99890699999999999</v>
      </c>
      <c r="Y1631">
        <v>7.9337160000000004E-2</v>
      </c>
      <c r="Z1631">
        <v>4.2354549999999999E-3</v>
      </c>
      <c r="AA1631">
        <v>0.99683889999999997</v>
      </c>
      <c r="AB1631">
        <v>36</v>
      </c>
      <c r="AC1631">
        <v>-0.51279999999996995</v>
      </c>
      <c r="AD1631">
        <v>-6.2663999999999803E-2</v>
      </c>
      <c r="AE1631">
        <v>6.0300000000040599E-2</v>
      </c>
      <c r="AF1631">
        <v>6.9771208946393701E-2</v>
      </c>
      <c r="AG1631">
        <v>-6.2663999999999803E-2</v>
      </c>
      <c r="AH1631">
        <v>0.50403226317511296</v>
      </c>
      <c r="AI1631">
        <v>97.020686993153703</v>
      </c>
      <c r="AJ1631">
        <v>82.118854256780196</v>
      </c>
      <c r="AK1631">
        <v>0.51268247562723301</v>
      </c>
    </row>
    <row r="1632" spans="1:37" x14ac:dyDescent="0.2">
      <c r="A1632" t="str">
        <f>"20200111160137003"</f>
        <v>20200111160137003</v>
      </c>
      <c r="B1632" t="str">
        <f>"1578729696992738"</f>
        <v>1578729696992738</v>
      </c>
      <c r="C1632" t="s">
        <v>37</v>
      </c>
      <c r="D1632">
        <v>5.069458</v>
      </c>
      <c r="E1632">
        <v>0.47593379999999902</v>
      </c>
      <c r="F1632" t="s">
        <v>57</v>
      </c>
      <c r="G1632">
        <v>-386.40940000000001</v>
      </c>
      <c r="H1632" s="1">
        <v>1.8739949999999901E-6</v>
      </c>
      <c r="I1632">
        <v>284.54109999999997</v>
      </c>
      <c r="J1632">
        <v>-369.80329999999998</v>
      </c>
      <c r="K1632">
        <v>1.103512</v>
      </c>
      <c r="L1632">
        <v>284.67439999999999</v>
      </c>
      <c r="M1632">
        <v>-0.99969560000000002</v>
      </c>
      <c r="N1632">
        <v>0</v>
      </c>
      <c r="O1632">
        <v>-1.9967370000000002E-2</v>
      </c>
      <c r="P1632">
        <v>-0.9979865</v>
      </c>
      <c r="Q1632">
        <v>5.0935099999999999E-3</v>
      </c>
      <c r="R1632">
        <v>-6.3228590000000001E-2</v>
      </c>
      <c r="S1632">
        <v>-3.0055540000000001</v>
      </c>
      <c r="T1632">
        <v>-0.19572200000000001</v>
      </c>
      <c r="U1632">
        <v>-2.478027E-2</v>
      </c>
      <c r="V1632">
        <v>-4.3257610000000002E-2</v>
      </c>
      <c r="W1632">
        <v>1.96495E-2</v>
      </c>
      <c r="X1632">
        <v>0.9988707</v>
      </c>
      <c r="Y1632">
        <v>1.165891E-2</v>
      </c>
      <c r="Z1632">
        <v>1.678131E-3</v>
      </c>
      <c r="AA1632">
        <v>0.9999306</v>
      </c>
      <c r="AB1632">
        <v>36</v>
      </c>
      <c r="AC1632">
        <v>-16.606100000000001</v>
      </c>
      <c r="AD1632">
        <v>-1.103510126005</v>
      </c>
      <c r="AE1632">
        <v>-0.13330000000001899</v>
      </c>
      <c r="AF1632">
        <v>0.19746960152167201</v>
      </c>
      <c r="AG1632">
        <v>-1.103510126005</v>
      </c>
      <c r="AH1632">
        <v>16.5324498875313</v>
      </c>
      <c r="AI1632">
        <v>93.818450132589007</v>
      </c>
      <c r="AJ1632">
        <v>89.315670888702499</v>
      </c>
      <c r="AK1632">
        <v>16.570414241214799</v>
      </c>
    </row>
    <row r="1633" spans="1:37" x14ac:dyDescent="0.2">
      <c r="A1633" t="str">
        <f>"20200111160137025"</f>
        <v>20200111160137025</v>
      </c>
      <c r="B1633" t="str">
        <f>"1578729697022995"</f>
        <v>1578729697022995</v>
      </c>
      <c r="C1633" t="s">
        <v>37</v>
      </c>
      <c r="D1633">
        <v>5.0372529999999998</v>
      </c>
      <c r="E1633">
        <v>0.46918589999999999</v>
      </c>
      <c r="F1633" t="s">
        <v>60</v>
      </c>
      <c r="G1633">
        <v>-421.08589999999998</v>
      </c>
      <c r="H1633" s="1">
        <v>4.7059839999999999E-6</v>
      </c>
      <c r="I1633">
        <v>278.06920000000002</v>
      </c>
      <c r="J1633">
        <v>-370.16399999999999</v>
      </c>
      <c r="K1633">
        <v>1.1035280000000001</v>
      </c>
      <c r="L1633">
        <v>284.66770000000002</v>
      </c>
      <c r="M1633">
        <v>-0.99970590000000004</v>
      </c>
      <c r="N1633">
        <v>0</v>
      </c>
      <c r="O1633">
        <v>-1.940894E-2</v>
      </c>
      <c r="P1633">
        <v>-0.99796839999999998</v>
      </c>
      <c r="Q1633">
        <v>4.2803570000000003E-3</v>
      </c>
      <c r="R1633">
        <v>-6.3569050000000002E-2</v>
      </c>
      <c r="S1633">
        <v>-2.9820859999999998</v>
      </c>
      <c r="T1633">
        <v>-6.4169050000000005E-2</v>
      </c>
      <c r="U1633">
        <v>-0.3840942</v>
      </c>
      <c r="V1633">
        <v>-4.4157979999999999E-2</v>
      </c>
      <c r="W1633">
        <v>1.8872400000000001E-2</v>
      </c>
      <c r="X1633">
        <v>0.99884629999999996</v>
      </c>
      <c r="Y1633">
        <v>-0.108449</v>
      </c>
      <c r="Z1633">
        <v>-7.4610520000000001E-4</v>
      </c>
      <c r="AA1633">
        <v>0.99410180000000004</v>
      </c>
      <c r="AB1633">
        <v>36</v>
      </c>
      <c r="AC1633">
        <v>-50.921900000000001</v>
      </c>
      <c r="AD1633">
        <v>-1.103523294016</v>
      </c>
      <c r="AE1633">
        <v>-6.5984999999999996</v>
      </c>
      <c r="AF1633">
        <v>-5.6062228207655602</v>
      </c>
      <c r="AG1633">
        <v>-1.103523294016</v>
      </c>
      <c r="AH1633">
        <v>51.016825915955501</v>
      </c>
      <c r="AI1633">
        <v>91.231735003581406</v>
      </c>
      <c r="AJ1633">
        <v>96.2710532747858</v>
      </c>
      <c r="AK1633">
        <v>51.3357967164767</v>
      </c>
    </row>
    <row r="1634" spans="1:37" x14ac:dyDescent="0.2">
      <c r="A1634" t="str">
        <f>"20200111160137048"</f>
        <v>20200111160137048</v>
      </c>
      <c r="B1634" t="str">
        <f>"1578729697042514"</f>
        <v>1578729697042514</v>
      </c>
      <c r="C1634" t="s">
        <v>37</v>
      </c>
      <c r="D1634">
        <v>4.9994829999999997</v>
      </c>
      <c r="E1634">
        <v>0.46991379999999999</v>
      </c>
      <c r="F1634" t="s">
        <v>57</v>
      </c>
      <c r="G1634">
        <v>-396.37049999999999</v>
      </c>
      <c r="H1634" s="1">
        <v>1.8532460000000001E-6</v>
      </c>
      <c r="I1634">
        <v>280.78590000000003</v>
      </c>
      <c r="J1634">
        <v>-370.53989999999999</v>
      </c>
      <c r="K1634">
        <v>1.103545</v>
      </c>
      <c r="L1634">
        <v>284.661</v>
      </c>
      <c r="M1634">
        <v>-0.99971650000000001</v>
      </c>
      <c r="N1634">
        <v>0</v>
      </c>
      <c r="O1634">
        <v>-1.8828999999999999E-2</v>
      </c>
      <c r="P1634">
        <v>-0.99798240000000005</v>
      </c>
      <c r="Q1634">
        <v>3.5338769999999999E-3</v>
      </c>
      <c r="R1634">
        <v>-6.3391989999999995E-2</v>
      </c>
      <c r="S1634">
        <v>-2.9785159999999999</v>
      </c>
      <c r="T1634">
        <v>-0.12542239999999999</v>
      </c>
      <c r="U1634">
        <v>-0.44119259999999899</v>
      </c>
      <c r="V1634">
        <v>-4.4561980000000001E-2</v>
      </c>
      <c r="W1634">
        <v>1.8156309999999998E-2</v>
      </c>
      <c r="X1634">
        <v>0.998841599999999</v>
      </c>
      <c r="Y1634">
        <v>-0.12777810000000001</v>
      </c>
      <c r="Z1634">
        <v>-1.8865419999999999E-3</v>
      </c>
      <c r="AA1634">
        <v>0.99180100000000004</v>
      </c>
      <c r="AB1634">
        <v>36</v>
      </c>
      <c r="AC1634">
        <v>-25.8306</v>
      </c>
      <c r="AD1634">
        <v>-1.103543146754</v>
      </c>
      <c r="AE1634">
        <v>-3.87509999999997</v>
      </c>
      <c r="AF1634">
        <v>-3.3819599701344498</v>
      </c>
      <c r="AG1634">
        <v>-1.103543146754</v>
      </c>
      <c r="AH1634">
        <v>25.852843830675202</v>
      </c>
      <c r="AI1634">
        <v>92.4235944186739</v>
      </c>
      <c r="AJ1634">
        <v>97.452871371120594</v>
      </c>
      <c r="AK1634">
        <v>26.096455599364798</v>
      </c>
    </row>
    <row r="1635" spans="1:37" x14ac:dyDescent="0.2">
      <c r="A1635" t="str">
        <f>"20200111160137070"</f>
        <v>20200111160137070</v>
      </c>
      <c r="B1635" t="str">
        <f>"1578729697063010"</f>
        <v>1578729697063010</v>
      </c>
      <c r="C1635" t="s">
        <v>37</v>
      </c>
      <c r="D1635">
        <v>5.0180480000000003</v>
      </c>
      <c r="E1635">
        <v>0.47081390000000001</v>
      </c>
      <c r="F1635" t="s">
        <v>57</v>
      </c>
      <c r="G1635">
        <v>-392.31479999999999</v>
      </c>
      <c r="H1635" s="1">
        <v>-3.0497229999999999E-7</v>
      </c>
      <c r="I1635">
        <v>281.47480000000002</v>
      </c>
      <c r="J1635">
        <v>-370.90210000000002</v>
      </c>
      <c r="K1635">
        <v>1.103561</v>
      </c>
      <c r="L1635">
        <v>284.65469999999999</v>
      </c>
      <c r="M1635">
        <v>-0.99972659999999902</v>
      </c>
      <c r="N1635">
        <v>0</v>
      </c>
      <c r="O1635">
        <v>-1.8271880000000001E-2</v>
      </c>
      <c r="P1635">
        <v>-0.99800089999999997</v>
      </c>
      <c r="Q1635">
        <v>2.2845769999999999E-3</v>
      </c>
      <c r="R1635">
        <v>-6.3160439999999998E-2</v>
      </c>
      <c r="S1635">
        <v>-2.978882</v>
      </c>
      <c r="T1635">
        <v>-0.15096899999999999</v>
      </c>
      <c r="U1635">
        <v>-0.43588260000000001</v>
      </c>
      <c r="V1635">
        <v>-4.4888249999999998E-2</v>
      </c>
      <c r="W1635">
        <v>1.693246E-2</v>
      </c>
      <c r="X1635">
        <v>0.99884850000000003</v>
      </c>
      <c r="Y1635">
        <v>-0.12654109999999999</v>
      </c>
      <c r="Z1635">
        <v>-2.2672579999999999E-3</v>
      </c>
      <c r="AA1635">
        <v>0.99195879999999903</v>
      </c>
      <c r="AB1635">
        <v>36</v>
      </c>
      <c r="AC1635">
        <v>-21.412699999999901</v>
      </c>
      <c r="AD1635">
        <v>-1.1035613049723001</v>
      </c>
      <c r="AE1635">
        <v>-3.1798999999999702</v>
      </c>
      <c r="AF1635">
        <v>-2.7808501558596599</v>
      </c>
      <c r="AG1635">
        <v>-1.1035613049723001</v>
      </c>
      <c r="AH1635">
        <v>21.4115885611171</v>
      </c>
      <c r="AI1635">
        <v>92.925904990257706</v>
      </c>
      <c r="AJ1635">
        <v>97.399921940807204</v>
      </c>
      <c r="AK1635">
        <v>21.619599900408399</v>
      </c>
    </row>
    <row r="1636" spans="1:37" x14ac:dyDescent="0.2">
      <c r="A1636" t="str">
        <f>"20200111160137092"</f>
        <v>20200111160137092</v>
      </c>
      <c r="B1636" t="str">
        <f>"1578729697082531"</f>
        <v>1578729697082531</v>
      </c>
      <c r="C1636" t="s">
        <v>37</v>
      </c>
      <c r="D1636">
        <v>5.067475</v>
      </c>
      <c r="E1636">
        <v>0.4709661</v>
      </c>
      <c r="F1636" t="s">
        <v>57</v>
      </c>
      <c r="G1636">
        <v>-390.37790000000001</v>
      </c>
      <c r="H1636" s="1">
        <v>-1.3356890000000001E-6</v>
      </c>
      <c r="I1636">
        <v>281.8546</v>
      </c>
      <c r="J1636">
        <v>-371.24610000000001</v>
      </c>
      <c r="K1636">
        <v>1.1035709999999901</v>
      </c>
      <c r="L1636">
        <v>284.649</v>
      </c>
      <c r="M1636">
        <v>-0.99973579999999995</v>
      </c>
      <c r="N1636">
        <v>0</v>
      </c>
      <c r="O1636">
        <v>-1.774823E-2</v>
      </c>
      <c r="P1636">
        <v>-0.99804179999999998</v>
      </c>
      <c r="Q1636">
        <v>1.741519E-3</v>
      </c>
      <c r="R1636">
        <v>-6.2530970000000005E-2</v>
      </c>
      <c r="S1636">
        <v>-2.979279</v>
      </c>
      <c r="T1636">
        <v>-0.16881570000000001</v>
      </c>
      <c r="U1636">
        <v>-0.42834470000000002</v>
      </c>
      <c r="V1636">
        <v>-4.47829E-2</v>
      </c>
      <c r="W1636">
        <v>1.640896E-2</v>
      </c>
      <c r="X1636">
        <v>0.99886200000000003</v>
      </c>
      <c r="Y1636">
        <v>-0.1245517</v>
      </c>
      <c r="Z1636">
        <v>-2.508443E-3</v>
      </c>
      <c r="AA1636">
        <v>0.99221000000000004</v>
      </c>
      <c r="AB1636">
        <v>36</v>
      </c>
      <c r="AC1636">
        <v>-19.131799999999998</v>
      </c>
      <c r="AD1636">
        <v>-1.1035723356889999</v>
      </c>
      <c r="AE1636">
        <v>-2.7943999999999898</v>
      </c>
      <c r="AF1636">
        <v>-2.44639810574572</v>
      </c>
      <c r="AG1636">
        <v>-1.1035723356889999</v>
      </c>
      <c r="AH1636">
        <v>19.116110648010199</v>
      </c>
      <c r="AI1636">
        <v>93.277346065350798</v>
      </c>
      <c r="AJ1636">
        <v>97.292827829596803</v>
      </c>
      <c r="AK1636">
        <v>19.3035857264619</v>
      </c>
    </row>
    <row r="1637" spans="1:37" x14ac:dyDescent="0.2">
      <c r="A1637" t="str">
        <f>"20200111160137118"</f>
        <v>20200111160137118</v>
      </c>
      <c r="B1637" t="str">
        <f>"1578729697112786"</f>
        <v>1578729697112786</v>
      </c>
      <c r="C1637" t="s">
        <v>37</v>
      </c>
      <c r="D1637">
        <v>5.0426690000000001</v>
      </c>
      <c r="E1637">
        <v>0.47135579999999999</v>
      </c>
      <c r="F1637" t="s">
        <v>57</v>
      </c>
      <c r="G1637">
        <v>-389.58139999999997</v>
      </c>
      <c r="H1637" s="1">
        <v>3.561972E-6</v>
      </c>
      <c r="I1637">
        <v>282.02999999999997</v>
      </c>
      <c r="J1637">
        <v>-371.63209999999998</v>
      </c>
      <c r="K1637">
        <v>1.1035809999999999</v>
      </c>
      <c r="L1637">
        <v>284.64280000000002</v>
      </c>
      <c r="M1637">
        <v>-0.99974549999999995</v>
      </c>
      <c r="N1637">
        <v>0</v>
      </c>
      <c r="O1637">
        <v>-1.7167519999999999E-2</v>
      </c>
      <c r="P1637">
        <v>-0.99810669999999901</v>
      </c>
      <c r="Q1637">
        <v>1.126794E-3</v>
      </c>
      <c r="R1637">
        <v>-6.1496059999999998E-2</v>
      </c>
      <c r="S1637">
        <v>-2.9795529999999899</v>
      </c>
      <c r="T1637">
        <v>-0.17933299999999999</v>
      </c>
      <c r="U1637">
        <v>-0.42559809999999998</v>
      </c>
      <c r="V1637">
        <v>-4.4328470000000002E-2</v>
      </c>
      <c r="W1637">
        <v>1.5811559999999999E-2</v>
      </c>
      <c r="X1637">
        <v>0.99889189999999894</v>
      </c>
      <c r="Y1637">
        <v>-0.124197</v>
      </c>
      <c r="Z1637">
        <v>-2.6884890000000001E-3</v>
      </c>
      <c r="AA1637">
        <v>0.99225399999999997</v>
      </c>
      <c r="AB1637">
        <v>36</v>
      </c>
      <c r="AC1637">
        <v>-17.949299999999901</v>
      </c>
      <c r="AD1637">
        <v>-1.1035774380279999</v>
      </c>
      <c r="AE1637">
        <v>-2.61280000000004</v>
      </c>
      <c r="AF1637">
        <v>-2.2957386892335401</v>
      </c>
      <c r="AG1637">
        <v>-1.1035774380279999</v>
      </c>
      <c r="AH1637">
        <v>17.925160257087299</v>
      </c>
      <c r="AI1637">
        <v>93.494543743555695</v>
      </c>
      <c r="AJ1637">
        <v>97.298341754428705</v>
      </c>
      <c r="AK1637">
        <v>18.105238731738101</v>
      </c>
    </row>
    <row r="1638" spans="1:37" x14ac:dyDescent="0.2">
      <c r="A1638" t="str">
        <f>"20200111160137138"</f>
        <v>20200111160137138</v>
      </c>
      <c r="B1638" t="str">
        <f>"1578729697132306"</f>
        <v>1578729697132306</v>
      </c>
      <c r="C1638" t="s">
        <v>37</v>
      </c>
      <c r="D1638">
        <v>5.0754999999999999</v>
      </c>
      <c r="E1638">
        <v>0.47104609999999902</v>
      </c>
      <c r="F1638" t="s">
        <v>57</v>
      </c>
      <c r="G1638">
        <v>-388.95429999999999</v>
      </c>
      <c r="H1638" s="1">
        <v>3.2282510000000002E-6</v>
      </c>
      <c r="I1638">
        <v>282.20299999999997</v>
      </c>
      <c r="J1638">
        <v>-371.9742</v>
      </c>
      <c r="K1638">
        <v>1.103599</v>
      </c>
      <c r="L1638">
        <v>284.63740000000001</v>
      </c>
      <c r="M1638">
        <v>-0.99975389999999997</v>
      </c>
      <c r="N1638">
        <v>0</v>
      </c>
      <c r="O1638">
        <v>-1.6666199999999999E-2</v>
      </c>
      <c r="P1638">
        <v>-0.99817529999999999</v>
      </c>
      <c r="Q1638">
        <v>1.0928699999999999E-3</v>
      </c>
      <c r="R1638">
        <v>-6.0377989999999999E-2</v>
      </c>
      <c r="S1638">
        <v>-2.9800719999999998</v>
      </c>
      <c r="T1638">
        <v>-0.18985659999999999</v>
      </c>
      <c r="U1638">
        <v>-0.41973879999999902</v>
      </c>
      <c r="V1638">
        <v>-4.3710699999999998E-2</v>
      </c>
      <c r="W1638">
        <v>1.5789629999999999E-2</v>
      </c>
      <c r="X1638">
        <v>0.99891939999999901</v>
      </c>
      <c r="Y1638">
        <v>-0.122736699999999</v>
      </c>
      <c r="Z1638">
        <v>-2.8313349999999999E-3</v>
      </c>
      <c r="AA1638">
        <v>0.99243519999999896</v>
      </c>
      <c r="AB1638">
        <v>36</v>
      </c>
      <c r="AC1638">
        <v>-16.980099999999901</v>
      </c>
      <c r="AD1638">
        <v>-1.1035957717489999</v>
      </c>
      <c r="AE1638">
        <v>-2.4344000000000299</v>
      </c>
      <c r="AF1638">
        <v>-2.1421711208098202</v>
      </c>
      <c r="AG1638">
        <v>-1.1035957717489999</v>
      </c>
      <c r="AH1638">
        <v>16.948167901251502</v>
      </c>
      <c r="AI1638">
        <v>93.696282413546299</v>
      </c>
      <c r="AJ1638">
        <v>97.203725499723305</v>
      </c>
      <c r="AK1638">
        <v>17.118621905611</v>
      </c>
    </row>
    <row r="1639" spans="1:37" x14ac:dyDescent="0.2">
      <c r="A1639" t="str">
        <f>"20200111160137160"</f>
        <v>20200111160137160</v>
      </c>
      <c r="B1639" t="str">
        <f>"1578729697152802"</f>
        <v>1578729697152802</v>
      </c>
      <c r="C1639" t="s">
        <v>37</v>
      </c>
      <c r="D1639">
        <v>5.1020320000000003</v>
      </c>
      <c r="E1639">
        <v>0.47112090000000001</v>
      </c>
      <c r="F1639" t="s">
        <v>57</v>
      </c>
      <c r="G1639">
        <v>-389.54430000000002</v>
      </c>
      <c r="H1639" s="1">
        <v>3.5421910000000001E-6</v>
      </c>
      <c r="I1639">
        <v>282.17009999999999</v>
      </c>
      <c r="J1639">
        <v>-372.34059999999999</v>
      </c>
      <c r="K1639">
        <v>1.1036250000000001</v>
      </c>
      <c r="L1639">
        <v>284.6318</v>
      </c>
      <c r="M1639">
        <v>-0.99976200000000004</v>
      </c>
      <c r="N1639">
        <v>0</v>
      </c>
      <c r="O1639">
        <v>-1.6155349999999999E-2</v>
      </c>
      <c r="P1639">
        <v>-0.99824639999999998</v>
      </c>
      <c r="Q1639">
        <v>6.1045030000000001E-4</v>
      </c>
      <c r="R1639">
        <v>-5.9192809999999998E-2</v>
      </c>
      <c r="S1639">
        <v>-2.9803160000000002</v>
      </c>
      <c r="T1639">
        <v>-0.18719749999999999</v>
      </c>
      <c r="U1639">
        <v>-0.418518099999999</v>
      </c>
      <c r="V1639">
        <v>-4.3036530000000003E-2</v>
      </c>
      <c r="W1639">
        <v>1.5317620000000001E-2</v>
      </c>
      <c r="X1639">
        <v>0.99895610000000001</v>
      </c>
      <c r="Y1639">
        <v>-0.1228387</v>
      </c>
      <c r="Z1639">
        <v>-2.826673E-3</v>
      </c>
      <c r="AA1639">
        <v>0.99242260000000004</v>
      </c>
      <c r="AB1639">
        <v>36</v>
      </c>
      <c r="AC1639">
        <v>-17.203700000000001</v>
      </c>
      <c r="AD1639">
        <v>-1.103621457809</v>
      </c>
      <c r="AE1639">
        <v>-2.4617</v>
      </c>
      <c r="AF1639">
        <v>-2.1746473295970699</v>
      </c>
      <c r="AG1639">
        <v>-1.103621457809</v>
      </c>
      <c r="AH1639">
        <v>17.171979072965801</v>
      </c>
      <c r="AI1639">
        <v>93.6482120396293</v>
      </c>
      <c r="AJ1639">
        <v>97.217477323324601</v>
      </c>
      <c r="AK1639">
        <v>17.344276768220599</v>
      </c>
    </row>
    <row r="1640" spans="1:37" x14ac:dyDescent="0.2">
      <c r="A1640" t="str">
        <f>"20200111160137182"</f>
        <v>20200111160137182</v>
      </c>
      <c r="B1640" t="str">
        <f>"1578729697172322"</f>
        <v>1578729697172322</v>
      </c>
      <c r="C1640" t="s">
        <v>37</v>
      </c>
      <c r="D1640">
        <v>5.2507769999999896</v>
      </c>
      <c r="E1640">
        <v>0.47080749999999999</v>
      </c>
      <c r="F1640" t="s">
        <v>57</v>
      </c>
      <c r="G1640">
        <v>-389.62430000000001</v>
      </c>
      <c r="H1640" s="1">
        <v>3.5847650000000001E-6</v>
      </c>
      <c r="I1640">
        <v>282.2287</v>
      </c>
      <c r="J1640">
        <v>-372.69099999999997</v>
      </c>
      <c r="K1640">
        <v>1.103661</v>
      </c>
      <c r="L1640">
        <v>284.6266</v>
      </c>
      <c r="M1640">
        <v>-0.99976909999999897</v>
      </c>
      <c r="N1640">
        <v>0</v>
      </c>
      <c r="O1640">
        <v>-1.570446E-2</v>
      </c>
      <c r="P1640">
        <v>-0.99827730000000003</v>
      </c>
      <c r="Q1640">
        <v>2.415869E-4</v>
      </c>
      <c r="R1640">
        <v>-5.8676779999999998E-2</v>
      </c>
      <c r="S1640">
        <v>-2.980804</v>
      </c>
      <c r="T1640">
        <v>-0.19033429999999901</v>
      </c>
      <c r="U1640">
        <v>-0.41445920000000003</v>
      </c>
      <c r="V1640">
        <v>-4.2971990000000002E-2</v>
      </c>
      <c r="W1640">
        <v>1.495527E-2</v>
      </c>
      <c r="X1640">
        <v>0.99896430000000003</v>
      </c>
      <c r="Y1640">
        <v>-0.12193229999999999</v>
      </c>
      <c r="Z1640">
        <v>-2.8735829999999999E-3</v>
      </c>
      <c r="AA1640">
        <v>0.99253429999999998</v>
      </c>
      <c r="AB1640">
        <v>36</v>
      </c>
      <c r="AC1640">
        <v>-16.933299999999999</v>
      </c>
      <c r="AD1640">
        <v>-1.103657415235</v>
      </c>
      <c r="AE1640">
        <v>-2.3978999999999902</v>
      </c>
      <c r="AF1640">
        <v>-2.1228068566059499</v>
      </c>
      <c r="AG1640">
        <v>-1.103657415235</v>
      </c>
      <c r="AH1640">
        <v>16.898499304023201</v>
      </c>
      <c r="AI1640">
        <v>93.707678020028695</v>
      </c>
      <c r="AJ1640">
        <v>97.160048538429194</v>
      </c>
      <c r="AK1640">
        <v>17.067033935887299</v>
      </c>
    </row>
    <row r="1641" spans="1:37" x14ac:dyDescent="0.2">
      <c r="A1641" t="str">
        <f>"20200111160137204"</f>
        <v>20200111160137204</v>
      </c>
      <c r="B1641" t="str">
        <f>"1578729697192818"</f>
        <v>1578729697192818</v>
      </c>
      <c r="C1641" t="s">
        <v>37</v>
      </c>
      <c r="D1641">
        <v>5.0888239999999998</v>
      </c>
      <c r="E1641">
        <v>0.47073579999999998</v>
      </c>
      <c r="F1641" t="s">
        <v>57</v>
      </c>
      <c r="G1641">
        <v>-389.93290000000002</v>
      </c>
      <c r="H1641" s="1">
        <v>3.7489810000000001E-6</v>
      </c>
      <c r="I1641">
        <v>282.22340000000003</v>
      </c>
      <c r="J1641">
        <v>-373.0421</v>
      </c>
      <c r="K1641">
        <v>1.1037030000000001</v>
      </c>
      <c r="L1641">
        <v>284.6216</v>
      </c>
      <c r="M1641">
        <v>-0.99977510000000003</v>
      </c>
      <c r="N1641">
        <v>0</v>
      </c>
      <c r="O1641">
        <v>-1.5297460000000001E-2</v>
      </c>
      <c r="P1641">
        <v>-0.99827399999999999</v>
      </c>
      <c r="Q1641">
        <v>1.972504E-4</v>
      </c>
      <c r="R1641">
        <v>-5.8730070000000002E-2</v>
      </c>
      <c r="S1641">
        <v>-2.980804</v>
      </c>
      <c r="T1641">
        <v>-0.19080239999999901</v>
      </c>
      <c r="U1641">
        <v>-0.41546629999999901</v>
      </c>
      <c r="V1641">
        <v>-4.3433579999999999E-2</v>
      </c>
      <c r="W1641">
        <v>1.491522E-2</v>
      </c>
      <c r="X1641">
        <v>0.99894499999999997</v>
      </c>
      <c r="Y1641">
        <v>-0.12266189999999901</v>
      </c>
      <c r="Z1641">
        <v>-2.9296750000000001E-3</v>
      </c>
      <c r="AA1641">
        <v>0.992444199999999</v>
      </c>
      <c r="AB1641">
        <v>36</v>
      </c>
      <c r="AC1641">
        <v>-16.890799999999999</v>
      </c>
      <c r="AD1641">
        <v>-1.103699251019</v>
      </c>
      <c r="AE1641">
        <v>-2.3981999999999699</v>
      </c>
      <c r="AF1641">
        <v>-2.13058782113416</v>
      </c>
      <c r="AG1641">
        <v>-1.103699251019</v>
      </c>
      <c r="AH1641">
        <v>16.854969286805101</v>
      </c>
      <c r="AI1641">
        <v>93.717005811561094</v>
      </c>
      <c r="AJ1641">
        <v>97.204383233631205</v>
      </c>
      <c r="AK1641">
        <v>17.0249095785971</v>
      </c>
    </row>
    <row r="1642" spans="1:37" x14ac:dyDescent="0.2">
      <c r="A1642" t="str">
        <f>"20200111160137226"</f>
        <v>20200111160137226</v>
      </c>
      <c r="B1642" t="str">
        <f>"1578729697223074"</f>
        <v>1578729697223074</v>
      </c>
      <c r="C1642" t="s">
        <v>37</v>
      </c>
      <c r="D1642">
        <v>5.1150260000000003</v>
      </c>
      <c r="E1642">
        <v>0.46999639999999998</v>
      </c>
      <c r="F1642" t="s">
        <v>57</v>
      </c>
      <c r="G1642">
        <v>-390.06819999999999</v>
      </c>
      <c r="H1642" s="1">
        <v>-1.5004699999999899E-6</v>
      </c>
      <c r="I1642">
        <v>282.24540000000002</v>
      </c>
      <c r="J1642">
        <v>-373.40249999999997</v>
      </c>
      <c r="K1642">
        <v>1.1037589999999999</v>
      </c>
      <c r="L1642">
        <v>284.6164</v>
      </c>
      <c r="M1642">
        <v>-0.99978069999999897</v>
      </c>
      <c r="N1642">
        <v>0</v>
      </c>
      <c r="O1642">
        <v>-1.493218E-2</v>
      </c>
      <c r="P1642">
        <v>-0.99825629999999999</v>
      </c>
      <c r="Q1642">
        <v>6.349646E-4</v>
      </c>
      <c r="R1642">
        <v>-5.9030340000000001E-2</v>
      </c>
      <c r="S1642">
        <v>-2.9807429999999999</v>
      </c>
      <c r="T1642">
        <v>-0.193223799999999</v>
      </c>
      <c r="U1642">
        <v>-0.415985099999999</v>
      </c>
      <c r="V1642">
        <v>-4.4100149999999998E-2</v>
      </c>
      <c r="W1642">
        <v>1.535481E-2</v>
      </c>
      <c r="X1642">
        <v>0.99890909999999999</v>
      </c>
      <c r="Y1642">
        <v>-0.1231894</v>
      </c>
      <c r="Z1642">
        <v>-3.0073270000000002E-3</v>
      </c>
      <c r="AA1642">
        <v>0.99237869999999995</v>
      </c>
      <c r="AB1642">
        <v>36</v>
      </c>
      <c r="AC1642">
        <v>-16.665700000000001</v>
      </c>
      <c r="AD1642">
        <v>-1.10376050047</v>
      </c>
      <c r="AE1642">
        <v>-2.37099999999998</v>
      </c>
      <c r="AF1642">
        <v>-2.1127700545397698</v>
      </c>
      <c r="AG1642">
        <v>-1.10376050047</v>
      </c>
      <c r="AH1642">
        <v>16.6277614109677</v>
      </c>
      <c r="AI1642">
        <v>93.767552264566007</v>
      </c>
      <c r="AJ1642">
        <v>97.241358529527801</v>
      </c>
      <c r="AK1642">
        <v>16.797753840493801</v>
      </c>
    </row>
    <row r="1643" spans="1:37" x14ac:dyDescent="0.2">
      <c r="A1643" t="str">
        <f>"20200111160137250"</f>
        <v>20200111160137250</v>
      </c>
      <c r="B1643" t="str">
        <f>"1578729697242594"</f>
        <v>1578729697242594</v>
      </c>
      <c r="C1643" t="s">
        <v>37</v>
      </c>
      <c r="D1643">
        <v>5.1585580000000002</v>
      </c>
      <c r="E1643">
        <v>0.46963369999999999</v>
      </c>
      <c r="F1643" t="s">
        <v>57</v>
      </c>
      <c r="G1643">
        <v>-390.5419</v>
      </c>
      <c r="H1643" s="1">
        <v>-1.2484120000000001E-6</v>
      </c>
      <c r="I1643">
        <v>282.18389999999999</v>
      </c>
      <c r="J1643">
        <v>-373.77820000000003</v>
      </c>
      <c r="K1643">
        <v>1.1038129999999999</v>
      </c>
      <c r="L1643">
        <v>284.61110000000002</v>
      </c>
      <c r="M1643">
        <v>-0.99978529999999999</v>
      </c>
      <c r="N1643">
        <v>0</v>
      </c>
      <c r="O1643">
        <v>-1.460941E-2</v>
      </c>
      <c r="P1643">
        <v>-0.99825079999999999</v>
      </c>
      <c r="Q1643">
        <v>-1.6215439999999999E-4</v>
      </c>
      <c r="R1643">
        <v>-5.9122769999999998E-2</v>
      </c>
      <c r="S1643">
        <v>-2.9803470000000001</v>
      </c>
      <c r="T1643">
        <v>-0.1919312</v>
      </c>
      <c r="U1643">
        <v>-0.42297360000000001</v>
      </c>
      <c r="V1643">
        <v>-4.4518410000000001E-2</v>
      </c>
      <c r="W1643">
        <v>1.455763E-2</v>
      </c>
      <c r="X1643">
        <v>0.99890249999999903</v>
      </c>
      <c r="Y1643">
        <v>-0.12580619999999901</v>
      </c>
      <c r="Z1643">
        <v>-3.0915700000000001E-3</v>
      </c>
      <c r="AA1643">
        <v>0.99204999999999999</v>
      </c>
      <c r="AB1643">
        <v>36</v>
      </c>
      <c r="AC1643">
        <v>-16.763699999999901</v>
      </c>
      <c r="AD1643">
        <v>-1.1038142484119999</v>
      </c>
      <c r="AE1643">
        <v>-2.42720000000002</v>
      </c>
      <c r="AF1643">
        <v>-2.1727797576288399</v>
      </c>
      <c r="AG1643">
        <v>-1.1038142484119999</v>
      </c>
      <c r="AH1643">
        <v>16.726344152420701</v>
      </c>
      <c r="AI1643">
        <v>93.744252173814601</v>
      </c>
      <c r="AJ1643">
        <v>97.401370849525705</v>
      </c>
      <c r="AK1643">
        <v>16.902957329277498</v>
      </c>
    </row>
    <row r="1644" spans="1:37" x14ac:dyDescent="0.2">
      <c r="A1644" t="str">
        <f>"20200111160137271"</f>
        <v>20200111160137271</v>
      </c>
      <c r="B1644" t="str">
        <f>"1578729697263090"</f>
        <v>1578729697263090</v>
      </c>
      <c r="C1644" t="s">
        <v>37</v>
      </c>
      <c r="D1644">
        <v>5.1705030000000001</v>
      </c>
      <c r="E1644">
        <v>0.46954269999999998</v>
      </c>
      <c r="F1644" t="s">
        <v>57</v>
      </c>
      <c r="G1644">
        <v>-390.6986</v>
      </c>
      <c r="H1644" s="1">
        <v>-1.165042E-6</v>
      </c>
      <c r="I1644">
        <v>282.19189999999998</v>
      </c>
      <c r="J1644">
        <v>-374.12329999999997</v>
      </c>
      <c r="K1644">
        <v>1.103853</v>
      </c>
      <c r="L1644">
        <v>284.60629999999998</v>
      </c>
      <c r="M1644">
        <v>-0.99978889999999998</v>
      </c>
      <c r="N1644">
        <v>0</v>
      </c>
      <c r="O1644">
        <v>-1.4361840000000001E-2</v>
      </c>
      <c r="P1644">
        <v>-0.99825019999999998</v>
      </c>
      <c r="Q1644">
        <v>-6.7615320000000004E-4</v>
      </c>
      <c r="R1644">
        <v>-5.913065E-2</v>
      </c>
      <c r="S1644">
        <v>-2.9799799999999999</v>
      </c>
      <c r="T1644">
        <v>-0.1944014</v>
      </c>
      <c r="U1644">
        <v>-0.42605589999999999</v>
      </c>
      <c r="V1644">
        <v>-4.4774990000000001E-2</v>
      </c>
      <c r="W1644">
        <v>1.4042219999999999E-2</v>
      </c>
      <c r="X1644">
        <v>0.99889839999999996</v>
      </c>
      <c r="Y1644">
        <v>-0.1270654</v>
      </c>
      <c r="Z1644">
        <v>-3.1882989999999999E-3</v>
      </c>
      <c r="AA1644">
        <v>0.99188920000000003</v>
      </c>
      <c r="AB1644">
        <v>36</v>
      </c>
      <c r="AC1644">
        <v>-16.575299999999999</v>
      </c>
      <c r="AD1644">
        <v>-1.103854165042</v>
      </c>
      <c r="AE1644">
        <v>-2.4144000000000001</v>
      </c>
      <c r="AF1644">
        <v>-2.16666376757497</v>
      </c>
      <c r="AG1644">
        <v>-1.103854165042</v>
      </c>
      <c r="AH1644">
        <v>16.5364525090983</v>
      </c>
      <c r="AI1644">
        <v>93.786716971495395</v>
      </c>
      <c r="AJ1644">
        <v>97.464571810562703</v>
      </c>
      <c r="AK1644">
        <v>16.714280944302299</v>
      </c>
    </row>
    <row r="1645" spans="1:37" x14ac:dyDescent="0.2">
      <c r="A1645" t="str">
        <f>"20200111160137293"</f>
        <v>20200111160137293</v>
      </c>
      <c r="B1645" t="str">
        <f>"1578729697282611"</f>
        <v>1578729697282611</v>
      </c>
      <c r="C1645" t="s">
        <v>37</v>
      </c>
      <c r="D1645">
        <v>5.1728249999999996</v>
      </c>
      <c r="E1645">
        <v>0.4693737</v>
      </c>
      <c r="F1645" t="s">
        <v>57</v>
      </c>
      <c r="G1645">
        <v>-390.82459999999998</v>
      </c>
      <c r="H1645" s="1">
        <v>-1.0979689999999999E-6</v>
      </c>
      <c r="I1645">
        <v>282.21559999999999</v>
      </c>
      <c r="J1645">
        <v>-374.47489999999999</v>
      </c>
      <c r="K1645">
        <v>1.1038939999999999</v>
      </c>
      <c r="L1645">
        <v>284.60149999999999</v>
      </c>
      <c r="M1645">
        <v>-0.99979200000000001</v>
      </c>
      <c r="N1645">
        <v>0</v>
      </c>
      <c r="O1645">
        <v>-1.414384E-2</v>
      </c>
      <c r="P1645">
        <v>-0.99822520000000003</v>
      </c>
      <c r="Q1645">
        <v>-1.1796580000000001E-3</v>
      </c>
      <c r="R1645">
        <v>-5.9543329999999998E-2</v>
      </c>
      <c r="S1645">
        <v>-2.9798279999999999</v>
      </c>
      <c r="T1645">
        <v>-0.1969484</v>
      </c>
      <c r="U1645">
        <v>-0.42654419999999998</v>
      </c>
      <c r="V1645">
        <v>-4.5407370000000002E-2</v>
      </c>
      <c r="W1645">
        <v>1.3537769999999999E-2</v>
      </c>
      <c r="X1645">
        <v>0.99887680000000001</v>
      </c>
      <c r="Y1645">
        <v>-0.12744059999999999</v>
      </c>
      <c r="Z1645">
        <v>-3.2567429999999999E-3</v>
      </c>
      <c r="AA1645">
        <v>0.99184079999999997</v>
      </c>
      <c r="AB1645">
        <v>36</v>
      </c>
      <c r="AC1645">
        <v>-16.349699999999899</v>
      </c>
      <c r="AD1645">
        <v>-1.1038950979690001</v>
      </c>
      <c r="AE1645">
        <v>-2.3858999999999901</v>
      </c>
      <c r="AF1645">
        <v>-2.1448151959176598</v>
      </c>
      <c r="AG1645">
        <v>-1.1038950979690001</v>
      </c>
      <c r="AH1645">
        <v>16.309016804287399</v>
      </c>
      <c r="AI1645">
        <v>93.839268513718494</v>
      </c>
      <c r="AJ1645">
        <v>97.492031063214796</v>
      </c>
      <c r="AK1645">
        <v>16.486444302350002</v>
      </c>
    </row>
    <row r="1646" spans="1:37" x14ac:dyDescent="0.2">
      <c r="A1646" t="str">
        <f>"20200111160137317"</f>
        <v>20200111160137317</v>
      </c>
      <c r="B1646" t="str">
        <f>"1578729697312867"</f>
        <v>1578729697312867</v>
      </c>
      <c r="C1646" t="s">
        <v>37</v>
      </c>
      <c r="D1646">
        <v>5.1896120000000003</v>
      </c>
      <c r="E1646">
        <v>0.46912769999999998</v>
      </c>
      <c r="F1646" t="s">
        <v>57</v>
      </c>
      <c r="G1646">
        <v>-390.8938</v>
      </c>
      <c r="H1646" s="1">
        <v>-1.0611309999999999E-6</v>
      </c>
      <c r="I1646">
        <v>282.23899999999998</v>
      </c>
      <c r="J1646">
        <v>-374.85270000000003</v>
      </c>
      <c r="K1646">
        <v>1.1039239999999999</v>
      </c>
      <c r="L1646">
        <v>284.59640000000002</v>
      </c>
      <c r="M1646">
        <v>-0.99979479999999998</v>
      </c>
      <c r="N1646">
        <v>0</v>
      </c>
      <c r="O1646">
        <v>-1.393728E-2</v>
      </c>
      <c r="P1646">
        <v>-0.99818490000000004</v>
      </c>
      <c r="Q1646">
        <v>-1.193735E-3</v>
      </c>
      <c r="R1646">
        <v>-6.0215099999999903E-2</v>
      </c>
      <c r="S1646">
        <v>-2.979492</v>
      </c>
      <c r="T1646">
        <v>-0.20031959999999999</v>
      </c>
      <c r="U1646">
        <v>-0.42871090000000001</v>
      </c>
      <c r="V1646">
        <v>-4.6286609999999999E-2</v>
      </c>
      <c r="W1646">
        <v>1.352156E-2</v>
      </c>
      <c r="X1646">
        <v>0.99883670000000002</v>
      </c>
      <c r="Y1646">
        <v>-0.128357</v>
      </c>
      <c r="Z1646">
        <v>-3.3569770000000001E-3</v>
      </c>
      <c r="AA1646">
        <v>0.99172229999999995</v>
      </c>
      <c r="AB1646">
        <v>36</v>
      </c>
      <c r="AC1646">
        <v>-16.041099999999901</v>
      </c>
      <c r="AD1646">
        <v>-1.1039250611310001</v>
      </c>
      <c r="AE1646">
        <v>-2.3573999999999802</v>
      </c>
      <c r="AF1646">
        <v>-2.1237321708751198</v>
      </c>
      <c r="AG1646">
        <v>-1.1039250611310001</v>
      </c>
      <c r="AH1646">
        <v>15.998235181146899</v>
      </c>
      <c r="AI1646">
        <v>93.913099808028505</v>
      </c>
      <c r="AJ1646">
        <v>97.5616840516644</v>
      </c>
      <c r="AK1646">
        <v>16.176291842863399</v>
      </c>
    </row>
    <row r="1647" spans="1:37" x14ac:dyDescent="0.2">
      <c r="A1647" t="str">
        <f>"20200111160137339"</f>
        <v>20200111160137339</v>
      </c>
      <c r="B1647" t="str">
        <f>"1578729697332386"</f>
        <v>1578729697332386</v>
      </c>
      <c r="C1647" t="s">
        <v>37</v>
      </c>
      <c r="D1647">
        <v>5.1105409999999996</v>
      </c>
      <c r="E1647">
        <v>0.46897759999999999</v>
      </c>
      <c r="F1647" t="s">
        <v>57</v>
      </c>
      <c r="G1647">
        <v>-391.17259999999999</v>
      </c>
      <c r="H1647" s="1">
        <v>-9.1280939999999997E-7</v>
      </c>
      <c r="I1647">
        <v>282.22660000000002</v>
      </c>
      <c r="J1647">
        <v>-375.1952</v>
      </c>
      <c r="K1647">
        <v>1.1039429999999999</v>
      </c>
      <c r="L1647">
        <v>284.59179999999998</v>
      </c>
      <c r="M1647">
        <v>-0.9997973</v>
      </c>
      <c r="N1647">
        <v>0</v>
      </c>
      <c r="O1647">
        <v>-1.376524E-2</v>
      </c>
      <c r="P1647">
        <v>-0.99812880000000004</v>
      </c>
      <c r="Q1647">
        <v>-9.9378269999999993E-4</v>
      </c>
      <c r="R1647">
        <v>-6.114182E-2</v>
      </c>
      <c r="S1647">
        <v>-2.979095</v>
      </c>
      <c r="T1647">
        <v>-0.2015149</v>
      </c>
      <c r="U1647">
        <v>-0.43258669999999999</v>
      </c>
      <c r="V1647">
        <v>-4.7386659999999997E-2</v>
      </c>
      <c r="W1647">
        <v>1.3720380000000001E-2</v>
      </c>
      <c r="X1647">
        <v>0.99878239999999996</v>
      </c>
      <c r="Y1647">
        <v>-0.12980330000000001</v>
      </c>
      <c r="Z1647">
        <v>-3.4372600000000001E-3</v>
      </c>
      <c r="AA1647">
        <v>0.99153380000000002</v>
      </c>
      <c r="AB1647">
        <v>36</v>
      </c>
      <c r="AC1647">
        <v>-15.9773999999999</v>
      </c>
      <c r="AD1647">
        <v>-1.1039439128094</v>
      </c>
      <c r="AE1647">
        <v>-2.36519999999995</v>
      </c>
      <c r="AF1647">
        <v>-2.1350452532375899</v>
      </c>
      <c r="AG1647">
        <v>-1.1039439128094</v>
      </c>
      <c r="AH1647">
        <v>15.9340093281119</v>
      </c>
      <c r="AI1647">
        <v>93.928251131017603</v>
      </c>
      <c r="AJ1647">
        <v>97.631774455951103</v>
      </c>
      <c r="AK1647">
        <v>16.1142720488503</v>
      </c>
    </row>
    <row r="1648" spans="1:37" x14ac:dyDescent="0.2">
      <c r="A1648" t="str">
        <f>"20200111160137361"</f>
        <v>20200111160137361</v>
      </c>
      <c r="B1648" t="str">
        <f>"1578729697352882"</f>
        <v>1578729697352882</v>
      </c>
      <c r="C1648" t="s">
        <v>37</v>
      </c>
      <c r="D1648">
        <v>5.6181179999999999</v>
      </c>
      <c r="E1648">
        <v>0.4694699</v>
      </c>
      <c r="F1648" t="s">
        <v>57</v>
      </c>
      <c r="G1648">
        <v>-391.45580000000001</v>
      </c>
      <c r="H1648" s="1">
        <v>-7.6207139999999999E-7</v>
      </c>
      <c r="I1648">
        <v>282.20780000000002</v>
      </c>
      <c r="J1648">
        <v>-375.55529999999999</v>
      </c>
      <c r="K1648">
        <v>1.1039620000000001</v>
      </c>
      <c r="L1648">
        <v>284.58699999999999</v>
      </c>
      <c r="M1648">
        <v>-0.99979949999999995</v>
      </c>
      <c r="N1648">
        <v>0</v>
      </c>
      <c r="O1648">
        <v>-1.359194E-2</v>
      </c>
      <c r="P1648">
        <v>-0.99808649999999999</v>
      </c>
      <c r="Q1648">
        <v>-8.7032470000000003E-4</v>
      </c>
      <c r="R1648">
        <v>-6.182874E-2</v>
      </c>
      <c r="S1648">
        <v>-2.9786069999999998</v>
      </c>
      <c r="T1648">
        <v>-0.20221979999999901</v>
      </c>
      <c r="U1648">
        <v>-0.436706499999999</v>
      </c>
      <c r="V1648">
        <v>-4.8248119999999999E-2</v>
      </c>
      <c r="W1648">
        <v>1.384197E-2</v>
      </c>
      <c r="X1648">
        <v>0.9987395</v>
      </c>
      <c r="Y1648">
        <v>-0.13133529999999999</v>
      </c>
      <c r="Z1648">
        <v>-3.5128300000000002E-3</v>
      </c>
      <c r="AA1648">
        <v>0.99133179999999999</v>
      </c>
      <c r="AB1648">
        <v>36</v>
      </c>
      <c r="AC1648">
        <v>-15.900499999999999</v>
      </c>
      <c r="AD1648">
        <v>-1.1039627620714001</v>
      </c>
      <c r="AE1648">
        <v>-2.37919999999996</v>
      </c>
      <c r="AF1648">
        <v>-2.15268848828905</v>
      </c>
      <c r="AG1648">
        <v>-1.1039627620714001</v>
      </c>
      <c r="AH1648">
        <v>15.856610244042299</v>
      </c>
      <c r="AI1648">
        <v>93.946511582563801</v>
      </c>
      <c r="AJ1648">
        <v>97.731191395824396</v>
      </c>
      <c r="AK1648">
        <v>16.0401025538841</v>
      </c>
    </row>
    <row r="1649" spans="1:37" x14ac:dyDescent="0.2">
      <c r="A1649" t="str">
        <f>"20200111160137383"</f>
        <v>20200111160137383</v>
      </c>
      <c r="B1649" t="str">
        <f>"1578729697372402"</f>
        <v>1578729697372402</v>
      </c>
      <c r="C1649" t="s">
        <v>37</v>
      </c>
      <c r="D1649">
        <v>5.0711500000000003</v>
      </c>
      <c r="E1649">
        <v>0.4713059</v>
      </c>
      <c r="F1649" t="s">
        <v>57</v>
      </c>
      <c r="G1649">
        <v>-391.7645</v>
      </c>
      <c r="H1649" s="1">
        <v>-5.9782049999999995E-7</v>
      </c>
      <c r="I1649">
        <v>282.21890000000002</v>
      </c>
      <c r="J1649">
        <v>-375.90719999999999</v>
      </c>
      <c r="K1649">
        <v>1.10397099999999</v>
      </c>
      <c r="L1649">
        <v>284.58240000000001</v>
      </c>
      <c r="M1649">
        <v>-0.99980190000000002</v>
      </c>
      <c r="N1649">
        <v>0</v>
      </c>
      <c r="O1649">
        <v>-1.342465E-2</v>
      </c>
      <c r="P1649">
        <v>-0.99805469999999896</v>
      </c>
      <c r="Q1649">
        <v>-6.4518680000000001E-4</v>
      </c>
      <c r="R1649">
        <v>-6.2344219999999999E-2</v>
      </c>
      <c r="S1649">
        <v>-2.9785459999999899</v>
      </c>
      <c r="T1649">
        <v>-0.20286019999999999</v>
      </c>
      <c r="U1649">
        <v>-0.43515009999999998</v>
      </c>
      <c r="V1649">
        <v>-4.8930880000000003E-2</v>
      </c>
      <c r="W1649">
        <v>1.4065100000000001E-2</v>
      </c>
      <c r="X1649">
        <v>0.99870309999999995</v>
      </c>
      <c r="Y1649">
        <v>-0.13099559999999999</v>
      </c>
      <c r="Z1649">
        <v>-3.5239550000000001E-3</v>
      </c>
      <c r="AA1649">
        <v>0.9913767</v>
      </c>
      <c r="AB1649">
        <v>36</v>
      </c>
      <c r="AC1649">
        <v>-15.8573</v>
      </c>
      <c r="AD1649">
        <v>-1.10397159782049</v>
      </c>
      <c r="AE1649">
        <v>-2.3634999999999802</v>
      </c>
      <c r="AF1649">
        <v>-2.1402373612362502</v>
      </c>
      <c r="AG1649">
        <v>-1.10397159782049</v>
      </c>
      <c r="AH1649">
        <v>15.8126278704779</v>
      </c>
      <c r="AI1649">
        <v>93.957700629744593</v>
      </c>
      <c r="AJ1649">
        <v>97.7081349645416</v>
      </c>
      <c r="AK1649">
        <v>15.9949544988862</v>
      </c>
    </row>
    <row r="1650" spans="1:37" x14ac:dyDescent="0.2">
      <c r="A1650" t="str">
        <f>"20200111160137405"</f>
        <v>20200111160137405</v>
      </c>
      <c r="B1650" t="str">
        <f>"1578729697402658"</f>
        <v>1578729697402658</v>
      </c>
      <c r="C1650" t="s">
        <v>37</v>
      </c>
      <c r="D1650">
        <v>5.6749499999999999</v>
      </c>
      <c r="E1650">
        <v>0.47286469999999903</v>
      </c>
      <c r="F1650" t="s">
        <v>57</v>
      </c>
      <c r="G1650">
        <v>-392.55439999999999</v>
      </c>
      <c r="H1650" s="1">
        <v>-1.7749399999999999E-7</v>
      </c>
      <c r="I1650">
        <v>282.22469999999998</v>
      </c>
      <c r="J1650">
        <v>-376.25229999999999</v>
      </c>
      <c r="K1650">
        <v>1.1039829999999999</v>
      </c>
      <c r="L1650">
        <v>284.57799999999997</v>
      </c>
      <c r="M1650">
        <v>-0.99980409999999997</v>
      </c>
      <c r="N1650">
        <v>0</v>
      </c>
      <c r="O1650">
        <v>-1.325898E-2</v>
      </c>
      <c r="P1650">
        <v>-0.99807299999999999</v>
      </c>
      <c r="Q1650">
        <v>-1.17146E-3</v>
      </c>
      <c r="R1650">
        <v>-6.2042899999999998E-2</v>
      </c>
      <c r="S1650">
        <v>-2.9793400000000001</v>
      </c>
      <c r="T1650">
        <v>-0.19757759999999999</v>
      </c>
      <c r="U1650">
        <v>-0.42196660000000002</v>
      </c>
      <c r="V1650">
        <v>-4.879551E-2</v>
      </c>
      <c r="W1650">
        <v>1.3537769999999999E-2</v>
      </c>
      <c r="X1650">
        <v>0.99871710000000002</v>
      </c>
      <c r="Y1650">
        <v>-0.12684519999999999</v>
      </c>
      <c r="Z1650">
        <v>-3.3066800000000002E-3</v>
      </c>
      <c r="AA1650">
        <v>0.99191700000000005</v>
      </c>
      <c r="AB1650">
        <v>36</v>
      </c>
      <c r="AC1650">
        <v>-16.3020999999999</v>
      </c>
      <c r="AD1650">
        <v>-1.1039831774940001</v>
      </c>
      <c r="AE1650">
        <v>-2.3532999999999902</v>
      </c>
      <c r="AF1650">
        <v>-2.1273635099534198</v>
      </c>
      <c r="AG1650">
        <v>-1.1039831774940001</v>
      </c>
      <c r="AH1650">
        <v>16.258830833090801</v>
      </c>
      <c r="AI1650">
        <v>93.851720402012504</v>
      </c>
      <c r="AJ1650">
        <v>97.454436878085104</v>
      </c>
      <c r="AK1650">
        <v>16.434537852301599</v>
      </c>
    </row>
    <row r="1651" spans="1:37" x14ac:dyDescent="0.2">
      <c r="A1651" t="str">
        <f>"20200111160137428"</f>
        <v>20200111160137428</v>
      </c>
      <c r="B1651" t="str">
        <f>"1578729697422685"</f>
        <v>1578729697422685</v>
      </c>
      <c r="C1651" t="s">
        <v>37</v>
      </c>
      <c r="D1651">
        <v>5.0160739999999997</v>
      </c>
      <c r="E1651">
        <v>0.4737826</v>
      </c>
      <c r="F1651" t="s">
        <v>57</v>
      </c>
      <c r="G1651">
        <v>-392.80970000000002</v>
      </c>
      <c r="H1651" s="1">
        <v>-4.1588239999999999E-8</v>
      </c>
      <c r="I1651">
        <v>282.3082</v>
      </c>
      <c r="J1651">
        <v>-376.62310000000002</v>
      </c>
      <c r="K1651">
        <v>1.103999</v>
      </c>
      <c r="L1651">
        <v>284.57319999999999</v>
      </c>
      <c r="M1651">
        <v>-0.99980650000000004</v>
      </c>
      <c r="N1651">
        <v>0</v>
      </c>
      <c r="O1651">
        <v>-1.307934E-2</v>
      </c>
      <c r="P1651">
        <v>-0.99812299999999998</v>
      </c>
      <c r="Q1651">
        <v>-6.0967910000000005E-4</v>
      </c>
      <c r="R1651">
        <v>-6.1240450000000002E-2</v>
      </c>
      <c r="S1651">
        <v>-2.9801639999999998</v>
      </c>
      <c r="T1651">
        <v>-0.1987051</v>
      </c>
      <c r="U1651">
        <v>-0.40853879999999998</v>
      </c>
      <c r="V1651">
        <v>-4.8172220000000002E-2</v>
      </c>
      <c r="W1651">
        <v>1.409753E-2</v>
      </c>
      <c r="X1651">
        <v>0.9987395</v>
      </c>
      <c r="Y1651">
        <v>-0.12260599999999899</v>
      </c>
      <c r="Z1651">
        <v>-3.1970089999999998E-3</v>
      </c>
      <c r="AA1651">
        <v>0.99245030000000001</v>
      </c>
      <c r="AB1651">
        <v>36</v>
      </c>
      <c r="AC1651">
        <v>-16.186599999999999</v>
      </c>
      <c r="AD1651">
        <v>-1.1039990415882399</v>
      </c>
      <c r="AE1651">
        <v>-2.2649999999999801</v>
      </c>
      <c r="AF1651">
        <v>-2.0437486723357101</v>
      </c>
      <c r="AG1651">
        <v>-1.1039990415882399</v>
      </c>
      <c r="AH1651">
        <v>16.141198525094399</v>
      </c>
      <c r="AI1651">
        <v>93.8818315334224</v>
      </c>
      <c r="AJ1651">
        <v>97.2162149483582</v>
      </c>
      <c r="AK1651">
        <v>16.307483323493301</v>
      </c>
    </row>
    <row r="1652" spans="1:37" x14ac:dyDescent="0.2">
      <c r="A1652" t="str">
        <f>"20200111160137450"</f>
        <v>20200111160137450</v>
      </c>
      <c r="B1652" t="str">
        <f>"1578729697443181"</f>
        <v>1578729697443181</v>
      </c>
      <c r="C1652" t="s">
        <v>37</v>
      </c>
      <c r="D1652">
        <v>4.9146929999999998</v>
      </c>
      <c r="E1652">
        <v>0.47474149999999998</v>
      </c>
      <c r="F1652" t="s">
        <v>57</v>
      </c>
      <c r="G1652">
        <v>-393.16329999999999</v>
      </c>
      <c r="H1652" s="1">
        <v>1.46574E-7</v>
      </c>
      <c r="I1652">
        <v>282.3605</v>
      </c>
      <c r="J1652">
        <v>-376.9699</v>
      </c>
      <c r="K1652">
        <v>1.1040099999999999</v>
      </c>
      <c r="L1652">
        <v>284.56889999999999</v>
      </c>
      <c r="M1652">
        <v>-0.99980879999999905</v>
      </c>
      <c r="N1652">
        <v>0</v>
      </c>
      <c r="O1652">
        <v>-1.2909790000000001E-2</v>
      </c>
      <c r="P1652">
        <v>-0.9982084</v>
      </c>
      <c r="Q1652">
        <v>3.1221379999999999E-4</v>
      </c>
      <c r="R1652">
        <v>-5.9834949999999998E-2</v>
      </c>
      <c r="S1652">
        <v>-2.9810490000000001</v>
      </c>
      <c r="T1652">
        <v>-0.19897400000000001</v>
      </c>
      <c r="U1652">
        <v>-0.39880369999999998</v>
      </c>
      <c r="V1652">
        <v>-4.6934770000000001E-2</v>
      </c>
      <c r="W1652">
        <v>1.5017249999999999E-2</v>
      </c>
      <c r="X1652">
        <v>0.99878509999999998</v>
      </c>
      <c r="Y1652">
        <v>-0.1195571</v>
      </c>
      <c r="Z1652">
        <v>-3.1111379999999998E-3</v>
      </c>
      <c r="AA1652">
        <v>0.99282250000000005</v>
      </c>
      <c r="AB1652">
        <v>35</v>
      </c>
      <c r="AC1652">
        <v>-16.193399999999901</v>
      </c>
      <c r="AD1652">
        <v>-1.1040098534260001</v>
      </c>
      <c r="AE1652">
        <v>-2.2083999999999802</v>
      </c>
      <c r="AF1652">
        <v>-1.9900590004712699</v>
      </c>
      <c r="AG1652">
        <v>-1.1040098534260001</v>
      </c>
      <c r="AH1652">
        <v>16.146882303903698</v>
      </c>
      <c r="AI1652">
        <v>93.882111083130596</v>
      </c>
      <c r="AJ1652">
        <v>97.0261154977769</v>
      </c>
      <c r="AK1652">
        <v>16.306470516881799</v>
      </c>
    </row>
    <row r="1653" spans="1:37" x14ac:dyDescent="0.2">
      <c r="A1653" t="str">
        <f>"20200111160137471"</f>
        <v>20200111160137471</v>
      </c>
      <c r="B1653" t="str">
        <f>"1578729697462701"</f>
        <v>1578729697462701</v>
      </c>
      <c r="C1653" t="s">
        <v>37</v>
      </c>
      <c r="D1653">
        <v>4.9914649999999998</v>
      </c>
      <c r="E1653">
        <v>0.47550589999999998</v>
      </c>
      <c r="F1653" t="s">
        <v>57</v>
      </c>
      <c r="G1653">
        <v>-393.57819999999998</v>
      </c>
      <c r="H1653" s="1">
        <v>3.6733429999999998E-7</v>
      </c>
      <c r="I1653">
        <v>282.41340000000002</v>
      </c>
      <c r="J1653">
        <v>-377.31130000000002</v>
      </c>
      <c r="K1653">
        <v>1.10402</v>
      </c>
      <c r="L1653">
        <v>284.56470000000002</v>
      </c>
      <c r="M1653">
        <v>-0.99981100000000001</v>
      </c>
      <c r="N1653">
        <v>0</v>
      </c>
      <c r="O1653">
        <v>-1.274201E-2</v>
      </c>
      <c r="P1653">
        <v>-0.99826899999999996</v>
      </c>
      <c r="Q1653">
        <v>9.3221660000000002E-4</v>
      </c>
      <c r="R1653">
        <v>-5.8807810000000002E-2</v>
      </c>
      <c r="S1653">
        <v>-2.9822389999999999</v>
      </c>
      <c r="T1653">
        <v>-0.1982399</v>
      </c>
      <c r="U1653">
        <v>-0.38705440000000002</v>
      </c>
      <c r="V1653">
        <v>-4.6074199999999899E-2</v>
      </c>
      <c r="W1653">
        <v>1.5634680000000001E-2</v>
      </c>
      <c r="X1653">
        <v>0.99881569999999997</v>
      </c>
      <c r="Y1653">
        <v>-0.1158356</v>
      </c>
      <c r="Z1653">
        <v>-2.987296E-3</v>
      </c>
      <c r="AA1653">
        <v>0.99326389999999998</v>
      </c>
      <c r="AB1653">
        <v>35</v>
      </c>
      <c r="AC1653">
        <v>-16.2668999999999</v>
      </c>
      <c r="AD1653">
        <v>-1.1040196326656999</v>
      </c>
      <c r="AE1653">
        <v>-2.1512999999999902</v>
      </c>
      <c r="AF1653">
        <v>-1.9350698353689999</v>
      </c>
      <c r="AG1653">
        <v>-1.1040196326656999</v>
      </c>
      <c r="AH1653">
        <v>16.219567424367199</v>
      </c>
      <c r="AI1653">
        <v>93.866617102218299</v>
      </c>
      <c r="AJ1653">
        <v>96.803495200356394</v>
      </c>
      <c r="AK1653">
        <v>16.371857623698599</v>
      </c>
    </row>
    <row r="1654" spans="1:37" x14ac:dyDescent="0.2">
      <c r="A1654" t="str">
        <f>"20200111160137494"</f>
        <v>20200111160137494</v>
      </c>
      <c r="B1654" t="str">
        <f>"1578729697483197"</f>
        <v>1578729697483197</v>
      </c>
      <c r="C1654" t="s">
        <v>37</v>
      </c>
      <c r="D1654">
        <v>4.9147059999999998</v>
      </c>
      <c r="E1654">
        <v>0.47627789999999998</v>
      </c>
      <c r="F1654" t="s">
        <v>57</v>
      </c>
      <c r="G1654">
        <v>-393.9529</v>
      </c>
      <c r="H1654" s="1">
        <v>5.6672879999999998E-7</v>
      </c>
      <c r="I1654">
        <v>282.4581</v>
      </c>
      <c r="J1654">
        <v>-377.66300000000001</v>
      </c>
      <c r="K1654">
        <v>1.104031</v>
      </c>
      <c r="L1654">
        <v>284.56040000000002</v>
      </c>
      <c r="M1654">
        <v>-0.99981299999999995</v>
      </c>
      <c r="N1654">
        <v>0</v>
      </c>
      <c r="O1654">
        <v>-1.256849E-2</v>
      </c>
      <c r="P1654">
        <v>-0.99833799999999995</v>
      </c>
      <c r="Q1654">
        <v>1.1438349999999999E-3</v>
      </c>
      <c r="R1654">
        <v>-5.7617769999999999E-2</v>
      </c>
      <c r="S1654">
        <v>-2.98318499999999</v>
      </c>
      <c r="T1654">
        <v>-0.1979079</v>
      </c>
      <c r="U1654">
        <v>-0.37762449999999997</v>
      </c>
      <c r="V1654">
        <v>-4.505671E-2</v>
      </c>
      <c r="W1654">
        <v>1.5843980000000001E-2</v>
      </c>
      <c r="X1654">
        <v>0.99885869999999999</v>
      </c>
      <c r="Y1654">
        <v>-0.112884999999999</v>
      </c>
      <c r="Z1654">
        <v>-2.8960329999999901E-3</v>
      </c>
      <c r="AA1654">
        <v>0.99360380000000004</v>
      </c>
      <c r="AB1654">
        <v>35</v>
      </c>
      <c r="AC1654">
        <v>-16.2898999999999</v>
      </c>
      <c r="AD1654">
        <v>-1.1040304332711901</v>
      </c>
      <c r="AE1654">
        <v>-2.1023000000000098</v>
      </c>
      <c r="AF1654">
        <v>-1.8888384738128201</v>
      </c>
      <c r="AG1654">
        <v>-1.1040304332711901</v>
      </c>
      <c r="AH1654">
        <v>16.241657923520801</v>
      </c>
      <c r="AI1654">
        <v>93.862757660161904</v>
      </c>
      <c r="AJ1654">
        <v>96.633466913944801</v>
      </c>
      <c r="AK1654">
        <v>16.388350926265002</v>
      </c>
    </row>
    <row r="1655" spans="1:37" x14ac:dyDescent="0.2">
      <c r="A1655" t="str">
        <f>"20200111160137516"</f>
        <v>20200111160137516</v>
      </c>
      <c r="B1655" t="str">
        <f>"1578729697512477"</f>
        <v>1578729697512477</v>
      </c>
      <c r="C1655" t="s">
        <v>37</v>
      </c>
      <c r="D1655">
        <v>4.9916299999999998</v>
      </c>
      <c r="E1655">
        <v>0.47737010000000002</v>
      </c>
      <c r="F1655" t="s">
        <v>57</v>
      </c>
      <c r="G1655">
        <v>-394.24689999999998</v>
      </c>
      <c r="H1655" s="1">
        <v>7.2322479999999998E-7</v>
      </c>
      <c r="I1655">
        <v>282.51580000000001</v>
      </c>
      <c r="J1655">
        <v>-378.017</v>
      </c>
      <c r="K1655">
        <v>1.104034</v>
      </c>
      <c r="L1655">
        <v>284.55610000000001</v>
      </c>
      <c r="M1655">
        <v>-0.99981520000000002</v>
      </c>
      <c r="N1655">
        <v>0</v>
      </c>
      <c r="O1655">
        <v>-1.239352E-2</v>
      </c>
      <c r="P1655">
        <v>-0.9984016</v>
      </c>
      <c r="Q1655">
        <v>1.260908E-3</v>
      </c>
      <c r="R1655">
        <v>-5.6502810000000001E-2</v>
      </c>
      <c r="S1655">
        <v>-2.9840089999999999</v>
      </c>
      <c r="T1655">
        <v>-0.19865160000000001</v>
      </c>
      <c r="U1655">
        <v>-0.36788939999999998</v>
      </c>
      <c r="V1655">
        <v>-4.4115929999999998E-2</v>
      </c>
      <c r="W1655">
        <v>1.5958409999999999E-2</v>
      </c>
      <c r="X1655">
        <v>0.99889889999999903</v>
      </c>
      <c r="Y1655">
        <v>-0.10983709999999999</v>
      </c>
      <c r="Z1655">
        <v>-2.8173009999999999E-3</v>
      </c>
      <c r="AA1655">
        <v>0.99394559999999998</v>
      </c>
      <c r="AB1655">
        <v>35</v>
      </c>
      <c r="AC1655">
        <v>-16.229899999999901</v>
      </c>
      <c r="AD1655">
        <v>-1.1040332767751999</v>
      </c>
      <c r="AE1655">
        <v>-2.0402999999999998</v>
      </c>
      <c r="AF1655">
        <v>-1.8306367387648701</v>
      </c>
      <c r="AG1655">
        <v>-1.1040332767751999</v>
      </c>
      <c r="AH1655">
        <v>16.1802356325557</v>
      </c>
      <c r="AI1655">
        <v>93.878767925906104</v>
      </c>
      <c r="AJ1655">
        <v>96.455012214059707</v>
      </c>
      <c r="AK1655">
        <v>16.320850022917501</v>
      </c>
    </row>
    <row r="1656" spans="1:37" x14ac:dyDescent="0.2">
      <c r="A1656" t="str">
        <f>"20200111160137539"</f>
        <v>20200111160137539</v>
      </c>
      <c r="B1656" t="str">
        <f>"1578729697532974"</f>
        <v>1578729697532974</v>
      </c>
      <c r="C1656" t="s">
        <v>37</v>
      </c>
      <c r="D1656">
        <v>5.0764649999999998</v>
      </c>
      <c r="E1656">
        <v>0.47737010000000002</v>
      </c>
      <c r="F1656" t="s">
        <v>57</v>
      </c>
      <c r="G1656">
        <v>-394.46199999999999</v>
      </c>
      <c r="H1656" s="1">
        <v>8.3769149999999896E-7</v>
      </c>
      <c r="I1656">
        <v>282.59379999999999</v>
      </c>
      <c r="J1656">
        <v>-378.37970000000001</v>
      </c>
      <c r="K1656">
        <v>1.104033</v>
      </c>
      <c r="L1656">
        <v>284.55180000000001</v>
      </c>
      <c r="M1656">
        <v>-0.99981769999999903</v>
      </c>
      <c r="N1656">
        <v>0</v>
      </c>
      <c r="O1656">
        <v>-1.221437E-2</v>
      </c>
      <c r="P1656">
        <v>-0.99846209999999902</v>
      </c>
      <c r="Q1656">
        <v>1.1642359999999999E-3</v>
      </c>
      <c r="R1656">
        <v>-5.5427749999999998E-2</v>
      </c>
      <c r="S1656">
        <v>-2.9848330000000001</v>
      </c>
      <c r="T1656">
        <v>-0.20038529999999999</v>
      </c>
      <c r="U1656">
        <v>-0.35617070000000001</v>
      </c>
      <c r="V1656">
        <v>-4.3219559999999997E-2</v>
      </c>
      <c r="W1656">
        <v>1.5859720000000001E-2</v>
      </c>
      <c r="X1656">
        <v>0.99893969999999899</v>
      </c>
      <c r="Y1656">
        <v>-0.10613939999999999</v>
      </c>
      <c r="Z1656">
        <v>-2.7301439999999999E-3</v>
      </c>
      <c r="AA1656">
        <v>0.99434750000000005</v>
      </c>
      <c r="AB1656">
        <v>35</v>
      </c>
      <c r="AC1656">
        <v>-16.082299999999901</v>
      </c>
      <c r="AD1656">
        <v>-1.1040321623085001</v>
      </c>
      <c r="AE1656">
        <v>-1.9580000000000199</v>
      </c>
      <c r="AF1656">
        <v>-1.7532557521881</v>
      </c>
      <c r="AG1656">
        <v>-1.1040321623085001</v>
      </c>
      <c r="AH1656">
        <v>16.030574971841201</v>
      </c>
      <c r="AI1656">
        <v>93.916481461676298</v>
      </c>
      <c r="AJ1656">
        <v>96.241602178593197</v>
      </c>
      <c r="AK1656">
        <v>16.163914336441302</v>
      </c>
    </row>
    <row r="1657" spans="1:37" x14ac:dyDescent="0.2">
      <c r="A1657" t="str">
        <f>"20200111160137561"</f>
        <v>20200111160137561</v>
      </c>
      <c r="B1657" t="str">
        <f>"1578729697552493"</f>
        <v>1578729697552493</v>
      </c>
      <c r="C1657" t="s">
        <v>37</v>
      </c>
      <c r="D1657">
        <v>5.0287899999999999</v>
      </c>
      <c r="E1657">
        <v>0.55429219999999901</v>
      </c>
      <c r="F1657" t="s">
        <v>57</v>
      </c>
      <c r="G1657">
        <v>-394.81529999999998</v>
      </c>
      <c r="H1657" s="1">
        <v>1.0256879999999899E-6</v>
      </c>
      <c r="I1657">
        <v>282.60770000000002</v>
      </c>
      <c r="J1657">
        <v>-378.726</v>
      </c>
      <c r="K1657">
        <v>1.1040369999999999</v>
      </c>
      <c r="L1657">
        <v>284.5478</v>
      </c>
      <c r="M1657">
        <v>-0.99981960000000003</v>
      </c>
      <c r="N1657">
        <v>0</v>
      </c>
      <c r="O1657">
        <v>-1.2042840000000001E-2</v>
      </c>
      <c r="P1657">
        <v>-0.99849059999999901</v>
      </c>
      <c r="Q1657" s="1">
        <v>6.5611679999999999E-5</v>
      </c>
      <c r="R1657">
        <v>-5.492325E-2</v>
      </c>
      <c r="S1657">
        <v>-2.9852599999999998</v>
      </c>
      <c r="T1657">
        <v>-0.2005296</v>
      </c>
      <c r="U1657">
        <v>-0.35311890000000001</v>
      </c>
      <c r="V1657">
        <v>-4.2886849999999997E-2</v>
      </c>
      <c r="W1657">
        <v>1.475835E-2</v>
      </c>
      <c r="X1657">
        <v>0.99897089999999999</v>
      </c>
      <c r="Y1657">
        <v>-0.1052921</v>
      </c>
      <c r="Z1657">
        <v>-2.715018E-3</v>
      </c>
      <c r="AA1657">
        <v>0.99443760000000003</v>
      </c>
      <c r="AB1657">
        <v>35</v>
      </c>
      <c r="AC1657">
        <v>-16.089299999999898</v>
      </c>
      <c r="AD1657">
        <v>-1.1040359743120001</v>
      </c>
      <c r="AE1657">
        <v>-1.94009999999997</v>
      </c>
      <c r="AF1657">
        <v>-1.7381107272230001</v>
      </c>
      <c r="AG1657">
        <v>-1.1040359743120001</v>
      </c>
      <c r="AH1657">
        <v>16.037069852132198</v>
      </c>
      <c r="AI1657">
        <v>93.9153289251541</v>
      </c>
      <c r="AJ1657">
        <v>96.185619187019597</v>
      </c>
      <c r="AK1657">
        <v>16.168720845349199</v>
      </c>
    </row>
    <row r="1658" spans="1:37" x14ac:dyDescent="0.2">
      <c r="A1658" t="str">
        <f>"20200111160137584"</f>
        <v>20200111160137584</v>
      </c>
      <c r="B1658" t="str">
        <f>"1578729697572990"</f>
        <v>1578729697572990</v>
      </c>
      <c r="C1658" t="s">
        <v>37</v>
      </c>
      <c r="D1658">
        <v>7.3231190000000002</v>
      </c>
      <c r="E1658">
        <v>0.55607320000000005</v>
      </c>
      <c r="F1658" t="s">
        <v>42</v>
      </c>
      <c r="G1658">
        <v>-379.57940000000002</v>
      </c>
      <c r="H1658">
        <v>1.050519</v>
      </c>
      <c r="I1658">
        <v>284.62220000000002</v>
      </c>
      <c r="J1658">
        <v>-379.08749999999998</v>
      </c>
      <c r="K1658">
        <v>1.104036</v>
      </c>
      <c r="L1658">
        <v>284.54360000000003</v>
      </c>
      <c r="M1658">
        <v>-0.99982190000000004</v>
      </c>
      <c r="N1658">
        <v>0</v>
      </c>
      <c r="O1658">
        <v>-1.186427E-2</v>
      </c>
      <c r="P1658">
        <v>-0.99854750000000003</v>
      </c>
      <c r="Q1658">
        <v>-3.1460450000000002E-4</v>
      </c>
      <c r="R1658">
        <v>-5.3882729999999997E-2</v>
      </c>
      <c r="S1658">
        <v>-3.0189509999999999</v>
      </c>
      <c r="T1658">
        <v>-0.189577</v>
      </c>
      <c r="U1658">
        <v>0.26153559999999998</v>
      </c>
      <c r="V1658">
        <v>-4.2023930000000001E-2</v>
      </c>
      <c r="W1658">
        <v>1.437454E-2</v>
      </c>
      <c r="X1658">
        <v>0.99901319999999905</v>
      </c>
      <c r="Y1658">
        <v>9.7908549999999997E-2</v>
      </c>
      <c r="Z1658">
        <v>3.808433E-3</v>
      </c>
      <c r="AA1658">
        <v>0.99518809999999902</v>
      </c>
      <c r="AB1658">
        <v>35</v>
      </c>
      <c r="AC1658">
        <v>-0.49190000000004303</v>
      </c>
      <c r="AD1658">
        <v>-5.3517000000000002E-2</v>
      </c>
      <c r="AE1658">
        <v>7.8599999999994397E-2</v>
      </c>
      <c r="AF1658">
        <v>8.3467746335517304E-2</v>
      </c>
      <c r="AG1658">
        <v>-5.3517000000000002E-2</v>
      </c>
      <c r="AH1658">
        <v>0.485331055484651</v>
      </c>
      <c r="AI1658">
        <v>96.202200661919406</v>
      </c>
      <c r="AJ1658">
        <v>80.241673084485797</v>
      </c>
      <c r="AK1658">
        <v>0.49535559690506797</v>
      </c>
    </row>
    <row r="1659" spans="1:37" x14ac:dyDescent="0.2">
      <c r="A1659" t="str">
        <f>"20200111160137606"</f>
        <v>20200111160137606</v>
      </c>
      <c r="B1659" t="str">
        <f>"1578729697603245"</f>
        <v>1578729697603245</v>
      </c>
      <c r="C1659" t="s">
        <v>37</v>
      </c>
      <c r="D1659">
        <v>4.8842869999999996</v>
      </c>
      <c r="E1659">
        <v>0.55918299999999999</v>
      </c>
      <c r="F1659" t="s">
        <v>57</v>
      </c>
      <c r="G1659">
        <v>-396.75189999999998</v>
      </c>
      <c r="H1659" s="1">
        <v>2.0562369999999999E-6</v>
      </c>
      <c r="I1659">
        <v>286.17599999999999</v>
      </c>
      <c r="J1659">
        <v>-379.42759999999998</v>
      </c>
      <c r="K1659">
        <v>1.1040239999999999</v>
      </c>
      <c r="L1659">
        <v>284.53969999999998</v>
      </c>
      <c r="M1659">
        <v>-0.99982389999999999</v>
      </c>
      <c r="N1659">
        <v>0</v>
      </c>
      <c r="O1659">
        <v>-1.1696069999999999E-2</v>
      </c>
      <c r="P1659">
        <v>-0.99854940000000003</v>
      </c>
      <c r="Q1659">
        <v>-1.1040869999999999E-3</v>
      </c>
      <c r="R1659">
        <v>-5.383653E-2</v>
      </c>
      <c r="S1659">
        <v>-3.0193180000000002</v>
      </c>
      <c r="T1659">
        <v>-0.188708399999999</v>
      </c>
      <c r="U1659">
        <v>0.2790222</v>
      </c>
      <c r="V1659">
        <v>-4.2146349999999999E-2</v>
      </c>
      <c r="W1659">
        <v>1.358211E-2</v>
      </c>
      <c r="X1659">
        <v>0.99901909999999905</v>
      </c>
      <c r="Y1659">
        <v>0.1034388</v>
      </c>
      <c r="Z1659">
        <v>3.9513980000000001E-3</v>
      </c>
      <c r="AA1659">
        <v>0.99462799999999996</v>
      </c>
      <c r="AB1659">
        <v>35</v>
      </c>
      <c r="AC1659">
        <v>-17.324299999999901</v>
      </c>
      <c r="AD1659">
        <v>-1.1040219437629999</v>
      </c>
      <c r="AE1659">
        <v>1.6363000000000001</v>
      </c>
      <c r="AF1659">
        <v>1.8314641007842201</v>
      </c>
      <c r="AG1659">
        <v>-1.1040219437629999</v>
      </c>
      <c r="AH1659">
        <v>17.234601777358801</v>
      </c>
      <c r="AI1659">
        <v>93.644804943938794</v>
      </c>
      <c r="AJ1659">
        <v>83.934131910462796</v>
      </c>
      <c r="AK1659">
        <v>17.366767794523799</v>
      </c>
    </row>
    <row r="1660" spans="1:37" x14ac:dyDescent="0.2">
      <c r="A1660" t="str">
        <f>"20200111160137629"</f>
        <v>20200111160137629</v>
      </c>
      <c r="B1660" t="str">
        <f>"1578729697622765"</f>
        <v>1578729697622765</v>
      </c>
      <c r="C1660" t="s">
        <v>37</v>
      </c>
      <c r="D1660">
        <v>4.8726209999999996</v>
      </c>
      <c r="E1660">
        <v>0.55900499999999997</v>
      </c>
      <c r="F1660" t="s">
        <v>57</v>
      </c>
      <c r="G1660">
        <v>-397.18639999999999</v>
      </c>
      <c r="H1660" s="1">
        <v>2.2874459999999999E-6</v>
      </c>
      <c r="I1660">
        <v>286.325999999999</v>
      </c>
      <c r="J1660">
        <v>-379.78859999999997</v>
      </c>
      <c r="K1660">
        <v>1.10402</v>
      </c>
      <c r="L1660">
        <v>284.53570000000002</v>
      </c>
      <c r="M1660">
        <v>-0.99982599999999999</v>
      </c>
      <c r="N1660">
        <v>0</v>
      </c>
      <c r="O1660">
        <v>-1.151785E-2</v>
      </c>
      <c r="P1660">
        <v>-0.99853749999999997</v>
      </c>
      <c r="Q1660">
        <v>-2.0634020000000002E-3</v>
      </c>
      <c r="R1660">
        <v>-5.4022760000000003E-2</v>
      </c>
      <c r="S1660">
        <v>-3.0205690000000001</v>
      </c>
      <c r="T1660">
        <v>-0.187782</v>
      </c>
      <c r="U1660">
        <v>0.30383300000000002</v>
      </c>
      <c r="V1660">
        <v>-4.2511300000000002E-2</v>
      </c>
      <c r="W1660">
        <v>1.2619460000000001E-2</v>
      </c>
      <c r="X1660">
        <v>0.99901629999999997</v>
      </c>
      <c r="Y1660">
        <v>0.11130279999999999</v>
      </c>
      <c r="Z1660">
        <v>4.1614340000000003E-3</v>
      </c>
      <c r="AA1660">
        <v>0.99377780000000004</v>
      </c>
      <c r="AB1660">
        <v>35</v>
      </c>
      <c r="AC1660">
        <v>-17.3978</v>
      </c>
      <c r="AD1660">
        <v>-1.1040177125540001</v>
      </c>
      <c r="AE1660">
        <v>1.7902999999999401</v>
      </c>
      <c r="AF1660">
        <v>1.9826877546911901</v>
      </c>
      <c r="AG1660">
        <v>-1.1040177125540001</v>
      </c>
      <c r="AH1660">
        <v>17.307060727884899</v>
      </c>
      <c r="AI1660">
        <v>93.626299328780306</v>
      </c>
      <c r="AJ1660">
        <v>83.464715739591099</v>
      </c>
      <c r="AK1660">
        <v>17.455207156631801</v>
      </c>
    </row>
    <row r="1661" spans="1:37" x14ac:dyDescent="0.2">
      <c r="A1661" t="str">
        <f>"20200111160137651"</f>
        <v>20200111160137651</v>
      </c>
      <c r="B1661" t="str">
        <f>"1578729697642285"</f>
        <v>1578729697642285</v>
      </c>
      <c r="C1661" t="s">
        <v>37</v>
      </c>
      <c r="D1661">
        <v>4.9462919999999997</v>
      </c>
      <c r="E1661">
        <v>0.55921599999999905</v>
      </c>
      <c r="F1661" t="s">
        <v>42</v>
      </c>
      <c r="G1661">
        <v>-380.82589999999999</v>
      </c>
      <c r="H1661">
        <v>1.0387249999999999</v>
      </c>
      <c r="I1661">
        <v>284.64</v>
      </c>
      <c r="J1661">
        <v>-380.1318</v>
      </c>
      <c r="K1661">
        <v>1.104023</v>
      </c>
      <c r="L1661">
        <v>284.53190000000001</v>
      </c>
      <c r="M1661">
        <v>-0.99982789999999999</v>
      </c>
      <c r="N1661">
        <v>0</v>
      </c>
      <c r="O1661">
        <v>-1.1347619999999999E-2</v>
      </c>
      <c r="P1661">
        <v>-0.99851869999999998</v>
      </c>
      <c r="Q1661">
        <v>-3.371382E-3</v>
      </c>
      <c r="R1661">
        <v>-5.4303560000000001E-2</v>
      </c>
      <c r="S1661">
        <v>-3.0203250000000001</v>
      </c>
      <c r="T1661">
        <v>-0.19036900000000001</v>
      </c>
      <c r="U1661">
        <v>0.3019714</v>
      </c>
      <c r="V1661">
        <v>-4.2963090000000002E-2</v>
      </c>
      <c r="W1661">
        <v>1.1308729999999999E-2</v>
      </c>
      <c r="X1661">
        <v>0.99901260000000003</v>
      </c>
      <c r="Y1661">
        <v>0.110530399999999</v>
      </c>
      <c r="Z1661">
        <v>4.1841669999999999E-3</v>
      </c>
      <c r="AA1661">
        <v>0.99386390000000002</v>
      </c>
      <c r="AB1661">
        <v>35</v>
      </c>
      <c r="AC1661">
        <v>-0.69409999999999095</v>
      </c>
      <c r="AD1661">
        <v>-6.5297999999999995E-2</v>
      </c>
      <c r="AE1661">
        <v>0.108099999999979</v>
      </c>
      <c r="AF1661">
        <v>0.11497679324835799</v>
      </c>
      <c r="AG1661">
        <v>-6.5297999999999995E-2</v>
      </c>
      <c r="AH1661">
        <v>0.68689327167000702</v>
      </c>
      <c r="AI1661">
        <v>95.356302205562002</v>
      </c>
      <c r="AJ1661">
        <v>80.497542995524299</v>
      </c>
      <c r="AK1661">
        <v>0.69950400889144404</v>
      </c>
    </row>
    <row r="1662" spans="1:37" x14ac:dyDescent="0.2">
      <c r="A1662" t="str">
        <f>"20200111160137672"</f>
        <v>20200111160137672</v>
      </c>
      <c r="B1662" t="str">
        <f>"1578729697662781"</f>
        <v>1578729697662781</v>
      </c>
      <c r="C1662" t="s">
        <v>37</v>
      </c>
      <c r="D1662">
        <v>4.9329619999999998</v>
      </c>
      <c r="E1662">
        <v>0.55841549999999995</v>
      </c>
      <c r="F1662" t="s">
        <v>42</v>
      </c>
      <c r="G1662">
        <v>-381.13819999999998</v>
      </c>
      <c r="H1662">
        <v>1.0388569999999999</v>
      </c>
      <c r="I1662">
        <v>284.63319999999999</v>
      </c>
      <c r="J1662">
        <v>-380.45670000000001</v>
      </c>
      <c r="K1662">
        <v>1.104023</v>
      </c>
      <c r="L1662">
        <v>284.52839999999998</v>
      </c>
      <c r="M1662">
        <v>-0.99982990000000005</v>
      </c>
      <c r="N1662">
        <v>0</v>
      </c>
      <c r="O1662">
        <v>-1.11874E-2</v>
      </c>
      <c r="P1662">
        <v>-0.99855079999999996</v>
      </c>
      <c r="Q1662">
        <v>-3.2745169999999998E-3</v>
      </c>
      <c r="R1662">
        <v>-5.3720080000000003E-2</v>
      </c>
      <c r="S1662">
        <v>-3.0202330000000002</v>
      </c>
      <c r="T1662">
        <v>-0.1957884</v>
      </c>
      <c r="U1662">
        <v>0.3026123</v>
      </c>
      <c r="V1662">
        <v>-4.2539550000000002E-2</v>
      </c>
      <c r="W1662">
        <v>1.1403140000000001E-2</v>
      </c>
      <c r="X1662">
        <v>0.99902969999999902</v>
      </c>
      <c r="Y1662">
        <v>0.1105694</v>
      </c>
      <c r="Z1662">
        <v>4.2940249999999999E-3</v>
      </c>
      <c r="AA1662">
        <v>0.9938591</v>
      </c>
      <c r="AB1662">
        <v>35</v>
      </c>
      <c r="AC1662">
        <v>-0.68149999999997102</v>
      </c>
      <c r="AD1662">
        <v>-6.5166000000000002E-2</v>
      </c>
      <c r="AE1662">
        <v>0.104800000000011</v>
      </c>
      <c r="AF1662">
        <v>0.11142321532097101</v>
      </c>
      <c r="AG1662">
        <v>-6.5166000000000002E-2</v>
      </c>
      <c r="AH1662">
        <v>0.67426211275930303</v>
      </c>
      <c r="AI1662">
        <v>95.446950560408993</v>
      </c>
      <c r="AJ1662">
        <v>80.616555251094397</v>
      </c>
      <c r="AK1662">
        <v>0.686506472781651</v>
      </c>
    </row>
    <row r="1663" spans="1:37" x14ac:dyDescent="0.2">
      <c r="A1663" t="str">
        <f>"20200111160137694"</f>
        <v>20200111160137694</v>
      </c>
      <c r="B1663" t="str">
        <f>"1578729697693039"</f>
        <v>1578729697693039</v>
      </c>
      <c r="C1663" t="s">
        <v>37</v>
      </c>
      <c r="D1663">
        <v>4.9543619999999997</v>
      </c>
      <c r="E1663">
        <v>0.55841830000000003</v>
      </c>
      <c r="F1663" t="s">
        <v>42</v>
      </c>
      <c r="G1663">
        <v>-381.45049999999998</v>
      </c>
      <c r="H1663">
        <v>1.039374</v>
      </c>
      <c r="I1663">
        <v>284.6268</v>
      </c>
      <c r="J1663">
        <v>-380.81920000000002</v>
      </c>
      <c r="K1663">
        <v>1.1040319999999999</v>
      </c>
      <c r="L1663">
        <v>284.52449999999999</v>
      </c>
      <c r="M1663">
        <v>-0.9998319</v>
      </c>
      <c r="N1663">
        <v>0</v>
      </c>
      <c r="O1663">
        <v>-1.1008220000000001E-2</v>
      </c>
      <c r="P1663">
        <v>-0.99854120000000002</v>
      </c>
      <c r="Q1663">
        <v>-2.9376020000000001E-3</v>
      </c>
      <c r="R1663">
        <v>-5.3914280000000002E-2</v>
      </c>
      <c r="S1663">
        <v>-3.0197750000000001</v>
      </c>
      <c r="T1663">
        <v>-0.19655719999999999</v>
      </c>
      <c r="U1663">
        <v>0.29797360000000001</v>
      </c>
      <c r="V1663">
        <v>-4.291238E-2</v>
      </c>
      <c r="W1663">
        <v>1.1736430000000001E-2</v>
      </c>
      <c r="X1663">
        <v>0.99900990000000001</v>
      </c>
      <c r="Y1663">
        <v>0.1088961</v>
      </c>
      <c r="Z1663">
        <v>4.2459309999999997E-3</v>
      </c>
      <c r="AA1663">
        <v>0.99404409999999899</v>
      </c>
      <c r="AB1663">
        <v>35</v>
      </c>
      <c r="AC1663">
        <v>-0.63129999999995301</v>
      </c>
      <c r="AD1663">
        <v>-6.4657999999999799E-2</v>
      </c>
      <c r="AE1663">
        <v>0.10230000000001301</v>
      </c>
      <c r="AF1663">
        <v>0.10813869354346201</v>
      </c>
      <c r="AG1663">
        <v>-6.4657999999999799E-2</v>
      </c>
      <c r="AH1663">
        <v>0.62375969896206296</v>
      </c>
      <c r="AI1663">
        <v>95.831682643254794</v>
      </c>
      <c r="AJ1663">
        <v>80.164621689807205</v>
      </c>
      <c r="AK1663">
        <v>0.63635744362310298</v>
      </c>
    </row>
    <row r="1664" spans="1:37" x14ac:dyDescent="0.2">
      <c r="A1664" t="str">
        <f>"20200111160137718"</f>
        <v>20200111160137718</v>
      </c>
      <c r="B1664" t="str">
        <f>"1578729697713118"</f>
        <v>1578729697713118</v>
      </c>
      <c r="C1664" t="s">
        <v>37</v>
      </c>
      <c r="D1664">
        <v>5.0301410000000004</v>
      </c>
      <c r="E1664">
        <v>0.5579636</v>
      </c>
      <c r="F1664" t="s">
        <v>42</v>
      </c>
      <c r="G1664">
        <v>-381.76609999999999</v>
      </c>
      <c r="H1664">
        <v>1.044138</v>
      </c>
      <c r="I1664">
        <v>284.61810000000003</v>
      </c>
      <c r="J1664">
        <v>-381.1859</v>
      </c>
      <c r="K1664">
        <v>1.1040350000000001</v>
      </c>
      <c r="L1664">
        <v>284.52069999999998</v>
      </c>
      <c r="M1664">
        <v>-0.999834</v>
      </c>
      <c r="N1664">
        <v>0</v>
      </c>
      <c r="O1664">
        <v>-1.082666E-2</v>
      </c>
      <c r="P1664">
        <v>-0.99855539999999998</v>
      </c>
      <c r="Q1664">
        <v>-2.4864969999999998E-3</v>
      </c>
      <c r="R1664">
        <v>-5.3678150000000001E-2</v>
      </c>
      <c r="S1664">
        <v>-3.0198669999999899</v>
      </c>
      <c r="T1664">
        <v>-0.19114700000000001</v>
      </c>
      <c r="U1664">
        <v>0.29739379999999999</v>
      </c>
      <c r="V1664">
        <v>-4.2857369999999999E-2</v>
      </c>
      <c r="W1664">
        <v>1.2183670000000001E-2</v>
      </c>
      <c r="X1664">
        <v>0.99900689999999903</v>
      </c>
      <c r="Y1664">
        <v>0.1085383</v>
      </c>
      <c r="Z1664">
        <v>4.10647099999999E-3</v>
      </c>
      <c r="AA1664">
        <v>0.99408379999999996</v>
      </c>
      <c r="AB1664">
        <v>35</v>
      </c>
      <c r="AC1664">
        <v>-0.58019999999998995</v>
      </c>
      <c r="AD1664">
        <v>-5.9896999999999999E-2</v>
      </c>
      <c r="AE1664">
        <v>9.7400000000050099E-2</v>
      </c>
      <c r="AF1664">
        <v>0.102612971145187</v>
      </c>
      <c r="AG1664">
        <v>-5.9896999999999999E-2</v>
      </c>
      <c r="AH1664">
        <v>0.57317023373395304</v>
      </c>
      <c r="AI1664">
        <v>95.8731180601836</v>
      </c>
      <c r="AJ1664">
        <v>79.850032346658693</v>
      </c>
      <c r="AK1664">
        <v>0.58535560926233299</v>
      </c>
    </row>
    <row r="1665" spans="1:37" x14ac:dyDescent="0.2">
      <c r="A1665" t="str">
        <f>"20200111160137741"</f>
        <v>20200111160137741</v>
      </c>
      <c r="B1665" t="str">
        <f>"1578729697732637"</f>
        <v>1578729697732637</v>
      </c>
      <c r="C1665" t="s">
        <v>37</v>
      </c>
      <c r="D1665">
        <v>4.9457430000000002</v>
      </c>
      <c r="E1665">
        <v>0.54612759999999905</v>
      </c>
      <c r="F1665" t="s">
        <v>42</v>
      </c>
      <c r="G1665">
        <v>-382.0804</v>
      </c>
      <c r="H1665">
        <v>1.0475289999999999</v>
      </c>
      <c r="I1665">
        <v>284.60860000000002</v>
      </c>
      <c r="J1665">
        <v>-381.53680000000003</v>
      </c>
      <c r="K1665">
        <v>1.1040350000000001</v>
      </c>
      <c r="L1665">
        <v>284.51710000000003</v>
      </c>
      <c r="M1665">
        <v>-0.99983580000000005</v>
      </c>
      <c r="N1665">
        <v>0</v>
      </c>
      <c r="O1665">
        <v>-1.0652969999999999E-2</v>
      </c>
      <c r="P1665">
        <v>-0.99859940000000003</v>
      </c>
      <c r="Q1665">
        <v>-2.5115810000000001E-3</v>
      </c>
      <c r="R1665">
        <v>-5.2850620000000001E-2</v>
      </c>
      <c r="S1665">
        <v>-3.0196839999999998</v>
      </c>
      <c r="T1665">
        <v>-0.19110179999999999</v>
      </c>
      <c r="U1665">
        <v>0.2944946</v>
      </c>
      <c r="V1665">
        <v>-4.2203329999999997E-2</v>
      </c>
      <c r="W1665">
        <v>1.2155539999999999E-2</v>
      </c>
      <c r="X1665">
        <v>0.99903509999999995</v>
      </c>
      <c r="Y1665">
        <v>0.1074287</v>
      </c>
      <c r="Z1665">
        <v>4.059989E-3</v>
      </c>
      <c r="AA1665">
        <v>0.99420450000000005</v>
      </c>
      <c r="AB1665">
        <v>35</v>
      </c>
      <c r="AC1665">
        <v>-0.543599999999969</v>
      </c>
      <c r="AD1665">
        <v>-5.6505999999999897E-2</v>
      </c>
      <c r="AE1665">
        <v>9.1499999999996307E-2</v>
      </c>
      <c r="AF1665">
        <v>9.6274782526011002E-2</v>
      </c>
      <c r="AG1665">
        <v>-5.6505999999999897E-2</v>
      </c>
      <c r="AH1665">
        <v>0.53695230406763395</v>
      </c>
      <c r="AI1665">
        <v>95.913770107983197</v>
      </c>
      <c r="AJ1665">
        <v>79.834958521553801</v>
      </c>
      <c r="AK1665">
        <v>0.54843371398006802</v>
      </c>
    </row>
    <row r="1666" spans="1:37" x14ac:dyDescent="0.2">
      <c r="A1666" t="str">
        <f>"20200111160137763"</f>
        <v>20200111160137763</v>
      </c>
      <c r="B1666" t="str">
        <f>"1578729697753134"</f>
        <v>1578729697753134</v>
      </c>
      <c r="C1666" t="s">
        <v>37</v>
      </c>
      <c r="D1666">
        <v>4.9847989999999998</v>
      </c>
      <c r="E1666">
        <v>0.54663530000000005</v>
      </c>
      <c r="F1666" t="s">
        <v>42</v>
      </c>
      <c r="G1666">
        <v>-382.38490000000002</v>
      </c>
      <c r="H1666">
        <v>1.0399179999999999</v>
      </c>
      <c r="I1666">
        <v>284.57400000000001</v>
      </c>
      <c r="J1666">
        <v>-381.8784</v>
      </c>
      <c r="K1666">
        <v>1.1040410000000001</v>
      </c>
      <c r="L1666">
        <v>284.51369999999997</v>
      </c>
      <c r="M1666">
        <v>-0.99983759999999999</v>
      </c>
      <c r="N1666">
        <v>0</v>
      </c>
      <c r="O1666">
        <v>-1.0483920000000001E-2</v>
      </c>
      <c r="P1666">
        <v>-0.99863440000000003</v>
      </c>
      <c r="Q1666">
        <v>-1.693731E-3</v>
      </c>
      <c r="R1666">
        <v>-5.2215599999999897E-2</v>
      </c>
      <c r="S1666">
        <v>-3.0142820000000001</v>
      </c>
      <c r="T1666">
        <v>-0.22801939999999901</v>
      </c>
      <c r="U1666">
        <v>0.20132449999999999</v>
      </c>
      <c r="V1666">
        <v>-4.1736519999999999E-2</v>
      </c>
      <c r="W1666">
        <v>1.2969909999999999E-2</v>
      </c>
      <c r="X1666">
        <v>0.9990445</v>
      </c>
      <c r="Y1666">
        <v>7.6851340000000004E-2</v>
      </c>
      <c r="Z1666">
        <v>3.6906029999999898E-3</v>
      </c>
      <c r="AA1666">
        <v>0.99703569999999997</v>
      </c>
      <c r="AB1666">
        <v>35</v>
      </c>
      <c r="AC1666">
        <v>-0.50650000000001605</v>
      </c>
      <c r="AD1666">
        <v>-6.4122999999999902E-2</v>
      </c>
      <c r="AE1666">
        <v>6.0300000000040599E-2</v>
      </c>
      <c r="AF1666">
        <v>6.45866584853938E-2</v>
      </c>
      <c r="AG1666">
        <v>-6.4122999999999902E-2</v>
      </c>
      <c r="AH1666">
        <v>0.49797017904402302</v>
      </c>
      <c r="AI1666">
        <v>97.277236300991703</v>
      </c>
      <c r="AJ1666">
        <v>82.6099999349195</v>
      </c>
      <c r="AK1666">
        <v>0.50621882106500604</v>
      </c>
    </row>
    <row r="1667" spans="1:37" x14ac:dyDescent="0.2">
      <c r="A1667" t="str">
        <f>"20200111160137785"</f>
        <v>20200111160137785</v>
      </c>
      <c r="B1667" t="str">
        <f>"1578729697772654"</f>
        <v>1578729697772654</v>
      </c>
      <c r="C1667" t="s">
        <v>37</v>
      </c>
      <c r="D1667">
        <v>5.0289799999999998</v>
      </c>
      <c r="E1667">
        <v>0.54384339999999998</v>
      </c>
      <c r="F1667" t="s">
        <v>42</v>
      </c>
      <c r="G1667">
        <v>-382.69670000000002</v>
      </c>
      <c r="H1667">
        <v>1.041825</v>
      </c>
      <c r="I1667">
        <v>284.57029999999997</v>
      </c>
      <c r="J1667">
        <v>-382.21109999999999</v>
      </c>
      <c r="K1667">
        <v>1.1040399999999999</v>
      </c>
      <c r="L1667">
        <v>284.51029999999997</v>
      </c>
      <c r="M1667">
        <v>-0.99983949999999999</v>
      </c>
      <c r="N1667">
        <v>0</v>
      </c>
      <c r="O1667">
        <v>-1.031905E-2</v>
      </c>
      <c r="P1667">
        <v>-0.99871639999999995</v>
      </c>
      <c r="Q1667">
        <v>-1.229541E-3</v>
      </c>
      <c r="R1667">
        <v>-5.0638599999999999E-2</v>
      </c>
      <c r="S1667">
        <v>-3.014526</v>
      </c>
      <c r="T1667">
        <v>-0.22940650000000001</v>
      </c>
      <c r="U1667">
        <v>0.20700070000000001</v>
      </c>
      <c r="V1667">
        <v>-4.0323289999999998E-2</v>
      </c>
      <c r="W1667">
        <v>1.343049E-2</v>
      </c>
      <c r="X1667">
        <v>0.9990964</v>
      </c>
      <c r="Y1667">
        <v>7.8542909999999994E-2</v>
      </c>
      <c r="Z1667">
        <v>3.764136E-3</v>
      </c>
      <c r="AA1667">
        <v>0.9969036</v>
      </c>
      <c r="AB1667">
        <v>35</v>
      </c>
      <c r="AC1667">
        <v>-0.48560000000003301</v>
      </c>
      <c r="AD1667">
        <v>-6.2214999999999902E-2</v>
      </c>
      <c r="AE1667">
        <v>6.0000000000002197E-2</v>
      </c>
      <c r="AF1667">
        <v>6.3973950622835202E-2</v>
      </c>
      <c r="AG1667">
        <v>-6.2214999999999902E-2</v>
      </c>
      <c r="AH1667">
        <v>0.47723899400894898</v>
      </c>
      <c r="AI1667">
        <v>97.362323914884101</v>
      </c>
      <c r="AJ1667">
        <v>82.365008203775204</v>
      </c>
      <c r="AK1667">
        <v>0.48551048390942703</v>
      </c>
    </row>
    <row r="1668" spans="1:37" x14ac:dyDescent="0.2">
      <c r="A1668" t="str">
        <f>"20200111160137807"</f>
        <v>20200111160137807</v>
      </c>
      <c r="B1668" t="str">
        <f>"1578729697802909"</f>
        <v>1578729697802909</v>
      </c>
      <c r="C1668" t="s">
        <v>37</v>
      </c>
      <c r="D1668">
        <v>5.0172639999999999</v>
      </c>
      <c r="E1668">
        <v>0.54616419999999999</v>
      </c>
      <c r="F1668" t="s">
        <v>62</v>
      </c>
      <c r="G1668">
        <v>-522.72789999999998</v>
      </c>
      <c r="H1668">
        <v>5.521452</v>
      </c>
      <c r="I1668">
        <v>293.88310000000001</v>
      </c>
      <c r="J1668">
        <v>-382.55900000000003</v>
      </c>
      <c r="K1668">
        <v>1.104047</v>
      </c>
      <c r="L1668">
        <v>284.50700000000001</v>
      </c>
      <c r="M1668">
        <v>-0.99984119999999999</v>
      </c>
      <c r="N1668">
        <v>0</v>
      </c>
      <c r="O1668">
        <v>-1.014702E-2</v>
      </c>
      <c r="P1668">
        <v>-0.99877579999999999</v>
      </c>
      <c r="Q1668">
        <v>-1.450371E-3</v>
      </c>
      <c r="R1668">
        <v>-4.9444199999999897E-2</v>
      </c>
      <c r="S1668">
        <v>-3.01416</v>
      </c>
      <c r="T1668">
        <v>9.4757560000000005E-2</v>
      </c>
      <c r="U1668">
        <v>0.201049799999999</v>
      </c>
      <c r="V1668">
        <v>-3.9300059999999998E-2</v>
      </c>
      <c r="W1668">
        <v>1.32064E-2</v>
      </c>
      <c r="X1668">
        <v>0.99914020000000003</v>
      </c>
      <c r="Y1668">
        <v>7.6633380000000001E-2</v>
      </c>
      <c r="Z1668">
        <v>-1.5215679999999901E-3</v>
      </c>
      <c r="AA1668">
        <v>0.99705820000000001</v>
      </c>
      <c r="AB1668">
        <v>35</v>
      </c>
      <c r="AC1668">
        <v>-140.16889999999901</v>
      </c>
      <c r="AD1668">
        <v>4.4174049999999996</v>
      </c>
      <c r="AE1668">
        <v>9.3760999999999992</v>
      </c>
      <c r="AF1668">
        <v>10.7874002883913</v>
      </c>
      <c r="AG1668">
        <v>4.4174049999999996</v>
      </c>
      <c r="AH1668">
        <v>139.92817674055701</v>
      </c>
      <c r="AI1668">
        <v>88.197170825131593</v>
      </c>
      <c r="AJ1668">
        <v>85.591649804316802</v>
      </c>
      <c r="AK1668">
        <v>140.41287732203401</v>
      </c>
    </row>
    <row r="1669" spans="1:37" x14ac:dyDescent="0.2">
      <c r="A1669" t="str">
        <f>"20200111160137831"</f>
        <v>20200111160137831</v>
      </c>
      <c r="B1669" t="str">
        <f>"1578729697822317"</f>
        <v>1578729697822317</v>
      </c>
      <c r="C1669" t="s">
        <v>37</v>
      </c>
      <c r="D1669">
        <v>5.050287</v>
      </c>
      <c r="E1669">
        <v>0.54607039999999996</v>
      </c>
      <c r="F1669" t="s">
        <v>60</v>
      </c>
      <c r="G1669">
        <v>-412.3965</v>
      </c>
      <c r="H1669" s="1">
        <v>2.453796E-6</v>
      </c>
      <c r="I1669">
        <v>286.64150000000001</v>
      </c>
      <c r="J1669">
        <v>-382.92140000000001</v>
      </c>
      <c r="K1669">
        <v>1.10405</v>
      </c>
      <c r="L1669">
        <v>284.5034</v>
      </c>
      <c r="M1669">
        <v>-0.99984309999999998</v>
      </c>
      <c r="N1669">
        <v>0</v>
      </c>
      <c r="O1669">
        <v>-9.9676009999999995E-3</v>
      </c>
      <c r="P1669">
        <v>-0.99882199999999999</v>
      </c>
      <c r="Q1669">
        <v>-1.8520170000000001E-3</v>
      </c>
      <c r="R1669">
        <v>-4.8494519999999999E-2</v>
      </c>
      <c r="S1669">
        <v>-3.0141909999999998</v>
      </c>
      <c r="T1669">
        <v>-0.1115307</v>
      </c>
      <c r="U1669">
        <v>0.2156372</v>
      </c>
      <c r="V1669">
        <v>-3.8529880000000002E-2</v>
      </c>
      <c r="W1669">
        <v>1.2801119999999999E-2</v>
      </c>
      <c r="X1669">
        <v>0.99917540000000005</v>
      </c>
      <c r="Y1669">
        <v>8.1235899999999903E-2</v>
      </c>
      <c r="Z1669">
        <v>1.8688019999999999E-3</v>
      </c>
      <c r="AA1669">
        <v>0.9966931</v>
      </c>
      <c r="AB1669">
        <v>35</v>
      </c>
      <c r="AC1669">
        <v>-29.475100000000001</v>
      </c>
      <c r="AD1669">
        <v>-1.104047546204</v>
      </c>
      <c r="AE1669">
        <v>2.1381000000000001</v>
      </c>
      <c r="AF1669">
        <v>2.42843198762694</v>
      </c>
      <c r="AG1669">
        <v>-1.104047546204</v>
      </c>
      <c r="AH1669">
        <v>29.411272701492901</v>
      </c>
      <c r="AI1669">
        <v>92.142489635130303</v>
      </c>
      <c r="AJ1669">
        <v>85.279905098169905</v>
      </c>
      <c r="AK1669">
        <v>29.532002384267699</v>
      </c>
    </row>
    <row r="1670" spans="1:37" x14ac:dyDescent="0.2">
      <c r="A1670" t="str">
        <f>"20200111160137851"</f>
        <v>20200111160137851</v>
      </c>
      <c r="B1670" t="str">
        <f>"1578729697842813"</f>
        <v>1578729697842813</v>
      </c>
      <c r="C1670" t="s">
        <v>37</v>
      </c>
      <c r="D1670">
        <v>5.0524839999999998</v>
      </c>
      <c r="E1670">
        <v>0.54587269999999999</v>
      </c>
      <c r="F1670" t="s">
        <v>60</v>
      </c>
      <c r="G1670">
        <v>-405.45139999999998</v>
      </c>
      <c r="H1670" s="1">
        <v>5.67359299999999E-6</v>
      </c>
      <c r="I1670">
        <v>286.1223</v>
      </c>
      <c r="J1670">
        <v>-383.24869999999999</v>
      </c>
      <c r="K1670">
        <v>1.1040509999999999</v>
      </c>
      <c r="L1670">
        <v>284.50040000000001</v>
      </c>
      <c r="M1670">
        <v>-0.99984470000000003</v>
      </c>
      <c r="N1670">
        <v>0</v>
      </c>
      <c r="O1670">
        <v>-9.8054679999999995E-3</v>
      </c>
      <c r="P1670">
        <v>-0.99884769999999901</v>
      </c>
      <c r="Q1670">
        <v>-2.0590069999999999E-3</v>
      </c>
      <c r="R1670">
        <v>-4.795282E-2</v>
      </c>
      <c r="S1670">
        <v>-3.0138240000000001</v>
      </c>
      <c r="T1670">
        <v>-0.14768689999999901</v>
      </c>
      <c r="U1670">
        <v>0.21655269999999999</v>
      </c>
      <c r="V1670">
        <v>-3.814977E-2</v>
      </c>
      <c r="W1670">
        <v>1.259038E-2</v>
      </c>
      <c r="X1670">
        <v>0.99919269999999905</v>
      </c>
      <c r="Y1670">
        <v>8.1337409999999999E-2</v>
      </c>
      <c r="Z1670">
        <v>2.4688219999999999E-3</v>
      </c>
      <c r="AA1670">
        <v>0.99668349999999895</v>
      </c>
      <c r="AB1670">
        <v>35</v>
      </c>
      <c r="AC1670">
        <v>-22.2027</v>
      </c>
      <c r="AD1670">
        <v>-1.104045326407</v>
      </c>
      <c r="AE1670">
        <v>1.6218999999999799</v>
      </c>
      <c r="AF1670">
        <v>1.83503989759105</v>
      </c>
      <c r="AG1670">
        <v>-1.104045326407</v>
      </c>
      <c r="AH1670">
        <v>22.131294760164401</v>
      </c>
      <c r="AI1670">
        <v>92.846148102916899</v>
      </c>
      <c r="AJ1670">
        <v>85.2601019030526</v>
      </c>
      <c r="AK1670">
        <v>22.234668769059599</v>
      </c>
    </row>
    <row r="1671" spans="1:37" x14ac:dyDescent="0.2">
      <c r="A1671" t="str">
        <f>"20200111160137874"</f>
        <v>20200111160137874</v>
      </c>
      <c r="B1671" t="str">
        <f>"1578729697862333"</f>
        <v>1578729697862333</v>
      </c>
      <c r="C1671" t="s">
        <v>37</v>
      </c>
      <c r="D1671">
        <v>5.077013</v>
      </c>
      <c r="E1671">
        <v>0.54588119999999996</v>
      </c>
      <c r="F1671" t="s">
        <v>42</v>
      </c>
      <c r="G1671">
        <v>-384.2516</v>
      </c>
      <c r="H1671">
        <v>1.0483100000000001</v>
      </c>
      <c r="I1671">
        <v>284.57260000000002</v>
      </c>
      <c r="J1671">
        <v>-383.59589999999997</v>
      </c>
      <c r="K1671">
        <v>1.1040509999999999</v>
      </c>
      <c r="L1671">
        <v>284.49720000000002</v>
      </c>
      <c r="M1671">
        <v>-0.99984649999999997</v>
      </c>
      <c r="N1671">
        <v>0</v>
      </c>
      <c r="O1671">
        <v>-9.6336759999999903E-3</v>
      </c>
      <c r="P1671">
        <v>-0.99887979999999998</v>
      </c>
      <c r="Q1671">
        <v>-2.2966189999999902E-3</v>
      </c>
      <c r="R1671">
        <v>-4.7267669999999998E-2</v>
      </c>
      <c r="S1671">
        <v>-3.013458</v>
      </c>
      <c r="T1671">
        <v>-0.167654</v>
      </c>
      <c r="U1671">
        <v>0.21569820000000001</v>
      </c>
      <c r="V1671">
        <v>-3.7636269999999999E-2</v>
      </c>
      <c r="W1671">
        <v>1.2350069999999999E-2</v>
      </c>
      <c r="X1671">
        <v>0.99921519999999997</v>
      </c>
      <c r="Y1671">
        <v>8.0863190000000001E-2</v>
      </c>
      <c r="Z1671">
        <v>2.779784E-3</v>
      </c>
      <c r="AA1671">
        <v>0.99672129999999903</v>
      </c>
      <c r="AB1671">
        <v>35</v>
      </c>
      <c r="AC1671">
        <v>-0.65570000000002404</v>
      </c>
      <c r="AD1671">
        <v>-5.5740999999999999E-2</v>
      </c>
      <c r="AE1671">
        <v>7.5400000000001896E-2</v>
      </c>
      <c r="AF1671">
        <v>8.1135291016237301E-2</v>
      </c>
      <c r="AG1671">
        <v>-5.5740999999999999E-2</v>
      </c>
      <c r="AH1671">
        <v>0.65030489146387904</v>
      </c>
      <c r="AI1671">
        <v>94.861633282598504</v>
      </c>
      <c r="AJ1671">
        <v>82.888241289274504</v>
      </c>
      <c r="AK1671">
        <v>0.65771304258858798</v>
      </c>
    </row>
    <row r="1672" spans="1:37" x14ac:dyDescent="0.2">
      <c r="A1672" t="str">
        <f>"20200111160137897"</f>
        <v>20200111160137897</v>
      </c>
      <c r="B1672" t="str">
        <f>"1578729697892590"</f>
        <v>1578729697892590</v>
      </c>
      <c r="C1672" t="s">
        <v>37</v>
      </c>
      <c r="D1672">
        <v>5.0284889999999898</v>
      </c>
      <c r="E1672">
        <v>0.54571009999999998</v>
      </c>
      <c r="F1672" t="s">
        <v>42</v>
      </c>
      <c r="G1672">
        <v>-384.55860000000001</v>
      </c>
      <c r="H1672">
        <v>1.0465359999999999</v>
      </c>
      <c r="I1672">
        <v>284.56700000000001</v>
      </c>
      <c r="J1672">
        <v>-383.93900000000002</v>
      </c>
      <c r="K1672">
        <v>1.1040459999999901</v>
      </c>
      <c r="L1672">
        <v>284.49400000000003</v>
      </c>
      <c r="M1672">
        <v>-0.99984819999999996</v>
      </c>
      <c r="N1672">
        <v>0</v>
      </c>
      <c r="O1672">
        <v>-9.4637929999999999E-3</v>
      </c>
      <c r="P1672">
        <v>-0.99889889999999903</v>
      </c>
      <c r="Q1672">
        <v>-2.6762409999999898E-3</v>
      </c>
      <c r="R1672">
        <v>-4.6842929999999998E-2</v>
      </c>
      <c r="S1672">
        <v>-3.0132140000000001</v>
      </c>
      <c r="T1672">
        <v>-0.1801825</v>
      </c>
      <c r="U1672">
        <v>0.21710209999999999</v>
      </c>
      <c r="V1672">
        <v>-3.7381060000000001E-2</v>
      </c>
      <c r="W1672">
        <v>1.1966249999999999E-2</v>
      </c>
      <c r="X1672">
        <v>0.99922939999999905</v>
      </c>
      <c r="Y1672">
        <v>8.1139779999999995E-2</v>
      </c>
      <c r="Z1672">
        <v>2.9854600000000001E-3</v>
      </c>
      <c r="AA1672">
        <v>0.99669830000000004</v>
      </c>
      <c r="AB1672">
        <v>35</v>
      </c>
      <c r="AC1672">
        <v>-0.61959999999999105</v>
      </c>
      <c r="AD1672">
        <v>-5.75099999999997E-2</v>
      </c>
      <c r="AE1672">
        <v>7.2999999999978998E-2</v>
      </c>
      <c r="AF1672">
        <v>7.8196669504042193E-2</v>
      </c>
      <c r="AG1672">
        <v>-5.75099999999997E-2</v>
      </c>
      <c r="AH1672">
        <v>0.61366685313357205</v>
      </c>
      <c r="AI1672">
        <v>95.311159671299905</v>
      </c>
      <c r="AJ1672">
        <v>82.738204350621999</v>
      </c>
      <c r="AK1672">
        <v>0.62129632692973902</v>
      </c>
    </row>
    <row r="1673" spans="1:37" x14ac:dyDescent="0.2">
      <c r="A1673" t="str">
        <f>"20200111160137919"</f>
        <v>20200111160137919</v>
      </c>
      <c r="B1673" t="str">
        <f>"1578729697913086"</f>
        <v>1578729697913086</v>
      </c>
      <c r="C1673" t="s">
        <v>37</v>
      </c>
      <c r="D1673">
        <v>5.0550990000000002</v>
      </c>
      <c r="E1673">
        <v>0.54587350000000001</v>
      </c>
      <c r="F1673" t="s">
        <v>42</v>
      </c>
      <c r="G1673">
        <v>-384.86630000000002</v>
      </c>
      <c r="H1673">
        <v>1.046019</v>
      </c>
      <c r="I1673">
        <v>284.5609</v>
      </c>
      <c r="J1673">
        <v>-384.29790000000003</v>
      </c>
      <c r="K1673">
        <v>1.1040430000000001</v>
      </c>
      <c r="L1673">
        <v>284.49079999999998</v>
      </c>
      <c r="M1673">
        <v>-0.99984980000000001</v>
      </c>
      <c r="N1673">
        <v>0</v>
      </c>
      <c r="O1673">
        <v>-9.2855650000000008E-3</v>
      </c>
      <c r="P1673">
        <v>-0.99890380000000001</v>
      </c>
      <c r="Q1673">
        <v>-3.1904540000000001E-3</v>
      </c>
      <c r="R1673">
        <v>-4.6704780000000001E-2</v>
      </c>
      <c r="S1673">
        <v>-3.0129700000000001</v>
      </c>
      <c r="T1673">
        <v>-0.18856919999999999</v>
      </c>
      <c r="U1673">
        <v>0.2170105</v>
      </c>
      <c r="V1673">
        <v>-3.7421299999999998E-2</v>
      </c>
      <c r="W1673">
        <v>1.144796E-2</v>
      </c>
      <c r="X1673">
        <v>0.99923399999999996</v>
      </c>
      <c r="Y1673">
        <v>8.0923190000000006E-2</v>
      </c>
      <c r="Z1673">
        <v>3.1065159999999902E-3</v>
      </c>
      <c r="AA1673">
        <v>0.99671549999999998</v>
      </c>
      <c r="AB1673">
        <v>35</v>
      </c>
      <c r="AC1673">
        <v>-0.56839999999999602</v>
      </c>
      <c r="AD1673">
        <v>-5.8023999999999999E-2</v>
      </c>
      <c r="AE1673">
        <v>7.0100000000024906E-2</v>
      </c>
      <c r="AF1673">
        <v>7.4609603477487504E-2</v>
      </c>
      <c r="AG1673">
        <v>-5.8023999999999999E-2</v>
      </c>
      <c r="AH1673">
        <v>0.56195612393335104</v>
      </c>
      <c r="AI1673">
        <v>95.844181796547105</v>
      </c>
      <c r="AJ1673">
        <v>82.437203168318305</v>
      </c>
      <c r="AK1673">
        <v>0.56984915787711998</v>
      </c>
    </row>
    <row r="1674" spans="1:37" x14ac:dyDescent="0.2">
      <c r="A1674" t="str">
        <f>"20200111160137941"</f>
        <v>20200111160137941</v>
      </c>
      <c r="B1674" t="str">
        <f>"1578729697932605"</f>
        <v>1578729697932605</v>
      </c>
      <c r="C1674" t="s">
        <v>37</v>
      </c>
      <c r="D1674">
        <v>5.0785019999999896</v>
      </c>
      <c r="E1674">
        <v>0.54588219999999898</v>
      </c>
      <c r="F1674" t="s">
        <v>42</v>
      </c>
      <c r="G1674">
        <v>-385.17489999999998</v>
      </c>
      <c r="H1674">
        <v>1.0468059999999999</v>
      </c>
      <c r="I1674">
        <v>284.55470000000003</v>
      </c>
      <c r="J1674">
        <v>-384.62909999999999</v>
      </c>
      <c r="K1674">
        <v>1.1040479999999999</v>
      </c>
      <c r="L1674">
        <v>284.48790000000002</v>
      </c>
      <c r="M1674">
        <v>-0.99985139999999995</v>
      </c>
      <c r="N1674">
        <v>0</v>
      </c>
      <c r="O1674">
        <v>-9.1215199999999993E-3</v>
      </c>
      <c r="P1674">
        <v>-0.99890579999999995</v>
      </c>
      <c r="Q1674">
        <v>-2.8551179999999998E-3</v>
      </c>
      <c r="R1674">
        <v>-4.6681529999999999E-2</v>
      </c>
      <c r="S1674">
        <v>-3.01287799999999</v>
      </c>
      <c r="T1674">
        <v>-0.19678470000000001</v>
      </c>
      <c r="U1674">
        <v>0.21844479999999999</v>
      </c>
      <c r="V1674">
        <v>-3.7562199999999997E-2</v>
      </c>
      <c r="W1674">
        <v>1.177982E-2</v>
      </c>
      <c r="X1674">
        <v>0.99922479999999902</v>
      </c>
      <c r="Y1674">
        <v>8.1217960000000006E-2</v>
      </c>
      <c r="Z1674">
        <v>3.2405340000000002E-3</v>
      </c>
      <c r="AA1674">
        <v>0.99669110000000005</v>
      </c>
      <c r="AB1674">
        <v>34</v>
      </c>
      <c r="AC1674">
        <v>-0.54579999999998496</v>
      </c>
      <c r="AD1674">
        <v>-5.7242000000000001E-2</v>
      </c>
      <c r="AE1674">
        <v>6.6800000000000595E-2</v>
      </c>
      <c r="AF1674">
        <v>7.1006784662174693E-2</v>
      </c>
      <c r="AG1674">
        <v>-5.7242000000000001E-2</v>
      </c>
      <c r="AH1674">
        <v>0.53932330835161002</v>
      </c>
      <c r="AI1674">
        <v>96.007047846193501</v>
      </c>
      <c r="AJ1674">
        <v>82.4996319899018</v>
      </c>
      <c r="AK1674">
        <v>0.54698102431746798</v>
      </c>
    </row>
    <row r="1675" spans="1:37" x14ac:dyDescent="0.2">
      <c r="A1675" t="str">
        <f>"20200111160137963"</f>
        <v>20200111160137963</v>
      </c>
      <c r="B1675" t="str">
        <f>"1578729697953101"</f>
        <v>1578729697953101</v>
      </c>
      <c r="C1675" t="s">
        <v>37</v>
      </c>
      <c r="D1675">
        <v>5.046646</v>
      </c>
      <c r="E1675">
        <v>0.54598950000000002</v>
      </c>
      <c r="F1675" t="s">
        <v>42</v>
      </c>
      <c r="G1675">
        <v>-385.48329999999999</v>
      </c>
      <c r="H1675">
        <v>1.047604</v>
      </c>
      <c r="I1675">
        <v>284.55020000000002</v>
      </c>
      <c r="J1675">
        <v>-384.9683</v>
      </c>
      <c r="K1675">
        <v>1.1040490000000001</v>
      </c>
      <c r="L1675">
        <v>284.48500000000001</v>
      </c>
      <c r="M1675">
        <v>-0.99985299999999999</v>
      </c>
      <c r="N1675">
        <v>0</v>
      </c>
      <c r="O1675">
        <v>-8.9533059999999994E-3</v>
      </c>
      <c r="P1675">
        <v>-0.99886569999999997</v>
      </c>
      <c r="Q1675">
        <v>-2.5206019999999998E-3</v>
      </c>
      <c r="R1675">
        <v>-4.7554350000000002E-2</v>
      </c>
      <c r="S1675">
        <v>-3.0129700000000001</v>
      </c>
      <c r="T1675">
        <v>-0.19928499999999999</v>
      </c>
      <c r="U1675">
        <v>0.21853639999999999</v>
      </c>
      <c r="V1675">
        <v>-3.8603110000000003E-2</v>
      </c>
      <c r="W1675">
        <v>1.211072E-2</v>
      </c>
      <c r="X1675">
        <v>0.99918119999999999</v>
      </c>
      <c r="Y1675">
        <v>8.1074030000000005E-2</v>
      </c>
      <c r="Z1675">
        <v>3.2656650000000001E-3</v>
      </c>
      <c r="AA1675">
        <v>0.99670270000000005</v>
      </c>
      <c r="AB1675">
        <v>34</v>
      </c>
      <c r="AC1675">
        <v>-0.51499999999998602</v>
      </c>
      <c r="AD1675">
        <v>-5.6445000000000002E-2</v>
      </c>
      <c r="AE1675">
        <v>6.5200000000004296E-2</v>
      </c>
      <c r="AF1675">
        <v>6.8993120237071506E-2</v>
      </c>
      <c r="AG1675">
        <v>-5.6445000000000002E-2</v>
      </c>
      <c r="AH1675">
        <v>0.50838485836545499</v>
      </c>
      <c r="AI1675">
        <v>96.278406925001505</v>
      </c>
      <c r="AJ1675">
        <v>82.2715807546533</v>
      </c>
      <c r="AK1675">
        <v>0.51614072972427905</v>
      </c>
    </row>
    <row r="1676" spans="1:37" x14ac:dyDescent="0.2">
      <c r="A1676" t="str">
        <f>"20200111160137986"</f>
        <v>20200111160137986</v>
      </c>
      <c r="B1676" t="str">
        <f>"1578729697982381"</f>
        <v>1578729697982381</v>
      </c>
      <c r="C1676" t="s">
        <v>37</v>
      </c>
      <c r="D1676">
        <v>5.0765769999999897</v>
      </c>
      <c r="E1676">
        <v>0.54630299999999998</v>
      </c>
      <c r="F1676" t="s">
        <v>42</v>
      </c>
      <c r="G1676">
        <v>-385.7921</v>
      </c>
      <c r="H1676">
        <v>1.0490299999999999</v>
      </c>
      <c r="I1676">
        <v>284.54450000000003</v>
      </c>
      <c r="J1676">
        <v>-385.31310000000002</v>
      </c>
      <c r="K1676">
        <v>1.104052</v>
      </c>
      <c r="L1676">
        <v>284.4821</v>
      </c>
      <c r="M1676">
        <v>-0.99985469999999899</v>
      </c>
      <c r="N1676">
        <v>0</v>
      </c>
      <c r="O1676">
        <v>-8.7823499999999995E-3</v>
      </c>
      <c r="P1676">
        <v>-0.99882579999999999</v>
      </c>
      <c r="Q1676">
        <v>-2.1290440000000001E-3</v>
      </c>
      <c r="R1676">
        <v>-4.8401099999999898E-2</v>
      </c>
      <c r="S1676">
        <v>-3.013245</v>
      </c>
      <c r="T1676">
        <v>-0.2013354</v>
      </c>
      <c r="U1676">
        <v>0.2166138</v>
      </c>
      <c r="V1676">
        <v>-3.9620580000000002E-2</v>
      </c>
      <c r="W1676">
        <v>1.2497879999999999E-2</v>
      </c>
      <c r="X1676">
        <v>0.99913660000000004</v>
      </c>
      <c r="Y1676">
        <v>8.0262559999999997E-2</v>
      </c>
      <c r="Z1676">
        <v>3.2605239999999999E-3</v>
      </c>
      <c r="AA1676">
        <v>0.9967684</v>
      </c>
      <c r="AB1676">
        <v>34</v>
      </c>
      <c r="AC1676">
        <v>-0.47899999999998499</v>
      </c>
      <c r="AD1676">
        <v>-5.5022000000000099E-2</v>
      </c>
      <c r="AE1676">
        <v>6.2400000000025102E-2</v>
      </c>
      <c r="AF1676">
        <v>6.5751687161481207E-2</v>
      </c>
      <c r="AG1676">
        <v>-5.5022000000000099E-2</v>
      </c>
      <c r="AH1676">
        <v>0.472305480815223</v>
      </c>
      <c r="AI1676">
        <v>96.581903982543295</v>
      </c>
      <c r="AJ1676">
        <v>82.074545055697399</v>
      </c>
      <c r="AK1676">
        <v>0.480024136952175</v>
      </c>
    </row>
    <row r="1677" spans="1:37" x14ac:dyDescent="0.2">
      <c r="A1677" t="str">
        <f>"20200111160138008"</f>
        <v>20200111160138008</v>
      </c>
      <c r="B1677" t="str">
        <f>"1578729698002878"</f>
        <v>1578729698002878</v>
      </c>
      <c r="C1677" t="s">
        <v>37</v>
      </c>
      <c r="D1677">
        <v>5.07822</v>
      </c>
      <c r="E1677">
        <v>0.54647400000000002</v>
      </c>
      <c r="F1677" t="s">
        <v>42</v>
      </c>
      <c r="G1677">
        <v>-386.10059999999999</v>
      </c>
      <c r="H1677">
        <v>1.0505770000000001</v>
      </c>
      <c r="I1677">
        <v>284.53879999999998</v>
      </c>
      <c r="J1677">
        <v>-385.66730000000001</v>
      </c>
      <c r="K1677">
        <v>1.1040459999999901</v>
      </c>
      <c r="L1677">
        <v>284.47910000000002</v>
      </c>
      <c r="M1677">
        <v>-0.99985609999999903</v>
      </c>
      <c r="N1677">
        <v>0</v>
      </c>
      <c r="O1677">
        <v>-8.6063860000000006E-3</v>
      </c>
      <c r="P1677">
        <v>-0.99879240000000002</v>
      </c>
      <c r="Q1677">
        <v>-2.4952220000000001E-3</v>
      </c>
      <c r="R1677">
        <v>-4.9065919999999999E-2</v>
      </c>
      <c r="S1677">
        <v>-3.0135800000000001</v>
      </c>
      <c r="T1677">
        <v>-0.20469489999999901</v>
      </c>
      <c r="U1677">
        <v>0.2164307</v>
      </c>
      <c r="V1677">
        <v>-4.0462119999999997E-2</v>
      </c>
      <c r="W1677">
        <v>1.2127880000000001E-2</v>
      </c>
      <c r="X1677">
        <v>0.99910750000000004</v>
      </c>
      <c r="Y1677">
        <v>8.0013310000000004E-2</v>
      </c>
      <c r="Z1677">
        <v>3.2940740000000001E-3</v>
      </c>
      <c r="AA1677">
        <v>0.99678829999999996</v>
      </c>
      <c r="AB1677">
        <v>34</v>
      </c>
      <c r="AC1677">
        <v>-0.43329999999997398</v>
      </c>
      <c r="AD1677">
        <v>-5.3468999999999697E-2</v>
      </c>
      <c r="AE1677">
        <v>5.9699999999963803E-2</v>
      </c>
      <c r="AF1677">
        <v>6.2493447438647397E-2</v>
      </c>
      <c r="AG1677">
        <v>-5.3468999999999697E-2</v>
      </c>
      <c r="AH1677">
        <v>0.426398104825714</v>
      </c>
      <c r="AI1677">
        <v>97.072626238385695</v>
      </c>
      <c r="AJ1677">
        <v>81.662020167530798</v>
      </c>
      <c r="AK1677">
        <v>0.43425765247457299</v>
      </c>
    </row>
    <row r="1678" spans="1:37" x14ac:dyDescent="0.2">
      <c r="A1678" t="str">
        <f>"20200111160138032"</f>
        <v>20200111160138032</v>
      </c>
      <c r="B1678" t="str">
        <f>"1578729698022397"</f>
        <v>1578729698022397</v>
      </c>
      <c r="C1678" t="s">
        <v>37</v>
      </c>
      <c r="D1678">
        <v>5.0665230000000001</v>
      </c>
      <c r="E1678">
        <v>0.54673669999999996</v>
      </c>
      <c r="F1678" t="s">
        <v>42</v>
      </c>
      <c r="G1678">
        <v>-386.4171</v>
      </c>
      <c r="H1678">
        <v>1.052548</v>
      </c>
      <c r="I1678">
        <v>284.53339999999997</v>
      </c>
      <c r="J1678">
        <v>-386.01499999999999</v>
      </c>
      <c r="K1678">
        <v>1.104042</v>
      </c>
      <c r="L1678">
        <v>284.47629999999998</v>
      </c>
      <c r="M1678">
        <v>-0.99985759999999901</v>
      </c>
      <c r="N1678">
        <v>0</v>
      </c>
      <c r="O1678">
        <v>-8.4331690000000008E-3</v>
      </c>
      <c r="P1678">
        <v>-0.99877729999999998</v>
      </c>
      <c r="Q1678">
        <v>-3.6466939999999998E-3</v>
      </c>
      <c r="R1678">
        <v>-4.9300940000000001E-2</v>
      </c>
      <c r="S1678">
        <v>-3.0137019999999999</v>
      </c>
      <c r="T1678">
        <v>-0.2072697</v>
      </c>
      <c r="U1678">
        <v>0.21575929999999999</v>
      </c>
      <c r="V1678">
        <v>-4.0870950000000003E-2</v>
      </c>
      <c r="W1678">
        <v>1.0972579999999999E-2</v>
      </c>
      <c r="X1678">
        <v>0.9991042</v>
      </c>
      <c r="Y1678">
        <v>7.9613039999999996E-2</v>
      </c>
      <c r="Z1678">
        <v>3.309687E-3</v>
      </c>
      <c r="AA1678">
        <v>0.99682029999999999</v>
      </c>
      <c r="AB1678">
        <v>34</v>
      </c>
      <c r="AC1678">
        <v>-0.402100000000018</v>
      </c>
      <c r="AD1678">
        <v>-5.1493999999999901E-2</v>
      </c>
      <c r="AE1678">
        <v>5.7099999999991199E-2</v>
      </c>
      <c r="AF1678">
        <v>5.9532275355935999E-2</v>
      </c>
      <c r="AG1678">
        <v>-5.1493999999999901E-2</v>
      </c>
      <c r="AH1678">
        <v>0.395250122043736</v>
      </c>
      <c r="AI1678">
        <v>97.340920469253405</v>
      </c>
      <c r="AJ1678">
        <v>81.4345381025244</v>
      </c>
      <c r="AK1678">
        <v>0.40301164104854797</v>
      </c>
    </row>
    <row r="1679" spans="1:37" x14ac:dyDescent="0.2">
      <c r="A1679" t="str">
        <f>"20200111160138052"</f>
        <v>20200111160138052</v>
      </c>
      <c r="B1679" t="str">
        <f>"1578729698042894"</f>
        <v>1578729698042894</v>
      </c>
      <c r="C1679" t="s">
        <v>37</v>
      </c>
      <c r="D1679">
        <v>5.0059329999999997</v>
      </c>
      <c r="E1679">
        <v>0.54686569999999901</v>
      </c>
      <c r="F1679" t="s">
        <v>42</v>
      </c>
      <c r="G1679">
        <v>-387.0086</v>
      </c>
      <c r="H1679">
        <v>1.0343439999999999</v>
      </c>
      <c r="I1679">
        <v>284.54829999999998</v>
      </c>
      <c r="J1679">
        <v>-386.34059999999999</v>
      </c>
      <c r="K1679">
        <v>1.104044</v>
      </c>
      <c r="L1679">
        <v>284.47379999999998</v>
      </c>
      <c r="M1679">
        <v>-0.99985919999999895</v>
      </c>
      <c r="N1679">
        <v>0</v>
      </c>
      <c r="O1679">
        <v>-8.2716259999999903E-3</v>
      </c>
      <c r="P1679">
        <v>-0.99880840000000004</v>
      </c>
      <c r="Q1679">
        <v>-4.1760209999999898E-3</v>
      </c>
      <c r="R1679">
        <v>-4.8623270000000003E-2</v>
      </c>
      <c r="S1679">
        <v>-3.0136409999999998</v>
      </c>
      <c r="T1679">
        <v>-0.211614</v>
      </c>
      <c r="U1679">
        <v>0.21698000000000001</v>
      </c>
      <c r="V1679">
        <v>-4.035474E-2</v>
      </c>
      <c r="W1679">
        <v>1.0439510000000001E-2</v>
      </c>
      <c r="X1679">
        <v>0.99913090000000004</v>
      </c>
      <c r="Y1679">
        <v>7.9846199999999895E-2</v>
      </c>
      <c r="Z1679">
        <v>3.3757570000000001E-3</v>
      </c>
      <c r="AA1679">
        <v>0.99680149999999901</v>
      </c>
      <c r="AB1679">
        <v>34</v>
      </c>
      <c r="AC1679">
        <v>-0.66800000000000603</v>
      </c>
      <c r="AD1679">
        <v>-6.9699999999999804E-2</v>
      </c>
      <c r="AE1679">
        <v>7.4500000000000399E-2</v>
      </c>
      <c r="AF1679">
        <v>7.9172119835638502E-2</v>
      </c>
      <c r="AG1679">
        <v>-6.9699999999999804E-2</v>
      </c>
      <c r="AH1679">
        <v>0.66026082008549802</v>
      </c>
      <c r="AI1679">
        <v>95.983523749369297</v>
      </c>
      <c r="AJ1679">
        <v>83.162289109899604</v>
      </c>
      <c r="AK1679">
        <v>0.66863343103620199</v>
      </c>
    </row>
    <row r="1680" spans="1:37" x14ac:dyDescent="0.2">
      <c r="A1680" t="str">
        <f>"20200111160138076"</f>
        <v>20200111160138076</v>
      </c>
      <c r="B1680" t="str">
        <f>"1578729698073150"</f>
        <v>1578729698073150</v>
      </c>
      <c r="C1680" t="s">
        <v>37</v>
      </c>
      <c r="D1680">
        <v>5.0291519999999998</v>
      </c>
      <c r="E1680">
        <v>0.54713819999999902</v>
      </c>
      <c r="F1680" t="s">
        <v>42</v>
      </c>
      <c r="G1680">
        <v>-387.31450000000001</v>
      </c>
      <c r="H1680">
        <v>1.0348029999999999</v>
      </c>
      <c r="I1680">
        <v>284.54509999999999</v>
      </c>
      <c r="J1680">
        <v>-386.68259999999998</v>
      </c>
      <c r="K1680">
        <v>1.104044</v>
      </c>
      <c r="L1680">
        <v>284.47109999999998</v>
      </c>
      <c r="M1680">
        <v>-0.99986049999999904</v>
      </c>
      <c r="N1680">
        <v>0</v>
      </c>
      <c r="O1680">
        <v>-8.1015059999999996E-3</v>
      </c>
      <c r="P1680">
        <v>-0.99884329999999999</v>
      </c>
      <c r="Q1680">
        <v>-3.8405399999999999E-3</v>
      </c>
      <c r="R1680">
        <v>-4.7931599999999998E-2</v>
      </c>
      <c r="S1680">
        <v>-3.01342799999999</v>
      </c>
      <c r="T1680">
        <v>-0.2143312</v>
      </c>
      <c r="U1680">
        <v>0.2198792</v>
      </c>
      <c r="V1680">
        <v>-3.9832439999999997E-2</v>
      </c>
      <c r="W1680">
        <v>1.0771370000000001E-2</v>
      </c>
      <c r="X1680">
        <v>0.99914829999999999</v>
      </c>
      <c r="Y1680">
        <v>8.0628499999999895E-2</v>
      </c>
      <c r="Z1680">
        <v>3.4347959999999999E-3</v>
      </c>
      <c r="AA1680">
        <v>0.99673829999999997</v>
      </c>
      <c r="AB1680">
        <v>34</v>
      </c>
      <c r="AC1680">
        <v>-0.63190000000002999</v>
      </c>
      <c r="AD1680">
        <v>-6.9240999999999803E-2</v>
      </c>
      <c r="AE1680">
        <v>7.4000000000012195E-2</v>
      </c>
      <c r="AF1680">
        <v>7.8191326445991999E-2</v>
      </c>
      <c r="AG1680">
        <v>-6.9240999999999803E-2</v>
      </c>
      <c r="AH1680">
        <v>0.62389005532456598</v>
      </c>
      <c r="AI1680">
        <v>96.284160345249902</v>
      </c>
      <c r="AJ1680">
        <v>82.856441302590099</v>
      </c>
      <c r="AK1680">
        <v>0.63257173565159697</v>
      </c>
    </row>
    <row r="1681" spans="1:37" x14ac:dyDescent="0.2">
      <c r="A1681" t="str">
        <f>"20200111160138098"</f>
        <v>20200111160138098</v>
      </c>
      <c r="B1681" t="str">
        <f>"1578729698092670"</f>
        <v>1578729698092670</v>
      </c>
      <c r="C1681" t="s">
        <v>37</v>
      </c>
      <c r="D1681">
        <v>4.9767010000000003</v>
      </c>
      <c r="E1681">
        <v>0.5472342</v>
      </c>
      <c r="F1681" t="s">
        <v>42</v>
      </c>
      <c r="G1681">
        <v>-387.62110000000001</v>
      </c>
      <c r="H1681">
        <v>1.037588</v>
      </c>
      <c r="I1681">
        <v>284.54129999999998</v>
      </c>
      <c r="J1681">
        <v>-387.03160000000003</v>
      </c>
      <c r="K1681">
        <v>1.1040479999999999</v>
      </c>
      <c r="L1681">
        <v>284.46850000000001</v>
      </c>
      <c r="M1681">
        <v>-0.99986209999999898</v>
      </c>
      <c r="N1681">
        <v>0</v>
      </c>
      <c r="O1681">
        <v>-7.9283989999999992E-3</v>
      </c>
      <c r="P1681">
        <v>-0.99887159999999997</v>
      </c>
      <c r="Q1681">
        <v>-3.5829899999999999E-3</v>
      </c>
      <c r="R1681">
        <v>-4.7362340000000003E-2</v>
      </c>
      <c r="S1681">
        <v>-3.0133969999999999</v>
      </c>
      <c r="T1681">
        <v>-0.21363099999999999</v>
      </c>
      <c r="U1681">
        <v>0.223998999999999</v>
      </c>
      <c r="V1681">
        <v>-3.9435930000000001E-2</v>
      </c>
      <c r="W1681">
        <v>1.1025510000000001E-2</v>
      </c>
      <c r="X1681">
        <v>0.99916119999999997</v>
      </c>
      <c r="Y1681">
        <v>8.1810939999999999E-2</v>
      </c>
      <c r="Z1681">
        <v>3.453027E-3</v>
      </c>
      <c r="AA1681">
        <v>0.99664189999999997</v>
      </c>
      <c r="AB1681">
        <v>34</v>
      </c>
      <c r="AC1681">
        <v>-0.58949999999998604</v>
      </c>
      <c r="AD1681">
        <v>-6.6459999999999894E-2</v>
      </c>
      <c r="AE1681">
        <v>7.2799999999972401E-2</v>
      </c>
      <c r="AF1681">
        <v>7.6514098122500401E-2</v>
      </c>
      <c r="AG1681">
        <v>-6.6459999999999894E-2</v>
      </c>
      <c r="AH1681">
        <v>0.58162271594760695</v>
      </c>
      <c r="AI1681">
        <v>96.463503884018195</v>
      </c>
      <c r="AJ1681">
        <v>82.505614877798806</v>
      </c>
      <c r="AK1681">
        <v>0.590386587345758</v>
      </c>
    </row>
    <row r="1682" spans="1:37" x14ac:dyDescent="0.2">
      <c r="A1682" t="str">
        <f>"20200111160138121"</f>
        <v>20200111160138121</v>
      </c>
      <c r="B1682" t="str">
        <f>"1578729698112554"</f>
        <v>1578729698112554</v>
      </c>
      <c r="C1682" t="s">
        <v>37</v>
      </c>
      <c r="D1682">
        <v>5.0411779999999897</v>
      </c>
      <c r="E1682">
        <v>0.54737619999999998</v>
      </c>
      <c r="F1682" t="s">
        <v>42</v>
      </c>
      <c r="G1682">
        <v>-387.92750000000001</v>
      </c>
      <c r="H1682">
        <v>1.04077999999999</v>
      </c>
      <c r="I1682">
        <v>284.536</v>
      </c>
      <c r="J1682">
        <v>-387.38569999999999</v>
      </c>
      <c r="K1682">
        <v>1.1040509999999999</v>
      </c>
      <c r="L1682">
        <v>284.4658</v>
      </c>
      <c r="M1682">
        <v>-0.99986330000000001</v>
      </c>
      <c r="N1682">
        <v>0</v>
      </c>
      <c r="O1682">
        <v>-7.7523150000000001E-3</v>
      </c>
      <c r="P1682">
        <v>-0.99887680000000001</v>
      </c>
      <c r="Q1682">
        <v>-3.0852539999999999E-3</v>
      </c>
      <c r="R1682">
        <v>-4.7280889999999999E-2</v>
      </c>
      <c r="S1682">
        <v>-3.0133669999999899</v>
      </c>
      <c r="T1682">
        <v>-0.21288869999999999</v>
      </c>
      <c r="U1682">
        <v>0.22650149999999999</v>
      </c>
      <c r="V1682">
        <v>-3.9530049999999997E-2</v>
      </c>
      <c r="W1682">
        <v>1.1518530000000001E-2</v>
      </c>
      <c r="X1682">
        <v>0.99915200000000004</v>
      </c>
      <c r="Y1682">
        <v>8.2459599999999994E-2</v>
      </c>
      <c r="Z1682">
        <v>3.4514309999999901E-3</v>
      </c>
      <c r="AA1682">
        <v>0.99658840000000004</v>
      </c>
      <c r="AB1682">
        <v>34</v>
      </c>
      <c r="AC1682">
        <v>-0.54180000000002304</v>
      </c>
      <c r="AD1682">
        <v>-6.3271000000000299E-2</v>
      </c>
      <c r="AE1682">
        <v>7.0199999999999804E-2</v>
      </c>
      <c r="AF1682">
        <v>7.3413898149558204E-2</v>
      </c>
      <c r="AG1682">
        <v>-6.3271000000000299E-2</v>
      </c>
      <c r="AH1682">
        <v>0.53407629042447702</v>
      </c>
      <c r="AI1682">
        <v>96.693866392510998</v>
      </c>
      <c r="AJ1682">
        <v>82.173196890695706</v>
      </c>
      <c r="AK1682">
        <v>0.54279858499823297</v>
      </c>
    </row>
    <row r="1683" spans="1:37" x14ac:dyDescent="0.2">
      <c r="A1683" t="str">
        <f>"20200111160138141"</f>
        <v>20200111160138141</v>
      </c>
      <c r="B1683" t="str">
        <f>"1578729698133050"</f>
        <v>1578729698133050</v>
      </c>
      <c r="C1683" t="s">
        <v>37</v>
      </c>
      <c r="D1683">
        <v>4.9675669999999998</v>
      </c>
      <c r="E1683">
        <v>0.54744569999999904</v>
      </c>
      <c r="F1683" t="s">
        <v>42</v>
      </c>
      <c r="G1683">
        <v>-388.23410000000001</v>
      </c>
      <c r="H1683">
        <v>1.044605</v>
      </c>
      <c r="I1683">
        <v>284.53059999999999</v>
      </c>
      <c r="J1683">
        <v>-387.69920000000002</v>
      </c>
      <c r="K1683">
        <v>1.104061</v>
      </c>
      <c r="L1683">
        <v>284.46359999999999</v>
      </c>
      <c r="M1683">
        <v>-0.99986469999999905</v>
      </c>
      <c r="N1683">
        <v>0</v>
      </c>
      <c r="O1683">
        <v>-7.5964980000000001E-3</v>
      </c>
      <c r="P1683">
        <v>-0.99887990000000004</v>
      </c>
      <c r="Q1683">
        <v>-2.853267E-3</v>
      </c>
      <c r="R1683">
        <v>-4.7231420000000003E-2</v>
      </c>
      <c r="S1683">
        <v>-3.0135190000000001</v>
      </c>
      <c r="T1683">
        <v>-0.21140889999999901</v>
      </c>
      <c r="U1683">
        <v>0.22811889999999899</v>
      </c>
      <c r="V1683">
        <v>-3.9636669999999999E-2</v>
      </c>
      <c r="W1683">
        <v>1.1746919999999999E-2</v>
      </c>
      <c r="X1683">
        <v>0.99914509999999901</v>
      </c>
      <c r="Y1683">
        <v>8.2834980000000002E-2</v>
      </c>
      <c r="Z1683">
        <v>3.429484E-3</v>
      </c>
      <c r="AA1683">
        <v>0.99655740000000004</v>
      </c>
      <c r="AB1683">
        <v>34</v>
      </c>
      <c r="AC1683">
        <v>-0.53489999999999305</v>
      </c>
      <c r="AD1683">
        <v>-5.9455999999999898E-2</v>
      </c>
      <c r="AE1683">
        <v>6.7000000000007207E-2</v>
      </c>
      <c r="AF1683">
        <v>7.0207840101142505E-2</v>
      </c>
      <c r="AG1683">
        <v>-5.9455999999999898E-2</v>
      </c>
      <c r="AH1683">
        <v>0.52795338697726701</v>
      </c>
      <c r="AI1683">
        <v>96.369742582475197</v>
      </c>
      <c r="AJ1683">
        <v>82.425184599664902</v>
      </c>
      <c r="AK1683">
        <v>0.535909447172221</v>
      </c>
    </row>
    <row r="1684" spans="1:37" x14ac:dyDescent="0.2">
      <c r="A1684" t="str">
        <f>"20200111160138164"</f>
        <v>20200111160138164</v>
      </c>
      <c r="B1684" t="str">
        <f>"1578729698152570"</f>
        <v>1578729698152570</v>
      </c>
      <c r="C1684" t="s">
        <v>37</v>
      </c>
      <c r="D1684">
        <v>4.9677980000000002</v>
      </c>
      <c r="E1684">
        <v>0.5474812</v>
      </c>
      <c r="F1684" t="s">
        <v>42</v>
      </c>
      <c r="G1684">
        <v>-388.53910000000002</v>
      </c>
      <c r="H1684">
        <v>1.045499</v>
      </c>
      <c r="I1684">
        <v>284.52760000000001</v>
      </c>
      <c r="J1684">
        <v>-388.03769999999997</v>
      </c>
      <c r="K1684">
        <v>1.1040570000000001</v>
      </c>
      <c r="L1684">
        <v>284.46120000000002</v>
      </c>
      <c r="M1684">
        <v>-0.99986589999999997</v>
      </c>
      <c r="N1684">
        <v>0</v>
      </c>
      <c r="O1684">
        <v>-7.4280450000000003E-3</v>
      </c>
      <c r="P1684">
        <v>-0.99889110000000003</v>
      </c>
      <c r="Q1684">
        <v>-3.1784609999999901E-3</v>
      </c>
      <c r="R1684">
        <v>-4.6972930000000003E-2</v>
      </c>
      <c r="S1684">
        <v>-3.01355</v>
      </c>
      <c r="T1684">
        <v>-0.21024419999999999</v>
      </c>
      <c r="U1684">
        <v>0.22875979999999899</v>
      </c>
      <c r="V1684">
        <v>-3.95463E-2</v>
      </c>
      <c r="W1684">
        <v>1.14184E-2</v>
      </c>
      <c r="X1684">
        <v>0.9991525</v>
      </c>
      <c r="Y1684">
        <v>8.2879759999999997E-2</v>
      </c>
      <c r="Z1684">
        <v>3.4004090000000001E-3</v>
      </c>
      <c r="AA1684">
        <v>0.99655380000000005</v>
      </c>
      <c r="AB1684">
        <v>34</v>
      </c>
      <c r="AC1684">
        <v>-0.50140000000004603</v>
      </c>
      <c r="AD1684">
        <v>-5.8558000000000103E-2</v>
      </c>
      <c r="AE1684">
        <v>6.6399999999987303E-2</v>
      </c>
      <c r="AF1684">
        <v>6.9195449906360604E-2</v>
      </c>
      <c r="AG1684">
        <v>-5.8558000000000103E-2</v>
      </c>
      <c r="AH1684">
        <v>0.494267439369864</v>
      </c>
      <c r="AI1684">
        <v>96.691925499637094</v>
      </c>
      <c r="AJ1684">
        <v>82.030616035875298</v>
      </c>
      <c r="AK1684">
        <v>0.50251104592136697</v>
      </c>
    </row>
    <row r="1685" spans="1:37" x14ac:dyDescent="0.2">
      <c r="A1685" t="str">
        <f>"20200111160138186"</f>
        <v>20200111160138186</v>
      </c>
      <c r="B1685" t="str">
        <f>"1578729698182827"</f>
        <v>1578729698182827</v>
      </c>
      <c r="C1685" t="s">
        <v>37</v>
      </c>
      <c r="D1685">
        <v>4.9320519999999997</v>
      </c>
      <c r="E1685">
        <v>0.54757180000000005</v>
      </c>
      <c r="F1685" t="s">
        <v>42</v>
      </c>
      <c r="G1685">
        <v>-388.84500000000003</v>
      </c>
      <c r="H1685">
        <v>1.047628</v>
      </c>
      <c r="I1685">
        <v>284.52339999999998</v>
      </c>
      <c r="J1685">
        <v>-388.3845</v>
      </c>
      <c r="K1685">
        <v>1.104058</v>
      </c>
      <c r="L1685">
        <v>284.45870000000002</v>
      </c>
      <c r="M1685">
        <v>-0.99986730000000001</v>
      </c>
      <c r="N1685">
        <v>0</v>
      </c>
      <c r="O1685">
        <v>-7.2555379999999997E-3</v>
      </c>
      <c r="P1685">
        <v>-0.99889609999999995</v>
      </c>
      <c r="Q1685">
        <v>-3.4813689999999998E-3</v>
      </c>
      <c r="R1685">
        <v>-4.6849830000000002E-2</v>
      </c>
      <c r="S1685">
        <v>-3.01342799999999</v>
      </c>
      <c r="T1685">
        <v>-0.21106610000000001</v>
      </c>
      <c r="U1685">
        <v>0.22964479999999901</v>
      </c>
      <c r="V1685">
        <v>-3.9595499999999999E-2</v>
      </c>
      <c r="W1685">
        <v>1.111181E-2</v>
      </c>
      <c r="X1685">
        <v>0.99915399999999999</v>
      </c>
      <c r="Y1685">
        <v>8.3000290000000004E-2</v>
      </c>
      <c r="Z1685">
        <v>3.4059279999999999E-3</v>
      </c>
      <c r="AA1685">
        <v>0.99654370000000003</v>
      </c>
      <c r="AB1685">
        <v>34</v>
      </c>
      <c r="AC1685">
        <v>-0.460500000000024</v>
      </c>
      <c r="AD1685">
        <v>-5.6429999999999897E-2</v>
      </c>
      <c r="AE1685">
        <v>6.4699999999959304E-2</v>
      </c>
      <c r="AF1685">
        <v>6.7052443645447296E-2</v>
      </c>
      <c r="AG1685">
        <v>-5.6429999999999897E-2</v>
      </c>
      <c r="AH1685">
        <v>0.45334267567952002</v>
      </c>
      <c r="AI1685">
        <v>97.019823567753406</v>
      </c>
      <c r="AJ1685">
        <v>81.586565274590896</v>
      </c>
      <c r="AK1685">
        <v>0.46173580832667999</v>
      </c>
    </row>
    <row r="1686" spans="1:37" x14ac:dyDescent="0.2">
      <c r="A1686" t="str">
        <f>"20200111160138211"</f>
        <v>20200111160138211</v>
      </c>
      <c r="B1686" t="str">
        <f>"1578729698202346"</f>
        <v>1578729698202346</v>
      </c>
      <c r="C1686" t="s">
        <v>37</v>
      </c>
      <c r="D1686">
        <v>5.1021450000000002</v>
      </c>
      <c r="E1686">
        <v>0.54767540000000003</v>
      </c>
      <c r="F1686" t="s">
        <v>42</v>
      </c>
      <c r="G1686">
        <v>-389.15089999999998</v>
      </c>
      <c r="H1686">
        <v>1.0502450000000001</v>
      </c>
      <c r="I1686">
        <v>284.51769999999999</v>
      </c>
      <c r="J1686">
        <v>-388.74400000000003</v>
      </c>
      <c r="K1686">
        <v>1.1040639999999999</v>
      </c>
      <c r="L1686">
        <v>284.4563</v>
      </c>
      <c r="M1686">
        <v>-0.9998688</v>
      </c>
      <c r="N1686">
        <v>0</v>
      </c>
      <c r="O1686">
        <v>-7.0771849999999997E-3</v>
      </c>
      <c r="P1686">
        <v>-0.99889559999999999</v>
      </c>
      <c r="Q1686">
        <v>-3.356263E-3</v>
      </c>
      <c r="R1686">
        <v>-4.6865360000000002E-2</v>
      </c>
      <c r="S1686">
        <v>-3.013458</v>
      </c>
      <c r="T1686">
        <v>-0.211615099999999</v>
      </c>
      <c r="U1686">
        <v>0.23117070000000001</v>
      </c>
      <c r="V1686">
        <v>-3.9789360000000003E-2</v>
      </c>
      <c r="W1686">
        <v>1.123244E-2</v>
      </c>
      <c r="X1686">
        <v>0.99914499999999995</v>
      </c>
      <c r="Y1686">
        <v>8.3321950000000006E-2</v>
      </c>
      <c r="Z1686">
        <v>3.4134349999999998E-3</v>
      </c>
      <c r="AA1686">
        <v>0.99651679999999998</v>
      </c>
      <c r="AB1686">
        <v>34</v>
      </c>
      <c r="AC1686">
        <v>-0.40689999999995002</v>
      </c>
      <c r="AD1686">
        <v>-5.3818999999999798E-2</v>
      </c>
      <c r="AE1686">
        <v>6.1399999999991899E-2</v>
      </c>
      <c r="AF1686">
        <v>6.3197493991568002E-2</v>
      </c>
      <c r="AG1686">
        <v>-5.3818999999999798E-2</v>
      </c>
      <c r="AH1686">
        <v>0.39961980663493302</v>
      </c>
      <c r="AI1686">
        <v>97.577136700192298</v>
      </c>
      <c r="AJ1686">
        <v>81.013436888469499</v>
      </c>
      <c r="AK1686">
        <v>0.40814996981839302</v>
      </c>
    </row>
    <row r="1687" spans="1:37" x14ac:dyDescent="0.2">
      <c r="A1687" t="str">
        <f>"20200111160138231"</f>
        <v>20200111160138231</v>
      </c>
      <c r="B1687" t="str">
        <f>"1578729698222317"</f>
        <v>1578729698222317</v>
      </c>
      <c r="C1687" t="s">
        <v>37</v>
      </c>
      <c r="D1687">
        <v>6.8882149999999998</v>
      </c>
      <c r="E1687">
        <v>0.54770260000000004</v>
      </c>
      <c r="F1687" t="s">
        <v>42</v>
      </c>
      <c r="G1687">
        <v>-389.74619999999999</v>
      </c>
      <c r="H1687">
        <v>1.033989</v>
      </c>
      <c r="I1687">
        <v>284.53359999999998</v>
      </c>
      <c r="J1687">
        <v>-389.05869999999999</v>
      </c>
      <c r="K1687">
        <v>1.104066</v>
      </c>
      <c r="L1687">
        <v>284.45429999999999</v>
      </c>
      <c r="M1687">
        <v>-0.99986969999999997</v>
      </c>
      <c r="N1687">
        <v>0</v>
      </c>
      <c r="O1687">
        <v>-6.9201779999999999E-3</v>
      </c>
      <c r="P1687">
        <v>-0.99887879999999996</v>
      </c>
      <c r="Q1687">
        <v>-2.9683840000000001E-3</v>
      </c>
      <c r="R1687">
        <v>-4.7246360000000001E-2</v>
      </c>
      <c r="S1687">
        <v>-3.0135190000000001</v>
      </c>
      <c r="T1687">
        <v>-0.21081729999999901</v>
      </c>
      <c r="U1687">
        <v>0.23187260000000001</v>
      </c>
      <c r="V1687">
        <v>-4.0327540000000002E-2</v>
      </c>
      <c r="W1687">
        <v>1.161627E-2</v>
      </c>
      <c r="X1687">
        <v>0.99911899999999998</v>
      </c>
      <c r="Y1687">
        <v>8.3396559999999995E-2</v>
      </c>
      <c r="Z1687">
        <v>3.3921450000000001E-3</v>
      </c>
      <c r="AA1687">
        <v>0.99651069999999997</v>
      </c>
      <c r="AB1687">
        <v>34</v>
      </c>
      <c r="AC1687">
        <v>-0.6875</v>
      </c>
      <c r="AD1687">
        <v>-7.0076999999999903E-2</v>
      </c>
      <c r="AE1687">
        <v>7.9299999999989199E-2</v>
      </c>
      <c r="AF1687">
        <v>8.3203118864460801E-2</v>
      </c>
      <c r="AG1687">
        <v>-7.0076999999999903E-2</v>
      </c>
      <c r="AH1687">
        <v>0.67996281232834499</v>
      </c>
      <c r="AI1687">
        <v>95.840871269586501</v>
      </c>
      <c r="AJ1687">
        <v>83.023727293950301</v>
      </c>
      <c r="AK1687">
        <v>0.68860944741358698</v>
      </c>
    </row>
    <row r="1688" spans="1:37" x14ac:dyDescent="0.2">
      <c r="A1688" t="str">
        <f>"20200111160138253"</f>
        <v>20200111160138253</v>
      </c>
      <c r="B1688" t="str">
        <f>"1578729698242813"</f>
        <v>1578729698242813</v>
      </c>
      <c r="C1688" t="s">
        <v>37</v>
      </c>
      <c r="D1688">
        <v>4.9390320000000001</v>
      </c>
      <c r="E1688">
        <v>0.54772779999999999</v>
      </c>
      <c r="F1688" t="s">
        <v>42</v>
      </c>
      <c r="G1688">
        <v>-390.04930000000002</v>
      </c>
      <c r="H1688">
        <v>1.035145</v>
      </c>
      <c r="I1688">
        <v>284.53030000000001</v>
      </c>
      <c r="J1688">
        <v>-389.39080000000001</v>
      </c>
      <c r="K1688">
        <v>1.1040669999999999</v>
      </c>
      <c r="L1688">
        <v>284.45209999999997</v>
      </c>
      <c r="M1688">
        <v>-0.99987099999999995</v>
      </c>
      <c r="N1688">
        <v>0</v>
      </c>
      <c r="O1688">
        <v>-6.7550600000000002E-3</v>
      </c>
      <c r="P1688">
        <v>-0.99885089999999999</v>
      </c>
      <c r="Q1688">
        <v>-3.182074E-3</v>
      </c>
      <c r="R1688">
        <v>-4.7822410000000003E-2</v>
      </c>
      <c r="S1688">
        <v>-3.0137019999999999</v>
      </c>
      <c r="T1688">
        <v>-0.20978150000000001</v>
      </c>
      <c r="U1688">
        <v>0.230957</v>
      </c>
      <c r="V1688">
        <v>-4.106895E-2</v>
      </c>
      <c r="W1688">
        <v>1.139885E-2</v>
      </c>
      <c r="X1688">
        <v>0.99909130000000002</v>
      </c>
      <c r="Y1688">
        <v>8.2930080000000003E-2</v>
      </c>
      <c r="Z1688">
        <v>3.347694E-3</v>
      </c>
      <c r="AA1688">
        <v>0.99654969999999998</v>
      </c>
      <c r="AB1688">
        <v>34</v>
      </c>
      <c r="AC1688">
        <v>-0.65850000000000297</v>
      </c>
      <c r="AD1688">
        <v>-6.89219999999999E-2</v>
      </c>
      <c r="AE1688">
        <v>7.8200000000038003E-2</v>
      </c>
      <c r="AF1688">
        <v>8.17636471349346E-2</v>
      </c>
      <c r="AG1688">
        <v>-6.89219999999999E-2</v>
      </c>
      <c r="AH1688">
        <v>0.65092508545146199</v>
      </c>
      <c r="AI1688">
        <v>95.997356291471903</v>
      </c>
      <c r="AJ1688">
        <v>82.840491436747996</v>
      </c>
      <c r="AK1688">
        <v>0.65965066735871603</v>
      </c>
    </row>
    <row r="1689" spans="1:37" x14ac:dyDescent="0.2">
      <c r="A1689" t="str">
        <f>"20200111160138275"</f>
        <v>20200111160138275</v>
      </c>
      <c r="B1689" t="str">
        <f>"1578729698273069"</f>
        <v>1578729698273069</v>
      </c>
      <c r="C1689" t="s">
        <v>37</v>
      </c>
      <c r="D1689">
        <v>5.0253909999999999</v>
      </c>
      <c r="E1689">
        <v>0.54783389999999998</v>
      </c>
      <c r="F1689" t="s">
        <v>42</v>
      </c>
      <c r="G1689">
        <v>-390.35219999999998</v>
      </c>
      <c r="H1689">
        <v>1.0369699999999999</v>
      </c>
      <c r="I1689">
        <v>284.5258</v>
      </c>
      <c r="J1689">
        <v>-389.72930000000002</v>
      </c>
      <c r="K1689">
        <v>1.1040620000000001</v>
      </c>
      <c r="L1689">
        <v>284.45</v>
      </c>
      <c r="M1689">
        <v>-0.99987209999999904</v>
      </c>
      <c r="N1689">
        <v>0</v>
      </c>
      <c r="O1689">
        <v>-6.5860160000000001E-3</v>
      </c>
      <c r="P1689">
        <v>-0.99881699999999995</v>
      </c>
      <c r="Q1689">
        <v>-3.3919159999999901E-3</v>
      </c>
      <c r="R1689">
        <v>-4.8507790000000002E-2</v>
      </c>
      <c r="S1689">
        <v>-3.0138240000000001</v>
      </c>
      <c r="T1689">
        <v>-0.21050279999999999</v>
      </c>
      <c r="U1689">
        <v>0.22973629999999901</v>
      </c>
      <c r="V1689">
        <v>-4.1923219999999997E-2</v>
      </c>
      <c r="W1689">
        <v>1.1185240000000001E-2</v>
      </c>
      <c r="X1689">
        <v>0.99905820000000001</v>
      </c>
      <c r="Y1689">
        <v>8.2357559999999996E-2</v>
      </c>
      <c r="Z1689">
        <v>3.327375E-3</v>
      </c>
      <c r="AA1689">
        <v>0.99659730000000002</v>
      </c>
      <c r="AB1689">
        <v>34</v>
      </c>
      <c r="AC1689">
        <v>-0.62289999999995804</v>
      </c>
      <c r="AD1689">
        <v>-6.7091999999999902E-2</v>
      </c>
      <c r="AE1689">
        <v>7.5800000000015105E-2</v>
      </c>
      <c r="AF1689">
        <v>7.8998117182504796E-2</v>
      </c>
      <c r="AG1689">
        <v>-6.7091999999999902E-2</v>
      </c>
      <c r="AH1689">
        <v>0.61535252657372097</v>
      </c>
      <c r="AI1689">
        <v>96.172132657458505</v>
      </c>
      <c r="AJ1689">
        <v>82.684460251076601</v>
      </c>
      <c r="AK1689">
        <v>0.62401984819638701</v>
      </c>
    </row>
    <row r="1690" spans="1:37" x14ac:dyDescent="0.2">
      <c r="A1690" t="str">
        <f>"20200111160138298"</f>
        <v>20200111160138298</v>
      </c>
      <c r="B1690" t="str">
        <f>"1578729698292589"</f>
        <v>1578729698292589</v>
      </c>
      <c r="C1690" t="s">
        <v>37</v>
      </c>
      <c r="D1690">
        <v>4.9648649999999996</v>
      </c>
      <c r="E1690">
        <v>0.547911699999999</v>
      </c>
      <c r="F1690" t="s">
        <v>42</v>
      </c>
      <c r="G1690">
        <v>-390.6549</v>
      </c>
      <c r="H1690">
        <v>1.039075</v>
      </c>
      <c r="I1690">
        <v>284.52069999999998</v>
      </c>
      <c r="J1690">
        <v>-390.07580000000002</v>
      </c>
      <c r="K1690">
        <v>1.1040639999999999</v>
      </c>
      <c r="L1690">
        <v>284.4479</v>
      </c>
      <c r="M1690">
        <v>-0.99987340000000002</v>
      </c>
      <c r="N1690">
        <v>0</v>
      </c>
      <c r="O1690">
        <v>-6.4135109999999898E-3</v>
      </c>
      <c r="P1690">
        <v>-0.9987914</v>
      </c>
      <c r="Q1690">
        <v>-3.8871769999999999E-3</v>
      </c>
      <c r="R1690">
        <v>-4.8996659999999997E-2</v>
      </c>
      <c r="S1690">
        <v>-3.013916</v>
      </c>
      <c r="T1690">
        <v>-0.2118274</v>
      </c>
      <c r="U1690">
        <v>0.22827149999999999</v>
      </c>
      <c r="V1690">
        <v>-4.2584669999999998E-2</v>
      </c>
      <c r="W1690">
        <v>1.06865E-2</v>
      </c>
      <c r="X1690">
        <v>0.99903569999999997</v>
      </c>
      <c r="Y1690">
        <v>8.1701040000000003E-2</v>
      </c>
      <c r="Z1690">
        <v>3.313117E-3</v>
      </c>
      <c r="AA1690">
        <v>0.99665139999999997</v>
      </c>
      <c r="AB1690">
        <v>34</v>
      </c>
      <c r="AC1690">
        <v>-0.57909999999998196</v>
      </c>
      <c r="AD1690">
        <v>-6.4988999999999894E-2</v>
      </c>
      <c r="AE1690">
        <v>7.2799999999972401E-2</v>
      </c>
      <c r="AF1690">
        <v>7.5575945737683198E-2</v>
      </c>
      <c r="AG1690">
        <v>-6.4988999999999894E-2</v>
      </c>
      <c r="AH1690">
        <v>0.57153505964262097</v>
      </c>
      <c r="AI1690">
        <v>96.431701738346703</v>
      </c>
      <c r="AJ1690">
        <v>82.467293982198498</v>
      </c>
      <c r="AK1690">
        <v>0.58016171719257703</v>
      </c>
    </row>
    <row r="1691" spans="1:37" x14ac:dyDescent="0.2">
      <c r="A1691" t="str">
        <f>"20200111160138342"</f>
        <v>20200111160138342</v>
      </c>
      <c r="B1691" t="str">
        <f>"1578729698333064"</f>
        <v>1578729698333064</v>
      </c>
      <c r="C1691" t="s">
        <v>37</v>
      </c>
      <c r="D1691">
        <v>5.0064310000000001</v>
      </c>
      <c r="E1691">
        <v>0.49908969999999903</v>
      </c>
      <c r="F1691" t="s">
        <v>42</v>
      </c>
      <c r="G1691">
        <v>-390.95749999999998</v>
      </c>
      <c r="H1691">
        <v>1.041544</v>
      </c>
      <c r="I1691">
        <v>284.5145</v>
      </c>
      <c r="J1691">
        <v>-390.73500000000001</v>
      </c>
      <c r="K1691">
        <v>1.104058</v>
      </c>
      <c r="L1691">
        <v>284.44400000000002</v>
      </c>
      <c r="M1691">
        <v>-0.99987549999999903</v>
      </c>
      <c r="N1691">
        <v>0</v>
      </c>
      <c r="O1691">
        <v>-6.0848309999999997E-3</v>
      </c>
      <c r="P1691">
        <v>-0.99876419999999999</v>
      </c>
      <c r="Q1691">
        <v>-4.978321E-3</v>
      </c>
      <c r="R1691">
        <v>-4.9452830000000003E-2</v>
      </c>
      <c r="S1691">
        <v>-3.0140380000000002</v>
      </c>
      <c r="T1691">
        <v>-0.21370459999999999</v>
      </c>
      <c r="U1691">
        <v>0.2276001</v>
      </c>
      <c r="V1691">
        <v>-4.3370209999999999E-2</v>
      </c>
      <c r="W1691">
        <v>9.5883970000000002E-3</v>
      </c>
      <c r="X1691">
        <v>0.99901309999999999</v>
      </c>
      <c r="Y1691">
        <v>8.1147999999999998E-2</v>
      </c>
      <c r="Z1691">
        <v>3.2994970000000002E-3</v>
      </c>
      <c r="AA1691">
        <v>0.99669660000000004</v>
      </c>
      <c r="AB1691">
        <v>34</v>
      </c>
      <c r="AC1691">
        <v>-0.222499999999968</v>
      </c>
      <c r="AD1691">
        <v>-6.2513999999999903E-2</v>
      </c>
      <c r="AE1691">
        <v>7.04999999999813E-2</v>
      </c>
      <c r="AF1691">
        <v>6.7043210190725802E-2</v>
      </c>
      <c r="AG1691">
        <v>-6.2513999999999903E-2</v>
      </c>
      <c r="AH1691">
        <v>0.20720268102619199</v>
      </c>
      <c r="AI1691">
        <v>106.016248527917</v>
      </c>
      <c r="AJ1691">
        <v>72.070315834921303</v>
      </c>
      <c r="AK1691">
        <v>0.22657392447746399</v>
      </c>
    </row>
    <row r="1692" spans="1:37" x14ac:dyDescent="0.2">
      <c r="A1692" t="str">
        <f>"20200111160138366"</f>
        <v>20200111160138366</v>
      </c>
      <c r="B1692" t="str">
        <f>"1578729698363321"</f>
        <v>1578729698363321</v>
      </c>
      <c r="C1692" t="s">
        <v>37</v>
      </c>
      <c r="D1692">
        <v>5.8267879999999996</v>
      </c>
      <c r="E1692">
        <v>0.48917479999999902</v>
      </c>
      <c r="F1692" t="s">
        <v>59</v>
      </c>
      <c r="G1692">
        <v>-511.959</v>
      </c>
      <c r="H1692">
        <v>1.105043</v>
      </c>
      <c r="I1692">
        <v>278.1626</v>
      </c>
      <c r="J1692">
        <v>-391.07560000000001</v>
      </c>
      <c r="K1692">
        <v>1.104061</v>
      </c>
      <c r="L1692">
        <v>284.44209999999998</v>
      </c>
      <c r="M1692">
        <v>-0.9998766</v>
      </c>
      <c r="N1692">
        <v>0</v>
      </c>
      <c r="O1692">
        <v>-5.9149469999999899E-3</v>
      </c>
      <c r="P1692">
        <v>-0.99876929999999997</v>
      </c>
      <c r="Q1692">
        <v>-4.8986680000000001E-3</v>
      </c>
      <c r="R1692">
        <v>-4.9356070000000002E-2</v>
      </c>
      <c r="S1692">
        <v>-2.9960330000000002</v>
      </c>
      <c r="T1692" s="1">
        <v>2.634525E-5</v>
      </c>
      <c r="U1692">
        <v>-0.15524289999999999</v>
      </c>
      <c r="V1692">
        <v>-4.3443059999999999E-2</v>
      </c>
      <c r="W1692">
        <v>9.6646869999999999E-3</v>
      </c>
      <c r="X1692">
        <v>0.99900909999999998</v>
      </c>
      <c r="Y1692">
        <v>-4.5838199999999898E-2</v>
      </c>
      <c r="Z1692" s="1">
        <v>1.4942050000000001E-7</v>
      </c>
      <c r="AA1692">
        <v>0.99894889999999903</v>
      </c>
      <c r="AB1692">
        <v>34</v>
      </c>
      <c r="AC1692">
        <v>-120.88339999999999</v>
      </c>
      <c r="AD1692">
        <v>9.8200000000003796E-4</v>
      </c>
      <c r="AE1692">
        <v>-6.2794999999999801</v>
      </c>
      <c r="AF1692">
        <v>-5.5642954901714301</v>
      </c>
      <c r="AG1692">
        <v>9.8200000000003796E-4</v>
      </c>
      <c r="AH1692">
        <v>120.918431719814</v>
      </c>
      <c r="AI1692">
        <v>89.999535182705401</v>
      </c>
      <c r="AJ1692">
        <v>92.634717430021695</v>
      </c>
      <c r="AK1692">
        <v>121.046389929008</v>
      </c>
    </row>
    <row r="1693" spans="1:37" x14ac:dyDescent="0.2">
      <c r="A1693" t="str">
        <f>"20200111160138388"</f>
        <v>20200111160138388</v>
      </c>
      <c r="B1693" t="str">
        <f>"1578729698382840"</f>
        <v>1578729698382840</v>
      </c>
      <c r="C1693" t="s">
        <v>37</v>
      </c>
      <c r="D1693">
        <v>5.4492149999999997</v>
      </c>
      <c r="E1693">
        <v>0.44358969999999998</v>
      </c>
      <c r="F1693" t="s">
        <v>57</v>
      </c>
      <c r="G1693">
        <v>-456.8159</v>
      </c>
      <c r="H1693">
        <v>8.0001160000000002E-2</v>
      </c>
      <c r="I1693">
        <v>279.26670000000001</v>
      </c>
      <c r="J1693">
        <v>-391.42129999999997</v>
      </c>
      <c r="K1693">
        <v>1.104068</v>
      </c>
      <c r="L1693">
        <v>284.44029999999998</v>
      </c>
      <c r="M1693">
        <v>-0.99987769999999998</v>
      </c>
      <c r="N1693">
        <v>0</v>
      </c>
      <c r="O1693">
        <v>-5.7426780000000002E-3</v>
      </c>
      <c r="P1693">
        <v>-0.99878509999999998</v>
      </c>
      <c r="Q1693">
        <v>-4.6844670000000003E-3</v>
      </c>
      <c r="R1693">
        <v>-4.9058150000000002E-2</v>
      </c>
      <c r="S1693">
        <v>-2.9918209999999998</v>
      </c>
      <c r="T1693">
        <v>-4.6604630000000001E-2</v>
      </c>
      <c r="U1693">
        <v>-0.23553470000000001</v>
      </c>
      <c r="V1693">
        <v>-4.33172E-2</v>
      </c>
      <c r="W1693">
        <v>9.8749619999999993E-3</v>
      </c>
      <c r="X1693">
        <v>0.99901260000000003</v>
      </c>
      <c r="Y1693">
        <v>-7.2748419999999994E-2</v>
      </c>
      <c r="Z1693">
        <v>-4.7638809999999999E-4</v>
      </c>
      <c r="AA1693">
        <v>0.99735019999999996</v>
      </c>
      <c r="AB1693">
        <v>34</v>
      </c>
      <c r="AC1693">
        <v>-65.394599999999997</v>
      </c>
      <c r="AD1693">
        <v>-1.0240668399999999</v>
      </c>
      <c r="AE1693">
        <v>-5.1735999999999596</v>
      </c>
      <c r="AF1693">
        <v>-4.7967658102615802</v>
      </c>
      <c r="AG1693">
        <v>-1.0240668399999999</v>
      </c>
      <c r="AH1693">
        <v>65.407294888064101</v>
      </c>
      <c r="AI1693">
        <v>90.894591365618794</v>
      </c>
      <c r="AJ1693">
        <v>94.194383929260198</v>
      </c>
      <c r="AK1693">
        <v>65.590943732389306</v>
      </c>
    </row>
    <row r="1694" spans="1:37" x14ac:dyDescent="0.2">
      <c r="A1694" t="str">
        <f>"20200111160138411"</f>
        <v>20200111160138411</v>
      </c>
      <c r="B1694" t="str">
        <f>"1578729698402360"</f>
        <v>1578729698402360</v>
      </c>
      <c r="C1694" t="s">
        <v>37</v>
      </c>
      <c r="D1694">
        <v>5.3647689999999999</v>
      </c>
      <c r="E1694">
        <v>0.44529790000000002</v>
      </c>
      <c r="F1694" t="s">
        <v>59</v>
      </c>
      <c r="G1694">
        <v>-512.82870000000003</v>
      </c>
      <c r="H1694">
        <v>10.544700000000001</v>
      </c>
      <c r="I1694">
        <v>260.45069999999998</v>
      </c>
      <c r="J1694">
        <v>-391.75619999999998</v>
      </c>
      <c r="K1694">
        <v>1.104079</v>
      </c>
      <c r="L1694">
        <v>284.43849999999998</v>
      </c>
      <c r="M1694">
        <v>-0.99987870000000001</v>
      </c>
      <c r="N1694">
        <v>0</v>
      </c>
      <c r="O1694">
        <v>-5.5752980000000002E-3</v>
      </c>
      <c r="P1694">
        <v>-0.99879739999999995</v>
      </c>
      <c r="Q1694">
        <v>-3.6277420000000002E-3</v>
      </c>
      <c r="R1694">
        <v>-4.8896019999999998E-2</v>
      </c>
      <c r="S1694">
        <v>-2.97582999999999</v>
      </c>
      <c r="T1694">
        <v>0.231402</v>
      </c>
      <c r="U1694">
        <v>-0.58801269999999894</v>
      </c>
      <c r="V1694">
        <v>-4.3321499999999999E-2</v>
      </c>
      <c r="W1694">
        <v>1.092776E-2</v>
      </c>
      <c r="X1694">
        <v>0.99900140000000004</v>
      </c>
      <c r="Y1694">
        <v>-0.1878455</v>
      </c>
      <c r="Z1694">
        <v>6.7942119999999896E-3</v>
      </c>
      <c r="AA1694">
        <v>0.98217509999999997</v>
      </c>
      <c r="AB1694">
        <v>34</v>
      </c>
      <c r="AC1694">
        <v>-121.07250000000001</v>
      </c>
      <c r="AD1694">
        <v>9.4406210000000002</v>
      </c>
      <c r="AE1694">
        <v>-23.9878</v>
      </c>
      <c r="AF1694">
        <v>-23.176746384434999</v>
      </c>
      <c r="AG1694">
        <v>9.4406210000000002</v>
      </c>
      <c r="AH1694">
        <v>120.49939723771099</v>
      </c>
      <c r="AI1694">
        <v>85.600579812287407</v>
      </c>
      <c r="AJ1694">
        <v>100.887262748273</v>
      </c>
      <c r="AK1694">
        <v>123.070677386962</v>
      </c>
    </row>
    <row r="1695" spans="1:37" x14ac:dyDescent="0.2">
      <c r="A1695" t="str">
        <f>"20200111160138432"</f>
        <v>20200111160138432</v>
      </c>
      <c r="B1695" t="str">
        <f>"1578729698422856"</f>
        <v>1578729698422856</v>
      </c>
      <c r="C1695" t="s">
        <v>37</v>
      </c>
      <c r="D1695">
        <v>5.0836489999999896</v>
      </c>
      <c r="E1695">
        <v>0.4743463</v>
      </c>
      <c r="F1695" t="s">
        <v>59</v>
      </c>
      <c r="G1695">
        <v>-512.82849999999996</v>
      </c>
      <c r="H1695">
        <v>10.02051</v>
      </c>
      <c r="I1695">
        <v>261.06270000000001</v>
      </c>
      <c r="J1695">
        <v>-392.08139999999997</v>
      </c>
      <c r="K1695">
        <v>1.1040859999999999</v>
      </c>
      <c r="L1695">
        <v>284.43689999999998</v>
      </c>
      <c r="M1695">
        <v>-0.99987959999999998</v>
      </c>
      <c r="N1695">
        <v>0</v>
      </c>
      <c r="O1695">
        <v>-5.4105250000000002E-3</v>
      </c>
      <c r="P1695">
        <v>-0.99879240000000002</v>
      </c>
      <c r="Q1695">
        <v>-2.5323670000000002E-3</v>
      </c>
      <c r="R1695">
        <v>-4.9068029999999999E-2</v>
      </c>
      <c r="S1695">
        <v>-2.976318</v>
      </c>
      <c r="T1695">
        <v>0.2191941</v>
      </c>
      <c r="U1695">
        <v>-0.57464599999999999</v>
      </c>
      <c r="V1695">
        <v>-4.3657729999999999E-2</v>
      </c>
      <c r="W1695">
        <v>1.2019169999999999E-2</v>
      </c>
      <c r="X1695">
        <v>0.99897429999999998</v>
      </c>
      <c r="Y1695">
        <v>-0.18379039999999999</v>
      </c>
      <c r="Z1695">
        <v>6.3026860000000001E-3</v>
      </c>
      <c r="AA1695">
        <v>0.98294530000000002</v>
      </c>
      <c r="AB1695">
        <v>34</v>
      </c>
      <c r="AC1695">
        <v>-120.7471</v>
      </c>
      <c r="AD1695">
        <v>8.9164239999999992</v>
      </c>
      <c r="AE1695">
        <v>-23.374199999999899</v>
      </c>
      <c r="AF1695">
        <v>-22.601690163169799</v>
      </c>
      <c r="AG1695">
        <v>8.9164239999999992</v>
      </c>
      <c r="AH1695">
        <v>120.23983786309699</v>
      </c>
      <c r="AI1695">
        <v>85.831711937926798</v>
      </c>
      <c r="AJ1695">
        <v>100.645763164359</v>
      </c>
      <c r="AK1695">
        <v>122.670117080418</v>
      </c>
    </row>
    <row r="1696" spans="1:37" x14ac:dyDescent="0.2">
      <c r="A1696" t="str">
        <f>"20200111160138455"</f>
        <v>20200111160138455</v>
      </c>
      <c r="B1696" t="str">
        <f>"1578729698443353"</f>
        <v>1578729698443353</v>
      </c>
      <c r="C1696" t="s">
        <v>37</v>
      </c>
      <c r="D1696">
        <v>5.1353429999999998</v>
      </c>
      <c r="E1696">
        <v>0.47311249999999999</v>
      </c>
      <c r="F1696" t="s">
        <v>60</v>
      </c>
      <c r="G1696">
        <v>-408.06790000000001</v>
      </c>
      <c r="H1696" s="1">
        <v>5.2579899999999996E-6</v>
      </c>
      <c r="I1696">
        <v>282.51839999999999</v>
      </c>
      <c r="J1696">
        <v>-392.41300000000001</v>
      </c>
      <c r="K1696">
        <v>1.1040939999999999</v>
      </c>
      <c r="L1696">
        <v>284.43520000000001</v>
      </c>
      <c r="M1696">
        <v>-0.99988049999999995</v>
      </c>
      <c r="N1696">
        <v>0</v>
      </c>
      <c r="O1696">
        <v>-5.2394140000000004E-3</v>
      </c>
      <c r="P1696">
        <v>-0.99880409999999997</v>
      </c>
      <c r="Q1696">
        <v>-1.4578270000000001E-3</v>
      </c>
      <c r="R1696">
        <v>-4.8871930000000001E-2</v>
      </c>
      <c r="S1696">
        <v>-2.9855040000000002</v>
      </c>
      <c r="T1696">
        <v>-0.2061895</v>
      </c>
      <c r="U1696">
        <v>-0.35827639999999999</v>
      </c>
      <c r="V1696">
        <v>-4.3632379999999998E-2</v>
      </c>
      <c r="W1696">
        <v>1.3090539999999999E-2</v>
      </c>
      <c r="X1696">
        <v>0.99896189999999996</v>
      </c>
      <c r="Y1696">
        <v>-0.1136915</v>
      </c>
      <c r="Z1696">
        <v>-3.5471890000000001E-3</v>
      </c>
      <c r="AA1696">
        <v>0.9935098</v>
      </c>
      <c r="AB1696">
        <v>33</v>
      </c>
      <c r="AC1696">
        <v>-15.6548999999999</v>
      </c>
      <c r="AD1696">
        <v>-1.1040887420100001</v>
      </c>
      <c r="AE1696">
        <v>-1.91680000000002</v>
      </c>
      <c r="AF1696">
        <v>-1.82579510525512</v>
      </c>
      <c r="AG1696">
        <v>-1.1040887420100001</v>
      </c>
      <c r="AH1696">
        <v>15.5883376177184</v>
      </c>
      <c r="AI1696">
        <v>94.023956462667797</v>
      </c>
      <c r="AJ1696">
        <v>96.680371715415504</v>
      </c>
      <c r="AK1696">
        <v>15.7336839106606</v>
      </c>
    </row>
    <row r="1697" spans="1:37" x14ac:dyDescent="0.2">
      <c r="A1697" t="str">
        <f>"20200111160138477"</f>
        <v>20200111160138477</v>
      </c>
      <c r="B1697" t="str">
        <f>"1578729698472632"</f>
        <v>1578729698472632</v>
      </c>
      <c r="C1697" t="s">
        <v>37</v>
      </c>
      <c r="D1697">
        <v>5.1747529999999999</v>
      </c>
      <c r="E1697">
        <v>0.47331099999999998</v>
      </c>
      <c r="F1697" t="s">
        <v>60</v>
      </c>
      <c r="G1697">
        <v>-408.92759999999998</v>
      </c>
      <c r="H1697" s="1">
        <v>4.9008800000000002E-6</v>
      </c>
      <c r="I1697">
        <v>282.40159999999997</v>
      </c>
      <c r="J1697">
        <v>-392.75310000000002</v>
      </c>
      <c r="K1697">
        <v>1.1040939999999999</v>
      </c>
      <c r="L1697">
        <v>284.43369999999999</v>
      </c>
      <c r="M1697">
        <v>-0.99988159999999904</v>
      </c>
      <c r="N1697">
        <v>0</v>
      </c>
      <c r="O1697">
        <v>-5.0564540000000002E-3</v>
      </c>
      <c r="P1697">
        <v>-0.99882479999999996</v>
      </c>
      <c r="Q1697">
        <v>-1.4390479999999901E-3</v>
      </c>
      <c r="R1697">
        <v>-4.8449449999999998E-2</v>
      </c>
      <c r="S1697">
        <v>-2.9853209999999999</v>
      </c>
      <c r="T1697">
        <v>-0.19958499999999901</v>
      </c>
      <c r="U1697">
        <v>-0.36761470000000002</v>
      </c>
      <c r="V1697">
        <v>-4.339229E-2</v>
      </c>
      <c r="W1697">
        <v>1.310627E-2</v>
      </c>
      <c r="X1697">
        <v>0.99897209999999903</v>
      </c>
      <c r="Y1697">
        <v>-0.116951</v>
      </c>
      <c r="Z1697">
        <v>-3.5539870000000002E-3</v>
      </c>
      <c r="AA1697">
        <v>0.99313130000000005</v>
      </c>
      <c r="AB1697">
        <v>33</v>
      </c>
      <c r="AC1697">
        <v>-16.174499999999899</v>
      </c>
      <c r="AD1697">
        <v>-1.1040890991200001</v>
      </c>
      <c r="AE1697">
        <v>-2.03210000000001</v>
      </c>
      <c r="AF1697">
        <v>-1.9413743454127701</v>
      </c>
      <c r="AG1697">
        <v>-1.1040890991200001</v>
      </c>
      <c r="AH1697">
        <v>16.110667095970001</v>
      </c>
      <c r="AI1697">
        <v>93.892368230727598</v>
      </c>
      <c r="AJ1697">
        <v>96.871149531230998</v>
      </c>
      <c r="AK1697">
        <v>16.2647330554483</v>
      </c>
    </row>
    <row r="1698" spans="1:37" x14ac:dyDescent="0.2">
      <c r="A1698" t="str">
        <f>"20200111160138499"</f>
        <v>20200111160138499</v>
      </c>
      <c r="B1698" t="str">
        <f>"1578729698493128"</f>
        <v>1578729698493128</v>
      </c>
      <c r="C1698" t="s">
        <v>37</v>
      </c>
      <c r="D1698">
        <v>5.0975449999999896</v>
      </c>
      <c r="E1698">
        <v>0.473333</v>
      </c>
      <c r="F1698" t="s">
        <v>60</v>
      </c>
      <c r="G1698">
        <v>-409.57319999999999</v>
      </c>
      <c r="H1698" s="1">
        <v>4.6196209999999997E-6</v>
      </c>
      <c r="I1698">
        <v>282.37720000000002</v>
      </c>
      <c r="J1698">
        <v>-393.09179999999998</v>
      </c>
      <c r="K1698">
        <v>1.1040829999999999</v>
      </c>
      <c r="L1698">
        <v>284.43209999999999</v>
      </c>
      <c r="M1698">
        <v>-0.99988259999999995</v>
      </c>
      <c r="N1698">
        <v>0</v>
      </c>
      <c r="O1698">
        <v>-4.8617490000000003E-3</v>
      </c>
      <c r="P1698">
        <v>-0.99885360000000001</v>
      </c>
      <c r="Q1698">
        <v>-1.6728509999999999E-3</v>
      </c>
      <c r="R1698">
        <v>-4.7843820000000002E-2</v>
      </c>
      <c r="S1698">
        <v>-2.985535</v>
      </c>
      <c r="T1698">
        <v>-0.19597390000000001</v>
      </c>
      <c r="U1698">
        <v>-0.36502079999999998</v>
      </c>
      <c r="V1698">
        <v>-4.2980860000000003E-2</v>
      </c>
      <c r="W1698">
        <v>1.2869780000000001E-2</v>
      </c>
      <c r="X1698">
        <v>0.99899300000000002</v>
      </c>
      <c r="Y1698">
        <v>-0.11629539999999999</v>
      </c>
      <c r="Z1698">
        <v>-3.4810639999999999E-3</v>
      </c>
      <c r="AA1698">
        <v>0.993208599999999</v>
      </c>
      <c r="AB1698">
        <v>33</v>
      </c>
      <c r="AC1698">
        <v>-16.481400000000001</v>
      </c>
      <c r="AD1698">
        <v>-1.104078380379</v>
      </c>
      <c r="AE1698">
        <v>-2.0548999999999702</v>
      </c>
      <c r="AF1698">
        <v>-1.9660510708058301</v>
      </c>
      <c r="AG1698">
        <v>-1.104078380379</v>
      </c>
      <c r="AH1698">
        <v>16.418644585839498</v>
      </c>
      <c r="AI1698">
        <v>93.819878773724497</v>
      </c>
      <c r="AJ1698">
        <v>96.828371591894495</v>
      </c>
      <c r="AK1698">
        <v>16.572755833570799</v>
      </c>
    </row>
    <row r="1699" spans="1:37" x14ac:dyDescent="0.2">
      <c r="A1699" t="str">
        <f>"20200111160138521"</f>
        <v>20200111160138521</v>
      </c>
      <c r="B1699" t="str">
        <f>"1578729698512648"</f>
        <v>1578729698512648</v>
      </c>
      <c r="C1699" t="s">
        <v>37</v>
      </c>
      <c r="D1699">
        <v>5.1910889999999998</v>
      </c>
      <c r="E1699">
        <v>0.47313050000000001</v>
      </c>
      <c r="F1699" t="s">
        <v>60</v>
      </c>
      <c r="G1699">
        <v>-409.63170000000002</v>
      </c>
      <c r="H1699" s="1">
        <v>4.5842780000000001E-6</v>
      </c>
      <c r="I1699">
        <v>282.42250000000001</v>
      </c>
      <c r="J1699">
        <v>-393.40809999999999</v>
      </c>
      <c r="K1699">
        <v>1.104068</v>
      </c>
      <c r="L1699">
        <v>284.43079999999998</v>
      </c>
      <c r="M1699">
        <v>-0.99988359999999998</v>
      </c>
      <c r="N1699">
        <v>0</v>
      </c>
      <c r="O1699">
        <v>-4.6646099999999996E-3</v>
      </c>
      <c r="P1699">
        <v>-0.99887009999999898</v>
      </c>
      <c r="Q1699">
        <v>-1.172006E-3</v>
      </c>
      <c r="R1699">
        <v>-4.7516450000000002E-2</v>
      </c>
      <c r="S1699">
        <v>-2.9857179999999999</v>
      </c>
      <c r="T1699">
        <v>-0.19930320000000001</v>
      </c>
      <c r="U1699">
        <v>-0.36276249999999999</v>
      </c>
      <c r="V1699">
        <v>-4.2850050000000001E-2</v>
      </c>
      <c r="W1699">
        <v>1.3368029999999999E-2</v>
      </c>
      <c r="X1699">
        <v>0.99899210000000005</v>
      </c>
      <c r="Y1699">
        <v>-0.1157364</v>
      </c>
      <c r="Z1699">
        <v>-3.5345440000000001E-3</v>
      </c>
      <c r="AA1699">
        <v>0.99327369999999904</v>
      </c>
      <c r="AB1699">
        <v>33</v>
      </c>
      <c r="AC1699">
        <v>-16.223600000000001</v>
      </c>
      <c r="AD1699">
        <v>-1.104063415722</v>
      </c>
      <c r="AE1699">
        <v>-2.0082999999999598</v>
      </c>
      <c r="AF1699">
        <v>-1.92381827236323</v>
      </c>
      <c r="AG1699">
        <v>-1.104063415722</v>
      </c>
      <c r="AH1699">
        <v>16.1590858736899</v>
      </c>
      <c r="AI1699">
        <v>93.881312253816304</v>
      </c>
      <c r="AJ1699">
        <v>96.789385631142494</v>
      </c>
      <c r="AK1699">
        <v>16.3106127734154</v>
      </c>
    </row>
    <row r="1700" spans="1:37" x14ac:dyDescent="0.2">
      <c r="A1700" t="str">
        <f>"20200111160138543"</f>
        <v>20200111160138543</v>
      </c>
      <c r="B1700" t="str">
        <f>"1578729698533145"</f>
        <v>1578729698533145</v>
      </c>
      <c r="C1700" t="s">
        <v>37</v>
      </c>
      <c r="D1700">
        <v>5.1196269999999897</v>
      </c>
      <c r="E1700">
        <v>0.47298859999999898</v>
      </c>
      <c r="F1700" t="s">
        <v>60</v>
      </c>
      <c r="G1700">
        <v>-409.695999999999</v>
      </c>
      <c r="H1700" s="1">
        <v>4.5507079999999997E-6</v>
      </c>
      <c r="I1700">
        <v>282.44709999999998</v>
      </c>
      <c r="J1700">
        <v>-393.74239999999998</v>
      </c>
      <c r="K1700">
        <v>1.104055</v>
      </c>
      <c r="L1700">
        <v>284.42950000000002</v>
      </c>
      <c r="M1700">
        <v>-0.99988469999999996</v>
      </c>
      <c r="N1700">
        <v>0</v>
      </c>
      <c r="O1700">
        <v>-4.4360490000000001E-3</v>
      </c>
      <c r="P1700">
        <v>-0.99890730000000005</v>
      </c>
      <c r="Q1700">
        <v>-1.159387E-3</v>
      </c>
      <c r="R1700">
        <v>-4.6724410000000001E-2</v>
      </c>
      <c r="S1700">
        <v>-2.98584</v>
      </c>
      <c r="T1700">
        <v>-0.2023932</v>
      </c>
      <c r="U1700">
        <v>-0.36364750000000001</v>
      </c>
      <c r="V1700">
        <v>-4.2285080000000003E-2</v>
      </c>
      <c r="W1700">
        <v>1.33789999999999E-2</v>
      </c>
      <c r="X1700">
        <v>0.99901600000000002</v>
      </c>
      <c r="Y1700">
        <v>-0.11623940000000001</v>
      </c>
      <c r="Z1700">
        <v>-3.6213970000000002E-3</v>
      </c>
      <c r="AA1700">
        <v>0.99321459999999995</v>
      </c>
      <c r="AB1700">
        <v>33</v>
      </c>
      <c r="AC1700">
        <v>-15.9535999999999</v>
      </c>
      <c r="AD1700">
        <v>-1.104050449292</v>
      </c>
      <c r="AE1700">
        <v>-1.9824000000000399</v>
      </c>
      <c r="AF1700">
        <v>-1.9026286149665601</v>
      </c>
      <c r="AG1700">
        <v>-1.104050449292</v>
      </c>
      <c r="AH1700">
        <v>15.887307862718</v>
      </c>
      <c r="AI1700">
        <v>93.947128387491901</v>
      </c>
      <c r="AJ1700">
        <v>96.829091473285601</v>
      </c>
      <c r="AK1700">
        <v>16.038873843442101</v>
      </c>
    </row>
    <row r="1701" spans="1:37" x14ac:dyDescent="0.2">
      <c r="A1701" t="str">
        <f>"20200111160138566"</f>
        <v>20200111160138566</v>
      </c>
      <c r="B1701" t="str">
        <f>"1578729698562424"</f>
        <v>1578729698562424</v>
      </c>
      <c r="C1701" t="s">
        <v>37</v>
      </c>
      <c r="D1701">
        <v>5.5300339999999997</v>
      </c>
      <c r="E1701">
        <v>0.47259240000000002</v>
      </c>
      <c r="F1701" t="s">
        <v>60</v>
      </c>
      <c r="G1701">
        <v>-410.08440000000002</v>
      </c>
      <c r="H1701" s="1">
        <v>2.4104069999999998E-6</v>
      </c>
      <c r="I1701">
        <v>282.44670000000002</v>
      </c>
      <c r="J1701">
        <v>-394.07670000000002</v>
      </c>
      <c r="K1701">
        <v>1.104044</v>
      </c>
      <c r="L1701">
        <v>284.42829999999998</v>
      </c>
      <c r="M1701">
        <v>-0.99988580000000005</v>
      </c>
      <c r="N1701">
        <v>0</v>
      </c>
      <c r="O1701">
        <v>-4.1825309999999997E-3</v>
      </c>
      <c r="P1701">
        <v>-0.99892590000000003</v>
      </c>
      <c r="Q1701">
        <v>-6.3226929999999997E-4</v>
      </c>
      <c r="R1701">
        <v>-4.6333470000000002E-2</v>
      </c>
      <c r="S1701">
        <v>-2.9861149999999999</v>
      </c>
      <c r="T1701">
        <v>-0.20173940000000001</v>
      </c>
      <c r="U1701">
        <v>-0.36230469999999998</v>
      </c>
      <c r="V1701">
        <v>-4.2146639999999999E-2</v>
      </c>
      <c r="W1701">
        <v>1.390395E-2</v>
      </c>
      <c r="X1701">
        <v>0.99901469999999903</v>
      </c>
      <c r="Y1701">
        <v>-0.1160417</v>
      </c>
      <c r="Z1701">
        <v>-3.6198909999999901E-3</v>
      </c>
      <c r="AA1701">
        <v>0.9932377</v>
      </c>
      <c r="AB1701">
        <v>33</v>
      </c>
      <c r="AC1701">
        <v>-16.0077</v>
      </c>
      <c r="AD1701">
        <v>-1.104041589593</v>
      </c>
      <c r="AE1701">
        <v>-1.9815999999999501</v>
      </c>
      <c r="AF1701">
        <v>-1.9056947475758299</v>
      </c>
      <c r="AG1701">
        <v>-1.104041589593</v>
      </c>
      <c r="AH1701">
        <v>15.9411647950341</v>
      </c>
      <c r="AI1701">
        <v>93.933901746348099</v>
      </c>
      <c r="AJ1701">
        <v>96.817101589061096</v>
      </c>
      <c r="AK1701">
        <v>16.092585725262602</v>
      </c>
    </row>
    <row r="1702" spans="1:37" x14ac:dyDescent="0.2">
      <c r="A1702" t="str">
        <f>"20200111160138590"</f>
        <v>20200111160138590</v>
      </c>
      <c r="B1702" t="str">
        <f>"1578729698582920"</f>
        <v>1578729698582920</v>
      </c>
      <c r="C1702" t="s">
        <v>37</v>
      </c>
      <c r="D1702">
        <v>5.2697050000000001</v>
      </c>
      <c r="E1702">
        <v>0.47260429999999998</v>
      </c>
      <c r="F1702" t="s">
        <v>60</v>
      </c>
      <c r="G1702">
        <v>-410.50069999999999</v>
      </c>
      <c r="H1702" s="1">
        <v>2.4860820000000001E-6</v>
      </c>
      <c r="I1702">
        <v>282.42570000000001</v>
      </c>
      <c r="J1702">
        <v>-394.42610000000002</v>
      </c>
      <c r="K1702">
        <v>1.1040270000000001</v>
      </c>
      <c r="L1702">
        <v>284.4271</v>
      </c>
      <c r="M1702">
        <v>-0.99988719999999998</v>
      </c>
      <c r="N1702">
        <v>0</v>
      </c>
      <c r="O1702">
        <v>-3.8916620000000002E-3</v>
      </c>
      <c r="P1702">
        <v>-0.99889309999999998</v>
      </c>
      <c r="Q1702">
        <v>-4.6905500000000001E-4</v>
      </c>
      <c r="R1702">
        <v>-4.7040129999999999E-2</v>
      </c>
      <c r="S1702">
        <v>-2.9862060000000001</v>
      </c>
      <c r="T1702">
        <v>-0.20073569999999999</v>
      </c>
      <c r="U1702">
        <v>-0.36410520000000002</v>
      </c>
      <c r="V1702">
        <v>-4.3143540000000001E-2</v>
      </c>
      <c r="W1702">
        <v>1.4065100000000001E-2</v>
      </c>
      <c r="X1702">
        <v>0.99896989999999997</v>
      </c>
      <c r="Y1702">
        <v>-0.11691699999999999</v>
      </c>
      <c r="Z1702">
        <v>-3.6504179999999999E-3</v>
      </c>
      <c r="AA1702">
        <v>0.99313499999999999</v>
      </c>
      <c r="AB1702">
        <v>33</v>
      </c>
      <c r="AC1702">
        <v>-16.074599999999901</v>
      </c>
      <c r="AD1702">
        <v>-1.104024513918</v>
      </c>
      <c r="AE1702">
        <v>-2.0013999999999799</v>
      </c>
      <c r="AF1702">
        <v>-1.92985694375881</v>
      </c>
      <c r="AG1702">
        <v>-1.104024513918</v>
      </c>
      <c r="AH1702">
        <v>16.0079092894747</v>
      </c>
      <c r="AI1702">
        <v>93.917023032814896</v>
      </c>
      <c r="AJ1702">
        <v>96.8742017942903</v>
      </c>
      <c r="AK1702">
        <v>16.1615710180278</v>
      </c>
    </row>
    <row r="1703" spans="1:37" x14ac:dyDescent="0.2">
      <c r="A1703" t="str">
        <f>"20200111160138612"</f>
        <v>20200111160138612</v>
      </c>
      <c r="B1703" t="str">
        <f>"1578729698602440"</f>
        <v>1578729698602440</v>
      </c>
      <c r="C1703" t="s">
        <v>37</v>
      </c>
      <c r="D1703">
        <v>5.2669350000000001</v>
      </c>
      <c r="E1703">
        <v>0.47243199999999902</v>
      </c>
      <c r="F1703" t="s">
        <v>60</v>
      </c>
      <c r="G1703">
        <v>-410.87699999999899</v>
      </c>
      <c r="H1703" s="1">
        <v>2.554366E-6</v>
      </c>
      <c r="I1703">
        <v>282.40800000000002</v>
      </c>
      <c r="J1703">
        <v>-394.75720000000001</v>
      </c>
      <c r="K1703">
        <v>1.104012</v>
      </c>
      <c r="L1703">
        <v>284.42610000000002</v>
      </c>
      <c r="M1703">
        <v>-0.99988829999999995</v>
      </c>
      <c r="N1703">
        <v>0</v>
      </c>
      <c r="O1703">
        <v>-3.5908170000000001E-3</v>
      </c>
      <c r="P1703">
        <v>-0.99890009999999996</v>
      </c>
      <c r="Q1703">
        <v>-3.1006149999999999E-4</v>
      </c>
      <c r="R1703">
        <v>-4.689111E-2</v>
      </c>
      <c r="S1703">
        <v>-2.985992</v>
      </c>
      <c r="T1703">
        <v>-0.200391299999999</v>
      </c>
      <c r="U1703">
        <v>-0.36648559999999902</v>
      </c>
      <c r="V1703">
        <v>-4.3293980000000003E-2</v>
      </c>
      <c r="W1703">
        <v>1.4222439999999999E-2</v>
      </c>
      <c r="X1703">
        <v>0.99896119999999899</v>
      </c>
      <c r="Y1703">
        <v>-0.1180021</v>
      </c>
      <c r="Z1703">
        <v>-3.7005779999999999E-3</v>
      </c>
      <c r="AA1703">
        <v>0.99300650000000001</v>
      </c>
      <c r="AB1703">
        <v>33</v>
      </c>
      <c r="AC1703">
        <v>-16.119799999999898</v>
      </c>
      <c r="AD1703">
        <v>-1.1040094456339999</v>
      </c>
      <c r="AE1703">
        <v>-2.0181</v>
      </c>
      <c r="AF1703">
        <v>-1.9511866833825899</v>
      </c>
      <c r="AG1703">
        <v>-1.1040094456339999</v>
      </c>
      <c r="AH1703">
        <v>16.0528084631936</v>
      </c>
      <c r="AI1703">
        <v>93.905587460890203</v>
      </c>
      <c r="AJ1703">
        <v>96.930191861559194</v>
      </c>
      <c r="AK1703">
        <v>16.2085972830915</v>
      </c>
    </row>
    <row r="1704" spans="1:37" x14ac:dyDescent="0.2">
      <c r="A1704" t="str">
        <f>"20200111160138633"</f>
        <v>20200111160138633</v>
      </c>
      <c r="B1704" t="str">
        <f>"1578729698622936"</f>
        <v>1578729698622936</v>
      </c>
      <c r="C1704" t="s">
        <v>37</v>
      </c>
      <c r="D1704">
        <v>5.1863950000000001</v>
      </c>
      <c r="E1704">
        <v>0.47220240000000002</v>
      </c>
      <c r="F1704" t="s">
        <v>60</v>
      </c>
      <c r="G1704">
        <v>-411.20339999999999</v>
      </c>
      <c r="H1704" s="1">
        <v>2.6126429999999999E-6</v>
      </c>
      <c r="I1704">
        <v>282.40370000000001</v>
      </c>
      <c r="J1704">
        <v>-395.07389999999998</v>
      </c>
      <c r="K1704">
        <v>1.104004</v>
      </c>
      <c r="L1704">
        <v>284.42529999999999</v>
      </c>
      <c r="M1704">
        <v>-0.99988940000000004</v>
      </c>
      <c r="N1704">
        <v>0</v>
      </c>
      <c r="O1704">
        <v>-3.2872940000000001E-3</v>
      </c>
      <c r="P1704">
        <v>-0.9988648</v>
      </c>
      <c r="Q1704" s="1">
        <v>-5.418621E-5</v>
      </c>
      <c r="R1704">
        <v>-4.7636049999999999E-2</v>
      </c>
      <c r="S1704">
        <v>-2.9860229999999999</v>
      </c>
      <c r="T1704">
        <v>-0.2004474</v>
      </c>
      <c r="U1704">
        <v>-0.3671875</v>
      </c>
      <c r="V1704">
        <v>-4.4342220000000002E-2</v>
      </c>
      <c r="W1704">
        <v>1.4476569999999999E-2</v>
      </c>
      <c r="X1704">
        <v>0.99891149999999995</v>
      </c>
      <c r="Y1704">
        <v>-0.118530199999999</v>
      </c>
      <c r="Z1704">
        <v>-3.7394389999999998E-3</v>
      </c>
      <c r="AA1704">
        <v>0.99294340000000003</v>
      </c>
      <c r="AB1704">
        <v>33</v>
      </c>
      <c r="AC1704">
        <v>-16.1295</v>
      </c>
      <c r="AD1704">
        <v>-1.104001387357</v>
      </c>
      <c r="AE1704">
        <v>-2.0215999999999701</v>
      </c>
      <c r="AF1704">
        <v>-1.9595229598442001</v>
      </c>
      <c r="AG1704">
        <v>-1.104001387357</v>
      </c>
      <c r="AH1704">
        <v>16.061974673680101</v>
      </c>
      <c r="AI1704">
        <v>93.903127173672502</v>
      </c>
      <c r="AJ1704">
        <v>96.955578020991595</v>
      </c>
      <c r="AK1704">
        <v>16.218679962049499</v>
      </c>
    </row>
    <row r="1705" spans="1:37" x14ac:dyDescent="0.2">
      <c r="A1705" t="str">
        <f>"20200111160138656"</f>
        <v>20200111160138656</v>
      </c>
      <c r="B1705" t="str">
        <f>"1578729698653192"</f>
        <v>1578729698653192</v>
      </c>
      <c r="C1705" t="s">
        <v>37</v>
      </c>
      <c r="D1705">
        <v>5.296284</v>
      </c>
      <c r="E1705">
        <v>0.47184759999999998</v>
      </c>
      <c r="F1705" t="s">
        <v>60</v>
      </c>
      <c r="G1705">
        <v>-411.40429999999998</v>
      </c>
      <c r="H1705" s="1">
        <v>2.6491479999999998E-6</v>
      </c>
      <c r="I1705">
        <v>282.3938</v>
      </c>
      <c r="J1705">
        <v>-395.40449999999998</v>
      </c>
      <c r="K1705">
        <v>1.1039969999999999</v>
      </c>
      <c r="L1705">
        <v>284.4246</v>
      </c>
      <c r="M1705">
        <v>-0.99989039999999996</v>
      </c>
      <c r="N1705">
        <v>0</v>
      </c>
      <c r="O1705">
        <v>-2.9585470000000002E-3</v>
      </c>
      <c r="P1705">
        <v>-0.99886960000000002</v>
      </c>
      <c r="Q1705">
        <v>7.7700800000000004E-4</v>
      </c>
      <c r="R1705">
        <v>-4.7530719999999999E-2</v>
      </c>
      <c r="S1705">
        <v>-2.9857179999999999</v>
      </c>
      <c r="T1705">
        <v>-0.20184759999999999</v>
      </c>
      <c r="U1705">
        <v>-0.37142940000000002</v>
      </c>
      <c r="V1705">
        <v>-4.4564109999999997E-2</v>
      </c>
      <c r="W1705">
        <v>1.530522E-2</v>
      </c>
      <c r="X1705">
        <v>0.99888929999999998</v>
      </c>
      <c r="Y1705">
        <v>-0.1202501</v>
      </c>
      <c r="Z1705">
        <v>-3.845518E-3</v>
      </c>
      <c r="AA1705">
        <v>0.99273619999999996</v>
      </c>
      <c r="AB1705">
        <v>33</v>
      </c>
      <c r="AC1705">
        <v>-15.999799999999899</v>
      </c>
      <c r="AD1705">
        <v>-1.10399435085199</v>
      </c>
      <c r="AE1705">
        <v>-2.0308000000000002</v>
      </c>
      <c r="AF1705">
        <v>-1.97419969042481</v>
      </c>
      <c r="AG1705">
        <v>-1.10399435085199</v>
      </c>
      <c r="AH1705">
        <v>15.9310923422366</v>
      </c>
      <c r="AI1705">
        <v>93.934154224932996</v>
      </c>
      <c r="AJ1705">
        <v>97.064147155571106</v>
      </c>
      <c r="AK1705">
        <v>16.090866078656401</v>
      </c>
    </row>
    <row r="1706" spans="1:37" x14ac:dyDescent="0.2">
      <c r="A1706" t="str">
        <f>"20200111160138679"</f>
        <v>20200111160138679</v>
      </c>
      <c r="B1706" t="str">
        <f>"1578729698672712"</f>
        <v>1578729698672712</v>
      </c>
      <c r="C1706" t="s">
        <v>37</v>
      </c>
      <c r="D1706">
        <v>5.4193530000000001</v>
      </c>
      <c r="E1706">
        <v>0.47157549999999998</v>
      </c>
      <c r="F1706" t="s">
        <v>60</v>
      </c>
      <c r="G1706">
        <v>-411.89210000000003</v>
      </c>
      <c r="H1706" s="1">
        <v>2.73861699999999E-6</v>
      </c>
      <c r="I1706">
        <v>282.36020000000002</v>
      </c>
      <c r="J1706">
        <v>-395.7457</v>
      </c>
      <c r="K1706">
        <v>1.103982</v>
      </c>
      <c r="L1706">
        <v>284.4239</v>
      </c>
      <c r="M1706">
        <v>-0.99989130000000004</v>
      </c>
      <c r="N1706">
        <v>0</v>
      </c>
      <c r="O1706">
        <v>-2.6080370000000001E-3</v>
      </c>
      <c r="P1706">
        <v>-0.99887999999999899</v>
      </c>
      <c r="Q1706">
        <v>1.374604E-3</v>
      </c>
      <c r="R1706">
        <v>-4.7297119999999998E-2</v>
      </c>
      <c r="S1706">
        <v>-2.985779</v>
      </c>
      <c r="T1706">
        <v>-0.19992470000000001</v>
      </c>
      <c r="U1706">
        <v>-0.37384029999999902</v>
      </c>
      <c r="V1706">
        <v>-4.4679440000000001E-2</v>
      </c>
      <c r="W1706">
        <v>1.590024E-2</v>
      </c>
      <c r="X1706">
        <v>0.99887479999999995</v>
      </c>
      <c r="Y1706">
        <v>-0.1213866</v>
      </c>
      <c r="Z1706">
        <v>-3.8699109999999902E-3</v>
      </c>
      <c r="AA1706">
        <v>0.99259779999999997</v>
      </c>
      <c r="AB1706">
        <v>33</v>
      </c>
      <c r="AC1706">
        <v>-16.1464</v>
      </c>
      <c r="AD1706">
        <v>-1.103979261383</v>
      </c>
      <c r="AE1706">
        <v>-2.0636999999999799</v>
      </c>
      <c r="AF1706">
        <v>-2.01232198125191</v>
      </c>
      <c r="AG1706">
        <v>-1.103979261383</v>
      </c>
      <c r="AH1706">
        <v>16.077774286054801</v>
      </c>
      <c r="AI1706">
        <v>93.897728697526304</v>
      </c>
      <c r="AJ1706">
        <v>97.134139832083505</v>
      </c>
      <c r="AK1706">
        <v>16.240783107938999</v>
      </c>
    </row>
    <row r="1707" spans="1:37" x14ac:dyDescent="0.2">
      <c r="A1707" t="str">
        <f>"20200111160138700"</f>
        <v>20200111160138700</v>
      </c>
      <c r="B1707" t="str">
        <f>"1578729698693208"</f>
        <v>1578729698693208</v>
      </c>
      <c r="C1707" t="s">
        <v>37</v>
      </c>
      <c r="D1707">
        <v>5.1596789999999997</v>
      </c>
      <c r="E1707">
        <v>0.47155049999999998</v>
      </c>
      <c r="F1707" t="s">
        <v>60</v>
      </c>
      <c r="G1707">
        <v>-412.32479999999998</v>
      </c>
      <c r="H1707" s="1">
        <v>2.817319E-6</v>
      </c>
      <c r="I1707">
        <v>282.33789999999999</v>
      </c>
      <c r="J1707">
        <v>-396.05849999999998</v>
      </c>
      <c r="K1707">
        <v>1.1039809999999901</v>
      </c>
      <c r="L1707">
        <v>284.42340000000002</v>
      </c>
      <c r="M1707">
        <v>-0.99989219999999901</v>
      </c>
      <c r="N1707">
        <v>0</v>
      </c>
      <c r="O1707">
        <v>-2.2820119999999999E-3</v>
      </c>
      <c r="P1707">
        <v>-0.99891090000000005</v>
      </c>
      <c r="Q1707">
        <v>1.8808119999999999E-3</v>
      </c>
      <c r="R1707">
        <v>-4.6621870000000003E-2</v>
      </c>
      <c r="S1707">
        <v>-2.9858090000000002</v>
      </c>
      <c r="T1707">
        <v>-0.1988211</v>
      </c>
      <c r="U1707">
        <v>-0.37567139999999999</v>
      </c>
      <c r="V1707">
        <v>-4.4329479999999997E-2</v>
      </c>
      <c r="W1707">
        <v>1.6403239999999999E-2</v>
      </c>
      <c r="X1707">
        <v>0.9988823</v>
      </c>
      <c r="Y1707">
        <v>-0.122308399999999</v>
      </c>
      <c r="Z1707">
        <v>-3.9005490000000001E-3</v>
      </c>
      <c r="AA1707">
        <v>0.99248449999999899</v>
      </c>
      <c r="AB1707">
        <v>33</v>
      </c>
      <c r="AC1707">
        <v>-16.266300000000001</v>
      </c>
      <c r="AD1707">
        <v>-1.10397818268099</v>
      </c>
      <c r="AE1707">
        <v>-2.0855000000000201</v>
      </c>
      <c r="AF1707">
        <v>-2.0391300145872502</v>
      </c>
      <c r="AG1707">
        <v>-1.10397818268099</v>
      </c>
      <c r="AH1707">
        <v>16.1976142947765</v>
      </c>
      <c r="AI1707">
        <v>93.868627523960797</v>
      </c>
      <c r="AJ1707">
        <v>97.175262576815399</v>
      </c>
      <c r="AK1707">
        <v>16.362748176469999</v>
      </c>
    </row>
    <row r="1708" spans="1:37" x14ac:dyDescent="0.2">
      <c r="A1708" t="str">
        <f>"20200111160138722"</f>
        <v>20200111160138722</v>
      </c>
      <c r="B1708" t="str">
        <f>"1578729698712728"</f>
        <v>1578729698712728</v>
      </c>
      <c r="C1708" t="s">
        <v>37</v>
      </c>
      <c r="D1708">
        <v>5.2051429999999996</v>
      </c>
      <c r="E1708">
        <v>0.47123429999999999</v>
      </c>
      <c r="F1708" t="s">
        <v>60</v>
      </c>
      <c r="G1708">
        <v>-412.66160000000002</v>
      </c>
      <c r="H1708" s="1">
        <v>2.87643899999999E-6</v>
      </c>
      <c r="I1708">
        <v>282.3451</v>
      </c>
      <c r="J1708">
        <v>-396.38740000000001</v>
      </c>
      <c r="K1708">
        <v>1.103979</v>
      </c>
      <c r="L1708">
        <v>284.423</v>
      </c>
      <c r="M1708">
        <v>-0.99989309999999998</v>
      </c>
      <c r="N1708">
        <v>0</v>
      </c>
      <c r="O1708">
        <v>-1.936461E-3</v>
      </c>
      <c r="P1708">
        <v>-0.99893549999999998</v>
      </c>
      <c r="Q1708">
        <v>2.2426729999999902E-3</v>
      </c>
      <c r="R1708">
        <v>-4.607928E-2</v>
      </c>
      <c r="S1708">
        <v>-2.9862060000000001</v>
      </c>
      <c r="T1708">
        <v>-0.19855909999999999</v>
      </c>
      <c r="U1708">
        <v>-0.37380979999999903</v>
      </c>
      <c r="V1708">
        <v>-4.4131539999999997E-2</v>
      </c>
      <c r="W1708">
        <v>1.6762249999999999E-2</v>
      </c>
      <c r="X1708">
        <v>0.99888509999999997</v>
      </c>
      <c r="Y1708">
        <v>-0.1220265</v>
      </c>
      <c r="Z1708">
        <v>-3.9085959999999899E-3</v>
      </c>
      <c r="AA1708">
        <v>0.99251909999999899</v>
      </c>
      <c r="AB1708">
        <v>33</v>
      </c>
      <c r="AC1708">
        <v>-16.2742</v>
      </c>
      <c r="AD1708">
        <v>-1.1039761235609999</v>
      </c>
      <c r="AE1708">
        <v>-2.0779000000000001</v>
      </c>
      <c r="AF1708">
        <v>-2.0371544014819398</v>
      </c>
      <c r="AG1708">
        <v>-1.1039761235609999</v>
      </c>
      <c r="AH1708">
        <v>16.204819819211501</v>
      </c>
      <c r="AI1708">
        <v>93.866990288551804</v>
      </c>
      <c r="AJ1708">
        <v>97.165228860171297</v>
      </c>
      <c r="AK1708">
        <v>16.369634898493601</v>
      </c>
    </row>
    <row r="1709" spans="1:37" x14ac:dyDescent="0.2">
      <c r="A1709" t="str">
        <f>"20200111160138746"</f>
        <v>20200111160138746</v>
      </c>
      <c r="B1709" t="str">
        <f>"1578729698742984"</f>
        <v>1578729698742984</v>
      </c>
      <c r="C1709" t="s">
        <v>37</v>
      </c>
      <c r="D1709">
        <v>4.7744220000000004</v>
      </c>
      <c r="E1709">
        <v>0.4104062</v>
      </c>
      <c r="F1709" t="s">
        <v>60</v>
      </c>
      <c r="G1709">
        <v>-413.11660000000001</v>
      </c>
      <c r="H1709" s="1">
        <v>2.958802E-6</v>
      </c>
      <c r="I1709">
        <v>282.3261</v>
      </c>
      <c r="J1709">
        <v>-396.714</v>
      </c>
      <c r="K1709">
        <v>1.103988</v>
      </c>
      <c r="L1709">
        <v>284.4228</v>
      </c>
      <c r="M1709">
        <v>-0.9998937</v>
      </c>
      <c r="N1709">
        <v>0</v>
      </c>
      <c r="O1709">
        <v>-1.5926029999999999E-3</v>
      </c>
      <c r="P1709">
        <v>-0.99896559999999901</v>
      </c>
      <c r="Q1709">
        <v>3.1399700000000002E-3</v>
      </c>
      <c r="R1709">
        <v>-4.5367459999999998E-2</v>
      </c>
      <c r="S1709">
        <v>-2.9863590000000002</v>
      </c>
      <c r="T1709">
        <v>-0.1970729</v>
      </c>
      <c r="U1709">
        <v>-0.37432859999999901</v>
      </c>
      <c r="V1709">
        <v>-4.3762679999999998E-2</v>
      </c>
      <c r="W1709">
        <v>1.7655710000000002E-2</v>
      </c>
      <c r="X1709">
        <v>0.99888589999999999</v>
      </c>
      <c r="Y1709">
        <v>-0.122533399999999</v>
      </c>
      <c r="Z1709">
        <v>-3.9183880000000001E-3</v>
      </c>
      <c r="AA1709">
        <v>0.99245669999999897</v>
      </c>
      <c r="AB1709">
        <v>33</v>
      </c>
      <c r="AC1709">
        <v>-16.4026</v>
      </c>
      <c r="AD1709">
        <v>-1.1039850411979999</v>
      </c>
      <c r="AE1709">
        <v>-2.09669999999999</v>
      </c>
      <c r="AF1709">
        <v>-2.06138376825194</v>
      </c>
      <c r="AG1709">
        <v>-1.1039850411979999</v>
      </c>
      <c r="AH1709">
        <v>16.333118790591499</v>
      </c>
      <c r="AI1709">
        <v>93.836501279367994</v>
      </c>
      <c r="AJ1709">
        <v>97.193201323826003</v>
      </c>
      <c r="AK1709">
        <v>16.4996622825673</v>
      </c>
    </row>
    <row r="1710" spans="1:37" x14ac:dyDescent="0.2">
      <c r="A1710" t="str">
        <f>"20200111160138768"</f>
        <v>20200111160138768</v>
      </c>
      <c r="B1710" t="str">
        <f>"1578729698762505"</f>
        <v>1578729698762505</v>
      </c>
      <c r="C1710" t="s">
        <v>37</v>
      </c>
      <c r="D1710">
        <v>4.7067670000000001</v>
      </c>
      <c r="E1710">
        <v>0.40541090000000002</v>
      </c>
      <c r="F1710" t="s">
        <v>60</v>
      </c>
      <c r="G1710">
        <v>-420.12639999999999</v>
      </c>
      <c r="H1710" s="1">
        <v>5.0607230000000001E-6</v>
      </c>
      <c r="I1710">
        <v>277.66750000000002</v>
      </c>
      <c r="J1710">
        <v>-397.0564</v>
      </c>
      <c r="K1710">
        <v>1.1039870000000001</v>
      </c>
      <c r="L1710">
        <v>284.42259999999999</v>
      </c>
      <c r="M1710">
        <v>-0.99989430000000001</v>
      </c>
      <c r="N1710">
        <v>0</v>
      </c>
      <c r="O1710">
        <v>-1.2321929999999999E-3</v>
      </c>
      <c r="P1710">
        <v>-0.99898929999999997</v>
      </c>
      <c r="Q1710">
        <v>3.3098799999999999E-3</v>
      </c>
      <c r="R1710">
        <v>-4.4827520000000003E-2</v>
      </c>
      <c r="S1710">
        <v>-2.964661</v>
      </c>
      <c r="T1710">
        <v>-0.13979449999999999</v>
      </c>
      <c r="U1710">
        <v>-0.85540769999999899</v>
      </c>
      <c r="V1710">
        <v>-4.3582509999999998E-2</v>
      </c>
      <c r="W1710">
        <v>1.78220999999999E-2</v>
      </c>
      <c r="X1710">
        <v>0.99889089999999903</v>
      </c>
      <c r="Y1710">
        <v>-0.2757598</v>
      </c>
      <c r="Z1710">
        <v>-6.3113319999999898E-3</v>
      </c>
      <c r="AA1710">
        <v>0.9612058</v>
      </c>
      <c r="AB1710">
        <v>33</v>
      </c>
      <c r="AC1710">
        <v>-23.07</v>
      </c>
      <c r="AD1710">
        <v>-1.1039819392770001</v>
      </c>
      <c r="AE1710">
        <v>-6.7550999999999704</v>
      </c>
      <c r="AF1710">
        <v>-6.7125076190857103</v>
      </c>
      <c r="AG1710">
        <v>-1.1039819392770001</v>
      </c>
      <c r="AH1710">
        <v>23.029734155757001</v>
      </c>
      <c r="AI1710">
        <v>92.635016673420097</v>
      </c>
      <c r="AJ1710">
        <v>106.24989051068999</v>
      </c>
      <c r="AK1710">
        <v>24.0134376952442</v>
      </c>
    </row>
    <row r="1711" spans="1:37" x14ac:dyDescent="0.2">
      <c r="A1711" t="str">
        <f>"20200111160139013"</f>
        <v>20200111160139013</v>
      </c>
      <c r="B1711" t="str">
        <f>"1578729699002600"</f>
        <v>1578729699002600</v>
      </c>
      <c r="C1711" t="s">
        <v>37</v>
      </c>
      <c r="D1711">
        <v>4.7435429999999998</v>
      </c>
      <c r="E1711">
        <v>0.40373249999999999</v>
      </c>
      <c r="F1711" t="s">
        <v>60</v>
      </c>
      <c r="G1711">
        <v>-421.88299999999998</v>
      </c>
      <c r="H1711" s="1">
        <v>4.9294310000000004E-6</v>
      </c>
      <c r="I1711">
        <v>276.93709999999999</v>
      </c>
      <c r="J1711">
        <v>-400.61689999999999</v>
      </c>
      <c r="K1711">
        <v>1.1040179999999999</v>
      </c>
      <c r="L1711">
        <v>284.42829999999998</v>
      </c>
      <c r="M1711">
        <v>-0.99989240000000001</v>
      </c>
      <c r="N1711">
        <v>0</v>
      </c>
      <c r="O1711">
        <v>2.504151E-3</v>
      </c>
      <c r="P1711">
        <v>-0.999193</v>
      </c>
      <c r="Q1711">
        <v>3.9546579999999998E-3</v>
      </c>
      <c r="R1711">
        <v>-3.9973750000000002E-2</v>
      </c>
      <c r="S1711">
        <v>-2.9633790000000002</v>
      </c>
      <c r="T1711">
        <v>-0.13177510000000001</v>
      </c>
      <c r="U1711">
        <v>-0.89349369999999995</v>
      </c>
      <c r="V1711">
        <v>-4.2461739999999998E-2</v>
      </c>
      <c r="W1711">
        <v>1.842949E-2</v>
      </c>
      <c r="X1711">
        <v>0.99892809999999899</v>
      </c>
      <c r="Y1711">
        <v>-0.29080669999999997</v>
      </c>
      <c r="Z1711">
        <v>-6.4311239999999999E-3</v>
      </c>
      <c r="AA1711">
        <v>0.95676019999999995</v>
      </c>
      <c r="AB1711">
        <v>32</v>
      </c>
      <c r="AC1711">
        <v>-21.266100000000002</v>
      </c>
      <c r="AD1711">
        <v>-1.1040130705689899</v>
      </c>
      <c r="AE1711">
        <v>-7.4911999999999903</v>
      </c>
      <c r="AF1711">
        <v>-7.5263904895459799</v>
      </c>
      <c r="AG1711">
        <v>-1.1040130705689899</v>
      </c>
      <c r="AH1711">
        <v>21.196452109099599</v>
      </c>
      <c r="AI1711">
        <v>92.809963056123394</v>
      </c>
      <c r="AJ1711">
        <v>109.548823120975</v>
      </c>
      <c r="AK1711">
        <v>22.520101702134198</v>
      </c>
    </row>
    <row r="1712" spans="1:37" x14ac:dyDescent="0.2">
      <c r="A1712" t="str">
        <f>"20200111160139035"</f>
        <v>20200111160139035</v>
      </c>
      <c r="B1712" t="str">
        <f>"1578729699023096"</f>
        <v>1578729699023096</v>
      </c>
      <c r="C1712" t="s">
        <v>37</v>
      </c>
      <c r="D1712">
        <v>5.2716409999999998</v>
      </c>
      <c r="E1712">
        <v>0.41030090000000002</v>
      </c>
      <c r="F1712" t="s">
        <v>60</v>
      </c>
      <c r="G1712">
        <v>-426.23849999999999</v>
      </c>
      <c r="H1712" s="1">
        <v>4.0609530000000004E-6</v>
      </c>
      <c r="I1712">
        <v>276.7242</v>
      </c>
      <c r="J1712">
        <v>-400.9427</v>
      </c>
      <c r="K1712">
        <v>1.1040209999999999</v>
      </c>
      <c r="L1712">
        <v>284.42950000000002</v>
      </c>
      <c r="M1712">
        <v>-0.99989150000000004</v>
      </c>
      <c r="N1712">
        <v>0</v>
      </c>
      <c r="O1712">
        <v>2.8462790000000002E-3</v>
      </c>
      <c r="P1712">
        <v>-0.9992065</v>
      </c>
      <c r="Q1712">
        <v>4.2897889999999996E-3</v>
      </c>
      <c r="R1712">
        <v>-3.9595720000000001E-2</v>
      </c>
      <c r="S1712">
        <v>-2.9672239999999999</v>
      </c>
      <c r="T1712">
        <v>-0.12785530000000001</v>
      </c>
      <c r="U1712">
        <v>-0.89221189999999995</v>
      </c>
      <c r="V1712">
        <v>-4.2425280000000003E-2</v>
      </c>
      <c r="W1712">
        <v>1.876131E-2</v>
      </c>
      <c r="X1712">
        <v>0.99892349999999996</v>
      </c>
      <c r="Y1712">
        <v>-0.29042839999999998</v>
      </c>
      <c r="Z1712">
        <v>-6.2390859999999996E-3</v>
      </c>
      <c r="AA1712">
        <v>0.95687639999999996</v>
      </c>
      <c r="AB1712">
        <v>32</v>
      </c>
      <c r="AC1712">
        <v>-25.2957999999999</v>
      </c>
      <c r="AD1712">
        <v>-1.1040169390469901</v>
      </c>
      <c r="AE1712">
        <v>-7.7053000000000198</v>
      </c>
      <c r="AF1712">
        <v>-7.7637423144472804</v>
      </c>
      <c r="AG1712">
        <v>-1.1040169390469901</v>
      </c>
      <c r="AH1712">
        <v>25.229786030202298</v>
      </c>
      <c r="AI1712">
        <v>92.394890852807904</v>
      </c>
      <c r="AJ1712">
        <v>107.10424592669099</v>
      </c>
      <c r="AK1712">
        <v>26.420383253401798</v>
      </c>
    </row>
    <row r="1713" spans="1:37" x14ac:dyDescent="0.2">
      <c r="A1713" t="str">
        <f>"20200111160139058"</f>
        <v>20200111160139058</v>
      </c>
      <c r="B1713" t="str">
        <f>"1578729699053353"</f>
        <v>1578729699053353</v>
      </c>
      <c r="C1713" t="s">
        <v>37</v>
      </c>
      <c r="D1713">
        <v>4.9472440000000004</v>
      </c>
      <c r="E1713">
        <v>0.48995810000000001</v>
      </c>
      <c r="F1713" t="s">
        <v>39</v>
      </c>
      <c r="G1713">
        <v>-440.91890000000001</v>
      </c>
      <c r="H1713">
        <v>-0.05</v>
      </c>
      <c r="I1713">
        <v>273.1551</v>
      </c>
      <c r="J1713">
        <v>-401.27019999999999</v>
      </c>
      <c r="K1713">
        <v>1.1040159999999899</v>
      </c>
      <c r="L1713">
        <v>284.43079999999998</v>
      </c>
      <c r="M1713">
        <v>-0.99989059999999896</v>
      </c>
      <c r="N1713">
        <v>0</v>
      </c>
      <c r="O1713">
        <v>3.1904920000000001E-3</v>
      </c>
      <c r="P1713">
        <v>-0.99924400000000002</v>
      </c>
      <c r="Q1713">
        <v>3.037611E-3</v>
      </c>
      <c r="R1713">
        <v>-3.876479E-2</v>
      </c>
      <c r="S1713">
        <v>-2.9695429999999998</v>
      </c>
      <c r="T1713">
        <v>-8.5723880000000002E-2</v>
      </c>
      <c r="U1713">
        <v>-0.83749390000000001</v>
      </c>
      <c r="V1713">
        <v>-4.1939419999999998E-2</v>
      </c>
      <c r="W1713">
        <v>1.7505529999999998E-2</v>
      </c>
      <c r="X1713">
        <v>0.99896679999999904</v>
      </c>
      <c r="Y1713">
        <v>-0.27440170000000003</v>
      </c>
      <c r="Z1713">
        <v>-3.9744769999999997E-3</v>
      </c>
      <c r="AA1713">
        <v>0.96160689999999904</v>
      </c>
      <c r="AB1713">
        <v>32</v>
      </c>
      <c r="AC1713">
        <v>-39.648699999999998</v>
      </c>
      <c r="AD1713">
        <v>-1.1540159999999999</v>
      </c>
      <c r="AE1713">
        <v>-11.275699999999899</v>
      </c>
      <c r="AF1713">
        <v>-11.393224976460299</v>
      </c>
      <c r="AG1713">
        <v>-1.1540159999999999</v>
      </c>
      <c r="AH1713">
        <v>39.581496548993002</v>
      </c>
      <c r="AI1713">
        <v>91.604884830066794</v>
      </c>
      <c r="AJ1713">
        <v>106.058051300161</v>
      </c>
      <c r="AK1713">
        <v>41.204759401681201</v>
      </c>
    </row>
    <row r="1714" spans="1:37" x14ac:dyDescent="0.2">
      <c r="A1714" t="str">
        <f>"20200111160139080"</f>
        <v>20200111160139080</v>
      </c>
      <c r="B1714" t="str">
        <f>"1578729699072872"</f>
        <v>1578729699072872</v>
      </c>
      <c r="C1714" t="s">
        <v>37</v>
      </c>
      <c r="D1714">
        <v>5.1011329999999999</v>
      </c>
      <c r="E1714">
        <v>0.4912474</v>
      </c>
      <c r="F1714" t="s">
        <v>60</v>
      </c>
      <c r="G1714">
        <v>-430.00740000000002</v>
      </c>
      <c r="H1714" s="1">
        <v>2.4050330000000001E-6</v>
      </c>
      <c r="I1714">
        <v>282.5027</v>
      </c>
      <c r="J1714">
        <v>-401.59840000000003</v>
      </c>
      <c r="K1714">
        <v>1.1040129999999999</v>
      </c>
      <c r="L1714">
        <v>284.43220000000002</v>
      </c>
      <c r="M1714">
        <v>-0.99988940000000004</v>
      </c>
      <c r="N1714">
        <v>0</v>
      </c>
      <c r="O1714">
        <v>3.5354789999999998E-3</v>
      </c>
      <c r="P1714">
        <v>-0.99927219999999894</v>
      </c>
      <c r="Q1714">
        <v>1.6313619999999999E-3</v>
      </c>
      <c r="R1714">
        <v>-3.8112130000000001E-2</v>
      </c>
      <c r="S1714">
        <v>-2.994812</v>
      </c>
      <c r="T1714">
        <v>-0.11505369999999999</v>
      </c>
      <c r="U1714">
        <v>-0.20092769999999999</v>
      </c>
      <c r="V1714">
        <v>-4.163269E-2</v>
      </c>
      <c r="W1714">
        <v>1.6096200000000001E-2</v>
      </c>
      <c r="X1714">
        <v>0.99900330000000004</v>
      </c>
      <c r="Y1714">
        <v>-7.0414630000000006E-2</v>
      </c>
      <c r="Z1714">
        <v>-1.486207E-3</v>
      </c>
      <c r="AA1714">
        <v>0.99751669999999903</v>
      </c>
      <c r="AB1714">
        <v>32</v>
      </c>
      <c r="AC1714">
        <v>-28.408999999999899</v>
      </c>
      <c r="AD1714">
        <v>-1.1040105949669901</v>
      </c>
      <c r="AE1714">
        <v>-1.92950000000001</v>
      </c>
      <c r="AF1714">
        <v>-2.02689088719168</v>
      </c>
      <c r="AG1714">
        <v>-1.1040105949669901</v>
      </c>
      <c r="AH1714">
        <v>28.359368320123099</v>
      </c>
      <c r="AI1714">
        <v>92.223692753661297</v>
      </c>
      <c r="AJ1714">
        <v>94.088072544945206</v>
      </c>
      <c r="AK1714">
        <v>28.453135109839501</v>
      </c>
    </row>
    <row r="1715" spans="1:37" x14ac:dyDescent="0.2">
      <c r="A1715" t="str">
        <f>"20200111160139102"</f>
        <v>20200111160139102</v>
      </c>
      <c r="B1715" t="str">
        <f>"1578729699093368"</f>
        <v>1578729699093368</v>
      </c>
      <c r="C1715" t="s">
        <v>37</v>
      </c>
      <c r="D1715">
        <v>4.835216</v>
      </c>
      <c r="E1715">
        <v>0.49159629999999999</v>
      </c>
      <c r="F1715" t="s">
        <v>60</v>
      </c>
      <c r="G1715">
        <v>-425.1413</v>
      </c>
      <c r="H1715" s="1">
        <v>3.1988589999999999E-6</v>
      </c>
      <c r="I1715">
        <v>282.94349999999997</v>
      </c>
      <c r="J1715">
        <v>-401.90620000000001</v>
      </c>
      <c r="K1715">
        <v>1.104015</v>
      </c>
      <c r="L1715">
        <v>284.43369999999999</v>
      </c>
      <c r="M1715">
        <v>-0.9998882</v>
      </c>
      <c r="N1715">
        <v>0</v>
      </c>
      <c r="O1715">
        <v>3.8592459999999898E-3</v>
      </c>
      <c r="P1715">
        <v>-0.99928539999999999</v>
      </c>
      <c r="Q1715">
        <v>2.2492969999999999E-3</v>
      </c>
      <c r="R1715">
        <v>-3.7731540000000001E-2</v>
      </c>
      <c r="S1715">
        <v>-2.9951779999999899</v>
      </c>
      <c r="T1715">
        <v>-0.1404542</v>
      </c>
      <c r="U1715">
        <v>-0.18939210000000001</v>
      </c>
      <c r="V1715">
        <v>-4.1575580000000001E-2</v>
      </c>
      <c r="W1715">
        <v>1.6710760000000002E-2</v>
      </c>
      <c r="X1715">
        <v>0.99899559999999998</v>
      </c>
      <c r="Y1715">
        <v>-6.6880339999999996E-2</v>
      </c>
      <c r="Z1715">
        <v>-1.746421E-3</v>
      </c>
      <c r="AA1715">
        <v>0.99775949999999902</v>
      </c>
      <c r="AB1715">
        <v>32</v>
      </c>
      <c r="AC1715">
        <v>-23.2350999999999</v>
      </c>
      <c r="AD1715">
        <v>-1.1040118011409901</v>
      </c>
      <c r="AE1715">
        <v>-1.49020000000001</v>
      </c>
      <c r="AF1715">
        <v>-1.57632400202634</v>
      </c>
      <c r="AG1715">
        <v>-1.1040118011409901</v>
      </c>
      <c r="AH1715">
        <v>23.1770637348713</v>
      </c>
      <c r="AI1715">
        <v>92.720878583523699</v>
      </c>
      <c r="AJ1715">
        <v>93.890822428679698</v>
      </c>
      <c r="AK1715">
        <v>23.256825294668001</v>
      </c>
    </row>
    <row r="1716" spans="1:37" x14ac:dyDescent="0.2">
      <c r="A1716" t="str">
        <f>"20200111160139126"</f>
        <v>20200111160139126</v>
      </c>
      <c r="B1716" t="str">
        <f>"1578729699122648"</f>
        <v>1578729699122648</v>
      </c>
      <c r="C1716" t="s">
        <v>37</v>
      </c>
      <c r="D1716">
        <v>5.1454639999999996</v>
      </c>
      <c r="E1716">
        <v>0.49092609999999998</v>
      </c>
      <c r="F1716" t="s">
        <v>60</v>
      </c>
      <c r="G1716">
        <v>-422.03870000000001</v>
      </c>
      <c r="H1716" s="1">
        <v>3.7283509999999999E-6</v>
      </c>
      <c r="I1716">
        <v>283.18209999999999</v>
      </c>
      <c r="J1716">
        <v>-402.24740000000003</v>
      </c>
      <c r="K1716">
        <v>1.1040209999999999</v>
      </c>
      <c r="L1716">
        <v>284.43540000000002</v>
      </c>
      <c r="M1716">
        <v>-0.99988699999999997</v>
      </c>
      <c r="N1716">
        <v>0</v>
      </c>
      <c r="O1716">
        <v>4.2181220000000004E-3</v>
      </c>
      <c r="P1716">
        <v>-0.99929760000000001</v>
      </c>
      <c r="Q1716">
        <v>3.256559E-3</v>
      </c>
      <c r="R1716">
        <v>-3.7337780000000001E-2</v>
      </c>
      <c r="S1716">
        <v>-2.9954830000000001</v>
      </c>
      <c r="T1716">
        <v>-0.1642641</v>
      </c>
      <c r="U1716">
        <v>-0.1862183</v>
      </c>
      <c r="V1716">
        <v>-4.1539609999999998E-2</v>
      </c>
      <c r="W1716">
        <v>1.7713880000000001E-2</v>
      </c>
      <c r="X1716">
        <v>0.99897979999999997</v>
      </c>
      <c r="Y1716">
        <v>-6.6151130000000002E-2</v>
      </c>
      <c r="Z1716">
        <v>-2.0416129999999998E-3</v>
      </c>
      <c r="AA1716">
        <v>0.99780749999999996</v>
      </c>
      <c r="AB1716">
        <v>32</v>
      </c>
      <c r="AC1716">
        <v>-19.7912999999999</v>
      </c>
      <c r="AD1716">
        <v>-1.104017271649</v>
      </c>
      <c r="AE1716">
        <v>-1.2533000000000201</v>
      </c>
      <c r="AF1716">
        <v>-1.3326493642961901</v>
      </c>
      <c r="AG1716">
        <v>-1.104017271649</v>
      </c>
      <c r="AH1716">
        <v>19.724703803811501</v>
      </c>
      <c r="AI1716">
        <v>93.196304961011506</v>
      </c>
      <c r="AJ1716">
        <v>93.865169431242506</v>
      </c>
      <c r="AK1716">
        <v>19.800473444146601</v>
      </c>
    </row>
    <row r="1717" spans="1:37" x14ac:dyDescent="0.2">
      <c r="A1717" t="str">
        <f>"20200111160139147"</f>
        <v>20200111160139147</v>
      </c>
      <c r="B1717" t="str">
        <f>"1578729699143144"</f>
        <v>1578729699143144</v>
      </c>
      <c r="C1717" t="s">
        <v>37</v>
      </c>
      <c r="D1717">
        <v>4.7941820000000002</v>
      </c>
      <c r="E1717">
        <v>0.49137570000000003</v>
      </c>
      <c r="F1717" t="s">
        <v>60</v>
      </c>
      <c r="G1717">
        <v>-420.91039999999998</v>
      </c>
      <c r="H1717" s="1">
        <v>3.9228339999999996E-6</v>
      </c>
      <c r="I1717">
        <v>283.24689999999998</v>
      </c>
      <c r="J1717">
        <v>-402.55500000000001</v>
      </c>
      <c r="K1717">
        <v>1.1040129999999999</v>
      </c>
      <c r="L1717">
        <v>284.43700000000001</v>
      </c>
      <c r="M1717">
        <v>-0.99988559999999904</v>
      </c>
      <c r="N1717">
        <v>0</v>
      </c>
      <c r="O1717">
        <v>4.542791E-3</v>
      </c>
      <c r="P1717">
        <v>-0.9992896</v>
      </c>
      <c r="Q1717">
        <v>3.734575E-3</v>
      </c>
      <c r="R1717">
        <v>-3.7502649999999998E-2</v>
      </c>
      <c r="S1717">
        <v>-2.9955750000000001</v>
      </c>
      <c r="T1717">
        <v>-0.1772041</v>
      </c>
      <c r="U1717">
        <v>-0.1907654</v>
      </c>
      <c r="V1717">
        <v>-4.2028940000000001E-2</v>
      </c>
      <c r="W1717">
        <v>1.818825E-2</v>
      </c>
      <c r="X1717">
        <v>0.99895080000000003</v>
      </c>
      <c r="Y1717">
        <v>-6.796083E-2</v>
      </c>
      <c r="Z1717">
        <v>-2.2746009999999998E-3</v>
      </c>
      <c r="AA1717">
        <v>0.99768539999999994</v>
      </c>
      <c r="AB1717">
        <v>32</v>
      </c>
      <c r="AC1717">
        <v>-18.3553999999999</v>
      </c>
      <c r="AD1717">
        <v>-1.1040090771659901</v>
      </c>
      <c r="AE1717">
        <v>-1.1901000000000199</v>
      </c>
      <c r="AF1717">
        <v>-1.26890998159386</v>
      </c>
      <c r="AG1717">
        <v>-1.1040090771659901</v>
      </c>
      <c r="AH1717">
        <v>18.283936990638601</v>
      </c>
      <c r="AI1717">
        <v>93.447130766502994</v>
      </c>
      <c r="AJ1717">
        <v>93.969976502844602</v>
      </c>
      <c r="AK1717">
        <v>18.361136142992201</v>
      </c>
    </row>
    <row r="1718" spans="1:37" x14ac:dyDescent="0.2">
      <c r="A1718" t="str">
        <f>"20200111160139169"</f>
        <v>20200111160139169</v>
      </c>
      <c r="B1718" t="str">
        <f>"1578729699162664"</f>
        <v>1578729699162664</v>
      </c>
      <c r="C1718" t="s">
        <v>37</v>
      </c>
      <c r="D1718">
        <v>4.8912440000000004</v>
      </c>
      <c r="E1718">
        <v>0.49094019999999999</v>
      </c>
      <c r="F1718" t="s">
        <v>60</v>
      </c>
      <c r="G1718">
        <v>-420.39960000000002</v>
      </c>
      <c r="H1718" s="1">
        <v>4.0073559999999996E-6</v>
      </c>
      <c r="I1718">
        <v>283.31659999999999</v>
      </c>
      <c r="J1718">
        <v>-402.87290000000002</v>
      </c>
      <c r="K1718">
        <v>1.1040129999999999</v>
      </c>
      <c r="L1718">
        <v>284.43880000000001</v>
      </c>
      <c r="M1718">
        <v>-0.99988410000000005</v>
      </c>
      <c r="N1718">
        <v>0</v>
      </c>
      <c r="O1718">
        <v>4.8808280000000002E-3</v>
      </c>
      <c r="P1718">
        <v>-0.99926090000000001</v>
      </c>
      <c r="Q1718">
        <v>3.8579E-3</v>
      </c>
      <c r="R1718">
        <v>-3.8253870000000002E-2</v>
      </c>
      <c r="S1718">
        <v>-2.9957579999999999</v>
      </c>
      <c r="T1718">
        <v>-0.18534210000000001</v>
      </c>
      <c r="U1718">
        <v>-0.18811040000000001</v>
      </c>
      <c r="V1718">
        <v>-4.3117250000000003E-2</v>
      </c>
      <c r="W1718">
        <v>1.8308870000000001E-2</v>
      </c>
      <c r="X1718">
        <v>0.99890230000000002</v>
      </c>
      <c r="Y1718">
        <v>-6.7402130000000005E-2</v>
      </c>
      <c r="Z1718">
        <v>-2.3824139999999998E-3</v>
      </c>
      <c r="AA1718">
        <v>0.99772299999999903</v>
      </c>
      <c r="AB1718">
        <v>32</v>
      </c>
      <c r="AC1718">
        <v>-17.526700000000002</v>
      </c>
      <c r="AD1718">
        <v>-1.104008992644</v>
      </c>
      <c r="AE1718">
        <v>-1.1222000000000201</v>
      </c>
      <c r="AF1718">
        <v>-1.2029866659408399</v>
      </c>
      <c r="AG1718">
        <v>-1.104008992644</v>
      </c>
      <c r="AH1718">
        <v>17.4520506027403</v>
      </c>
      <c r="AI1718">
        <v>93.611136205013906</v>
      </c>
      <c r="AJ1718">
        <v>93.9432158218642</v>
      </c>
      <c r="AK1718">
        <v>17.5282652597135</v>
      </c>
    </row>
    <row r="1719" spans="1:37" x14ac:dyDescent="0.2">
      <c r="A1719" t="str">
        <f>"20200111160139190"</f>
        <v>20200111160139190</v>
      </c>
      <c r="B1719" t="str">
        <f>"1578729699183160"</f>
        <v>1578729699183160</v>
      </c>
      <c r="C1719" t="s">
        <v>37</v>
      </c>
      <c r="D1719">
        <v>4.6984810000000001</v>
      </c>
      <c r="E1719">
        <v>0.49119020000000002</v>
      </c>
      <c r="F1719" t="s">
        <v>60</v>
      </c>
      <c r="G1719">
        <v>-420.37689999999998</v>
      </c>
      <c r="H1719" s="1">
        <v>4.0123739999999996E-6</v>
      </c>
      <c r="I1719">
        <v>283.30520000000001</v>
      </c>
      <c r="J1719">
        <v>-403.1857</v>
      </c>
      <c r="K1719">
        <v>1.104012</v>
      </c>
      <c r="L1719">
        <v>284.44069999999999</v>
      </c>
      <c r="M1719">
        <v>-0.9998823</v>
      </c>
      <c r="N1719">
        <v>0</v>
      </c>
      <c r="O1719">
        <v>5.2176899999999997E-3</v>
      </c>
      <c r="P1719">
        <v>-0.99924159999999995</v>
      </c>
      <c r="Q1719">
        <v>3.7384479999999901E-3</v>
      </c>
      <c r="R1719">
        <v>-3.8761049999999998E-2</v>
      </c>
      <c r="S1719">
        <v>-2.995514</v>
      </c>
      <c r="T1719">
        <v>-0.1889325</v>
      </c>
      <c r="U1719">
        <v>-0.19400020000000001</v>
      </c>
      <c r="V1719">
        <v>-4.3960890000000002E-2</v>
      </c>
      <c r="W1719">
        <v>1.818635E-2</v>
      </c>
      <c r="X1719">
        <v>0.99886769999999903</v>
      </c>
      <c r="Y1719">
        <v>-6.9686429999999994E-2</v>
      </c>
      <c r="Z1719">
        <v>-2.52162E-3</v>
      </c>
      <c r="AA1719">
        <v>0.997565699999999</v>
      </c>
      <c r="AB1719">
        <v>32</v>
      </c>
      <c r="AC1719">
        <v>-17.191199999999899</v>
      </c>
      <c r="AD1719">
        <v>-1.1040079876260001</v>
      </c>
      <c r="AE1719">
        <v>-1.13549999999997</v>
      </c>
      <c r="AF1719">
        <v>-1.22018190333704</v>
      </c>
      <c r="AG1719">
        <v>-1.1040079876260001</v>
      </c>
      <c r="AH1719">
        <v>17.114763776537199</v>
      </c>
      <c r="AI1719">
        <v>93.681499559615403</v>
      </c>
      <c r="AJ1719">
        <v>94.077951914675396</v>
      </c>
      <c r="AK1719">
        <v>17.193685371107701</v>
      </c>
    </row>
    <row r="1720" spans="1:37" x14ac:dyDescent="0.2">
      <c r="A1720" t="str">
        <f>"20200111160139213"</f>
        <v>20200111160139213</v>
      </c>
      <c r="B1720" t="str">
        <f>"1578729699202680"</f>
        <v>1578729699202680</v>
      </c>
      <c r="C1720" t="s">
        <v>37</v>
      </c>
      <c r="D1720">
        <v>4.8337289999999999</v>
      </c>
      <c r="E1720">
        <v>0.49119669999999999</v>
      </c>
      <c r="F1720" t="s">
        <v>60</v>
      </c>
      <c r="G1720">
        <v>-420.30619999999999</v>
      </c>
      <c r="H1720" s="1">
        <v>4.0223999999999998E-6</v>
      </c>
      <c r="I1720">
        <v>283.3338</v>
      </c>
      <c r="J1720">
        <v>-403.5052</v>
      </c>
      <c r="K1720">
        <v>1.1040080000000001</v>
      </c>
      <c r="L1720">
        <v>284.4427</v>
      </c>
      <c r="M1720">
        <v>-0.99988049999999995</v>
      </c>
      <c r="N1720">
        <v>0</v>
      </c>
      <c r="O1720">
        <v>5.5643919999999996E-3</v>
      </c>
      <c r="P1720">
        <v>-0.99925399999999998</v>
      </c>
      <c r="Q1720">
        <v>3.6379379999999998E-3</v>
      </c>
      <c r="R1720">
        <v>-3.8450819999999997E-2</v>
      </c>
      <c r="S1720">
        <v>-2.9954830000000001</v>
      </c>
      <c r="T1720">
        <v>-0.19316159999999999</v>
      </c>
      <c r="U1720">
        <v>-0.19366459999999999</v>
      </c>
      <c r="V1720">
        <v>-4.3997170000000002E-2</v>
      </c>
      <c r="W1720">
        <v>1.8082419999999998E-2</v>
      </c>
      <c r="X1720">
        <v>0.99886799999999998</v>
      </c>
      <c r="Y1720">
        <v>-6.9913749999999997E-2</v>
      </c>
      <c r="Z1720">
        <v>-2.6076129999999999E-3</v>
      </c>
      <c r="AA1720">
        <v>0.99754969999999998</v>
      </c>
      <c r="AB1720">
        <v>32</v>
      </c>
      <c r="AC1720">
        <v>-16.800999999999899</v>
      </c>
      <c r="AD1720">
        <v>-1.1040039775999999</v>
      </c>
      <c r="AE1720">
        <v>-1.1089</v>
      </c>
      <c r="AF1720">
        <v>-1.1972328136364201</v>
      </c>
      <c r="AG1720">
        <v>-1.1040039775999999</v>
      </c>
      <c r="AH1720">
        <v>16.722675454658599</v>
      </c>
      <c r="AI1720">
        <v>93.767478534121395</v>
      </c>
      <c r="AJ1720">
        <v>94.095011419519494</v>
      </c>
      <c r="AK1720">
        <v>16.801787570209399</v>
      </c>
    </row>
    <row r="1721" spans="1:37" x14ac:dyDescent="0.2">
      <c r="A1721" t="str">
        <f>"20200111160139236"</f>
        <v>20200111160139236</v>
      </c>
      <c r="B1721" t="str">
        <f>"1578729699232937"</f>
        <v>1578729699232937</v>
      </c>
      <c r="C1721" t="s">
        <v>37</v>
      </c>
      <c r="D1721">
        <v>4.8438400000000001</v>
      </c>
      <c r="E1721">
        <v>0.4906393</v>
      </c>
      <c r="F1721" t="s">
        <v>60</v>
      </c>
      <c r="G1721">
        <v>-420.3365</v>
      </c>
      <c r="H1721" s="1">
        <v>4.0147510000000002E-6</v>
      </c>
      <c r="I1721">
        <v>283.35989999999998</v>
      </c>
      <c r="J1721">
        <v>-403.8331</v>
      </c>
      <c r="K1721">
        <v>1.1040099999999999</v>
      </c>
      <c r="L1721">
        <v>284.44490000000002</v>
      </c>
      <c r="M1721">
        <v>-0.99987859999999995</v>
      </c>
      <c r="N1721">
        <v>0</v>
      </c>
      <c r="O1721">
        <v>5.923668E-3</v>
      </c>
      <c r="P1721">
        <v>-0.99927829999999995</v>
      </c>
      <c r="Q1721">
        <v>4.3201890000000003E-3</v>
      </c>
      <c r="R1721">
        <v>-3.7746160000000001E-2</v>
      </c>
      <c r="S1721">
        <v>-2.99554399999999</v>
      </c>
      <c r="T1721">
        <v>-0.19648499999999999</v>
      </c>
      <c r="U1721">
        <v>-0.19271849999999999</v>
      </c>
      <c r="V1721">
        <v>-4.365082E-2</v>
      </c>
      <c r="W1721">
        <v>1.876131E-2</v>
      </c>
      <c r="X1721">
        <v>0.9988707</v>
      </c>
      <c r="Y1721">
        <v>-6.9950879999999993E-2</v>
      </c>
      <c r="Z1721">
        <v>-2.6770919999999998E-3</v>
      </c>
      <c r="AA1721">
        <v>0.99754690000000001</v>
      </c>
      <c r="AB1721">
        <v>32</v>
      </c>
      <c r="AC1721">
        <v>-16.503399999999999</v>
      </c>
      <c r="AD1721">
        <v>-1.1040059852489901</v>
      </c>
      <c r="AE1721">
        <v>-1.0850000000000299</v>
      </c>
      <c r="AF1721">
        <v>-1.17750508236889</v>
      </c>
      <c r="AG1721">
        <v>-1.1040059852489901</v>
      </c>
      <c r="AH1721">
        <v>16.423503162406298</v>
      </c>
      <c r="AI1721">
        <v>93.835883149585797</v>
      </c>
      <c r="AJ1721">
        <v>94.100880674269106</v>
      </c>
      <c r="AK1721">
        <v>16.502630201275199</v>
      </c>
    </row>
    <row r="1722" spans="1:37" x14ac:dyDescent="0.2">
      <c r="A1722" t="str">
        <f>"20200111160139259"</f>
        <v>20200111160139259</v>
      </c>
      <c r="B1722" t="str">
        <f>"1578729699252455"</f>
        <v>1578729699252455</v>
      </c>
      <c r="C1722" t="s">
        <v>37</v>
      </c>
      <c r="D1722">
        <v>4.8250390000000003</v>
      </c>
      <c r="E1722">
        <v>0.49050339999999998</v>
      </c>
      <c r="F1722" t="s">
        <v>60</v>
      </c>
      <c r="G1722">
        <v>-420.88310000000001</v>
      </c>
      <c r="H1722" s="1">
        <v>3.9201040000000001E-6</v>
      </c>
      <c r="I1722">
        <v>283.33350000000002</v>
      </c>
      <c r="J1722">
        <v>-404.15179999999998</v>
      </c>
      <c r="K1722">
        <v>1.104015</v>
      </c>
      <c r="L1722">
        <v>284.44720000000001</v>
      </c>
      <c r="M1722">
        <v>-0.99987649999999995</v>
      </c>
      <c r="N1722">
        <v>0</v>
      </c>
      <c r="O1722">
        <v>6.277164E-3</v>
      </c>
      <c r="P1722">
        <v>-0.99932529999999997</v>
      </c>
      <c r="Q1722">
        <v>5.1198839999999999E-3</v>
      </c>
      <c r="R1722">
        <v>-3.6375299999999999E-2</v>
      </c>
      <c r="S1722">
        <v>-2.9956360000000002</v>
      </c>
      <c r="T1722">
        <v>-0.1939707</v>
      </c>
      <c r="U1722">
        <v>-0.19528199999999901</v>
      </c>
      <c r="V1722">
        <v>-4.2632780000000002E-2</v>
      </c>
      <c r="W1722">
        <v>1.955749E-2</v>
      </c>
      <c r="X1722">
        <v>0.99889930000000005</v>
      </c>
      <c r="Y1722">
        <v>-7.1152510000000002E-2</v>
      </c>
      <c r="Z1722">
        <v>-2.704419E-3</v>
      </c>
      <c r="AA1722">
        <v>0.99746179999999995</v>
      </c>
      <c r="AB1722">
        <v>32</v>
      </c>
      <c r="AC1722">
        <v>-16.731300000000001</v>
      </c>
      <c r="AD1722">
        <v>-1.1040110798959999</v>
      </c>
      <c r="AE1722">
        <v>-1.1136999999999899</v>
      </c>
      <c r="AF1722">
        <v>-1.2134540087847501</v>
      </c>
      <c r="AG1722">
        <v>-1.1040110798959999</v>
      </c>
      <c r="AH1722">
        <v>16.651796747951199</v>
      </c>
      <c r="AI1722">
        <v>93.783146004546893</v>
      </c>
      <c r="AJ1722">
        <v>94.167905475856102</v>
      </c>
      <c r="AK1722">
        <v>16.732413036709598</v>
      </c>
    </row>
    <row r="1723" spans="1:37" x14ac:dyDescent="0.2">
      <c r="A1723" t="str">
        <f>"20200111160139280"</f>
        <v>20200111160139280</v>
      </c>
      <c r="B1723" t="str">
        <f>"1578729699272952"</f>
        <v>1578729699272952</v>
      </c>
      <c r="C1723" t="s">
        <v>37</v>
      </c>
      <c r="D1723">
        <v>4.8456489999999999</v>
      </c>
      <c r="E1723">
        <v>0.49019669999999999</v>
      </c>
      <c r="F1723" t="s">
        <v>60</v>
      </c>
      <c r="G1723">
        <v>-421.24329999999998</v>
      </c>
      <c r="H1723" s="1">
        <v>3.8548330000000002E-6</v>
      </c>
      <c r="I1723">
        <v>283.34930000000003</v>
      </c>
      <c r="J1723">
        <v>-404.47019999999998</v>
      </c>
      <c r="K1723">
        <v>1.1040140000000001</v>
      </c>
      <c r="L1723">
        <v>284.44959999999998</v>
      </c>
      <c r="M1723">
        <v>-0.99987420000000005</v>
      </c>
      <c r="N1723">
        <v>0</v>
      </c>
      <c r="O1723">
        <v>6.6339349999999997E-3</v>
      </c>
      <c r="P1723">
        <v>-0.99937529999999997</v>
      </c>
      <c r="Q1723">
        <v>5.3443550000000003E-3</v>
      </c>
      <c r="R1723">
        <v>-3.4938599999999903E-2</v>
      </c>
      <c r="S1723">
        <v>-2.9960019999999998</v>
      </c>
      <c r="T1723">
        <v>-0.19352439999999899</v>
      </c>
      <c r="U1723">
        <v>-0.1924438</v>
      </c>
      <c r="V1723">
        <v>-4.1552770000000003E-2</v>
      </c>
      <c r="W1723">
        <v>1.9778690000000002E-2</v>
      </c>
      <c r="X1723">
        <v>0.99894050000000001</v>
      </c>
      <c r="Y1723">
        <v>-7.0560769999999995E-2</v>
      </c>
      <c r="Z1723">
        <v>-2.7018929999999999E-3</v>
      </c>
      <c r="AA1723">
        <v>0.99750380000000005</v>
      </c>
      <c r="AB1723">
        <v>32</v>
      </c>
      <c r="AC1723">
        <v>-16.773099999999999</v>
      </c>
      <c r="AD1723">
        <v>-1.1040101451669999</v>
      </c>
      <c r="AE1723">
        <v>-1.1002999999999401</v>
      </c>
      <c r="AF1723">
        <v>-1.20635507899133</v>
      </c>
      <c r="AG1723">
        <v>-1.1040101451669999</v>
      </c>
      <c r="AH1723">
        <v>16.693419582724701</v>
      </c>
      <c r="AI1723">
        <v>93.773902206473906</v>
      </c>
      <c r="AJ1723">
        <v>94.133311951112205</v>
      </c>
      <c r="AK1723">
        <v>16.773323711838799</v>
      </c>
    </row>
    <row r="1724" spans="1:37" x14ac:dyDescent="0.2">
      <c r="A1724" t="str">
        <f>"20200111160139303"</f>
        <v>20200111160139303</v>
      </c>
      <c r="B1724" t="str">
        <f>"1578729699292472"</f>
        <v>1578729699292472</v>
      </c>
      <c r="C1724" t="s">
        <v>37</v>
      </c>
      <c r="D1724">
        <v>4.8044820000000001</v>
      </c>
      <c r="E1724">
        <v>0.4900523</v>
      </c>
      <c r="F1724" t="s">
        <v>60</v>
      </c>
      <c r="G1724">
        <v>-421.53039999999999</v>
      </c>
      <c r="H1724" s="1">
        <v>3.8026779999999998E-6</v>
      </c>
      <c r="I1724">
        <v>283.36340000000001</v>
      </c>
      <c r="J1724">
        <v>-404.77760000000001</v>
      </c>
      <c r="K1724">
        <v>1.1040219999999901</v>
      </c>
      <c r="L1724">
        <v>284.452</v>
      </c>
      <c r="M1724">
        <v>-0.99987199999999998</v>
      </c>
      <c r="N1724">
        <v>0</v>
      </c>
      <c r="O1724">
        <v>6.9802650000000003E-3</v>
      </c>
      <c r="P1724">
        <v>-0.9994364</v>
      </c>
      <c r="Q1724">
        <v>4.9401519999999997E-3</v>
      </c>
      <c r="R1724">
        <v>-3.321346E-2</v>
      </c>
      <c r="S1724">
        <v>-2.99624599999999</v>
      </c>
      <c r="T1724">
        <v>-0.1938956</v>
      </c>
      <c r="U1724">
        <v>-0.1907654</v>
      </c>
      <c r="V1724">
        <v>-4.0174069999999999E-2</v>
      </c>
      <c r="W1724">
        <v>1.9371079999999999E-2</v>
      </c>
      <c r="X1724">
        <v>0.99900489999999997</v>
      </c>
      <c r="Y1724">
        <v>-7.0343699999999995E-2</v>
      </c>
      <c r="Z1724">
        <v>-2.7222539999999999E-3</v>
      </c>
      <c r="AA1724">
        <v>0.99751909999999899</v>
      </c>
      <c r="AB1724">
        <v>32</v>
      </c>
      <c r="AC1724">
        <v>-16.752799999999901</v>
      </c>
      <c r="AD1724">
        <v>-1.10401819732199</v>
      </c>
      <c r="AE1724">
        <v>-1.08859999999998</v>
      </c>
      <c r="AF1724">
        <v>-1.20033359324677</v>
      </c>
      <c r="AG1724">
        <v>-1.10401819732199</v>
      </c>
      <c r="AH1724">
        <v>16.6726892634405</v>
      </c>
      <c r="AI1724">
        <v>93.778681806262995</v>
      </c>
      <c r="AJ1724">
        <v>94.117847710356799</v>
      </c>
      <c r="AK1724">
        <v>16.752260271089899</v>
      </c>
    </row>
    <row r="1725" spans="1:37" x14ac:dyDescent="0.2">
      <c r="A1725" t="str">
        <f>"20200111160139325"</f>
        <v>20200111160139325</v>
      </c>
      <c r="B1725" t="str">
        <f>"1578729699322728"</f>
        <v>1578729699322728</v>
      </c>
      <c r="C1725" t="s">
        <v>37</v>
      </c>
      <c r="D1725">
        <v>4.8823030000000003</v>
      </c>
      <c r="E1725">
        <v>0.48997229999999897</v>
      </c>
      <c r="F1725" t="s">
        <v>60</v>
      </c>
      <c r="G1725">
        <v>-421.58699999999999</v>
      </c>
      <c r="H1725" s="1">
        <v>3.7890749999999998E-6</v>
      </c>
      <c r="I1725">
        <v>283.40410000000003</v>
      </c>
      <c r="J1725">
        <v>-405.09559999999999</v>
      </c>
      <c r="K1725">
        <v>1.1040239999999999</v>
      </c>
      <c r="L1725">
        <v>284.45460000000003</v>
      </c>
      <c r="M1725">
        <v>-0.99986919999999901</v>
      </c>
      <c r="N1725">
        <v>0</v>
      </c>
      <c r="O1725">
        <v>7.3399419999999899E-3</v>
      </c>
      <c r="P1725">
        <v>-0.99946939999999995</v>
      </c>
      <c r="Q1725">
        <v>5.190521E-3</v>
      </c>
      <c r="R1725">
        <v>-3.2155610000000001E-2</v>
      </c>
      <c r="S1725">
        <v>-2.996429</v>
      </c>
      <c r="T1725">
        <v>-0.196802</v>
      </c>
      <c r="U1725">
        <v>-0.18679809999999999</v>
      </c>
      <c r="V1725">
        <v>-3.9476480000000001E-2</v>
      </c>
      <c r="W1725">
        <v>1.9617550000000001E-2</v>
      </c>
      <c r="X1725">
        <v>0.99902789999999997</v>
      </c>
      <c r="Y1725">
        <v>-6.9379570000000002E-2</v>
      </c>
      <c r="Z1725">
        <v>-2.754902E-3</v>
      </c>
      <c r="AA1725">
        <v>0.99758649999999904</v>
      </c>
      <c r="AB1725">
        <v>32</v>
      </c>
      <c r="AC1725">
        <v>-16.491399999999999</v>
      </c>
      <c r="AD1725">
        <v>-1.1040202109249999</v>
      </c>
      <c r="AE1725">
        <v>-1.05049999999999</v>
      </c>
      <c r="AF1725">
        <v>-1.1663242428249001</v>
      </c>
      <c r="AG1725">
        <v>-1.1040202109249999</v>
      </c>
      <c r="AH1725">
        <v>16.409997424014598</v>
      </c>
      <c r="AI1725">
        <v>93.839249222122206</v>
      </c>
      <c r="AJ1725">
        <v>94.065404247641595</v>
      </c>
      <c r="AK1725">
        <v>16.488395565417999</v>
      </c>
    </row>
    <row r="1726" spans="1:37" x14ac:dyDescent="0.2">
      <c r="A1726" t="str">
        <f>"20200111160139349"</f>
        <v>20200111160139349</v>
      </c>
      <c r="B1726" t="str">
        <f>"1578729699343224"</f>
        <v>1578729699343224</v>
      </c>
      <c r="C1726" t="s">
        <v>37</v>
      </c>
      <c r="D1726">
        <v>4.830476</v>
      </c>
      <c r="E1726">
        <v>0.49001080000000002</v>
      </c>
      <c r="F1726" t="s">
        <v>60</v>
      </c>
      <c r="G1726">
        <v>-422.01560000000001</v>
      </c>
      <c r="H1726" s="1">
        <v>3.7121899999999999E-6</v>
      </c>
      <c r="I1726">
        <v>283.41379999999998</v>
      </c>
      <c r="J1726">
        <v>-405.42590000000001</v>
      </c>
      <c r="K1726">
        <v>1.104028</v>
      </c>
      <c r="L1726">
        <v>284.45740000000001</v>
      </c>
      <c r="M1726">
        <v>-0.99986649999999999</v>
      </c>
      <c r="N1726">
        <v>0</v>
      </c>
      <c r="O1726">
        <v>7.7146259999999996E-3</v>
      </c>
      <c r="P1726">
        <v>-0.99950360000000005</v>
      </c>
      <c r="Q1726">
        <v>5.9944990000000004E-3</v>
      </c>
      <c r="R1726">
        <v>-3.0929930000000001E-2</v>
      </c>
      <c r="S1726">
        <v>-2.9966740000000001</v>
      </c>
      <c r="T1726">
        <v>-0.1955316</v>
      </c>
      <c r="U1726">
        <v>-0.1843262</v>
      </c>
      <c r="V1726">
        <v>-3.862409E-2</v>
      </c>
      <c r="W1726">
        <v>2.0417999999999999E-2</v>
      </c>
      <c r="X1726">
        <v>0.99904519999999997</v>
      </c>
      <c r="Y1726">
        <v>-6.8930889999999995E-2</v>
      </c>
      <c r="Z1726">
        <v>-2.7467989999999999E-3</v>
      </c>
      <c r="AA1726">
        <v>0.99761769999999905</v>
      </c>
      <c r="AB1726">
        <v>32</v>
      </c>
      <c r="AC1726">
        <v>-16.589699999999901</v>
      </c>
      <c r="AD1726">
        <v>-1.1040242878099999</v>
      </c>
      <c r="AE1726">
        <v>-1.0436000000000201</v>
      </c>
      <c r="AF1726">
        <v>-1.16642013706504</v>
      </c>
      <c r="AG1726">
        <v>-1.1040242878099999</v>
      </c>
      <c r="AH1726">
        <v>16.508331467562101</v>
      </c>
      <c r="AI1726">
        <v>93.816574101527095</v>
      </c>
      <c r="AJ1726">
        <v>94.041599777821403</v>
      </c>
      <c r="AK1726">
        <v>16.5862718356816</v>
      </c>
    </row>
    <row r="1727" spans="1:37" x14ac:dyDescent="0.2">
      <c r="A1727" t="str">
        <f>"20200111160139370"</f>
        <v>20200111160139370</v>
      </c>
      <c r="B1727" t="str">
        <f>"1578729699362744"</f>
        <v>1578729699362744</v>
      </c>
      <c r="C1727" t="s">
        <v>37</v>
      </c>
      <c r="D1727">
        <v>4.8039969999999999</v>
      </c>
      <c r="E1727">
        <v>0.48998249999999999</v>
      </c>
      <c r="F1727" t="s">
        <v>60</v>
      </c>
      <c r="G1727">
        <v>-422.52229999999997</v>
      </c>
      <c r="H1727" s="1">
        <v>3.621042E-6</v>
      </c>
      <c r="I1727">
        <v>283.42840000000001</v>
      </c>
      <c r="J1727">
        <v>-405.73430000000002</v>
      </c>
      <c r="K1727">
        <v>1.1040239999999999</v>
      </c>
      <c r="L1727">
        <v>284.46019999999999</v>
      </c>
      <c r="M1727">
        <v>-0.99986379999999997</v>
      </c>
      <c r="N1727">
        <v>0</v>
      </c>
      <c r="O1727">
        <v>8.0650440000000004E-3</v>
      </c>
      <c r="P1727">
        <v>-0.99952319999999995</v>
      </c>
      <c r="Q1727">
        <v>6.3926479999999999E-3</v>
      </c>
      <c r="R1727">
        <v>-3.020403E-2</v>
      </c>
      <c r="S1727">
        <v>-2.9971009999999998</v>
      </c>
      <c r="T1727">
        <v>-0.193542299999999</v>
      </c>
      <c r="U1727">
        <v>-0.18038940000000001</v>
      </c>
      <c r="V1727">
        <v>-3.8248860000000003E-2</v>
      </c>
      <c r="W1727">
        <v>2.081274E-2</v>
      </c>
      <c r="X1727">
        <v>0.99905149999999998</v>
      </c>
      <c r="Y1727">
        <v>-6.7970779999999995E-2</v>
      </c>
      <c r="Z1727">
        <v>-2.7102820000000001E-3</v>
      </c>
      <c r="AA1727">
        <v>0.997683599999999</v>
      </c>
      <c r="AB1727">
        <v>32</v>
      </c>
      <c r="AC1727">
        <v>-16.787999999999901</v>
      </c>
      <c r="AD1727">
        <v>-1.1040203789579901</v>
      </c>
      <c r="AE1727">
        <v>-1.0317999999999701</v>
      </c>
      <c r="AF1727">
        <v>-1.1621693100722399</v>
      </c>
      <c r="AG1727">
        <v>-1.1040203789579901</v>
      </c>
      <c r="AH1727">
        <v>16.707149961898299</v>
      </c>
      <c r="AI1727">
        <v>93.771561978389698</v>
      </c>
      <c r="AJ1727">
        <v>93.979153074921499</v>
      </c>
      <c r="AK1727">
        <v>16.783871971383402</v>
      </c>
    </row>
    <row r="1728" spans="1:37" x14ac:dyDescent="0.2">
      <c r="A1728" t="str">
        <f>"20200111160139392"</f>
        <v>20200111160139392</v>
      </c>
      <c r="B1728" t="str">
        <f>"1578729699383240"</f>
        <v>1578729699383240</v>
      </c>
      <c r="C1728" t="s">
        <v>37</v>
      </c>
      <c r="D1728">
        <v>4.9220790000000001</v>
      </c>
      <c r="E1728">
        <v>0.48997429999999997</v>
      </c>
      <c r="F1728" t="s">
        <v>60</v>
      </c>
      <c r="G1728">
        <v>-422.9151</v>
      </c>
      <c r="H1728" s="1">
        <v>3.5506660000000001E-6</v>
      </c>
      <c r="I1728">
        <v>283.43630000000002</v>
      </c>
      <c r="J1728">
        <v>-406.04509999999999</v>
      </c>
      <c r="K1728">
        <v>1.104023</v>
      </c>
      <c r="L1728">
        <v>284.462999999999</v>
      </c>
      <c r="M1728">
        <v>-0.999861</v>
      </c>
      <c r="N1728">
        <v>0</v>
      </c>
      <c r="O1728">
        <v>8.4179649999999995E-3</v>
      </c>
      <c r="P1728">
        <v>-0.99954189999999998</v>
      </c>
      <c r="Q1728">
        <v>5.7768359999999996E-3</v>
      </c>
      <c r="R1728">
        <v>-2.9712180000000001E-2</v>
      </c>
      <c r="S1728">
        <v>-2.997223</v>
      </c>
      <c r="T1728">
        <v>-0.19259760000000001</v>
      </c>
      <c r="U1728">
        <v>-0.17861939999999901</v>
      </c>
      <c r="V1728">
        <v>-3.8109759999999999E-2</v>
      </c>
      <c r="W1728">
        <v>2.0193940000000001E-2</v>
      </c>
      <c r="X1728">
        <v>0.99906949999999894</v>
      </c>
      <c r="Y1728">
        <v>-6.7734699999999995E-2</v>
      </c>
      <c r="Z1728">
        <v>-2.7120870000000002E-3</v>
      </c>
      <c r="AA1728">
        <v>0.99769969999999997</v>
      </c>
      <c r="AB1728">
        <v>32</v>
      </c>
      <c r="AC1728">
        <v>-16.87</v>
      </c>
      <c r="AD1728">
        <v>-1.1040194493340001</v>
      </c>
      <c r="AE1728">
        <v>-1.02669999999994</v>
      </c>
      <c r="AF1728">
        <v>-1.16372384025366</v>
      </c>
      <c r="AG1728">
        <v>-1.1040194493340001</v>
      </c>
      <c r="AH1728">
        <v>16.789120166473101</v>
      </c>
      <c r="AI1728">
        <v>93.753261424126194</v>
      </c>
      <c r="AJ1728">
        <v>93.965067218856106</v>
      </c>
      <c r="AK1728">
        <v>16.8655764231513</v>
      </c>
    </row>
    <row r="1729" spans="1:37" x14ac:dyDescent="0.2">
      <c r="A1729" t="str">
        <f>"20200111160139414"</f>
        <v>20200111160139414</v>
      </c>
      <c r="B1729" t="str">
        <f>"1578729699402760"</f>
        <v>1578729699402760</v>
      </c>
      <c r="C1729" t="s">
        <v>37</v>
      </c>
      <c r="D1729">
        <v>4.8204359999999999</v>
      </c>
      <c r="E1729">
        <v>0.48994099999999902</v>
      </c>
      <c r="F1729" t="s">
        <v>60</v>
      </c>
      <c r="G1729">
        <v>-423.05259999999998</v>
      </c>
      <c r="H1729" s="1">
        <v>3.5243950000000002E-6</v>
      </c>
      <c r="I1729">
        <v>283.45780000000002</v>
      </c>
      <c r="J1729">
        <v>-406.36099999999999</v>
      </c>
      <c r="K1729">
        <v>1.104026</v>
      </c>
      <c r="L1729">
        <v>284.46609999999998</v>
      </c>
      <c r="M1729">
        <v>-0.99985809999999997</v>
      </c>
      <c r="N1729">
        <v>0</v>
      </c>
      <c r="O1729">
        <v>8.7770179999999993E-3</v>
      </c>
      <c r="P1729">
        <v>-0.99954969999999999</v>
      </c>
      <c r="Q1729">
        <v>5.2532909999999898E-3</v>
      </c>
      <c r="R1729">
        <v>-2.95546E-2</v>
      </c>
      <c r="S1729">
        <v>-2.9971919999999899</v>
      </c>
      <c r="T1729">
        <v>-0.1945586</v>
      </c>
      <c r="U1729">
        <v>-0.17715449999999999</v>
      </c>
      <c r="V1729">
        <v>-3.8312159999999998E-2</v>
      </c>
      <c r="W1729">
        <v>1.9666659999999999E-2</v>
      </c>
      <c r="X1729">
        <v>0.99907230000000002</v>
      </c>
      <c r="Y1729">
        <v>-6.7603990000000003E-2</v>
      </c>
      <c r="Z1729">
        <v>-2.7587429999999902E-3</v>
      </c>
      <c r="AA1729">
        <v>0.99770840000000005</v>
      </c>
      <c r="AB1729">
        <v>32</v>
      </c>
      <c r="AC1729">
        <v>-16.691599999999902</v>
      </c>
      <c r="AD1729">
        <v>-1.1040224756049899</v>
      </c>
      <c r="AE1729">
        <v>-1.00829999999996</v>
      </c>
      <c r="AF1729">
        <v>-1.1497670415432699</v>
      </c>
      <c r="AG1729">
        <v>-1.1040224756049899</v>
      </c>
      <c r="AH1729">
        <v>16.609705915368501</v>
      </c>
      <c r="AI1729">
        <v>93.793719783725606</v>
      </c>
      <c r="AJ1729">
        <v>93.959846044528206</v>
      </c>
      <c r="AK1729">
        <v>16.6860169145152</v>
      </c>
    </row>
    <row r="1730" spans="1:37" x14ac:dyDescent="0.2">
      <c r="A1730" t="str">
        <f>"20200111160139437"</f>
        <v>20200111160139437</v>
      </c>
      <c r="B1730" t="str">
        <f>"1578729699433017"</f>
        <v>1578729699433017</v>
      </c>
      <c r="C1730" t="s">
        <v>37</v>
      </c>
      <c r="D1730">
        <v>4.8473870000000003</v>
      </c>
      <c r="E1730">
        <v>0.48967769999999999</v>
      </c>
      <c r="F1730" t="s">
        <v>60</v>
      </c>
      <c r="G1730">
        <v>-423.28539999999998</v>
      </c>
      <c r="H1730" s="1">
        <v>3.4822840000000001E-6</v>
      </c>
      <c r="I1730">
        <v>283.46719999999999</v>
      </c>
      <c r="J1730">
        <v>-406.6859</v>
      </c>
      <c r="K1730">
        <v>1.1040270000000001</v>
      </c>
      <c r="L1730">
        <v>284.46940000000001</v>
      </c>
      <c r="M1730">
        <v>-0.99985460000000004</v>
      </c>
      <c r="N1730">
        <v>0</v>
      </c>
      <c r="O1730">
        <v>9.14685199999999E-3</v>
      </c>
      <c r="P1730">
        <v>-0.99955479999999997</v>
      </c>
      <c r="Q1730">
        <v>5.023146E-3</v>
      </c>
      <c r="R1730">
        <v>-2.941469E-2</v>
      </c>
      <c r="S1730">
        <v>-2.9971619999999999</v>
      </c>
      <c r="T1730">
        <v>-0.19551250000000001</v>
      </c>
      <c r="U1730">
        <v>-0.1769104</v>
      </c>
      <c r="V1730">
        <v>-3.8541949999999998E-2</v>
      </c>
      <c r="W1730">
        <v>1.9433530000000001E-2</v>
      </c>
      <c r="X1730">
        <v>0.99906799999999996</v>
      </c>
      <c r="Y1730">
        <v>-6.7889669999999999E-2</v>
      </c>
      <c r="Z1730">
        <v>-2.8056589999999998E-3</v>
      </c>
      <c r="AA1730">
        <v>0.99768889999999999</v>
      </c>
      <c r="AB1730">
        <v>32</v>
      </c>
      <c r="AC1730">
        <v>-16.5994999999999</v>
      </c>
      <c r="AD1730">
        <v>-1.1040235177159901</v>
      </c>
      <c r="AE1730">
        <v>-1.00220000000001</v>
      </c>
      <c r="AF1730">
        <v>-1.14894306365113</v>
      </c>
      <c r="AG1730">
        <v>-1.1040235177159901</v>
      </c>
      <c r="AH1730">
        <v>16.516840531538001</v>
      </c>
      <c r="AI1730">
        <v>93.814901492711599</v>
      </c>
      <c r="AJ1730">
        <v>93.979194173338996</v>
      </c>
      <c r="AK1730">
        <v>16.5935216043924</v>
      </c>
    </row>
    <row r="1731" spans="1:37" x14ac:dyDescent="0.2">
      <c r="A1731" t="str">
        <f>"20200111160139460"</f>
        <v>20200111160139460</v>
      </c>
      <c r="B1731" t="str">
        <f>"1578729699452536"</f>
        <v>1578729699452536</v>
      </c>
      <c r="C1731" t="s">
        <v>37</v>
      </c>
      <c r="D1731">
        <v>4.8383709999999898</v>
      </c>
      <c r="E1731">
        <v>0.48962849999999902</v>
      </c>
      <c r="F1731" t="s">
        <v>60</v>
      </c>
      <c r="G1731">
        <v>-423.62889999999999</v>
      </c>
      <c r="H1731" s="1">
        <v>3.4220739999999999E-6</v>
      </c>
      <c r="I1731">
        <v>283.45890000000003</v>
      </c>
      <c r="J1731">
        <v>-407.00659999999999</v>
      </c>
      <c r="K1731">
        <v>1.104028</v>
      </c>
      <c r="L1731">
        <v>284.47269999999997</v>
      </c>
      <c r="M1731">
        <v>-0.9998513</v>
      </c>
      <c r="N1731">
        <v>0</v>
      </c>
      <c r="O1731">
        <v>9.511327E-3</v>
      </c>
      <c r="P1731">
        <v>-0.99956369999999894</v>
      </c>
      <c r="Q1731">
        <v>4.3327790000000001E-3</v>
      </c>
      <c r="R1731">
        <v>-2.922085E-2</v>
      </c>
      <c r="S1731">
        <v>-2.9970699999999999</v>
      </c>
      <c r="T1731">
        <v>-0.19529199999999999</v>
      </c>
      <c r="U1731">
        <v>-0.1787415</v>
      </c>
      <c r="V1731">
        <v>-3.8713009999999999E-2</v>
      </c>
      <c r="W1731">
        <v>1.873938E-2</v>
      </c>
      <c r="X1731">
        <v>0.99907459999999904</v>
      </c>
      <c r="Y1731">
        <v>-6.8860069999999995E-2</v>
      </c>
      <c r="Z1731">
        <v>-2.8577989999999998E-3</v>
      </c>
      <c r="AA1731">
        <v>0.99762229999999996</v>
      </c>
      <c r="AB1731">
        <v>32</v>
      </c>
      <c r="AC1731">
        <v>-16.6222999999999</v>
      </c>
      <c r="AD1731">
        <v>-1.1040245779260001</v>
      </c>
      <c r="AE1731">
        <v>-1.0137999999999401</v>
      </c>
      <c r="AF1731">
        <v>-1.16674274232238</v>
      </c>
      <c r="AG1731">
        <v>-1.1040245779260001</v>
      </c>
      <c r="AH1731">
        <v>16.539213882518499</v>
      </c>
      <c r="AI1731">
        <v>93.809499702884693</v>
      </c>
      <c r="AJ1731">
        <v>94.035190193992307</v>
      </c>
      <c r="AK1731">
        <v>16.6170320679452</v>
      </c>
    </row>
    <row r="1732" spans="1:37" x14ac:dyDescent="0.2">
      <c r="A1732" t="str">
        <f>"20200111160139481"</f>
        <v>20200111160139481</v>
      </c>
      <c r="B1732" t="str">
        <f>"1578729699473032"</f>
        <v>1578729699473032</v>
      </c>
      <c r="C1732" t="s">
        <v>37</v>
      </c>
      <c r="D1732">
        <v>4.8306490000000002</v>
      </c>
      <c r="E1732">
        <v>0.4895774</v>
      </c>
      <c r="F1732" t="s">
        <v>60</v>
      </c>
      <c r="G1732">
        <v>-423.7242</v>
      </c>
      <c r="H1732" s="1">
        <v>3.4035440000000001E-6</v>
      </c>
      <c r="I1732">
        <v>283.47750000000002</v>
      </c>
      <c r="J1732">
        <v>-407.3098</v>
      </c>
      <c r="K1732">
        <v>1.104028</v>
      </c>
      <c r="L1732">
        <v>284.476</v>
      </c>
      <c r="M1732">
        <v>-0.99984810000000002</v>
      </c>
      <c r="N1732">
        <v>0</v>
      </c>
      <c r="O1732">
        <v>9.8556010000000003E-3</v>
      </c>
      <c r="P1732">
        <v>-0.99957309999999999</v>
      </c>
      <c r="Q1732">
        <v>3.8367229999999898E-3</v>
      </c>
      <c r="R1732">
        <v>-2.8970490000000002E-2</v>
      </c>
      <c r="S1732">
        <v>-2.9969790000000001</v>
      </c>
      <c r="T1732">
        <v>-0.19791879999999901</v>
      </c>
      <c r="U1732">
        <v>-0.1784058</v>
      </c>
      <c r="V1732">
        <v>-3.8807220000000003E-2</v>
      </c>
      <c r="W1732">
        <v>1.8240699999999999E-2</v>
      </c>
      <c r="X1732">
        <v>0.99908019999999997</v>
      </c>
      <c r="Y1732">
        <v>-6.9088269999999993E-2</v>
      </c>
      <c r="Z1732">
        <v>-2.9264679999999898E-3</v>
      </c>
      <c r="AA1732">
        <v>0.99760629999999995</v>
      </c>
      <c r="AB1732">
        <v>32</v>
      </c>
      <c r="AC1732">
        <v>-16.414400000000001</v>
      </c>
      <c r="AD1732">
        <v>-1.104024596456</v>
      </c>
      <c r="AE1732">
        <v>-0.99849999999997796</v>
      </c>
      <c r="AF1732">
        <v>-1.1550360524432399</v>
      </c>
      <c r="AG1732">
        <v>-1.104024596456</v>
      </c>
      <c r="AH1732">
        <v>16.330158087610901</v>
      </c>
      <c r="AI1732">
        <v>93.858071604966796</v>
      </c>
      <c r="AJ1732">
        <v>94.045806651287606</v>
      </c>
      <c r="AK1732">
        <v>16.408139497163798</v>
      </c>
    </row>
    <row r="1733" spans="1:37" x14ac:dyDescent="0.2">
      <c r="A1733" t="str">
        <f>"20200111160139504"</f>
        <v>20200111160139504</v>
      </c>
      <c r="B1733" t="str">
        <f>"1578729699492553"</f>
        <v>1578729699492553</v>
      </c>
      <c r="C1733" t="s">
        <v>37</v>
      </c>
      <c r="D1733">
        <v>4.8727849999999897</v>
      </c>
      <c r="E1733">
        <v>0.48959009999999997</v>
      </c>
      <c r="F1733" t="s">
        <v>60</v>
      </c>
      <c r="G1733">
        <v>-423.88339999999999</v>
      </c>
      <c r="H1733" s="1">
        <v>3.374137E-6</v>
      </c>
      <c r="I1733">
        <v>283.49099999999999</v>
      </c>
      <c r="J1733">
        <v>-407.62139999999999</v>
      </c>
      <c r="K1733">
        <v>1.104025</v>
      </c>
      <c r="L1733">
        <v>284.4794</v>
      </c>
      <c r="M1733">
        <v>-0.99984450000000002</v>
      </c>
      <c r="N1733">
        <v>0</v>
      </c>
      <c r="O1733">
        <v>1.020947E-2</v>
      </c>
      <c r="P1733">
        <v>-0.99957759999999996</v>
      </c>
      <c r="Q1733">
        <v>3.751814E-3</v>
      </c>
      <c r="R1733">
        <v>-2.88239E-2</v>
      </c>
      <c r="S1733">
        <v>-2.9968569999999999</v>
      </c>
      <c r="T1733">
        <v>-0.199631</v>
      </c>
      <c r="U1733">
        <v>-0.1781006</v>
      </c>
      <c r="V1733">
        <v>-3.9014529999999999E-2</v>
      </c>
      <c r="W1733">
        <v>1.8152020000000001E-2</v>
      </c>
      <c r="X1733">
        <v>0.99907369999999995</v>
      </c>
      <c r="Y1733">
        <v>-6.9338220000000006E-2</v>
      </c>
      <c r="Z1733">
        <v>-2.983697E-3</v>
      </c>
      <c r="AA1733">
        <v>0.99758880000000005</v>
      </c>
      <c r="AB1733">
        <v>32</v>
      </c>
      <c r="AC1733">
        <v>-16.262</v>
      </c>
      <c r="AD1733">
        <v>-1.104021625863</v>
      </c>
      <c r="AE1733">
        <v>-0.98840000000001205</v>
      </c>
      <c r="AF1733">
        <v>-1.14911525665664</v>
      </c>
      <c r="AG1733">
        <v>-1.104021625863</v>
      </c>
      <c r="AH1733">
        <v>16.1767757660595</v>
      </c>
      <c r="AI1733">
        <v>93.894446532409603</v>
      </c>
      <c r="AJ1733">
        <v>94.063173555731197</v>
      </c>
      <c r="AK1733">
        <v>16.2550731714386</v>
      </c>
    </row>
    <row r="1734" spans="1:37" x14ac:dyDescent="0.2">
      <c r="A1734" t="str">
        <f>"20200111160139526"</f>
        <v>20200111160139526</v>
      </c>
      <c r="B1734" t="str">
        <f>"1578729699522808"</f>
        <v>1578729699522808</v>
      </c>
      <c r="C1734" t="s">
        <v>37</v>
      </c>
      <c r="D1734">
        <v>4.8433989999999998</v>
      </c>
      <c r="E1734">
        <v>0.51289929999999995</v>
      </c>
      <c r="F1734" t="s">
        <v>60</v>
      </c>
      <c r="G1734">
        <v>-424.17649999999998</v>
      </c>
      <c r="H1734" s="1">
        <v>3.3215019999999999E-6</v>
      </c>
      <c r="I1734">
        <v>283.4982</v>
      </c>
      <c r="J1734">
        <v>-407.93549999999999</v>
      </c>
      <c r="K1734">
        <v>1.104026</v>
      </c>
      <c r="L1734">
        <v>284.483</v>
      </c>
      <c r="M1734">
        <v>-0.99984089999999903</v>
      </c>
      <c r="N1734">
        <v>0</v>
      </c>
      <c r="O1734">
        <v>1.0566020000000001E-2</v>
      </c>
      <c r="P1734">
        <v>-0.99959200000000004</v>
      </c>
      <c r="Q1734">
        <v>3.7882100000000002E-3</v>
      </c>
      <c r="R1734">
        <v>-2.831113E-2</v>
      </c>
      <c r="S1734">
        <v>-2.9968870000000001</v>
      </c>
      <c r="T1734">
        <v>-0.199854799999999</v>
      </c>
      <c r="U1734">
        <v>-0.177612299999999</v>
      </c>
      <c r="V1734">
        <v>-3.8857759999999998E-2</v>
      </c>
      <c r="W1734">
        <v>1.8185389999999999E-2</v>
      </c>
      <c r="X1734">
        <v>0.9990793</v>
      </c>
      <c r="Y1734">
        <v>-6.9529770000000005E-2</v>
      </c>
      <c r="Z1734">
        <v>-3.0171289999999999E-3</v>
      </c>
      <c r="AA1734">
        <v>0.99757530000000005</v>
      </c>
      <c r="AB1734">
        <v>31</v>
      </c>
      <c r="AC1734">
        <v>-16.2409999999999</v>
      </c>
      <c r="AD1734">
        <v>-1.1040226784979901</v>
      </c>
      <c r="AE1734">
        <v>-0.984800000000007</v>
      </c>
      <c r="AF1734">
        <v>-1.1510659467248401</v>
      </c>
      <c r="AG1734">
        <v>-1.1040226784979901</v>
      </c>
      <c r="AH1734">
        <v>16.1553074669105</v>
      </c>
      <c r="AI1734">
        <v>93.899550292266696</v>
      </c>
      <c r="AJ1734">
        <v>94.075438219961896</v>
      </c>
      <c r="AK1734">
        <v>16.233846686437602</v>
      </c>
    </row>
    <row r="1735" spans="1:37" x14ac:dyDescent="0.2">
      <c r="A1735" t="str">
        <f>"20200111160139550"</f>
        <v>20200111160139550</v>
      </c>
      <c r="B1735" t="str">
        <f>"1578729699543304"</f>
        <v>1578729699543304</v>
      </c>
      <c r="C1735" t="s">
        <v>37</v>
      </c>
      <c r="D1735">
        <v>4.8354989999999898</v>
      </c>
      <c r="E1735">
        <v>0.51295440000000003</v>
      </c>
      <c r="F1735" t="s">
        <v>60</v>
      </c>
      <c r="G1735">
        <v>-423.1386</v>
      </c>
      <c r="H1735" s="1">
        <v>3.415434E-6</v>
      </c>
      <c r="I1735">
        <v>284.52980000000002</v>
      </c>
      <c r="J1735">
        <v>-408.25850000000003</v>
      </c>
      <c r="K1735">
        <v>1.104031</v>
      </c>
      <c r="L1735">
        <v>284.48680000000002</v>
      </c>
      <c r="M1735">
        <v>-0.99983699999999998</v>
      </c>
      <c r="N1735">
        <v>0</v>
      </c>
      <c r="O1735">
        <v>1.0932880000000001E-2</v>
      </c>
      <c r="P1735">
        <v>-0.99960139999999997</v>
      </c>
      <c r="Q1735">
        <v>4.0964800000000004E-3</v>
      </c>
      <c r="R1735">
        <v>-2.7936530000000001E-2</v>
      </c>
      <c r="S1735">
        <v>-3.002319</v>
      </c>
      <c r="T1735">
        <v>-0.2180241</v>
      </c>
      <c r="U1735">
        <v>9.2468259999999997E-3</v>
      </c>
      <c r="V1735">
        <v>-3.8850389999999999E-2</v>
      </c>
      <c r="W1735">
        <v>1.8490039999999999E-2</v>
      </c>
      <c r="X1735">
        <v>0.99907400000000002</v>
      </c>
      <c r="Y1735">
        <v>-7.8049199999999999E-3</v>
      </c>
      <c r="Z1735">
        <v>-1.075969E-3</v>
      </c>
      <c r="AA1735">
        <v>0.99996890000000005</v>
      </c>
      <c r="AB1735">
        <v>31</v>
      </c>
      <c r="AC1735">
        <v>-14.880099999999899</v>
      </c>
      <c r="AD1735">
        <v>-1.1040275845659999</v>
      </c>
      <c r="AE1735">
        <v>4.3000000000006297E-2</v>
      </c>
      <c r="AF1735">
        <v>-0.119046382251216</v>
      </c>
      <c r="AG1735">
        <v>-1.1040275845659999</v>
      </c>
      <c r="AH1735">
        <v>14.798218865087</v>
      </c>
      <c r="AI1735">
        <v>94.266534777988298</v>
      </c>
      <c r="AJ1735">
        <v>90.460914127374195</v>
      </c>
      <c r="AK1735">
        <v>14.8398224560682</v>
      </c>
    </row>
    <row r="1736" spans="1:37" x14ac:dyDescent="0.2">
      <c r="A1736" t="str">
        <f>"20200111160139571"</f>
        <v>20200111160139571</v>
      </c>
      <c r="B1736" t="str">
        <f>"1578729699562824"</f>
        <v>1578729699562824</v>
      </c>
      <c r="C1736" t="s">
        <v>37</v>
      </c>
      <c r="D1736">
        <v>4.8698949999999996</v>
      </c>
      <c r="E1736">
        <v>0.51316110000000004</v>
      </c>
      <c r="F1736" t="s">
        <v>42</v>
      </c>
      <c r="G1736">
        <v>-409.26130000000001</v>
      </c>
      <c r="H1736">
        <v>1.0354429999999999</v>
      </c>
      <c r="I1736">
        <v>284.49110000000002</v>
      </c>
      <c r="J1736">
        <v>-408.5616</v>
      </c>
      <c r="K1736">
        <v>1.1040410000000001</v>
      </c>
      <c r="L1736">
        <v>284.4905</v>
      </c>
      <c r="M1736">
        <v>-0.99983330000000004</v>
      </c>
      <c r="N1736">
        <v>0</v>
      </c>
      <c r="O1736">
        <v>1.127774E-2</v>
      </c>
      <c r="P1736">
        <v>-0.99960400000000005</v>
      </c>
      <c r="Q1736">
        <v>5.2785990000000001E-3</v>
      </c>
      <c r="R1736">
        <v>-2.7646759999999999E-2</v>
      </c>
      <c r="S1736">
        <v>-3.00238</v>
      </c>
      <c r="T1736">
        <v>-0.20559359999999999</v>
      </c>
      <c r="U1736">
        <v>1.1566160000000001E-2</v>
      </c>
      <c r="V1736">
        <v>-3.8904309999999998E-2</v>
      </c>
      <c r="W1736">
        <v>1.9668560000000002E-2</v>
      </c>
      <c r="X1736">
        <v>0.99904939999999998</v>
      </c>
      <c r="Y1736">
        <v>-7.3830619999999897E-3</v>
      </c>
      <c r="Z1736">
        <v>-1.0239089999999999E-3</v>
      </c>
      <c r="AA1736">
        <v>0.99997219999999998</v>
      </c>
      <c r="AB1736">
        <v>31</v>
      </c>
      <c r="AC1736">
        <v>-0.69970000000000698</v>
      </c>
      <c r="AD1736">
        <v>-6.8597999999999895E-2</v>
      </c>
      <c r="AE1736">
        <v>6.0000000001991696E-4</v>
      </c>
      <c r="AF1736">
        <v>-7.2224665118501303E-3</v>
      </c>
      <c r="AG1736">
        <v>-6.8597999999999895E-2</v>
      </c>
      <c r="AH1736">
        <v>0.69300136001866797</v>
      </c>
      <c r="AI1736">
        <v>95.652806139718507</v>
      </c>
      <c r="AJ1736">
        <v>90.597115519481903</v>
      </c>
      <c r="AK1736">
        <v>0.69642568491852697</v>
      </c>
    </row>
    <row r="1737" spans="1:37" x14ac:dyDescent="0.2">
      <c r="A1737" t="str">
        <f>"20200111160139594"</f>
        <v>20200111160139594</v>
      </c>
      <c r="B1737" t="str">
        <f>"1578729699583320"</f>
        <v>1578729699583320</v>
      </c>
      <c r="C1737" t="s">
        <v>37</v>
      </c>
      <c r="D1737">
        <v>4.896566</v>
      </c>
      <c r="E1737">
        <v>0.51352029999999904</v>
      </c>
      <c r="F1737" t="s">
        <v>42</v>
      </c>
      <c r="G1737">
        <v>-409.55340000000001</v>
      </c>
      <c r="H1737">
        <v>1.0381009999999999</v>
      </c>
      <c r="I1737">
        <v>284.49520000000001</v>
      </c>
      <c r="J1737">
        <v>-408.87819999999999</v>
      </c>
      <c r="K1737">
        <v>1.104052</v>
      </c>
      <c r="L1737">
        <v>284.49439999999998</v>
      </c>
      <c r="M1737">
        <v>-0.99982909999999903</v>
      </c>
      <c r="N1737">
        <v>0</v>
      </c>
      <c r="O1737">
        <v>1.163792E-2</v>
      </c>
      <c r="P1737">
        <v>-0.99959100000000001</v>
      </c>
      <c r="Q1737">
        <v>6.8114849999999999E-3</v>
      </c>
      <c r="R1737">
        <v>-2.7774239999999999E-2</v>
      </c>
      <c r="S1737">
        <v>-3.00259399999999</v>
      </c>
      <c r="T1737">
        <v>-0.19974729999999999</v>
      </c>
      <c r="U1737">
        <v>1.4068600000000001E-2</v>
      </c>
      <c r="V1737">
        <v>-3.9390410000000001E-2</v>
      </c>
      <c r="W1737">
        <v>2.1196989999999999E-2</v>
      </c>
      <c r="X1737">
        <v>0.99899910000000003</v>
      </c>
      <c r="Y1737">
        <v>-6.9128799999999997E-3</v>
      </c>
      <c r="Z1737">
        <v>-1.0030989999999999E-3</v>
      </c>
      <c r="AA1737">
        <v>0.99997559999999996</v>
      </c>
      <c r="AB1737">
        <v>31</v>
      </c>
      <c r="AC1737">
        <v>-0.67520000000001701</v>
      </c>
      <c r="AD1737">
        <v>-6.5950999999999996E-2</v>
      </c>
      <c r="AE1737">
        <v>8.0000000002655703E-4</v>
      </c>
      <c r="AF1737">
        <v>-6.99207967814935E-3</v>
      </c>
      <c r="AG1737">
        <v>-6.5950999999999996E-2</v>
      </c>
      <c r="AH1737">
        <v>0.66878296106643398</v>
      </c>
      <c r="AI1737">
        <v>95.631620112812797</v>
      </c>
      <c r="AJ1737">
        <v>90.599001594403802</v>
      </c>
      <c r="AK1737">
        <v>0.67206329507868001</v>
      </c>
    </row>
    <row r="1738" spans="1:37" x14ac:dyDescent="0.2">
      <c r="A1738" t="str">
        <f>"20200111160139616"</f>
        <v>20200111160139616</v>
      </c>
      <c r="B1738" t="str">
        <f>"1578729699612600"</f>
        <v>1578729699612600</v>
      </c>
      <c r="C1738" t="s">
        <v>37</v>
      </c>
      <c r="D1738">
        <v>4.901357</v>
      </c>
      <c r="E1738">
        <v>0.51366629999999902</v>
      </c>
      <c r="F1738" t="s">
        <v>60</v>
      </c>
      <c r="G1738">
        <v>-425.88150000000002</v>
      </c>
      <c r="H1738" s="1">
        <v>2.9237270000000002E-6</v>
      </c>
      <c r="I1738">
        <v>284.58879999999999</v>
      </c>
      <c r="J1738">
        <v>-409.18849999999998</v>
      </c>
      <c r="K1738">
        <v>1.1040589999999999</v>
      </c>
      <c r="L1738">
        <v>284.4984</v>
      </c>
      <c r="M1738">
        <v>-0.99982510000000002</v>
      </c>
      <c r="N1738">
        <v>0</v>
      </c>
      <c r="O1738">
        <v>1.1990539999999999E-2</v>
      </c>
      <c r="P1738">
        <v>-0.99958880000000006</v>
      </c>
      <c r="Q1738">
        <v>8.1448709999999997E-3</v>
      </c>
      <c r="R1738">
        <v>-2.7499349999999999E-2</v>
      </c>
      <c r="S1738">
        <v>-3.0029910000000002</v>
      </c>
      <c r="T1738">
        <v>-0.194988299999999</v>
      </c>
      <c r="U1738">
        <v>1.6662599999999899E-2</v>
      </c>
      <c r="V1738">
        <v>-3.9466910000000001E-2</v>
      </c>
      <c r="W1738">
        <v>2.252705E-2</v>
      </c>
      <c r="X1738">
        <v>0.99896689999999999</v>
      </c>
      <c r="Y1738">
        <v>-6.4046729999999996E-3</v>
      </c>
      <c r="Z1738">
        <v>-9.85508999999999E-4</v>
      </c>
      <c r="AA1738">
        <v>0.99997899999999995</v>
      </c>
      <c r="AB1738">
        <v>31</v>
      </c>
      <c r="AC1738">
        <v>-16.693000000000001</v>
      </c>
      <c r="AD1738">
        <v>-1.1040560762729901</v>
      </c>
      <c r="AE1738">
        <v>9.0399999999988198E-2</v>
      </c>
      <c r="AF1738">
        <v>-0.10930707013476</v>
      </c>
      <c r="AG1738">
        <v>-1.1040560762729901</v>
      </c>
      <c r="AH1738">
        <v>16.6201834056697</v>
      </c>
      <c r="AI1738">
        <v>93.800414735209301</v>
      </c>
      <c r="AJ1738">
        <v>90.376815546609507</v>
      </c>
      <c r="AK1738">
        <v>16.657172157759401</v>
      </c>
    </row>
    <row r="1739" spans="1:37" x14ac:dyDescent="0.2">
      <c r="A1739" t="str">
        <f>"20200111160139639"</f>
        <v>20200111160139639</v>
      </c>
      <c r="B1739" t="str">
        <f>"1578729699632628"</f>
        <v>1578729699632628</v>
      </c>
      <c r="C1739" t="s">
        <v>37</v>
      </c>
      <c r="D1739">
        <v>4.9615830000000001</v>
      </c>
      <c r="E1739">
        <v>0.51373780000000002</v>
      </c>
      <c r="F1739" t="s">
        <v>60</v>
      </c>
      <c r="G1739">
        <v>-426.3827</v>
      </c>
      <c r="H1739" s="1">
        <v>2.8334339999999999E-6</v>
      </c>
      <c r="I1739">
        <v>284.60469999999998</v>
      </c>
      <c r="J1739">
        <v>-409.51089999999999</v>
      </c>
      <c r="K1739">
        <v>1.104058</v>
      </c>
      <c r="L1739">
        <v>284.5027</v>
      </c>
      <c r="M1739">
        <v>-0.9998205</v>
      </c>
      <c r="N1739">
        <v>0</v>
      </c>
      <c r="O1739">
        <v>1.235728E-2</v>
      </c>
      <c r="P1739">
        <v>-0.99959819999999999</v>
      </c>
      <c r="Q1739">
        <v>7.9896680000000001E-3</v>
      </c>
      <c r="R1739">
        <v>-2.7200780000000001E-2</v>
      </c>
      <c r="S1739">
        <v>-3.0033259999999999</v>
      </c>
      <c r="T1739">
        <v>-0.1928465</v>
      </c>
      <c r="U1739">
        <v>1.8554689999999999E-2</v>
      </c>
      <c r="V1739">
        <v>-3.9535170000000001E-2</v>
      </c>
      <c r="W1739">
        <v>2.2368300000000001E-2</v>
      </c>
      <c r="X1739">
        <v>0.99896779999999996</v>
      </c>
      <c r="Y1739">
        <v>-6.1427679999999998E-3</v>
      </c>
      <c r="Z1739">
        <v>-9.8972009999999996E-4</v>
      </c>
      <c r="AA1739">
        <v>0.9999806</v>
      </c>
      <c r="AB1739">
        <v>31</v>
      </c>
      <c r="AC1739">
        <v>-16.8718</v>
      </c>
      <c r="AD1739">
        <v>-1.1040551665659999</v>
      </c>
      <c r="AE1739">
        <v>0.101999999999975</v>
      </c>
      <c r="AF1739">
        <v>-0.10606468685790101</v>
      </c>
      <c r="AG1739">
        <v>-1.1040551665659999</v>
      </c>
      <c r="AH1739">
        <v>16.799835812173001</v>
      </c>
      <c r="AI1739">
        <v>93.759894713594306</v>
      </c>
      <c r="AJ1739">
        <v>90.361728426361907</v>
      </c>
      <c r="AK1739">
        <v>16.836409084023501</v>
      </c>
    </row>
    <row r="1740" spans="1:37" x14ac:dyDescent="0.2">
      <c r="A1740" t="str">
        <f>"20200111160139660"</f>
        <v>20200111160139660</v>
      </c>
      <c r="B1740" t="str">
        <f>"1578729699653124"</f>
        <v>1578729699653124</v>
      </c>
      <c r="C1740" t="s">
        <v>37</v>
      </c>
      <c r="D1740">
        <v>4.8957600000000001</v>
      </c>
      <c r="E1740">
        <v>0.51390040000000003</v>
      </c>
      <c r="F1740" t="s">
        <v>60</v>
      </c>
      <c r="G1740">
        <v>-426.6644</v>
      </c>
      <c r="H1740" s="1">
        <v>2.7824159999999998E-6</v>
      </c>
      <c r="I1740">
        <v>284.61669999999998</v>
      </c>
      <c r="J1740">
        <v>-409.81599999999997</v>
      </c>
      <c r="K1740">
        <v>1.1040589999999999</v>
      </c>
      <c r="L1740">
        <v>284.5068</v>
      </c>
      <c r="M1740">
        <v>-0.99981629999999999</v>
      </c>
      <c r="N1740">
        <v>0</v>
      </c>
      <c r="O1740">
        <v>1.270453E-2</v>
      </c>
      <c r="P1740">
        <v>-0.99960509999999902</v>
      </c>
      <c r="Q1740">
        <v>7.7429179999999997E-3</v>
      </c>
      <c r="R1740">
        <v>-2.7014719999999999E-2</v>
      </c>
      <c r="S1740">
        <v>-3.00329599999999</v>
      </c>
      <c r="T1740">
        <v>-0.19330159999999999</v>
      </c>
      <c r="U1740">
        <v>1.9958500000000001E-2</v>
      </c>
      <c r="V1740">
        <v>-3.969686E-2</v>
      </c>
      <c r="W1740">
        <v>2.2118019999999999E-2</v>
      </c>
      <c r="X1740">
        <v>0.99896689999999999</v>
      </c>
      <c r="Y1740">
        <v>-6.0219619999999996E-3</v>
      </c>
      <c r="Z1740">
        <v>-1.0105019999999999E-3</v>
      </c>
      <c r="AA1740">
        <v>0.99998129999999996</v>
      </c>
      <c r="AB1740">
        <v>31</v>
      </c>
      <c r="AC1740">
        <v>-16.848400000000002</v>
      </c>
      <c r="AD1740">
        <v>-1.1040562175840001</v>
      </c>
      <c r="AE1740">
        <v>0.109899999999981</v>
      </c>
      <c r="AF1740">
        <v>-0.103736492519354</v>
      </c>
      <c r="AG1740">
        <v>-1.1040562175840001</v>
      </c>
      <c r="AH1740">
        <v>16.7764010282113</v>
      </c>
      <c r="AI1740">
        <v>93.765138397960598</v>
      </c>
      <c r="AJ1740">
        <v>90.354282628427399</v>
      </c>
      <c r="AK1740">
        <v>16.813010820517398</v>
      </c>
    </row>
    <row r="1741" spans="1:37" x14ac:dyDescent="0.2">
      <c r="A1741" t="str">
        <f>"20200111160139683"</f>
        <v>20200111160139683</v>
      </c>
      <c r="B1741" t="str">
        <f>"1578729699672644"</f>
        <v>1578729699672644</v>
      </c>
      <c r="C1741" t="s">
        <v>37</v>
      </c>
      <c r="D1741">
        <v>4.9480769999999996</v>
      </c>
      <c r="E1741">
        <v>0.51396719999999996</v>
      </c>
      <c r="F1741" t="s">
        <v>60</v>
      </c>
      <c r="G1741">
        <v>-426.92950000000002</v>
      </c>
      <c r="H1741" s="1">
        <v>2.7341350000000001E-6</v>
      </c>
      <c r="I1741">
        <v>284.63099999999997</v>
      </c>
      <c r="J1741">
        <v>-410.11939999999998</v>
      </c>
      <c r="K1741">
        <v>1.1040570000000001</v>
      </c>
      <c r="L1741">
        <v>284.510999999999</v>
      </c>
      <c r="M1741">
        <v>-0.99981189999999998</v>
      </c>
      <c r="N1741">
        <v>0</v>
      </c>
      <c r="O1741">
        <v>1.30503999999999E-2</v>
      </c>
      <c r="P1741">
        <v>-0.99960979999999999</v>
      </c>
      <c r="Q1741">
        <v>7.1432119999999899E-3</v>
      </c>
      <c r="R1741">
        <v>-2.7012599999999901E-2</v>
      </c>
      <c r="S1741">
        <v>-3.0032649999999999</v>
      </c>
      <c r="T1741">
        <v>-0.193751799999999</v>
      </c>
      <c r="U1741">
        <v>2.1789550000000001E-2</v>
      </c>
      <c r="V1741">
        <v>-4.0040369999999999E-2</v>
      </c>
      <c r="W1741">
        <v>2.1514970000000001E-2</v>
      </c>
      <c r="X1741">
        <v>0.99896640000000003</v>
      </c>
      <c r="Y1741">
        <v>-5.7578300000000002E-3</v>
      </c>
      <c r="Z1741">
        <v>-1.0266380000000001E-3</v>
      </c>
      <c r="AA1741">
        <v>0.99998290000000001</v>
      </c>
      <c r="AB1741">
        <v>31</v>
      </c>
      <c r="AC1741">
        <v>-16.810099999999998</v>
      </c>
      <c r="AD1741">
        <v>-1.1040542658650001</v>
      </c>
      <c r="AE1741">
        <v>0.12000000000000401</v>
      </c>
      <c r="AF1741">
        <v>-9.8984375945416495E-2</v>
      </c>
      <c r="AG1741">
        <v>-1.1040542658650001</v>
      </c>
      <c r="AH1741">
        <v>16.738036785893598</v>
      </c>
      <c r="AI1741">
        <v>93.773742823185799</v>
      </c>
      <c r="AJ1741">
        <v>90.338828318966804</v>
      </c>
      <c r="AK1741">
        <v>16.774701463054001</v>
      </c>
    </row>
    <row r="1742" spans="1:37" x14ac:dyDescent="0.2">
      <c r="A1742" t="str">
        <f>"20200111160139705"</f>
        <v>20200111160139705</v>
      </c>
      <c r="B1742" t="str">
        <f>"1578729699693141"</f>
        <v>1578729699693141</v>
      </c>
      <c r="C1742" t="s">
        <v>37</v>
      </c>
      <c r="D1742">
        <v>6.2636019999999997</v>
      </c>
      <c r="E1742">
        <v>0.51397199999999998</v>
      </c>
      <c r="F1742" t="s">
        <v>60</v>
      </c>
      <c r="G1742">
        <v>-427.14620000000002</v>
      </c>
      <c r="H1742" s="1">
        <v>2.6950639999999899E-6</v>
      </c>
      <c r="I1742">
        <v>284.63819999999998</v>
      </c>
      <c r="J1742">
        <v>-410.42720000000003</v>
      </c>
      <c r="K1742">
        <v>1.1040509999999999</v>
      </c>
      <c r="L1742">
        <v>284.51549999999997</v>
      </c>
      <c r="M1742">
        <v>-0.99980729999999995</v>
      </c>
      <c r="N1742">
        <v>0</v>
      </c>
      <c r="O1742">
        <v>1.3400759999999999E-2</v>
      </c>
      <c r="P1742">
        <v>-0.99963649999999904</v>
      </c>
      <c r="Q1742">
        <v>6.692567E-3</v>
      </c>
      <c r="R1742">
        <v>-2.6123609999999998E-2</v>
      </c>
      <c r="S1742">
        <v>-3.0032040000000002</v>
      </c>
      <c r="T1742">
        <v>-0.19473389999999999</v>
      </c>
      <c r="U1742">
        <v>2.243042E-2</v>
      </c>
      <c r="V1742">
        <v>-3.9502469999999998E-2</v>
      </c>
      <c r="W1742">
        <v>2.10616E-2</v>
      </c>
      <c r="X1742">
        <v>0.99899740000000004</v>
      </c>
      <c r="Y1742">
        <v>-5.8932940000000003E-3</v>
      </c>
      <c r="Z1742">
        <v>-1.0589309999999999E-3</v>
      </c>
      <c r="AA1742">
        <v>0.99998209999999998</v>
      </c>
      <c r="AB1742">
        <v>31</v>
      </c>
      <c r="AC1742">
        <v>-16.718999999999902</v>
      </c>
      <c r="AD1742">
        <v>-1.1040483049359999</v>
      </c>
      <c r="AE1742">
        <v>0.122700000000008</v>
      </c>
      <c r="AF1742">
        <v>-0.100941232461635</v>
      </c>
      <c r="AG1742">
        <v>-1.1040483049359999</v>
      </c>
      <c r="AH1742">
        <v>16.646556245116599</v>
      </c>
      <c r="AI1742">
        <v>93.794397044295096</v>
      </c>
      <c r="AJ1742">
        <v>90.347425355109195</v>
      </c>
      <c r="AK1742">
        <v>16.683433298151598</v>
      </c>
    </row>
    <row r="1743" spans="1:37" x14ac:dyDescent="0.2">
      <c r="A1743" t="str">
        <f>"20200111160139728"</f>
        <v>20200111160139728</v>
      </c>
      <c r="B1743" t="str">
        <f>"1578729699722929"</f>
        <v>1578729699722929</v>
      </c>
      <c r="C1743" t="s">
        <v>37</v>
      </c>
      <c r="D1743">
        <v>5.0771899999999999</v>
      </c>
      <c r="E1743">
        <v>0.51395950000000001</v>
      </c>
      <c r="F1743" t="s">
        <v>60</v>
      </c>
      <c r="G1743">
        <v>-427.38139999999999</v>
      </c>
      <c r="H1743" s="1">
        <v>2.651608E-6</v>
      </c>
      <c r="I1743">
        <v>284.65809999999999</v>
      </c>
      <c r="J1743">
        <v>-410.75630000000001</v>
      </c>
      <c r="K1743">
        <v>1.104042</v>
      </c>
      <c r="L1743">
        <v>284.52030000000002</v>
      </c>
      <c r="M1743">
        <v>-0.99980219999999898</v>
      </c>
      <c r="N1743">
        <v>0</v>
      </c>
      <c r="O1743">
        <v>1.377548E-2</v>
      </c>
      <c r="P1743">
        <v>-0.99964430000000004</v>
      </c>
      <c r="Q1743">
        <v>6.7473280000000004E-3</v>
      </c>
      <c r="R1743">
        <v>-2.580375E-2</v>
      </c>
      <c r="S1743">
        <v>-3.003082</v>
      </c>
      <c r="T1743">
        <v>-0.1955588</v>
      </c>
      <c r="U1743">
        <v>2.5268550000000001E-2</v>
      </c>
      <c r="V1743">
        <v>-3.9557210000000002E-2</v>
      </c>
      <c r="W1743">
        <v>2.111261E-2</v>
      </c>
      <c r="X1743">
        <v>0.99899419999999906</v>
      </c>
      <c r="Y1743">
        <v>-5.3228540000000001E-3</v>
      </c>
      <c r="Z1743">
        <v>-1.069268E-3</v>
      </c>
      <c r="AA1743">
        <v>0.99998529999999997</v>
      </c>
      <c r="AB1743">
        <v>31</v>
      </c>
      <c r="AC1743">
        <v>-16.6250999999999</v>
      </c>
      <c r="AD1743">
        <v>-1.1040393483919999</v>
      </c>
      <c r="AE1743">
        <v>0.13779999999997</v>
      </c>
      <c r="AF1743">
        <v>-9.0854736223669699E-2</v>
      </c>
      <c r="AG1743">
        <v>-1.1040393483919999</v>
      </c>
      <c r="AH1743">
        <v>16.552429104601401</v>
      </c>
      <c r="AI1743">
        <v>93.815892484328003</v>
      </c>
      <c r="AJ1743">
        <v>90.314488020111099</v>
      </c>
      <c r="AK1743">
        <v>16.589456492867701</v>
      </c>
    </row>
    <row r="1744" spans="1:37" x14ac:dyDescent="0.2">
      <c r="A1744" t="str">
        <f>"20200111160139751"</f>
        <v>20200111160139751</v>
      </c>
      <c r="B1744" t="str">
        <f>"1578729699742449"</f>
        <v>1578729699742449</v>
      </c>
      <c r="C1744" t="s">
        <v>37</v>
      </c>
      <c r="D1744">
        <v>4.9563230000000003</v>
      </c>
      <c r="E1744">
        <v>0.51394129999999905</v>
      </c>
      <c r="F1744" t="s">
        <v>60</v>
      </c>
      <c r="G1744">
        <v>-427.85120000000001</v>
      </c>
      <c r="H1744" s="1">
        <v>2.5673169999999998E-6</v>
      </c>
      <c r="I1744">
        <v>284.66910000000001</v>
      </c>
      <c r="J1744">
        <v>-411.06920000000002</v>
      </c>
      <c r="K1744">
        <v>1.104044</v>
      </c>
      <c r="L1744">
        <v>284.52499999999998</v>
      </c>
      <c r="M1744">
        <v>-0.9997973</v>
      </c>
      <c r="N1744">
        <v>0</v>
      </c>
      <c r="O1744">
        <v>1.4132199999999999E-2</v>
      </c>
      <c r="P1744">
        <v>-0.99964129999999995</v>
      </c>
      <c r="Q1744">
        <v>6.5717950000000001E-3</v>
      </c>
      <c r="R1744">
        <v>-2.5974939999999998E-2</v>
      </c>
      <c r="S1744">
        <v>-3.003082</v>
      </c>
      <c r="T1744">
        <v>-0.19394810000000001</v>
      </c>
      <c r="U1744">
        <v>2.6153559999999999E-2</v>
      </c>
      <c r="V1744">
        <v>-4.0085160000000002E-2</v>
      </c>
      <c r="W1744">
        <v>2.093383E-2</v>
      </c>
      <c r="X1744">
        <v>0.99897689999999995</v>
      </c>
      <c r="Y1744">
        <v>-5.3847560000000001E-3</v>
      </c>
      <c r="Z1744">
        <v>-1.0854879999999999E-3</v>
      </c>
      <c r="AA1744">
        <v>0.99998489999999995</v>
      </c>
      <c r="AB1744">
        <v>31</v>
      </c>
      <c r="AC1744">
        <v>-16.781999999999901</v>
      </c>
      <c r="AD1744">
        <v>-1.1040414326829999</v>
      </c>
      <c r="AE1744">
        <v>0.144100000000037</v>
      </c>
      <c r="AF1744">
        <v>-9.2704172609884603E-2</v>
      </c>
      <c r="AG1744">
        <v>-1.1040414326829999</v>
      </c>
      <c r="AH1744">
        <v>16.710045300323401</v>
      </c>
      <c r="AI1744">
        <v>93.780010110961996</v>
      </c>
      <c r="AJ1744">
        <v>90.317862893004403</v>
      </c>
      <c r="AK1744">
        <v>16.746734472354898</v>
      </c>
    </row>
    <row r="1745" spans="1:37" x14ac:dyDescent="0.2">
      <c r="A1745" t="str">
        <f>"20200111160139772"</f>
        <v>20200111160139772</v>
      </c>
      <c r="B1745" t="str">
        <f>"1578729699762946"</f>
        <v>1578729699762946</v>
      </c>
      <c r="C1745" t="s">
        <v>37</v>
      </c>
      <c r="D1745">
        <v>5.0260499999999997</v>
      </c>
      <c r="E1745">
        <v>0.51393149999999999</v>
      </c>
      <c r="F1745" t="s">
        <v>60</v>
      </c>
      <c r="G1745">
        <v>-428.0813</v>
      </c>
      <c r="H1745" s="1">
        <v>2.5263829999999998E-6</v>
      </c>
      <c r="I1745">
        <v>284.6703</v>
      </c>
      <c r="J1745">
        <v>-411.36270000000002</v>
      </c>
      <c r="K1745">
        <v>1.10405</v>
      </c>
      <c r="L1745">
        <v>284.52949999999998</v>
      </c>
      <c r="M1745">
        <v>-0.99979259999999903</v>
      </c>
      <c r="N1745">
        <v>0</v>
      </c>
      <c r="O1745">
        <v>1.446676E-2</v>
      </c>
      <c r="P1745">
        <v>-0.999637199999999</v>
      </c>
      <c r="Q1745">
        <v>6.9678190000000001E-3</v>
      </c>
      <c r="R1745">
        <v>-2.602105E-2</v>
      </c>
      <c r="S1745">
        <v>-3.0030209999999999</v>
      </c>
      <c r="T1745">
        <v>-0.19488739999999999</v>
      </c>
      <c r="U1745">
        <v>2.5665279999999999E-2</v>
      </c>
      <c r="V1745">
        <v>-4.046495E-2</v>
      </c>
      <c r="W1745">
        <v>2.132618E-2</v>
      </c>
      <c r="X1745">
        <v>0.99895330000000004</v>
      </c>
      <c r="Y1745">
        <v>-5.8796380000000004E-3</v>
      </c>
      <c r="Z1745">
        <v>-1.1284859999999999E-3</v>
      </c>
      <c r="AA1745">
        <v>0.99998209999999998</v>
      </c>
      <c r="AB1745">
        <v>31</v>
      </c>
      <c r="AC1745">
        <v>-16.718599999999899</v>
      </c>
      <c r="AD1745">
        <v>-1.1040474736170001</v>
      </c>
      <c r="AE1745">
        <v>0.140800000000012</v>
      </c>
      <c r="AF1745">
        <v>-0.10066460635826199</v>
      </c>
      <c r="AG1745">
        <v>-1.1040474736170001</v>
      </c>
      <c r="AH1745">
        <v>16.6462995590656</v>
      </c>
      <c r="AI1745">
        <v>93.794452912785005</v>
      </c>
      <c r="AJ1745">
        <v>90.346478613166099</v>
      </c>
      <c r="AK1745">
        <v>16.6831754530462</v>
      </c>
    </row>
    <row r="1746" spans="1:37" x14ac:dyDescent="0.2">
      <c r="A1746" t="str">
        <f>"20200111160139794"</f>
        <v>20200111160139794</v>
      </c>
      <c r="B1746" t="str">
        <f>"1578729699782465"</f>
        <v>1578729699782465</v>
      </c>
      <c r="C1746" t="s">
        <v>37</v>
      </c>
      <c r="D1746">
        <v>5.0393829999999999</v>
      </c>
      <c r="E1746">
        <v>0.51393440000000001</v>
      </c>
      <c r="F1746" t="s">
        <v>60</v>
      </c>
      <c r="G1746">
        <v>-428.49829999999997</v>
      </c>
      <c r="H1746" s="1">
        <v>2.4521490000000001E-6</v>
      </c>
      <c r="I1746">
        <v>284.67349999999999</v>
      </c>
      <c r="J1746">
        <v>-411.66550000000001</v>
      </c>
      <c r="K1746">
        <v>1.1040459999999901</v>
      </c>
      <c r="L1746">
        <v>284.5342</v>
      </c>
      <c r="M1746">
        <v>-0.9997876</v>
      </c>
      <c r="N1746">
        <v>0</v>
      </c>
      <c r="O1746">
        <v>1.481151E-2</v>
      </c>
      <c r="P1746">
        <v>-0.99965469999999901</v>
      </c>
      <c r="Q1746">
        <v>6.6378569999999996E-3</v>
      </c>
      <c r="R1746">
        <v>-2.5431539999999999E-2</v>
      </c>
      <c r="S1746">
        <v>-3.003082</v>
      </c>
      <c r="T1746">
        <v>-0.19348879999999999</v>
      </c>
      <c r="U1746">
        <v>2.523804E-2</v>
      </c>
      <c r="V1746">
        <v>-4.0220859999999997E-2</v>
      </c>
      <c r="W1746">
        <v>2.099295E-2</v>
      </c>
      <c r="X1746">
        <v>0.99897029999999998</v>
      </c>
      <c r="Y1746">
        <v>-6.3657740000000003E-3</v>
      </c>
      <c r="Z1746">
        <v>-1.1582160000000001E-3</v>
      </c>
      <c r="AA1746">
        <v>0.99997909999999901</v>
      </c>
      <c r="AB1746">
        <v>31</v>
      </c>
      <c r="AC1746">
        <v>-16.832799999999899</v>
      </c>
      <c r="AD1746">
        <v>-1.10404354785099</v>
      </c>
      <c r="AE1746">
        <v>0.13929999999999099</v>
      </c>
      <c r="AF1746">
        <v>-0.109588668643901</v>
      </c>
      <c r="AG1746">
        <v>-1.10404354785099</v>
      </c>
      <c r="AH1746">
        <v>16.760917827552401</v>
      </c>
      <c r="AI1746">
        <v>93.768554889949399</v>
      </c>
      <c r="AJ1746">
        <v>90.374614253672505</v>
      </c>
      <c r="AK1746">
        <v>16.797597692938499</v>
      </c>
    </row>
    <row r="1747" spans="1:37" x14ac:dyDescent="0.2">
      <c r="A1747" t="str">
        <f>"20200111160139820"</f>
        <v>20200111160139820</v>
      </c>
      <c r="B1747" t="str">
        <f>"1578729699812721"</f>
        <v>1578729699812721</v>
      </c>
      <c r="C1747" t="s">
        <v>37</v>
      </c>
      <c r="D1747">
        <v>5.0497879999999897</v>
      </c>
      <c r="E1747">
        <v>0.51394200000000001</v>
      </c>
      <c r="F1747" t="s">
        <v>60</v>
      </c>
      <c r="G1747">
        <v>-428.6524</v>
      </c>
      <c r="H1747" s="1">
        <v>2.423561E-6</v>
      </c>
      <c r="I1747">
        <v>284.68770000000001</v>
      </c>
      <c r="J1747">
        <v>-412.01319999999998</v>
      </c>
      <c r="K1747">
        <v>1.1040479999999999</v>
      </c>
      <c r="L1747">
        <v>284.53989999999999</v>
      </c>
      <c r="M1747">
        <v>-0.999781699999999</v>
      </c>
      <c r="N1747">
        <v>0</v>
      </c>
      <c r="O1747">
        <v>1.520752E-2</v>
      </c>
      <c r="P1747">
        <v>-0.99966889999999997</v>
      </c>
      <c r="Q1747">
        <v>6.8384730000000003E-3</v>
      </c>
      <c r="R1747">
        <v>-2.4813419999999999E-2</v>
      </c>
      <c r="S1747">
        <v>-3.0030519999999998</v>
      </c>
      <c r="T1747">
        <v>-0.19517960000000001</v>
      </c>
      <c r="U1747">
        <v>2.7130129999999999E-2</v>
      </c>
      <c r="V1747">
        <v>-3.9998720000000001E-2</v>
      </c>
      <c r="W1747">
        <v>2.1189840000000001E-2</v>
      </c>
      <c r="X1747">
        <v>0.99897499999999995</v>
      </c>
      <c r="Y1747">
        <v>-6.1306669999999898E-3</v>
      </c>
      <c r="Z1747">
        <v>-1.1864009999999999E-3</v>
      </c>
      <c r="AA1747">
        <v>0.99998050000000005</v>
      </c>
      <c r="AB1747">
        <v>31</v>
      </c>
      <c r="AC1747">
        <v>-16.639199999999999</v>
      </c>
      <c r="AD1747">
        <v>-1.10404557643899</v>
      </c>
      <c r="AE1747">
        <v>0.147800000000017</v>
      </c>
      <c r="AF1747">
        <v>-0.104822583246424</v>
      </c>
      <c r="AG1747">
        <v>-1.10404557643899</v>
      </c>
      <c r="AH1747">
        <v>16.5665930232188</v>
      </c>
      <c r="AI1747">
        <v>93.812642256199396</v>
      </c>
      <c r="AJ1747">
        <v>90.362525442734096</v>
      </c>
      <c r="AK1747">
        <v>16.603671545949599</v>
      </c>
    </row>
    <row r="1748" spans="1:37" x14ac:dyDescent="0.2">
      <c r="A1748" t="str">
        <f>"20200111160139840"</f>
        <v>20200111160139840</v>
      </c>
      <c r="B1748" t="str">
        <f>"1578729699832747"</f>
        <v>1578729699832747</v>
      </c>
      <c r="C1748" t="s">
        <v>37</v>
      </c>
      <c r="D1748">
        <v>5.1531370000000001</v>
      </c>
      <c r="E1748">
        <v>0.51383789999999996</v>
      </c>
      <c r="F1748" t="s">
        <v>60</v>
      </c>
      <c r="G1748">
        <v>-428.9982</v>
      </c>
      <c r="H1748" s="1">
        <v>2.36080099999999E-6</v>
      </c>
      <c r="I1748">
        <v>284.70400000000001</v>
      </c>
      <c r="J1748">
        <v>-412.29469999999998</v>
      </c>
      <c r="K1748">
        <v>1.104055</v>
      </c>
      <c r="L1748">
        <v>284.54450000000003</v>
      </c>
      <c r="M1748">
        <v>-0.99977680000000002</v>
      </c>
      <c r="N1748">
        <v>0</v>
      </c>
      <c r="O1748">
        <v>1.552854E-2</v>
      </c>
      <c r="P1748">
        <v>-0.99968080000000004</v>
      </c>
      <c r="Q1748">
        <v>6.673099E-3</v>
      </c>
      <c r="R1748">
        <v>-2.4373280000000001E-2</v>
      </c>
      <c r="S1748">
        <v>-3.0030519999999998</v>
      </c>
      <c r="T1748">
        <v>-0.1952015</v>
      </c>
      <c r="U1748">
        <v>2.9022220000000001E-2</v>
      </c>
      <c r="V1748">
        <v>-3.9879779999999997E-2</v>
      </c>
      <c r="W1748">
        <v>2.102155E-2</v>
      </c>
      <c r="X1748">
        <v>0.99898330000000002</v>
      </c>
      <c r="Y1748">
        <v>-5.8217319999999996E-3</v>
      </c>
      <c r="Z1748">
        <v>-1.197343E-3</v>
      </c>
      <c r="AA1748">
        <v>0.99998240000000005</v>
      </c>
      <c r="AB1748">
        <v>31</v>
      </c>
      <c r="AC1748">
        <v>-16.703499999999998</v>
      </c>
      <c r="AD1748">
        <v>-1.104052639199</v>
      </c>
      <c r="AE1748">
        <v>0.15949999999997999</v>
      </c>
      <c r="AF1748">
        <v>-9.9492197718934E-2</v>
      </c>
      <c r="AG1748">
        <v>-1.104052639199</v>
      </c>
      <c r="AH1748">
        <v>16.631309967945</v>
      </c>
      <c r="AI1748">
        <v>93.797882000235305</v>
      </c>
      <c r="AJ1748">
        <v>90.342752016238407</v>
      </c>
      <c r="AK1748">
        <v>16.668212326983198</v>
      </c>
    </row>
    <row r="1749" spans="1:37" x14ac:dyDescent="0.2">
      <c r="A1749" t="str">
        <f>"20200111160139862"</f>
        <v>20200111160139862</v>
      </c>
      <c r="B1749" t="str">
        <f>"1578729699853244"</f>
        <v>1578729699853244</v>
      </c>
      <c r="C1749" t="s">
        <v>37</v>
      </c>
      <c r="D1749">
        <v>5.0987269999999896</v>
      </c>
      <c r="E1749">
        <v>0.4681749</v>
      </c>
      <c r="F1749" t="s">
        <v>60</v>
      </c>
      <c r="G1749">
        <v>-429.21460000000002</v>
      </c>
      <c r="H1749" s="1">
        <v>2.3218029999999998E-6</v>
      </c>
      <c r="I1749">
        <v>284.71109999999999</v>
      </c>
      <c r="J1749">
        <v>-412.5985</v>
      </c>
      <c r="K1749">
        <v>1.104063</v>
      </c>
      <c r="L1749">
        <v>284.5496</v>
      </c>
      <c r="M1749">
        <v>-0.99977139999999998</v>
      </c>
      <c r="N1749">
        <v>0</v>
      </c>
      <c r="O1749">
        <v>1.5874900000000001E-2</v>
      </c>
      <c r="P1749">
        <v>-0.9996931</v>
      </c>
      <c r="Q1749">
        <v>6.9178569999999899E-3</v>
      </c>
      <c r="R1749">
        <v>-2.379444E-2</v>
      </c>
      <c r="S1749">
        <v>-3.0029910000000002</v>
      </c>
      <c r="T1749">
        <v>-0.1959505</v>
      </c>
      <c r="U1749">
        <v>2.9571529999999999E-2</v>
      </c>
      <c r="V1749">
        <v>-3.9646639999999997E-2</v>
      </c>
      <c r="W1749">
        <v>2.1262779999999998E-2</v>
      </c>
      <c r="X1749">
        <v>0.99898750000000003</v>
      </c>
      <c r="Y1749">
        <v>-5.9836300000000002E-3</v>
      </c>
      <c r="Z1749">
        <v>-1.2298019999999999E-3</v>
      </c>
      <c r="AA1749">
        <v>0.99998129999999996</v>
      </c>
      <c r="AB1749">
        <v>31</v>
      </c>
      <c r="AC1749">
        <v>-16.616099999999999</v>
      </c>
      <c r="AD1749">
        <v>-1.1040606781969999</v>
      </c>
      <c r="AE1749">
        <v>0.16149999999998901</v>
      </c>
      <c r="AF1749">
        <v>-0.101876601117488</v>
      </c>
      <c r="AG1749">
        <v>-1.1040606781969999</v>
      </c>
      <c r="AH1749">
        <v>16.5435374546019</v>
      </c>
      <c r="AI1749">
        <v>93.817996056105002</v>
      </c>
      <c r="AJ1749">
        <v>90.352828136538903</v>
      </c>
      <c r="AK1749">
        <v>16.580650178289599</v>
      </c>
    </row>
    <row r="1750" spans="1:37" x14ac:dyDescent="0.2">
      <c r="A1750" t="str">
        <f>"20200111160139884"</f>
        <v>20200111160139884</v>
      </c>
      <c r="B1750" t="str">
        <f>"1578729699872763"</f>
        <v>1578729699872763</v>
      </c>
      <c r="C1750" t="s">
        <v>37</v>
      </c>
      <c r="D1750">
        <v>4.9602329999999997</v>
      </c>
      <c r="E1750">
        <v>0.45181569999999999</v>
      </c>
      <c r="F1750" t="s">
        <v>57</v>
      </c>
      <c r="G1750">
        <v>-457.41660000000002</v>
      </c>
      <c r="H1750" s="1">
        <v>2.628028E-6</v>
      </c>
      <c r="I1750">
        <v>279.6275</v>
      </c>
      <c r="J1750">
        <v>-412.90339999999998</v>
      </c>
      <c r="K1750">
        <v>1.104066</v>
      </c>
      <c r="L1750">
        <v>284.5548</v>
      </c>
      <c r="M1750">
        <v>-0.99976589999999999</v>
      </c>
      <c r="N1750">
        <v>0</v>
      </c>
      <c r="O1750">
        <v>1.6223040000000001E-2</v>
      </c>
      <c r="P1750">
        <v>-0.99970609999999904</v>
      </c>
      <c r="Q1750">
        <v>7.6868669999999896E-3</v>
      </c>
      <c r="R1750">
        <v>-2.2988499999999999E-2</v>
      </c>
      <c r="S1750">
        <v>-2.9936219999999998</v>
      </c>
      <c r="T1750">
        <v>-7.3745610000000003E-2</v>
      </c>
      <c r="U1750">
        <v>-0.3287659</v>
      </c>
      <c r="V1750">
        <v>-3.9189160000000001E-2</v>
      </c>
      <c r="W1750">
        <v>2.2027919999999999E-2</v>
      </c>
      <c r="X1750">
        <v>0.99898899999999902</v>
      </c>
      <c r="Y1750">
        <v>-0.12523670000000001</v>
      </c>
      <c r="Z1750">
        <v>-1.9362029999999901E-3</v>
      </c>
      <c r="AA1750">
        <v>0.99212500000000003</v>
      </c>
      <c r="AB1750">
        <v>31</v>
      </c>
      <c r="AC1750">
        <v>-44.513199999999998</v>
      </c>
      <c r="AD1750">
        <v>-1.1040633719720001</v>
      </c>
      <c r="AE1750">
        <v>-4.9272999999999998</v>
      </c>
      <c r="AF1750">
        <v>-5.6454338797110504</v>
      </c>
      <c r="AG1750">
        <v>-1.1040633719720001</v>
      </c>
      <c r="AH1750">
        <v>44.400412662771103</v>
      </c>
      <c r="AI1750">
        <v>91.413055079740005</v>
      </c>
      <c r="AJ1750">
        <v>97.246175036672994</v>
      </c>
      <c r="AK1750">
        <v>44.771492316471701</v>
      </c>
    </row>
    <row r="1751" spans="1:37" x14ac:dyDescent="0.2">
      <c r="A1751" t="str">
        <f>"20200111160139905"</f>
        <v>20200111160139905</v>
      </c>
      <c r="B1751" t="str">
        <f>"1578729699903019"</f>
        <v>1578729699903019</v>
      </c>
      <c r="C1751" t="s">
        <v>37</v>
      </c>
      <c r="D1751">
        <v>4.9346069999999997</v>
      </c>
      <c r="E1751">
        <v>0.44320090000000001</v>
      </c>
      <c r="F1751" t="s">
        <v>57</v>
      </c>
      <c r="G1751">
        <v>-454.12049999999999</v>
      </c>
      <c r="H1751">
        <v>8.000053E-2</v>
      </c>
      <c r="I1751">
        <v>278.25700000000001</v>
      </c>
      <c r="J1751">
        <v>-413.20659999999998</v>
      </c>
      <c r="K1751">
        <v>1.104069</v>
      </c>
      <c r="L1751">
        <v>284.56009999999998</v>
      </c>
      <c r="M1751">
        <v>-0.99976019999999899</v>
      </c>
      <c r="N1751">
        <v>0</v>
      </c>
      <c r="O1751">
        <v>1.6568799999999901E-2</v>
      </c>
      <c r="P1751">
        <v>-0.99971049999999995</v>
      </c>
      <c r="Q1751">
        <v>8.4659399999999999E-3</v>
      </c>
      <c r="R1751">
        <v>-2.252463E-2</v>
      </c>
      <c r="S1751">
        <v>-2.990936</v>
      </c>
      <c r="T1751">
        <v>-7.4311730000000006E-2</v>
      </c>
      <c r="U1751">
        <v>-0.45700069999999998</v>
      </c>
      <c r="V1751">
        <v>-3.9070349999999997E-2</v>
      </c>
      <c r="W1751">
        <v>2.280306E-2</v>
      </c>
      <c r="X1751">
        <v>0.99897619999999898</v>
      </c>
      <c r="Y1751">
        <v>-0.16734640000000001</v>
      </c>
      <c r="Z1751">
        <v>-2.4759890000000001E-3</v>
      </c>
      <c r="AA1751">
        <v>0.98589499999999997</v>
      </c>
      <c r="AB1751">
        <v>31</v>
      </c>
      <c r="AC1751">
        <v>-40.913899999999998</v>
      </c>
      <c r="AD1751">
        <v>-1.02406847</v>
      </c>
      <c r="AE1751">
        <v>-6.3030999999999704</v>
      </c>
      <c r="AF1751">
        <v>-6.9759292602450502</v>
      </c>
      <c r="AG1751">
        <v>-1.02406847</v>
      </c>
      <c r="AH1751">
        <v>40.778881606638699</v>
      </c>
      <c r="AI1751">
        <v>91.417960885786698</v>
      </c>
      <c r="AJ1751">
        <v>99.707463612717603</v>
      </c>
      <c r="AK1751">
        <v>41.383927923330901</v>
      </c>
    </row>
    <row r="1752" spans="1:37" x14ac:dyDescent="0.2">
      <c r="A1752" t="str">
        <f>"20200111160139929"</f>
        <v>20200111160139929</v>
      </c>
      <c r="B1752" t="str">
        <f>"1578729699923046"</f>
        <v>1578729699923046</v>
      </c>
      <c r="C1752" t="s">
        <v>37</v>
      </c>
      <c r="D1752">
        <v>5.038888</v>
      </c>
      <c r="E1752">
        <v>0.43982109999999902</v>
      </c>
      <c r="F1752" t="s">
        <v>57</v>
      </c>
      <c r="G1752">
        <v>-454.4495</v>
      </c>
      <c r="H1752">
        <v>8.0000479999999999E-2</v>
      </c>
      <c r="I1752">
        <v>277.32650000000001</v>
      </c>
      <c r="J1752">
        <v>-413.52879999999999</v>
      </c>
      <c r="K1752">
        <v>1.104069</v>
      </c>
      <c r="L1752">
        <v>284.56580000000002</v>
      </c>
      <c r="M1752">
        <v>-0.99975409999999998</v>
      </c>
      <c r="N1752">
        <v>0</v>
      </c>
      <c r="O1752">
        <v>1.6936380000000001E-2</v>
      </c>
      <c r="P1752">
        <v>-0.99972159999999999</v>
      </c>
      <c r="Q1752">
        <v>8.9343019999999999E-3</v>
      </c>
      <c r="R1752">
        <v>-2.183945E-2</v>
      </c>
      <c r="S1752">
        <v>-2.989655</v>
      </c>
      <c r="T1752">
        <v>-7.4233649999999998E-2</v>
      </c>
      <c r="U1752">
        <v>-0.52435299999999996</v>
      </c>
      <c r="V1752">
        <v>-3.8752200000000001E-2</v>
      </c>
      <c r="W1752">
        <v>2.326833E-2</v>
      </c>
      <c r="X1752">
        <v>0.99897789999999997</v>
      </c>
      <c r="Y1752">
        <v>-0.1893492</v>
      </c>
      <c r="Z1752">
        <v>-2.7500979999999999E-3</v>
      </c>
      <c r="AA1752">
        <v>0.9819059</v>
      </c>
      <c r="AB1752">
        <v>31</v>
      </c>
      <c r="AC1752">
        <v>-40.920699999999997</v>
      </c>
      <c r="AD1752">
        <v>-1.0240685199999999</v>
      </c>
      <c r="AE1752">
        <v>-7.2393000000000098</v>
      </c>
      <c r="AF1752">
        <v>-7.9265673517217703</v>
      </c>
      <c r="AG1752">
        <v>-1.0240685199999999</v>
      </c>
      <c r="AH1752">
        <v>40.767452206076001</v>
      </c>
      <c r="AI1752">
        <v>91.412512542421496</v>
      </c>
      <c r="AJ1752">
        <v>101.002948722635</v>
      </c>
      <c r="AK1752">
        <v>41.543523510767997</v>
      </c>
    </row>
    <row r="1753" spans="1:37" x14ac:dyDescent="0.2">
      <c r="A1753" t="str">
        <f>"20200111160139951"</f>
        <v>20200111160139951</v>
      </c>
      <c r="B1753" t="str">
        <f>"1578729699942566"</f>
        <v>1578729699942566</v>
      </c>
      <c r="C1753" t="s">
        <v>37</v>
      </c>
      <c r="D1753">
        <v>5.3366639999999999</v>
      </c>
      <c r="E1753">
        <v>0.43733179999999999</v>
      </c>
      <c r="F1753" t="s">
        <v>63</v>
      </c>
      <c r="G1753">
        <v>-454.8227</v>
      </c>
      <c r="H1753">
        <v>8.0241359999999998E-2</v>
      </c>
      <c r="I1753">
        <v>276.97770000000003</v>
      </c>
      <c r="J1753">
        <v>-413.81889999999999</v>
      </c>
      <c r="K1753">
        <v>1.10407099999999</v>
      </c>
      <c r="L1753">
        <v>284.5711</v>
      </c>
      <c r="M1753">
        <v>-0.99974850000000004</v>
      </c>
      <c r="N1753">
        <v>0</v>
      </c>
      <c r="O1753">
        <v>1.7267830000000001E-2</v>
      </c>
      <c r="P1753">
        <v>-0.99972609999999995</v>
      </c>
      <c r="Q1753">
        <v>8.8737069999999998E-3</v>
      </c>
      <c r="R1753">
        <v>-2.1662689999999998E-2</v>
      </c>
      <c r="S1753">
        <v>-2.9895019999999999</v>
      </c>
      <c r="T1753">
        <v>-7.4115749999999994E-2</v>
      </c>
      <c r="U1753">
        <v>-0.54934689999999997</v>
      </c>
      <c r="V1753">
        <v>-3.8907070000000002E-2</v>
      </c>
      <c r="W1753">
        <v>2.3204450000000001E-2</v>
      </c>
      <c r="X1753">
        <v>0.99897340000000001</v>
      </c>
      <c r="Y1753">
        <v>-0.19762689999999999</v>
      </c>
      <c r="Z1753">
        <v>-2.8537620000000001E-3</v>
      </c>
      <c r="AA1753">
        <v>0.98027310000000001</v>
      </c>
      <c r="AB1753">
        <v>31</v>
      </c>
      <c r="AC1753">
        <v>-41.003799999999998</v>
      </c>
      <c r="AD1753">
        <v>-1.02382963999999</v>
      </c>
      <c r="AE1753">
        <v>-7.5933999999999697</v>
      </c>
      <c r="AF1753">
        <v>-8.2953863990894092</v>
      </c>
      <c r="AG1753">
        <v>-1.02382963999999</v>
      </c>
      <c r="AH1753">
        <v>40.841931177076802</v>
      </c>
      <c r="AI1753">
        <v>91.407273409723302</v>
      </c>
      <c r="AJ1753">
        <v>101.481141393112</v>
      </c>
      <c r="AK1753">
        <v>41.688427709797601</v>
      </c>
    </row>
    <row r="1754" spans="1:37" x14ac:dyDescent="0.2">
      <c r="A1754" t="str">
        <f>"20200111160139973"</f>
        <v>20200111160139973</v>
      </c>
      <c r="B1754" t="str">
        <f>"1578729699963062"</f>
        <v>1578729699963062</v>
      </c>
      <c r="C1754" t="s">
        <v>37</v>
      </c>
      <c r="D1754">
        <v>4.9285410000000001</v>
      </c>
      <c r="E1754">
        <v>0.43643189999999998</v>
      </c>
      <c r="F1754" t="s">
        <v>57</v>
      </c>
      <c r="G1754">
        <v>-452.36619999999999</v>
      </c>
      <c r="H1754">
        <v>8.0001089999999997E-2</v>
      </c>
      <c r="I1754">
        <v>277.23829999999998</v>
      </c>
      <c r="J1754">
        <v>-414.12240000000003</v>
      </c>
      <c r="K1754">
        <v>1.1040749999999999</v>
      </c>
      <c r="L1754">
        <v>284.57670000000002</v>
      </c>
      <c r="M1754">
        <v>-0.99974259999999904</v>
      </c>
      <c r="N1754">
        <v>0</v>
      </c>
      <c r="O1754">
        <v>1.7614250000000001E-2</v>
      </c>
      <c r="P1754">
        <v>-0.9997241</v>
      </c>
      <c r="Q1754">
        <v>8.9962500000000008E-3</v>
      </c>
      <c r="R1754">
        <v>-2.1704129999999999E-2</v>
      </c>
      <c r="S1754">
        <v>-2.9891969999999999</v>
      </c>
      <c r="T1754">
        <v>-7.9412819999999995E-2</v>
      </c>
      <c r="U1754">
        <v>-0.56863399999999997</v>
      </c>
      <c r="V1754">
        <v>-3.9294229999999999E-2</v>
      </c>
      <c r="W1754">
        <v>2.3323630000000001E-2</v>
      </c>
      <c r="X1754">
        <v>0.99895540000000005</v>
      </c>
      <c r="Y1754">
        <v>-0.2040796</v>
      </c>
      <c r="Z1754">
        <v>-3.150234E-3</v>
      </c>
      <c r="AA1754">
        <v>0.97894919999999996</v>
      </c>
      <c r="AB1754">
        <v>31</v>
      </c>
      <c r="AC1754">
        <v>-38.243799999999901</v>
      </c>
      <c r="AD1754">
        <v>-1.02407390999999</v>
      </c>
      <c r="AE1754">
        <v>-7.3384000000000302</v>
      </c>
      <c r="AF1754">
        <v>-8.0054296714012594</v>
      </c>
      <c r="AG1754">
        <v>-1.02407390999999</v>
      </c>
      <c r="AH1754">
        <v>38.0822552882073</v>
      </c>
      <c r="AI1754">
        <v>91.507444342803893</v>
      </c>
      <c r="AJ1754">
        <v>101.87153133307901</v>
      </c>
      <c r="AK1754">
        <v>38.928059281617003</v>
      </c>
    </row>
    <row r="1755" spans="1:37" x14ac:dyDescent="0.2">
      <c r="A1755" t="str">
        <f>"20200111160139996"</f>
        <v>20200111160139996</v>
      </c>
      <c r="B1755" t="str">
        <f>"1578729699993319"</f>
        <v>1578729699993319</v>
      </c>
      <c r="C1755" t="s">
        <v>37</v>
      </c>
      <c r="D1755">
        <v>5.0909889999999898</v>
      </c>
      <c r="E1755">
        <v>0.43505079999999902</v>
      </c>
      <c r="F1755" t="s">
        <v>57</v>
      </c>
      <c r="G1755">
        <v>-450.83449999999999</v>
      </c>
      <c r="H1755">
        <v>8.0001530000000001E-2</v>
      </c>
      <c r="I1755">
        <v>277.49799999999999</v>
      </c>
      <c r="J1755">
        <v>-414.42770000000002</v>
      </c>
      <c r="K1755">
        <v>1.1040749999999999</v>
      </c>
      <c r="L1755">
        <v>284.58249999999998</v>
      </c>
      <c r="M1755">
        <v>-0.99973639999999997</v>
      </c>
      <c r="N1755">
        <v>0</v>
      </c>
      <c r="O1755">
        <v>1.7963750000000001E-2</v>
      </c>
      <c r="P1755">
        <v>-0.9997296</v>
      </c>
      <c r="Q1755">
        <v>8.9447680000000005E-3</v>
      </c>
      <c r="R1755">
        <v>-2.1471549999999999E-2</v>
      </c>
      <c r="S1755">
        <v>-2.9891359999999998</v>
      </c>
      <c r="T1755">
        <v>-8.3381060000000007E-2</v>
      </c>
      <c r="U1755">
        <v>-0.57635499999999995</v>
      </c>
      <c r="V1755">
        <v>-3.9411460000000002E-2</v>
      </c>
      <c r="W1755">
        <v>2.3268810000000001E-2</v>
      </c>
      <c r="X1755">
        <v>0.99895210000000001</v>
      </c>
      <c r="Y1755">
        <v>-0.20685500000000001</v>
      </c>
      <c r="Z1755">
        <v>-3.3548809999999901E-3</v>
      </c>
      <c r="AA1755">
        <v>0.97836579999999995</v>
      </c>
      <c r="AB1755">
        <v>31</v>
      </c>
      <c r="AC1755">
        <v>-36.406799999999897</v>
      </c>
      <c r="AD1755">
        <v>-1.02407346999999</v>
      </c>
      <c r="AE1755">
        <v>-7.0844999999999896</v>
      </c>
      <c r="AF1755">
        <v>-7.7315319648597498</v>
      </c>
      <c r="AG1755">
        <v>-1.02407346999999</v>
      </c>
      <c r="AH1755">
        <v>36.246014720024803</v>
      </c>
      <c r="AI1755">
        <v>91.582781591889002</v>
      </c>
      <c r="AJ1755">
        <v>102.04113701781201</v>
      </c>
      <c r="AK1755">
        <v>37.075583556835099</v>
      </c>
    </row>
    <row r="1756" spans="1:37" x14ac:dyDescent="0.2">
      <c r="A1756" t="str">
        <f>"20200111160140018"</f>
        <v>20200111160140018</v>
      </c>
      <c r="B1756" t="str">
        <f>"1578729700012838"</f>
        <v>1578729700012838</v>
      </c>
      <c r="C1756" t="s">
        <v>37</v>
      </c>
      <c r="D1756">
        <v>4.9554809999999998</v>
      </c>
      <c r="E1756">
        <v>0.434502099999999</v>
      </c>
      <c r="F1756" t="s">
        <v>57</v>
      </c>
      <c r="G1756">
        <v>-449.97680000000003</v>
      </c>
      <c r="H1756">
        <v>8.000177E-2</v>
      </c>
      <c r="I1756">
        <v>277.60680000000002</v>
      </c>
      <c r="J1756">
        <v>-414.73829999999998</v>
      </c>
      <c r="K1756">
        <v>1.1040779999999999</v>
      </c>
      <c r="L1756">
        <v>284.58839999999998</v>
      </c>
      <c r="M1756">
        <v>-0.99972989999999995</v>
      </c>
      <c r="N1756">
        <v>0</v>
      </c>
      <c r="O1756">
        <v>1.8318870000000001E-2</v>
      </c>
      <c r="P1756">
        <v>-0.99973109999999998</v>
      </c>
      <c r="Q1756">
        <v>8.9601839999999995E-3</v>
      </c>
      <c r="R1756">
        <v>-2.1386249999999999E-2</v>
      </c>
      <c r="S1756">
        <v>-2.9889830000000002</v>
      </c>
      <c r="T1756">
        <v>-8.6104509999999995E-2</v>
      </c>
      <c r="U1756">
        <v>-0.58651730000000002</v>
      </c>
      <c r="V1756">
        <v>-3.9681050000000002E-2</v>
      </c>
      <c r="W1756">
        <v>2.3280729999999999E-2</v>
      </c>
      <c r="X1756">
        <v>0.99894110000000003</v>
      </c>
      <c r="Y1756">
        <v>-0.2104084</v>
      </c>
      <c r="Z1756">
        <v>-3.5243100000000001E-3</v>
      </c>
      <c r="AA1756">
        <v>0.97760729999999996</v>
      </c>
      <c r="AB1756">
        <v>31</v>
      </c>
      <c r="AC1756">
        <v>-35.238500000000002</v>
      </c>
      <c r="AD1756">
        <v>-1.0240762299999999</v>
      </c>
      <c r="AE1756">
        <v>-6.9815999999999496</v>
      </c>
      <c r="AF1756">
        <v>-7.6198314218128198</v>
      </c>
      <c r="AG1756">
        <v>-1.0240762299999999</v>
      </c>
      <c r="AH1756">
        <v>35.0761725346539</v>
      </c>
      <c r="AI1756">
        <v>91.634224867354405</v>
      </c>
      <c r="AJ1756">
        <v>102.25631416189201</v>
      </c>
      <c r="AK1756">
        <v>35.908890858706599</v>
      </c>
    </row>
    <row r="1757" spans="1:37" x14ac:dyDescent="0.2">
      <c r="A1757" t="str">
        <f>"20200111160140040"</f>
        <v>20200111160140040</v>
      </c>
      <c r="B1757" t="str">
        <f>"1578729700032867"</f>
        <v>1578729700032867</v>
      </c>
      <c r="C1757" t="s">
        <v>37</v>
      </c>
      <c r="D1757">
        <v>4.9905929999999996</v>
      </c>
      <c r="E1757">
        <v>0.43420769999999997</v>
      </c>
      <c r="F1757" t="s">
        <v>57</v>
      </c>
      <c r="G1757">
        <v>-449.14510000000001</v>
      </c>
      <c r="H1757">
        <v>8.0000539999999995E-2</v>
      </c>
      <c r="I1757">
        <v>277.78809999999999</v>
      </c>
      <c r="J1757">
        <v>-415.04020000000003</v>
      </c>
      <c r="K1757">
        <v>1.1040779999999999</v>
      </c>
      <c r="L1757">
        <v>284.59440000000001</v>
      </c>
      <c r="M1757">
        <v>-0.99972349999999999</v>
      </c>
      <c r="N1757">
        <v>0</v>
      </c>
      <c r="O1757">
        <v>1.8663740000000002E-2</v>
      </c>
      <c r="P1757">
        <v>-0.99972759999999905</v>
      </c>
      <c r="Q1757">
        <v>9.3880630000000003E-3</v>
      </c>
      <c r="R1757">
        <v>-2.1372220000000001E-2</v>
      </c>
      <c r="S1757">
        <v>-2.9889830000000002</v>
      </c>
      <c r="T1757">
        <v>-8.8963269999999997E-2</v>
      </c>
      <c r="U1757">
        <v>-0.59075929999999999</v>
      </c>
      <c r="V1757">
        <v>-4.0011709999999999E-2</v>
      </c>
      <c r="W1757">
        <v>2.3705469999999999E-2</v>
      </c>
      <c r="X1757">
        <v>0.99891799999999997</v>
      </c>
      <c r="Y1757">
        <v>-0.21207390000000001</v>
      </c>
      <c r="Z1757">
        <v>-3.675495E-3</v>
      </c>
      <c r="AA1757">
        <v>0.97724669999999902</v>
      </c>
      <c r="AB1757">
        <v>31</v>
      </c>
      <c r="AC1757">
        <v>-34.104899999999901</v>
      </c>
      <c r="AD1757">
        <v>-1.02407746</v>
      </c>
      <c r="AE1757">
        <v>-6.8063000000000198</v>
      </c>
      <c r="AF1757">
        <v>-7.4352571947100499</v>
      </c>
      <c r="AG1757">
        <v>-1.02407746</v>
      </c>
      <c r="AH1757">
        <v>33.942482669829403</v>
      </c>
      <c r="AI1757">
        <v>91.688140626148794</v>
      </c>
      <c r="AJ1757">
        <v>102.355741901803</v>
      </c>
      <c r="AK1757">
        <v>34.762392236255003</v>
      </c>
    </row>
    <row r="1758" spans="1:37" x14ac:dyDescent="0.2">
      <c r="A1758" t="str">
        <f>"20200111160140063"</f>
        <v>20200111160140063</v>
      </c>
      <c r="B1758" t="str">
        <f>"1578729700053363"</f>
        <v>1578729700053363</v>
      </c>
      <c r="C1758" t="s">
        <v>37</v>
      </c>
      <c r="D1758">
        <v>5.0363680000000004</v>
      </c>
      <c r="E1758">
        <v>0.43377250000000001</v>
      </c>
      <c r="F1758" t="s">
        <v>57</v>
      </c>
      <c r="G1758">
        <v>-449.99889999999999</v>
      </c>
      <c r="H1758">
        <v>8.0001760000000005E-2</v>
      </c>
      <c r="I1758">
        <v>277.65550000000002</v>
      </c>
      <c r="J1758">
        <v>-415.34530000000001</v>
      </c>
      <c r="K1758">
        <v>1.1040889999999901</v>
      </c>
      <c r="L1758">
        <v>284.60050000000001</v>
      </c>
      <c r="M1758">
        <v>-0.99971699999999997</v>
      </c>
      <c r="N1758">
        <v>0</v>
      </c>
      <c r="O1758">
        <v>1.9012069999999999E-2</v>
      </c>
      <c r="P1758">
        <v>-0.99973619999999996</v>
      </c>
      <c r="Q1758">
        <v>9.6790780000000007E-3</v>
      </c>
      <c r="R1758">
        <v>-2.0833419999999998E-2</v>
      </c>
      <c r="S1758">
        <v>-2.9889220000000001</v>
      </c>
      <c r="T1758">
        <v>-8.7557200000000002E-2</v>
      </c>
      <c r="U1758">
        <v>-0.593261699999999</v>
      </c>
      <c r="V1758">
        <v>-3.9820910000000001E-2</v>
      </c>
      <c r="W1758">
        <v>2.3992929999999999E-2</v>
      </c>
      <c r="X1758">
        <v>0.99891869999999905</v>
      </c>
      <c r="Y1758">
        <v>-0.21320789999999901</v>
      </c>
      <c r="Z1758">
        <v>-3.6437679999999999E-3</v>
      </c>
      <c r="AA1758">
        <v>0.97700010000000004</v>
      </c>
      <c r="AB1758">
        <v>30</v>
      </c>
      <c r="AC1758">
        <v>-34.653599999999898</v>
      </c>
      <c r="AD1758">
        <v>-1.0240872399999901</v>
      </c>
      <c r="AE1758">
        <v>-6.9449999999999896</v>
      </c>
      <c r="AF1758">
        <v>-7.5962706307111096</v>
      </c>
      <c r="AG1758">
        <v>-1.0240872399999901</v>
      </c>
      <c r="AH1758">
        <v>34.486328012405899</v>
      </c>
      <c r="AI1758">
        <v>91.661127195739894</v>
      </c>
      <c r="AJ1758">
        <v>102.42212133962499</v>
      </c>
      <c r="AK1758">
        <v>35.327877122032</v>
      </c>
    </row>
    <row r="1759" spans="1:37" x14ac:dyDescent="0.2">
      <c r="A1759" t="str">
        <f>"20200111160140085"</f>
        <v>20200111160140085</v>
      </c>
      <c r="B1759" t="str">
        <f>"1578729700072884"</f>
        <v>1578729700072884</v>
      </c>
      <c r="C1759" t="s">
        <v>37</v>
      </c>
      <c r="D1759">
        <v>4.9636100000000001</v>
      </c>
      <c r="E1759">
        <v>0.4332685</v>
      </c>
      <c r="F1759" t="s">
        <v>57</v>
      </c>
      <c r="G1759">
        <v>-452.60759999999999</v>
      </c>
      <c r="H1759">
        <v>8.0001030000000001E-2</v>
      </c>
      <c r="I1759">
        <v>277.1866</v>
      </c>
      <c r="J1759">
        <v>-415.65230000000003</v>
      </c>
      <c r="K1759">
        <v>1.1040909999999999</v>
      </c>
      <c r="L1759">
        <v>284.60669999999999</v>
      </c>
      <c r="M1759">
        <v>-0.99971030000000005</v>
      </c>
      <c r="N1759">
        <v>0</v>
      </c>
      <c r="O1759">
        <v>1.9363539999999999E-2</v>
      </c>
      <c r="P1759">
        <v>-0.99973619999999996</v>
      </c>
      <c r="Q1759">
        <v>9.8306279999999992E-3</v>
      </c>
      <c r="R1759">
        <v>-2.0763469999999999E-2</v>
      </c>
      <c r="S1759">
        <v>-2.989258</v>
      </c>
      <c r="T1759">
        <v>-8.215451E-2</v>
      </c>
      <c r="U1759">
        <v>-0.59475710000000004</v>
      </c>
      <c r="V1759">
        <v>-4.0102270000000002E-2</v>
      </c>
      <c r="W1759">
        <v>2.4140700000000001E-2</v>
      </c>
      <c r="X1759">
        <v>0.99890389999999996</v>
      </c>
      <c r="Y1759">
        <v>-0.2140116</v>
      </c>
      <c r="Z1759">
        <v>-3.4389820000000001E-3</v>
      </c>
      <c r="AA1759">
        <v>0.9768251</v>
      </c>
      <c r="AB1759">
        <v>30</v>
      </c>
      <c r="AC1759">
        <v>-36.955299999999902</v>
      </c>
      <c r="AD1759">
        <v>-1.0240899699999999</v>
      </c>
      <c r="AE1759">
        <v>-7.4200999999999899</v>
      </c>
      <c r="AF1759">
        <v>-8.1283669392893998</v>
      </c>
      <c r="AG1759">
        <v>-1.0240899699999999</v>
      </c>
      <c r="AH1759">
        <v>36.777527549870499</v>
      </c>
      <c r="AI1759">
        <v>91.557453451493799</v>
      </c>
      <c r="AJ1759">
        <v>102.46284994459</v>
      </c>
      <c r="AK1759">
        <v>37.678981435912902</v>
      </c>
    </row>
    <row r="1760" spans="1:37" x14ac:dyDescent="0.2">
      <c r="A1760" t="str">
        <f>"20200111160140108"</f>
        <v>20200111160140108</v>
      </c>
      <c r="B1760" t="str">
        <f>"1578729700103141"</f>
        <v>1578729700103141</v>
      </c>
      <c r="C1760" t="s">
        <v>37</v>
      </c>
      <c r="D1760">
        <v>4.9719329999999999</v>
      </c>
      <c r="E1760">
        <v>0.4329865</v>
      </c>
      <c r="F1760" t="s">
        <v>57</v>
      </c>
      <c r="G1760">
        <v>-453.00979999999998</v>
      </c>
      <c r="H1760">
        <v>8.0000899999999903E-2</v>
      </c>
      <c r="I1760">
        <v>277.12479999999999</v>
      </c>
      <c r="J1760">
        <v>-415.95979999999997</v>
      </c>
      <c r="K1760">
        <v>1.104093</v>
      </c>
      <c r="L1760">
        <v>284.613</v>
      </c>
      <c r="M1760">
        <v>-0.99970360000000003</v>
      </c>
      <c r="N1760">
        <v>0</v>
      </c>
      <c r="O1760">
        <v>1.9715259999999998E-2</v>
      </c>
      <c r="P1760">
        <v>-0.99973959999999995</v>
      </c>
      <c r="Q1760">
        <v>9.9589740000000006E-3</v>
      </c>
      <c r="R1760">
        <v>-2.0533929999999999E-2</v>
      </c>
      <c r="S1760">
        <v>-2.989166</v>
      </c>
      <c r="T1760">
        <v>-8.1942799999999996E-2</v>
      </c>
      <c r="U1760">
        <v>-0.59866330000000001</v>
      </c>
      <c r="V1760">
        <v>-4.0224080000000002E-2</v>
      </c>
      <c r="W1760">
        <v>2.4266070000000001E-2</v>
      </c>
      <c r="X1760">
        <v>0.99889599999999901</v>
      </c>
      <c r="Y1760">
        <v>-0.215588</v>
      </c>
      <c r="Z1760">
        <v>-3.460739E-3</v>
      </c>
      <c r="AA1760">
        <v>0.97647830000000002</v>
      </c>
      <c r="AB1760">
        <v>30</v>
      </c>
      <c r="AC1760">
        <v>-37.049999999999997</v>
      </c>
      <c r="AD1760">
        <v>-1.0240921000000001</v>
      </c>
      <c r="AE1760">
        <v>-7.4882</v>
      </c>
      <c r="AF1760">
        <v>-8.21124186922364</v>
      </c>
      <c r="AG1760">
        <v>-1.0240921000000001</v>
      </c>
      <c r="AH1760">
        <v>36.8680881544378</v>
      </c>
      <c r="AI1760">
        <v>91.553073160025406</v>
      </c>
      <c r="AJ1760">
        <v>102.55595553991699</v>
      </c>
      <c r="AK1760">
        <v>37.785303781067697</v>
      </c>
    </row>
    <row r="1761" spans="1:37" x14ac:dyDescent="0.2">
      <c r="A1761" t="str">
        <f>"20200111160140130"</f>
        <v>20200111160140130</v>
      </c>
      <c r="B1761" t="str">
        <f>"1578729700123167"</f>
        <v>1578729700123167</v>
      </c>
      <c r="C1761" t="s">
        <v>37</v>
      </c>
      <c r="D1761">
        <v>4.8883979999999996</v>
      </c>
      <c r="E1761">
        <v>0.4325291</v>
      </c>
      <c r="F1761" t="s">
        <v>57</v>
      </c>
      <c r="G1761">
        <v>-453.48669999999998</v>
      </c>
      <c r="H1761">
        <v>8.0000769999999999E-2</v>
      </c>
      <c r="I1761">
        <v>277.08019999999999</v>
      </c>
      <c r="J1761">
        <v>-416.26429999999999</v>
      </c>
      <c r="K1761">
        <v>1.104093</v>
      </c>
      <c r="L1761">
        <v>284.61939999999998</v>
      </c>
      <c r="M1761">
        <v>-0.99969660000000005</v>
      </c>
      <c r="N1761">
        <v>0</v>
      </c>
      <c r="O1761">
        <v>2.006407E-2</v>
      </c>
      <c r="P1761">
        <v>-0.99976030000000005</v>
      </c>
      <c r="Q1761">
        <v>9.0334709999999995E-3</v>
      </c>
      <c r="R1761">
        <v>-1.994744E-2</v>
      </c>
      <c r="S1761">
        <v>-2.989258</v>
      </c>
      <c r="T1761">
        <v>-8.1575510000000004E-2</v>
      </c>
      <c r="U1761">
        <v>-0.60003660000000003</v>
      </c>
      <c r="V1761">
        <v>-3.9987759999999997E-2</v>
      </c>
      <c r="W1761">
        <v>2.3337460000000001E-2</v>
      </c>
      <c r="X1761">
        <v>0.99892760000000003</v>
      </c>
      <c r="Y1761">
        <v>-0.21635460000000001</v>
      </c>
      <c r="Z1761">
        <v>-3.4647620000000001E-3</v>
      </c>
      <c r="AA1761">
        <v>0.97630869999999903</v>
      </c>
      <c r="AB1761">
        <v>30</v>
      </c>
      <c r="AC1761">
        <v>-37.222399999999901</v>
      </c>
      <c r="AD1761">
        <v>-1.0240922299999999</v>
      </c>
      <c r="AE1761">
        <v>-7.5391999999999904</v>
      </c>
      <c r="AF1761">
        <v>-8.2785715531349595</v>
      </c>
      <c r="AG1761">
        <v>-1.0240922299999999</v>
      </c>
      <c r="AH1761">
        <v>37.036692713835798</v>
      </c>
      <c r="AI1761">
        <v>91.545742597988706</v>
      </c>
      <c r="AJ1761">
        <v>102.599837769502</v>
      </c>
      <c r="AK1761">
        <v>37.964458629552702</v>
      </c>
    </row>
    <row r="1762" spans="1:37" x14ac:dyDescent="0.2">
      <c r="A1762" t="str">
        <f>"20200111160140174"</f>
        <v>20200111160140174</v>
      </c>
      <c r="B1762" t="str">
        <f>"1578729700163183"</f>
        <v>1578729700163183</v>
      </c>
      <c r="C1762" t="s">
        <v>37</v>
      </c>
      <c r="D1762">
        <v>4.6777660000000001</v>
      </c>
      <c r="E1762">
        <v>0.43179909999999999</v>
      </c>
      <c r="F1762" t="s">
        <v>57</v>
      </c>
      <c r="G1762">
        <v>-452.24529999999999</v>
      </c>
      <c r="H1762">
        <v>8.0001119999999995E-2</v>
      </c>
      <c r="I1762">
        <v>277.37169999999998</v>
      </c>
      <c r="J1762">
        <v>-416.8562</v>
      </c>
      <c r="K1762">
        <v>1.1040920000000001</v>
      </c>
      <c r="L1762">
        <v>284.63220000000001</v>
      </c>
      <c r="M1762">
        <v>-0.99968299999999999</v>
      </c>
      <c r="N1762">
        <v>0</v>
      </c>
      <c r="O1762">
        <v>2.074117E-2</v>
      </c>
      <c r="P1762">
        <v>-0.99976089999999995</v>
      </c>
      <c r="Q1762">
        <v>9.1560369999999901E-3</v>
      </c>
      <c r="R1762">
        <v>-1.9866020000000002E-2</v>
      </c>
      <c r="S1762">
        <v>-2.9894409999999998</v>
      </c>
      <c r="T1762">
        <v>-8.5085629999999995E-2</v>
      </c>
      <c r="U1762">
        <v>-0.60217290000000001</v>
      </c>
      <c r="V1762">
        <v>-4.0583040000000001E-2</v>
      </c>
      <c r="W1762">
        <v>2.34533E-2</v>
      </c>
      <c r="X1762">
        <v>0.99890089999999998</v>
      </c>
      <c r="Y1762">
        <v>-0.21766639999999901</v>
      </c>
      <c r="Z1762">
        <v>-3.6508959999999998E-3</v>
      </c>
      <c r="AA1762">
        <v>0.97601640000000001</v>
      </c>
      <c r="AB1762">
        <v>30</v>
      </c>
      <c r="AC1762">
        <v>-35.3890999999999</v>
      </c>
      <c r="AD1762">
        <v>-1.0240908799999999</v>
      </c>
      <c r="AE1762">
        <v>-7.2605000000000297</v>
      </c>
      <c r="AF1762">
        <v>-7.9866059839701702</v>
      </c>
      <c r="AG1762">
        <v>-1.0240908799999999</v>
      </c>
      <c r="AH1762">
        <v>35.202590604384199</v>
      </c>
      <c r="AI1762">
        <v>91.625066243867906</v>
      </c>
      <c r="AJ1762">
        <v>102.782623602694</v>
      </c>
      <c r="AK1762">
        <v>36.111729708414202</v>
      </c>
    </row>
    <row r="1763" spans="1:37" x14ac:dyDescent="0.2">
      <c r="A1763" t="str">
        <f>"20200111160140196"</f>
        <v>20200111160140196</v>
      </c>
      <c r="B1763" t="str">
        <f>"1578729700192463"</f>
        <v>1578729700192463</v>
      </c>
      <c r="C1763" t="s">
        <v>37</v>
      </c>
      <c r="D1763">
        <v>4.6595750000000002</v>
      </c>
      <c r="E1763">
        <v>0.43066470000000001</v>
      </c>
      <c r="F1763" t="s">
        <v>57</v>
      </c>
      <c r="G1763">
        <v>-452.54820000000001</v>
      </c>
      <c r="H1763">
        <v>8.0001030000000001E-2</v>
      </c>
      <c r="I1763">
        <v>277.37599999999998</v>
      </c>
      <c r="J1763">
        <v>-417.15730000000002</v>
      </c>
      <c r="K1763">
        <v>1.104093</v>
      </c>
      <c r="L1763">
        <v>284.6388</v>
      </c>
      <c r="M1763">
        <v>-0.9996758</v>
      </c>
      <c r="N1763">
        <v>0</v>
      </c>
      <c r="O1763">
        <v>2.1085799999999998E-2</v>
      </c>
      <c r="P1763">
        <v>-0.99974739999999995</v>
      </c>
      <c r="Q1763">
        <v>9.9114319999999995E-3</v>
      </c>
      <c r="R1763">
        <v>-2.017387E-2</v>
      </c>
      <c r="S1763">
        <v>-2.989471</v>
      </c>
      <c r="T1763">
        <v>-8.577514E-2</v>
      </c>
      <c r="U1763">
        <v>-0.60775760000000001</v>
      </c>
      <c r="V1763">
        <v>-4.1234380000000001E-2</v>
      </c>
      <c r="W1763">
        <v>2.420506E-2</v>
      </c>
      <c r="X1763">
        <v>0.99885619999999997</v>
      </c>
      <c r="Y1763">
        <v>-0.21974969999999999</v>
      </c>
      <c r="Z1763">
        <v>-3.7191359999999901E-3</v>
      </c>
      <c r="AA1763">
        <v>0.97554920000000001</v>
      </c>
      <c r="AB1763">
        <v>30</v>
      </c>
      <c r="AC1763">
        <v>-35.390899999999903</v>
      </c>
      <c r="AD1763">
        <v>-1.02409197</v>
      </c>
      <c r="AE1763">
        <v>-7.2628000000000199</v>
      </c>
      <c r="AF1763">
        <v>-8.0010776092026799</v>
      </c>
      <c r="AG1763">
        <v>-1.02409197</v>
      </c>
      <c r="AH1763">
        <v>35.201588320976001</v>
      </c>
      <c r="AI1763">
        <v>91.6249677617011</v>
      </c>
      <c r="AJ1763">
        <v>102.80537518725301</v>
      </c>
      <c r="AK1763">
        <v>36.113956133203899</v>
      </c>
    </row>
    <row r="1764" spans="1:37" x14ac:dyDescent="0.2">
      <c r="A1764" t="str">
        <f>"20200111160140219"</f>
        <v>20200111160140219</v>
      </c>
      <c r="B1764" t="str">
        <f>"1578729700212959"</f>
        <v>1578729700212959</v>
      </c>
      <c r="C1764" t="s">
        <v>37</v>
      </c>
      <c r="D1764">
        <v>4.6424709999999996</v>
      </c>
      <c r="E1764">
        <v>0.4299577</v>
      </c>
      <c r="F1764" t="s">
        <v>57</v>
      </c>
      <c r="G1764">
        <v>-452.08789999999999</v>
      </c>
      <c r="H1764">
        <v>8.0001160000000002E-2</v>
      </c>
      <c r="I1764">
        <v>277.41980000000001</v>
      </c>
      <c r="J1764">
        <v>-417.46370000000002</v>
      </c>
      <c r="K1764">
        <v>1.1040920000000001</v>
      </c>
      <c r="L1764">
        <v>284.64569999999998</v>
      </c>
      <c r="M1764">
        <v>-0.99966829999999995</v>
      </c>
      <c r="N1764">
        <v>0</v>
      </c>
      <c r="O1764">
        <v>2.143633E-2</v>
      </c>
      <c r="P1764">
        <v>-0.99976129999999996</v>
      </c>
      <c r="Q1764">
        <v>9.2973380000000005E-3</v>
      </c>
      <c r="R1764">
        <v>-1.9779970000000001E-2</v>
      </c>
      <c r="S1764">
        <v>-2.9891969999999999</v>
      </c>
      <c r="T1764">
        <v>-8.7636950000000005E-2</v>
      </c>
      <c r="U1764">
        <v>-0.61776730000000002</v>
      </c>
      <c r="V1764">
        <v>-4.1191640000000002E-2</v>
      </c>
      <c r="W1764">
        <v>2.35882E-2</v>
      </c>
      <c r="X1764">
        <v>0.99887280000000001</v>
      </c>
      <c r="Y1764">
        <v>-0.22323709999999999</v>
      </c>
      <c r="Z1764">
        <v>-3.8596679999999902E-3</v>
      </c>
      <c r="AA1764">
        <v>0.97475650000000003</v>
      </c>
      <c r="AB1764">
        <v>30</v>
      </c>
      <c r="AC1764">
        <v>-34.624199999999902</v>
      </c>
      <c r="AD1764">
        <v>-1.0240908399999999</v>
      </c>
      <c r="AE1764">
        <v>-7.2258999999999602</v>
      </c>
      <c r="AF1764">
        <v>-7.95985787391625</v>
      </c>
      <c r="AG1764">
        <v>-1.0240908399999999</v>
      </c>
      <c r="AH1764">
        <v>34.432464761996997</v>
      </c>
      <c r="AI1764">
        <v>91.659840593231394</v>
      </c>
      <c r="AJ1764">
        <v>103.016582091625</v>
      </c>
      <c r="AK1764">
        <v>35.355377653303002</v>
      </c>
    </row>
    <row r="1765" spans="1:37" x14ac:dyDescent="0.2">
      <c r="A1765" t="str">
        <f>"20200111160140241"</f>
        <v>20200111160140241</v>
      </c>
      <c r="B1765" t="str">
        <f>"1578729700232987"</f>
        <v>1578729700232987</v>
      </c>
      <c r="C1765" t="s">
        <v>37</v>
      </c>
      <c r="D1765">
        <v>4.855111</v>
      </c>
      <c r="E1765">
        <v>0.4297009</v>
      </c>
      <c r="F1765" t="s">
        <v>57</v>
      </c>
      <c r="G1765">
        <v>-451.1386</v>
      </c>
      <c r="H1765">
        <v>8.0001439999999993E-2</v>
      </c>
      <c r="I1765">
        <v>277.63170000000002</v>
      </c>
      <c r="J1765">
        <v>-417.7561</v>
      </c>
      <c r="K1765">
        <v>1.1040889999999901</v>
      </c>
      <c r="L1765">
        <v>284.65230000000003</v>
      </c>
      <c r="M1765">
        <v>-0.99966109999999897</v>
      </c>
      <c r="N1765">
        <v>0</v>
      </c>
      <c r="O1765">
        <v>2.1771189999999999E-2</v>
      </c>
      <c r="P1765">
        <v>-0.99976869999999995</v>
      </c>
      <c r="Q1765">
        <v>7.9880519999999903E-3</v>
      </c>
      <c r="R1765">
        <v>-1.996622E-2</v>
      </c>
      <c r="S1765">
        <v>-2.9892880000000002</v>
      </c>
      <c r="T1765">
        <v>-9.0907569999999993E-2</v>
      </c>
      <c r="U1765">
        <v>-0.62261959999999905</v>
      </c>
      <c r="V1765">
        <v>-4.1713489999999999E-2</v>
      </c>
      <c r="W1765">
        <v>2.2276299999999999E-2</v>
      </c>
      <c r="X1765">
        <v>0.99888120000000002</v>
      </c>
      <c r="Y1765">
        <v>-0.22506570000000001</v>
      </c>
      <c r="Z1765">
        <v>-4.0404639999999997E-3</v>
      </c>
      <c r="AA1765">
        <v>0.97433519999999896</v>
      </c>
      <c r="AB1765">
        <v>30</v>
      </c>
      <c r="AC1765">
        <v>-33.382499999999901</v>
      </c>
      <c r="AD1765">
        <v>-1.0240875599999999</v>
      </c>
      <c r="AE1765">
        <v>-7.0206</v>
      </c>
      <c r="AF1765">
        <v>-7.7388118905488898</v>
      </c>
      <c r="AG1765">
        <v>-1.0240875599999999</v>
      </c>
      <c r="AH1765">
        <v>33.191809872459999</v>
      </c>
      <c r="AI1765">
        <v>91.721089633988896</v>
      </c>
      <c r="AJ1765">
        <v>103.124291575347</v>
      </c>
      <c r="AK1765">
        <v>34.097422298722002</v>
      </c>
    </row>
    <row r="1766" spans="1:37" x14ac:dyDescent="0.2">
      <c r="A1766" t="str">
        <f>"20200111160140263"</f>
        <v>20200111160140263</v>
      </c>
      <c r="B1766" t="str">
        <f>"1578729700253483"</f>
        <v>1578729700253483</v>
      </c>
      <c r="C1766" t="s">
        <v>37</v>
      </c>
      <c r="D1766">
        <v>4.9737119999999999</v>
      </c>
      <c r="E1766">
        <v>0.47527809999999998</v>
      </c>
      <c r="F1766" t="s">
        <v>57</v>
      </c>
      <c r="G1766">
        <v>-449.9855</v>
      </c>
      <c r="H1766">
        <v>8.0001760000000005E-2</v>
      </c>
      <c r="I1766">
        <v>277.90899999999999</v>
      </c>
      <c r="J1766">
        <v>-418.05650000000003</v>
      </c>
      <c r="K1766">
        <v>1.1040859999999999</v>
      </c>
      <c r="L1766">
        <v>284.6592</v>
      </c>
      <c r="M1766">
        <v>-0.99965380000000004</v>
      </c>
      <c r="N1766">
        <v>0</v>
      </c>
      <c r="O1766">
        <v>2.2115280000000001E-2</v>
      </c>
      <c r="P1766">
        <v>-0.99976119999999902</v>
      </c>
      <c r="Q1766">
        <v>7.14562599999999E-3</v>
      </c>
      <c r="R1766">
        <v>-2.0658139999999998E-2</v>
      </c>
      <c r="S1766">
        <v>-2.9889220000000001</v>
      </c>
      <c r="T1766">
        <v>-9.4972730000000005E-2</v>
      </c>
      <c r="U1766">
        <v>-0.62536619999999998</v>
      </c>
      <c r="V1766">
        <v>-4.274973E-2</v>
      </c>
      <c r="W1766">
        <v>2.1430589999999999E-2</v>
      </c>
      <c r="X1766">
        <v>0.99885590000000002</v>
      </c>
      <c r="Y1766">
        <v>-0.2262719</v>
      </c>
      <c r="Z1766">
        <v>-4.2509519999999997E-3</v>
      </c>
      <c r="AA1766">
        <v>0.97405489999999995</v>
      </c>
      <c r="AB1766">
        <v>30</v>
      </c>
      <c r="AC1766">
        <v>-31.928999999999899</v>
      </c>
      <c r="AD1766">
        <v>-1.0240842400000001</v>
      </c>
      <c r="AE1766">
        <v>-6.7502000000000004</v>
      </c>
      <c r="AF1766">
        <v>-7.4474056949025096</v>
      </c>
      <c r="AG1766">
        <v>-1.0240842400000001</v>
      </c>
      <c r="AH1766">
        <v>31.7406362017269</v>
      </c>
      <c r="AI1766">
        <v>91.799131200375797</v>
      </c>
      <c r="AJ1766">
        <v>103.20463104237101</v>
      </c>
      <c r="AK1766">
        <v>32.618715281345096</v>
      </c>
    </row>
    <row r="1767" spans="1:37" x14ac:dyDescent="0.2">
      <c r="A1767" t="str">
        <f>"20200111160140285"</f>
        <v>20200111160140285</v>
      </c>
      <c r="B1767" t="str">
        <f>"1578729700273003"</f>
        <v>1578729700273003</v>
      </c>
      <c r="C1767" t="s">
        <v>37</v>
      </c>
      <c r="D1767">
        <v>4.8486129999999896</v>
      </c>
      <c r="E1767">
        <v>0.49355359999999998</v>
      </c>
      <c r="F1767" t="s">
        <v>60</v>
      </c>
      <c r="G1767">
        <v>-433.22070000000002</v>
      </c>
      <c r="H1767" s="1">
        <v>3.7600539999999998E-6</v>
      </c>
      <c r="I1767">
        <v>283.30290000000002</v>
      </c>
      <c r="J1767">
        <v>-418.34989999999999</v>
      </c>
      <c r="K1767">
        <v>1.104088</v>
      </c>
      <c r="L1767">
        <v>284.666</v>
      </c>
      <c r="M1767">
        <v>-0.99964629999999999</v>
      </c>
      <c r="N1767">
        <v>0</v>
      </c>
      <c r="O1767">
        <v>2.2451499999999999E-2</v>
      </c>
      <c r="P1767">
        <v>-0.99976069999999995</v>
      </c>
      <c r="Q1767">
        <v>6.6638769999999899E-3</v>
      </c>
      <c r="R1767">
        <v>-2.0844410000000001E-2</v>
      </c>
      <c r="S1767">
        <v>-2.9967039999999998</v>
      </c>
      <c r="T1767">
        <v>-0.2181864</v>
      </c>
      <c r="U1767">
        <v>-0.26803589999999999</v>
      </c>
      <c r="V1767">
        <v>-4.3272669999999999E-2</v>
      </c>
      <c r="W1767">
        <v>2.0945269999999998E-2</v>
      </c>
      <c r="X1767">
        <v>0.9988437</v>
      </c>
      <c r="Y1767">
        <v>-0.1110791</v>
      </c>
      <c r="Z1767">
        <v>-5.6601489999999997E-3</v>
      </c>
      <c r="AA1767">
        <v>0.99379549999999905</v>
      </c>
      <c r="AB1767">
        <v>30</v>
      </c>
      <c r="AC1767">
        <v>-14.870799999999999</v>
      </c>
      <c r="AD1767">
        <v>-1.104084239946</v>
      </c>
      <c r="AE1767">
        <v>-1.36309999999997</v>
      </c>
      <c r="AF1767">
        <v>-1.68743780851744</v>
      </c>
      <c r="AG1767">
        <v>-1.104084239946</v>
      </c>
      <c r="AH1767">
        <v>14.755782928966701</v>
      </c>
      <c r="AI1767">
        <v>94.251508974723393</v>
      </c>
      <c r="AJ1767">
        <v>96.523874595541699</v>
      </c>
      <c r="AK1767">
        <v>14.8929371922833</v>
      </c>
    </row>
    <row r="1768" spans="1:37" x14ac:dyDescent="0.2">
      <c r="A1768" t="str">
        <f>"20200111160140309"</f>
        <v>20200111160140309</v>
      </c>
      <c r="B1768" t="str">
        <f>"1578729700303258"</f>
        <v>1578729700303258</v>
      </c>
      <c r="C1768" t="s">
        <v>37</v>
      </c>
      <c r="D1768">
        <v>4.8886940000000001</v>
      </c>
      <c r="E1768">
        <v>0.50401200000000002</v>
      </c>
      <c r="F1768" t="s">
        <v>60</v>
      </c>
      <c r="G1768">
        <v>-433.07740000000001</v>
      </c>
      <c r="H1768" s="1">
        <v>3.629979E-6</v>
      </c>
      <c r="I1768">
        <v>284.06389999999999</v>
      </c>
      <c r="J1768">
        <v>-418.6619</v>
      </c>
      <c r="K1768">
        <v>1.104087</v>
      </c>
      <c r="L1768">
        <v>284.67349999999999</v>
      </c>
      <c r="M1768">
        <v>-0.99963809999999997</v>
      </c>
      <c r="N1768">
        <v>0</v>
      </c>
      <c r="O1768">
        <v>2.2809360000000001E-2</v>
      </c>
      <c r="P1768">
        <v>-0.99975780000000003</v>
      </c>
      <c r="Q1768">
        <v>6.6860940000000001E-3</v>
      </c>
      <c r="R1768">
        <v>-2.0966160000000001E-2</v>
      </c>
      <c r="S1768">
        <v>-2.9996339999999999</v>
      </c>
      <c r="T1768">
        <v>-0.22487599999999999</v>
      </c>
      <c r="U1768">
        <v>-0.1226501</v>
      </c>
      <c r="V1768">
        <v>-4.3751779999999997E-2</v>
      </c>
      <c r="W1768">
        <v>2.0964340000000001E-2</v>
      </c>
      <c r="X1768">
        <v>0.99882249999999995</v>
      </c>
      <c r="Y1768">
        <v>-6.3394699999999998E-2</v>
      </c>
      <c r="Z1768">
        <v>-4.0790899999999996E-3</v>
      </c>
      <c r="AA1768">
        <v>0.99798019999999998</v>
      </c>
      <c r="AB1768">
        <v>30</v>
      </c>
      <c r="AC1768">
        <v>-14.4155</v>
      </c>
      <c r="AD1768">
        <v>-1.104083370021</v>
      </c>
      <c r="AE1768">
        <v>-0.60960000000000003</v>
      </c>
      <c r="AF1768">
        <v>-0.93282095572565005</v>
      </c>
      <c r="AG1768">
        <v>-1.104083370021</v>
      </c>
      <c r="AH1768">
        <v>14.314026166989199</v>
      </c>
      <c r="AI1768">
        <v>94.401361098612597</v>
      </c>
      <c r="AJ1768">
        <v>93.728596992577494</v>
      </c>
      <c r="AK1768">
        <v>14.386816886742199</v>
      </c>
    </row>
    <row r="1769" spans="1:37" x14ac:dyDescent="0.2">
      <c r="A1769" t="str">
        <f>"20200111160140330"</f>
        <v>20200111160140330</v>
      </c>
      <c r="B1769" t="str">
        <f>"1578729700323190"</f>
        <v>1578729700323190</v>
      </c>
      <c r="C1769" t="s">
        <v>37</v>
      </c>
      <c r="D1769">
        <v>4.8829409999999998</v>
      </c>
      <c r="E1769">
        <v>0.5071696</v>
      </c>
      <c r="F1769" t="s">
        <v>60</v>
      </c>
      <c r="G1769">
        <v>-433.55869999999999</v>
      </c>
      <c r="H1769" s="1">
        <v>3.8072760000000001E-6</v>
      </c>
      <c r="I1769">
        <v>284.4776</v>
      </c>
      <c r="J1769">
        <v>-418.96120000000002</v>
      </c>
      <c r="K1769">
        <v>1.104088</v>
      </c>
      <c r="L1769">
        <v>284.6807</v>
      </c>
      <c r="M1769">
        <v>-0.99963029999999997</v>
      </c>
      <c r="N1769">
        <v>0</v>
      </c>
      <c r="O1769">
        <v>2.3152260000000001E-2</v>
      </c>
      <c r="P1769">
        <v>-0.99975729999999996</v>
      </c>
      <c r="Q1769">
        <v>6.8794059999999898E-3</v>
      </c>
      <c r="R1769">
        <v>-2.093298E-2</v>
      </c>
      <c r="S1769">
        <v>-3.0013730000000001</v>
      </c>
      <c r="T1769">
        <v>-0.2224477</v>
      </c>
      <c r="U1769">
        <v>-3.9459229999999998E-2</v>
      </c>
      <c r="V1769">
        <v>-4.4061199999999898E-2</v>
      </c>
      <c r="W1769">
        <v>2.1154559999999999E-2</v>
      </c>
      <c r="X1769">
        <v>0.99880480000000005</v>
      </c>
      <c r="Y1769">
        <v>-3.613243E-2</v>
      </c>
      <c r="Z1769">
        <v>-3.0507289999999999E-3</v>
      </c>
      <c r="AA1769">
        <v>0.99934239999999996</v>
      </c>
      <c r="AB1769">
        <v>30</v>
      </c>
      <c r="AC1769">
        <v>-14.597499999999901</v>
      </c>
      <c r="AD1769">
        <v>-1.1040841927239999</v>
      </c>
      <c r="AE1769">
        <v>-0.203100000000006</v>
      </c>
      <c r="AF1769">
        <v>-0.53796806620787696</v>
      </c>
      <c r="AG1769">
        <v>-1.1040841927239999</v>
      </c>
      <c r="AH1769">
        <v>14.5059160527999</v>
      </c>
      <c r="AI1769">
        <v>94.349564855431197</v>
      </c>
      <c r="AJ1769">
        <v>92.123904481141807</v>
      </c>
      <c r="AK1769">
        <v>14.557816184983301</v>
      </c>
    </row>
    <row r="1770" spans="1:37" x14ac:dyDescent="0.2">
      <c r="A1770" t="str">
        <f>"20200111160140353"</f>
        <v>20200111160140353</v>
      </c>
      <c r="B1770" t="str">
        <f>"1578729700342711"</f>
        <v>1578729700342711</v>
      </c>
      <c r="C1770" t="s">
        <v>37</v>
      </c>
      <c r="D1770">
        <v>4.8752430000000002</v>
      </c>
      <c r="E1770">
        <v>0.50910250000000001</v>
      </c>
      <c r="F1770" t="s">
        <v>60</v>
      </c>
      <c r="G1770">
        <v>-434.03699999999998</v>
      </c>
      <c r="H1770" s="1">
        <v>4.0077589999999902E-6</v>
      </c>
      <c r="I1770">
        <v>284.61020000000002</v>
      </c>
      <c r="J1770">
        <v>-419.25470000000001</v>
      </c>
      <c r="K1770">
        <v>1.104093</v>
      </c>
      <c r="L1770">
        <v>284.68790000000001</v>
      </c>
      <c r="M1770">
        <v>-0.99962249999999997</v>
      </c>
      <c r="N1770">
        <v>0</v>
      </c>
      <c r="O1770">
        <v>2.348896E-2</v>
      </c>
      <c r="P1770">
        <v>-0.99976089999999995</v>
      </c>
      <c r="Q1770">
        <v>7.3924100000000003E-3</v>
      </c>
      <c r="R1770">
        <v>-2.0580689999999999E-2</v>
      </c>
      <c r="S1770">
        <v>-3.0019230000000001</v>
      </c>
      <c r="T1770">
        <v>-0.2198473</v>
      </c>
      <c r="U1770">
        <v>-1.403809E-2</v>
      </c>
      <c r="V1770">
        <v>-4.4044989999999999E-2</v>
      </c>
      <c r="W1770">
        <v>2.1664180000000002E-2</v>
      </c>
      <c r="X1770">
        <v>0.99879459999999998</v>
      </c>
      <c r="Y1770">
        <v>-2.8028150000000002E-2</v>
      </c>
      <c r="Z1770">
        <v>-2.7429450000000001E-3</v>
      </c>
      <c r="AA1770">
        <v>0.99960339999999903</v>
      </c>
      <c r="AB1770">
        <v>30</v>
      </c>
      <c r="AC1770">
        <v>-14.7822999999999</v>
      </c>
      <c r="AD1770">
        <v>-1.104088992241</v>
      </c>
      <c r="AE1770">
        <v>-7.7699999999992997E-2</v>
      </c>
      <c r="AF1770">
        <v>-0.42257736249523697</v>
      </c>
      <c r="AG1770">
        <v>-1.104088992241</v>
      </c>
      <c r="AH1770">
        <v>14.6944235611887</v>
      </c>
      <c r="AI1770">
        <v>94.295166903452994</v>
      </c>
      <c r="AJ1770">
        <v>91.6472390465686</v>
      </c>
      <c r="AK1770">
        <v>14.7419017743879</v>
      </c>
    </row>
    <row r="1771" spans="1:37" x14ac:dyDescent="0.2">
      <c r="A1771" t="str">
        <f>"20200111160140375"</f>
        <v>20200111160140375</v>
      </c>
      <c r="B1771" t="str">
        <f>"1578729700372966"</f>
        <v>1578729700372966</v>
      </c>
      <c r="C1771" t="s">
        <v>37</v>
      </c>
      <c r="D1771">
        <v>4.816567</v>
      </c>
      <c r="E1771">
        <v>0.5108722</v>
      </c>
      <c r="F1771" t="s">
        <v>60</v>
      </c>
      <c r="G1771">
        <v>-434.3646</v>
      </c>
      <c r="H1771" s="1">
        <v>4.1451359999999996E-6</v>
      </c>
      <c r="I1771">
        <v>284.70080000000002</v>
      </c>
      <c r="J1771">
        <v>-419.55549999999999</v>
      </c>
      <c r="K1771">
        <v>1.104093</v>
      </c>
      <c r="L1771">
        <v>284.69529999999997</v>
      </c>
      <c r="M1771">
        <v>-0.99961440000000001</v>
      </c>
      <c r="N1771">
        <v>0</v>
      </c>
      <c r="O1771">
        <v>2.383395E-2</v>
      </c>
      <c r="P1771">
        <v>-0.99976799999999999</v>
      </c>
      <c r="Q1771">
        <v>7.7169930000000001E-3</v>
      </c>
      <c r="R1771">
        <v>-2.0113010000000001E-2</v>
      </c>
      <c r="S1771">
        <v>-3.0024109999999999</v>
      </c>
      <c r="T1771">
        <v>-0.21938739999999901</v>
      </c>
      <c r="U1771">
        <v>2.5634770000000002E-3</v>
      </c>
      <c r="V1771">
        <v>-4.3922290000000003E-2</v>
      </c>
      <c r="W1771">
        <v>2.198549E-2</v>
      </c>
      <c r="X1771">
        <v>0.99879300000000004</v>
      </c>
      <c r="Y1771">
        <v>-2.285831E-2</v>
      </c>
      <c r="Z1771">
        <v>-2.5733069999999999E-3</v>
      </c>
      <c r="AA1771">
        <v>0.99973539999999905</v>
      </c>
      <c r="AB1771">
        <v>30</v>
      </c>
      <c r="AC1771">
        <v>-14.809100000000001</v>
      </c>
      <c r="AD1771">
        <v>-1.104088854864</v>
      </c>
      <c r="AE1771">
        <v>5.5000000000404699E-3</v>
      </c>
      <c r="AF1771">
        <v>-0.34557588859675498</v>
      </c>
      <c r="AG1771">
        <v>-1.104088854864</v>
      </c>
      <c r="AH1771">
        <v>14.7231859211486</v>
      </c>
      <c r="AI1771">
        <v>94.287396093752903</v>
      </c>
      <c r="AJ1771">
        <v>91.344573463261</v>
      </c>
      <c r="AK1771">
        <v>14.768569279484099</v>
      </c>
    </row>
    <row r="1772" spans="1:37" x14ac:dyDescent="0.2">
      <c r="A1772" t="str">
        <f>"20200111160140398"</f>
        <v>20200111160140398</v>
      </c>
      <c r="B1772" t="str">
        <f>"1578729700392490"</f>
        <v>1578729700392490</v>
      </c>
      <c r="C1772" t="s">
        <v>37</v>
      </c>
      <c r="D1772">
        <v>4.867699</v>
      </c>
      <c r="E1772">
        <v>0.51160509999999904</v>
      </c>
      <c r="F1772" t="s">
        <v>60</v>
      </c>
      <c r="G1772">
        <v>-434.64170000000001</v>
      </c>
      <c r="H1772" s="1">
        <v>4.2605649999999996E-6</v>
      </c>
      <c r="I1772">
        <v>284.78579999999999</v>
      </c>
      <c r="J1772">
        <v>-419.85449999999997</v>
      </c>
      <c r="K1772">
        <v>1.1040909999999999</v>
      </c>
      <c r="L1772">
        <v>284.70280000000002</v>
      </c>
      <c r="M1772">
        <v>-0.99960629999999995</v>
      </c>
      <c r="N1772">
        <v>0</v>
      </c>
      <c r="O1772">
        <v>2.417702E-2</v>
      </c>
      <c r="P1772">
        <v>-0.99977590000000005</v>
      </c>
      <c r="Q1772">
        <v>7.9814910000000003E-3</v>
      </c>
      <c r="R1772">
        <v>-1.9610309999999999E-2</v>
      </c>
      <c r="S1772">
        <v>-3.0027469999999998</v>
      </c>
      <c r="T1772">
        <v>-0.21975749999999999</v>
      </c>
      <c r="U1772">
        <v>1.800537E-2</v>
      </c>
      <c r="V1772">
        <v>-4.3762959999999997E-2</v>
      </c>
      <c r="W1772">
        <v>2.224626E-2</v>
      </c>
      <c r="X1772">
        <v>0.99879419999999897</v>
      </c>
      <c r="Y1772">
        <v>-1.807162E-2</v>
      </c>
      <c r="Z1772">
        <v>-2.427448E-3</v>
      </c>
      <c r="AA1772">
        <v>0.99983379999999999</v>
      </c>
      <c r="AB1772">
        <v>30</v>
      </c>
      <c r="AC1772">
        <v>-14.7872</v>
      </c>
      <c r="AD1772">
        <v>-1.104086739435</v>
      </c>
      <c r="AE1772">
        <v>8.2999999999969903E-2</v>
      </c>
      <c r="AF1772">
        <v>-0.27304877611638201</v>
      </c>
      <c r="AG1772">
        <v>-1.104086739435</v>
      </c>
      <c r="AH1772">
        <v>14.702919384821501</v>
      </c>
      <c r="AI1772">
        <v>94.293716014730293</v>
      </c>
      <c r="AJ1772">
        <v>91.063920974927399</v>
      </c>
      <c r="AK1772">
        <v>14.7468437843117</v>
      </c>
    </row>
    <row r="1773" spans="1:37" x14ac:dyDescent="0.2">
      <c r="A1773" t="str">
        <f>"20200111160140420"</f>
        <v>20200111160140420</v>
      </c>
      <c r="B1773" t="str">
        <f>"1578729700412982"</f>
        <v>1578729700412982</v>
      </c>
      <c r="C1773" t="s">
        <v>37</v>
      </c>
      <c r="D1773">
        <v>5.0632960000000002</v>
      </c>
      <c r="E1773">
        <v>0.51209059999999995</v>
      </c>
      <c r="F1773" t="s">
        <v>60</v>
      </c>
      <c r="G1773">
        <v>-435.00420000000003</v>
      </c>
      <c r="H1773" s="1">
        <v>4.4174749999999996E-6</v>
      </c>
      <c r="I1773">
        <v>284.83010000000002</v>
      </c>
      <c r="J1773">
        <v>-420.15350000000001</v>
      </c>
      <c r="K1773">
        <v>1.1040989999999999</v>
      </c>
      <c r="L1773">
        <v>284.71039999999999</v>
      </c>
      <c r="M1773">
        <v>-0.99959789999999904</v>
      </c>
      <c r="N1773">
        <v>0</v>
      </c>
      <c r="O1773">
        <v>2.4520219999999999E-2</v>
      </c>
      <c r="P1773">
        <v>-0.99978709999999904</v>
      </c>
      <c r="Q1773">
        <v>8.3823089999999992E-3</v>
      </c>
      <c r="R1773">
        <v>-1.8861900000000001E-2</v>
      </c>
      <c r="S1773">
        <v>-3.0029300000000001</v>
      </c>
      <c r="T1773">
        <v>-0.21884799999999999</v>
      </c>
      <c r="U1773">
        <v>2.523804E-2</v>
      </c>
      <c r="V1773">
        <v>-4.335775E-2</v>
      </c>
      <c r="W1773">
        <v>2.2643839999999998E-2</v>
      </c>
      <c r="X1773">
        <v>0.998803</v>
      </c>
      <c r="Y1773">
        <v>-1.6012720000000001E-2</v>
      </c>
      <c r="Z1773">
        <v>-2.367297E-3</v>
      </c>
      <c r="AA1773">
        <v>0.99986900000000001</v>
      </c>
      <c r="AB1773">
        <v>30</v>
      </c>
      <c r="AC1773">
        <v>-14.8507</v>
      </c>
      <c r="AD1773">
        <v>-1.1040945825249999</v>
      </c>
      <c r="AE1773">
        <v>0.119700000000023</v>
      </c>
      <c r="AF1773">
        <v>-0.243171346071824</v>
      </c>
      <c r="AG1773">
        <v>-1.1040945825249999</v>
      </c>
      <c r="AH1773">
        <v>14.7675489282706</v>
      </c>
      <c r="AI1773">
        <v>94.275181802887403</v>
      </c>
      <c r="AJ1773">
        <v>90.943381520019202</v>
      </c>
      <c r="AK1773">
        <v>14.8107615772984</v>
      </c>
    </row>
    <row r="1774" spans="1:37" x14ac:dyDescent="0.2">
      <c r="A1774" t="str">
        <f>"20200111160140442"</f>
        <v>20200111160140442</v>
      </c>
      <c r="B1774" t="str">
        <f>"1578729700432885"</f>
        <v>1578729700432885</v>
      </c>
      <c r="C1774" t="s">
        <v>37</v>
      </c>
      <c r="D1774">
        <v>4.8975949999999999</v>
      </c>
      <c r="E1774">
        <v>0.51263210000000003</v>
      </c>
      <c r="F1774" t="s">
        <v>60</v>
      </c>
      <c r="G1774">
        <v>-435.32299999999998</v>
      </c>
      <c r="H1774" s="1">
        <v>4.5554609999999998E-6</v>
      </c>
      <c r="I1774">
        <v>284.86860000000001</v>
      </c>
      <c r="J1774">
        <v>-420.4427</v>
      </c>
      <c r="K1774">
        <v>1.104096</v>
      </c>
      <c r="L1774">
        <v>284.71789999999999</v>
      </c>
      <c r="M1774">
        <v>-0.99958969999999903</v>
      </c>
      <c r="N1774">
        <v>0</v>
      </c>
      <c r="O1774">
        <v>2.4852329999999999E-2</v>
      </c>
      <c r="P1774">
        <v>-0.99979419999999897</v>
      </c>
      <c r="Q1774">
        <v>8.99934199999999E-3</v>
      </c>
      <c r="R1774">
        <v>-1.818173E-2</v>
      </c>
      <c r="S1774">
        <v>-3.0030519999999998</v>
      </c>
      <c r="T1774">
        <v>-0.2185742</v>
      </c>
      <c r="U1774">
        <v>3.1311039999999998E-2</v>
      </c>
      <c r="V1774">
        <v>-4.3008980000000002E-2</v>
      </c>
      <c r="W1774">
        <v>2.3257369999999999E-2</v>
      </c>
      <c r="X1774">
        <v>0.99880400000000003</v>
      </c>
      <c r="Y1774">
        <v>-1.432726E-2</v>
      </c>
      <c r="Z1774">
        <v>-2.3270949999999999E-3</v>
      </c>
      <c r="AA1774">
        <v>0.99989470000000003</v>
      </c>
      <c r="AB1774">
        <v>30</v>
      </c>
      <c r="AC1774">
        <v>-14.8803</v>
      </c>
      <c r="AD1774">
        <v>-1.104091444539</v>
      </c>
      <c r="AE1774">
        <v>0.15070000000002801</v>
      </c>
      <c r="AF1774">
        <v>-0.21799416895864199</v>
      </c>
      <c r="AG1774">
        <v>-1.104091444539</v>
      </c>
      <c r="AH1774">
        <v>14.7979885766962</v>
      </c>
      <c r="AI1774">
        <v>94.266523155460902</v>
      </c>
      <c r="AJ1774">
        <v>90.843982436365195</v>
      </c>
      <c r="AK1774">
        <v>14.840721185024501</v>
      </c>
    </row>
    <row r="1775" spans="1:37" x14ac:dyDescent="0.2">
      <c r="A1775" t="str">
        <f>"20200111160140465"</f>
        <v>20200111160140465</v>
      </c>
      <c r="B1775" t="str">
        <f>"1578729700453383"</f>
        <v>1578729700453383</v>
      </c>
      <c r="C1775" t="s">
        <v>37</v>
      </c>
      <c r="D1775">
        <v>4.8679420000000002</v>
      </c>
      <c r="E1775">
        <v>0.51306830000000003</v>
      </c>
      <c r="F1775" t="s">
        <v>60</v>
      </c>
      <c r="G1775">
        <v>-435.67259999999999</v>
      </c>
      <c r="H1775" s="1">
        <v>4.7070400000000003E-6</v>
      </c>
      <c r="I1775">
        <v>284.90820000000002</v>
      </c>
      <c r="J1775">
        <v>-420.74400000000003</v>
      </c>
      <c r="K1775">
        <v>1.104104</v>
      </c>
      <c r="L1775">
        <v>284.72579999999999</v>
      </c>
      <c r="M1775">
        <v>-0.9995811</v>
      </c>
      <c r="N1775">
        <v>0</v>
      </c>
      <c r="O1775">
        <v>2.5198269999999998E-2</v>
      </c>
      <c r="P1775">
        <v>-0.99981019999999898</v>
      </c>
      <c r="Q1775">
        <v>9.0570570000000003E-3</v>
      </c>
      <c r="R1775">
        <v>-1.7262759999999999E-2</v>
      </c>
      <c r="S1775">
        <v>-3.0032040000000002</v>
      </c>
      <c r="T1775">
        <v>-0.21771759999999901</v>
      </c>
      <c r="U1775">
        <v>3.753662E-2</v>
      </c>
      <c r="V1775">
        <v>-4.2436450000000001E-2</v>
      </c>
      <c r="W1775">
        <v>2.331219E-2</v>
      </c>
      <c r="X1775">
        <v>0.99882719999999903</v>
      </c>
      <c r="Y1775">
        <v>-1.2605760000000001E-2</v>
      </c>
      <c r="Z1775">
        <v>-2.2805659999999999E-3</v>
      </c>
      <c r="AA1775">
        <v>0.99991790000000003</v>
      </c>
      <c r="AB1775">
        <v>30</v>
      </c>
      <c r="AC1775">
        <v>-14.9285999999999</v>
      </c>
      <c r="AD1775">
        <v>-1.10409929296</v>
      </c>
      <c r="AE1775">
        <v>0.18240000000002901</v>
      </c>
      <c r="AF1775">
        <v>-0.19281642195670401</v>
      </c>
      <c r="AG1775">
        <v>-1.10409929296</v>
      </c>
      <c r="AH1775">
        <v>14.847254801795501</v>
      </c>
      <c r="AI1775">
        <v>94.252550520754298</v>
      </c>
      <c r="AJ1775">
        <v>90.744039644933807</v>
      </c>
      <c r="AK1775">
        <v>14.889499271994699</v>
      </c>
    </row>
    <row r="1776" spans="1:37" x14ac:dyDescent="0.2">
      <c r="A1776" t="str">
        <f>"20200111160140487"</f>
        <v>20200111160140487</v>
      </c>
      <c r="B1776" t="str">
        <f>"1578729700482662"</f>
        <v>1578729700482662</v>
      </c>
      <c r="C1776" t="s">
        <v>37</v>
      </c>
      <c r="D1776">
        <v>5.1062329999999996</v>
      </c>
      <c r="E1776">
        <v>0.51319459999999995</v>
      </c>
      <c r="F1776" t="s">
        <v>60</v>
      </c>
      <c r="G1776">
        <v>-435.92540000000002</v>
      </c>
      <c r="H1776" s="1">
        <v>4.8157389999999902E-6</v>
      </c>
      <c r="I1776">
        <v>284.94709999999998</v>
      </c>
      <c r="J1776">
        <v>-421.04059999999998</v>
      </c>
      <c r="K1776">
        <v>1.1041030000000001</v>
      </c>
      <c r="L1776">
        <v>284.73360000000002</v>
      </c>
      <c r="M1776">
        <v>-0.99957249999999997</v>
      </c>
      <c r="N1776">
        <v>0</v>
      </c>
      <c r="O1776">
        <v>2.55389E-2</v>
      </c>
      <c r="P1776">
        <v>-0.99982059999999995</v>
      </c>
      <c r="Q1776">
        <v>9.0766409999999999E-3</v>
      </c>
      <c r="R1776">
        <v>-1.6636519999999998E-2</v>
      </c>
      <c r="S1776">
        <v>-3.0032349999999899</v>
      </c>
      <c r="T1776">
        <v>-0.21841669999999999</v>
      </c>
      <c r="U1776">
        <v>4.379272E-2</v>
      </c>
      <c r="V1776">
        <v>-4.2151620000000001E-2</v>
      </c>
      <c r="W1776">
        <v>2.3328399999999999E-2</v>
      </c>
      <c r="X1776">
        <v>0.99883880000000003</v>
      </c>
      <c r="Y1776">
        <v>-1.0867109999999999E-2</v>
      </c>
      <c r="Z1776">
        <v>-2.249399E-3</v>
      </c>
      <c r="AA1776">
        <v>0.99993840000000001</v>
      </c>
      <c r="AB1776">
        <v>30</v>
      </c>
      <c r="AC1776">
        <v>-14.8848</v>
      </c>
      <c r="AD1776">
        <v>-1.104098184261</v>
      </c>
      <c r="AE1776">
        <v>0.21349999999995301</v>
      </c>
      <c r="AF1776">
        <v>-0.16583731334670501</v>
      </c>
      <c r="AG1776">
        <v>-1.104098184261</v>
      </c>
      <c r="AH1776">
        <v>14.803960846715601</v>
      </c>
      <c r="AI1776">
        <v>94.265028643148099</v>
      </c>
      <c r="AJ1776">
        <v>90.6418134180377</v>
      </c>
      <c r="AK1776">
        <v>14.846002544997599</v>
      </c>
    </row>
    <row r="1777" spans="1:37" x14ac:dyDescent="0.2">
      <c r="A1777" t="str">
        <f>"20200111160140510"</f>
        <v>20200111160140510</v>
      </c>
      <c r="B1777" t="str">
        <f>"1578729700503157"</f>
        <v>1578729700503157</v>
      </c>
      <c r="C1777" t="s">
        <v>37</v>
      </c>
      <c r="D1777">
        <v>4.9176869999999999</v>
      </c>
      <c r="E1777">
        <v>0.51351170000000002</v>
      </c>
      <c r="F1777" t="s">
        <v>60</v>
      </c>
      <c r="G1777">
        <v>-436.4348</v>
      </c>
      <c r="H1777" s="1">
        <v>5.0392029999999998E-6</v>
      </c>
      <c r="I1777">
        <v>284.97500000000002</v>
      </c>
      <c r="J1777">
        <v>-421.35079999999999</v>
      </c>
      <c r="K1777">
        <v>1.1041080000000001</v>
      </c>
      <c r="L1777">
        <v>284.74189999999999</v>
      </c>
      <c r="M1777">
        <v>-0.99956339999999999</v>
      </c>
      <c r="N1777">
        <v>0</v>
      </c>
      <c r="O1777">
        <v>2.5895149999999999E-2</v>
      </c>
      <c r="P1777">
        <v>-0.99983250000000001</v>
      </c>
      <c r="Q1777">
        <v>9.0934629999999995E-3</v>
      </c>
      <c r="R1777">
        <v>-1.5892940000000001E-2</v>
      </c>
      <c r="S1777">
        <v>-3.0032649999999999</v>
      </c>
      <c r="T1777">
        <v>-0.21539949999999999</v>
      </c>
      <c r="U1777">
        <v>4.7088619999999998E-2</v>
      </c>
      <c r="V1777">
        <v>-4.1764870000000003E-2</v>
      </c>
      <c r="W1777">
        <v>2.3341750000000001E-2</v>
      </c>
      <c r="X1777">
        <v>0.99885480000000004</v>
      </c>
      <c r="Y1777">
        <v>-1.0130139999999999E-2</v>
      </c>
      <c r="Z1777">
        <v>-2.2174759999999999E-3</v>
      </c>
      <c r="AA1777">
        <v>0.99994620000000001</v>
      </c>
      <c r="AB1777">
        <v>30</v>
      </c>
      <c r="AC1777">
        <v>-15.084</v>
      </c>
      <c r="AD1777">
        <v>-1.1041029607970001</v>
      </c>
      <c r="AE1777">
        <v>0.233100000000035</v>
      </c>
      <c r="AF1777">
        <v>-0.15678037344868001</v>
      </c>
      <c r="AG1777">
        <v>-1.1041029607970001</v>
      </c>
      <c r="AH1777">
        <v>15.004605137293</v>
      </c>
      <c r="AI1777">
        <v>94.208254511323503</v>
      </c>
      <c r="AJ1777">
        <v>90.598651329973904</v>
      </c>
      <c r="AK1777">
        <v>15.045989457646799</v>
      </c>
    </row>
    <row r="1778" spans="1:37" x14ac:dyDescent="0.2">
      <c r="A1778" t="str">
        <f>"20200111160140531"</f>
        <v>20200111160140531</v>
      </c>
      <c r="B1778" t="str">
        <f>"1578729700523187"</f>
        <v>1578729700523187</v>
      </c>
      <c r="C1778" t="s">
        <v>37</v>
      </c>
      <c r="D1778">
        <v>5.1338699999999999</v>
      </c>
      <c r="E1778">
        <v>0.51357659999999905</v>
      </c>
      <c r="F1778" t="s">
        <v>42</v>
      </c>
      <c r="G1778">
        <v>-422.32400000000001</v>
      </c>
      <c r="H1778">
        <v>1.0339879999999999</v>
      </c>
      <c r="I1778">
        <v>284.75909999999999</v>
      </c>
      <c r="J1778">
        <v>-421.63199999999898</v>
      </c>
      <c r="K1778">
        <v>1.1041099999999999</v>
      </c>
      <c r="L1778">
        <v>284.74959999999999</v>
      </c>
      <c r="M1778">
        <v>-0.99955499999999997</v>
      </c>
      <c r="N1778">
        <v>0</v>
      </c>
      <c r="O1778">
        <v>2.621826E-2</v>
      </c>
      <c r="P1778">
        <v>-0.99983569999999999</v>
      </c>
      <c r="Q1778">
        <v>9.3427140000000002E-3</v>
      </c>
      <c r="R1778">
        <v>-1.5535429999999999E-2</v>
      </c>
      <c r="S1778">
        <v>-3.00329599999999</v>
      </c>
      <c r="T1778">
        <v>-0.21661340000000001</v>
      </c>
      <c r="U1778">
        <v>5.1696779999999998E-2</v>
      </c>
      <c r="V1778">
        <v>-4.1729849999999999E-2</v>
      </c>
      <c r="W1778">
        <v>2.35882E-2</v>
      </c>
      <c r="X1778">
        <v>0.99885049999999997</v>
      </c>
      <c r="Y1778">
        <v>-8.9209140000000003E-3</v>
      </c>
      <c r="Z1778">
        <v>-2.209599E-3</v>
      </c>
      <c r="AA1778">
        <v>0.99995769999999995</v>
      </c>
      <c r="AB1778">
        <v>30</v>
      </c>
      <c r="AC1778">
        <v>-0.69200000000006401</v>
      </c>
      <c r="AD1778">
        <v>-7.0122000000000198E-2</v>
      </c>
      <c r="AE1778">
        <v>9.5000000000027198E-3</v>
      </c>
      <c r="AF1778">
        <v>-8.5602563938035805E-3</v>
      </c>
      <c r="AG1778">
        <v>-7.0122000000000198E-2</v>
      </c>
      <c r="AH1778">
        <v>0.68497896088419696</v>
      </c>
      <c r="AI1778">
        <v>95.844612917885797</v>
      </c>
      <c r="AJ1778">
        <v>90.715994300551102</v>
      </c>
      <c r="AK1778">
        <v>0.68861204587744596</v>
      </c>
    </row>
    <row r="1779" spans="1:37" x14ac:dyDescent="0.2">
      <c r="A1779" t="str">
        <f>"20200111160140554"</f>
        <v>20200111160140554</v>
      </c>
      <c r="B1779" t="str">
        <f>"1578729700542707"</f>
        <v>1578729700542707</v>
      </c>
      <c r="C1779" t="s">
        <v>37</v>
      </c>
      <c r="D1779">
        <v>4.8763069999999997</v>
      </c>
      <c r="E1779">
        <v>0.51388469999999997</v>
      </c>
      <c r="F1779" t="s">
        <v>42</v>
      </c>
      <c r="G1779">
        <v>-422.58949999999999</v>
      </c>
      <c r="H1779">
        <v>1.035426</v>
      </c>
      <c r="I1779">
        <v>284.76670000000001</v>
      </c>
      <c r="J1779">
        <v>-421.92599999999999</v>
      </c>
      <c r="K1779">
        <v>1.104112</v>
      </c>
      <c r="L1779">
        <v>284.7577</v>
      </c>
      <c r="M1779">
        <v>-0.99954619999999905</v>
      </c>
      <c r="N1779">
        <v>0</v>
      </c>
      <c r="O1779">
        <v>2.655592E-2</v>
      </c>
      <c r="P1779">
        <v>-0.99983949999999999</v>
      </c>
      <c r="Q1779">
        <v>9.024766E-3</v>
      </c>
      <c r="R1779">
        <v>-1.547977E-2</v>
      </c>
      <c r="S1779">
        <v>-3.0033569999999998</v>
      </c>
      <c r="T1779">
        <v>-0.21540860000000001</v>
      </c>
      <c r="U1779">
        <v>5.3405759999999997E-2</v>
      </c>
      <c r="V1779">
        <v>-4.2012130000000002E-2</v>
      </c>
      <c r="W1779">
        <v>2.3266419999999999E-2</v>
      </c>
      <c r="X1779">
        <v>0.99884619999999902</v>
      </c>
      <c r="Y1779">
        <v>-8.6909669999999904E-3</v>
      </c>
      <c r="Z1779">
        <v>-2.2132250000000001E-3</v>
      </c>
      <c r="AA1779">
        <v>0.99995979999999995</v>
      </c>
      <c r="AB1779">
        <v>30</v>
      </c>
      <c r="AC1779">
        <v>-0.66349999999999898</v>
      </c>
      <c r="AD1779">
        <v>-6.8685999999999997E-2</v>
      </c>
      <c r="AE1779">
        <v>9.0000000000145502E-3</v>
      </c>
      <c r="AF1779">
        <v>-8.5333775730177201E-3</v>
      </c>
      <c r="AG1779">
        <v>-6.8685999999999997E-2</v>
      </c>
      <c r="AH1779">
        <v>0.65647117757770801</v>
      </c>
      <c r="AI1779">
        <v>95.9725729422602</v>
      </c>
      <c r="AJ1779">
        <v>90.744737928154905</v>
      </c>
      <c r="AK1779">
        <v>0.66010983337552698</v>
      </c>
    </row>
    <row r="1780" spans="1:37" x14ac:dyDescent="0.2">
      <c r="A1780" t="str">
        <f>"20200111160140576"</f>
        <v>20200111160140576</v>
      </c>
      <c r="B1780" t="str">
        <f>"1578729700572964"</f>
        <v>1578729700572964</v>
      </c>
      <c r="C1780" t="s">
        <v>37</v>
      </c>
      <c r="D1780">
        <v>4.8972280000000001</v>
      </c>
      <c r="E1780">
        <v>0.51427999999999996</v>
      </c>
      <c r="F1780" t="s">
        <v>42</v>
      </c>
      <c r="G1780">
        <v>-422.8546</v>
      </c>
      <c r="H1780">
        <v>1.0369600000000001</v>
      </c>
      <c r="I1780">
        <v>284.77519999999998</v>
      </c>
      <c r="J1780">
        <v>-422.22160000000002</v>
      </c>
      <c r="K1780">
        <v>1.1041129999999999</v>
      </c>
      <c r="L1780">
        <v>284.76589999999999</v>
      </c>
      <c r="M1780">
        <v>-0.99953719999999902</v>
      </c>
      <c r="N1780">
        <v>0</v>
      </c>
      <c r="O1780">
        <v>2.68959E-2</v>
      </c>
      <c r="P1780">
        <v>-0.99985210000000002</v>
      </c>
      <c r="Q1780">
        <v>8.2355959999999995E-3</v>
      </c>
      <c r="R1780">
        <v>-1.510865E-2</v>
      </c>
      <c r="S1780">
        <v>-3.00329599999999</v>
      </c>
      <c r="T1780">
        <v>-0.217302</v>
      </c>
      <c r="U1780">
        <v>5.5755619999999999E-2</v>
      </c>
      <c r="V1780">
        <v>-4.1981940000000002E-2</v>
      </c>
      <c r="W1780">
        <v>2.2474129999999998E-2</v>
      </c>
      <c r="X1780">
        <v>0.99886549999999996</v>
      </c>
      <c r="Y1780">
        <v>-8.2472640000000007E-3</v>
      </c>
      <c r="Z1780">
        <v>-2.2411789999999998E-3</v>
      </c>
      <c r="AA1780">
        <v>0.99996350000000001</v>
      </c>
      <c r="AB1780">
        <v>30</v>
      </c>
      <c r="AC1780">
        <v>-0.63299999999998102</v>
      </c>
      <c r="AD1780">
        <v>-6.7152999999999796E-2</v>
      </c>
      <c r="AE1780">
        <v>9.2999999999960892E-3</v>
      </c>
      <c r="AF1780">
        <v>-7.6441772399910698E-3</v>
      </c>
      <c r="AG1780">
        <v>-6.7152999999999796E-2</v>
      </c>
      <c r="AH1780">
        <v>0.62597761716910305</v>
      </c>
      <c r="AI1780">
        <v>96.122648944935904</v>
      </c>
      <c r="AJ1780">
        <v>90.699637355642693</v>
      </c>
      <c r="AK1780">
        <v>0.62961570505458697</v>
      </c>
    </row>
    <row r="1781" spans="1:37" x14ac:dyDescent="0.2">
      <c r="A1781" t="str">
        <f>"20200111160140599"</f>
        <v>20200111160140599</v>
      </c>
      <c r="B1781" t="str">
        <f>"1578729700592482"</f>
        <v>1578729700592482</v>
      </c>
      <c r="C1781" t="s">
        <v>37</v>
      </c>
      <c r="D1781">
        <v>4.931457</v>
      </c>
      <c r="E1781">
        <v>0.51442559999999904</v>
      </c>
      <c r="F1781" t="s">
        <v>42</v>
      </c>
      <c r="G1781">
        <v>-423.12139999999999</v>
      </c>
      <c r="H1781">
        <v>1.037685</v>
      </c>
      <c r="I1781">
        <v>284.78379999999999</v>
      </c>
      <c r="J1781">
        <v>-422.52519999999998</v>
      </c>
      <c r="K1781">
        <v>1.1041049999999999</v>
      </c>
      <c r="L1781">
        <v>284.77449999999999</v>
      </c>
      <c r="M1781">
        <v>-0.99952779999999997</v>
      </c>
      <c r="N1781">
        <v>0</v>
      </c>
      <c r="O1781">
        <v>2.724505E-2</v>
      </c>
      <c r="P1781">
        <v>-0.99986620000000004</v>
      </c>
      <c r="Q1781">
        <v>7.2457219999999996E-3</v>
      </c>
      <c r="R1781">
        <v>-1.467331E-2</v>
      </c>
      <c r="S1781">
        <v>-3.0031430000000001</v>
      </c>
      <c r="T1781">
        <v>-0.22166620000000001</v>
      </c>
      <c r="U1781">
        <v>6.0028079999999998E-2</v>
      </c>
      <c r="V1781">
        <v>-4.1896629999999997E-2</v>
      </c>
      <c r="W1781">
        <v>2.1481589999999998E-2</v>
      </c>
      <c r="X1781">
        <v>0.99889099999999997</v>
      </c>
      <c r="Y1781">
        <v>-7.1717909999999899E-3</v>
      </c>
      <c r="Z1781">
        <v>-2.2722379999999898E-3</v>
      </c>
      <c r="AA1781">
        <v>0.99997169999999902</v>
      </c>
      <c r="AB1781">
        <v>30</v>
      </c>
      <c r="AC1781">
        <v>-0.59620000000001006</v>
      </c>
      <c r="AD1781">
        <v>-6.6419999999999896E-2</v>
      </c>
      <c r="AE1781">
        <v>9.2999999999960892E-3</v>
      </c>
      <c r="AF1781">
        <v>-6.8634290377145397E-3</v>
      </c>
      <c r="AG1781">
        <v>-6.6419999999999896E-2</v>
      </c>
      <c r="AH1781">
        <v>0.58892455847269798</v>
      </c>
      <c r="AI1781">
        <v>96.434299827164097</v>
      </c>
      <c r="AJ1781">
        <v>90.667704732529501</v>
      </c>
      <c r="AK1781">
        <v>0.59269794890012695</v>
      </c>
    </row>
    <row r="1782" spans="1:37" x14ac:dyDescent="0.2">
      <c r="A1782" t="str">
        <f>"20200111160140620"</f>
        <v>20200111160140620</v>
      </c>
      <c r="B1782" t="str">
        <f>"1578729700612979"</f>
        <v>1578729700612979</v>
      </c>
      <c r="C1782" t="s">
        <v>37</v>
      </c>
      <c r="D1782">
        <v>4.9033870000000004</v>
      </c>
      <c r="E1782">
        <v>0.51462379999999996</v>
      </c>
      <c r="F1782" t="s">
        <v>60</v>
      </c>
      <c r="G1782">
        <v>-437.23599999999999</v>
      </c>
      <c r="H1782" s="1">
        <v>5.3853360000000001E-6</v>
      </c>
      <c r="I1782">
        <v>285.0797</v>
      </c>
      <c r="J1782">
        <v>-422.81189999999998</v>
      </c>
      <c r="K1782">
        <v>1.104104</v>
      </c>
      <c r="L1782">
        <v>284.78269999999998</v>
      </c>
      <c r="M1782">
        <v>-0.99951869999999998</v>
      </c>
      <c r="N1782">
        <v>0</v>
      </c>
      <c r="O1782">
        <v>2.7574899999999999E-2</v>
      </c>
      <c r="P1782">
        <v>-0.99987569999999903</v>
      </c>
      <c r="Q1782">
        <v>7.2989369999999897E-3</v>
      </c>
      <c r="R1782">
        <v>-1.398217E-2</v>
      </c>
      <c r="S1782">
        <v>-3.0029599999999999</v>
      </c>
      <c r="T1782">
        <v>-0.2253839</v>
      </c>
      <c r="U1782">
        <v>6.231689E-2</v>
      </c>
      <c r="V1782">
        <v>-4.153602E-2</v>
      </c>
      <c r="W1782">
        <v>2.1531649999999999E-2</v>
      </c>
      <c r="X1782">
        <v>0.99890499999999904</v>
      </c>
      <c r="Y1782">
        <v>-6.735848E-3</v>
      </c>
      <c r="Z1782">
        <v>-2.3187339999999998E-3</v>
      </c>
      <c r="AA1782">
        <v>0.99997459999999905</v>
      </c>
      <c r="AB1782">
        <v>29</v>
      </c>
      <c r="AC1782">
        <v>-14.424099999999999</v>
      </c>
      <c r="AD1782">
        <v>-1.1040986146639999</v>
      </c>
      <c r="AE1782">
        <v>0.29700000000002502</v>
      </c>
      <c r="AF1782">
        <v>-0.100308771859803</v>
      </c>
      <c r="AG1782">
        <v>-1.1040986146639999</v>
      </c>
      <c r="AH1782">
        <v>14.342802830068401</v>
      </c>
      <c r="AI1782">
        <v>94.401799292472205</v>
      </c>
      <c r="AJ1782">
        <v>90.400701009718205</v>
      </c>
      <c r="AK1782">
        <v>14.385586141093899</v>
      </c>
    </row>
    <row r="1783" spans="1:37" x14ac:dyDescent="0.2">
      <c r="A1783" t="str">
        <f>"20200111160140643"</f>
        <v>20200111160140643</v>
      </c>
      <c r="B1783" t="str">
        <f>"1578729700632634"</f>
        <v>1578729700632634</v>
      </c>
      <c r="C1783" t="s">
        <v>37</v>
      </c>
      <c r="D1783">
        <v>4.9087480000000001</v>
      </c>
      <c r="E1783">
        <v>0.51473409999999997</v>
      </c>
      <c r="F1783" t="s">
        <v>60</v>
      </c>
      <c r="G1783">
        <v>-437.50209999999998</v>
      </c>
      <c r="H1783" s="1">
        <v>5.5011219999999999E-6</v>
      </c>
      <c r="I1783">
        <v>285.1053</v>
      </c>
      <c r="J1783">
        <v>-423.10039999999998</v>
      </c>
      <c r="K1783">
        <v>1.104106</v>
      </c>
      <c r="L1783">
        <v>284.791</v>
      </c>
      <c r="M1783">
        <v>-0.99950949999999905</v>
      </c>
      <c r="N1783">
        <v>0</v>
      </c>
      <c r="O1783">
        <v>2.790689E-2</v>
      </c>
      <c r="P1783">
        <v>-0.99987939999999997</v>
      </c>
      <c r="Q1783">
        <v>8.2871719999999902E-3</v>
      </c>
      <c r="R1783">
        <v>-1.31427E-2</v>
      </c>
      <c r="S1783">
        <v>-3.0029300000000001</v>
      </c>
      <c r="T1783">
        <v>-0.22569610000000001</v>
      </c>
      <c r="U1783">
        <v>6.5948489999999999E-2</v>
      </c>
      <c r="V1783">
        <v>-4.1027849999999998E-2</v>
      </c>
      <c r="W1783">
        <v>2.2516080000000001E-2</v>
      </c>
      <c r="X1783">
        <v>0.99890429999999997</v>
      </c>
      <c r="Y1783">
        <v>-5.8602769999999997E-3</v>
      </c>
      <c r="Z1783">
        <v>-2.3139749999999998E-3</v>
      </c>
      <c r="AA1783">
        <v>0.99998019999999999</v>
      </c>
      <c r="AB1783">
        <v>29</v>
      </c>
      <c r="AC1783">
        <v>-14.4017</v>
      </c>
      <c r="AD1783">
        <v>-1.1041004988780001</v>
      </c>
      <c r="AE1783">
        <v>0.31430000000000202</v>
      </c>
      <c r="AF1783">
        <v>-8.7257079644390903E-2</v>
      </c>
      <c r="AG1783">
        <v>-1.1041004988780001</v>
      </c>
      <c r="AH1783">
        <v>14.3207323489244</v>
      </c>
      <c r="AI1783">
        <v>94.408589798328407</v>
      </c>
      <c r="AJ1783">
        <v>90.349102294969896</v>
      </c>
      <c r="AK1783">
        <v>14.3634963264206</v>
      </c>
    </row>
    <row r="1784" spans="1:37" x14ac:dyDescent="0.2">
      <c r="A1784" t="str">
        <f>"20200111160140665"</f>
        <v>20200111160140665</v>
      </c>
      <c r="B1784" t="str">
        <f>"1578729700662890"</f>
        <v>1578729700662890</v>
      </c>
      <c r="C1784" t="s">
        <v>37</v>
      </c>
      <c r="D1784">
        <v>4.9675500000000001</v>
      </c>
      <c r="E1784">
        <v>0.51491899999999902</v>
      </c>
      <c r="F1784" t="s">
        <v>60</v>
      </c>
      <c r="G1784">
        <v>-437.97620000000001</v>
      </c>
      <c r="H1784" s="1">
        <v>5.7087199999999998E-6</v>
      </c>
      <c r="I1784">
        <v>285.1352</v>
      </c>
      <c r="J1784">
        <v>-423.40339999999998</v>
      </c>
      <c r="K1784">
        <v>1.1041190000000001</v>
      </c>
      <c r="L1784">
        <v>284.79989999999998</v>
      </c>
      <c r="M1784">
        <v>-0.99949969999999999</v>
      </c>
      <c r="N1784">
        <v>0</v>
      </c>
      <c r="O1784">
        <v>2.825575E-2</v>
      </c>
      <c r="P1784">
        <v>-0.99988630000000001</v>
      </c>
      <c r="Q1784">
        <v>8.7889950000000008E-3</v>
      </c>
      <c r="R1784">
        <v>-1.225354E-2</v>
      </c>
      <c r="S1784">
        <v>-3.0031129999999999</v>
      </c>
      <c r="T1784">
        <v>-0.22289600000000001</v>
      </c>
      <c r="U1784">
        <v>6.9488530000000007E-2</v>
      </c>
      <c r="V1784">
        <v>-4.048819E-2</v>
      </c>
      <c r="W1784">
        <v>2.301425E-2</v>
      </c>
      <c r="X1784">
        <v>0.998915</v>
      </c>
      <c r="Y1784">
        <v>-5.0361379999999999E-3</v>
      </c>
      <c r="Z1784">
        <v>-2.2804739999999898E-3</v>
      </c>
      <c r="AA1784">
        <v>0.99998469999999995</v>
      </c>
      <c r="AB1784">
        <v>29</v>
      </c>
      <c r="AC1784">
        <v>-14.572800000000001</v>
      </c>
      <c r="AD1784">
        <v>-1.10411329128</v>
      </c>
      <c r="AE1784">
        <v>0.33530000000001697</v>
      </c>
      <c r="AF1784">
        <v>-7.6203676631257405E-2</v>
      </c>
      <c r="AG1784">
        <v>-1.10411329128</v>
      </c>
      <c r="AH1784">
        <v>14.4933022417622</v>
      </c>
      <c r="AI1784">
        <v>94.356371409588604</v>
      </c>
      <c r="AJ1784">
        <v>90.301250104915496</v>
      </c>
      <c r="AK1784">
        <v>14.535497343791899</v>
      </c>
    </row>
    <row r="1785" spans="1:37" x14ac:dyDescent="0.2">
      <c r="A1785" t="str">
        <f>"20200111160140688"</f>
        <v>20200111160140688</v>
      </c>
      <c r="B1785" t="str">
        <f>"1578729700683386"</f>
        <v>1578729700683386</v>
      </c>
      <c r="C1785" t="s">
        <v>37</v>
      </c>
      <c r="D1785">
        <v>4.9464790000000001</v>
      </c>
      <c r="E1785">
        <v>0.51496790000000003</v>
      </c>
      <c r="F1785" t="s">
        <v>60</v>
      </c>
      <c r="G1785">
        <v>-438.38479999999998</v>
      </c>
      <c r="H1785" s="1">
        <v>5.887196E-6</v>
      </c>
      <c r="I1785">
        <v>285.16669999999999</v>
      </c>
      <c r="J1785">
        <v>-423.68830000000003</v>
      </c>
      <c r="K1785">
        <v>1.1041219999999901</v>
      </c>
      <c r="L1785">
        <v>284.80829999999997</v>
      </c>
      <c r="M1785">
        <v>-0.9994904</v>
      </c>
      <c r="N1785">
        <v>0</v>
      </c>
      <c r="O1785">
        <v>2.8583750000000002E-2</v>
      </c>
      <c r="P1785">
        <v>-0.99988310000000002</v>
      </c>
      <c r="Q1785">
        <v>9.5626649999999997E-3</v>
      </c>
      <c r="R1785">
        <v>-1.194722E-2</v>
      </c>
      <c r="S1785">
        <v>-3.0032040000000002</v>
      </c>
      <c r="T1785">
        <v>-0.2213321</v>
      </c>
      <c r="U1785">
        <v>7.3547360000000006E-2</v>
      </c>
      <c r="V1785">
        <v>-4.0509379999999998E-2</v>
      </c>
      <c r="W1785">
        <v>2.3784610000000001E-2</v>
      </c>
      <c r="X1785">
        <v>0.99889599999999901</v>
      </c>
      <c r="Y1785">
        <v>-4.017446E-3</v>
      </c>
      <c r="Z1785">
        <v>-2.2510479999999999E-3</v>
      </c>
      <c r="AA1785">
        <v>0.99998940000000003</v>
      </c>
      <c r="AB1785">
        <v>29</v>
      </c>
      <c r="AC1785">
        <v>-14.696499999999901</v>
      </c>
      <c r="AD1785">
        <v>-1.10411611280399</v>
      </c>
      <c r="AE1785">
        <v>0.35840000000001698</v>
      </c>
      <c r="AF1785">
        <v>-6.1522928166895002E-2</v>
      </c>
      <c r="AG1785">
        <v>-1.10411611280399</v>
      </c>
      <c r="AH1785">
        <v>14.6182799483185</v>
      </c>
      <c r="AI1785">
        <v>94.319300907520102</v>
      </c>
      <c r="AJ1785">
        <v>90.2411352996142</v>
      </c>
      <c r="AK1785">
        <v>14.6600465929906</v>
      </c>
    </row>
    <row r="1786" spans="1:37" x14ac:dyDescent="0.2">
      <c r="A1786" t="str">
        <f>"20200111160140710"</f>
        <v>20200111160140710</v>
      </c>
      <c r="B1786" t="str">
        <f>"1578729700702906"</f>
        <v>1578729700702906</v>
      </c>
      <c r="C1786" t="s">
        <v>37</v>
      </c>
      <c r="D1786">
        <v>4.9815339999999999</v>
      </c>
      <c r="E1786">
        <v>0.51500279999999998</v>
      </c>
      <c r="F1786" t="s">
        <v>60</v>
      </c>
      <c r="G1786">
        <v>-438.83629999999999</v>
      </c>
      <c r="H1786" s="1">
        <v>6.0856859999999899E-6</v>
      </c>
      <c r="I1786">
        <v>285.18630000000002</v>
      </c>
      <c r="J1786">
        <v>-423.9846</v>
      </c>
      <c r="K1786">
        <v>1.104125</v>
      </c>
      <c r="L1786">
        <v>284.81709999999998</v>
      </c>
      <c r="M1786">
        <v>-0.99948079999999995</v>
      </c>
      <c r="N1786">
        <v>0</v>
      </c>
      <c r="O1786">
        <v>2.8924680000000001E-2</v>
      </c>
      <c r="P1786">
        <v>-0.99988559999999904</v>
      </c>
      <c r="Q1786">
        <v>9.3879359999999995E-3</v>
      </c>
      <c r="R1786">
        <v>-1.187886E-2</v>
      </c>
      <c r="S1786">
        <v>-3.00329599999999</v>
      </c>
      <c r="T1786">
        <v>-0.2189065</v>
      </c>
      <c r="U1786">
        <v>7.4951169999999998E-2</v>
      </c>
      <c r="V1786">
        <v>-4.0781999999999999E-2</v>
      </c>
      <c r="W1786">
        <v>2.36067999999999E-2</v>
      </c>
      <c r="X1786">
        <v>0.99888909999999997</v>
      </c>
      <c r="Y1786">
        <v>-3.8935129999999999E-3</v>
      </c>
      <c r="Z1786">
        <v>-2.2466529999999999E-3</v>
      </c>
      <c r="AA1786">
        <v>0.99998989999999999</v>
      </c>
      <c r="AB1786">
        <v>29</v>
      </c>
      <c r="AC1786">
        <v>-14.8516999999999</v>
      </c>
      <c r="AD1786">
        <v>-1.104118914314</v>
      </c>
      <c r="AE1786">
        <v>0.369200000000034</v>
      </c>
      <c r="AF1786">
        <v>-6.0245697396450998E-2</v>
      </c>
      <c r="AG1786">
        <v>-1.104118914314</v>
      </c>
      <c r="AH1786">
        <v>14.774558121015099</v>
      </c>
      <c r="AI1786">
        <v>94.273796711497397</v>
      </c>
      <c r="AJ1786">
        <v>90.233631695445098</v>
      </c>
      <c r="AK1786">
        <v>14.815879177161699</v>
      </c>
    </row>
    <row r="1787" spans="1:37" x14ac:dyDescent="0.2">
      <c r="A1787" t="str">
        <f>"20200111160140733"</f>
        <v>20200111160140733</v>
      </c>
      <c r="B1787" t="str">
        <f>"1578729700723403"</f>
        <v>1578729700723403</v>
      </c>
      <c r="C1787" t="s">
        <v>37</v>
      </c>
      <c r="D1787">
        <v>5.0494029999999999</v>
      </c>
      <c r="E1787">
        <v>0.5149726</v>
      </c>
      <c r="F1787" t="s">
        <v>42</v>
      </c>
      <c r="G1787">
        <v>-424.95119999999997</v>
      </c>
      <c r="H1787">
        <v>1.0334299999999901</v>
      </c>
      <c r="I1787">
        <v>284.8417</v>
      </c>
      <c r="J1787">
        <v>-424.27690000000001</v>
      </c>
      <c r="K1787">
        <v>1.1041270000000001</v>
      </c>
      <c r="L1787">
        <v>284.82589999999999</v>
      </c>
      <c r="M1787">
        <v>-0.99947109999999995</v>
      </c>
      <c r="N1787">
        <v>0</v>
      </c>
      <c r="O1787">
        <v>2.9261209999999999E-2</v>
      </c>
      <c r="P1787">
        <v>-0.9998956</v>
      </c>
      <c r="Q1787">
        <v>9.0779199999999997E-3</v>
      </c>
      <c r="R1787">
        <v>-1.125102E-2</v>
      </c>
      <c r="S1787">
        <v>-3.0033259999999999</v>
      </c>
      <c r="T1787">
        <v>-0.21977910000000001</v>
      </c>
      <c r="U1787">
        <v>7.5347899999999995E-2</v>
      </c>
      <c r="V1787">
        <v>-4.0491260000000001E-2</v>
      </c>
      <c r="W1787">
        <v>2.32935999999999E-2</v>
      </c>
      <c r="X1787">
        <v>0.99890829999999997</v>
      </c>
      <c r="Y1787">
        <v>-4.096316E-3</v>
      </c>
      <c r="Z1787">
        <v>-2.2875460000000001E-3</v>
      </c>
      <c r="AA1787">
        <v>0.99998899999999902</v>
      </c>
      <c r="AB1787">
        <v>29</v>
      </c>
      <c r="AC1787">
        <v>-0.67429999999995904</v>
      </c>
      <c r="AD1787">
        <v>-7.0697000000000204E-2</v>
      </c>
      <c r="AE1787">
        <v>1.5800000000012901E-2</v>
      </c>
      <c r="AF1787">
        <v>-3.8967753497792701E-3</v>
      </c>
      <c r="AG1787">
        <v>-7.0697000000000204E-2</v>
      </c>
      <c r="AH1787">
        <v>0.66714403698310698</v>
      </c>
      <c r="AI1787">
        <v>96.048934289780405</v>
      </c>
      <c r="AJ1787">
        <v>90.334659728390207</v>
      </c>
      <c r="AK1787">
        <v>0.67089076364878097</v>
      </c>
    </row>
    <row r="1788" spans="1:37" x14ac:dyDescent="0.2">
      <c r="A1788" t="str">
        <f>"20200111160140756"</f>
        <v>20200111160140756</v>
      </c>
      <c r="B1788" t="str">
        <f>"1578729700752682"</f>
        <v>1578729700752682</v>
      </c>
      <c r="C1788" t="s">
        <v>37</v>
      </c>
      <c r="D1788">
        <v>5.02616</v>
      </c>
      <c r="E1788">
        <v>0.51498980000000005</v>
      </c>
      <c r="F1788" t="s">
        <v>42</v>
      </c>
      <c r="G1788">
        <v>-425.21420000000001</v>
      </c>
      <c r="H1788">
        <v>1.035636</v>
      </c>
      <c r="I1788">
        <v>284.85000000000002</v>
      </c>
      <c r="J1788">
        <v>-424.58339999999998</v>
      </c>
      <c r="K1788">
        <v>1.1041289999999999</v>
      </c>
      <c r="L1788">
        <v>284.83530000000002</v>
      </c>
      <c r="M1788">
        <v>-0.99946059999999903</v>
      </c>
      <c r="N1788">
        <v>0</v>
      </c>
      <c r="O1788">
        <v>2.9614120000000001E-2</v>
      </c>
      <c r="P1788">
        <v>-0.99989609999999995</v>
      </c>
      <c r="Q1788">
        <v>8.9012350000000004E-3</v>
      </c>
      <c r="R1788">
        <v>-1.1349720000000001E-2</v>
      </c>
      <c r="S1788">
        <v>-3.0032040000000002</v>
      </c>
      <c r="T1788">
        <v>-0.21942059999999999</v>
      </c>
      <c r="U1788">
        <v>7.7056879999999994E-2</v>
      </c>
      <c r="V1788">
        <v>-4.0942989999999999E-2</v>
      </c>
      <c r="W1788">
        <v>2.311388E-2</v>
      </c>
      <c r="X1788">
        <v>0.99889409999999901</v>
      </c>
      <c r="Y1788">
        <v>-3.8796409999999901E-3</v>
      </c>
      <c r="Z1788">
        <v>-2.3017289999999902E-3</v>
      </c>
      <c r="AA1788">
        <v>0.99998980000000004</v>
      </c>
      <c r="AB1788">
        <v>29</v>
      </c>
      <c r="AC1788">
        <v>-0.63080000000002201</v>
      </c>
      <c r="AD1788">
        <v>-6.8493000000000095E-2</v>
      </c>
      <c r="AE1788">
        <v>1.47000000000048E-2</v>
      </c>
      <c r="AF1788">
        <v>-3.9424621190998696E-3</v>
      </c>
      <c r="AG1788">
        <v>-6.8493000000000095E-2</v>
      </c>
      <c r="AH1788">
        <v>0.62361035612079196</v>
      </c>
      <c r="AI1788">
        <v>96.267720402476996</v>
      </c>
      <c r="AJ1788">
        <v>90.362218857957799</v>
      </c>
      <c r="AK1788">
        <v>0.62737286386778102</v>
      </c>
    </row>
    <row r="1789" spans="1:37" x14ac:dyDescent="0.2">
      <c r="A1789" t="str">
        <f>"20200111160140778"</f>
        <v>20200111160140778</v>
      </c>
      <c r="B1789" t="str">
        <f>"1578729700773179"</f>
        <v>1578729700773179</v>
      </c>
      <c r="C1789" t="s">
        <v>37</v>
      </c>
      <c r="D1789">
        <v>5.0208830000000004</v>
      </c>
      <c r="E1789">
        <v>0.51506450000000004</v>
      </c>
      <c r="F1789" t="s">
        <v>42</v>
      </c>
      <c r="G1789">
        <v>-425.47840000000002</v>
      </c>
      <c r="H1789">
        <v>1.0390159999999999</v>
      </c>
      <c r="I1789">
        <v>284.85860000000002</v>
      </c>
      <c r="J1789">
        <v>-424.86590000000001</v>
      </c>
      <c r="K1789">
        <v>1.104125</v>
      </c>
      <c r="L1789">
        <v>284.84410000000003</v>
      </c>
      <c r="M1789">
        <v>-0.99945099999999998</v>
      </c>
      <c r="N1789">
        <v>0</v>
      </c>
      <c r="O1789">
        <v>2.9939730000000001E-2</v>
      </c>
      <c r="P1789">
        <v>-0.99988969999999899</v>
      </c>
      <c r="Q1789">
        <v>9.3591630000000002E-3</v>
      </c>
      <c r="R1789">
        <v>-1.1539499999999999E-2</v>
      </c>
      <c r="S1789">
        <v>-3.003174</v>
      </c>
      <c r="T1789">
        <v>-0.21860250000000001</v>
      </c>
      <c r="U1789">
        <v>7.6751710000000001E-2</v>
      </c>
      <c r="V1789">
        <v>-4.1457430000000003E-2</v>
      </c>
      <c r="W1789">
        <v>2.3568660000000002E-2</v>
      </c>
      <c r="X1789">
        <v>0.99886229999999998</v>
      </c>
      <c r="Y1789">
        <v>-4.3053859999999996E-3</v>
      </c>
      <c r="Z1789">
        <v>-2.332326E-3</v>
      </c>
      <c r="AA1789">
        <v>0.99998799999999899</v>
      </c>
      <c r="AB1789">
        <v>29</v>
      </c>
      <c r="AC1789">
        <v>-0.61250000000001104</v>
      </c>
      <c r="AD1789">
        <v>-6.5109E-2</v>
      </c>
      <c r="AE1789">
        <v>1.4499999999998099E-2</v>
      </c>
      <c r="AF1789">
        <v>-3.8034779308448799E-3</v>
      </c>
      <c r="AG1789">
        <v>-6.5109E-2</v>
      </c>
      <c r="AH1789">
        <v>0.60581776315664204</v>
      </c>
      <c r="AI1789">
        <v>96.134079149060994</v>
      </c>
      <c r="AJ1789">
        <v>90.359712743623504</v>
      </c>
      <c r="AK1789">
        <v>0.60931831622025601</v>
      </c>
    </row>
    <row r="1790" spans="1:37" x14ac:dyDescent="0.2">
      <c r="A1790" t="str">
        <f>"20200111160140801"</f>
        <v>20200111160140801</v>
      </c>
      <c r="B1790" t="str">
        <f>"1578729700792698"</f>
        <v>1578729700792698</v>
      </c>
      <c r="C1790" t="s">
        <v>37</v>
      </c>
      <c r="D1790">
        <v>5.0028709999999998</v>
      </c>
      <c r="E1790">
        <v>0.51503080000000001</v>
      </c>
      <c r="F1790" t="s">
        <v>57</v>
      </c>
      <c r="G1790">
        <v>-440.1694</v>
      </c>
      <c r="H1790" s="1">
        <v>-1.473733E-6</v>
      </c>
      <c r="I1790">
        <v>285.2362</v>
      </c>
      <c r="J1790">
        <v>-425.17</v>
      </c>
      <c r="K1790">
        <v>1.104128</v>
      </c>
      <c r="L1790">
        <v>284.85359999999997</v>
      </c>
      <c r="M1790">
        <v>-0.99944049999999995</v>
      </c>
      <c r="N1790">
        <v>0</v>
      </c>
      <c r="O1790">
        <v>3.029008E-2</v>
      </c>
      <c r="P1790">
        <v>-0.99988690000000002</v>
      </c>
      <c r="Q1790">
        <v>9.9277180000000003E-3</v>
      </c>
      <c r="R1790">
        <v>-1.1306760000000001E-2</v>
      </c>
      <c r="S1790">
        <v>-3.0032349999999899</v>
      </c>
      <c r="T1790">
        <v>-0.2166796</v>
      </c>
      <c r="U1790">
        <v>7.6965329999999998E-2</v>
      </c>
      <c r="V1790">
        <v>-4.1574989999999999E-2</v>
      </c>
      <c r="W1790">
        <v>2.413355E-2</v>
      </c>
      <c r="X1790">
        <v>0.99884379999999995</v>
      </c>
      <c r="Y1790">
        <v>-4.5853129999999997E-3</v>
      </c>
      <c r="Z1790">
        <v>-2.3471249999999998E-3</v>
      </c>
      <c r="AA1790">
        <v>0.99998670000000001</v>
      </c>
      <c r="AB1790">
        <v>29</v>
      </c>
      <c r="AC1790">
        <v>-14.9993999999999</v>
      </c>
      <c r="AD1790">
        <v>-1.1041294737330001</v>
      </c>
      <c r="AE1790">
        <v>0.38260000000002398</v>
      </c>
      <c r="AF1790">
        <v>-7.1566785330351101E-2</v>
      </c>
      <c r="AG1790">
        <v>-1.1041294737330001</v>
      </c>
      <c r="AH1790">
        <v>14.9232945530831</v>
      </c>
      <c r="AI1790">
        <v>94.231383311904395</v>
      </c>
      <c r="AJ1790">
        <v>90.274767967897503</v>
      </c>
      <c r="AK1790">
        <v>14.9642555450516</v>
      </c>
    </row>
    <row r="1791" spans="1:37" x14ac:dyDescent="0.2">
      <c r="A1791" t="str">
        <f>"20200111160140821"</f>
        <v>20200111160140821</v>
      </c>
      <c r="B1791" t="str">
        <f>"1578729700813194"</f>
        <v>1578729700813194</v>
      </c>
      <c r="C1791" t="s">
        <v>37</v>
      </c>
      <c r="D1791">
        <v>5.0753320000000004</v>
      </c>
      <c r="E1791">
        <v>0.51505040000000002</v>
      </c>
      <c r="F1791" t="s">
        <v>57</v>
      </c>
      <c r="G1791">
        <v>-440.64890000000003</v>
      </c>
      <c r="H1791" s="1">
        <v>-1.219266E-6</v>
      </c>
      <c r="I1791">
        <v>285.2518</v>
      </c>
      <c r="J1791">
        <v>-425.43490000000003</v>
      </c>
      <c r="K1791">
        <v>1.1041259999999999</v>
      </c>
      <c r="L1791">
        <v>284.86189999999999</v>
      </c>
      <c r="M1791">
        <v>-0.99943130000000002</v>
      </c>
      <c r="N1791">
        <v>0</v>
      </c>
      <c r="O1791">
        <v>3.0595489999999999E-2</v>
      </c>
      <c r="P1791">
        <v>-0.99989550000000005</v>
      </c>
      <c r="Q1791">
        <v>9.6121820000000004E-3</v>
      </c>
      <c r="R1791">
        <v>-1.082436E-2</v>
      </c>
      <c r="S1791">
        <v>-3.0033259999999999</v>
      </c>
      <c r="T1791">
        <v>-0.214231</v>
      </c>
      <c r="U1791">
        <v>7.7270510000000001E-2</v>
      </c>
      <c r="V1791">
        <v>-4.1398129999999998E-2</v>
      </c>
      <c r="W1791">
        <v>2.3815119999999999E-2</v>
      </c>
      <c r="X1791">
        <v>0.99885889999999999</v>
      </c>
      <c r="Y1791">
        <v>-4.7908669999999999E-3</v>
      </c>
      <c r="Z1791">
        <v>-2.3496599999999999E-3</v>
      </c>
      <c r="AA1791">
        <v>0.99998580000000004</v>
      </c>
      <c r="AB1791">
        <v>29</v>
      </c>
      <c r="AC1791">
        <v>-15.214</v>
      </c>
      <c r="AD1791">
        <v>-1.1041272192659899</v>
      </c>
      <c r="AE1791">
        <v>0.38990000000001102</v>
      </c>
      <c r="AF1791">
        <v>-7.5412215355499301E-2</v>
      </c>
      <c r="AG1791">
        <v>-1.1041272192659899</v>
      </c>
      <c r="AH1791">
        <v>15.139123248896601</v>
      </c>
      <c r="AI1791">
        <v>94.171261413993406</v>
      </c>
      <c r="AJ1791">
        <v>90.285403973237194</v>
      </c>
      <c r="AK1791">
        <v>15.1795203041411</v>
      </c>
    </row>
    <row r="1792" spans="1:37" x14ac:dyDescent="0.2">
      <c r="A1792" t="str">
        <f>"20200111160140844"</f>
        <v>20200111160140844</v>
      </c>
      <c r="B1792" t="str">
        <f>"1578729700832714"</f>
        <v>1578729700832714</v>
      </c>
      <c r="C1792" t="s">
        <v>37</v>
      </c>
      <c r="D1792">
        <v>5.0869019999999896</v>
      </c>
      <c r="E1792">
        <v>0.5149939</v>
      </c>
      <c r="F1792" t="s">
        <v>57</v>
      </c>
      <c r="G1792">
        <v>-440.79410000000001</v>
      </c>
      <c r="H1792" s="1">
        <v>-1.142506E-6</v>
      </c>
      <c r="I1792">
        <v>285.2638</v>
      </c>
      <c r="J1792">
        <v>-425.72660000000002</v>
      </c>
      <c r="K1792">
        <v>1.1041270000000001</v>
      </c>
      <c r="L1792">
        <v>284.87119999999999</v>
      </c>
      <c r="M1792">
        <v>-0.99942089999999995</v>
      </c>
      <c r="N1792">
        <v>0</v>
      </c>
      <c r="O1792">
        <v>3.093189E-2</v>
      </c>
      <c r="P1792">
        <v>-0.99991019999999897</v>
      </c>
      <c r="Q1792">
        <v>8.8049080000000002E-3</v>
      </c>
      <c r="R1792">
        <v>-1.0117879999999999E-2</v>
      </c>
      <c r="S1792">
        <v>-3.0032349999999899</v>
      </c>
      <c r="T1792">
        <v>-0.215893899999999</v>
      </c>
      <c r="U1792">
        <v>7.8582760000000001E-2</v>
      </c>
      <c r="V1792">
        <v>-4.102977E-2</v>
      </c>
      <c r="W1792">
        <v>2.3004710000000001E-2</v>
      </c>
      <c r="X1792">
        <v>0.99889309999999998</v>
      </c>
      <c r="Y1792">
        <v>-4.68802299999999E-3</v>
      </c>
      <c r="Z1792">
        <v>-2.3883519999999998E-3</v>
      </c>
      <c r="AA1792">
        <v>0.99998619999999905</v>
      </c>
      <c r="AB1792">
        <v>29</v>
      </c>
      <c r="AC1792">
        <v>-15.0674999999999</v>
      </c>
      <c r="AD1792">
        <v>-1.1041281425060001</v>
      </c>
      <c r="AE1792">
        <v>0.39260000000001499</v>
      </c>
      <c r="AF1792">
        <v>-7.3307638732554803E-2</v>
      </c>
      <c r="AG1792">
        <v>-1.1041281425060001</v>
      </c>
      <c r="AH1792">
        <v>14.991984697372001</v>
      </c>
      <c r="AI1792">
        <v>94.212058958333898</v>
      </c>
      <c r="AJ1792">
        <v>90.280162027571507</v>
      </c>
      <c r="AK1792">
        <v>15.0327668155668</v>
      </c>
    </row>
    <row r="1793" spans="1:37" x14ac:dyDescent="0.2">
      <c r="A1793" t="str">
        <f>"20200111160140867"</f>
        <v>20200111160140867</v>
      </c>
      <c r="B1793" t="str">
        <f>"1578729700862971"</f>
        <v>1578729700862971</v>
      </c>
      <c r="C1793" t="s">
        <v>37</v>
      </c>
      <c r="D1793">
        <v>5.1189999999999998</v>
      </c>
      <c r="E1793">
        <v>0.51499050000000002</v>
      </c>
      <c r="F1793" t="s">
        <v>57</v>
      </c>
      <c r="G1793">
        <v>-440.91559999999998</v>
      </c>
      <c r="H1793" s="1">
        <v>-1.0785159999999999E-6</v>
      </c>
      <c r="I1793">
        <v>285.27929999999998</v>
      </c>
      <c r="J1793">
        <v>-426.03320000000002</v>
      </c>
      <c r="K1793">
        <v>1.104133</v>
      </c>
      <c r="L1793">
        <v>284.88119999999998</v>
      </c>
      <c r="M1793">
        <v>-0.99940989999999996</v>
      </c>
      <c r="N1793">
        <v>0</v>
      </c>
      <c r="O1793">
        <v>3.1285519999999997E-2</v>
      </c>
      <c r="P1793">
        <v>-0.99991580000000002</v>
      </c>
      <c r="Q1793">
        <v>8.6540780000000008E-3</v>
      </c>
      <c r="R1793">
        <v>-9.6742689999999992E-3</v>
      </c>
      <c r="S1793">
        <v>-3.0030519999999998</v>
      </c>
      <c r="T1793">
        <v>-0.21829870000000001</v>
      </c>
      <c r="U1793">
        <v>8.0688480000000007E-2</v>
      </c>
      <c r="V1793">
        <v>-4.0939900000000001E-2</v>
      </c>
      <c r="W1793">
        <v>2.285073E-2</v>
      </c>
      <c r="X1793">
        <v>0.99890029999999996</v>
      </c>
      <c r="Y1793">
        <v>-4.33750299999999E-3</v>
      </c>
      <c r="Z1793">
        <v>-2.4279390000000001E-3</v>
      </c>
      <c r="AA1793">
        <v>0.99998770000000003</v>
      </c>
      <c r="AB1793">
        <v>29</v>
      </c>
      <c r="AC1793">
        <v>-14.882399999999899</v>
      </c>
      <c r="AD1793">
        <v>-1.1041340785160001</v>
      </c>
      <c r="AE1793">
        <v>0.39809999999999901</v>
      </c>
      <c r="AF1793">
        <v>-6.73747706997887E-2</v>
      </c>
      <c r="AG1793">
        <v>-1.1041340785160001</v>
      </c>
      <c r="AH1793">
        <v>14.8061311570198</v>
      </c>
      <c r="AI1793">
        <v>94.264766489560998</v>
      </c>
      <c r="AJ1793">
        <v>90.2607205975347</v>
      </c>
      <c r="AK1793">
        <v>14.8473961104949</v>
      </c>
    </row>
    <row r="1794" spans="1:37" x14ac:dyDescent="0.2">
      <c r="A1794" t="str">
        <f>"20200111160140890"</f>
        <v>20200111160140890</v>
      </c>
      <c r="B1794" t="str">
        <f>"1578729700882490"</f>
        <v>1578729700882490</v>
      </c>
      <c r="C1794" t="s">
        <v>37</v>
      </c>
      <c r="D1794">
        <v>5.0786040000000003</v>
      </c>
      <c r="E1794">
        <v>0.51500049999999997</v>
      </c>
      <c r="F1794" t="s">
        <v>57</v>
      </c>
      <c r="G1794">
        <v>-441.19990000000001</v>
      </c>
      <c r="H1794" s="1">
        <v>-9.2793700000000001E-7</v>
      </c>
      <c r="I1794">
        <v>285.29469999999998</v>
      </c>
      <c r="J1794">
        <v>-426.31439999999998</v>
      </c>
      <c r="K1794">
        <v>1.1041339999999999</v>
      </c>
      <c r="L1794">
        <v>284.89030000000002</v>
      </c>
      <c r="M1794">
        <v>-0.99939979999999995</v>
      </c>
      <c r="N1794">
        <v>0</v>
      </c>
      <c r="O1794">
        <v>3.160988E-2</v>
      </c>
      <c r="P1794">
        <v>-0.99992159999999997</v>
      </c>
      <c r="Q1794">
        <v>8.3328029999999997E-3</v>
      </c>
      <c r="R1794">
        <v>-9.3587679999999999E-3</v>
      </c>
      <c r="S1794">
        <v>-3.0029599999999999</v>
      </c>
      <c r="T1794">
        <v>-0.21861610000000001</v>
      </c>
      <c r="U1794">
        <v>8.1878660000000006E-2</v>
      </c>
      <c r="V1794">
        <v>-4.094925E-2</v>
      </c>
      <c r="W1794">
        <v>2.2526569999999999E-2</v>
      </c>
      <c r="X1794">
        <v>0.99890730000000005</v>
      </c>
      <c r="Y1794">
        <v>-4.2642460000000002E-3</v>
      </c>
      <c r="Z1794">
        <v>-2.4524210000000002E-3</v>
      </c>
      <c r="AA1794">
        <v>0.99998790000000004</v>
      </c>
      <c r="AB1794">
        <v>29</v>
      </c>
      <c r="AC1794">
        <v>-14.8855</v>
      </c>
      <c r="AD1794">
        <v>-1.1041349279369901</v>
      </c>
      <c r="AE1794">
        <v>0.40439999999995202</v>
      </c>
      <c r="AF1794">
        <v>-6.6015310434166696E-2</v>
      </c>
      <c r="AG1794">
        <v>-1.1041349279369901</v>
      </c>
      <c r="AH1794">
        <v>14.8094235210181</v>
      </c>
      <c r="AI1794">
        <v>94.263826906802095</v>
      </c>
      <c r="AJ1794">
        <v>90.255403163606701</v>
      </c>
      <c r="AK1794">
        <v>14.8506732839015</v>
      </c>
    </row>
    <row r="1795" spans="1:37" x14ac:dyDescent="0.2">
      <c r="A1795" t="str">
        <f>"20200111160140911"</f>
        <v>20200111160140911</v>
      </c>
      <c r="B1795" t="str">
        <f>"1578729700902986"</f>
        <v>1578729700902986</v>
      </c>
      <c r="C1795" t="s">
        <v>37</v>
      </c>
      <c r="D1795">
        <v>5.1133870000000003</v>
      </c>
      <c r="E1795">
        <v>0.51492759999999904</v>
      </c>
      <c r="F1795" t="s">
        <v>42</v>
      </c>
      <c r="G1795">
        <v>-427.28969999999998</v>
      </c>
      <c r="H1795">
        <v>1.032786</v>
      </c>
      <c r="I1795">
        <v>284.91739999999999</v>
      </c>
      <c r="J1795">
        <v>-426.59629999999999</v>
      </c>
      <c r="K1795">
        <v>1.104133</v>
      </c>
      <c r="L1795">
        <v>284.89960000000002</v>
      </c>
      <c r="M1795">
        <v>-0.99938950000000004</v>
      </c>
      <c r="N1795">
        <v>0</v>
      </c>
      <c r="O1795">
        <v>3.1935140000000001E-2</v>
      </c>
      <c r="P1795">
        <v>-0.99992139999999996</v>
      </c>
      <c r="Q1795">
        <v>8.391819E-3</v>
      </c>
      <c r="R1795">
        <v>-9.3410279999999995E-3</v>
      </c>
      <c r="S1795">
        <v>-3.002869</v>
      </c>
      <c r="T1795">
        <v>-0.219726</v>
      </c>
      <c r="U1795">
        <v>8.2855219999999993E-2</v>
      </c>
      <c r="V1795">
        <v>-4.1256889999999997E-2</v>
      </c>
      <c r="W1795">
        <v>2.2582339999999999E-2</v>
      </c>
      <c r="X1795">
        <v>0.99889329999999998</v>
      </c>
      <c r="Y1795">
        <v>-4.2620770000000004E-3</v>
      </c>
      <c r="Z1795">
        <v>-2.4885720000000001E-3</v>
      </c>
      <c r="AA1795">
        <v>0.99998779999999998</v>
      </c>
      <c r="AB1795">
        <v>29</v>
      </c>
      <c r="AC1795">
        <v>-0.69339999999999602</v>
      </c>
      <c r="AD1795">
        <v>-7.1346999999999994E-2</v>
      </c>
      <c r="AE1795">
        <v>1.77999999999656E-2</v>
      </c>
      <c r="AF1795">
        <v>-4.3095340670852899E-3</v>
      </c>
      <c r="AG1795">
        <v>-7.1346999999999994E-2</v>
      </c>
      <c r="AH1795">
        <v>0.68635294354871401</v>
      </c>
      <c r="AI1795">
        <v>95.934516306414494</v>
      </c>
      <c r="AJ1795">
        <v>90.359749122137799</v>
      </c>
      <c r="AK1795">
        <v>0.69006472856599499</v>
      </c>
    </row>
    <row r="1796" spans="1:37" x14ac:dyDescent="0.2">
      <c r="A1796" t="str">
        <f>"20200111160140933"</f>
        <v>20200111160140933</v>
      </c>
      <c r="B1796" t="str">
        <f>"1578729700923482"</f>
        <v>1578729700923482</v>
      </c>
      <c r="C1796" t="s">
        <v>37</v>
      </c>
      <c r="D1796">
        <v>5.0783379999999996</v>
      </c>
      <c r="E1796">
        <v>0.51489669999999998</v>
      </c>
      <c r="F1796" t="s">
        <v>42</v>
      </c>
      <c r="G1796">
        <v>-427.5496</v>
      </c>
      <c r="H1796">
        <v>1.0346340000000001</v>
      </c>
      <c r="I1796">
        <v>284.92590000000001</v>
      </c>
      <c r="J1796">
        <v>-426.87819999999999</v>
      </c>
      <c r="K1796">
        <v>1.104133</v>
      </c>
      <c r="L1796">
        <v>284.90899999999999</v>
      </c>
      <c r="M1796">
        <v>-0.99937900000000002</v>
      </c>
      <c r="N1796">
        <v>0</v>
      </c>
      <c r="O1796">
        <v>3.2260570000000002E-2</v>
      </c>
      <c r="P1796">
        <v>-0.9999188</v>
      </c>
      <c r="Q1796">
        <v>8.7190669999999901E-3</v>
      </c>
      <c r="R1796">
        <v>-9.3029269999999904E-3</v>
      </c>
      <c r="S1796">
        <v>-3.002869</v>
      </c>
      <c r="T1796">
        <v>-0.21900429999999901</v>
      </c>
      <c r="U1796">
        <v>8.236694E-2</v>
      </c>
      <c r="V1796">
        <v>-4.1543799999999999E-2</v>
      </c>
      <c r="W1796">
        <v>2.2906510000000001E-2</v>
      </c>
      <c r="X1796">
        <v>0.99887409999999999</v>
      </c>
      <c r="Y1796">
        <v>-4.7486669999999998E-3</v>
      </c>
      <c r="Z1796">
        <v>-2.521831E-3</v>
      </c>
      <c r="AA1796">
        <v>0.99998549999999997</v>
      </c>
      <c r="AB1796">
        <v>29</v>
      </c>
      <c r="AC1796">
        <v>-0.67140000000000499</v>
      </c>
      <c r="AD1796">
        <v>-6.9498999999999894E-2</v>
      </c>
      <c r="AE1796">
        <v>1.6900000000020999E-2</v>
      </c>
      <c r="AF1796">
        <v>-4.72017584663022E-3</v>
      </c>
      <c r="AG1796">
        <v>-6.9498999999999894E-2</v>
      </c>
      <c r="AH1796">
        <v>0.66448028429104</v>
      </c>
      <c r="AI1796">
        <v>95.970793199862896</v>
      </c>
      <c r="AJ1796">
        <v>90.406997185841206</v>
      </c>
      <c r="AK1796">
        <v>0.66812157521855597</v>
      </c>
    </row>
    <row r="1797" spans="1:37" x14ac:dyDescent="0.2">
      <c r="A1797" t="str">
        <f>"20200111160140955"</f>
        <v>20200111160140955</v>
      </c>
      <c r="B1797" t="str">
        <f>"1578729700952763"</f>
        <v>1578729700952763</v>
      </c>
      <c r="C1797" t="s">
        <v>37</v>
      </c>
      <c r="D1797">
        <v>4.9476120000000003</v>
      </c>
      <c r="E1797">
        <v>0.51485079999999905</v>
      </c>
      <c r="F1797" t="s">
        <v>42</v>
      </c>
      <c r="G1797">
        <v>-427.80950000000001</v>
      </c>
      <c r="H1797">
        <v>1.0367249999999999</v>
      </c>
      <c r="I1797">
        <v>284.93470000000002</v>
      </c>
      <c r="J1797">
        <v>-427.16750000000002</v>
      </c>
      <c r="K1797">
        <v>1.104139</v>
      </c>
      <c r="L1797">
        <v>284.9187</v>
      </c>
      <c r="M1797">
        <v>-0.99936829999999999</v>
      </c>
      <c r="N1797">
        <v>0</v>
      </c>
      <c r="O1797">
        <v>3.2594350000000001E-2</v>
      </c>
      <c r="P1797">
        <v>-0.99990709999999905</v>
      </c>
      <c r="Q1797">
        <v>9.4689419999999993E-3</v>
      </c>
      <c r="R1797">
        <v>-9.8187029999999998E-3</v>
      </c>
      <c r="S1797">
        <v>-3.0029599999999999</v>
      </c>
      <c r="T1797">
        <v>-0.21745900000000001</v>
      </c>
      <c r="U1797">
        <v>8.2427979999999998E-2</v>
      </c>
      <c r="V1797">
        <v>-4.2392300000000001E-2</v>
      </c>
      <c r="W1797">
        <v>2.365304E-2</v>
      </c>
      <c r="X1797">
        <v>0.99882099999999996</v>
      </c>
      <c r="Y1797">
        <v>-5.0628610000000001E-3</v>
      </c>
      <c r="Z1797">
        <v>-2.5394860000000001E-3</v>
      </c>
      <c r="AA1797">
        <v>0.99998399999999998</v>
      </c>
      <c r="AB1797">
        <v>29</v>
      </c>
      <c r="AC1797">
        <v>-0.64199999999999502</v>
      </c>
      <c r="AD1797">
        <v>-6.7414000000000002E-2</v>
      </c>
      <c r="AE1797">
        <v>1.6000000000019499E-2</v>
      </c>
      <c r="AF1797">
        <v>-4.8823739020554102E-3</v>
      </c>
      <c r="AG1797">
        <v>-6.7414000000000002E-2</v>
      </c>
      <c r="AH1797">
        <v>0.63518102063739301</v>
      </c>
      <c r="AI1797">
        <v>96.0581456352662</v>
      </c>
      <c r="AJ1797">
        <v>90.440400295916604</v>
      </c>
      <c r="AK1797">
        <v>0.63876710462333597</v>
      </c>
    </row>
    <row r="1798" spans="1:37" x14ac:dyDescent="0.2">
      <c r="A1798" t="str">
        <f>"20200111160140978"</f>
        <v>20200111160140978</v>
      </c>
      <c r="B1798" t="str">
        <f>"1578729700973258"</f>
        <v>1578729700973258</v>
      </c>
      <c r="C1798" t="s">
        <v>37</v>
      </c>
      <c r="D1798">
        <v>4.9691179999999999</v>
      </c>
      <c r="E1798">
        <v>0.51481009999999905</v>
      </c>
      <c r="F1798" t="s">
        <v>42</v>
      </c>
      <c r="G1798">
        <v>-428.07979999999998</v>
      </c>
      <c r="H1798">
        <v>1.0391709999999901</v>
      </c>
      <c r="I1798">
        <v>284.94349999999997</v>
      </c>
      <c r="J1798">
        <v>-427.46210000000002</v>
      </c>
      <c r="K1798">
        <v>1.104147</v>
      </c>
      <c r="L1798">
        <v>284.92860000000002</v>
      </c>
      <c r="M1798">
        <v>-0.99935719999999995</v>
      </c>
      <c r="N1798">
        <v>0</v>
      </c>
      <c r="O1798">
        <v>3.2934919999999999E-2</v>
      </c>
      <c r="P1798">
        <v>-0.99990080000000003</v>
      </c>
      <c r="Q1798">
        <v>1.02708E-2</v>
      </c>
      <c r="R1798">
        <v>-9.6494340000000001E-3</v>
      </c>
      <c r="S1798">
        <v>-3.0030519999999998</v>
      </c>
      <c r="T1798">
        <v>-0.21408920000000001</v>
      </c>
      <c r="U1798">
        <v>8.0413819999999997E-2</v>
      </c>
      <c r="V1798">
        <v>-4.2562460000000003E-2</v>
      </c>
      <c r="W1798">
        <v>2.4451980000000002E-2</v>
      </c>
      <c r="X1798">
        <v>0.99879459999999998</v>
      </c>
      <c r="Y1798">
        <v>-6.0742790000000001E-3</v>
      </c>
      <c r="Z1798">
        <v>-2.560419E-3</v>
      </c>
      <c r="AA1798">
        <v>0.99997819999999904</v>
      </c>
      <c r="AB1798">
        <v>29</v>
      </c>
      <c r="AC1798">
        <v>-0.61769999999995595</v>
      </c>
      <c r="AD1798">
        <v>-6.4976000000000103E-2</v>
      </c>
      <c r="AE1798">
        <v>1.4899999999954601E-2</v>
      </c>
      <c r="AF1798">
        <v>-5.3943706291265702E-3</v>
      </c>
      <c r="AG1798">
        <v>-6.4976000000000103E-2</v>
      </c>
      <c r="AH1798">
        <v>0.61109775502534702</v>
      </c>
      <c r="AI1798">
        <v>96.069032542507799</v>
      </c>
      <c r="AJ1798">
        <v>90.505756468755905</v>
      </c>
      <c r="AK1798">
        <v>0.61456606317588303</v>
      </c>
    </row>
    <row r="1799" spans="1:37" x14ac:dyDescent="0.2">
      <c r="A1799" t="str">
        <f>"20200111160141000"</f>
        <v>20200111160141000</v>
      </c>
      <c r="B1799" t="str">
        <f>"1578729700992778"</f>
        <v>1578729700992778</v>
      </c>
      <c r="C1799" t="s">
        <v>37</v>
      </c>
      <c r="D1799">
        <v>4.8900670000000002</v>
      </c>
      <c r="E1799">
        <v>0.51482050000000001</v>
      </c>
      <c r="F1799" t="s">
        <v>57</v>
      </c>
      <c r="G1799">
        <v>-443.2004</v>
      </c>
      <c r="H1799" s="1">
        <v>1.3419210000000001E-7</v>
      </c>
      <c r="I1799">
        <v>285.351</v>
      </c>
      <c r="J1799">
        <v>-427.75049999999999</v>
      </c>
      <c r="K1799">
        <v>1.104147</v>
      </c>
      <c r="L1799">
        <v>284.93849999999998</v>
      </c>
      <c r="M1799">
        <v>-0.99934609999999902</v>
      </c>
      <c r="N1799">
        <v>0</v>
      </c>
      <c r="O1799">
        <v>3.3268399999999997E-2</v>
      </c>
      <c r="P1799">
        <v>-0.99990449999999997</v>
      </c>
      <c r="Q1799">
        <v>1.047561E-2</v>
      </c>
      <c r="R1799">
        <v>-9.0271480000000005E-3</v>
      </c>
      <c r="S1799">
        <v>-3.0032349999999899</v>
      </c>
      <c r="T1799">
        <v>-0.21069689999999999</v>
      </c>
      <c r="U1799">
        <v>8.0596920000000002E-2</v>
      </c>
      <c r="V1799">
        <v>-4.2274109999999997E-2</v>
      </c>
      <c r="W1799">
        <v>2.4653620000000001E-2</v>
      </c>
      <c r="X1799">
        <v>0.99880179999999996</v>
      </c>
      <c r="Y1799">
        <v>-6.35029699999999E-3</v>
      </c>
      <c r="Z1799">
        <v>-2.5528129999999902E-3</v>
      </c>
      <c r="AA1799">
        <v>0.99997659999999999</v>
      </c>
      <c r="AB1799">
        <v>29</v>
      </c>
      <c r="AC1799">
        <v>-15.4499</v>
      </c>
      <c r="AD1799">
        <v>-1.1041468658078999</v>
      </c>
      <c r="AE1799">
        <v>0.41250000000002202</v>
      </c>
      <c r="AF1799">
        <v>-0.101256602062891</v>
      </c>
      <c r="AG1799">
        <v>-1.1041468658078999</v>
      </c>
      <c r="AH1799">
        <v>15.3765917305083</v>
      </c>
      <c r="AI1799">
        <v>94.107099542452502</v>
      </c>
      <c r="AJ1799">
        <v>90.377293758629506</v>
      </c>
      <c r="AK1799">
        <v>15.416516028191101</v>
      </c>
    </row>
    <row r="1800" spans="1:37" x14ac:dyDescent="0.2">
      <c r="A1800" t="str">
        <f>"20200111160141022"</f>
        <v>20200111160141022</v>
      </c>
      <c r="B1800" t="str">
        <f>"1578729701013274"</f>
        <v>1578729701013274</v>
      </c>
      <c r="C1800" t="s">
        <v>37</v>
      </c>
      <c r="D1800">
        <v>4.8633300000000004</v>
      </c>
      <c r="E1800">
        <v>0.51481390000000005</v>
      </c>
      <c r="F1800" t="s">
        <v>57</v>
      </c>
      <c r="G1800">
        <v>-443.59500000000003</v>
      </c>
      <c r="H1800" s="1">
        <v>3.4311559999999999E-7</v>
      </c>
      <c r="I1800">
        <v>285.37479999999999</v>
      </c>
      <c r="J1800">
        <v>-428.0299</v>
      </c>
      <c r="K1800">
        <v>1.104149</v>
      </c>
      <c r="L1800">
        <v>284.94819999999999</v>
      </c>
      <c r="M1800">
        <v>-0.99933549999999904</v>
      </c>
      <c r="N1800">
        <v>0</v>
      </c>
      <c r="O1800">
        <v>3.3590620000000002E-2</v>
      </c>
      <c r="P1800">
        <v>-0.99990730000000005</v>
      </c>
      <c r="Q1800">
        <v>1.0846120000000001E-2</v>
      </c>
      <c r="R1800">
        <v>-8.2584549999999996E-3</v>
      </c>
      <c r="S1800">
        <v>-3.0032349999999899</v>
      </c>
      <c r="T1800">
        <v>-0.209285</v>
      </c>
      <c r="U1800">
        <v>8.2702639999999994E-2</v>
      </c>
      <c r="V1800">
        <v>-4.1827940000000001E-2</v>
      </c>
      <c r="W1800">
        <v>2.5021149999999999E-2</v>
      </c>
      <c r="X1800">
        <v>0.99881149999999996</v>
      </c>
      <c r="Y1800">
        <v>-5.9735419999999897E-3</v>
      </c>
      <c r="Z1800">
        <v>-2.545018E-3</v>
      </c>
      <c r="AA1800">
        <v>0.9999789</v>
      </c>
      <c r="AB1800">
        <v>29</v>
      </c>
      <c r="AC1800">
        <v>-15.565099999999999</v>
      </c>
      <c r="AD1800">
        <v>-1.1041486568843999</v>
      </c>
      <c r="AE1800">
        <v>0.42660000000000697</v>
      </c>
      <c r="AF1800">
        <v>-9.6051519751550504E-2</v>
      </c>
      <c r="AG1800">
        <v>-1.1041486568843999</v>
      </c>
      <c r="AH1800">
        <v>15.492742800096901</v>
      </c>
      <c r="AI1800">
        <v>94.0764288833238</v>
      </c>
      <c r="AJ1800">
        <v>90.355216391256107</v>
      </c>
      <c r="AK1800">
        <v>15.532335613838001</v>
      </c>
    </row>
    <row r="1801" spans="1:37" x14ac:dyDescent="0.2">
      <c r="A1801" t="str">
        <f>"20200111160141046"</f>
        <v>20200111160141046</v>
      </c>
      <c r="B1801" t="str">
        <f>"1578729701033338"</f>
        <v>1578729701033338</v>
      </c>
      <c r="C1801" t="s">
        <v>37</v>
      </c>
      <c r="D1801">
        <v>4.7902639999999996</v>
      </c>
      <c r="E1801">
        <v>0.51480619999999999</v>
      </c>
      <c r="F1801" t="s">
        <v>57</v>
      </c>
      <c r="G1801">
        <v>-444.01990000000001</v>
      </c>
      <c r="H1801" s="1">
        <v>5.682117E-7</v>
      </c>
      <c r="I1801">
        <v>285.39890000000003</v>
      </c>
      <c r="J1801">
        <v>-428.3186</v>
      </c>
      <c r="K1801">
        <v>1.1041589999999999</v>
      </c>
      <c r="L1801">
        <v>284.95830000000001</v>
      </c>
      <c r="M1801">
        <v>-0.99932430000000005</v>
      </c>
      <c r="N1801">
        <v>0</v>
      </c>
      <c r="O1801">
        <v>3.3923870000000002E-2</v>
      </c>
      <c r="P1801">
        <v>-0.99991319999999995</v>
      </c>
      <c r="Q1801">
        <v>1.0977209999999999E-2</v>
      </c>
      <c r="R1801">
        <v>-7.3062140000000001E-3</v>
      </c>
      <c r="S1801">
        <v>-3.0032649999999999</v>
      </c>
      <c r="T1801">
        <v>-0.20738239999999999</v>
      </c>
      <c r="U1801">
        <v>8.4655759999999997E-2</v>
      </c>
      <c r="V1801">
        <v>-4.1209599999999999E-2</v>
      </c>
      <c r="W1801">
        <v>2.5149379999999999E-2</v>
      </c>
      <c r="X1801">
        <v>0.998834</v>
      </c>
      <c r="Y1801">
        <v>-5.6591539999999996E-3</v>
      </c>
      <c r="Z1801">
        <v>-2.5340079999999999E-3</v>
      </c>
      <c r="AA1801">
        <v>0.99998069999999895</v>
      </c>
      <c r="AB1801">
        <v>29</v>
      </c>
      <c r="AC1801">
        <v>-15.7013</v>
      </c>
      <c r="AD1801">
        <v>-1.1041584317883</v>
      </c>
      <c r="AE1801">
        <v>0.44060000000001698</v>
      </c>
      <c r="AF1801">
        <v>-9.1901692067348204E-2</v>
      </c>
      <c r="AG1801">
        <v>-1.1041584317883</v>
      </c>
      <c r="AH1801">
        <v>15.629975279755699</v>
      </c>
      <c r="AI1801">
        <v>94.040800017065393</v>
      </c>
      <c r="AJ1801">
        <v>90.336885907445193</v>
      </c>
      <c r="AK1801">
        <v>15.669197139907</v>
      </c>
    </row>
    <row r="1802" spans="1:37" x14ac:dyDescent="0.2">
      <c r="A1802" t="str">
        <f>"20200111160141068"</f>
        <v>20200111160141068</v>
      </c>
      <c r="B1802" t="str">
        <f>"1578729701062617"</f>
        <v>1578729701062617</v>
      </c>
      <c r="C1802" t="s">
        <v>37</v>
      </c>
      <c r="D1802">
        <v>4.731128</v>
      </c>
      <c r="E1802">
        <v>0.51479149999999996</v>
      </c>
      <c r="F1802" t="s">
        <v>57</v>
      </c>
      <c r="G1802">
        <v>-444.41019999999997</v>
      </c>
      <c r="H1802" s="1">
        <v>7.7460110000000003E-7</v>
      </c>
      <c r="I1802">
        <v>285.42829999999998</v>
      </c>
      <c r="J1802">
        <v>-428.6087</v>
      </c>
      <c r="K1802">
        <v>1.1041639999999999</v>
      </c>
      <c r="L1802">
        <v>284.96850000000001</v>
      </c>
      <c r="M1802">
        <v>-0.9993128</v>
      </c>
      <c r="N1802">
        <v>0</v>
      </c>
      <c r="O1802">
        <v>3.4258839999999999E-2</v>
      </c>
      <c r="P1802">
        <v>-0.99990970000000001</v>
      </c>
      <c r="Q1802">
        <v>1.157473E-2</v>
      </c>
      <c r="R1802">
        <v>-6.8472849999999998E-3</v>
      </c>
      <c r="S1802">
        <v>-3.0032040000000002</v>
      </c>
      <c r="T1802">
        <v>-0.2060708</v>
      </c>
      <c r="U1802">
        <v>8.7707519999999997E-2</v>
      </c>
      <c r="V1802">
        <v>-4.1085620000000003E-2</v>
      </c>
      <c r="W1802">
        <v>2.57437999999999E-2</v>
      </c>
      <c r="X1802">
        <v>0.99882389999999999</v>
      </c>
      <c r="Y1802">
        <v>-4.9804580000000001E-3</v>
      </c>
      <c r="Z1802">
        <v>-2.5177099999999998E-3</v>
      </c>
      <c r="AA1802">
        <v>0.9999844</v>
      </c>
      <c r="AB1802">
        <v>29</v>
      </c>
      <c r="AC1802">
        <v>-15.8014999999999</v>
      </c>
      <c r="AD1802">
        <v>-1.1041632253989</v>
      </c>
      <c r="AE1802">
        <v>0.45979999999997201</v>
      </c>
      <c r="AF1802">
        <v>-8.1467777146298201E-2</v>
      </c>
      <c r="AG1802">
        <v>-1.1041632253989</v>
      </c>
      <c r="AH1802">
        <v>15.7312287181018</v>
      </c>
      <c r="AI1802">
        <v>94.014909780191999</v>
      </c>
      <c r="AJ1802">
        <v>90.296716687076497</v>
      </c>
      <c r="AK1802">
        <v>15.770141737101399</v>
      </c>
    </row>
    <row r="1803" spans="1:37" x14ac:dyDescent="0.2">
      <c r="A1803" t="str">
        <f>"20200111160141089"</f>
        <v>20200111160141089</v>
      </c>
      <c r="B1803" t="str">
        <f>"1578729701083113"</f>
        <v>1578729701083113</v>
      </c>
      <c r="C1803" t="s">
        <v>37</v>
      </c>
      <c r="D1803">
        <v>4.7793999999999999</v>
      </c>
      <c r="E1803">
        <v>0.51479240000000004</v>
      </c>
      <c r="F1803" t="s">
        <v>57</v>
      </c>
      <c r="G1803">
        <v>-444.94639999999998</v>
      </c>
      <c r="H1803" s="1">
        <v>1.058896E-6</v>
      </c>
      <c r="I1803">
        <v>285.45260000000002</v>
      </c>
      <c r="J1803">
        <v>-428.88869999999997</v>
      </c>
      <c r="K1803">
        <v>1.104166</v>
      </c>
      <c r="L1803">
        <v>284.9785</v>
      </c>
      <c r="M1803">
        <v>-0.99930169999999996</v>
      </c>
      <c r="N1803">
        <v>0</v>
      </c>
      <c r="O1803">
        <v>3.4582719999999997E-2</v>
      </c>
      <c r="P1803">
        <v>-0.99990840000000003</v>
      </c>
      <c r="Q1803">
        <v>1.1883009999999999E-2</v>
      </c>
      <c r="R1803">
        <v>-6.4814249999999999E-3</v>
      </c>
      <c r="S1803">
        <v>-3.0032649999999999</v>
      </c>
      <c r="T1803">
        <v>-0.20297129999999999</v>
      </c>
      <c r="U1803">
        <v>8.8989260000000001E-2</v>
      </c>
      <c r="V1803">
        <v>-4.1043379999999997E-2</v>
      </c>
      <c r="W1803">
        <v>2.6049349999999999E-2</v>
      </c>
      <c r="X1803">
        <v>0.99881769999999903</v>
      </c>
      <c r="Y1803">
        <v>-4.8809889999999996E-3</v>
      </c>
      <c r="Z1803">
        <v>-2.498349E-3</v>
      </c>
      <c r="AA1803">
        <v>0.99998500000000001</v>
      </c>
      <c r="AB1803">
        <v>29</v>
      </c>
      <c r="AC1803">
        <v>-16.057700000000001</v>
      </c>
      <c r="AD1803">
        <v>-1.104164941104</v>
      </c>
      <c r="AE1803">
        <v>0.474100000000021</v>
      </c>
      <c r="AF1803">
        <v>-8.1174688588724897E-2</v>
      </c>
      <c r="AG1803">
        <v>-1.104164941104</v>
      </c>
      <c r="AH1803">
        <v>15.988956215920901</v>
      </c>
      <c r="AI1803">
        <v>93.950407817450497</v>
      </c>
      <c r="AJ1803">
        <v>90.290883722330307</v>
      </c>
      <c r="AK1803">
        <v>16.027242134000002</v>
      </c>
    </row>
    <row r="1804" spans="1:37" x14ac:dyDescent="0.2">
      <c r="A1804" t="str">
        <f>"20200111160141113"</f>
        <v>20200111160141113</v>
      </c>
      <c r="B1804" t="str">
        <f>"1578729701103610"</f>
        <v>1578729701103610</v>
      </c>
      <c r="C1804" t="s">
        <v>37</v>
      </c>
      <c r="D1804">
        <v>4.672415</v>
      </c>
      <c r="E1804">
        <v>0.51482079999999997</v>
      </c>
      <c r="F1804" t="s">
        <v>42</v>
      </c>
      <c r="G1804">
        <v>-429.86660000000001</v>
      </c>
      <c r="H1804">
        <v>1.0386759999999999</v>
      </c>
      <c r="I1804">
        <v>285.00799999999998</v>
      </c>
      <c r="J1804">
        <v>-429.18329999999997</v>
      </c>
      <c r="K1804">
        <v>1.104169</v>
      </c>
      <c r="L1804">
        <v>284.98910000000001</v>
      </c>
      <c r="M1804">
        <v>-0.99928989999999995</v>
      </c>
      <c r="N1804">
        <v>0</v>
      </c>
      <c r="O1804">
        <v>3.4923410000000002E-2</v>
      </c>
      <c r="P1804">
        <v>-0.99990709999999905</v>
      </c>
      <c r="Q1804">
        <v>1.215888E-2</v>
      </c>
      <c r="R1804">
        <v>-6.1760599999999997E-3</v>
      </c>
      <c r="S1804">
        <v>-3.0032349999999899</v>
      </c>
      <c r="T1804">
        <v>-0.20114989999999999</v>
      </c>
      <c r="U1804">
        <v>9.0057369999999998E-2</v>
      </c>
      <c r="V1804">
        <v>-4.1078330000000003E-2</v>
      </c>
      <c r="W1804">
        <v>2.632201E-2</v>
      </c>
      <c r="X1804">
        <v>0.99880919999999895</v>
      </c>
      <c r="Y1804">
        <v>-4.8671510000000001E-3</v>
      </c>
      <c r="Z1804">
        <v>-2.4982989999999998E-3</v>
      </c>
      <c r="AA1804">
        <v>0.99998500000000001</v>
      </c>
      <c r="AB1804">
        <v>29</v>
      </c>
      <c r="AC1804">
        <v>-0.68330000000003099</v>
      </c>
      <c r="AD1804">
        <v>-6.5492999999999996E-2</v>
      </c>
      <c r="AE1804">
        <v>1.8899999999973702E-2</v>
      </c>
      <c r="AF1804">
        <v>-4.9318115960885903E-3</v>
      </c>
      <c r="AG1804">
        <v>-6.5492999999999996E-2</v>
      </c>
      <c r="AH1804">
        <v>0.67732548143027804</v>
      </c>
      <c r="AI1804">
        <v>95.522816512193202</v>
      </c>
      <c r="AJ1804">
        <v>90.417180519520798</v>
      </c>
      <c r="AK1804">
        <v>0.68050236120778995</v>
      </c>
    </row>
    <row r="1805" spans="1:37" x14ac:dyDescent="0.2">
      <c r="A1805" t="str">
        <f>"20200111160141158"</f>
        <v>20200111160141158</v>
      </c>
      <c r="B1805" t="str">
        <f>"1578729701152621"</f>
        <v>1578729701152621</v>
      </c>
      <c r="C1805" t="s">
        <v>37</v>
      </c>
      <c r="D1805">
        <v>4.6286189999999996</v>
      </c>
      <c r="E1805">
        <v>0.5149106</v>
      </c>
      <c r="F1805" t="s">
        <v>57</v>
      </c>
      <c r="G1805">
        <v>-445.79770000000002</v>
      </c>
      <c r="H1805" s="1">
        <v>1.5100559999999901E-6</v>
      </c>
      <c r="I1805">
        <v>285.49540000000002</v>
      </c>
      <c r="J1805">
        <v>-429.75779999999997</v>
      </c>
      <c r="K1805">
        <v>1.1041669999999999</v>
      </c>
      <c r="L1805">
        <v>285.01</v>
      </c>
      <c r="M1805">
        <v>-0.99926649999999995</v>
      </c>
      <c r="N1805">
        <v>0</v>
      </c>
      <c r="O1805">
        <v>3.5588519999999998E-2</v>
      </c>
      <c r="P1805">
        <v>-0.99991909999999895</v>
      </c>
      <c r="Q1805">
        <v>1.111934E-2</v>
      </c>
      <c r="R1805">
        <v>-6.2109590000000003E-3</v>
      </c>
      <c r="S1805">
        <v>-3.0032649999999999</v>
      </c>
      <c r="T1805">
        <v>-0.19959250000000001</v>
      </c>
      <c r="U1805">
        <v>9.1522220000000001E-2</v>
      </c>
      <c r="V1805">
        <v>-4.1779570000000002E-2</v>
      </c>
      <c r="W1805">
        <v>2.5276179999999999E-2</v>
      </c>
      <c r="X1805">
        <v>0.99880709999999995</v>
      </c>
      <c r="Y1805">
        <v>-5.0452600000000002E-3</v>
      </c>
      <c r="Z1805">
        <v>-2.5289750000000001E-3</v>
      </c>
      <c r="AA1805">
        <v>0.99998410000000004</v>
      </c>
      <c r="AB1805">
        <v>29</v>
      </c>
      <c r="AC1805">
        <v>-16.039899999999999</v>
      </c>
      <c r="AD1805">
        <v>-1.1041654899439901</v>
      </c>
      <c r="AE1805">
        <v>0.48540000000002598</v>
      </c>
      <c r="AF1805">
        <v>-8.5396615803232406E-2</v>
      </c>
      <c r="AG1805">
        <v>-1.1041654899439901</v>
      </c>
      <c r="AH1805">
        <v>15.971398105390801</v>
      </c>
      <c r="AI1805">
        <v>93.954733327789896</v>
      </c>
      <c r="AJ1805">
        <v>90.306348825051899</v>
      </c>
      <c r="AK1805">
        <v>16.009748013384101</v>
      </c>
    </row>
    <row r="1806" spans="1:37" x14ac:dyDescent="0.2">
      <c r="A1806" t="str">
        <f>"20200111160141179"</f>
        <v>20200111160141179</v>
      </c>
      <c r="B1806" t="str">
        <f>"1578729701173116"</f>
        <v>1578729701173116</v>
      </c>
      <c r="C1806" t="s">
        <v>37</v>
      </c>
      <c r="D1806">
        <v>4.6133689999999996</v>
      </c>
      <c r="E1806">
        <v>0.51487150000000004</v>
      </c>
      <c r="F1806" t="s">
        <v>57</v>
      </c>
      <c r="G1806">
        <v>-446.27030000000002</v>
      </c>
      <c r="H1806" s="1">
        <v>1.760633E-6</v>
      </c>
      <c r="I1806">
        <v>285.51560000000001</v>
      </c>
      <c r="J1806">
        <v>-430.04129999999998</v>
      </c>
      <c r="K1806">
        <v>1.1041609999999999</v>
      </c>
      <c r="L1806">
        <v>285.0204</v>
      </c>
      <c r="M1806">
        <v>-0.99925489999999995</v>
      </c>
      <c r="N1806">
        <v>0</v>
      </c>
      <c r="O1806">
        <v>3.5916169999999997E-2</v>
      </c>
      <c r="P1806">
        <v>-0.99992009999999898</v>
      </c>
      <c r="Q1806">
        <v>1.1219649999999999E-2</v>
      </c>
      <c r="R1806">
        <v>-5.8686279999999999E-3</v>
      </c>
      <c r="S1806">
        <v>-3.0030519999999998</v>
      </c>
      <c r="T1806">
        <v>-0.20080899999999999</v>
      </c>
      <c r="U1806">
        <v>9.1949459999999997E-2</v>
      </c>
      <c r="V1806">
        <v>-4.1764700000000002E-2</v>
      </c>
      <c r="W1806">
        <v>2.5373420000000001E-2</v>
      </c>
      <c r="X1806">
        <v>0.99880519999999995</v>
      </c>
      <c r="Y1806">
        <v>-5.2265979999999998E-3</v>
      </c>
      <c r="Z1806">
        <v>-2.5724490000000001E-3</v>
      </c>
      <c r="AA1806">
        <v>0.99998299999999996</v>
      </c>
      <c r="AB1806">
        <v>29</v>
      </c>
      <c r="AC1806">
        <v>-16.228999999999999</v>
      </c>
      <c r="AD1806">
        <v>-1.1041592393669999</v>
      </c>
      <c r="AE1806">
        <v>0.49520000000001102</v>
      </c>
      <c r="AF1806">
        <v>-8.7655913649732603E-2</v>
      </c>
      <c r="AG1806">
        <v>-1.1041592393669999</v>
      </c>
      <c r="AH1806">
        <v>16.161573440710399</v>
      </c>
      <c r="AI1806">
        <v>93.9083188740954</v>
      </c>
      <c r="AJ1806">
        <v>90.310753446996699</v>
      </c>
      <c r="AK1806">
        <v>16.199484783923001</v>
      </c>
    </row>
    <row r="1807" spans="1:37" x14ac:dyDescent="0.2">
      <c r="A1807" t="str">
        <f>"20200111160141201"</f>
        <v>20200111160141201</v>
      </c>
      <c r="B1807" t="str">
        <f>"1578729701192636"</f>
        <v>1578729701192636</v>
      </c>
      <c r="C1807" t="s">
        <v>37</v>
      </c>
      <c r="D1807">
        <v>4.5926460000000002</v>
      </c>
      <c r="E1807">
        <v>0.4835217</v>
      </c>
      <c r="F1807" t="s">
        <v>57</v>
      </c>
      <c r="G1807">
        <v>-446.55130000000003</v>
      </c>
      <c r="H1807" s="1">
        <v>1.9095629999999999E-6</v>
      </c>
      <c r="I1807">
        <v>285.52999999999997</v>
      </c>
      <c r="J1807">
        <v>-430.31299999999999</v>
      </c>
      <c r="K1807">
        <v>1.104163</v>
      </c>
      <c r="L1807">
        <v>285.03059999999999</v>
      </c>
      <c r="M1807">
        <v>-0.99924360000000001</v>
      </c>
      <c r="N1807">
        <v>0</v>
      </c>
      <c r="O1807">
        <v>3.6230110000000003E-2</v>
      </c>
      <c r="P1807">
        <v>-0.99992899999999996</v>
      </c>
      <c r="Q1807">
        <v>1.066548E-2</v>
      </c>
      <c r="R1807">
        <v>-5.3687199999999996E-3</v>
      </c>
      <c r="S1807">
        <v>-3.003082</v>
      </c>
      <c r="T1807">
        <v>-0.20083999999999999</v>
      </c>
      <c r="U1807">
        <v>9.2681879999999994E-2</v>
      </c>
      <c r="V1807">
        <v>-4.1580020000000002E-2</v>
      </c>
      <c r="W1807">
        <v>2.4816649999999999E-2</v>
      </c>
      <c r="X1807">
        <v>0.99882689999999996</v>
      </c>
      <c r="Y1807">
        <v>-5.2965349999999998E-3</v>
      </c>
      <c r="Z1807">
        <v>-2.5960950000000001E-3</v>
      </c>
      <c r="AA1807">
        <v>0.99998259999999894</v>
      </c>
      <c r="AB1807">
        <v>28</v>
      </c>
      <c r="AC1807">
        <v>-16.238299999999899</v>
      </c>
      <c r="AD1807">
        <v>-1.1041610904369901</v>
      </c>
      <c r="AE1807">
        <v>0.49939999999998003</v>
      </c>
      <c r="AF1807">
        <v>-8.8891441067309895E-2</v>
      </c>
      <c r="AG1807">
        <v>-1.1041610904369901</v>
      </c>
      <c r="AH1807">
        <v>16.171033786322301</v>
      </c>
      <c r="AI1807">
        <v>93.906044488032094</v>
      </c>
      <c r="AJ1807">
        <v>90.314949135448202</v>
      </c>
      <c r="AK1807">
        <v>16.208929857344302</v>
      </c>
    </row>
    <row r="1808" spans="1:37" x14ac:dyDescent="0.2">
      <c r="A1808" t="str">
        <f>"20200111160141224"</f>
        <v>20200111160141224</v>
      </c>
      <c r="B1808" t="str">
        <f>"1578729701213132"</f>
        <v>1578729701213132</v>
      </c>
      <c r="C1808" t="s">
        <v>37</v>
      </c>
      <c r="D1808">
        <v>4.7740549999999997</v>
      </c>
      <c r="E1808">
        <v>0.47357589999999999</v>
      </c>
      <c r="F1808" t="s">
        <v>57</v>
      </c>
      <c r="G1808">
        <v>-446.71679999999998</v>
      </c>
      <c r="H1808" s="1">
        <v>2.0567070000000001E-6</v>
      </c>
      <c r="I1808">
        <v>284.17860000000002</v>
      </c>
      <c r="J1808">
        <v>-430.59379999999999</v>
      </c>
      <c r="K1808">
        <v>1.1041639999999999</v>
      </c>
      <c r="L1808">
        <v>285.04109999999997</v>
      </c>
      <c r="M1808">
        <v>-0.9992318</v>
      </c>
      <c r="N1808">
        <v>0</v>
      </c>
      <c r="O1808">
        <v>3.6554650000000001E-2</v>
      </c>
      <c r="P1808">
        <v>-0.99992969999999903</v>
      </c>
      <c r="Q1808">
        <v>1.055392E-2</v>
      </c>
      <c r="R1808">
        <v>-5.4290500000000004E-3</v>
      </c>
      <c r="S1808">
        <v>-3.0015259999999899</v>
      </c>
      <c r="T1808">
        <v>-0.20203670000000001</v>
      </c>
      <c r="U1808">
        <v>-0.15588379999999999</v>
      </c>
      <c r="V1808">
        <v>-4.1964960000000003E-2</v>
      </c>
      <c r="W1808">
        <v>2.4702249999999999E-2</v>
      </c>
      <c r="X1808">
        <v>0.99881369999999903</v>
      </c>
      <c r="Y1808">
        <v>-8.8058020000000001E-2</v>
      </c>
      <c r="Z1808">
        <v>-5.4148440000000003E-3</v>
      </c>
      <c r="AA1808">
        <v>0.996100599999999</v>
      </c>
      <c r="AB1808">
        <v>28</v>
      </c>
      <c r="AC1808">
        <v>-16.122999999999902</v>
      </c>
      <c r="AD1808">
        <v>-1.1041619432930001</v>
      </c>
      <c r="AE1808">
        <v>-0.86249999999995397</v>
      </c>
      <c r="AF1808">
        <v>-1.44459703569168</v>
      </c>
      <c r="AG1808">
        <v>-1.1041619432930001</v>
      </c>
      <c r="AH1808">
        <v>16.005837256629199</v>
      </c>
      <c r="AI1808">
        <v>93.930369321744806</v>
      </c>
      <c r="AJ1808">
        <v>95.1572224394926</v>
      </c>
      <c r="AK1808">
        <v>16.1087820917115</v>
      </c>
    </row>
    <row r="1809" spans="1:37" x14ac:dyDescent="0.2">
      <c r="A1809" t="str">
        <f>"20200111160141246"</f>
        <v>20200111160141246</v>
      </c>
      <c r="B1809" t="str">
        <f>"1578729701242919"</f>
        <v>1578729701242919</v>
      </c>
      <c r="C1809" t="s">
        <v>37</v>
      </c>
      <c r="D1809">
        <v>4.6519629999999896</v>
      </c>
      <c r="E1809">
        <v>0.46673329999999902</v>
      </c>
      <c r="F1809" t="s">
        <v>57</v>
      </c>
      <c r="G1809">
        <v>-448.58909999999997</v>
      </c>
      <c r="H1809" s="1">
        <v>3.0769519999999999E-6</v>
      </c>
      <c r="I1809">
        <v>283.63130000000001</v>
      </c>
      <c r="J1809">
        <v>-430.87670000000003</v>
      </c>
      <c r="K1809">
        <v>1.1041639999999999</v>
      </c>
      <c r="L1809">
        <v>285.05189999999999</v>
      </c>
      <c r="M1809">
        <v>-0.99921979999999999</v>
      </c>
      <c r="N1809">
        <v>0</v>
      </c>
      <c r="O1809">
        <v>3.688193E-2</v>
      </c>
      <c r="P1809">
        <v>-0.99992630000000005</v>
      </c>
      <c r="Q1809">
        <v>1.0882040000000001E-2</v>
      </c>
      <c r="R1809">
        <v>-5.4128169999999899E-3</v>
      </c>
      <c r="S1809">
        <v>-3.0008539999999999</v>
      </c>
      <c r="T1809">
        <v>-0.18412790000000001</v>
      </c>
      <c r="U1809">
        <v>-0.23510739999999999</v>
      </c>
      <c r="V1809">
        <v>-4.2275630000000002E-2</v>
      </c>
      <c r="W1809">
        <v>2.502687E-2</v>
      </c>
      <c r="X1809">
        <v>0.99879249999999997</v>
      </c>
      <c r="Y1809">
        <v>-0.11454400000000001</v>
      </c>
      <c r="Z1809">
        <v>-5.7635669999999998E-3</v>
      </c>
      <c r="AA1809">
        <v>0.99340149999999905</v>
      </c>
      <c r="AB1809">
        <v>28</v>
      </c>
      <c r="AC1809">
        <v>-17.712399999999899</v>
      </c>
      <c r="AD1809">
        <v>-1.1041609230479901</v>
      </c>
      <c r="AE1809">
        <v>-1.4205999999999701</v>
      </c>
      <c r="AF1809">
        <v>-2.0649925457880398</v>
      </c>
      <c r="AG1809">
        <v>-1.1041609230479901</v>
      </c>
      <c r="AH1809">
        <v>17.580066306710599</v>
      </c>
      <c r="AI1809">
        <v>93.569411116902103</v>
      </c>
      <c r="AJ1809">
        <v>96.6993872384068</v>
      </c>
      <c r="AK1809">
        <v>17.735334699590201</v>
      </c>
    </row>
    <row r="1810" spans="1:37" x14ac:dyDescent="0.2">
      <c r="A1810" t="str">
        <f>"20200111160141269"</f>
        <v>20200111160141269</v>
      </c>
      <c r="B1810" t="str">
        <f>"1578729701263415"</f>
        <v>1578729701263415</v>
      </c>
      <c r="C1810" t="s">
        <v>37</v>
      </c>
      <c r="D1810">
        <v>4.5974599999999999</v>
      </c>
      <c r="E1810">
        <v>0.46522370000000002</v>
      </c>
      <c r="F1810" t="s">
        <v>57</v>
      </c>
      <c r="G1810">
        <v>-448.47669999999999</v>
      </c>
      <c r="H1810" s="1">
        <v>3.0293470000000002E-6</v>
      </c>
      <c r="I1810">
        <v>283.35289999999998</v>
      </c>
      <c r="J1810">
        <v>-431.16860000000003</v>
      </c>
      <c r="K1810">
        <v>1.1041650000000001</v>
      </c>
      <c r="L1810">
        <v>285.06299999999999</v>
      </c>
      <c r="M1810">
        <v>-0.99920730000000002</v>
      </c>
      <c r="N1810">
        <v>0</v>
      </c>
      <c r="O1810">
        <v>3.7220360000000001E-2</v>
      </c>
      <c r="P1810">
        <v>-0.99992819999999905</v>
      </c>
      <c r="Q1810">
        <v>1.0696239999999999E-2</v>
      </c>
      <c r="R1810">
        <v>-5.4473389999999998E-3</v>
      </c>
      <c r="S1810">
        <v>-3.0007320000000002</v>
      </c>
      <c r="T1810">
        <v>-0.1882547</v>
      </c>
      <c r="U1810">
        <v>-0.28967290000000001</v>
      </c>
      <c r="V1810">
        <v>-4.2648739999999997E-2</v>
      </c>
      <c r="W1810">
        <v>2.4837629999999999E-2</v>
      </c>
      <c r="X1810">
        <v>0.99878129999999998</v>
      </c>
      <c r="Y1810">
        <v>-0.13274129999999901</v>
      </c>
      <c r="Z1810">
        <v>-6.4783899999999997E-3</v>
      </c>
      <c r="AA1810">
        <v>0.99112960000000006</v>
      </c>
      <c r="AB1810">
        <v>28</v>
      </c>
      <c r="AC1810">
        <v>-17.3080999999999</v>
      </c>
      <c r="AD1810">
        <v>-1.1041619706529999</v>
      </c>
      <c r="AE1810">
        <v>-1.7101000000000099</v>
      </c>
      <c r="AF1810">
        <v>-2.3437465346747302</v>
      </c>
      <c r="AG1810">
        <v>-1.1041619706529999</v>
      </c>
      <c r="AH1810">
        <v>17.1632728499956</v>
      </c>
      <c r="AI1810">
        <v>93.647171669519494</v>
      </c>
      <c r="AJ1810">
        <v>97.775981725227197</v>
      </c>
      <c r="AK1810">
        <v>17.3577146076213</v>
      </c>
    </row>
    <row r="1811" spans="1:37" x14ac:dyDescent="0.2">
      <c r="A1811" t="str">
        <f>"20200111160141291"</f>
        <v>20200111160141291</v>
      </c>
      <c r="B1811" t="str">
        <f>"1578729701282935"</f>
        <v>1578729701282935</v>
      </c>
      <c r="C1811" t="s">
        <v>37</v>
      </c>
      <c r="D1811">
        <v>4.7535470000000002</v>
      </c>
      <c r="E1811">
        <v>0.46376109999999998</v>
      </c>
      <c r="F1811" t="s">
        <v>57</v>
      </c>
      <c r="G1811">
        <v>-448.61590000000001</v>
      </c>
      <c r="H1811" s="1">
        <v>3.1053830000000001E-6</v>
      </c>
      <c r="I1811">
        <v>283.30790000000002</v>
      </c>
      <c r="J1811">
        <v>-431.44569999999999</v>
      </c>
      <c r="K1811">
        <v>1.1041620000000001</v>
      </c>
      <c r="L1811">
        <v>285.07369999999997</v>
      </c>
      <c r="M1811">
        <v>-0.99919530000000001</v>
      </c>
      <c r="N1811">
        <v>0</v>
      </c>
      <c r="O1811">
        <v>3.7541270000000002E-2</v>
      </c>
      <c r="P1811">
        <v>-0.99992399999999904</v>
      </c>
      <c r="Q1811">
        <v>1.092798E-2</v>
      </c>
      <c r="R1811">
        <v>-5.7264150000000003E-3</v>
      </c>
      <c r="S1811">
        <v>-3.0006409999999999</v>
      </c>
      <c r="T1811">
        <v>-0.18989710000000001</v>
      </c>
      <c r="U1811">
        <v>-0.30184939999999999</v>
      </c>
      <c r="V1811">
        <v>-4.3248090000000003E-2</v>
      </c>
      <c r="W1811">
        <v>2.5066919999999999E-2</v>
      </c>
      <c r="X1811">
        <v>0.99874989999999997</v>
      </c>
      <c r="Y1811">
        <v>-0.1370297</v>
      </c>
      <c r="Z1811">
        <v>-6.6892130000000003E-3</v>
      </c>
      <c r="AA1811">
        <v>0.99054439999999999</v>
      </c>
      <c r="AB1811">
        <v>28</v>
      </c>
      <c r="AC1811">
        <v>-17.170200000000001</v>
      </c>
      <c r="AD1811">
        <v>-1.104158894617</v>
      </c>
      <c r="AE1811">
        <v>-1.7657999999999501</v>
      </c>
      <c r="AF1811">
        <v>-2.3993919054798898</v>
      </c>
      <c r="AG1811">
        <v>-1.104158894617</v>
      </c>
      <c r="AH1811">
        <v>17.022141109419</v>
      </c>
      <c r="AI1811">
        <v>93.675121182587006</v>
      </c>
      <c r="AJ1811">
        <v>98.023387797193905</v>
      </c>
      <c r="AK1811">
        <v>17.2258392053803</v>
      </c>
    </row>
    <row r="1812" spans="1:37" x14ac:dyDescent="0.2">
      <c r="A1812" t="str">
        <f>"20200111160141313"</f>
        <v>20200111160141313</v>
      </c>
      <c r="B1812" t="str">
        <f>"1578729701303432"</f>
        <v>1578729701303432</v>
      </c>
      <c r="C1812" t="s">
        <v>37</v>
      </c>
      <c r="D1812">
        <v>4.7103519999999897</v>
      </c>
      <c r="E1812">
        <v>0.46237810000000001</v>
      </c>
      <c r="F1812" t="s">
        <v>57</v>
      </c>
      <c r="G1812">
        <v>-448.69819999999999</v>
      </c>
      <c r="H1812" s="1">
        <v>3.1510649999999999E-6</v>
      </c>
      <c r="I1812">
        <v>283.26459999999997</v>
      </c>
      <c r="J1812">
        <v>-431.72739999999999</v>
      </c>
      <c r="K1812">
        <v>1.104168</v>
      </c>
      <c r="L1812">
        <v>285.0847</v>
      </c>
      <c r="M1812">
        <v>-0.99918309999999999</v>
      </c>
      <c r="N1812">
        <v>0</v>
      </c>
      <c r="O1812">
        <v>3.7867720000000001E-2</v>
      </c>
      <c r="P1812">
        <v>-0.99992819999999905</v>
      </c>
      <c r="Q1812">
        <v>1.0811049999999999E-2</v>
      </c>
      <c r="R1812">
        <v>-5.1881150000000001E-3</v>
      </c>
      <c r="S1812">
        <v>-3.0005799999999998</v>
      </c>
      <c r="T1812">
        <v>-0.19203689999999901</v>
      </c>
      <c r="U1812">
        <v>-0.31463619999999998</v>
      </c>
      <c r="V1812">
        <v>-4.3037239999999997E-2</v>
      </c>
      <c r="W1812">
        <v>2.494679E-2</v>
      </c>
      <c r="X1812">
        <v>0.99876200000000004</v>
      </c>
      <c r="Y1812">
        <v>-0.14151359999999999</v>
      </c>
      <c r="Z1812">
        <v>-6.9269319999999898E-3</v>
      </c>
      <c r="AA1812">
        <v>0.98991209999999996</v>
      </c>
      <c r="AB1812">
        <v>28</v>
      </c>
      <c r="AC1812">
        <v>-16.970799999999901</v>
      </c>
      <c r="AD1812">
        <v>-1.104164848935</v>
      </c>
      <c r="AE1812">
        <v>-1.82010000000002</v>
      </c>
      <c r="AF1812">
        <v>-2.4512453202237601</v>
      </c>
      <c r="AG1812">
        <v>-1.104164848935</v>
      </c>
      <c r="AH1812">
        <v>16.8193066108641</v>
      </c>
      <c r="AI1812">
        <v>93.716847259337698</v>
      </c>
      <c r="AJ1812">
        <v>98.291907236604402</v>
      </c>
      <c r="AK1812">
        <v>17.032817104161001</v>
      </c>
    </row>
    <row r="1813" spans="1:37" x14ac:dyDescent="0.2">
      <c r="A1813" t="str">
        <f>"20200111160141336"</f>
        <v>20200111160141336</v>
      </c>
      <c r="B1813" t="str">
        <f>"1578729701332712"</f>
        <v>1578729701332712</v>
      </c>
      <c r="C1813" t="s">
        <v>37</v>
      </c>
      <c r="D1813">
        <v>4.8013430000000001</v>
      </c>
      <c r="E1813">
        <v>0.46111790000000002</v>
      </c>
      <c r="F1813" t="s">
        <v>57</v>
      </c>
      <c r="G1813">
        <v>-448.9006</v>
      </c>
      <c r="H1813" s="1">
        <v>3.260242E-6</v>
      </c>
      <c r="I1813">
        <v>283.23099999999999</v>
      </c>
      <c r="J1813">
        <v>-432.01499999999999</v>
      </c>
      <c r="K1813">
        <v>1.104169</v>
      </c>
      <c r="L1813">
        <v>285.096</v>
      </c>
      <c r="M1813">
        <v>-0.99917040000000001</v>
      </c>
      <c r="N1813">
        <v>0</v>
      </c>
      <c r="O1813">
        <v>3.8200730000000002E-2</v>
      </c>
      <c r="P1813">
        <v>-0.99992440000000005</v>
      </c>
      <c r="Q1813">
        <v>1.1307309999999999E-2</v>
      </c>
      <c r="R1813">
        <v>-4.8264349999999996E-3</v>
      </c>
      <c r="S1813">
        <v>-3.0006409999999999</v>
      </c>
      <c r="T1813">
        <v>-0.19292870000000001</v>
      </c>
      <c r="U1813">
        <v>-0.32388309999999998</v>
      </c>
      <c r="V1813">
        <v>-4.3008610000000003E-2</v>
      </c>
      <c r="W1813">
        <v>2.5439679999999999E-2</v>
      </c>
      <c r="X1813">
        <v>0.99875069999999999</v>
      </c>
      <c r="Y1813">
        <v>-0.14484620000000001</v>
      </c>
      <c r="Z1813">
        <v>-7.0858600000000002E-3</v>
      </c>
      <c r="AA1813">
        <v>0.9894288</v>
      </c>
      <c r="AB1813">
        <v>28</v>
      </c>
      <c r="AC1813">
        <v>-16.8856</v>
      </c>
      <c r="AD1813">
        <v>-1.104165739758</v>
      </c>
      <c r="AE1813">
        <v>-1.865</v>
      </c>
      <c r="AF1813">
        <v>-2.4981914742000302</v>
      </c>
      <c r="AG1813">
        <v>-1.104165739758</v>
      </c>
      <c r="AH1813">
        <v>16.731340421038201</v>
      </c>
      <c r="AI1813">
        <v>93.734415558235398</v>
      </c>
      <c r="AJ1813">
        <v>98.492214919774995</v>
      </c>
      <c r="AK1813">
        <v>16.952813775514901</v>
      </c>
    </row>
    <row r="1814" spans="1:37" x14ac:dyDescent="0.2">
      <c r="A1814" t="str">
        <f>"20200111160141359"</f>
        <v>20200111160141359</v>
      </c>
      <c r="B1814" t="str">
        <f>"1578729701353208"</f>
        <v>1578729701353208</v>
      </c>
      <c r="C1814" t="s">
        <v>37</v>
      </c>
      <c r="D1814">
        <v>4.7619590000000001</v>
      </c>
      <c r="E1814">
        <v>0.46084429999999998</v>
      </c>
      <c r="F1814" t="s">
        <v>57</v>
      </c>
      <c r="G1814">
        <v>-449.1232</v>
      </c>
      <c r="H1814" s="1">
        <v>3.3800670000000002E-6</v>
      </c>
      <c r="I1814">
        <v>283.19900000000001</v>
      </c>
      <c r="J1814">
        <v>-432.29579999999999</v>
      </c>
      <c r="K1814">
        <v>1.1041700000000001</v>
      </c>
      <c r="L1814">
        <v>285.1071</v>
      </c>
      <c r="M1814">
        <v>-0.99915799999999999</v>
      </c>
      <c r="N1814">
        <v>0</v>
      </c>
      <c r="O1814">
        <v>3.8526400000000002E-2</v>
      </c>
      <c r="P1814">
        <v>-0.99992719999999902</v>
      </c>
      <c r="Q1814">
        <v>1.1113E-2</v>
      </c>
      <c r="R1814">
        <v>-4.7038640000000003E-3</v>
      </c>
      <c r="S1814">
        <v>-3.0008849999999998</v>
      </c>
      <c r="T1814">
        <v>-0.1936774</v>
      </c>
      <c r="U1814">
        <v>-0.33273320000000001</v>
      </c>
      <c r="V1814">
        <v>-4.3211689999999997E-2</v>
      </c>
      <c r="W1814">
        <v>2.524233E-2</v>
      </c>
      <c r="X1814">
        <v>0.99874699999999905</v>
      </c>
      <c r="Y1814">
        <v>-0.1480329</v>
      </c>
      <c r="Z1814">
        <v>-7.2349880000000004E-3</v>
      </c>
      <c r="AA1814">
        <v>0.98895599999999995</v>
      </c>
      <c r="AB1814">
        <v>28</v>
      </c>
      <c r="AC1814">
        <v>-16.827400000000001</v>
      </c>
      <c r="AD1814">
        <v>-1.104166619933</v>
      </c>
      <c r="AE1814">
        <v>-1.9080999999999899</v>
      </c>
      <c r="AF1814">
        <v>-2.5442313549484701</v>
      </c>
      <c r="AG1814">
        <v>-1.104166619933</v>
      </c>
      <c r="AH1814">
        <v>16.670519361082299</v>
      </c>
      <c r="AI1814">
        <v>93.746180954164302</v>
      </c>
      <c r="AJ1814">
        <v>98.677442271322704</v>
      </c>
      <c r="AK1814">
        <v>16.899660140970202</v>
      </c>
    </row>
    <row r="1815" spans="1:37" x14ac:dyDescent="0.2">
      <c r="A1815" t="str">
        <f>"20200111160141380"</f>
        <v>20200111160141380</v>
      </c>
      <c r="B1815" t="str">
        <f>"1578729701372728"</f>
        <v>1578729701372728</v>
      </c>
      <c r="C1815" t="s">
        <v>37</v>
      </c>
      <c r="D1815">
        <v>4.7864610000000001</v>
      </c>
      <c r="E1815">
        <v>0.46035239999999999</v>
      </c>
      <c r="F1815" t="s">
        <v>57</v>
      </c>
      <c r="G1815">
        <v>-449.23899999999998</v>
      </c>
      <c r="H1815" s="1">
        <v>3.4409349999999999E-6</v>
      </c>
      <c r="I1815">
        <v>283.21690000000001</v>
      </c>
      <c r="J1815">
        <v>-432.57830000000001</v>
      </c>
      <c r="K1815">
        <v>1.1041700000000001</v>
      </c>
      <c r="L1815">
        <v>285.11829999999998</v>
      </c>
      <c r="M1815">
        <v>-0.99914530000000001</v>
      </c>
      <c r="N1815">
        <v>0</v>
      </c>
      <c r="O1815">
        <v>3.8853810000000003E-2</v>
      </c>
      <c r="P1815">
        <v>-0.99992789999999998</v>
      </c>
      <c r="Q1815">
        <v>1.1015870000000001E-2</v>
      </c>
      <c r="R1815">
        <v>-4.7940250000000004E-3</v>
      </c>
      <c r="S1815">
        <v>-3.0008539999999999</v>
      </c>
      <c r="T1815">
        <v>-0.1955615</v>
      </c>
      <c r="U1815">
        <v>-0.33477779999999902</v>
      </c>
      <c r="V1815">
        <v>-4.3628989999999999E-2</v>
      </c>
      <c r="W1815">
        <v>2.5142230000000002E-2</v>
      </c>
      <c r="X1815">
        <v>0.99873140000000005</v>
      </c>
      <c r="Y1815">
        <v>-0.14901339999999999</v>
      </c>
      <c r="Z1815">
        <v>-7.3581069999999896E-3</v>
      </c>
      <c r="AA1815">
        <v>0.98880780000000001</v>
      </c>
      <c r="AB1815">
        <v>28</v>
      </c>
      <c r="AC1815">
        <v>-16.660699999999999</v>
      </c>
      <c r="AD1815">
        <v>-1.1041665590650001</v>
      </c>
      <c r="AE1815">
        <v>-1.90139999999996</v>
      </c>
      <c r="AF1815">
        <v>-2.5363630868140898</v>
      </c>
      <c r="AG1815">
        <v>-1.1041665590650001</v>
      </c>
      <c r="AH1815">
        <v>16.502681847330599</v>
      </c>
      <c r="AI1815">
        <v>93.783563288194898</v>
      </c>
      <c r="AJ1815">
        <v>98.737645532559</v>
      </c>
      <c r="AK1815">
        <v>16.732926511896402</v>
      </c>
    </row>
    <row r="1816" spans="1:37" x14ac:dyDescent="0.2">
      <c r="A1816" t="str">
        <f>"20200111160141403"</f>
        <v>20200111160141403</v>
      </c>
      <c r="B1816" t="str">
        <f>"1578729701393224"</f>
        <v>1578729701393224</v>
      </c>
      <c r="C1816" t="s">
        <v>37</v>
      </c>
      <c r="D1816">
        <v>4.9096349999999997</v>
      </c>
      <c r="E1816">
        <v>0.4599973</v>
      </c>
      <c r="F1816" t="s">
        <v>57</v>
      </c>
      <c r="G1816">
        <v>-449.43049999999999</v>
      </c>
      <c r="H1816" s="1">
        <v>3.5428799999999999E-6</v>
      </c>
      <c r="I1816">
        <v>283.21609999999998</v>
      </c>
      <c r="J1816">
        <v>-432.86059999999998</v>
      </c>
      <c r="K1816">
        <v>1.1041669999999999</v>
      </c>
      <c r="L1816">
        <v>285.12970000000001</v>
      </c>
      <c r="M1816">
        <v>-0.99913249999999998</v>
      </c>
      <c r="N1816">
        <v>0</v>
      </c>
      <c r="O1816">
        <v>3.9181390000000003E-2</v>
      </c>
      <c r="P1816">
        <v>-0.99992159999999997</v>
      </c>
      <c r="Q1816">
        <v>1.119442E-2</v>
      </c>
      <c r="R1816">
        <v>-5.6297389999999999E-3</v>
      </c>
      <c r="S1816">
        <v>-3.0007630000000001</v>
      </c>
      <c r="T1816">
        <v>-0.19661099999999901</v>
      </c>
      <c r="U1816">
        <v>-0.33871459999999998</v>
      </c>
      <c r="V1816">
        <v>-4.4791249999999998E-2</v>
      </c>
      <c r="W1816">
        <v>2.5318130000000001E-2</v>
      </c>
      <c r="X1816">
        <v>0.99867549999999905</v>
      </c>
      <c r="Y1816">
        <v>-0.15061350000000001</v>
      </c>
      <c r="Z1816">
        <v>-7.470801E-3</v>
      </c>
      <c r="AA1816">
        <v>0.98856449999999996</v>
      </c>
      <c r="AB1816">
        <v>28</v>
      </c>
      <c r="AC1816">
        <v>-16.569900000000001</v>
      </c>
      <c r="AD1816">
        <v>-1.1041634571200001</v>
      </c>
      <c r="AE1816">
        <v>-1.9136000000000299</v>
      </c>
      <c r="AF1816">
        <v>-2.5502514075176901</v>
      </c>
      <c r="AG1816">
        <v>-1.1041634571200001</v>
      </c>
      <c r="AH1816">
        <v>16.410278761788302</v>
      </c>
      <c r="AI1816">
        <v>93.803814676343293</v>
      </c>
      <c r="AJ1816">
        <v>98.833433005006398</v>
      </c>
      <c r="AK1816">
        <v>16.6439240631885</v>
      </c>
    </row>
    <row r="1817" spans="1:37" x14ac:dyDescent="0.2">
      <c r="A1817" t="str">
        <f>"20200111160141425"</f>
        <v>20200111160141425</v>
      </c>
      <c r="B1817" t="str">
        <f>"1578729701412743"</f>
        <v>1578729701412743</v>
      </c>
      <c r="C1817" t="s">
        <v>37</v>
      </c>
      <c r="D1817">
        <v>4.9018579999999998</v>
      </c>
      <c r="E1817">
        <v>0.45963279999999901</v>
      </c>
      <c r="F1817" t="s">
        <v>57</v>
      </c>
      <c r="G1817">
        <v>-449.67689999999999</v>
      </c>
      <c r="H1817" s="1">
        <v>3.6746919999999999E-6</v>
      </c>
      <c r="I1817">
        <v>283.2</v>
      </c>
      <c r="J1817">
        <v>-433.1268</v>
      </c>
      <c r="K1817">
        <v>1.104168</v>
      </c>
      <c r="L1817">
        <v>285.1404</v>
      </c>
      <c r="M1817">
        <v>-0.99912049999999997</v>
      </c>
      <c r="N1817">
        <v>0</v>
      </c>
      <c r="O1817">
        <v>3.9490009999999999E-2</v>
      </c>
      <c r="P1817">
        <v>-0.9999323</v>
      </c>
      <c r="Q1817">
        <v>1.0129890000000001E-2</v>
      </c>
      <c r="R1817">
        <v>-5.7400469999999999E-3</v>
      </c>
      <c r="S1817">
        <v>-3.0004580000000001</v>
      </c>
      <c r="T1817">
        <v>-0.19701079999999899</v>
      </c>
      <c r="U1817">
        <v>-0.34429929999999997</v>
      </c>
      <c r="V1817">
        <v>-4.5211500000000002E-2</v>
      </c>
      <c r="W1817">
        <v>2.4250339999999999E-2</v>
      </c>
      <c r="X1817">
        <v>0.99868299999999999</v>
      </c>
      <c r="Y1817">
        <v>-0.1527394</v>
      </c>
      <c r="Z1817">
        <v>-7.575633E-3</v>
      </c>
      <c r="AA1817">
        <v>0.98823739999999904</v>
      </c>
      <c r="AB1817">
        <v>28</v>
      </c>
      <c r="AC1817">
        <v>-16.550099999999901</v>
      </c>
      <c r="AD1817">
        <v>-1.104164325308</v>
      </c>
      <c r="AE1817">
        <v>-1.9404000000000099</v>
      </c>
      <c r="AF1817">
        <v>-2.5811814202750698</v>
      </c>
      <c r="AG1817">
        <v>-1.104164325308</v>
      </c>
      <c r="AH1817">
        <v>16.388595812098899</v>
      </c>
      <c r="AI1817">
        <v>93.807621914715497</v>
      </c>
      <c r="AJ1817">
        <v>98.9504821710416</v>
      </c>
      <c r="AK1817">
        <v>16.627319359235301</v>
      </c>
    </row>
    <row r="1818" spans="1:37" x14ac:dyDescent="0.2">
      <c r="A1818" t="str">
        <f>"20200111160141447"</f>
        <v>20200111160141447</v>
      </c>
      <c r="B1818" t="str">
        <f>"1578729701442999"</f>
        <v>1578729701442999</v>
      </c>
      <c r="C1818" t="s">
        <v>37</v>
      </c>
      <c r="D1818">
        <v>4.8927420000000001</v>
      </c>
      <c r="E1818">
        <v>0.4592542</v>
      </c>
      <c r="F1818" t="s">
        <v>57</v>
      </c>
      <c r="G1818">
        <v>-449.56229999999999</v>
      </c>
      <c r="H1818" s="1">
        <v>3.6122209999999999E-6</v>
      </c>
      <c r="I1818">
        <v>283.23390000000001</v>
      </c>
      <c r="J1818">
        <v>-433.4171</v>
      </c>
      <c r="K1818">
        <v>1.104166</v>
      </c>
      <c r="L1818">
        <v>285.15230000000003</v>
      </c>
      <c r="M1818">
        <v>-0.99910719999999997</v>
      </c>
      <c r="N1818">
        <v>0</v>
      </c>
      <c r="O1818">
        <v>3.9826710000000001E-2</v>
      </c>
      <c r="P1818">
        <v>-0.99994810000000001</v>
      </c>
      <c r="Q1818">
        <v>9.0165550000000007E-3</v>
      </c>
      <c r="R1818">
        <v>-4.7784689999999996E-3</v>
      </c>
      <c r="S1818">
        <v>-3.0002439999999999</v>
      </c>
      <c r="T1818">
        <v>-0.20156089999999999</v>
      </c>
      <c r="U1818">
        <v>-0.34802250000000001</v>
      </c>
      <c r="V1818">
        <v>-4.4588349999999999E-2</v>
      </c>
      <c r="W1818">
        <v>2.313438E-2</v>
      </c>
      <c r="X1818">
        <v>0.99873749999999994</v>
      </c>
      <c r="Y1818">
        <v>-0.15426719999999999</v>
      </c>
      <c r="Z1818">
        <v>-7.8238530000000004E-3</v>
      </c>
      <c r="AA1818">
        <v>0.98799820000000005</v>
      </c>
      <c r="AB1818">
        <v>28</v>
      </c>
      <c r="AC1818">
        <v>-16.1451999999999</v>
      </c>
      <c r="AD1818">
        <v>-1.1041623877789899</v>
      </c>
      <c r="AE1818">
        <v>-1.9184000000000101</v>
      </c>
      <c r="AF1818">
        <v>-2.5481993902600402</v>
      </c>
      <c r="AG1818">
        <v>-1.1041623877789899</v>
      </c>
      <c r="AH1818">
        <v>15.982266350948199</v>
      </c>
      <c r="AI1818">
        <v>93.902956142235794</v>
      </c>
      <c r="AJ1818">
        <v>99.058943446471105</v>
      </c>
      <c r="AK1818">
        <v>16.221754911961799</v>
      </c>
    </row>
    <row r="1819" spans="1:37" x14ac:dyDescent="0.2">
      <c r="A1819" t="str">
        <f>"20200111160141471"</f>
        <v>20200111160141471</v>
      </c>
      <c r="B1819" t="str">
        <f>"1578729701463497"</f>
        <v>1578729701463497</v>
      </c>
      <c r="C1819" t="s">
        <v>37</v>
      </c>
      <c r="D1819">
        <v>4.926177</v>
      </c>
      <c r="E1819">
        <v>0.45862540000000002</v>
      </c>
      <c r="F1819" t="s">
        <v>57</v>
      </c>
      <c r="G1819">
        <v>-449.50459999999998</v>
      </c>
      <c r="H1819" s="1">
        <v>3.579264E-6</v>
      </c>
      <c r="I1819">
        <v>283.28590000000003</v>
      </c>
      <c r="J1819">
        <v>-433.70190000000002</v>
      </c>
      <c r="K1819">
        <v>1.104169</v>
      </c>
      <c r="L1819">
        <v>285.16399999999999</v>
      </c>
      <c r="M1819">
        <v>-0.99909389999999998</v>
      </c>
      <c r="N1819">
        <v>0</v>
      </c>
      <c r="O1819">
        <v>4.015751E-2</v>
      </c>
      <c r="P1819">
        <v>-0.99995579999999995</v>
      </c>
      <c r="Q1819">
        <v>8.596991E-3</v>
      </c>
      <c r="R1819">
        <v>-3.799087E-3</v>
      </c>
      <c r="S1819">
        <v>-3.000397</v>
      </c>
      <c r="T1819">
        <v>-0.20593049999999999</v>
      </c>
      <c r="U1819">
        <v>-0.34808349999999999</v>
      </c>
      <c r="V1819">
        <v>-4.3941569999999999E-2</v>
      </c>
      <c r="W1819">
        <v>2.2712010000000001E-2</v>
      </c>
      <c r="X1819">
        <v>0.99877590000000005</v>
      </c>
      <c r="Y1819">
        <v>-0.154588</v>
      </c>
      <c r="Z1819">
        <v>-8.0262379999999998E-3</v>
      </c>
      <c r="AA1819">
        <v>0.98794649999999995</v>
      </c>
      <c r="AB1819">
        <v>28</v>
      </c>
      <c r="AC1819">
        <v>-15.8026999999999</v>
      </c>
      <c r="AD1819">
        <v>-1.1041654207359901</v>
      </c>
      <c r="AE1819">
        <v>-1.8780999999999599</v>
      </c>
      <c r="AF1819">
        <v>-2.4992134646855999</v>
      </c>
      <c r="AG1819">
        <v>-1.1041654207359901</v>
      </c>
      <c r="AH1819">
        <v>15.639234374284801</v>
      </c>
      <c r="AI1819">
        <v>93.988075641719405</v>
      </c>
      <c r="AJ1819">
        <v>99.079331407062</v>
      </c>
      <c r="AK1819">
        <v>15.876111017255701</v>
      </c>
    </row>
    <row r="1820" spans="1:37" x14ac:dyDescent="0.2">
      <c r="A1820" t="str">
        <f>"20200111160141716"</f>
        <v>20200111160141716</v>
      </c>
      <c r="B1820" t="str">
        <f>"1578729701702615"</f>
        <v>1578729701702615</v>
      </c>
      <c r="C1820" t="s">
        <v>37</v>
      </c>
      <c r="D1820">
        <v>4.947978</v>
      </c>
      <c r="E1820">
        <v>0.40205780000000002</v>
      </c>
      <c r="F1820" t="s">
        <v>57</v>
      </c>
      <c r="G1820">
        <v>-449.66609999999997</v>
      </c>
      <c r="H1820" s="1">
        <v>3.6644809999999999E-6</v>
      </c>
      <c r="I1820">
        <v>283.30180000000001</v>
      </c>
      <c r="J1820">
        <v>-436.73809999999997</v>
      </c>
      <c r="K1820">
        <v>1.1042000000000001</v>
      </c>
      <c r="L1820">
        <v>285.29500000000002</v>
      </c>
      <c r="M1820">
        <v>-0.99894640000000001</v>
      </c>
      <c r="N1820">
        <v>0</v>
      </c>
      <c r="O1820">
        <v>4.3684090000000002E-2</v>
      </c>
      <c r="P1820">
        <v>-0.99994709999999998</v>
      </c>
      <c r="Q1820">
        <v>1.0223680000000001E-2</v>
      </c>
      <c r="R1820">
        <v>-1.2338259999999999E-3</v>
      </c>
      <c r="S1820">
        <v>-3.0005799999999998</v>
      </c>
      <c r="T1820">
        <v>-0.20753559999999999</v>
      </c>
      <c r="U1820">
        <v>-0.35000609999999999</v>
      </c>
      <c r="V1820">
        <v>-4.4903329999999998E-2</v>
      </c>
      <c r="W1820">
        <v>2.4305159999999999E-2</v>
      </c>
      <c r="X1820">
        <v>0.99869560000000002</v>
      </c>
      <c r="Y1820">
        <v>-0.15866659999999999</v>
      </c>
      <c r="Z1820">
        <v>-8.471246E-3</v>
      </c>
      <c r="AA1820">
        <v>0.9872959</v>
      </c>
      <c r="AB1820">
        <v>28</v>
      </c>
      <c r="AC1820">
        <v>-12.9279999999999</v>
      </c>
      <c r="AD1820">
        <v>-1.1041963355190001</v>
      </c>
      <c r="AE1820">
        <v>-1.9932000000000001</v>
      </c>
      <c r="AF1820">
        <v>-2.5380155511989999</v>
      </c>
      <c r="AG1820">
        <v>-1.1041963355190001</v>
      </c>
      <c r="AH1820">
        <v>12.7378109095157</v>
      </c>
      <c r="AI1820">
        <v>94.859335803314394</v>
      </c>
      <c r="AJ1820">
        <v>101.268636554361</v>
      </c>
      <c r="AK1820">
        <v>13.0350527138205</v>
      </c>
    </row>
    <row r="1821" spans="1:37" x14ac:dyDescent="0.2">
      <c r="A1821" t="str">
        <f>"20200111160141740"</f>
        <v>20200111160141740</v>
      </c>
      <c r="B1821" t="str">
        <f>"1578729701732871"</f>
        <v>1578729701732871</v>
      </c>
      <c r="C1821" t="s">
        <v>37</v>
      </c>
      <c r="D1821">
        <v>4.9231590000000001</v>
      </c>
      <c r="E1821">
        <v>0.52352080000000001</v>
      </c>
      <c r="F1821" t="s">
        <v>59</v>
      </c>
      <c r="G1821">
        <v>-512.82650000000001</v>
      </c>
      <c r="H1821">
        <v>4.058014</v>
      </c>
      <c r="I1821">
        <v>265.44310000000002</v>
      </c>
      <c r="J1821">
        <v>-437.0401</v>
      </c>
      <c r="K1821">
        <v>1.104196</v>
      </c>
      <c r="L1821">
        <v>285.30860000000001</v>
      </c>
      <c r="M1821">
        <v>-0.99893099999999901</v>
      </c>
      <c r="N1821">
        <v>0</v>
      </c>
      <c r="O1821">
        <v>4.4035390000000001E-2</v>
      </c>
      <c r="P1821">
        <v>-0.99994869999999902</v>
      </c>
      <c r="Q1821">
        <v>1.005238E-2</v>
      </c>
      <c r="R1821">
        <v>-1.323072E-3</v>
      </c>
      <c r="S1821">
        <v>-2.9980159999999998</v>
      </c>
      <c r="T1821">
        <v>0.1163883</v>
      </c>
      <c r="U1821">
        <v>-0.782196</v>
      </c>
      <c r="V1821">
        <v>-4.5344490000000001E-2</v>
      </c>
      <c r="W1821">
        <v>2.413069E-2</v>
      </c>
      <c r="X1821">
        <v>0.99867989999999995</v>
      </c>
      <c r="Y1821">
        <v>-0.29458249999999903</v>
      </c>
      <c r="Z1821">
        <v>7.3048849999999997E-3</v>
      </c>
      <c r="AA1821">
        <v>0.95559819999999995</v>
      </c>
      <c r="AB1821">
        <v>28</v>
      </c>
      <c r="AC1821">
        <v>-75.7864</v>
      </c>
      <c r="AD1821">
        <v>2.9538180000000001</v>
      </c>
      <c r="AE1821">
        <v>-19.865500000000001</v>
      </c>
      <c r="AF1821">
        <v>-23.1509323665958</v>
      </c>
      <c r="AG1821">
        <v>2.9538180000000001</v>
      </c>
      <c r="AH1821">
        <v>74.731773028006003</v>
      </c>
      <c r="AI1821">
        <v>87.837799751301304</v>
      </c>
      <c r="AJ1821">
        <v>107.212301915575</v>
      </c>
      <c r="AK1821">
        <v>78.2913060954358</v>
      </c>
    </row>
    <row r="1822" spans="1:37" x14ac:dyDescent="0.2">
      <c r="A1822" t="str">
        <f>"20200111160141762"</f>
        <v>20200111160141762</v>
      </c>
      <c r="B1822" t="str">
        <f>"1578729701753368"</f>
        <v>1578729701753368</v>
      </c>
      <c r="C1822" t="s">
        <v>37</v>
      </c>
      <c r="D1822">
        <v>4.8859510000000004</v>
      </c>
      <c r="E1822">
        <v>0.52841439999999995</v>
      </c>
      <c r="F1822" t="s">
        <v>57</v>
      </c>
      <c r="G1822">
        <v>-464.17759999999998</v>
      </c>
      <c r="H1822" s="1">
        <v>5.8551839999999998E-7</v>
      </c>
      <c r="I1822">
        <v>286.9221</v>
      </c>
      <c r="J1822">
        <v>-437.31049999999999</v>
      </c>
      <c r="K1822">
        <v>1.104196</v>
      </c>
      <c r="L1822">
        <v>285.32080000000002</v>
      </c>
      <c r="M1822">
        <v>-0.9989171</v>
      </c>
      <c r="N1822">
        <v>0</v>
      </c>
      <c r="O1822">
        <v>4.435016E-2</v>
      </c>
      <c r="P1822">
        <v>-0.99995059999999902</v>
      </c>
      <c r="Q1822">
        <v>9.8639980000000006E-3</v>
      </c>
      <c r="R1822">
        <v>-1.2914039999999999E-3</v>
      </c>
      <c r="S1822">
        <v>-3.001617</v>
      </c>
      <c r="T1822">
        <v>-0.1221327</v>
      </c>
      <c r="U1822">
        <v>0.17846679999999901</v>
      </c>
      <c r="V1822">
        <v>-4.5628040000000002E-2</v>
      </c>
      <c r="W1822">
        <v>2.3939530000000001E-2</v>
      </c>
      <c r="X1822">
        <v>0.99867159999999999</v>
      </c>
      <c r="Y1822">
        <v>1.504144E-2</v>
      </c>
      <c r="Z1822">
        <v>-1.4957529999999901E-3</v>
      </c>
      <c r="AA1822">
        <v>0.99988569999999999</v>
      </c>
      <c r="AB1822">
        <v>28</v>
      </c>
      <c r="AC1822">
        <v>-26.867099999999901</v>
      </c>
      <c r="AD1822">
        <v>-1.1041954144816</v>
      </c>
      <c r="AE1822">
        <v>1.60129999999998</v>
      </c>
      <c r="AF1822">
        <v>0.40736047491134703</v>
      </c>
      <c r="AG1822">
        <v>-1.1041954144816</v>
      </c>
      <c r="AH1822">
        <v>26.866464767103199</v>
      </c>
      <c r="AI1822">
        <v>92.353227072555001</v>
      </c>
      <c r="AJ1822">
        <v>89.131324207098501</v>
      </c>
      <c r="AK1822">
        <v>26.892231576272799</v>
      </c>
    </row>
    <row r="1823" spans="1:37" x14ac:dyDescent="0.2">
      <c r="A1823" t="str">
        <f>"20200111160141784"</f>
        <v>20200111160141784</v>
      </c>
      <c r="B1823" t="str">
        <f>"1578729701772887"</f>
        <v>1578729701772887</v>
      </c>
      <c r="C1823" t="s">
        <v>37</v>
      </c>
      <c r="D1823">
        <v>4.9463499999999998</v>
      </c>
      <c r="E1823">
        <v>0.52973769999999998</v>
      </c>
      <c r="F1823" t="s">
        <v>57</v>
      </c>
      <c r="G1823">
        <v>-455.46429999999998</v>
      </c>
      <c r="H1823" s="1">
        <v>1.2832779999999899E-6</v>
      </c>
      <c r="I1823">
        <v>286.62450000000001</v>
      </c>
      <c r="J1823">
        <v>-437.5847</v>
      </c>
      <c r="K1823">
        <v>1.104196</v>
      </c>
      <c r="L1823">
        <v>285.33339999999998</v>
      </c>
      <c r="M1823">
        <v>-0.99890290000000004</v>
      </c>
      <c r="N1823">
        <v>0</v>
      </c>
      <c r="O1823">
        <v>4.4669510000000003E-2</v>
      </c>
      <c r="P1823">
        <v>-0.99995119999999904</v>
      </c>
      <c r="Q1823">
        <v>9.7173629999999997E-3</v>
      </c>
      <c r="R1823">
        <v>-1.7444589999999901E-3</v>
      </c>
      <c r="S1823">
        <v>-3.0022579999999999</v>
      </c>
      <c r="T1823">
        <v>-0.18261079999999999</v>
      </c>
      <c r="U1823">
        <v>0.21560670000000001</v>
      </c>
      <c r="V1823">
        <v>-4.6399650000000001E-2</v>
      </c>
      <c r="W1823">
        <v>2.3789850000000001E-2</v>
      </c>
      <c r="X1823">
        <v>0.99863959999999996</v>
      </c>
      <c r="Y1823">
        <v>2.7032049999999998E-2</v>
      </c>
      <c r="Z1823">
        <v>-1.889223E-3</v>
      </c>
      <c r="AA1823">
        <v>0.99963279999999999</v>
      </c>
      <c r="AB1823">
        <v>28</v>
      </c>
      <c r="AC1823">
        <v>-17.8795999999999</v>
      </c>
      <c r="AD1823">
        <v>-1.1041947167219901</v>
      </c>
      <c r="AE1823">
        <v>1.2911000000000199</v>
      </c>
      <c r="AF1823">
        <v>0.48920296961856502</v>
      </c>
      <c r="AG1823">
        <v>-1.1041947167219901</v>
      </c>
      <c r="AH1823">
        <v>17.851695496244801</v>
      </c>
      <c r="AI1823">
        <v>93.538125995876598</v>
      </c>
      <c r="AJ1823">
        <v>88.430275022049301</v>
      </c>
      <c r="AK1823">
        <v>17.8925011557514</v>
      </c>
    </row>
    <row r="1824" spans="1:37" x14ac:dyDescent="0.2">
      <c r="A1824" t="str">
        <f>"20200111160141805"</f>
        <v>20200111160141805</v>
      </c>
      <c r="B1824" t="str">
        <f>"1578729701793384"</f>
        <v>1578729701793384</v>
      </c>
      <c r="C1824" t="s">
        <v>37</v>
      </c>
      <c r="D1824">
        <v>4.8863979999999998</v>
      </c>
      <c r="E1824">
        <v>0.53077390000000002</v>
      </c>
      <c r="F1824" t="s">
        <v>57</v>
      </c>
      <c r="G1824">
        <v>-453.63389999999998</v>
      </c>
      <c r="H1824" s="1">
        <v>3.132896E-7</v>
      </c>
      <c r="I1824">
        <v>286.53120000000001</v>
      </c>
      <c r="J1824">
        <v>-437.83589999999998</v>
      </c>
      <c r="K1824">
        <v>1.104206</v>
      </c>
      <c r="L1824">
        <v>285.3449</v>
      </c>
      <c r="M1824">
        <v>-0.9988899</v>
      </c>
      <c r="N1824">
        <v>0</v>
      </c>
      <c r="O1824">
        <v>4.4962340000000003E-2</v>
      </c>
      <c r="P1824">
        <v>-0.99995480000000003</v>
      </c>
      <c r="Q1824">
        <v>9.2058009999999996E-3</v>
      </c>
      <c r="R1824">
        <v>-2.4376879999999999E-3</v>
      </c>
      <c r="S1824">
        <v>-3.0025330000000001</v>
      </c>
      <c r="T1824">
        <v>-0.2065756</v>
      </c>
      <c r="U1824">
        <v>0.2240906</v>
      </c>
      <c r="V1824">
        <v>-4.7385429999999999E-2</v>
      </c>
      <c r="W1824">
        <v>2.3275480000000001E-2</v>
      </c>
      <c r="X1824">
        <v>0.99860550000000003</v>
      </c>
      <c r="Y1824">
        <v>2.954567E-2</v>
      </c>
      <c r="Z1824">
        <v>-2.0699619999999998E-3</v>
      </c>
      <c r="AA1824">
        <v>0.99956129999999999</v>
      </c>
      <c r="AB1824">
        <v>27</v>
      </c>
      <c r="AC1824">
        <v>-15.798</v>
      </c>
      <c r="AD1824">
        <v>-1.10420568671039</v>
      </c>
      <c r="AE1824">
        <v>1.1863000000000099</v>
      </c>
      <c r="AF1824">
        <v>0.47241989134640699</v>
      </c>
      <c r="AG1824">
        <v>-1.10420568671039</v>
      </c>
      <c r="AH1824">
        <v>15.7588085154069</v>
      </c>
      <c r="AI1824">
        <v>94.006319373568701</v>
      </c>
      <c r="AJ1824">
        <v>88.282892910287401</v>
      </c>
      <c r="AK1824">
        <v>15.804508742050899</v>
      </c>
    </row>
    <row r="1825" spans="1:37" x14ac:dyDescent="0.2">
      <c r="A1825" t="str">
        <f>"20200111160141827"</f>
        <v>20200111160141827</v>
      </c>
      <c r="B1825" t="str">
        <f>"1578729701822664"</f>
        <v>1578729701822664</v>
      </c>
      <c r="C1825" t="s">
        <v>37</v>
      </c>
      <c r="D1825">
        <v>4.8256249999999996</v>
      </c>
      <c r="E1825">
        <v>0.53142690000000004</v>
      </c>
      <c r="F1825" t="s">
        <v>42</v>
      </c>
      <c r="G1825">
        <v>-438.61739999999998</v>
      </c>
      <c r="H1825">
        <v>1.0475049999999999</v>
      </c>
      <c r="I1825">
        <v>285.4051</v>
      </c>
      <c r="J1825">
        <v>-438.11110000000002</v>
      </c>
      <c r="K1825">
        <v>1.104201</v>
      </c>
      <c r="L1825">
        <v>285.35770000000002</v>
      </c>
      <c r="M1825">
        <v>-0.99887539999999997</v>
      </c>
      <c r="N1825">
        <v>0</v>
      </c>
      <c r="O1825">
        <v>4.5282540000000003E-2</v>
      </c>
      <c r="P1825">
        <v>-0.9999538</v>
      </c>
      <c r="Q1825">
        <v>9.3460090000000006E-3</v>
      </c>
      <c r="R1825">
        <v>-2.2025579999999999E-3</v>
      </c>
      <c r="S1825">
        <v>-3.0027469999999998</v>
      </c>
      <c r="T1825">
        <v>-0.21802299999999999</v>
      </c>
      <c r="U1825">
        <v>0.2303162</v>
      </c>
      <c r="V1825">
        <v>-4.7470989999999998E-2</v>
      </c>
      <c r="W1825">
        <v>2.34123E-2</v>
      </c>
      <c r="X1825">
        <v>0.99859819999999999</v>
      </c>
      <c r="Y1825">
        <v>3.1280910000000002E-2</v>
      </c>
      <c r="Z1825">
        <v>-2.144342E-3</v>
      </c>
      <c r="AA1825">
        <v>0.99950830000000002</v>
      </c>
      <c r="AB1825">
        <v>27</v>
      </c>
      <c r="AC1825">
        <v>-0.50629999999995301</v>
      </c>
      <c r="AD1825">
        <v>-5.6696000000000003E-2</v>
      </c>
      <c r="AE1825">
        <v>4.7399999999981901E-2</v>
      </c>
      <c r="AF1825">
        <v>2.4122690571510699E-2</v>
      </c>
      <c r="AG1825">
        <v>-5.6696000000000003E-2</v>
      </c>
      <c r="AH1825">
        <v>0.50169073201857095</v>
      </c>
      <c r="AI1825">
        <v>96.440255014596403</v>
      </c>
      <c r="AJ1825">
        <v>87.2471791727869</v>
      </c>
      <c r="AK1825">
        <v>0.505460118317695</v>
      </c>
    </row>
    <row r="1826" spans="1:37" x14ac:dyDescent="0.2">
      <c r="A1826" t="str">
        <f>"20200111160141849"</f>
        <v>20200111160141849</v>
      </c>
      <c r="B1826" t="str">
        <f>"1578729701843159"</f>
        <v>1578729701843159</v>
      </c>
      <c r="C1826" t="s">
        <v>37</v>
      </c>
      <c r="D1826">
        <v>4.9214820000000001</v>
      </c>
      <c r="E1826">
        <v>0.53159669999999903</v>
      </c>
      <c r="F1826" t="s">
        <v>42</v>
      </c>
      <c r="G1826">
        <v>-438.86149999999998</v>
      </c>
      <c r="H1826">
        <v>1.047024</v>
      </c>
      <c r="I1826">
        <v>285.41669999999999</v>
      </c>
      <c r="J1826">
        <v>-438.38510000000002</v>
      </c>
      <c r="K1826">
        <v>1.1042099999999999</v>
      </c>
      <c r="L1826">
        <v>285.37049999999999</v>
      </c>
      <c r="M1826">
        <v>-0.998861</v>
      </c>
      <c r="N1826">
        <v>0</v>
      </c>
      <c r="O1826">
        <v>4.5601240000000001E-2</v>
      </c>
      <c r="P1826">
        <v>-0.99994419999999995</v>
      </c>
      <c r="Q1826">
        <v>1.0301579999999999E-2</v>
      </c>
      <c r="R1826">
        <v>-2.4397199999999998E-3</v>
      </c>
      <c r="S1826">
        <v>-3.0028380000000001</v>
      </c>
      <c r="T1826">
        <v>-0.22885349999999999</v>
      </c>
      <c r="U1826">
        <v>0.235809299999999</v>
      </c>
      <c r="V1826">
        <v>-4.802559E-2</v>
      </c>
      <c r="W1826">
        <v>2.4365230000000002E-2</v>
      </c>
      <c r="X1826">
        <v>0.99854889999999996</v>
      </c>
      <c r="Y1826">
        <v>3.277745E-2</v>
      </c>
      <c r="Z1826">
        <v>-2.2176240000000001E-3</v>
      </c>
      <c r="AA1826">
        <v>0.99946019999999902</v>
      </c>
      <c r="AB1826">
        <v>27</v>
      </c>
      <c r="AC1826">
        <v>-0.47639999999995503</v>
      </c>
      <c r="AD1826">
        <v>-5.7186000000000098E-2</v>
      </c>
      <c r="AE1826">
        <v>4.6199999999998902E-2</v>
      </c>
      <c r="AF1826">
        <v>2.40815958282703E-2</v>
      </c>
      <c r="AG1826">
        <v>-5.7186000000000098E-2</v>
      </c>
      <c r="AH1826">
        <v>0.47128380728029601</v>
      </c>
      <c r="AI1826">
        <v>96.909571269072401</v>
      </c>
      <c r="AJ1826">
        <v>87.074852133579</v>
      </c>
      <c r="AK1826">
        <v>0.47535101646914302</v>
      </c>
    </row>
    <row r="1827" spans="1:37" x14ac:dyDescent="0.2">
      <c r="A1827" t="str">
        <f>"20200111160141872"</f>
        <v>20200111160141872</v>
      </c>
      <c r="B1827" t="str">
        <f>"1578729701862679"</f>
        <v>1578729701862679</v>
      </c>
      <c r="C1827" t="s">
        <v>37</v>
      </c>
      <c r="D1827">
        <v>4.7568760000000001</v>
      </c>
      <c r="E1827">
        <v>0.53173609999999905</v>
      </c>
      <c r="F1827" t="s">
        <v>42</v>
      </c>
      <c r="G1827">
        <v>-439.33780000000002</v>
      </c>
      <c r="H1827">
        <v>1.0305340000000001</v>
      </c>
      <c r="I1827">
        <v>285.44569999999999</v>
      </c>
      <c r="J1827">
        <v>-438.65499999999997</v>
      </c>
      <c r="K1827">
        <v>1.104217</v>
      </c>
      <c r="L1827">
        <v>285.38310000000001</v>
      </c>
      <c r="M1827">
        <v>-0.99884649999999997</v>
      </c>
      <c r="N1827">
        <v>0</v>
      </c>
      <c r="O1827">
        <v>4.591547E-2</v>
      </c>
      <c r="P1827">
        <v>-0.99993369999999904</v>
      </c>
      <c r="Q1827">
        <v>1.137263E-2</v>
      </c>
      <c r="R1827">
        <v>-1.792285E-3</v>
      </c>
      <c r="S1827">
        <v>-3.0031430000000001</v>
      </c>
      <c r="T1827">
        <v>-0.23229669999999999</v>
      </c>
      <c r="U1827">
        <v>0.2364502</v>
      </c>
      <c r="V1827">
        <v>-4.7691959999999999E-2</v>
      </c>
      <c r="W1827">
        <v>2.5432529999999998E-2</v>
      </c>
      <c r="X1827">
        <v>0.99853829999999999</v>
      </c>
      <c r="Y1827">
        <v>3.2669429999999999E-2</v>
      </c>
      <c r="Z1827">
        <v>-2.2789999999999898E-3</v>
      </c>
      <c r="AA1827">
        <v>0.99946360000000001</v>
      </c>
      <c r="AB1827">
        <v>27</v>
      </c>
      <c r="AC1827">
        <v>-0.68280000000004204</v>
      </c>
      <c r="AD1827">
        <v>-7.3682999999999901E-2</v>
      </c>
      <c r="AE1827">
        <v>6.2599999999974898E-2</v>
      </c>
      <c r="AF1827">
        <v>3.08238280257251E-2</v>
      </c>
      <c r="AG1827">
        <v>-7.3682999999999901E-2</v>
      </c>
      <c r="AH1827">
        <v>0.67713466817230805</v>
      </c>
      <c r="AI1827">
        <v>96.203881309365997</v>
      </c>
      <c r="AJ1827">
        <v>87.393639716224598</v>
      </c>
      <c r="AK1827">
        <v>0.68182890207439995</v>
      </c>
    </row>
    <row r="1828" spans="1:37" x14ac:dyDescent="0.2">
      <c r="A1828" t="str">
        <f>"20200111160141893"</f>
        <v>20200111160141893</v>
      </c>
      <c r="B1828" t="str">
        <f>"1578729701883176"</f>
        <v>1578729701883176</v>
      </c>
      <c r="C1828" t="s">
        <v>37</v>
      </c>
      <c r="D1828">
        <v>4.7361659999999999</v>
      </c>
      <c r="E1828">
        <v>0.53220330000000005</v>
      </c>
      <c r="F1828" t="s">
        <v>42</v>
      </c>
      <c r="G1828">
        <v>-439.58210000000003</v>
      </c>
      <c r="H1828">
        <v>1.031822</v>
      </c>
      <c r="I1828">
        <v>285.45769999999999</v>
      </c>
      <c r="J1828">
        <v>-438.92219999999998</v>
      </c>
      <c r="K1828">
        <v>1.104225</v>
      </c>
      <c r="L1828">
        <v>285.39580000000001</v>
      </c>
      <c r="M1828">
        <v>-0.99883239999999995</v>
      </c>
      <c r="N1828">
        <v>0</v>
      </c>
      <c r="O1828">
        <v>4.6226360000000001E-2</v>
      </c>
      <c r="P1828">
        <v>-0.99992440000000005</v>
      </c>
      <c r="Q1828">
        <v>1.226178E-2</v>
      </c>
      <c r="R1828">
        <v>-1.089769E-3</v>
      </c>
      <c r="S1828">
        <v>-3.0033259999999999</v>
      </c>
      <c r="T1828">
        <v>-0.23468449999999999</v>
      </c>
      <c r="U1828">
        <v>0.23959349999999999</v>
      </c>
      <c r="V1828">
        <v>-4.7299960000000002E-2</v>
      </c>
      <c r="W1828">
        <v>2.6318669999999999E-2</v>
      </c>
      <c r="X1828">
        <v>0.99853400000000003</v>
      </c>
      <c r="Y1828">
        <v>3.3392650000000003E-2</v>
      </c>
      <c r="Z1828">
        <v>-2.298109E-3</v>
      </c>
      <c r="AA1828">
        <v>0.99943969999999904</v>
      </c>
      <c r="AB1828">
        <v>27</v>
      </c>
      <c r="AC1828">
        <v>-0.65990000000005</v>
      </c>
      <c r="AD1828">
        <v>-7.2402999999999995E-2</v>
      </c>
      <c r="AE1828">
        <v>6.1899999999979999E-2</v>
      </c>
      <c r="AF1828">
        <v>3.0956628040940501E-2</v>
      </c>
      <c r="AG1828">
        <v>-7.2402999999999995E-2</v>
      </c>
      <c r="AH1828">
        <v>0.65424891503180305</v>
      </c>
      <c r="AI1828">
        <v>96.307988658914695</v>
      </c>
      <c r="AJ1828">
        <v>87.290997035459498</v>
      </c>
      <c r="AK1828">
        <v>0.65897052289837399</v>
      </c>
    </row>
    <row r="1829" spans="1:37" x14ac:dyDescent="0.2">
      <c r="A1829" t="str">
        <f>"20200111160141916"</f>
        <v>20200111160141916</v>
      </c>
      <c r="B1829" t="str">
        <f>"1578729701913431"</f>
        <v>1578729701913431</v>
      </c>
      <c r="C1829" t="s">
        <v>37</v>
      </c>
      <c r="D1829">
        <v>4.9118529999999998</v>
      </c>
      <c r="E1829">
        <v>0.53251269999999995</v>
      </c>
      <c r="F1829" t="s">
        <v>42</v>
      </c>
      <c r="G1829">
        <v>-439.82639999999998</v>
      </c>
      <c r="H1829">
        <v>1.033909</v>
      </c>
      <c r="I1829">
        <v>285.46969999999999</v>
      </c>
      <c r="J1829">
        <v>-439.19420000000002</v>
      </c>
      <c r="K1829">
        <v>1.1042319999999901</v>
      </c>
      <c r="L1829">
        <v>285.40870000000001</v>
      </c>
      <c r="M1829">
        <v>-0.99881759999999997</v>
      </c>
      <c r="N1829">
        <v>0</v>
      </c>
      <c r="O1829">
        <v>4.6541880000000001E-2</v>
      </c>
      <c r="P1829">
        <v>-0.99992349999999997</v>
      </c>
      <c r="Q1829">
        <v>1.236422E-2</v>
      </c>
      <c r="R1829">
        <v>-2.5409219999999999E-4</v>
      </c>
      <c r="S1829">
        <v>-3.003387</v>
      </c>
      <c r="T1829">
        <v>-0.23355819999999999</v>
      </c>
      <c r="U1829">
        <v>0.24508669999999999</v>
      </c>
      <c r="V1829">
        <v>-4.6780839999999997E-2</v>
      </c>
      <c r="W1829">
        <v>2.6417820000000002E-2</v>
      </c>
      <c r="X1829">
        <v>0.99855579999999999</v>
      </c>
      <c r="Y1829">
        <v>3.4887500000000002E-2</v>
      </c>
      <c r="Z1829">
        <v>-2.2533409999999999E-3</v>
      </c>
      <c r="AA1829">
        <v>0.99938869999999902</v>
      </c>
      <c r="AB1829">
        <v>27</v>
      </c>
      <c r="AC1829">
        <v>-0.63219999999995402</v>
      </c>
      <c r="AD1829">
        <v>-7.0322999999999899E-2</v>
      </c>
      <c r="AE1829">
        <v>6.0999999999978599E-2</v>
      </c>
      <c r="AF1829">
        <v>3.1125630181780699E-2</v>
      </c>
      <c r="AG1829">
        <v>-7.0322999999999899E-2</v>
      </c>
      <c r="AH1829">
        <v>0.626671632738805</v>
      </c>
      <c r="AI1829">
        <v>96.39493752061</v>
      </c>
      <c r="AJ1829">
        <v>87.1565604072497</v>
      </c>
      <c r="AK1829">
        <v>0.63137268270232605</v>
      </c>
    </row>
    <row r="1830" spans="1:37" x14ac:dyDescent="0.2">
      <c r="A1830" t="str">
        <f>"20200111160141939"</f>
        <v>20200111160141939</v>
      </c>
      <c r="B1830" t="str">
        <f>"1578729701932951"</f>
        <v>1578729701932951</v>
      </c>
      <c r="C1830" t="s">
        <v>37</v>
      </c>
      <c r="D1830">
        <v>4.9776020000000001</v>
      </c>
      <c r="E1830">
        <v>0.52937559999999995</v>
      </c>
      <c r="F1830" t="s">
        <v>42</v>
      </c>
      <c r="G1830">
        <v>-440.07049999999998</v>
      </c>
      <c r="H1830">
        <v>1.0359119999999999</v>
      </c>
      <c r="I1830">
        <v>285.48230000000001</v>
      </c>
      <c r="J1830">
        <v>-439.47899999999998</v>
      </c>
      <c r="K1830">
        <v>1.1042339999999999</v>
      </c>
      <c r="L1830">
        <v>285.42239999999998</v>
      </c>
      <c r="M1830">
        <v>-0.99880249999999904</v>
      </c>
      <c r="N1830">
        <v>0</v>
      </c>
      <c r="O1830">
        <v>4.6868609999999998E-2</v>
      </c>
      <c r="P1830">
        <v>-0.99992139999999996</v>
      </c>
      <c r="Q1830">
        <v>1.25332E-2</v>
      </c>
      <c r="R1830">
        <v>4.176033E-4</v>
      </c>
      <c r="S1830">
        <v>-3.0032349999999899</v>
      </c>
      <c r="T1830">
        <v>-0.23444780000000001</v>
      </c>
      <c r="U1830">
        <v>0.25033569999999999</v>
      </c>
      <c r="V1830">
        <v>-4.6436379999999999E-2</v>
      </c>
      <c r="W1830">
        <v>2.658371E-2</v>
      </c>
      <c r="X1830">
        <v>0.99856749999999905</v>
      </c>
      <c r="Y1830">
        <v>3.6296580000000002E-2</v>
      </c>
      <c r="Z1830">
        <v>-2.2323719999999998E-3</v>
      </c>
      <c r="AA1830">
        <v>0.99933859999999997</v>
      </c>
      <c r="AB1830">
        <v>27</v>
      </c>
      <c r="AC1830">
        <v>-0.59149999999993896</v>
      </c>
      <c r="AD1830">
        <v>-6.8321999999999702E-2</v>
      </c>
      <c r="AE1830">
        <v>5.9900000000027299E-2</v>
      </c>
      <c r="AF1830">
        <v>3.1690139277970097E-2</v>
      </c>
      <c r="AG1830">
        <v>-6.8321999999999702E-2</v>
      </c>
      <c r="AH1830">
        <v>0.58591973581838197</v>
      </c>
      <c r="AI1830">
        <v>96.641399144583204</v>
      </c>
      <c r="AJ1830">
        <v>86.904108675065601</v>
      </c>
      <c r="AK1830">
        <v>0.59074029609714296</v>
      </c>
    </row>
    <row r="1831" spans="1:37" x14ac:dyDescent="0.2">
      <c r="A1831" t="str">
        <f>"20200111160141962"</f>
        <v>20200111160141962</v>
      </c>
      <c r="B1831" t="str">
        <f>"1578729701953448"</f>
        <v>1578729701953448</v>
      </c>
      <c r="C1831" t="s">
        <v>37</v>
      </c>
      <c r="D1831">
        <v>4.729908</v>
      </c>
      <c r="E1831">
        <v>0.53148229999999996</v>
      </c>
      <c r="F1831" t="s">
        <v>57</v>
      </c>
      <c r="G1831">
        <v>-458.85309999999998</v>
      </c>
      <c r="H1831" s="1">
        <v>3.0744749999999999E-6</v>
      </c>
      <c r="I1831">
        <v>286.90190000000001</v>
      </c>
      <c r="J1831">
        <v>-439.74579999999997</v>
      </c>
      <c r="K1831">
        <v>1.104239</v>
      </c>
      <c r="L1831">
        <v>285.43520000000001</v>
      </c>
      <c r="M1831">
        <v>-0.99878840000000002</v>
      </c>
      <c r="N1831">
        <v>0</v>
      </c>
      <c r="O1831">
        <v>4.7172369999999998E-2</v>
      </c>
      <c r="P1831">
        <v>-0.99990400000000002</v>
      </c>
      <c r="Q1831">
        <v>1.3867519999999999E-2</v>
      </c>
      <c r="R1831">
        <v>5.6882299999999998E-4</v>
      </c>
      <c r="S1831">
        <v>-3.00228899999999</v>
      </c>
      <c r="T1831">
        <v>-0.1711162</v>
      </c>
      <c r="U1831">
        <v>0.2292786</v>
      </c>
      <c r="V1831">
        <v>-4.6588009999999999E-2</v>
      </c>
      <c r="W1831">
        <v>2.7915019999999999E-2</v>
      </c>
      <c r="X1831">
        <v>0.99852410000000003</v>
      </c>
      <c r="Y1831">
        <v>2.905056E-2</v>
      </c>
      <c r="Z1831">
        <v>-1.8548359999999999E-3</v>
      </c>
      <c r="AA1831">
        <v>0.99957619999999903</v>
      </c>
      <c r="AB1831">
        <v>27</v>
      </c>
      <c r="AC1831">
        <v>-19.107299999999999</v>
      </c>
      <c r="AD1831">
        <v>-1.1042359255250001</v>
      </c>
      <c r="AE1831">
        <v>1.4666999999999999</v>
      </c>
      <c r="AF1831">
        <v>0.56177645092230799</v>
      </c>
      <c r="AG1831">
        <v>-1.1042359255250001</v>
      </c>
      <c r="AH1831">
        <v>19.091829338339501</v>
      </c>
      <c r="AI1831">
        <v>93.308764625937599</v>
      </c>
      <c r="AJ1831">
        <v>88.314559892442702</v>
      </c>
      <c r="AK1831">
        <v>19.1319857109583</v>
      </c>
    </row>
    <row r="1832" spans="1:37" x14ac:dyDescent="0.2">
      <c r="A1832" t="str">
        <f>"20200111160141983"</f>
        <v>20200111160141983</v>
      </c>
      <c r="B1832" t="str">
        <f>"1578729701972968"</f>
        <v>1578729701972968</v>
      </c>
      <c r="C1832" t="s">
        <v>37</v>
      </c>
      <c r="D1832">
        <v>4.7282400000000004</v>
      </c>
      <c r="E1832">
        <v>0.53267189999999998</v>
      </c>
      <c r="F1832" t="s">
        <v>57</v>
      </c>
      <c r="G1832">
        <v>-456.78460000000001</v>
      </c>
      <c r="H1832" s="1">
        <v>1.97696599999999E-6</v>
      </c>
      <c r="I1832">
        <v>286.82819999999998</v>
      </c>
      <c r="J1832">
        <v>-440.00490000000002</v>
      </c>
      <c r="K1832">
        <v>1.1042449999999999</v>
      </c>
      <c r="L1832">
        <v>285.44779999999997</v>
      </c>
      <c r="M1832">
        <v>-0.9987743</v>
      </c>
      <c r="N1832">
        <v>0</v>
      </c>
      <c r="O1832">
        <v>4.746355E-2</v>
      </c>
      <c r="P1832">
        <v>-0.99988840000000001</v>
      </c>
      <c r="Q1832">
        <v>1.492213E-2</v>
      </c>
      <c r="R1832">
        <v>6.4828420000000002E-4</v>
      </c>
      <c r="S1832">
        <v>-3.0028380000000001</v>
      </c>
      <c r="T1832">
        <v>-0.1946051</v>
      </c>
      <c r="U1832">
        <v>0.24548339999999999</v>
      </c>
      <c r="V1832">
        <v>-4.6797999999999999E-2</v>
      </c>
      <c r="W1832">
        <v>2.8966490000000001E-2</v>
      </c>
      <c r="X1832">
        <v>0.99848429999999999</v>
      </c>
      <c r="Y1832">
        <v>3.4104179999999998E-2</v>
      </c>
      <c r="Z1832">
        <v>-1.9634979999999902E-3</v>
      </c>
      <c r="AA1832">
        <v>0.99941639999999998</v>
      </c>
      <c r="AB1832">
        <v>27</v>
      </c>
      <c r="AC1832">
        <v>-16.779699999999899</v>
      </c>
      <c r="AD1832">
        <v>-1.1042430230339999</v>
      </c>
      <c r="AE1832">
        <v>1.3804000000000001</v>
      </c>
      <c r="AF1832">
        <v>0.57984702956893797</v>
      </c>
      <c r="AG1832">
        <v>-1.1042430230339999</v>
      </c>
      <c r="AH1832">
        <v>16.754239886005401</v>
      </c>
      <c r="AI1832">
        <v>93.768562427072993</v>
      </c>
      <c r="AJ1832">
        <v>88.017843079302096</v>
      </c>
      <c r="AK1832">
        <v>16.8005990782898</v>
      </c>
    </row>
    <row r="1833" spans="1:37" x14ac:dyDescent="0.2">
      <c r="A1833" t="str">
        <f>"20200111160142007"</f>
        <v>20200111160142007</v>
      </c>
      <c r="B1833" t="str">
        <f>"1578729702003223"</f>
        <v>1578729702003223</v>
      </c>
      <c r="C1833" t="s">
        <v>37</v>
      </c>
      <c r="D1833">
        <v>4.6811129999999999</v>
      </c>
      <c r="E1833">
        <v>0.53317029999999999</v>
      </c>
      <c r="F1833" t="s">
        <v>42</v>
      </c>
      <c r="G1833">
        <v>-440.80970000000002</v>
      </c>
      <c r="H1833">
        <v>1.049237</v>
      </c>
      <c r="I1833">
        <v>285.515999999999</v>
      </c>
      <c r="J1833">
        <v>-440.28460000000001</v>
      </c>
      <c r="K1833">
        <v>1.104263</v>
      </c>
      <c r="L1833">
        <v>285.46140000000003</v>
      </c>
      <c r="M1833">
        <v>-0.99875970000000003</v>
      </c>
      <c r="N1833">
        <v>0</v>
      </c>
      <c r="O1833">
        <v>4.777265E-2</v>
      </c>
      <c r="P1833">
        <v>-0.99987709999999996</v>
      </c>
      <c r="Q1833">
        <v>1.5673719999999999E-2</v>
      </c>
      <c r="R1833">
        <v>4.6440089999999902E-4</v>
      </c>
      <c r="S1833">
        <v>-3.0032040000000002</v>
      </c>
      <c r="T1833">
        <v>-0.2052784</v>
      </c>
      <c r="U1833">
        <v>0.2550964</v>
      </c>
      <c r="V1833">
        <v>-4.7290690000000003E-2</v>
      </c>
      <c r="W1833">
        <v>2.9714330000000001E-2</v>
      </c>
      <c r="X1833">
        <v>0.99843909999999902</v>
      </c>
      <c r="Y1833">
        <v>3.6959039999999999E-2</v>
      </c>
      <c r="Z1833">
        <v>-1.9941059999999998E-3</v>
      </c>
      <c r="AA1833">
        <v>0.99931479999999995</v>
      </c>
      <c r="AB1833">
        <v>27</v>
      </c>
      <c r="AC1833">
        <v>-0.525100000000008</v>
      </c>
      <c r="AD1833">
        <v>-5.5025999999999999E-2</v>
      </c>
      <c r="AE1833">
        <v>5.4599999999936699E-2</v>
      </c>
      <c r="AF1833">
        <v>2.9133261878373298E-2</v>
      </c>
      <c r="AG1833">
        <v>-5.5025999999999999E-2</v>
      </c>
      <c r="AH1833">
        <v>0.52144412318736899</v>
      </c>
      <c r="AI1833">
        <v>96.014598719143393</v>
      </c>
      <c r="AJ1833">
        <v>86.802189712822795</v>
      </c>
      <c r="AK1833">
        <v>0.52514815169656504</v>
      </c>
    </row>
    <row r="1834" spans="1:37" x14ac:dyDescent="0.2">
      <c r="A1834" t="str">
        <f>"20200111160142041"</f>
        <v>20200111160142041</v>
      </c>
      <c r="B1834" t="str">
        <f>"1578729702033479"</f>
        <v>1578729702033479</v>
      </c>
      <c r="C1834" t="s">
        <v>37</v>
      </c>
      <c r="D1834">
        <v>4.8984269999999999</v>
      </c>
      <c r="E1834">
        <v>0.53335819999999901</v>
      </c>
      <c r="F1834" t="s">
        <v>42</v>
      </c>
      <c r="G1834">
        <v>-441.05079999999998</v>
      </c>
      <c r="H1834">
        <v>1.049107</v>
      </c>
      <c r="I1834">
        <v>285.52760000000001</v>
      </c>
      <c r="J1834">
        <v>-440.70580000000001</v>
      </c>
      <c r="K1834">
        <v>1.1042700000000001</v>
      </c>
      <c r="L1834">
        <v>285.4821</v>
      </c>
      <c r="M1834">
        <v>-0.99873819999999902</v>
      </c>
      <c r="N1834">
        <v>0</v>
      </c>
      <c r="O1834">
        <v>4.8223009999999997E-2</v>
      </c>
      <c r="P1834">
        <v>-0.99988410000000005</v>
      </c>
      <c r="Q1834">
        <v>1.5207979999999999E-2</v>
      </c>
      <c r="R1834">
        <v>8.1727269999999999E-4</v>
      </c>
      <c r="S1834">
        <v>-3.0036320000000001</v>
      </c>
      <c r="T1834">
        <v>-0.21636</v>
      </c>
      <c r="U1834">
        <v>0.25808720000000002</v>
      </c>
      <c r="V1834">
        <v>-4.7389899999999999E-2</v>
      </c>
      <c r="W1834">
        <v>2.9243890000000002E-2</v>
      </c>
      <c r="X1834">
        <v>0.99844829999999996</v>
      </c>
      <c r="Y1834">
        <v>3.7486800000000001E-2</v>
      </c>
      <c r="Z1834">
        <v>-2.1144110000000001E-3</v>
      </c>
      <c r="AA1834">
        <v>0.99929489999999999</v>
      </c>
      <c r="AB1834">
        <v>27</v>
      </c>
      <c r="AC1834">
        <v>-0.34499999999997</v>
      </c>
      <c r="AD1834">
        <v>-5.5162999999999997E-2</v>
      </c>
      <c r="AE1834">
        <v>4.5500000000004003E-2</v>
      </c>
      <c r="AF1834">
        <v>2.8102308683447201E-2</v>
      </c>
      <c r="AG1834">
        <v>-5.5162999999999997E-2</v>
      </c>
      <c r="AH1834">
        <v>0.338292094922235</v>
      </c>
      <c r="AI1834">
        <v>99.230080832337194</v>
      </c>
      <c r="AJ1834">
        <v>85.2512778179252</v>
      </c>
      <c r="AK1834">
        <v>0.34391021765747898</v>
      </c>
    </row>
    <row r="1835" spans="1:37" x14ac:dyDescent="0.2">
      <c r="A1835" t="str">
        <f>"20200111160142059"</f>
        <v>20200111160142059</v>
      </c>
      <c r="B1835" t="str">
        <f>"1578729702052999"</f>
        <v>1578729702052999</v>
      </c>
      <c r="C1835" t="s">
        <v>37</v>
      </c>
      <c r="D1835">
        <v>4.6170089999999897</v>
      </c>
      <c r="E1835">
        <v>0.53452449999999996</v>
      </c>
      <c r="F1835" t="s">
        <v>42</v>
      </c>
      <c r="G1835">
        <v>-441.52659999999997</v>
      </c>
      <c r="H1835">
        <v>1.042322</v>
      </c>
      <c r="I1835">
        <v>285.55340000000001</v>
      </c>
      <c r="J1835">
        <v>-440.93079999999998</v>
      </c>
      <c r="K1835">
        <v>1.1042749999999999</v>
      </c>
      <c r="L1835">
        <v>285.49329999999998</v>
      </c>
      <c r="M1835">
        <v>-0.99872680000000003</v>
      </c>
      <c r="N1835">
        <v>0</v>
      </c>
      <c r="O1835">
        <v>4.8456930000000002E-2</v>
      </c>
      <c r="P1835">
        <v>-0.99988559999999904</v>
      </c>
      <c r="Q1835">
        <v>1.509655E-2</v>
      </c>
      <c r="R1835">
        <v>1.054407E-3</v>
      </c>
      <c r="S1835">
        <v>-3.003571</v>
      </c>
      <c r="T1835">
        <v>-0.22683010000000001</v>
      </c>
      <c r="U1835">
        <v>0.26022339999999999</v>
      </c>
      <c r="V1835">
        <v>-4.7387199999999997E-2</v>
      </c>
      <c r="W1835">
        <v>2.9129499999999999E-2</v>
      </c>
      <c r="X1835">
        <v>0.9984518</v>
      </c>
      <c r="Y1835">
        <v>3.7961990000000001E-2</v>
      </c>
      <c r="Z1835">
        <v>-2.2161030000000001E-3</v>
      </c>
      <c r="AA1835">
        <v>0.99927670000000002</v>
      </c>
      <c r="AB1835">
        <v>27</v>
      </c>
      <c r="AC1835">
        <v>-0.595799999999997</v>
      </c>
      <c r="AD1835">
        <v>-6.1952999999999897E-2</v>
      </c>
      <c r="AE1835">
        <v>6.0100000000034001E-2</v>
      </c>
      <c r="AF1835">
        <v>3.0825959686679099E-2</v>
      </c>
      <c r="AG1835">
        <v>-6.1952999999999897E-2</v>
      </c>
      <c r="AH1835">
        <v>0.59167945050242599</v>
      </c>
      <c r="AI1835">
        <v>95.969452322142203</v>
      </c>
      <c r="AJ1835">
        <v>87.017638553921799</v>
      </c>
      <c r="AK1835">
        <v>0.59571216719692499</v>
      </c>
    </row>
    <row r="1836" spans="1:37" x14ac:dyDescent="0.2">
      <c r="A1836" t="str">
        <f>"20200111160142077"</f>
        <v>20200111160142077</v>
      </c>
      <c r="B1836" t="str">
        <f>"1578729702073496"</f>
        <v>1578729702073496</v>
      </c>
      <c r="C1836" t="s">
        <v>37</v>
      </c>
      <c r="D1836">
        <v>4.5910830000000002</v>
      </c>
      <c r="E1836">
        <v>0.55569449999999998</v>
      </c>
      <c r="F1836" t="s">
        <v>42</v>
      </c>
      <c r="G1836">
        <v>-441.76560000000001</v>
      </c>
      <c r="H1836">
        <v>1.040324</v>
      </c>
      <c r="I1836">
        <v>285.56819999999999</v>
      </c>
      <c r="J1836">
        <v>-441.13580000000002</v>
      </c>
      <c r="K1836">
        <v>1.104287</v>
      </c>
      <c r="L1836">
        <v>285.5034</v>
      </c>
      <c r="M1836">
        <v>-0.99871679999999996</v>
      </c>
      <c r="N1836">
        <v>0</v>
      </c>
      <c r="O1836">
        <v>4.8665239999999998E-2</v>
      </c>
      <c r="P1836">
        <v>-0.99988339999999998</v>
      </c>
      <c r="Q1836">
        <v>1.5233150000000001E-2</v>
      </c>
      <c r="R1836">
        <v>1.207332E-3</v>
      </c>
      <c r="S1836">
        <v>-3.0035400000000001</v>
      </c>
      <c r="T1836">
        <v>-0.23001160000000001</v>
      </c>
      <c r="U1836">
        <v>0.27011109999999999</v>
      </c>
      <c r="V1836">
        <v>-4.7442720000000001E-2</v>
      </c>
      <c r="W1836">
        <v>2.926343E-2</v>
      </c>
      <c r="X1836">
        <v>0.99844519999999903</v>
      </c>
      <c r="Y1836">
        <v>4.1011029999999997E-2</v>
      </c>
      <c r="Z1836">
        <v>-2.1462460000000001E-3</v>
      </c>
      <c r="AA1836">
        <v>0.99915639999999994</v>
      </c>
      <c r="AB1836">
        <v>27</v>
      </c>
      <c r="AC1836">
        <v>-0.62979999999998804</v>
      </c>
      <c r="AD1836">
        <v>-6.3962999999999895E-2</v>
      </c>
      <c r="AE1836">
        <v>6.4799999999991004E-2</v>
      </c>
      <c r="AF1836">
        <v>3.3726595076409301E-2</v>
      </c>
      <c r="AG1836">
        <v>-6.3962999999999895E-2</v>
      </c>
      <c r="AH1836">
        <v>0.62581998675898698</v>
      </c>
      <c r="AI1836">
        <v>95.827350934525995</v>
      </c>
      <c r="AJ1836">
        <v>86.915208716617698</v>
      </c>
      <c r="AK1836">
        <v>0.62998365408276003</v>
      </c>
    </row>
    <row r="1837" spans="1:37" x14ac:dyDescent="0.2">
      <c r="A1837" t="str">
        <f>"20200111160142095"</f>
        <v>20200111160142095</v>
      </c>
      <c r="B1837" t="str">
        <f>"1578729702093017"</f>
        <v>1578729702093017</v>
      </c>
      <c r="C1837" t="s">
        <v>37</v>
      </c>
      <c r="D1837">
        <v>4.594659</v>
      </c>
      <c r="E1837">
        <v>0.55700169999999904</v>
      </c>
      <c r="F1837" t="s">
        <v>42</v>
      </c>
      <c r="G1837">
        <v>-442.0034</v>
      </c>
      <c r="H1837">
        <v>1.039617</v>
      </c>
      <c r="I1837">
        <v>285.63069999999999</v>
      </c>
      <c r="J1837">
        <v>-441.35930000000002</v>
      </c>
      <c r="K1837">
        <v>1.104298</v>
      </c>
      <c r="L1837">
        <v>285.51459999999997</v>
      </c>
      <c r="M1837">
        <v>-0.99870599999999998</v>
      </c>
      <c r="N1837">
        <v>0</v>
      </c>
      <c r="O1837">
        <v>4.8885989999999997E-2</v>
      </c>
      <c r="P1837">
        <v>-0.99986629999999999</v>
      </c>
      <c r="Q1837">
        <v>1.6261640000000001E-2</v>
      </c>
      <c r="R1837">
        <v>1.7522359999999999E-3</v>
      </c>
      <c r="S1837">
        <v>-3.0032649999999999</v>
      </c>
      <c r="T1837">
        <v>-0.22394989999999901</v>
      </c>
      <c r="U1837">
        <v>0.43984989999999902</v>
      </c>
      <c r="V1837">
        <v>-4.7118479999999997E-2</v>
      </c>
      <c r="W1837">
        <v>3.0288180000000001E-2</v>
      </c>
      <c r="X1837">
        <v>0.99842999999999904</v>
      </c>
      <c r="Y1837">
        <v>9.6234730000000004E-2</v>
      </c>
      <c r="Z1837" s="1">
        <v>-5.2991090000000001E-5</v>
      </c>
      <c r="AA1837">
        <v>0.99535859999999998</v>
      </c>
      <c r="AB1837">
        <v>27</v>
      </c>
      <c r="AC1837">
        <v>-0.64409999999998002</v>
      </c>
      <c r="AD1837">
        <v>-6.4680999999999905E-2</v>
      </c>
      <c r="AE1837">
        <v>0.116100000000017</v>
      </c>
      <c r="AF1837">
        <v>8.3653556029199203E-2</v>
      </c>
      <c r="AG1837">
        <v>-6.4680999999999905E-2</v>
      </c>
      <c r="AH1837">
        <v>0.64272843907767896</v>
      </c>
      <c r="AI1837">
        <v>95.698869158218599</v>
      </c>
      <c r="AJ1837">
        <v>82.584421759156498</v>
      </c>
      <c r="AK1837">
        <v>0.65136886293141205</v>
      </c>
    </row>
    <row r="1838" spans="1:37" x14ac:dyDescent="0.2">
      <c r="A1838" t="str">
        <f>"20200111160142118"</f>
        <v>20200111160142118</v>
      </c>
      <c r="B1838" t="str">
        <f>"1578729702113513"</f>
        <v>1578729702113513</v>
      </c>
      <c r="C1838" t="s">
        <v>37</v>
      </c>
      <c r="D1838">
        <v>4.5695879999999898</v>
      </c>
      <c r="E1838">
        <v>0.55741180000000001</v>
      </c>
      <c r="F1838" t="s">
        <v>42</v>
      </c>
      <c r="G1838">
        <v>-442.24489999999997</v>
      </c>
      <c r="H1838">
        <v>1.0425519999999999</v>
      </c>
      <c r="I1838">
        <v>285.64830000000001</v>
      </c>
      <c r="J1838">
        <v>-441.63260000000002</v>
      </c>
      <c r="K1838">
        <v>1.1043049999999901</v>
      </c>
      <c r="L1838">
        <v>285.5283</v>
      </c>
      <c r="M1838">
        <v>-0.99869319999999895</v>
      </c>
      <c r="N1838">
        <v>0</v>
      </c>
      <c r="O1838">
        <v>4.9146290000000002E-2</v>
      </c>
      <c r="P1838">
        <v>-0.99985409999999997</v>
      </c>
      <c r="Q1838">
        <v>1.690318E-2</v>
      </c>
      <c r="R1838">
        <v>2.5218520000000002E-3</v>
      </c>
      <c r="S1838">
        <v>-3.0030209999999999</v>
      </c>
      <c r="T1838">
        <v>-0.20948549999999999</v>
      </c>
      <c r="U1838">
        <v>0.45242309999999902</v>
      </c>
      <c r="V1838">
        <v>-4.6609110000000002E-2</v>
      </c>
      <c r="W1838">
        <v>3.0926370000000002E-2</v>
      </c>
      <c r="X1838">
        <v>0.99843440000000006</v>
      </c>
      <c r="Y1838">
        <v>0.1000713</v>
      </c>
      <c r="Z1838" s="1">
        <v>6.5437980000000005E-5</v>
      </c>
      <c r="AA1838">
        <v>0.99498030000000004</v>
      </c>
      <c r="AB1838">
        <v>27</v>
      </c>
      <c r="AC1838">
        <v>-0.612299999999947</v>
      </c>
      <c r="AD1838">
        <v>-6.1752999999999697E-2</v>
      </c>
      <c r="AE1838">
        <v>0.12000000000000401</v>
      </c>
      <c r="AF1838">
        <v>8.8889033982148494E-2</v>
      </c>
      <c r="AG1838">
        <v>-6.1752999999999697E-2</v>
      </c>
      <c r="AH1838">
        <v>0.611468543161655</v>
      </c>
      <c r="AI1838">
        <v>95.707236075352</v>
      </c>
      <c r="AJ1838">
        <v>81.728864557941506</v>
      </c>
      <c r="AK1838">
        <v>0.62097380995297802</v>
      </c>
    </row>
    <row r="1839" spans="1:37" x14ac:dyDescent="0.2">
      <c r="A1839" t="str">
        <f>"20200111160142141"</f>
        <v>20200111160142141</v>
      </c>
      <c r="B1839" t="str">
        <f>"1578729702133031"</f>
        <v>1578729702133031</v>
      </c>
      <c r="C1839" t="s">
        <v>37</v>
      </c>
      <c r="D1839">
        <v>4.6479509999999999</v>
      </c>
      <c r="E1839">
        <v>0.55768059999999997</v>
      </c>
      <c r="F1839" t="s">
        <v>42</v>
      </c>
      <c r="G1839">
        <v>-442.48809999999997</v>
      </c>
      <c r="H1839">
        <v>1.0460160000000001</v>
      </c>
      <c r="I1839">
        <v>285.65910000000002</v>
      </c>
      <c r="J1839">
        <v>-441.91820000000001</v>
      </c>
      <c r="K1839">
        <v>1.104314</v>
      </c>
      <c r="L1839">
        <v>285.54270000000002</v>
      </c>
      <c r="M1839">
        <v>-0.99868040000000002</v>
      </c>
      <c r="N1839">
        <v>0</v>
      </c>
      <c r="O1839">
        <v>4.9407819999999998E-2</v>
      </c>
      <c r="P1839">
        <v>-0.99985559999999996</v>
      </c>
      <c r="Q1839">
        <v>1.6852829999999999E-2</v>
      </c>
      <c r="R1839">
        <v>2.2492429999999902E-3</v>
      </c>
      <c r="S1839">
        <v>-3.0027469999999998</v>
      </c>
      <c r="T1839">
        <v>-0.20478940000000001</v>
      </c>
      <c r="U1839">
        <v>0.45800779999999902</v>
      </c>
      <c r="V1839">
        <v>-4.71443E-2</v>
      </c>
      <c r="W1839">
        <v>3.0872030000000002E-2</v>
      </c>
      <c r="X1839">
        <v>0.99841089999999999</v>
      </c>
      <c r="Y1839">
        <v>0.101635399999999</v>
      </c>
      <c r="Z1839" s="1">
        <v>9.9312509999999996E-5</v>
      </c>
      <c r="AA1839">
        <v>0.99482169999999903</v>
      </c>
      <c r="AB1839">
        <v>27</v>
      </c>
      <c r="AC1839">
        <v>-0.56989999999996099</v>
      </c>
      <c r="AD1839">
        <v>-5.8297999999999899E-2</v>
      </c>
      <c r="AE1839">
        <v>0.11639999999999801</v>
      </c>
      <c r="AF1839">
        <v>8.7221370469962006E-2</v>
      </c>
      <c r="AG1839">
        <v>-5.8297999999999899E-2</v>
      </c>
      <c r="AH1839">
        <v>0.569237345180586</v>
      </c>
      <c r="AI1839">
        <v>95.780516677864995</v>
      </c>
      <c r="AJ1839">
        <v>81.288609732914196</v>
      </c>
      <c r="AK1839">
        <v>0.57882413513855802</v>
      </c>
    </row>
    <row r="1840" spans="1:37" x14ac:dyDescent="0.2">
      <c r="A1840" t="str">
        <f>"20200111160142162"</f>
        <v>20200111160142162</v>
      </c>
      <c r="B1840" t="str">
        <f>"1578729702152552"</f>
        <v>1578729702152552</v>
      </c>
      <c r="C1840" t="s">
        <v>37</v>
      </c>
      <c r="D1840">
        <v>4.5445099999999998</v>
      </c>
      <c r="E1840">
        <v>0.55777219999999905</v>
      </c>
      <c r="F1840" t="s">
        <v>42</v>
      </c>
      <c r="G1840">
        <v>-442.73039999999997</v>
      </c>
      <c r="H1840">
        <v>1.048826</v>
      </c>
      <c r="I1840">
        <v>285.66719999999998</v>
      </c>
      <c r="J1840">
        <v>-442.16269999999997</v>
      </c>
      <c r="K1840">
        <v>1.1043209999999899</v>
      </c>
      <c r="L1840">
        <v>285.55500000000001</v>
      </c>
      <c r="M1840">
        <v>-0.99866980000000005</v>
      </c>
      <c r="N1840">
        <v>0</v>
      </c>
      <c r="O1840">
        <v>4.9622340000000001E-2</v>
      </c>
      <c r="P1840">
        <v>-0.99985170000000001</v>
      </c>
      <c r="Q1840">
        <v>1.713288E-2</v>
      </c>
      <c r="R1840">
        <v>1.739787E-3</v>
      </c>
      <c r="S1840">
        <v>-3.0028990000000002</v>
      </c>
      <c r="T1840">
        <v>-0.20530570000000001</v>
      </c>
      <c r="U1840">
        <v>0.45938109999999999</v>
      </c>
      <c r="V1840">
        <v>-4.7868000000000001E-2</v>
      </c>
      <c r="W1840">
        <v>3.114799E-2</v>
      </c>
      <c r="X1840">
        <v>0.99836789999999997</v>
      </c>
      <c r="Y1840">
        <v>0.10185809999999999</v>
      </c>
      <c r="Z1840" s="1">
        <v>9.2600010000000002E-5</v>
      </c>
      <c r="AA1840">
        <v>0.99479899999999999</v>
      </c>
      <c r="AB1840">
        <v>27</v>
      </c>
      <c r="AC1840">
        <v>-0.56770000000000198</v>
      </c>
      <c r="AD1840">
        <v>-5.5494999999999801E-2</v>
      </c>
      <c r="AE1840">
        <v>0.112199999999973</v>
      </c>
      <c r="AF1840">
        <v>8.3123921322929506E-2</v>
      </c>
      <c r="AG1840">
        <v>-5.5494999999999801E-2</v>
      </c>
      <c r="AH1840">
        <v>0.56735094258166396</v>
      </c>
      <c r="AI1840">
        <v>95.527927017656793</v>
      </c>
      <c r="AJ1840">
        <v>81.664763968464499</v>
      </c>
      <c r="AK1840">
        <v>0.57608712307202603</v>
      </c>
    </row>
    <row r="1841" spans="1:37" x14ac:dyDescent="0.2">
      <c r="A1841" t="str">
        <f>"20200111160142183"</f>
        <v>20200111160142183</v>
      </c>
      <c r="B1841" t="str">
        <f>"1578729702173048"</f>
        <v>1578729702173048</v>
      </c>
      <c r="C1841" t="s">
        <v>37</v>
      </c>
      <c r="D1841">
        <v>4.5802079999999998</v>
      </c>
      <c r="E1841">
        <v>0.55815680000000001</v>
      </c>
      <c r="F1841" t="s">
        <v>42</v>
      </c>
      <c r="G1841">
        <v>-442.97</v>
      </c>
      <c r="H1841">
        <v>1.0489569999999999</v>
      </c>
      <c r="I1841">
        <v>285.67869999999999</v>
      </c>
      <c r="J1841">
        <v>-442.42129999999997</v>
      </c>
      <c r="K1841">
        <v>1.104328</v>
      </c>
      <c r="L1841">
        <v>285.56810000000002</v>
      </c>
      <c r="M1841">
        <v>-0.99865899999999996</v>
      </c>
      <c r="N1841">
        <v>0</v>
      </c>
      <c r="O1841">
        <v>4.9839000000000001E-2</v>
      </c>
      <c r="P1841">
        <v>-0.9998475</v>
      </c>
      <c r="Q1841">
        <v>1.741471E-2</v>
      </c>
      <c r="R1841">
        <v>1.2459050000000001E-3</v>
      </c>
      <c r="S1841">
        <v>-3.0031430000000001</v>
      </c>
      <c r="T1841">
        <v>-0.2061839</v>
      </c>
      <c r="U1841">
        <v>0.45852659999999901</v>
      </c>
      <c r="V1841">
        <v>-4.8578320000000001E-2</v>
      </c>
      <c r="W1841">
        <v>3.1425849999999998E-2</v>
      </c>
      <c r="X1841">
        <v>0.99832489999999996</v>
      </c>
      <c r="Y1841">
        <v>0.10135429999999999</v>
      </c>
      <c r="Z1841" s="1">
        <v>6.1074499999999999E-5</v>
      </c>
      <c r="AA1841">
        <v>0.99485040000000002</v>
      </c>
      <c r="AB1841">
        <v>27</v>
      </c>
      <c r="AC1841">
        <v>-0.54870000000005303</v>
      </c>
      <c r="AD1841">
        <v>-5.5370999999999997E-2</v>
      </c>
      <c r="AE1841">
        <v>0.110599999999976</v>
      </c>
      <c r="AF1841">
        <v>8.2307731621800398E-2</v>
      </c>
      <c r="AG1841">
        <v>-5.5370999999999997E-2</v>
      </c>
      <c r="AH1841">
        <v>0.54816643509273699</v>
      </c>
      <c r="AI1841">
        <v>95.704439466937004</v>
      </c>
      <c r="AJ1841">
        <v>81.460773986125204</v>
      </c>
      <c r="AK1841">
        <v>0.55706996947242304</v>
      </c>
    </row>
    <row r="1842" spans="1:37" x14ac:dyDescent="0.2">
      <c r="A1842" t="str">
        <f>"20200111160142208"</f>
        <v>20200111160142208</v>
      </c>
      <c r="B1842" t="str">
        <f>"1578729702203304"</f>
        <v>1578729702203304</v>
      </c>
      <c r="C1842" t="s">
        <v>37</v>
      </c>
      <c r="D1842">
        <v>4.6719160000000004</v>
      </c>
      <c r="E1842">
        <v>0.55821350000000003</v>
      </c>
      <c r="F1842" t="s">
        <v>42</v>
      </c>
      <c r="G1842">
        <v>-443.21050000000002</v>
      </c>
      <c r="H1842">
        <v>1.050379</v>
      </c>
      <c r="I1842">
        <v>285.6891</v>
      </c>
      <c r="J1842">
        <v>-442.700999999999</v>
      </c>
      <c r="K1842">
        <v>1.10433799999999</v>
      </c>
      <c r="L1842">
        <v>285.58229999999998</v>
      </c>
      <c r="M1842">
        <v>-0.99864789999999903</v>
      </c>
      <c r="N1842">
        <v>0</v>
      </c>
      <c r="O1842">
        <v>5.0061500000000002E-2</v>
      </c>
      <c r="P1842">
        <v>-0.99983440000000001</v>
      </c>
      <c r="Q1842">
        <v>1.8170260000000001E-2</v>
      </c>
      <c r="R1842">
        <v>1.1396329999999999E-3</v>
      </c>
      <c r="S1842">
        <v>-3.0034480000000001</v>
      </c>
      <c r="T1842">
        <v>-0.2052833</v>
      </c>
      <c r="U1842">
        <v>0.4599915</v>
      </c>
      <c r="V1842">
        <v>-4.8906100000000001E-2</v>
      </c>
      <c r="W1842">
        <v>3.2176959999999998E-2</v>
      </c>
      <c r="X1842">
        <v>0.99828490000000003</v>
      </c>
      <c r="Y1842">
        <v>0.10159269999999999</v>
      </c>
      <c r="Z1842" s="1">
        <v>5.384069E-5</v>
      </c>
      <c r="AA1842">
        <v>0.99482610000000005</v>
      </c>
      <c r="AB1842">
        <v>27</v>
      </c>
      <c r="AC1842">
        <v>-0.50950000000005902</v>
      </c>
      <c r="AD1842">
        <v>-5.3958999999999598E-2</v>
      </c>
      <c r="AE1842">
        <v>0.106800000000021</v>
      </c>
      <c r="AF1842">
        <v>8.0294543279050695E-2</v>
      </c>
      <c r="AG1842">
        <v>-5.3958999999999598E-2</v>
      </c>
      <c r="AH1842">
        <v>0.508742221422262</v>
      </c>
      <c r="AI1842">
        <v>95.980870564726104</v>
      </c>
      <c r="AJ1842">
        <v>81.031018886851598</v>
      </c>
      <c r="AK1842">
        <v>0.51785850887964502</v>
      </c>
    </row>
    <row r="1843" spans="1:37" x14ac:dyDescent="0.2">
      <c r="A1843" t="str">
        <f>"20200111160142229"</f>
        <v>20200111160142229</v>
      </c>
      <c r="B1843" t="str">
        <f>"1578729702222823"</f>
        <v>1578729702222823</v>
      </c>
      <c r="C1843" t="s">
        <v>37</v>
      </c>
      <c r="D1843">
        <v>4.9477799999999998</v>
      </c>
      <c r="E1843">
        <v>0.55812869999999903</v>
      </c>
      <c r="F1843" t="s">
        <v>42</v>
      </c>
      <c r="G1843">
        <v>-443.45299999999997</v>
      </c>
      <c r="H1843">
        <v>1.05309599999999</v>
      </c>
      <c r="I1843">
        <v>285.69799999999998</v>
      </c>
      <c r="J1843">
        <v>-442.96499999999997</v>
      </c>
      <c r="K1843">
        <v>1.1043559999999999</v>
      </c>
      <c r="L1843">
        <v>285.5958</v>
      </c>
      <c r="M1843">
        <v>-0.99863789999999997</v>
      </c>
      <c r="N1843">
        <v>0</v>
      </c>
      <c r="O1843">
        <v>5.0262019999999998E-2</v>
      </c>
      <c r="P1843">
        <v>-0.99982229999999905</v>
      </c>
      <c r="Q1843">
        <v>1.8832089999999999E-2</v>
      </c>
      <c r="R1843">
        <v>9.1024089999999997E-4</v>
      </c>
      <c r="S1843">
        <v>-3.0036619999999998</v>
      </c>
      <c r="T1843">
        <v>-0.2048652</v>
      </c>
      <c r="U1843">
        <v>0.46017459999999999</v>
      </c>
      <c r="V1843">
        <v>-4.9335829999999997E-2</v>
      </c>
      <c r="W1843">
        <v>3.283465E-2</v>
      </c>
      <c r="X1843">
        <v>0.99824239999999997</v>
      </c>
      <c r="Y1843">
        <v>0.1014429</v>
      </c>
      <c r="Z1843" s="1">
        <v>3.5111090000000003E-5</v>
      </c>
      <c r="AA1843">
        <v>0.99484130000000004</v>
      </c>
      <c r="AB1843">
        <v>27</v>
      </c>
      <c r="AC1843">
        <v>-0.488000000000056</v>
      </c>
      <c r="AD1843">
        <v>-5.126E-2</v>
      </c>
      <c r="AE1843">
        <v>0.102199999999982</v>
      </c>
      <c r="AF1843">
        <v>7.6729497942248398E-2</v>
      </c>
      <c r="AG1843">
        <v>-5.126E-2</v>
      </c>
      <c r="AH1843">
        <v>0.48736886534836699</v>
      </c>
      <c r="AI1843">
        <v>95.9315938303005</v>
      </c>
      <c r="AJ1843">
        <v>81.053008849606698</v>
      </c>
      <c r="AK1843">
        <v>0.49602763467918198</v>
      </c>
    </row>
    <row r="1844" spans="1:37" x14ac:dyDescent="0.2">
      <c r="A1844" t="str">
        <f>"20200111160142252"</f>
        <v>20200111160142252</v>
      </c>
      <c r="B1844" t="str">
        <f>"1578729702243320"</f>
        <v>1578729702243320</v>
      </c>
      <c r="C1844" t="s">
        <v>37</v>
      </c>
      <c r="D1844">
        <v>4.669009</v>
      </c>
      <c r="E1844">
        <v>0.55797819999999998</v>
      </c>
      <c r="F1844" t="s">
        <v>42</v>
      </c>
      <c r="G1844">
        <v>-443.91750000000002</v>
      </c>
      <c r="H1844">
        <v>1.0398579999999999</v>
      </c>
      <c r="I1844">
        <v>285.74149999999997</v>
      </c>
      <c r="J1844">
        <v>-443.22919999999999</v>
      </c>
      <c r="K1844">
        <v>1.104365</v>
      </c>
      <c r="L1844">
        <v>285.60930000000002</v>
      </c>
      <c r="M1844">
        <v>-0.99862839999999997</v>
      </c>
      <c r="N1844">
        <v>0</v>
      </c>
      <c r="O1844">
        <v>5.0454989999999998E-2</v>
      </c>
      <c r="P1844">
        <v>-0.99981399999999998</v>
      </c>
      <c r="Q1844">
        <v>1.926653E-2</v>
      </c>
      <c r="R1844">
        <v>1.070147E-3</v>
      </c>
      <c r="S1844">
        <v>-3.0039669999999998</v>
      </c>
      <c r="T1844">
        <v>-0.20337929999999901</v>
      </c>
      <c r="U1844">
        <v>0.45889279999999999</v>
      </c>
      <c r="V1844">
        <v>-4.9368450000000001E-2</v>
      </c>
      <c r="W1844">
        <v>3.326548E-2</v>
      </c>
      <c r="X1844">
        <v>0.99822649999999902</v>
      </c>
      <c r="Y1844">
        <v>0.10082430000000001</v>
      </c>
      <c r="Z1844" s="1">
        <v>1.108972E-6</v>
      </c>
      <c r="AA1844">
        <v>0.99490429999999996</v>
      </c>
      <c r="AB1844">
        <v>27</v>
      </c>
      <c r="AC1844">
        <v>-0.688300000000026</v>
      </c>
      <c r="AD1844">
        <v>-6.4506999999999995E-2</v>
      </c>
      <c r="AE1844">
        <v>0.13219999999995399</v>
      </c>
      <c r="AF1844">
        <v>9.6482733909317497E-2</v>
      </c>
      <c r="AG1844">
        <v>-6.4506999999999995E-2</v>
      </c>
      <c r="AH1844">
        <v>0.68826380792293196</v>
      </c>
      <c r="AI1844">
        <v>95.302811819801704</v>
      </c>
      <c r="AJ1844">
        <v>82.0201186614308</v>
      </c>
      <c r="AK1844">
        <v>0.69798075925357095</v>
      </c>
    </row>
    <row r="1845" spans="1:37" x14ac:dyDescent="0.2">
      <c r="A1845" t="str">
        <f>"20200111160142273"</f>
        <v>20200111160142273</v>
      </c>
      <c r="B1845" t="str">
        <f>"1578729702262840"</f>
        <v>1578729702262840</v>
      </c>
      <c r="C1845" t="s">
        <v>37</v>
      </c>
      <c r="D1845">
        <v>4.719163</v>
      </c>
      <c r="E1845">
        <v>0.55789519999999904</v>
      </c>
      <c r="F1845" t="s">
        <v>42</v>
      </c>
      <c r="G1845">
        <v>-444.15640000000002</v>
      </c>
      <c r="H1845">
        <v>1.0413349999999999</v>
      </c>
      <c r="I1845">
        <v>285.75080000000003</v>
      </c>
      <c r="J1845">
        <v>-443.48770000000002</v>
      </c>
      <c r="K1845">
        <v>1.1043719999999999</v>
      </c>
      <c r="L1845">
        <v>285.62259999999998</v>
      </c>
      <c r="M1845">
        <v>-0.99861900000000003</v>
      </c>
      <c r="N1845">
        <v>0</v>
      </c>
      <c r="O1845">
        <v>5.063952E-2</v>
      </c>
      <c r="P1845">
        <v>-0.99981160000000002</v>
      </c>
      <c r="Q1845">
        <v>1.9349729999999999E-2</v>
      </c>
      <c r="R1845">
        <v>1.5759929999999999E-3</v>
      </c>
      <c r="S1845">
        <v>-3.0039980000000002</v>
      </c>
      <c r="T1845">
        <v>-0.20429020000000001</v>
      </c>
      <c r="U1845">
        <v>0.45794679999999999</v>
      </c>
      <c r="V1845">
        <v>-4.9048460000000002E-2</v>
      </c>
      <c r="W1845">
        <v>3.3345069999999997E-2</v>
      </c>
      <c r="X1845">
        <v>0.9982396</v>
      </c>
      <c r="Y1845">
        <v>0.1003332</v>
      </c>
      <c r="Z1845" s="1">
        <v>-2.790382E-5</v>
      </c>
      <c r="AA1845">
        <v>0.99495389999999995</v>
      </c>
      <c r="AB1845">
        <v>27</v>
      </c>
      <c r="AC1845">
        <v>-0.66870000000000096</v>
      </c>
      <c r="AD1845">
        <v>-6.3036999999999704E-2</v>
      </c>
      <c r="AE1845">
        <v>0.128200000000049</v>
      </c>
      <c r="AF1845">
        <v>9.3369219124779093E-2</v>
      </c>
      <c r="AG1845">
        <v>-6.3036999999999704E-2</v>
      </c>
      <c r="AH1845">
        <v>0.66860363185050897</v>
      </c>
      <c r="AI1845">
        <v>95.334552897020899</v>
      </c>
      <c r="AJ1845">
        <v>82.050166007784597</v>
      </c>
      <c r="AK1845">
        <v>0.67802823759240505</v>
      </c>
    </row>
    <row r="1846" spans="1:37" x14ac:dyDescent="0.2">
      <c r="A1846" t="str">
        <f>"20200111160142297"</f>
        <v>20200111160142297</v>
      </c>
      <c r="B1846" t="str">
        <f>"1578729702293095"</f>
        <v>1578729702293095</v>
      </c>
      <c r="C1846" t="s">
        <v>37</v>
      </c>
      <c r="D1846">
        <v>4.8737209999999997</v>
      </c>
      <c r="E1846">
        <v>0.47990459999999902</v>
      </c>
      <c r="F1846" t="s">
        <v>42</v>
      </c>
      <c r="G1846">
        <v>-444.39479999999998</v>
      </c>
      <c r="H1846">
        <v>1.04252099999999</v>
      </c>
      <c r="I1846">
        <v>285.76170000000002</v>
      </c>
      <c r="J1846">
        <v>-443.75900000000001</v>
      </c>
      <c r="K1846">
        <v>1.1043750000000001</v>
      </c>
      <c r="L1846">
        <v>285.63659999999999</v>
      </c>
      <c r="M1846">
        <v>-0.99860949999999904</v>
      </c>
      <c r="N1846">
        <v>0</v>
      </c>
      <c r="O1846">
        <v>5.0828720000000001E-2</v>
      </c>
      <c r="P1846">
        <v>-0.99981019999999898</v>
      </c>
      <c r="Q1846">
        <v>1.942234E-2</v>
      </c>
      <c r="R1846">
        <v>1.7697839999999999E-3</v>
      </c>
      <c r="S1846">
        <v>-3.0038450000000001</v>
      </c>
      <c r="T1846">
        <v>-0.20501829999999999</v>
      </c>
      <c r="U1846">
        <v>0.4590149</v>
      </c>
      <c r="V1846">
        <v>-4.9044049999999999E-2</v>
      </c>
      <c r="W1846">
        <v>3.341417E-2</v>
      </c>
      <c r="X1846">
        <v>0.99823759999999995</v>
      </c>
      <c r="Y1846">
        <v>0.10049719999999999</v>
      </c>
      <c r="Z1846" s="1">
        <v>-3.5226350000000002E-5</v>
      </c>
      <c r="AA1846">
        <v>0.99493739999999997</v>
      </c>
      <c r="AB1846">
        <v>27</v>
      </c>
      <c r="AC1846">
        <v>-0.63579999999995995</v>
      </c>
      <c r="AD1846">
        <v>-6.1854000000000298E-2</v>
      </c>
      <c r="AE1846">
        <v>0.12510000000003099</v>
      </c>
      <c r="AF1846">
        <v>9.1781915288006999E-2</v>
      </c>
      <c r="AG1846">
        <v>-6.1854000000000298E-2</v>
      </c>
      <c r="AH1846">
        <v>0.63554639542027302</v>
      </c>
      <c r="AI1846">
        <v>95.502033213899793</v>
      </c>
      <c r="AJ1846">
        <v>81.782489013283694</v>
      </c>
      <c r="AK1846">
        <v>0.64511166321935098</v>
      </c>
    </row>
    <row r="1847" spans="1:37" x14ac:dyDescent="0.2">
      <c r="A1847" t="str">
        <f>"20200111160142319"</f>
        <v>20200111160142319</v>
      </c>
      <c r="B1847" t="str">
        <f>"1578729702312615"</f>
        <v>1578729702312615</v>
      </c>
      <c r="C1847" t="s">
        <v>37</v>
      </c>
      <c r="D1847">
        <v>4.7428269999999904</v>
      </c>
      <c r="E1847">
        <v>0.475861799999999</v>
      </c>
      <c r="F1847" t="s">
        <v>57</v>
      </c>
      <c r="G1847">
        <v>-464.416</v>
      </c>
      <c r="H1847" s="1">
        <v>8.1707209999999999E-7</v>
      </c>
      <c r="I1847">
        <v>284.52710000000002</v>
      </c>
      <c r="J1847">
        <v>-444.02879999999999</v>
      </c>
      <c r="K1847">
        <v>1.1043769999999999</v>
      </c>
      <c r="L1847">
        <v>285.65050000000002</v>
      </c>
      <c r="M1847">
        <v>-0.99859989999999998</v>
      </c>
      <c r="N1847">
        <v>0</v>
      </c>
      <c r="O1847">
        <v>5.1014780000000003E-2</v>
      </c>
      <c r="P1847">
        <v>-0.99981249999999999</v>
      </c>
      <c r="Q1847">
        <v>1.9238209999999999E-2</v>
      </c>
      <c r="R1847">
        <v>2.231949E-3</v>
      </c>
      <c r="S1847">
        <v>-3.0039980000000002</v>
      </c>
      <c r="T1847">
        <v>-0.1606012</v>
      </c>
      <c r="U1847">
        <v>-0.1613464</v>
      </c>
      <c r="V1847">
        <v>-4.876875E-2</v>
      </c>
      <c r="W1847">
        <v>3.322688E-2</v>
      </c>
      <c r="X1847">
        <v>0.99825730000000001</v>
      </c>
      <c r="Y1847">
        <v>-0.10428849999999899</v>
      </c>
      <c r="Z1847">
        <v>-5.5075530000000001E-3</v>
      </c>
      <c r="AA1847">
        <v>0.99453179999999997</v>
      </c>
      <c r="AB1847">
        <v>27</v>
      </c>
      <c r="AC1847">
        <v>-20.3872</v>
      </c>
      <c r="AD1847">
        <v>-1.1043761829279</v>
      </c>
      <c r="AE1847">
        <v>-1.1234</v>
      </c>
      <c r="AF1847">
        <v>-2.1557804890339098</v>
      </c>
      <c r="AG1847">
        <v>-1.1043761829279</v>
      </c>
      <c r="AH1847">
        <v>20.244108551781</v>
      </c>
      <c r="AI1847">
        <v>93.105038368708094</v>
      </c>
      <c r="AJ1847">
        <v>96.078478642571397</v>
      </c>
      <c r="AK1847">
        <v>20.388500860205699</v>
      </c>
    </row>
    <row r="1848" spans="1:37" x14ac:dyDescent="0.2">
      <c r="A1848" t="str">
        <f>"20200111160142340"</f>
        <v>20200111160142340</v>
      </c>
      <c r="B1848" t="str">
        <f>"1578729702333111"</f>
        <v>1578729702333111</v>
      </c>
      <c r="C1848" t="s">
        <v>37</v>
      </c>
      <c r="D1848">
        <v>4.8573579999999996</v>
      </c>
      <c r="E1848">
        <v>0.47582619999999998</v>
      </c>
      <c r="F1848" t="s">
        <v>57</v>
      </c>
      <c r="G1848">
        <v>-464.11340000000001</v>
      </c>
      <c r="H1848" s="1">
        <v>6.6313419999999897E-7</v>
      </c>
      <c r="I1848">
        <v>284.36489999999998</v>
      </c>
      <c r="J1848">
        <v>-444.28559999999999</v>
      </c>
      <c r="K1848">
        <v>1.104371</v>
      </c>
      <c r="L1848">
        <v>285.66379999999998</v>
      </c>
      <c r="M1848">
        <v>-0.99859089999999995</v>
      </c>
      <c r="N1848">
        <v>0</v>
      </c>
      <c r="O1848">
        <v>5.1191449999999999E-2</v>
      </c>
      <c r="P1848">
        <v>-0.999816699999999</v>
      </c>
      <c r="Q1848">
        <v>1.903111E-2</v>
      </c>
      <c r="R1848">
        <v>2.0820970000000002E-3</v>
      </c>
      <c r="S1848">
        <v>-3.004181</v>
      </c>
      <c r="T1848">
        <v>-0.1651888</v>
      </c>
      <c r="U1848">
        <v>-0.192291299999999</v>
      </c>
      <c r="V1848">
        <v>-4.9095630000000001E-2</v>
      </c>
      <c r="W1848">
        <v>3.3016699999999899E-2</v>
      </c>
      <c r="X1848">
        <v>0.99824820000000003</v>
      </c>
      <c r="Y1848">
        <v>-0.11463569999999999</v>
      </c>
      <c r="Z1848">
        <v>-5.9564450000000003E-3</v>
      </c>
      <c r="AA1848">
        <v>0.99338969999999904</v>
      </c>
      <c r="AB1848">
        <v>27</v>
      </c>
      <c r="AC1848">
        <v>-19.8278</v>
      </c>
      <c r="AD1848">
        <v>-1.1043703368658</v>
      </c>
      <c r="AE1848">
        <v>-1.2988999999999999</v>
      </c>
      <c r="AF1848">
        <v>-2.30518899122653</v>
      </c>
      <c r="AG1848">
        <v>-1.1043703368658</v>
      </c>
      <c r="AH1848">
        <v>19.6745237840424</v>
      </c>
      <c r="AI1848">
        <v>93.190972707510795</v>
      </c>
      <c r="AJ1848">
        <v>96.682659670607606</v>
      </c>
      <c r="AK1848">
        <v>19.839869360836801</v>
      </c>
    </row>
    <row r="1849" spans="1:37" x14ac:dyDescent="0.2">
      <c r="A1849" t="str">
        <f>"20200111160142363"</f>
        <v>20200111160142363</v>
      </c>
      <c r="B1849" t="str">
        <f>"1578729702352632"</f>
        <v>1578729702352632</v>
      </c>
      <c r="C1849" t="s">
        <v>37</v>
      </c>
      <c r="D1849">
        <v>4.7891349999999999</v>
      </c>
      <c r="E1849">
        <v>0.47497929999999999</v>
      </c>
      <c r="F1849" t="s">
        <v>57</v>
      </c>
      <c r="G1849">
        <v>-464.0557</v>
      </c>
      <c r="H1849" s="1">
        <v>6.3129429999999996E-7</v>
      </c>
      <c r="I1849">
        <v>284.39120000000003</v>
      </c>
      <c r="J1849">
        <v>-444.55180000000001</v>
      </c>
      <c r="K1849">
        <v>1.104373</v>
      </c>
      <c r="L1849">
        <v>285.67770000000002</v>
      </c>
      <c r="M1849">
        <v>-0.99858159999999896</v>
      </c>
      <c r="N1849">
        <v>0</v>
      </c>
      <c r="O1849">
        <v>5.1374379999999997E-2</v>
      </c>
      <c r="P1849">
        <v>-0.9998203</v>
      </c>
      <c r="Q1849">
        <v>1.8867060000000001E-2</v>
      </c>
      <c r="R1849">
        <v>1.92233799999999E-3</v>
      </c>
      <c r="S1849">
        <v>-3.0041500000000001</v>
      </c>
      <c r="T1849">
        <v>-0.16781409999999999</v>
      </c>
      <c r="U1849">
        <v>-0.193389899999999</v>
      </c>
      <c r="V1849">
        <v>-4.9438620000000003E-2</v>
      </c>
      <c r="W1849">
        <v>3.2849419999999997E-2</v>
      </c>
      <c r="X1849">
        <v>0.99823680000000004</v>
      </c>
      <c r="Y1849">
        <v>-0.11517089999999899</v>
      </c>
      <c r="Z1849">
        <v>-6.0760830000000004E-3</v>
      </c>
      <c r="AA1849">
        <v>0.99332710000000002</v>
      </c>
      <c r="AB1849">
        <v>27</v>
      </c>
      <c r="AC1849">
        <v>-19.503899999999899</v>
      </c>
      <c r="AD1849">
        <v>-1.1043723687057001</v>
      </c>
      <c r="AE1849">
        <v>-1.28649999999998</v>
      </c>
      <c r="AF1849">
        <v>-2.2796222883394899</v>
      </c>
      <c r="AG1849">
        <v>-1.1043723687057001</v>
      </c>
      <c r="AH1849">
        <v>19.350268055855899</v>
      </c>
      <c r="AI1849">
        <v>93.244096152049707</v>
      </c>
      <c r="AJ1849">
        <v>96.718949258169701</v>
      </c>
      <c r="AK1849">
        <v>19.515357796866901</v>
      </c>
    </row>
    <row r="1850" spans="1:37" x14ac:dyDescent="0.2">
      <c r="A1850" t="str">
        <f>"20200111160142388"</f>
        <v>20200111160142388</v>
      </c>
      <c r="B1850" t="str">
        <f>"1578729702382887"</f>
        <v>1578729702382887</v>
      </c>
      <c r="C1850" t="s">
        <v>37</v>
      </c>
      <c r="D1850">
        <v>4.6775500000000001</v>
      </c>
      <c r="E1850">
        <v>0.47499949999999902</v>
      </c>
      <c r="F1850" t="s">
        <v>57</v>
      </c>
      <c r="G1850">
        <v>-464.39749999999998</v>
      </c>
      <c r="H1850" s="1">
        <v>8.1482759999999997E-7</v>
      </c>
      <c r="I1850">
        <v>284.35379999999998</v>
      </c>
      <c r="J1850">
        <v>-444.84609999999998</v>
      </c>
      <c r="K1850">
        <v>1.1043689999999999</v>
      </c>
      <c r="L1850">
        <v>285.69310000000002</v>
      </c>
      <c r="M1850">
        <v>-0.99857119999999999</v>
      </c>
      <c r="N1850">
        <v>0</v>
      </c>
      <c r="O1850">
        <v>5.1577339999999999E-2</v>
      </c>
      <c r="P1850">
        <v>-0.99982399999999905</v>
      </c>
      <c r="Q1850">
        <v>1.8718559999999999E-2</v>
      </c>
      <c r="R1850">
        <v>1.3790720000000001E-3</v>
      </c>
      <c r="S1850">
        <v>-3.004089</v>
      </c>
      <c r="T1850">
        <v>-0.16717109999999999</v>
      </c>
      <c r="U1850">
        <v>-0.2004089</v>
      </c>
      <c r="V1850">
        <v>-5.0184270000000003E-2</v>
      </c>
      <c r="W1850">
        <v>3.2697879999999999E-2</v>
      </c>
      <c r="X1850">
        <v>0.9982046</v>
      </c>
      <c r="Y1850">
        <v>-0.1176825</v>
      </c>
      <c r="Z1850">
        <v>-6.13356199999999E-3</v>
      </c>
      <c r="AA1850">
        <v>0.99303229999999998</v>
      </c>
      <c r="AB1850">
        <v>27</v>
      </c>
      <c r="AC1850">
        <v>-19.551400000000001</v>
      </c>
      <c r="AD1850">
        <v>-1.1043681851724001</v>
      </c>
      <c r="AE1850">
        <v>-1.3393000000000299</v>
      </c>
      <c r="AF1850">
        <v>-2.3385980804034401</v>
      </c>
      <c r="AG1850">
        <v>-1.1043681851724001</v>
      </c>
      <c r="AH1850">
        <v>19.394696125471299</v>
      </c>
      <c r="AI1850">
        <v>93.235616756841097</v>
      </c>
      <c r="AJ1850">
        <v>96.875489104415095</v>
      </c>
      <c r="AK1850">
        <v>19.566371862699999</v>
      </c>
    </row>
    <row r="1851" spans="1:37" x14ac:dyDescent="0.2">
      <c r="A1851" t="str">
        <f>"20200111160142410"</f>
        <v>20200111160142410</v>
      </c>
      <c r="B1851" t="str">
        <f>"1578729702403385"</f>
        <v>1578729702403385</v>
      </c>
      <c r="C1851" t="s">
        <v>37</v>
      </c>
      <c r="D1851">
        <v>4.7683970000000002</v>
      </c>
      <c r="E1851">
        <v>0.4752401</v>
      </c>
      <c r="F1851" t="s">
        <v>57</v>
      </c>
      <c r="G1851">
        <v>-464.27319999999997</v>
      </c>
      <c r="H1851" s="1">
        <v>7.4716889999999997E-7</v>
      </c>
      <c r="I1851">
        <v>284.38810000000001</v>
      </c>
      <c r="J1851">
        <v>-445.1053</v>
      </c>
      <c r="K1851">
        <v>1.1043689999999999</v>
      </c>
      <c r="L1851">
        <v>285.70659999999998</v>
      </c>
      <c r="M1851">
        <v>-0.99856199999999995</v>
      </c>
      <c r="N1851">
        <v>0</v>
      </c>
      <c r="O1851">
        <v>5.1756940000000001E-2</v>
      </c>
      <c r="P1851">
        <v>-0.99983539999999904</v>
      </c>
      <c r="Q1851">
        <v>1.8138339999999999E-2</v>
      </c>
      <c r="R1851">
        <v>7.8227630000000004E-4</v>
      </c>
      <c r="S1851">
        <v>-3.0039980000000002</v>
      </c>
      <c r="T1851">
        <v>-0.170767899999999</v>
      </c>
      <c r="U1851">
        <v>-0.20178219999999999</v>
      </c>
      <c r="V1851">
        <v>-5.096059E-2</v>
      </c>
      <c r="W1851">
        <v>3.2114539999999997E-2</v>
      </c>
      <c r="X1851">
        <v>0.99818419999999897</v>
      </c>
      <c r="Y1851">
        <v>-0.1183025</v>
      </c>
      <c r="Z1851">
        <v>-6.2932019999999899E-3</v>
      </c>
      <c r="AA1851">
        <v>0.99295769999999905</v>
      </c>
      <c r="AB1851">
        <v>26</v>
      </c>
      <c r="AC1851">
        <v>-19.1678999999999</v>
      </c>
      <c r="AD1851">
        <v>-1.1043682528311001</v>
      </c>
      <c r="AE1851">
        <v>-1.31849999999997</v>
      </c>
      <c r="AF1851">
        <v>-2.3012978614859798</v>
      </c>
      <c r="AG1851">
        <v>-1.1043682528311001</v>
      </c>
      <c r="AH1851">
        <v>19.011145098382901</v>
      </c>
      <c r="AI1851">
        <v>93.300568232242298</v>
      </c>
      <c r="AJ1851">
        <v>96.902068859149907</v>
      </c>
      <c r="AK1851">
        <v>19.1817423357971</v>
      </c>
    </row>
    <row r="1852" spans="1:37" x14ac:dyDescent="0.2">
      <c r="A1852" t="str">
        <f>"20200111160142430"</f>
        <v>20200111160142430</v>
      </c>
      <c r="B1852" t="str">
        <f>"1578729702422903"</f>
        <v>1578729702422903</v>
      </c>
      <c r="C1852" t="s">
        <v>37</v>
      </c>
      <c r="D1852">
        <v>4.7880729999999998</v>
      </c>
      <c r="E1852">
        <v>0.47511399999999998</v>
      </c>
      <c r="F1852" t="s">
        <v>57</v>
      </c>
      <c r="G1852">
        <v>-464.62509999999997</v>
      </c>
      <c r="H1852" s="1">
        <v>9.3404129999999997E-7</v>
      </c>
      <c r="I1852">
        <v>284.39679999999998</v>
      </c>
      <c r="J1852">
        <v>-445.34379999999999</v>
      </c>
      <c r="K1852">
        <v>1.104368</v>
      </c>
      <c r="L1852">
        <v>285.7192</v>
      </c>
      <c r="M1852">
        <v>-0.99855329999999998</v>
      </c>
      <c r="N1852">
        <v>0</v>
      </c>
      <c r="O1852">
        <v>5.1922780000000002E-2</v>
      </c>
      <c r="P1852">
        <v>-0.9998475</v>
      </c>
      <c r="Q1852">
        <v>1.7463139999999999E-2</v>
      </c>
      <c r="R1852">
        <v>1.9037519999999999E-4</v>
      </c>
      <c r="S1852">
        <v>-3.003784</v>
      </c>
      <c r="T1852">
        <v>-0.1699446</v>
      </c>
      <c r="U1852">
        <v>-0.20156859999999999</v>
      </c>
      <c r="V1852">
        <v>-5.1718489999999999E-2</v>
      </c>
      <c r="W1852">
        <v>3.1436810000000003E-2</v>
      </c>
      <c r="X1852">
        <v>0.99816680000000002</v>
      </c>
      <c r="Y1852">
        <v>-0.11840389999999899</v>
      </c>
      <c r="Z1852">
        <v>-6.2755959999999996E-3</v>
      </c>
      <c r="AA1852">
        <v>0.99294570000000004</v>
      </c>
      <c r="AB1852">
        <v>26</v>
      </c>
      <c r="AC1852">
        <v>-19.281299999999899</v>
      </c>
      <c r="AD1852">
        <v>-1.1043670659586999</v>
      </c>
      <c r="AE1852">
        <v>-1.32240000000001</v>
      </c>
      <c r="AF1852">
        <v>-2.3142956093287999</v>
      </c>
      <c r="AG1852">
        <v>-1.1043670659586999</v>
      </c>
      <c r="AH1852">
        <v>19.124171861769401</v>
      </c>
      <c r="AI1852">
        <v>93.281114569726597</v>
      </c>
      <c r="AJ1852">
        <v>96.900048792463593</v>
      </c>
      <c r="AK1852">
        <v>19.2953243088119</v>
      </c>
    </row>
    <row r="1853" spans="1:37" x14ac:dyDescent="0.2">
      <c r="A1853" t="str">
        <f>"20200111160142452"</f>
        <v>20200111160142452</v>
      </c>
      <c r="B1853" t="str">
        <f>"1578729702443400"</f>
        <v>1578729702443400</v>
      </c>
      <c r="C1853" t="s">
        <v>37</v>
      </c>
      <c r="D1853">
        <v>4.8350989999999996</v>
      </c>
      <c r="E1853">
        <v>0.47499170000000002</v>
      </c>
      <c r="F1853" t="s">
        <v>57</v>
      </c>
      <c r="G1853">
        <v>-464.51179999999999</v>
      </c>
      <c r="H1853" s="1">
        <v>8.7301559999999999E-7</v>
      </c>
      <c r="I1853">
        <v>284.41449999999998</v>
      </c>
      <c r="J1853">
        <v>-445.60109999999997</v>
      </c>
      <c r="K1853">
        <v>1.104368</v>
      </c>
      <c r="L1853">
        <v>285.7328</v>
      </c>
      <c r="M1853">
        <v>-0.99854409999999905</v>
      </c>
      <c r="N1853">
        <v>0</v>
      </c>
      <c r="O1853">
        <v>5.2102309999999999E-2</v>
      </c>
      <c r="P1853">
        <v>-0.99986810000000004</v>
      </c>
      <c r="Q1853">
        <v>1.6247939999999999E-2</v>
      </c>
      <c r="R1853">
        <v>3.5477669999999997E-4</v>
      </c>
      <c r="S1853">
        <v>-3.0035099999999999</v>
      </c>
      <c r="T1853">
        <v>-0.17304720000000001</v>
      </c>
      <c r="U1853">
        <v>-0.20443729999999999</v>
      </c>
      <c r="V1853">
        <v>-5.1735179999999999E-2</v>
      </c>
      <c r="W1853">
        <v>3.0219070000000001E-2</v>
      </c>
      <c r="X1853">
        <v>0.99820350000000002</v>
      </c>
      <c r="Y1853">
        <v>-0.1195204</v>
      </c>
      <c r="Z1853">
        <v>-6.4327969999999996E-3</v>
      </c>
      <c r="AA1853">
        <v>0.99281090000000005</v>
      </c>
      <c r="AB1853">
        <v>26</v>
      </c>
      <c r="AC1853">
        <v>-18.910699999999999</v>
      </c>
      <c r="AD1853">
        <v>-1.10436712698439</v>
      </c>
      <c r="AE1853">
        <v>-1.31830000000002</v>
      </c>
      <c r="AF1853">
        <v>-2.29411021022998</v>
      </c>
      <c r="AG1853">
        <v>-1.10436712698439</v>
      </c>
      <c r="AH1853">
        <v>18.752670645642901</v>
      </c>
      <c r="AI1853">
        <v>93.345440575148103</v>
      </c>
      <c r="AJ1853">
        <v>96.974630003304398</v>
      </c>
      <c r="AK1853">
        <v>18.924725222623501</v>
      </c>
    </row>
    <row r="1854" spans="1:37" x14ac:dyDescent="0.2">
      <c r="A1854" t="str">
        <f>"20200111160142474"</f>
        <v>20200111160142474</v>
      </c>
      <c r="B1854" t="str">
        <f>"1578729702462919"</f>
        <v>1578729702462919</v>
      </c>
      <c r="C1854" t="s">
        <v>37</v>
      </c>
      <c r="D1854">
        <v>5.5239750000000001</v>
      </c>
      <c r="E1854">
        <v>0.47494589999999998</v>
      </c>
      <c r="F1854" t="s">
        <v>57</v>
      </c>
      <c r="G1854">
        <v>-464.13639999999998</v>
      </c>
      <c r="H1854" s="1">
        <v>6.7078789999999899E-7</v>
      </c>
      <c r="I1854">
        <v>284.46940000000001</v>
      </c>
      <c r="J1854">
        <v>-445.8646</v>
      </c>
      <c r="K1854">
        <v>1.1043719999999999</v>
      </c>
      <c r="L1854">
        <v>285.74669999999998</v>
      </c>
      <c r="M1854">
        <v>-0.99853440000000004</v>
      </c>
      <c r="N1854">
        <v>0</v>
      </c>
      <c r="O1854">
        <v>5.2286329999999999E-2</v>
      </c>
      <c r="P1854">
        <v>-0.99988120000000003</v>
      </c>
      <c r="Q1854">
        <v>1.540267E-2</v>
      </c>
      <c r="R1854">
        <v>6.6920879999999997E-4</v>
      </c>
      <c r="S1854">
        <v>-3.0034179999999999</v>
      </c>
      <c r="T1854">
        <v>-0.1789501</v>
      </c>
      <c r="U1854">
        <v>-0.2047119</v>
      </c>
      <c r="V1854">
        <v>-5.1606069999999997E-2</v>
      </c>
      <c r="W1854">
        <v>2.9371149999999999E-2</v>
      </c>
      <c r="X1854">
        <v>0.99823549999999905</v>
      </c>
      <c r="Y1854">
        <v>-0.119775299999999</v>
      </c>
      <c r="Z1854">
        <v>-6.6705499999999999E-3</v>
      </c>
      <c r="AA1854">
        <v>0.99277859999999996</v>
      </c>
      <c r="AB1854">
        <v>26</v>
      </c>
      <c r="AC1854">
        <v>-18.271799999999899</v>
      </c>
      <c r="AD1854">
        <v>-1.1043713292121</v>
      </c>
      <c r="AE1854">
        <v>-1.2772999999999599</v>
      </c>
      <c r="AF1854">
        <v>-2.2229298950244201</v>
      </c>
      <c r="AG1854">
        <v>-1.1043713292121</v>
      </c>
      <c r="AH1854">
        <v>18.114157957345999</v>
      </c>
      <c r="AI1854">
        <v>93.462936679122095</v>
      </c>
      <c r="AJ1854">
        <v>96.996232540418603</v>
      </c>
      <c r="AK1854">
        <v>18.283428886690299</v>
      </c>
    </row>
    <row r="1855" spans="1:37" x14ac:dyDescent="0.2">
      <c r="A1855" t="str">
        <f>"20200111160142499"</f>
        <v>20200111160142499</v>
      </c>
      <c r="B1855" t="str">
        <f>"1578729702493176"</f>
        <v>1578729702493176</v>
      </c>
      <c r="C1855" t="s">
        <v>37</v>
      </c>
      <c r="D1855">
        <v>4.8502879999999999</v>
      </c>
      <c r="E1855">
        <v>0.47439809999999999</v>
      </c>
      <c r="F1855" t="s">
        <v>57</v>
      </c>
      <c r="G1855">
        <v>-464.11770000000001</v>
      </c>
      <c r="H1855" s="1">
        <v>6.5935859999999899E-7</v>
      </c>
      <c r="I1855">
        <v>284.50439999999998</v>
      </c>
      <c r="J1855">
        <v>-446.14429999999999</v>
      </c>
      <c r="K1855">
        <v>1.104376</v>
      </c>
      <c r="L1855">
        <v>285.76159999999999</v>
      </c>
      <c r="M1855">
        <v>-0.99852419999999997</v>
      </c>
      <c r="N1855">
        <v>0</v>
      </c>
      <c r="O1855">
        <v>5.248179E-2</v>
      </c>
      <c r="P1855">
        <v>-0.9998937</v>
      </c>
      <c r="Q1855">
        <v>1.4519819999999999E-2</v>
      </c>
      <c r="R1855">
        <v>1.3564009999999999E-3</v>
      </c>
      <c r="S1855">
        <v>-3.00329599999999</v>
      </c>
      <c r="T1855">
        <v>-0.1817086</v>
      </c>
      <c r="U1855">
        <v>-0.2044067</v>
      </c>
      <c r="V1855">
        <v>-5.1116139999999997E-2</v>
      </c>
      <c r="W1855">
        <v>2.848556E-2</v>
      </c>
      <c r="X1855">
        <v>0.99828639999999902</v>
      </c>
      <c r="Y1855">
        <v>-0.119861999999999</v>
      </c>
      <c r="Z1855">
        <v>-6.7879019999999898E-3</v>
      </c>
      <c r="AA1855">
        <v>0.99276730000000002</v>
      </c>
      <c r="AB1855">
        <v>26</v>
      </c>
      <c r="AC1855">
        <v>-17.973400000000002</v>
      </c>
      <c r="AD1855">
        <v>-1.1043753406414001</v>
      </c>
      <c r="AE1855">
        <v>-1.2572000000000101</v>
      </c>
      <c r="AF1855">
        <v>-2.1906049865352499</v>
      </c>
      <c r="AG1855">
        <v>-1.1043753406414001</v>
      </c>
      <c r="AH1855">
        <v>17.8157036869808</v>
      </c>
      <c r="AI1855">
        <v>93.520714316992695</v>
      </c>
      <c r="AJ1855">
        <v>97.009858257147897</v>
      </c>
      <c r="AK1855">
        <v>17.9838175302785</v>
      </c>
    </row>
    <row r="1856" spans="1:37" x14ac:dyDescent="0.2">
      <c r="A1856" t="str">
        <f>"20200111160142521"</f>
        <v>20200111160142521</v>
      </c>
      <c r="B1856" t="str">
        <f>"1578729702512695"</f>
        <v>1578729702512695</v>
      </c>
      <c r="C1856" t="s">
        <v>37</v>
      </c>
      <c r="D1856">
        <v>4.8345649999999996</v>
      </c>
      <c r="E1856">
        <v>0.4744121</v>
      </c>
      <c r="F1856" t="s">
        <v>57</v>
      </c>
      <c r="G1856">
        <v>-464.1712</v>
      </c>
      <c r="H1856" s="1">
        <v>6.8703479999999997E-7</v>
      </c>
      <c r="I1856">
        <v>284.52170000000001</v>
      </c>
      <c r="J1856">
        <v>-446.4083</v>
      </c>
      <c r="K1856">
        <v>1.104374</v>
      </c>
      <c r="L1856">
        <v>285.7756</v>
      </c>
      <c r="M1856">
        <v>-0.99851440000000002</v>
      </c>
      <c r="N1856">
        <v>0</v>
      </c>
      <c r="O1856">
        <v>5.2666919999999999E-2</v>
      </c>
      <c r="P1856">
        <v>-0.99989689999999998</v>
      </c>
      <c r="Q1856">
        <v>1.4221309999999999E-2</v>
      </c>
      <c r="R1856">
        <v>1.99613E-3</v>
      </c>
      <c r="S1856">
        <v>-3.0032649999999999</v>
      </c>
      <c r="T1856">
        <v>-0.1839885</v>
      </c>
      <c r="U1856">
        <v>-0.20657349999999999</v>
      </c>
      <c r="V1856">
        <v>-5.0663399999999997E-2</v>
      </c>
      <c r="W1856">
        <v>2.8184799999999999E-2</v>
      </c>
      <c r="X1856">
        <v>0.99831800000000004</v>
      </c>
      <c r="Y1856">
        <v>-0.1207497</v>
      </c>
      <c r="Z1856">
        <v>-6.91128199999999E-3</v>
      </c>
      <c r="AA1856">
        <v>0.99265890000000001</v>
      </c>
      <c r="AB1856">
        <v>26</v>
      </c>
      <c r="AC1856">
        <v>-17.762899999999998</v>
      </c>
      <c r="AD1856">
        <v>-1.1043733129652</v>
      </c>
      <c r="AE1856">
        <v>-1.25389999999998</v>
      </c>
      <c r="AF1856">
        <v>-2.1793853518989001</v>
      </c>
      <c r="AG1856">
        <v>-1.1043733129652</v>
      </c>
      <c r="AH1856">
        <v>17.6044847078531</v>
      </c>
      <c r="AI1856">
        <v>93.562479363125803</v>
      </c>
      <c r="AJ1856">
        <v>97.057149404163596</v>
      </c>
      <c r="AK1856">
        <v>17.7732170063693</v>
      </c>
    </row>
    <row r="1857" spans="1:37" x14ac:dyDescent="0.2">
      <c r="A1857" t="str">
        <f>"20200111160142541"</f>
        <v>20200111160142541</v>
      </c>
      <c r="B1857" t="str">
        <f>"1578729702533192"</f>
        <v>1578729702533192</v>
      </c>
      <c r="C1857" t="s">
        <v>37</v>
      </c>
      <c r="D1857">
        <v>4.9146229999999997</v>
      </c>
      <c r="E1857">
        <v>0.47438239999999998</v>
      </c>
      <c r="F1857" t="s">
        <v>57</v>
      </c>
      <c r="G1857">
        <v>-464.23809999999997</v>
      </c>
      <c r="H1857" s="1">
        <v>7.2089819999999903E-7</v>
      </c>
      <c r="I1857">
        <v>284.56229999999999</v>
      </c>
      <c r="J1857">
        <v>-446.64960000000002</v>
      </c>
      <c r="K1857">
        <v>1.1043719999999999</v>
      </c>
      <c r="L1857">
        <v>285.78859999999997</v>
      </c>
      <c r="M1857">
        <v>-0.99850569999999905</v>
      </c>
      <c r="N1857">
        <v>0</v>
      </c>
      <c r="O1857">
        <v>5.2835729999999997E-2</v>
      </c>
      <c r="P1857">
        <v>-0.99990330000000005</v>
      </c>
      <c r="Q1857">
        <v>1.366915E-2</v>
      </c>
      <c r="R1857">
        <v>2.6143429999999999E-3</v>
      </c>
      <c r="S1857">
        <v>-3.003387</v>
      </c>
      <c r="T1857">
        <v>-0.1860282</v>
      </c>
      <c r="U1857">
        <v>-0.20437620000000001</v>
      </c>
      <c r="V1857">
        <v>-5.0215269999999999E-2</v>
      </c>
      <c r="W1857">
        <v>2.7629979999999998E-2</v>
      </c>
      <c r="X1857">
        <v>0.99835620000000003</v>
      </c>
      <c r="Y1857">
        <v>-0.1201854</v>
      </c>
      <c r="Z1857">
        <v>-6.9806240000000004E-3</v>
      </c>
      <c r="AA1857">
        <v>0.99272689999999997</v>
      </c>
      <c r="AB1857">
        <v>26</v>
      </c>
      <c r="AC1857">
        <v>-17.5884999999999</v>
      </c>
      <c r="AD1857">
        <v>-1.1043712791018001</v>
      </c>
      <c r="AE1857">
        <v>-1.22629999999998</v>
      </c>
      <c r="AF1857">
        <v>-2.14556056447576</v>
      </c>
      <c r="AG1857">
        <v>-1.1043712791018001</v>
      </c>
      <c r="AH1857">
        <v>17.430740739264301</v>
      </c>
      <c r="AI1857">
        <v>93.598197875100198</v>
      </c>
      <c r="AJ1857">
        <v>97.017274419841101</v>
      </c>
      <c r="AK1857">
        <v>17.596982377026698</v>
      </c>
    </row>
    <row r="1858" spans="1:37" x14ac:dyDescent="0.2">
      <c r="A1858" t="str">
        <f>"20200111160142564"</f>
        <v>20200111160142564</v>
      </c>
      <c r="B1858" t="str">
        <f>"1578729702552711"</f>
        <v>1578729702552711</v>
      </c>
      <c r="C1858" t="s">
        <v>37</v>
      </c>
      <c r="D1858">
        <v>4.9098309999999996</v>
      </c>
      <c r="E1858">
        <v>0.47421949999999902</v>
      </c>
      <c r="F1858" t="s">
        <v>57</v>
      </c>
      <c r="G1858">
        <v>-464.3168</v>
      </c>
      <c r="H1858" s="1">
        <v>7.6120030000000004E-7</v>
      </c>
      <c r="I1858">
        <v>284.59800000000001</v>
      </c>
      <c r="J1858">
        <v>-446.9153</v>
      </c>
      <c r="K1858">
        <v>1.104365</v>
      </c>
      <c r="L1858">
        <v>285.80279999999999</v>
      </c>
      <c r="M1858">
        <v>-0.99849589999999999</v>
      </c>
      <c r="N1858">
        <v>0</v>
      </c>
      <c r="O1858">
        <v>5.3021289999999999E-2</v>
      </c>
      <c r="P1858">
        <v>-0.99990480000000004</v>
      </c>
      <c r="Q1858">
        <v>1.3485230000000001E-2</v>
      </c>
      <c r="R1858">
        <v>2.9731779999999999E-3</v>
      </c>
      <c r="S1858">
        <v>-3.0034179999999999</v>
      </c>
      <c r="T1858">
        <v>-0.18774289999999999</v>
      </c>
      <c r="U1858">
        <v>-0.20239260000000001</v>
      </c>
      <c r="V1858">
        <v>-5.0042730000000001E-2</v>
      </c>
      <c r="W1858">
        <v>2.7443599999999999E-2</v>
      </c>
      <c r="X1858">
        <v>0.99836990000000003</v>
      </c>
      <c r="Y1858">
        <v>-0.119710999999999</v>
      </c>
      <c r="Z1858">
        <v>-7.0416919999999996E-3</v>
      </c>
      <c r="AA1858">
        <v>0.99278379999999999</v>
      </c>
      <c r="AB1858">
        <v>26</v>
      </c>
      <c r="AC1858">
        <v>-17.401499999999999</v>
      </c>
      <c r="AD1858">
        <v>-1.1043642387996999</v>
      </c>
      <c r="AE1858">
        <v>-1.2047999999999699</v>
      </c>
      <c r="AF1858">
        <v>-2.1173574961569699</v>
      </c>
      <c r="AG1858">
        <v>-1.1043642387996999</v>
      </c>
      <c r="AH1858">
        <v>17.244010266738702</v>
      </c>
      <c r="AI1858">
        <v>93.6371675215685</v>
      </c>
      <c r="AJ1858">
        <v>97.000193999723095</v>
      </c>
      <c r="AK1858">
        <v>17.408581596955599</v>
      </c>
    </row>
    <row r="1859" spans="1:37" x14ac:dyDescent="0.2">
      <c r="A1859" t="str">
        <f>"20200111160142586"</f>
        <v>20200111160142586</v>
      </c>
      <c r="B1859" t="str">
        <f>"1578729702582968"</f>
        <v>1578729702582968</v>
      </c>
      <c r="C1859" t="s">
        <v>37</v>
      </c>
      <c r="D1859">
        <v>4.8886969999999996</v>
      </c>
      <c r="E1859">
        <v>0.47400550000000002</v>
      </c>
      <c r="F1859" t="s">
        <v>57</v>
      </c>
      <c r="G1859">
        <v>-464.53429999999997</v>
      </c>
      <c r="H1859" s="1">
        <v>8.7623559999999898E-7</v>
      </c>
      <c r="I1859">
        <v>284.61410000000001</v>
      </c>
      <c r="J1859">
        <v>-447.17309999999998</v>
      </c>
      <c r="K1859">
        <v>1.104365</v>
      </c>
      <c r="L1859">
        <v>285.81670000000003</v>
      </c>
      <c r="M1859">
        <v>-0.99848630000000005</v>
      </c>
      <c r="N1859">
        <v>0</v>
      </c>
      <c r="O1859">
        <v>5.3201430000000001E-2</v>
      </c>
      <c r="P1859">
        <v>-0.99989779999999995</v>
      </c>
      <c r="Q1859">
        <v>1.397558E-2</v>
      </c>
      <c r="R1859">
        <v>3.0611340000000001E-3</v>
      </c>
      <c r="S1859">
        <v>-3.0034179999999999</v>
      </c>
      <c r="T1859">
        <v>-0.18825529999999999</v>
      </c>
      <c r="U1859">
        <v>-0.2026367</v>
      </c>
      <c r="V1859">
        <v>-5.0134390000000001E-2</v>
      </c>
      <c r="W1859">
        <v>2.7930739999999999E-2</v>
      </c>
      <c r="X1859">
        <v>0.99835189999999996</v>
      </c>
      <c r="Y1859">
        <v>-0.1199677</v>
      </c>
      <c r="Z1859">
        <v>-7.0801500000000003E-3</v>
      </c>
      <c r="AA1859">
        <v>0.99275259999999999</v>
      </c>
      <c r="AB1859">
        <v>26</v>
      </c>
      <c r="AC1859">
        <v>-17.361199999999901</v>
      </c>
      <c r="AD1859">
        <v>-1.1043641237644</v>
      </c>
      <c r="AE1859">
        <v>-1.2026000000000101</v>
      </c>
      <c r="AF1859">
        <v>-2.1161055038979</v>
      </c>
      <c r="AG1859">
        <v>-1.1043641237644</v>
      </c>
      <c r="AH1859">
        <v>17.2033434287932</v>
      </c>
      <c r="AI1859">
        <v>93.645646118467297</v>
      </c>
      <c r="AJ1859">
        <v>97.012469364185804</v>
      </c>
      <c r="AK1859">
        <v>17.3681475048575</v>
      </c>
    </row>
    <row r="1860" spans="1:37" x14ac:dyDescent="0.2">
      <c r="A1860" t="str">
        <f>"20200111160142609"</f>
        <v>20200111160142609</v>
      </c>
      <c r="B1860" t="str">
        <f>"1578729702603464"</f>
        <v>1578729702603464</v>
      </c>
      <c r="C1860" t="s">
        <v>37</v>
      </c>
      <c r="D1860">
        <v>4.9429379999999998</v>
      </c>
      <c r="E1860">
        <v>0.47394309999999901</v>
      </c>
      <c r="F1860" t="s">
        <v>57</v>
      </c>
      <c r="G1860">
        <v>-464.78250000000003</v>
      </c>
      <c r="H1860" s="1">
        <v>1.0080280000000001E-6</v>
      </c>
      <c r="I1860">
        <v>284.62079999999997</v>
      </c>
      <c r="J1860">
        <v>-447.43950000000001</v>
      </c>
      <c r="K1860">
        <v>1.104374</v>
      </c>
      <c r="L1860">
        <v>285.83109999999999</v>
      </c>
      <c r="M1860">
        <v>-0.99847640000000004</v>
      </c>
      <c r="N1860">
        <v>0</v>
      </c>
      <c r="O1860">
        <v>5.3387629999999998E-2</v>
      </c>
      <c r="P1860">
        <v>-0.99986830000000004</v>
      </c>
      <c r="Q1860">
        <v>1.6019329999999998E-2</v>
      </c>
      <c r="R1860">
        <v>2.6715129999999999E-3</v>
      </c>
      <c r="S1860">
        <v>-3.003571</v>
      </c>
      <c r="T1860">
        <v>-0.18836720000000001</v>
      </c>
      <c r="U1860">
        <v>-0.20397950000000001</v>
      </c>
      <c r="V1860">
        <v>-5.0707420000000003E-2</v>
      </c>
      <c r="W1860">
        <v>2.9970279999999998E-2</v>
      </c>
      <c r="X1860">
        <v>0.99826380000000003</v>
      </c>
      <c r="Y1860">
        <v>-0.1205893</v>
      </c>
      <c r="Z1860">
        <v>-7.114998E-3</v>
      </c>
      <c r="AA1860">
        <v>0.99267700000000003</v>
      </c>
      <c r="AB1860">
        <v>26</v>
      </c>
      <c r="AC1860">
        <v>-17.343</v>
      </c>
      <c r="AD1860">
        <v>-1.104372991972</v>
      </c>
      <c r="AE1860">
        <v>-1.2103000000000099</v>
      </c>
      <c r="AF1860">
        <v>-2.1259864586738599</v>
      </c>
      <c r="AG1860">
        <v>-1.104372991972</v>
      </c>
      <c r="AH1860">
        <v>17.184296987720401</v>
      </c>
      <c r="AI1860">
        <v>93.649390532889399</v>
      </c>
      <c r="AJ1860">
        <v>97.052614854569697</v>
      </c>
      <c r="AK1860">
        <v>17.350490514392899</v>
      </c>
    </row>
    <row r="1861" spans="1:37" x14ac:dyDescent="0.2">
      <c r="A1861" t="str">
        <f>"20200111160142633"</f>
        <v>20200111160142633</v>
      </c>
      <c r="B1861" t="str">
        <f>"1578729702622986"</f>
        <v>1578729702622986</v>
      </c>
      <c r="C1861" t="s">
        <v>37</v>
      </c>
      <c r="D1861">
        <v>4.9490989999999897</v>
      </c>
      <c r="E1861">
        <v>0.47376599999999902</v>
      </c>
      <c r="F1861" t="s">
        <v>57</v>
      </c>
      <c r="G1861">
        <v>-465.60649999999998</v>
      </c>
      <c r="H1861" s="1">
        <v>1.447972E-6</v>
      </c>
      <c r="I1861">
        <v>284.58749999999998</v>
      </c>
      <c r="J1861">
        <v>-447.71480000000003</v>
      </c>
      <c r="K1861">
        <v>1.104387</v>
      </c>
      <c r="L1861">
        <v>285.84609999999998</v>
      </c>
      <c r="M1861">
        <v>-0.99846599999999996</v>
      </c>
      <c r="N1861">
        <v>0</v>
      </c>
      <c r="O1861">
        <v>5.3579979999999999E-2</v>
      </c>
      <c r="P1861">
        <v>-0.99984379999999995</v>
      </c>
      <c r="Q1861">
        <v>1.75095999999999E-2</v>
      </c>
      <c r="R1861">
        <v>2.393367E-3</v>
      </c>
      <c r="S1861">
        <v>-3.003876</v>
      </c>
      <c r="T1861">
        <v>-0.1826055</v>
      </c>
      <c r="U1861">
        <v>-0.20562739999999999</v>
      </c>
      <c r="V1861">
        <v>-5.1175369999999998E-2</v>
      </c>
      <c r="W1861">
        <v>3.1457300000000001E-2</v>
      </c>
      <c r="X1861">
        <v>0.99819419999999903</v>
      </c>
      <c r="Y1861">
        <v>-0.1213346</v>
      </c>
      <c r="Z1861">
        <v>-6.93123099999999E-3</v>
      </c>
      <c r="AA1861">
        <v>0.99258740000000001</v>
      </c>
      <c r="AB1861">
        <v>26</v>
      </c>
      <c r="AC1861">
        <v>-17.891699999999901</v>
      </c>
      <c r="AD1861">
        <v>-1.1043855520279999</v>
      </c>
      <c r="AE1861">
        <v>-1.2585999999999999</v>
      </c>
      <c r="AF1861">
        <v>-2.2071539706222598</v>
      </c>
      <c r="AG1861">
        <v>-1.1043855520279999</v>
      </c>
      <c r="AH1861">
        <v>17.731326574278501</v>
      </c>
      <c r="AI1861">
        <v>93.536805532291893</v>
      </c>
      <c r="AJ1861">
        <v>97.095546785520298</v>
      </c>
      <c r="AK1861">
        <v>17.902266286179401</v>
      </c>
    </row>
    <row r="1862" spans="1:37" x14ac:dyDescent="0.2">
      <c r="A1862" t="str">
        <f>"20200111160142655"</f>
        <v>20200111160142655</v>
      </c>
      <c r="B1862" t="str">
        <f>"1578729702643479"</f>
        <v>1578729702643479</v>
      </c>
      <c r="C1862" t="s">
        <v>37</v>
      </c>
      <c r="D1862">
        <v>4.9051989999999996</v>
      </c>
      <c r="E1862">
        <v>0.47371029999999997</v>
      </c>
      <c r="F1862" t="s">
        <v>57</v>
      </c>
      <c r="G1862">
        <v>-466.41140000000001</v>
      </c>
      <c r="H1862" s="1">
        <v>1.877952E-6</v>
      </c>
      <c r="I1862">
        <v>284.5498</v>
      </c>
      <c r="J1862">
        <v>-447.96960000000001</v>
      </c>
      <c r="K1862">
        <v>1.1043969999999901</v>
      </c>
      <c r="L1862">
        <v>285.85989999999998</v>
      </c>
      <c r="M1862">
        <v>-0.99845669999999898</v>
      </c>
      <c r="N1862">
        <v>0</v>
      </c>
      <c r="O1862">
        <v>5.3756770000000002E-2</v>
      </c>
      <c r="P1862">
        <v>-0.99983609999999901</v>
      </c>
      <c r="Q1862">
        <v>1.8061580000000001E-2</v>
      </c>
      <c r="R1862">
        <v>1.39714299999999E-3</v>
      </c>
      <c r="S1862">
        <v>-3.0040589999999998</v>
      </c>
      <c r="T1862">
        <v>-0.17744589999999999</v>
      </c>
      <c r="U1862">
        <v>-0.20828249999999901</v>
      </c>
      <c r="V1862">
        <v>-5.2346749999999997E-2</v>
      </c>
      <c r="W1862">
        <v>3.2005869999999999E-2</v>
      </c>
      <c r="X1862">
        <v>0.998116</v>
      </c>
      <c r="Y1862">
        <v>-0.12239510000000001</v>
      </c>
      <c r="Z1862">
        <v>-6.7768129999999996E-3</v>
      </c>
      <c r="AA1862">
        <v>0.99245830000000002</v>
      </c>
      <c r="AB1862">
        <v>26</v>
      </c>
      <c r="AC1862">
        <v>-18.441800000000001</v>
      </c>
      <c r="AD1862">
        <v>-1.1043951220479999</v>
      </c>
      <c r="AE1862">
        <v>-1.3100999999999701</v>
      </c>
      <c r="AF1862">
        <v>-2.2914966458747599</v>
      </c>
      <c r="AG1862">
        <v>-1.1043951220479999</v>
      </c>
      <c r="AH1862">
        <v>18.2794696270198</v>
      </c>
      <c r="AI1862">
        <v>93.430663878258997</v>
      </c>
      <c r="AJ1862">
        <v>97.145270080461401</v>
      </c>
      <c r="AK1862">
        <v>18.455613111159298</v>
      </c>
    </row>
    <row r="1863" spans="1:37" x14ac:dyDescent="0.2">
      <c r="A1863" t="str">
        <f>"20200111160142675"</f>
        <v>20200111160142675</v>
      </c>
      <c r="B1863" t="str">
        <f>"1578729702672760"</f>
        <v>1578729702672760</v>
      </c>
      <c r="C1863" t="s">
        <v>37</v>
      </c>
      <c r="D1863">
        <v>4.8972800000000003</v>
      </c>
      <c r="E1863">
        <v>0.47353829999999902</v>
      </c>
      <c r="F1863" t="s">
        <v>57</v>
      </c>
      <c r="G1863">
        <v>-466.77089999999998</v>
      </c>
      <c r="H1863" s="1">
        <v>2.0699479999999999E-6</v>
      </c>
      <c r="I1863">
        <v>284.53440000000001</v>
      </c>
      <c r="J1863">
        <v>-448.21199999999999</v>
      </c>
      <c r="K1863">
        <v>1.104414</v>
      </c>
      <c r="L1863">
        <v>285.87310000000002</v>
      </c>
      <c r="M1863">
        <v>-0.99844769999999905</v>
      </c>
      <c r="N1863">
        <v>0</v>
      </c>
      <c r="O1863">
        <v>5.3924189999999997E-2</v>
      </c>
      <c r="P1863">
        <v>-0.99981529999999996</v>
      </c>
      <c r="Q1863">
        <v>1.920351E-2</v>
      </c>
      <c r="R1863">
        <v>7.919534E-4</v>
      </c>
      <c r="S1863">
        <v>-3.0039669999999998</v>
      </c>
      <c r="T1863">
        <v>-0.17645359999999999</v>
      </c>
      <c r="U1863">
        <v>-0.21179200000000001</v>
      </c>
      <c r="V1863">
        <v>-5.3116730000000001E-2</v>
      </c>
      <c r="W1863">
        <v>3.3144430000000003E-2</v>
      </c>
      <c r="X1863">
        <v>0.99803809999999904</v>
      </c>
      <c r="Y1863">
        <v>-0.1237181</v>
      </c>
      <c r="Z1863">
        <v>-6.7875280000000001E-3</v>
      </c>
      <c r="AA1863">
        <v>0.99229419999999902</v>
      </c>
      <c r="AB1863">
        <v>26</v>
      </c>
      <c r="AC1863">
        <v>-18.558899999999898</v>
      </c>
      <c r="AD1863">
        <v>-1.1044119300519999</v>
      </c>
      <c r="AE1863">
        <v>-1.33870000000001</v>
      </c>
      <c r="AF1863">
        <v>-2.3294164123988899</v>
      </c>
      <c r="AG1863">
        <v>-1.1044119300519999</v>
      </c>
      <c r="AH1863">
        <v>18.394892915967301</v>
      </c>
      <c r="AI1863">
        <v>93.408702291774503</v>
      </c>
      <c r="AJ1863">
        <v>97.217171178249103</v>
      </c>
      <c r="AK1863">
        <v>18.574659940992099</v>
      </c>
    </row>
    <row r="1864" spans="1:37" x14ac:dyDescent="0.2">
      <c r="A1864" t="str">
        <f>"20200111160142699"</f>
        <v>20200111160142699</v>
      </c>
      <c r="B1864" t="str">
        <f>"1578729702693255"</f>
        <v>1578729702693255</v>
      </c>
      <c r="C1864" t="s">
        <v>37</v>
      </c>
      <c r="D1864">
        <v>4.9033089999999904</v>
      </c>
      <c r="E1864">
        <v>0.4734816</v>
      </c>
      <c r="F1864" t="s">
        <v>57</v>
      </c>
      <c r="G1864">
        <v>-467.3116</v>
      </c>
      <c r="H1864" s="1">
        <v>2.3588190000000001E-6</v>
      </c>
      <c r="I1864">
        <v>284.50830000000002</v>
      </c>
      <c r="J1864">
        <v>-448.47480000000002</v>
      </c>
      <c r="K1864">
        <v>1.1044259999999999</v>
      </c>
      <c r="L1864">
        <v>285.88749999999999</v>
      </c>
      <c r="M1864">
        <v>-0.9984381</v>
      </c>
      <c r="N1864">
        <v>0</v>
      </c>
      <c r="O1864">
        <v>5.4102740000000003E-2</v>
      </c>
      <c r="P1864">
        <v>-0.99978419999999901</v>
      </c>
      <c r="Q1864">
        <v>2.0763420000000001E-2</v>
      </c>
      <c r="R1864">
        <v>8.7762940000000002E-4</v>
      </c>
      <c r="S1864">
        <v>-3.0040589999999998</v>
      </c>
      <c r="T1864">
        <v>-0.1737059</v>
      </c>
      <c r="U1864">
        <v>-0.21466060000000001</v>
      </c>
      <c r="V1864">
        <v>-5.3208150000000003E-2</v>
      </c>
      <c r="W1864">
        <v>3.4700410000000001E-2</v>
      </c>
      <c r="X1864">
        <v>0.99798039999999999</v>
      </c>
      <c r="Y1864">
        <v>-0.1248435</v>
      </c>
      <c r="Z1864">
        <v>-6.7243729999999996E-3</v>
      </c>
      <c r="AA1864">
        <v>0.99215359999999997</v>
      </c>
      <c r="AB1864">
        <v>26</v>
      </c>
      <c r="AC1864">
        <v>-18.836799999999901</v>
      </c>
      <c r="AD1864">
        <v>-1.104423641181</v>
      </c>
      <c r="AE1864">
        <v>-1.37919999999996</v>
      </c>
      <c r="AF1864">
        <v>-2.3882350338604099</v>
      </c>
      <c r="AG1864">
        <v>-1.104423641181</v>
      </c>
      <c r="AH1864">
        <v>18.670739470478701</v>
      </c>
      <c r="AI1864">
        <v>93.357955992401699</v>
      </c>
      <c r="AJ1864">
        <v>97.289306174891294</v>
      </c>
      <c r="AK1864">
        <v>18.855236156851699</v>
      </c>
    </row>
    <row r="1865" spans="1:37" x14ac:dyDescent="0.2">
      <c r="A1865" t="str">
        <f>"20200111160142722"</f>
        <v>20200111160142722</v>
      </c>
      <c r="B1865" t="str">
        <f>"1578729702713752"</f>
        <v>1578729702713752</v>
      </c>
      <c r="C1865" t="s">
        <v>37</v>
      </c>
      <c r="D1865">
        <v>4.8723669999999997</v>
      </c>
      <c r="E1865">
        <v>0.47341149999999999</v>
      </c>
      <c r="F1865" t="s">
        <v>57</v>
      </c>
      <c r="G1865">
        <v>-468.05970000000002</v>
      </c>
      <c r="H1865" s="1">
        <v>2.7577240000000001E-6</v>
      </c>
      <c r="I1865">
        <v>284.48919999999998</v>
      </c>
      <c r="J1865">
        <v>-448.75150000000002</v>
      </c>
      <c r="K1865">
        <v>1.104436</v>
      </c>
      <c r="L1865">
        <v>285.90269999999998</v>
      </c>
      <c r="M1865">
        <v>-0.99842809999999904</v>
      </c>
      <c r="N1865">
        <v>0</v>
      </c>
      <c r="O1865">
        <v>5.428616E-2</v>
      </c>
      <c r="P1865">
        <v>-0.99973959999999995</v>
      </c>
      <c r="Q1865">
        <v>2.2811599999999901E-2</v>
      </c>
      <c r="R1865">
        <v>6.5909699999999998E-4</v>
      </c>
      <c r="S1865">
        <v>-3.0043950000000001</v>
      </c>
      <c r="T1865">
        <v>-0.1694224</v>
      </c>
      <c r="U1865">
        <v>-0.21450810000000001</v>
      </c>
      <c r="V1865">
        <v>-5.3606819999999999E-2</v>
      </c>
      <c r="W1865">
        <v>3.6743779999999997E-2</v>
      </c>
      <c r="X1865">
        <v>0.99788589999999999</v>
      </c>
      <c r="Y1865">
        <v>-0.1249818</v>
      </c>
      <c r="Z1865">
        <v>-6.5723119999999899E-3</v>
      </c>
      <c r="AA1865">
        <v>0.9921373</v>
      </c>
      <c r="AB1865">
        <v>26</v>
      </c>
      <c r="AC1865">
        <v>-19.308199999999999</v>
      </c>
      <c r="AD1865">
        <v>-1.1044332422759999</v>
      </c>
      <c r="AE1865">
        <v>-1.41349999999999</v>
      </c>
      <c r="AF1865">
        <v>-2.4517062850288198</v>
      </c>
      <c r="AG1865">
        <v>-1.1044332422759999</v>
      </c>
      <c r="AH1865">
        <v>19.140690105474899</v>
      </c>
      <c r="AI1865">
        <v>93.275647961493206</v>
      </c>
      <c r="AJ1865">
        <v>97.299196972324097</v>
      </c>
      <c r="AK1865">
        <v>19.328648535490501</v>
      </c>
    </row>
    <row r="1866" spans="1:37" x14ac:dyDescent="0.2">
      <c r="A1866" t="str">
        <f>"20200111160142745"</f>
        <v>20200111160142745</v>
      </c>
      <c r="B1866" t="str">
        <f>"1578729702743032"</f>
        <v>1578729702743032</v>
      </c>
      <c r="C1866" t="s">
        <v>37</v>
      </c>
      <c r="D1866">
        <v>4.8285549999999997</v>
      </c>
      <c r="E1866">
        <v>0.47334189999999998</v>
      </c>
      <c r="F1866" t="s">
        <v>57</v>
      </c>
      <c r="G1866">
        <v>-469.02280000000002</v>
      </c>
      <c r="H1866" s="1">
        <v>3.272093E-6</v>
      </c>
      <c r="I1866">
        <v>284.4468</v>
      </c>
      <c r="J1866">
        <v>-449.01749999999998</v>
      </c>
      <c r="K1866">
        <v>1.10444599999999</v>
      </c>
      <c r="L1866">
        <v>285.91739999999999</v>
      </c>
      <c r="M1866">
        <v>-0.9984189</v>
      </c>
      <c r="N1866">
        <v>0</v>
      </c>
      <c r="O1866">
        <v>5.4455429999999999E-2</v>
      </c>
      <c r="P1866">
        <v>-0.99970130000000001</v>
      </c>
      <c r="Q1866">
        <v>2.4433030000000001E-2</v>
      </c>
      <c r="R1866">
        <v>6.1661680000000001E-4</v>
      </c>
      <c r="S1866">
        <v>-3.0046390000000001</v>
      </c>
      <c r="T1866">
        <v>-0.16370029999999999</v>
      </c>
      <c r="U1866">
        <v>-0.215789799999999</v>
      </c>
      <c r="V1866">
        <v>-5.3815769999999999E-2</v>
      </c>
      <c r="W1866">
        <v>3.8361020000000003E-2</v>
      </c>
      <c r="X1866">
        <v>0.99781379999999997</v>
      </c>
      <c r="Y1866">
        <v>-0.125583</v>
      </c>
      <c r="Z1866">
        <v>-6.3756200000000002E-3</v>
      </c>
      <c r="AA1866">
        <v>0.99206260000000002</v>
      </c>
      <c r="AB1866">
        <v>26</v>
      </c>
      <c r="AC1866">
        <v>-20.005299999999998</v>
      </c>
      <c r="AD1866">
        <v>-1.1044427279069899</v>
      </c>
      <c r="AE1866">
        <v>-1.4705999999999899</v>
      </c>
      <c r="AF1866">
        <v>-2.5501897026884399</v>
      </c>
      <c r="AG1866">
        <v>-1.1044427279069899</v>
      </c>
      <c r="AH1866">
        <v>19.835389740293699</v>
      </c>
      <c r="AI1866">
        <v>93.160997374088794</v>
      </c>
      <c r="AJ1866">
        <v>97.326194414621398</v>
      </c>
      <c r="AK1866">
        <v>20.0291274749619</v>
      </c>
    </row>
    <row r="1867" spans="1:37" x14ac:dyDescent="0.2">
      <c r="A1867" t="str">
        <f>"20200111160142789"</f>
        <v>20200111160142789</v>
      </c>
      <c r="B1867" t="str">
        <f>"1578729702783047"</f>
        <v>1578729702783047</v>
      </c>
      <c r="C1867" t="s">
        <v>37</v>
      </c>
      <c r="D1867">
        <v>4.8951149999999997</v>
      </c>
      <c r="E1867">
        <v>0.49274309999999899</v>
      </c>
      <c r="F1867" t="s">
        <v>57</v>
      </c>
      <c r="G1867">
        <v>-469.76819999999998</v>
      </c>
      <c r="H1867" s="1">
        <v>3.66981499999999E-6</v>
      </c>
      <c r="I1867">
        <v>284.42320000000001</v>
      </c>
      <c r="J1867">
        <v>-449.52010000000001</v>
      </c>
      <c r="K1867">
        <v>1.104474</v>
      </c>
      <c r="L1867">
        <v>285.9452</v>
      </c>
      <c r="M1867">
        <v>-0.99840309999999899</v>
      </c>
      <c r="N1867">
        <v>0</v>
      </c>
      <c r="O1867">
        <v>5.4748140000000001E-2</v>
      </c>
      <c r="P1867">
        <v>-0.99965149999999903</v>
      </c>
      <c r="Q1867">
        <v>2.640443E-2</v>
      </c>
      <c r="R1867" s="1">
        <v>3.303038E-5</v>
      </c>
      <c r="S1867">
        <v>-3.0049130000000002</v>
      </c>
      <c r="T1867">
        <v>-0.15993479999999999</v>
      </c>
      <c r="U1867">
        <v>-0.2163696</v>
      </c>
      <c r="V1867">
        <v>-5.468982E-2</v>
      </c>
      <c r="W1867">
        <v>4.0324069999999997E-2</v>
      </c>
      <c r="X1867">
        <v>0.99768880000000004</v>
      </c>
      <c r="Y1867">
        <v>-0.12606880000000001</v>
      </c>
      <c r="Z1867">
        <v>-6.2570129999999996E-3</v>
      </c>
      <c r="AA1867">
        <v>0.99200180000000004</v>
      </c>
      <c r="AB1867">
        <v>26</v>
      </c>
      <c r="AC1867">
        <v>-20.248099999999901</v>
      </c>
      <c r="AD1867">
        <v>-1.1044703301849901</v>
      </c>
      <c r="AE1867">
        <v>-1.52199999999999</v>
      </c>
      <c r="AF1867">
        <v>-2.6206166825444099</v>
      </c>
      <c r="AG1867">
        <v>-1.1044703301849901</v>
      </c>
      <c r="AH1867">
        <v>20.0749964180083</v>
      </c>
      <c r="AI1867">
        <v>93.122638284625694</v>
      </c>
      <c r="AJ1867">
        <v>97.437410342254694</v>
      </c>
      <c r="AK1867">
        <v>20.275427682052399</v>
      </c>
    </row>
    <row r="1868" spans="1:37" x14ac:dyDescent="0.2">
      <c r="A1868" t="str">
        <f>"20200111160142810"</f>
        <v>20200111160142810</v>
      </c>
      <c r="B1868" t="str">
        <f>"1578729702802567"</f>
        <v>1578729702802567</v>
      </c>
      <c r="C1868" t="s">
        <v>37</v>
      </c>
      <c r="D1868">
        <v>4.7373099999999999</v>
      </c>
      <c r="E1868">
        <v>0.49450680000000002</v>
      </c>
      <c r="F1868" t="s">
        <v>57</v>
      </c>
      <c r="G1868">
        <v>-464.37310000000002</v>
      </c>
      <c r="H1868" s="1">
        <v>7.4622589999999998E-7</v>
      </c>
      <c r="I1868">
        <v>285.62599999999998</v>
      </c>
      <c r="J1868">
        <v>-449.7654</v>
      </c>
      <c r="K1868">
        <v>1.1044849999999999</v>
      </c>
      <c r="L1868">
        <v>285.95870000000002</v>
      </c>
      <c r="M1868">
        <v>-0.99839599999999995</v>
      </c>
      <c r="N1868">
        <v>0</v>
      </c>
      <c r="O1868">
        <v>5.4877549999999997E-2</v>
      </c>
      <c r="P1868">
        <v>-0.99963269999999904</v>
      </c>
      <c r="Q1868">
        <v>2.7101790000000001E-2</v>
      </c>
      <c r="R1868">
        <v>-5.7005000000000001E-4</v>
      </c>
      <c r="S1868">
        <v>-3.0069889999999999</v>
      </c>
      <c r="T1868">
        <v>-0.22359999999999999</v>
      </c>
      <c r="U1868">
        <v>-6.4605709999999997E-2</v>
      </c>
      <c r="V1868">
        <v>-5.5420879999999999E-2</v>
      </c>
      <c r="W1868">
        <v>4.1017770000000002E-2</v>
      </c>
      <c r="X1868">
        <v>0.99762019999999996</v>
      </c>
      <c r="Y1868">
        <v>-7.5956990000000002E-2</v>
      </c>
      <c r="Z1868">
        <v>-6.8939309999999998E-3</v>
      </c>
      <c r="AA1868">
        <v>0.99708719999999995</v>
      </c>
      <c r="AB1868">
        <v>26</v>
      </c>
      <c r="AC1868">
        <v>-14.607699999999999</v>
      </c>
      <c r="AD1868">
        <v>-1.1044842537741</v>
      </c>
      <c r="AE1868">
        <v>-0.33270000000004502</v>
      </c>
      <c r="AF1868">
        <v>-1.12746885650523</v>
      </c>
      <c r="AG1868">
        <v>-1.1044842537741</v>
      </c>
      <c r="AH1868">
        <v>14.484660307942701</v>
      </c>
      <c r="AI1868">
        <v>94.347379848136299</v>
      </c>
      <c r="AJ1868">
        <v>94.4508612259378</v>
      </c>
      <c r="AK1868">
        <v>14.570396553481901</v>
      </c>
    </row>
    <row r="1869" spans="1:37" x14ac:dyDescent="0.2">
      <c r="A1869" t="str">
        <f>"20200111160142831"</f>
        <v>20200111160142831</v>
      </c>
      <c r="B1869" t="str">
        <f>"1578729702823064"</f>
        <v>1578729702823064</v>
      </c>
      <c r="C1869" t="s">
        <v>37</v>
      </c>
      <c r="D1869">
        <v>4.8530360000000003</v>
      </c>
      <c r="E1869">
        <v>0.49464330000000001</v>
      </c>
      <c r="F1869" t="s">
        <v>57</v>
      </c>
      <c r="G1869">
        <v>-464.52809999999999</v>
      </c>
      <c r="H1869" s="1">
        <v>8.2529059999999995E-7</v>
      </c>
      <c r="I1869">
        <v>285.70420000000001</v>
      </c>
      <c r="J1869">
        <v>-450.01650000000001</v>
      </c>
      <c r="K1869">
        <v>1.104498</v>
      </c>
      <c r="L1869">
        <v>285.97269999999997</v>
      </c>
      <c r="M1869">
        <v>-0.99838939999999998</v>
      </c>
      <c r="N1869">
        <v>0</v>
      </c>
      <c r="O1869">
        <v>5.4998180000000001E-2</v>
      </c>
      <c r="P1869">
        <v>-0.99959299999999995</v>
      </c>
      <c r="Q1869">
        <v>2.8515169999999999E-2</v>
      </c>
      <c r="R1869">
        <v>-9.9221810000000004E-4</v>
      </c>
      <c r="S1869">
        <v>-3.0072019999999999</v>
      </c>
      <c r="T1869">
        <v>-0.22498699999999999</v>
      </c>
      <c r="U1869">
        <v>-5.1849369999999999E-2</v>
      </c>
      <c r="V1869">
        <v>-5.5961299999999999E-2</v>
      </c>
      <c r="W1869">
        <v>4.2426539999999999E-2</v>
      </c>
      <c r="X1869">
        <v>0.9975311</v>
      </c>
      <c r="Y1869">
        <v>-7.1854000000000001E-2</v>
      </c>
      <c r="Z1869">
        <v>-6.7919950000000003E-3</v>
      </c>
      <c r="AA1869">
        <v>0.9973921</v>
      </c>
      <c r="AB1869">
        <v>26</v>
      </c>
      <c r="AC1869">
        <v>-14.5115999999999</v>
      </c>
      <c r="AD1869">
        <v>-1.1044971747093999</v>
      </c>
      <c r="AE1869">
        <v>-0.26849999999995999</v>
      </c>
      <c r="AF1869">
        <v>-1.06014323520084</v>
      </c>
      <c r="AG1869">
        <v>-1.1044971747093999</v>
      </c>
      <c r="AH1869">
        <v>14.391522714434601</v>
      </c>
      <c r="AI1869">
        <v>94.376827426263304</v>
      </c>
      <c r="AJ1869">
        <v>94.213050974272903</v>
      </c>
      <c r="AK1869">
        <v>14.472724129484799</v>
      </c>
    </row>
    <row r="1870" spans="1:37" x14ac:dyDescent="0.2">
      <c r="A1870" t="str">
        <f>"20200111160142855"</f>
        <v>20200111160142855</v>
      </c>
      <c r="B1870" t="str">
        <f>"1578729702842585"</f>
        <v>1578729702842585</v>
      </c>
      <c r="C1870" t="s">
        <v>37</v>
      </c>
      <c r="D1870">
        <v>4.8521609999999997</v>
      </c>
      <c r="E1870">
        <v>0.49488279999999901</v>
      </c>
      <c r="F1870" t="s">
        <v>57</v>
      </c>
      <c r="G1870">
        <v>-464.7679</v>
      </c>
      <c r="H1870" s="1">
        <v>9.5233289999999999E-7</v>
      </c>
      <c r="I1870">
        <v>285.71719999999999</v>
      </c>
      <c r="J1870">
        <v>-450.27620000000002</v>
      </c>
      <c r="K1870">
        <v>1.104511</v>
      </c>
      <c r="L1870">
        <v>285.9871</v>
      </c>
      <c r="M1870">
        <v>-0.99838320000000003</v>
      </c>
      <c r="N1870">
        <v>0</v>
      </c>
      <c r="O1870">
        <v>5.5111489999999999E-2</v>
      </c>
      <c r="P1870">
        <v>-0.99958519999999895</v>
      </c>
      <c r="Q1870">
        <v>2.87216E-2</v>
      </c>
      <c r="R1870">
        <v>-2.1445129999999998E-3</v>
      </c>
      <c r="S1870">
        <v>-3.0075989999999999</v>
      </c>
      <c r="T1870">
        <v>-0.22519130000000001</v>
      </c>
      <c r="U1870">
        <v>-5.2093510000000003E-2</v>
      </c>
      <c r="V1870">
        <v>-5.7225070000000003E-2</v>
      </c>
      <c r="W1870">
        <v>4.2628069999999997E-2</v>
      </c>
      <c r="X1870">
        <v>0.99745079999999997</v>
      </c>
      <c r="Y1870">
        <v>-7.2044449999999996E-2</v>
      </c>
      <c r="Z1870">
        <v>-6.8128299999999998E-3</v>
      </c>
      <c r="AA1870">
        <v>0.99737819999999899</v>
      </c>
      <c r="AB1870">
        <v>26</v>
      </c>
      <c r="AC1870">
        <v>-14.4916999999999</v>
      </c>
      <c r="AD1870">
        <v>-1.1045100476670999</v>
      </c>
      <c r="AE1870">
        <v>-0.26990000000000602</v>
      </c>
      <c r="AF1870">
        <v>-1.0620589221782499</v>
      </c>
      <c r="AG1870">
        <v>-1.1045100476670999</v>
      </c>
      <c r="AH1870">
        <v>14.3713412742597</v>
      </c>
      <c r="AI1870">
        <v>94.382924835865197</v>
      </c>
      <c r="AJ1870">
        <v>94.226542011522497</v>
      </c>
      <c r="AK1870">
        <v>14.4527977091225</v>
      </c>
    </row>
    <row r="1871" spans="1:37" x14ac:dyDescent="0.2">
      <c r="A1871" t="str">
        <f>"20200111160142877"</f>
        <v>20200111160142877</v>
      </c>
      <c r="B1871" t="str">
        <f>"1578729702872840"</f>
        <v>1578729702872840</v>
      </c>
      <c r="C1871" t="s">
        <v>37</v>
      </c>
      <c r="D1871">
        <v>4.7691699999999999</v>
      </c>
      <c r="E1871">
        <v>0.4951257</v>
      </c>
      <c r="F1871" t="s">
        <v>57</v>
      </c>
      <c r="G1871">
        <v>-464.80340000000001</v>
      </c>
      <c r="H1871" s="1">
        <v>9.707936999999999E-7</v>
      </c>
      <c r="I1871">
        <v>285.72710000000001</v>
      </c>
      <c r="J1871">
        <v>-450.53910000000002</v>
      </c>
      <c r="K1871">
        <v>1.104519</v>
      </c>
      <c r="L1871">
        <v>286.00170000000003</v>
      </c>
      <c r="M1871">
        <v>-0.99837749999999903</v>
      </c>
      <c r="N1871">
        <v>0</v>
      </c>
      <c r="O1871">
        <v>5.5214599999999898E-2</v>
      </c>
      <c r="P1871">
        <v>-0.99963599999999997</v>
      </c>
      <c r="Q1871">
        <v>2.655244E-2</v>
      </c>
      <c r="R1871">
        <v>-4.7957640000000001E-3</v>
      </c>
      <c r="S1871">
        <v>-3.00766</v>
      </c>
      <c r="T1871">
        <v>-0.2286735</v>
      </c>
      <c r="U1871">
        <v>-5.3833010000000001E-2</v>
      </c>
      <c r="V1871">
        <v>-5.9979850000000001E-2</v>
      </c>
      <c r="W1871">
        <v>4.0454619999999997E-2</v>
      </c>
      <c r="X1871">
        <v>0.99737949999999997</v>
      </c>
      <c r="Y1871">
        <v>-7.2710510000000006E-2</v>
      </c>
      <c r="Z1871">
        <v>-6.9508249999999999E-3</v>
      </c>
      <c r="AA1871">
        <v>0.99732889999999996</v>
      </c>
      <c r="AB1871">
        <v>26</v>
      </c>
      <c r="AC1871">
        <v>-14.264299999999899</v>
      </c>
      <c r="AD1871">
        <v>-1.1045180292062999</v>
      </c>
      <c r="AE1871">
        <v>-0.27460000000001999</v>
      </c>
      <c r="AF1871">
        <v>-1.0555285760581401</v>
      </c>
      <c r="AG1871">
        <v>-1.1045180292062999</v>
      </c>
      <c r="AH1871">
        <v>14.142607983885901</v>
      </c>
      <c r="AI1871">
        <v>94.453320233322501</v>
      </c>
      <c r="AJ1871">
        <v>94.268336754823395</v>
      </c>
      <c r="AK1871">
        <v>14.2248887952627</v>
      </c>
    </row>
    <row r="1872" spans="1:37" x14ac:dyDescent="0.2">
      <c r="A1872" t="str">
        <f>"20200111160142899"</f>
        <v>20200111160142899</v>
      </c>
      <c r="B1872" t="str">
        <f>"1578729702893335"</f>
        <v>1578729702893335</v>
      </c>
      <c r="C1872" t="s">
        <v>37</v>
      </c>
      <c r="D1872">
        <v>4.9009790000000004</v>
      </c>
      <c r="E1872">
        <v>0.49532959999999898</v>
      </c>
      <c r="F1872" t="s">
        <v>57</v>
      </c>
      <c r="G1872">
        <v>-464.46039999999999</v>
      </c>
      <c r="H1872" s="1">
        <v>7.8835619999999903E-7</v>
      </c>
      <c r="I1872">
        <v>285.72449999999998</v>
      </c>
      <c r="J1872">
        <v>-450.78949999999998</v>
      </c>
      <c r="K1872">
        <v>1.1045199999999999</v>
      </c>
      <c r="L1872">
        <v>286.01569999999998</v>
      </c>
      <c r="M1872">
        <v>-0.99837279999999995</v>
      </c>
      <c r="N1872">
        <v>0</v>
      </c>
      <c r="O1872">
        <v>5.5301129999999997E-2</v>
      </c>
      <c r="P1872">
        <v>-0.99967059999999996</v>
      </c>
      <c r="Q1872">
        <v>2.3804579999999999E-2</v>
      </c>
      <c r="R1872">
        <v>-9.6014510000000004E-3</v>
      </c>
      <c r="S1872">
        <v>-3.0071720000000002</v>
      </c>
      <c r="T1872">
        <v>-0.23858939999999901</v>
      </c>
      <c r="U1872">
        <v>-5.9875490000000003E-2</v>
      </c>
      <c r="V1872">
        <v>-6.4867540000000001E-2</v>
      </c>
      <c r="W1872">
        <v>3.7701079999999998E-2</v>
      </c>
      <c r="X1872">
        <v>0.9971814</v>
      </c>
      <c r="Y1872">
        <v>-7.4763460000000004E-2</v>
      </c>
      <c r="Z1872">
        <v>-7.3405569999999897E-3</v>
      </c>
      <c r="AA1872">
        <v>0.99717429999999996</v>
      </c>
      <c r="AB1872">
        <v>26</v>
      </c>
      <c r="AC1872">
        <v>-13.6709</v>
      </c>
      <c r="AD1872">
        <v>-1.1045192116438001</v>
      </c>
      <c r="AE1872">
        <v>-0.29120000000000301</v>
      </c>
      <c r="AF1872">
        <v>-1.0400577010219101</v>
      </c>
      <c r="AG1872">
        <v>-1.1045192116438001</v>
      </c>
      <c r="AH1872">
        <v>13.545491212138501</v>
      </c>
      <c r="AI1872">
        <v>94.648047202385598</v>
      </c>
      <c r="AJ1872">
        <v>94.390702481491303</v>
      </c>
      <c r="AK1872">
        <v>13.6301876321813</v>
      </c>
    </row>
    <row r="1873" spans="1:37" x14ac:dyDescent="0.2">
      <c r="A1873" t="str">
        <f>"20200111160142922"</f>
        <v>20200111160142922</v>
      </c>
      <c r="B1873" t="str">
        <f>"1578729702912856"</f>
        <v>1578729702912856</v>
      </c>
      <c r="C1873" t="s">
        <v>37</v>
      </c>
      <c r="D1873">
        <v>4.8357580000000002</v>
      </c>
      <c r="E1873">
        <v>0.49538300000000002</v>
      </c>
      <c r="F1873" t="s">
        <v>57</v>
      </c>
      <c r="G1873">
        <v>-464.24459999999999</v>
      </c>
      <c r="H1873" s="1">
        <v>6.7492850000000003E-7</v>
      </c>
      <c r="I1873">
        <v>285.69319999999999</v>
      </c>
      <c r="J1873">
        <v>-451.0575</v>
      </c>
      <c r="K1873">
        <v>1.104525</v>
      </c>
      <c r="L1873">
        <v>286.03059999999999</v>
      </c>
      <c r="M1873">
        <v>-0.99836849999999999</v>
      </c>
      <c r="N1873">
        <v>0</v>
      </c>
      <c r="O1873">
        <v>5.537798E-2</v>
      </c>
      <c r="P1873">
        <v>-0.99963440000000003</v>
      </c>
      <c r="Q1873">
        <v>2.2468749999999999E-2</v>
      </c>
      <c r="R1873">
        <v>-1.5047069999999999E-2</v>
      </c>
      <c r="S1873">
        <v>-3.0061650000000002</v>
      </c>
      <c r="T1873">
        <v>-0.24677289999999999</v>
      </c>
      <c r="U1873">
        <v>-7.2052000000000005E-2</v>
      </c>
      <c r="V1873">
        <v>-7.0380990000000004E-2</v>
      </c>
      <c r="W1873">
        <v>3.6356840000000001E-2</v>
      </c>
      <c r="X1873">
        <v>0.9968574</v>
      </c>
      <c r="Y1873">
        <v>-7.8840640000000003E-2</v>
      </c>
      <c r="Z1873">
        <v>-7.7671659999999998E-3</v>
      </c>
      <c r="AA1873">
        <v>0.99685699999999999</v>
      </c>
      <c r="AB1873">
        <v>26</v>
      </c>
      <c r="AC1873">
        <v>-13.1870999999999</v>
      </c>
      <c r="AD1873">
        <v>-1.1045243250715</v>
      </c>
      <c r="AE1873">
        <v>-0.33740000000000198</v>
      </c>
      <c r="AF1873">
        <v>-1.0597977805043699</v>
      </c>
      <c r="AG1873">
        <v>-1.1045243250715</v>
      </c>
      <c r="AH1873">
        <v>13.0566361321678</v>
      </c>
      <c r="AI1873">
        <v>94.819640029632396</v>
      </c>
      <c r="AJ1873">
        <v>94.640483927316893</v>
      </c>
      <c r="AK1873">
        <v>13.1460599575715</v>
      </c>
    </row>
    <row r="1874" spans="1:37" x14ac:dyDescent="0.2">
      <c r="A1874" t="str">
        <f>"20200111160142944"</f>
        <v>20200111160142944</v>
      </c>
      <c r="B1874" t="str">
        <f>"1578729702933351"</f>
        <v>1578729702933351</v>
      </c>
      <c r="C1874" t="s">
        <v>37</v>
      </c>
      <c r="D1874">
        <v>4.9197480000000002</v>
      </c>
      <c r="E1874">
        <v>0.49570239999999999</v>
      </c>
      <c r="F1874" t="s">
        <v>57</v>
      </c>
      <c r="G1874">
        <v>-464.2441</v>
      </c>
      <c r="H1874" s="1">
        <v>6.7676069999999998E-7</v>
      </c>
      <c r="I1874">
        <v>285.6447</v>
      </c>
      <c r="J1874">
        <v>-451.29559999999998</v>
      </c>
      <c r="K1874">
        <v>1.1045399999999901</v>
      </c>
      <c r="L1874">
        <v>286.04390000000001</v>
      </c>
      <c r="M1874">
        <v>-0.99836569999999902</v>
      </c>
      <c r="N1874">
        <v>0</v>
      </c>
      <c r="O1874">
        <v>5.5427249999999997E-2</v>
      </c>
      <c r="P1874">
        <v>-0.99953029999999998</v>
      </c>
      <c r="Q1874">
        <v>2.315654E-2</v>
      </c>
      <c r="R1874">
        <v>-2.0063520000000001E-2</v>
      </c>
      <c r="S1874">
        <v>-3.0054319999999999</v>
      </c>
      <c r="T1874">
        <v>-0.25173879999999998</v>
      </c>
      <c r="U1874">
        <v>-8.7951660000000001E-2</v>
      </c>
      <c r="V1874">
        <v>-7.5434349999999997E-2</v>
      </c>
      <c r="W1874">
        <v>3.7035409999999998E-2</v>
      </c>
      <c r="X1874">
        <v>0.99646279999999998</v>
      </c>
      <c r="Y1874">
        <v>-8.4127279999999999E-2</v>
      </c>
      <c r="Z1874">
        <v>-8.1495509999999997E-3</v>
      </c>
      <c r="AA1874">
        <v>0.99642169999999897</v>
      </c>
      <c r="AB1874">
        <v>26</v>
      </c>
      <c r="AC1874">
        <v>-12.948499999999999</v>
      </c>
      <c r="AD1874">
        <v>-1.1045393232392999</v>
      </c>
      <c r="AE1874">
        <v>-0.39920000000000699</v>
      </c>
      <c r="AF1874">
        <v>-1.1082985920289501</v>
      </c>
      <c r="AG1874">
        <v>-1.1045393232392999</v>
      </c>
      <c r="AH1874">
        <v>12.8133143342012</v>
      </c>
      <c r="AI1874">
        <v>94.908620361607703</v>
      </c>
      <c r="AJ1874">
        <v>94.943543568307206</v>
      </c>
      <c r="AK1874">
        <v>12.9084994136701</v>
      </c>
    </row>
    <row r="1875" spans="1:37" x14ac:dyDescent="0.2">
      <c r="A1875" t="str">
        <f>"20200111160142966"</f>
        <v>20200111160142966</v>
      </c>
      <c r="B1875" t="str">
        <f>"1578729702962632"</f>
        <v>1578729702962632</v>
      </c>
      <c r="C1875" t="s">
        <v>37</v>
      </c>
      <c r="D1875">
        <v>4.908315</v>
      </c>
      <c r="E1875">
        <v>0.4957995</v>
      </c>
      <c r="F1875" t="s">
        <v>57</v>
      </c>
      <c r="G1875">
        <v>-464.51479999999998</v>
      </c>
      <c r="H1875" s="1">
        <v>8.2274940000000003E-7</v>
      </c>
      <c r="I1875">
        <v>285.60019999999997</v>
      </c>
      <c r="J1875">
        <v>-451.54880000000003</v>
      </c>
      <c r="K1875">
        <v>1.104555</v>
      </c>
      <c r="L1875">
        <v>286.05790000000002</v>
      </c>
      <c r="M1875">
        <v>-0.99836389999999997</v>
      </c>
      <c r="N1875">
        <v>0</v>
      </c>
      <c r="O1875">
        <v>5.546007E-2</v>
      </c>
      <c r="P1875">
        <v>-0.99942359999999897</v>
      </c>
      <c r="Q1875">
        <v>2.4462930000000001E-2</v>
      </c>
      <c r="R1875">
        <v>-2.3538920000000001E-2</v>
      </c>
      <c r="S1875">
        <v>-3.005188</v>
      </c>
      <c r="T1875">
        <v>-0.2511002</v>
      </c>
      <c r="U1875">
        <v>-0.10086059999999999</v>
      </c>
      <c r="V1875">
        <v>-7.8932820000000001E-2</v>
      </c>
      <c r="W1875">
        <v>3.8331959999999998E-2</v>
      </c>
      <c r="X1875">
        <v>0.99614269999999905</v>
      </c>
      <c r="Y1875">
        <v>-8.8424920000000004E-2</v>
      </c>
      <c r="Z1875">
        <v>-8.31112E-3</v>
      </c>
      <c r="AA1875">
        <v>0.99604820000000005</v>
      </c>
      <c r="AB1875">
        <v>26</v>
      </c>
      <c r="AC1875">
        <v>-12.9659999999999</v>
      </c>
      <c r="AD1875">
        <v>-1.1045541772506</v>
      </c>
      <c r="AE1875">
        <v>-0.45770000000004502</v>
      </c>
      <c r="AF1875">
        <v>-1.1676968186872101</v>
      </c>
      <c r="AG1875">
        <v>-1.1045541772506</v>
      </c>
      <c r="AH1875">
        <v>12.8276780528278</v>
      </c>
      <c r="AI1875">
        <v>94.9012686167938</v>
      </c>
      <c r="AJ1875">
        <v>95.201269885795</v>
      </c>
      <c r="AK1875">
        <v>12.927988243259399</v>
      </c>
    </row>
    <row r="1876" spans="1:37" x14ac:dyDescent="0.2">
      <c r="A1876" t="str">
        <f>"20200111160142988"</f>
        <v>20200111160142988</v>
      </c>
      <c r="B1876" t="str">
        <f>"1578729702983127"</f>
        <v>1578729702983127</v>
      </c>
      <c r="C1876" t="s">
        <v>37</v>
      </c>
      <c r="D1876">
        <v>4.7095390000000004</v>
      </c>
      <c r="E1876">
        <v>0.43146329999999999</v>
      </c>
      <c r="F1876" t="s">
        <v>57</v>
      </c>
      <c r="G1876">
        <v>-464.96339999999998</v>
      </c>
      <c r="H1876" s="1">
        <v>1.0630959999999999E-6</v>
      </c>
      <c r="I1876">
        <v>285.56310000000002</v>
      </c>
      <c r="J1876">
        <v>-451.81189999999998</v>
      </c>
      <c r="K1876">
        <v>1.104571</v>
      </c>
      <c r="L1876">
        <v>286.07260000000002</v>
      </c>
      <c r="M1876">
        <v>-0.99836329999999995</v>
      </c>
      <c r="N1876">
        <v>0</v>
      </c>
      <c r="O1876">
        <v>5.5473450000000001E-2</v>
      </c>
      <c r="P1876">
        <v>-0.99935039999999997</v>
      </c>
      <c r="Q1876">
        <v>2.576024E-2</v>
      </c>
      <c r="R1876">
        <v>-2.5206139999999998E-2</v>
      </c>
      <c r="S1876">
        <v>-3.005188</v>
      </c>
      <c r="T1876">
        <v>-0.24744639999999901</v>
      </c>
      <c r="U1876">
        <v>-0.1108398</v>
      </c>
      <c r="V1876">
        <v>-8.0607760000000001E-2</v>
      </c>
      <c r="W1876">
        <v>3.9621299999999998E-2</v>
      </c>
      <c r="X1876">
        <v>0.99595809999999996</v>
      </c>
      <c r="Y1876">
        <v>-9.1744469999999995E-2</v>
      </c>
      <c r="Z1876">
        <v>-8.3277100000000003E-3</v>
      </c>
      <c r="AA1876">
        <v>0.99574769999999901</v>
      </c>
      <c r="AB1876">
        <v>26</v>
      </c>
      <c r="AC1876">
        <v>-13.1515</v>
      </c>
      <c r="AD1876">
        <v>-1.1045699369040001</v>
      </c>
      <c r="AE1876">
        <v>-0.50950000000000195</v>
      </c>
      <c r="AF1876">
        <v>-1.2296837456121099</v>
      </c>
      <c r="AG1876">
        <v>-1.1045699369040001</v>
      </c>
      <c r="AH1876">
        <v>13.0113339612024</v>
      </c>
      <c r="AI1876">
        <v>94.830946569148907</v>
      </c>
      <c r="AJ1876">
        <v>95.398911333938301</v>
      </c>
      <c r="AK1876">
        <v>13.1159066903388</v>
      </c>
    </row>
    <row r="1877" spans="1:37" x14ac:dyDescent="0.2">
      <c r="A1877" t="str">
        <f>"20200111160143011"</f>
        <v>20200111160143011</v>
      </c>
      <c r="B1877" t="str">
        <f>"1578729703002647"</f>
        <v>1578729703002647</v>
      </c>
      <c r="C1877" t="s">
        <v>37</v>
      </c>
      <c r="D1877">
        <v>4.8809420000000001</v>
      </c>
      <c r="E1877">
        <v>0.41403279999999998</v>
      </c>
      <c r="F1877" t="s">
        <v>57</v>
      </c>
      <c r="G1877">
        <v>-464.57619999999997</v>
      </c>
      <c r="H1877" s="1">
        <v>9.5213449999999996E-7</v>
      </c>
      <c r="I1877">
        <v>283.38740000000001</v>
      </c>
      <c r="J1877">
        <v>-452.06199999999899</v>
      </c>
      <c r="K1877">
        <v>1.1045959999999999</v>
      </c>
      <c r="L1877">
        <v>286.0865</v>
      </c>
      <c r="M1877">
        <v>-0.99836449999999999</v>
      </c>
      <c r="N1877">
        <v>0</v>
      </c>
      <c r="O1877">
        <v>5.5454969999999999E-2</v>
      </c>
      <c r="P1877">
        <v>-0.99931320000000001</v>
      </c>
      <c r="Q1877">
        <v>2.6685799999999999E-2</v>
      </c>
      <c r="R1877">
        <v>-2.5722289999999998E-2</v>
      </c>
      <c r="S1877">
        <v>-2.99276699999999</v>
      </c>
      <c r="T1877">
        <v>-0.25898280000000001</v>
      </c>
      <c r="U1877">
        <v>-0.62957759999999996</v>
      </c>
      <c r="V1877">
        <v>-8.1104380000000004E-2</v>
      </c>
      <c r="W1877">
        <v>4.053942E-2</v>
      </c>
      <c r="X1877">
        <v>0.99588080000000001</v>
      </c>
      <c r="Y1877">
        <v>-0.25868869999999999</v>
      </c>
      <c r="Z1877">
        <v>-1.5795630000000001E-2</v>
      </c>
      <c r="AA1877">
        <v>0.96583159999999901</v>
      </c>
      <c r="AB1877">
        <v>26</v>
      </c>
      <c r="AC1877">
        <v>-12.514200000000001</v>
      </c>
      <c r="AD1877">
        <v>-1.1045950478655</v>
      </c>
      <c r="AE1877">
        <v>-2.6990999999999801</v>
      </c>
      <c r="AF1877">
        <v>-3.3639435073836998</v>
      </c>
      <c r="AG1877">
        <v>-1.1045950478655</v>
      </c>
      <c r="AH1877">
        <v>12.2540176654314</v>
      </c>
      <c r="AI1877">
        <v>94.967982009018598</v>
      </c>
      <c r="AJ1877">
        <v>105.350551818385</v>
      </c>
      <c r="AK1877">
        <v>12.755281066497201</v>
      </c>
    </row>
    <row r="1878" spans="1:37" x14ac:dyDescent="0.2">
      <c r="A1878" t="str">
        <f>"20200111160143033"</f>
        <v>20200111160143033</v>
      </c>
      <c r="B1878" t="str">
        <f>"1578729703023143"</f>
        <v>1578729703023143</v>
      </c>
      <c r="C1878" t="s">
        <v>37</v>
      </c>
      <c r="D1878">
        <v>4.7875100000000002</v>
      </c>
      <c r="E1878">
        <v>0.4086611</v>
      </c>
      <c r="F1878" t="s">
        <v>57</v>
      </c>
      <c r="G1878">
        <v>-465.91930000000002</v>
      </c>
      <c r="H1878" s="1">
        <v>1.7049279999999999E-6</v>
      </c>
      <c r="I1878">
        <v>282.51749999999998</v>
      </c>
      <c r="J1878">
        <v>-452.31569999999999</v>
      </c>
      <c r="K1878">
        <v>1.1046320000000001</v>
      </c>
      <c r="L1878">
        <v>286.10059999999999</v>
      </c>
      <c r="M1878">
        <v>-0.99836769999999997</v>
      </c>
      <c r="N1878">
        <v>0</v>
      </c>
      <c r="O1878">
        <v>5.5397189999999999E-2</v>
      </c>
      <c r="P1878">
        <v>-0.99926399999999904</v>
      </c>
      <c r="Q1878">
        <v>2.8960730000000001E-2</v>
      </c>
      <c r="R1878">
        <v>-2.5166150000000002E-2</v>
      </c>
      <c r="S1878">
        <v>-2.9885860000000002</v>
      </c>
      <c r="T1878">
        <v>-0.2382251</v>
      </c>
      <c r="U1878">
        <v>-0.76971440000000002</v>
      </c>
      <c r="V1878">
        <v>-8.0490809999999996E-2</v>
      </c>
      <c r="W1878">
        <v>4.2806719999999999E-2</v>
      </c>
      <c r="X1878">
        <v>0.99583569999999999</v>
      </c>
      <c r="Y1878">
        <v>-0.30161490000000002</v>
      </c>
      <c r="Z1878">
        <v>-1.6154990000000001E-2</v>
      </c>
      <c r="AA1878">
        <v>0.95329299999999995</v>
      </c>
      <c r="AB1878">
        <v>25</v>
      </c>
      <c r="AC1878">
        <v>-13.6036</v>
      </c>
      <c r="AD1878">
        <v>-1.1046302950719999</v>
      </c>
      <c r="AE1878">
        <v>-3.5831</v>
      </c>
      <c r="AF1878">
        <v>-4.3047282194930601</v>
      </c>
      <c r="AG1878">
        <v>-1.1046302950719999</v>
      </c>
      <c r="AH1878">
        <v>13.302173664888899</v>
      </c>
      <c r="AI1878">
        <v>94.517403279766697</v>
      </c>
      <c r="AJ1878">
        <v>107.932145525019</v>
      </c>
      <c r="AK1878">
        <v>14.0249319906855</v>
      </c>
    </row>
    <row r="1879" spans="1:37" x14ac:dyDescent="0.2">
      <c r="A1879" t="str">
        <f>"20200111160143056"</f>
        <v>20200111160143056</v>
      </c>
      <c r="B1879" t="str">
        <f>"1578729703053403"</f>
        <v>1578729703053403</v>
      </c>
      <c r="C1879" t="s">
        <v>37</v>
      </c>
      <c r="D1879">
        <v>4.8115050000000004</v>
      </c>
      <c r="E1879">
        <v>0.40497729999999998</v>
      </c>
      <c r="F1879" t="s">
        <v>57</v>
      </c>
      <c r="G1879">
        <v>-466.38619999999997</v>
      </c>
      <c r="H1879" s="1">
        <v>1.9636199999999998E-6</v>
      </c>
      <c r="I1879">
        <v>282.28339999999997</v>
      </c>
      <c r="J1879">
        <v>-452.5675</v>
      </c>
      <c r="K1879">
        <v>1.104671</v>
      </c>
      <c r="L1879">
        <v>286.11439999999999</v>
      </c>
      <c r="M1879">
        <v>-0.998372699999999</v>
      </c>
      <c r="N1879">
        <v>0</v>
      </c>
      <c r="O1879">
        <v>5.5306840000000003E-2</v>
      </c>
      <c r="P1879">
        <v>-0.99922250000000001</v>
      </c>
      <c r="Q1879">
        <v>3.1173590000000001E-2</v>
      </c>
      <c r="R1879">
        <v>-2.4145030000000001E-2</v>
      </c>
      <c r="S1879">
        <v>-2.9885860000000002</v>
      </c>
      <c r="T1879">
        <v>-0.23462379999999999</v>
      </c>
      <c r="U1879">
        <v>-0.8107605</v>
      </c>
      <c r="V1879">
        <v>-7.9382359999999999E-2</v>
      </c>
      <c r="W1879">
        <v>4.501235E-2</v>
      </c>
      <c r="X1879">
        <v>0.99582739999999903</v>
      </c>
      <c r="Y1879">
        <v>-0.31374229999999997</v>
      </c>
      <c r="Z1879">
        <v>-1.634449E-2</v>
      </c>
      <c r="AA1879">
        <v>0.94936749999999903</v>
      </c>
      <c r="AB1879">
        <v>25</v>
      </c>
      <c r="AC1879">
        <v>-13.8186999999999</v>
      </c>
      <c r="AD1879">
        <v>-1.10466903638</v>
      </c>
      <c r="AE1879">
        <v>-3.8310000000000102</v>
      </c>
      <c r="AF1879">
        <v>-4.5624028004529498</v>
      </c>
      <c r="AG1879">
        <v>-1.10466903638</v>
      </c>
      <c r="AH1879">
        <v>13.5054980749258</v>
      </c>
      <c r="AI1879">
        <v>94.431093859162203</v>
      </c>
      <c r="AJ1879">
        <v>108.66590341802601</v>
      </c>
      <c r="AK1879">
        <v>14.298052008764801</v>
      </c>
    </row>
    <row r="1880" spans="1:37" x14ac:dyDescent="0.2">
      <c r="A1880" t="str">
        <f>"20200111160143077"</f>
        <v>20200111160143077</v>
      </c>
      <c r="B1880" t="str">
        <f>"1578729703072923"</f>
        <v>1578729703072923</v>
      </c>
      <c r="C1880" t="s">
        <v>37</v>
      </c>
      <c r="D1880">
        <v>4.8396749999999997</v>
      </c>
      <c r="E1880">
        <v>0.40345839999999999</v>
      </c>
      <c r="F1880" t="s">
        <v>57</v>
      </c>
      <c r="G1880">
        <v>-466.85930000000002</v>
      </c>
      <c r="H1880" s="1">
        <v>2.2228839999999999E-6</v>
      </c>
      <c r="I1880">
        <v>282.11200000000002</v>
      </c>
      <c r="J1880">
        <v>-452.81699999999898</v>
      </c>
      <c r="K1880">
        <v>1.104708</v>
      </c>
      <c r="L1880">
        <v>286.12819999999999</v>
      </c>
      <c r="M1880">
        <v>-0.99837949999999998</v>
      </c>
      <c r="N1880">
        <v>0</v>
      </c>
      <c r="O1880">
        <v>5.518671E-2</v>
      </c>
      <c r="P1880">
        <v>-0.99920580000000003</v>
      </c>
      <c r="Q1880">
        <v>3.315978E-2</v>
      </c>
      <c r="R1880">
        <v>-2.2112299999999901E-2</v>
      </c>
      <c r="S1880">
        <v>-2.9893190000000001</v>
      </c>
      <c r="T1880">
        <v>-0.2310557</v>
      </c>
      <c r="U1880">
        <v>-0.83715819999999996</v>
      </c>
      <c r="V1880">
        <v>-7.7234499999999998E-2</v>
      </c>
      <c r="W1880">
        <v>4.6992930000000002E-2</v>
      </c>
      <c r="X1880">
        <v>0.99590489999999998</v>
      </c>
      <c r="Y1880">
        <v>-0.32136509999999902</v>
      </c>
      <c r="Z1880">
        <v>-1.6354150000000001E-2</v>
      </c>
      <c r="AA1880">
        <v>0.94681409999999999</v>
      </c>
      <c r="AB1880">
        <v>25</v>
      </c>
      <c r="AC1880">
        <v>-14.042299999999999</v>
      </c>
      <c r="AD1880">
        <v>-1.104705777116</v>
      </c>
      <c r="AE1880">
        <v>-4.0161999999999596</v>
      </c>
      <c r="AF1880">
        <v>-4.7578816930418899</v>
      </c>
      <c r="AG1880">
        <v>-1.104705777116</v>
      </c>
      <c r="AH1880">
        <v>13.720737967347</v>
      </c>
      <c r="AI1880">
        <v>94.350101492236305</v>
      </c>
      <c r="AJ1880">
        <v>109.124793057148</v>
      </c>
      <c r="AK1880">
        <v>14.5642185999652</v>
      </c>
    </row>
    <row r="1881" spans="1:37" x14ac:dyDescent="0.2">
      <c r="A1881" t="str">
        <f>"20200111160143100"</f>
        <v>20200111160143100</v>
      </c>
      <c r="B1881" t="str">
        <f>"1578729703093419"</f>
        <v>1578729703093419</v>
      </c>
      <c r="C1881" t="s">
        <v>37</v>
      </c>
      <c r="D1881">
        <v>4.8385619999999996</v>
      </c>
      <c r="E1881">
        <v>0.40277800000000002</v>
      </c>
      <c r="F1881" t="s">
        <v>57</v>
      </c>
      <c r="G1881">
        <v>-467.5591</v>
      </c>
      <c r="H1881" s="1">
        <v>2.6012479999999998E-6</v>
      </c>
      <c r="I1881">
        <v>281.9751</v>
      </c>
      <c r="J1881">
        <v>-453.07409999999999</v>
      </c>
      <c r="K1881">
        <v>1.1047359999999999</v>
      </c>
      <c r="L1881">
        <v>286.1422</v>
      </c>
      <c r="M1881">
        <v>-0.99838780000000005</v>
      </c>
      <c r="N1881">
        <v>0</v>
      </c>
      <c r="O1881">
        <v>5.5034140000000002E-2</v>
      </c>
      <c r="P1881">
        <v>-0.99918090000000004</v>
      </c>
      <c r="Q1881">
        <v>3.5343329999999999E-2</v>
      </c>
      <c r="R1881">
        <v>-1.9712569999999999E-2</v>
      </c>
      <c r="S1881">
        <v>-2.9911799999999999</v>
      </c>
      <c r="T1881">
        <v>-0.22414490000000001</v>
      </c>
      <c r="U1881">
        <v>-0.84265140000000005</v>
      </c>
      <c r="V1881">
        <v>-7.4687669999999998E-2</v>
      </c>
      <c r="W1881">
        <v>4.917146E-2</v>
      </c>
      <c r="X1881">
        <v>0.99599389999999999</v>
      </c>
      <c r="Y1881">
        <v>-0.3227389</v>
      </c>
      <c r="Z1881">
        <v>-1.5892219999999999E-2</v>
      </c>
      <c r="AA1881">
        <v>0.94635460000000005</v>
      </c>
      <c r="AB1881">
        <v>25</v>
      </c>
      <c r="AC1881">
        <v>-14.484999999999999</v>
      </c>
      <c r="AD1881">
        <v>-1.1047333987520001</v>
      </c>
      <c r="AE1881">
        <v>-4.1670999999999996</v>
      </c>
      <c r="AF1881">
        <v>-4.9315371373104497</v>
      </c>
      <c r="AG1881">
        <v>-1.1047333987520001</v>
      </c>
      <c r="AH1881">
        <v>14.157632080066699</v>
      </c>
      <c r="AI1881">
        <v>94.214419137426702</v>
      </c>
      <c r="AJ1881">
        <v>109.204793085342</v>
      </c>
      <c r="AK1881">
        <v>15.032599260724099</v>
      </c>
    </row>
    <row r="1882" spans="1:37" x14ac:dyDescent="0.2">
      <c r="A1882" t="str">
        <f>"20200111160143124"</f>
        <v>20200111160143124</v>
      </c>
      <c r="B1882" t="str">
        <f>"1578729703112939"</f>
        <v>1578729703112939</v>
      </c>
      <c r="C1882" t="s">
        <v>37</v>
      </c>
      <c r="D1882">
        <v>7.2565059999999999</v>
      </c>
      <c r="E1882">
        <v>0.40255599999999903</v>
      </c>
      <c r="F1882" t="s">
        <v>57</v>
      </c>
      <c r="G1882">
        <v>-467.71019999999999</v>
      </c>
      <c r="H1882" s="1">
        <v>2.6791209999999998E-6</v>
      </c>
      <c r="I1882">
        <v>282.03269999999998</v>
      </c>
      <c r="J1882">
        <v>-453.3442</v>
      </c>
      <c r="K1882">
        <v>1.1047639999999901</v>
      </c>
      <c r="L1882">
        <v>286.15690000000001</v>
      </c>
      <c r="M1882">
        <v>-0.99839809999999996</v>
      </c>
      <c r="N1882">
        <v>0</v>
      </c>
      <c r="O1882">
        <v>5.4850309999999999E-2</v>
      </c>
      <c r="P1882">
        <v>-0.99915719999999997</v>
      </c>
      <c r="Q1882">
        <v>3.7235650000000002E-2</v>
      </c>
      <c r="R1882">
        <v>-1.7287879999999999E-2</v>
      </c>
      <c r="S1882">
        <v>-2.9938959999999999</v>
      </c>
      <c r="T1882">
        <v>-0.22598019999999999</v>
      </c>
      <c r="U1882">
        <v>-0.84063719999999997</v>
      </c>
      <c r="V1882">
        <v>-7.2084640000000005E-2</v>
      </c>
      <c r="W1882">
        <v>5.1060229999999998E-2</v>
      </c>
      <c r="X1882">
        <v>0.996090699999999</v>
      </c>
      <c r="Y1882">
        <v>-0.32173889999999999</v>
      </c>
      <c r="Z1882">
        <v>-1.595883E-2</v>
      </c>
      <c r="AA1882">
        <v>0.94669400000000004</v>
      </c>
      <c r="AB1882">
        <v>25</v>
      </c>
      <c r="AC1882">
        <v>-14.3659999999999</v>
      </c>
      <c r="AD1882">
        <v>-1.1047613208789999</v>
      </c>
      <c r="AE1882">
        <v>-4.1242000000000196</v>
      </c>
      <c r="AF1882">
        <v>-4.8793871101519999</v>
      </c>
      <c r="AG1882">
        <v>-1.1047613208789999</v>
      </c>
      <c r="AH1882">
        <v>14.041418295885901</v>
      </c>
      <c r="AI1882">
        <v>94.250371631290605</v>
      </c>
      <c r="AJ1882">
        <v>109.162318428681</v>
      </c>
      <c r="AK1882">
        <v>14.906050580447801</v>
      </c>
    </row>
    <row r="1883" spans="1:37" x14ac:dyDescent="0.2">
      <c r="A1883" t="str">
        <f>"20200111160143191"</f>
        <v>20200111160143191</v>
      </c>
      <c r="B1883" t="str">
        <f>"1578729703183211"</f>
        <v>1578729703183211</v>
      </c>
      <c r="C1883" t="s">
        <v>37</v>
      </c>
      <c r="D1883">
        <v>4.8813469999999999</v>
      </c>
      <c r="E1883">
        <v>0.40094940000000001</v>
      </c>
      <c r="F1883" t="s">
        <v>57</v>
      </c>
      <c r="G1883">
        <v>-468.17110000000002</v>
      </c>
      <c r="H1883" s="1">
        <v>2.9246669999999999E-6</v>
      </c>
      <c r="I1883">
        <v>282.02620000000002</v>
      </c>
      <c r="J1883">
        <v>-454.08699999999999</v>
      </c>
      <c r="K1883">
        <v>1.104776</v>
      </c>
      <c r="L1883">
        <v>286.197</v>
      </c>
      <c r="M1883">
        <v>-0.9984286</v>
      </c>
      <c r="N1883">
        <v>0</v>
      </c>
      <c r="O1883">
        <v>5.4292999999999897E-2</v>
      </c>
      <c r="P1883">
        <v>-0.99911260000000002</v>
      </c>
      <c r="Q1883">
        <v>3.8573290000000003E-2</v>
      </c>
      <c r="R1883">
        <v>-1.6924669999999999E-2</v>
      </c>
      <c r="S1883">
        <v>-2.9963679999999999</v>
      </c>
      <c r="T1883">
        <v>-0.22326119999999999</v>
      </c>
      <c r="U1883">
        <v>-0.83477780000000001</v>
      </c>
      <c r="V1883">
        <v>-7.1164909999999998E-2</v>
      </c>
      <c r="W1883">
        <v>5.2388820000000003E-2</v>
      </c>
      <c r="X1883">
        <v>0.99608779999999997</v>
      </c>
      <c r="Y1883">
        <v>-0.31932159999999998</v>
      </c>
      <c r="Z1883">
        <v>-1.5629770000000001E-2</v>
      </c>
      <c r="AA1883">
        <v>0.94751749999999901</v>
      </c>
      <c r="AB1883">
        <v>25</v>
      </c>
      <c r="AC1883">
        <v>-14.084099999999999</v>
      </c>
      <c r="AD1883">
        <v>-1.1047730753330001</v>
      </c>
      <c r="AE1883">
        <v>-4.1707999999999803</v>
      </c>
      <c r="AF1883">
        <v>-4.90166044890604</v>
      </c>
      <c r="AG1883">
        <v>-1.1047730753330001</v>
      </c>
      <c r="AH1883">
        <v>13.759021814512099</v>
      </c>
      <c r="AI1883">
        <v>94.325501802861396</v>
      </c>
      <c r="AJ1883">
        <v>109.60847426121001</v>
      </c>
      <c r="AK1883">
        <v>14.647780719159099</v>
      </c>
    </row>
    <row r="1884" spans="1:37" x14ac:dyDescent="0.2">
      <c r="A1884" t="str">
        <f>"20200111160143211"</f>
        <v>20200111160143211</v>
      </c>
      <c r="B1884" t="str">
        <f>"1578729703202731"</f>
        <v>1578729703202731</v>
      </c>
      <c r="C1884" t="s">
        <v>37</v>
      </c>
      <c r="D1884">
        <v>4.9453559999999896</v>
      </c>
      <c r="E1884">
        <v>0.40048329999999999</v>
      </c>
      <c r="F1884" t="s">
        <v>57</v>
      </c>
      <c r="G1884">
        <v>-468.49360000000001</v>
      </c>
      <c r="H1884" s="1">
        <v>3.0920959999999999E-6</v>
      </c>
      <c r="I1884">
        <v>282.12189999999998</v>
      </c>
      <c r="J1884">
        <v>-454.32479999999998</v>
      </c>
      <c r="K1884">
        <v>1.10477</v>
      </c>
      <c r="L1884">
        <v>286.2097</v>
      </c>
      <c r="M1884">
        <v>-0.99843819999999905</v>
      </c>
      <c r="N1884">
        <v>0</v>
      </c>
      <c r="O1884">
        <v>5.411585E-2</v>
      </c>
      <c r="P1884">
        <v>-0.99910769999999904</v>
      </c>
      <c r="Q1884">
        <v>3.8157589999999998E-2</v>
      </c>
      <c r="R1884">
        <v>-1.8098989999999999E-2</v>
      </c>
      <c r="S1884">
        <v>-2.99725299999999</v>
      </c>
      <c r="T1884">
        <v>-0.22984599999999999</v>
      </c>
      <c r="U1884">
        <v>-0.84780880000000003</v>
      </c>
      <c r="V1884">
        <v>-7.2160089999999996E-2</v>
      </c>
      <c r="W1884">
        <v>5.1970250000000003E-2</v>
      </c>
      <c r="X1884">
        <v>0.99603809999999904</v>
      </c>
      <c r="Y1884">
        <v>-0.32283279999999998</v>
      </c>
      <c r="Z1884">
        <v>-1.619431E-2</v>
      </c>
      <c r="AA1884">
        <v>0.94631749999999903</v>
      </c>
      <c r="AB1884">
        <v>25</v>
      </c>
      <c r="AC1884">
        <v>-14.168799999999999</v>
      </c>
      <c r="AD1884">
        <v>-1.1047669079039999</v>
      </c>
      <c r="AE1884">
        <v>-4.0878000000000103</v>
      </c>
      <c r="AF1884">
        <v>-4.82157852765401</v>
      </c>
      <c r="AG1884">
        <v>-1.1047669079039999</v>
      </c>
      <c r="AH1884">
        <v>13.8490707398279</v>
      </c>
      <c r="AI1884">
        <v>94.3083365838433</v>
      </c>
      <c r="AJ1884">
        <v>109.19565281876299</v>
      </c>
      <c r="AK1884">
        <v>14.705947428706899</v>
      </c>
    </row>
    <row r="1885" spans="1:37" x14ac:dyDescent="0.2">
      <c r="A1885" t="str">
        <f>"20200111160143368"</f>
        <v>20200111160143368</v>
      </c>
      <c r="B1885" t="str">
        <f>"1578729703362795"</f>
        <v>1578729703362795</v>
      </c>
      <c r="C1885" t="s">
        <v>37</v>
      </c>
      <c r="D1885">
        <v>4.9391299999999996</v>
      </c>
      <c r="E1885">
        <v>0.47312219999999999</v>
      </c>
      <c r="F1885" t="s">
        <v>57</v>
      </c>
      <c r="G1885">
        <v>-468.37509999999997</v>
      </c>
      <c r="H1885" s="1">
        <v>3.0257589999999998E-6</v>
      </c>
      <c r="I1885">
        <v>282.19740000000002</v>
      </c>
      <c r="J1885">
        <v>-456.07429999999999</v>
      </c>
      <c r="K1885">
        <v>1.1047290000000001</v>
      </c>
      <c r="L1885">
        <v>286.30220000000003</v>
      </c>
      <c r="M1885">
        <v>-0.99850380000000005</v>
      </c>
      <c r="N1885">
        <v>0</v>
      </c>
      <c r="O1885">
        <v>5.2897850000000003E-2</v>
      </c>
      <c r="P1885">
        <v>-0.99934389999999995</v>
      </c>
      <c r="Q1885">
        <v>3.0293090000000002E-2</v>
      </c>
      <c r="R1885">
        <v>-1.985891E-2</v>
      </c>
      <c r="S1885">
        <v>-2.9961849999999899</v>
      </c>
      <c r="T1885">
        <v>-0.23558769999999901</v>
      </c>
      <c r="U1885">
        <v>-0.85562130000000003</v>
      </c>
      <c r="V1885">
        <v>-7.27101E-2</v>
      </c>
      <c r="W1885">
        <v>4.4093920000000002E-2</v>
      </c>
      <c r="X1885">
        <v>0.99637790000000004</v>
      </c>
      <c r="Y1885">
        <v>-0.32399820000000001</v>
      </c>
      <c r="Z1885">
        <v>-1.6548500000000001E-2</v>
      </c>
      <c r="AA1885">
        <v>0.945912999999999</v>
      </c>
      <c r="AB1885">
        <v>25</v>
      </c>
      <c r="AC1885">
        <v>-12.300799999999899</v>
      </c>
      <c r="AD1885">
        <v>-1.1047259742410001</v>
      </c>
      <c r="AE1885">
        <v>-4.1048000000000098</v>
      </c>
      <c r="AF1885">
        <v>-4.7155767832216799</v>
      </c>
      <c r="AG1885">
        <v>-1.1047259742410001</v>
      </c>
      <c r="AH1885">
        <v>11.979477334373099</v>
      </c>
      <c r="AI1885">
        <v>94.904503238100602</v>
      </c>
      <c r="AJ1885">
        <v>111.48648109082001</v>
      </c>
      <c r="AK1885">
        <v>12.9214922157382</v>
      </c>
    </row>
    <row r="1886" spans="1:37" x14ac:dyDescent="0.2">
      <c r="A1886" t="str">
        <f>"20200111160143391"</f>
        <v>20200111160143391</v>
      </c>
      <c r="B1886" t="str">
        <f>"1578729703383291"</f>
        <v>1578729703383291</v>
      </c>
      <c r="C1886" t="s">
        <v>37</v>
      </c>
      <c r="D1886">
        <v>4.8096249999999996</v>
      </c>
      <c r="E1886">
        <v>0.4793943</v>
      </c>
      <c r="F1886" t="s">
        <v>57</v>
      </c>
      <c r="G1886">
        <v>-469.85579999999999</v>
      </c>
      <c r="H1886" s="1">
        <v>3.6905219999999998E-6</v>
      </c>
      <c r="I1886">
        <v>285.01569999999998</v>
      </c>
      <c r="J1886">
        <v>-456.32</v>
      </c>
      <c r="K1886">
        <v>1.104725</v>
      </c>
      <c r="L1886">
        <v>286.315</v>
      </c>
      <c r="M1886">
        <v>-0.99851270000000003</v>
      </c>
      <c r="N1886">
        <v>0</v>
      </c>
      <c r="O1886">
        <v>5.2729390000000001E-2</v>
      </c>
      <c r="P1886">
        <v>-0.99936819999999904</v>
      </c>
      <c r="Q1886">
        <v>3.020426E-2</v>
      </c>
      <c r="R1886">
        <v>-1.8741130000000002E-2</v>
      </c>
      <c r="S1886">
        <v>-3.0036930000000002</v>
      </c>
      <c r="T1886">
        <v>-0.2407762</v>
      </c>
      <c r="U1886">
        <v>-0.28039550000000002</v>
      </c>
      <c r="V1886">
        <v>-7.1427519999999994E-2</v>
      </c>
      <c r="W1886">
        <v>4.4004359999999999E-2</v>
      </c>
      <c r="X1886">
        <v>0.99647459999999899</v>
      </c>
      <c r="Y1886">
        <v>-0.1446945</v>
      </c>
      <c r="Z1886">
        <v>-9.9900100000000006E-3</v>
      </c>
      <c r="AA1886">
        <v>0.98942600000000003</v>
      </c>
      <c r="AB1886">
        <v>25</v>
      </c>
      <c r="AC1886">
        <v>-13.535799999999901</v>
      </c>
      <c r="AD1886">
        <v>-1.104721309478</v>
      </c>
      <c r="AE1886">
        <v>-1.2993000000000099</v>
      </c>
      <c r="AF1886">
        <v>-1.9981072979497001</v>
      </c>
      <c r="AG1886">
        <v>-1.104721309478</v>
      </c>
      <c r="AH1886">
        <v>13.3602681402004</v>
      </c>
      <c r="AI1886">
        <v>94.675105894042503</v>
      </c>
      <c r="AJ1886">
        <v>98.505880410561304</v>
      </c>
      <c r="AK1886">
        <v>13.5539517013965</v>
      </c>
    </row>
    <row r="1887" spans="1:37" x14ac:dyDescent="0.2">
      <c r="A1887" t="str">
        <f>"20200111160143412"</f>
        <v>20200111160143412</v>
      </c>
      <c r="B1887" t="str">
        <f>"1578729703402811"</f>
        <v>1578729703402811</v>
      </c>
      <c r="C1887" t="s">
        <v>37</v>
      </c>
      <c r="D1887">
        <v>4.806108</v>
      </c>
      <c r="E1887">
        <v>0.47920699999999999</v>
      </c>
      <c r="F1887" t="s">
        <v>54</v>
      </c>
      <c r="G1887">
        <v>-470.02210000000002</v>
      </c>
      <c r="H1887" s="1">
        <v>6.6622009999999997E-6</v>
      </c>
      <c r="I1887">
        <v>285.27839999999998</v>
      </c>
      <c r="J1887">
        <v>-456.56470000000002</v>
      </c>
      <c r="K1887">
        <v>1.104722</v>
      </c>
      <c r="L1887">
        <v>286.32780000000002</v>
      </c>
      <c r="M1887">
        <v>-0.99852160000000001</v>
      </c>
      <c r="N1887">
        <v>0</v>
      </c>
      <c r="O1887">
        <v>5.2560450000000002E-2</v>
      </c>
      <c r="P1887">
        <v>-0.99941569999999902</v>
      </c>
      <c r="Q1887">
        <v>2.941792E-2</v>
      </c>
      <c r="R1887">
        <v>-1.740541E-2</v>
      </c>
      <c r="S1887">
        <v>-3.0049739999999998</v>
      </c>
      <c r="T1887">
        <v>-0.242273299999999</v>
      </c>
      <c r="U1887">
        <v>-0.22732539999999901</v>
      </c>
      <c r="V1887">
        <v>-6.9926450000000001E-2</v>
      </c>
      <c r="W1887">
        <v>4.3217850000000002E-2</v>
      </c>
      <c r="X1887">
        <v>0.99661549999999999</v>
      </c>
      <c r="Y1887">
        <v>-0.12716530000000001</v>
      </c>
      <c r="Z1887">
        <v>-9.3365289999999997E-3</v>
      </c>
      <c r="AA1887">
        <v>0.99183759999999999</v>
      </c>
      <c r="AB1887">
        <v>25</v>
      </c>
      <c r="AC1887">
        <v>-13.4574</v>
      </c>
      <c r="AD1887">
        <v>-1.104715337799</v>
      </c>
      <c r="AE1887">
        <v>-1.0494000000000401</v>
      </c>
      <c r="AF1887">
        <v>-1.7436650194797201</v>
      </c>
      <c r="AG1887">
        <v>-1.104715337799</v>
      </c>
      <c r="AH1887">
        <v>13.2945853993917</v>
      </c>
      <c r="AI1887">
        <v>94.709934265057896</v>
      </c>
      <c r="AJ1887">
        <v>97.472037243460207</v>
      </c>
      <c r="AK1887">
        <v>13.4538754498265</v>
      </c>
    </row>
    <row r="1888" spans="1:37" x14ac:dyDescent="0.2">
      <c r="A1888" t="str">
        <f>"20200111160143435"</f>
        <v>20200111160143435</v>
      </c>
      <c r="B1888" t="str">
        <f>"1578729703433066"</f>
        <v>1578729703433066</v>
      </c>
      <c r="C1888" t="s">
        <v>37</v>
      </c>
      <c r="D1888">
        <v>4.7220379999999897</v>
      </c>
      <c r="E1888">
        <v>0.48095299999999902</v>
      </c>
      <c r="F1888" t="s">
        <v>54</v>
      </c>
      <c r="G1888">
        <v>-471.31389999999999</v>
      </c>
      <c r="H1888" s="1">
        <v>6.0847320000000004E-6</v>
      </c>
      <c r="I1888">
        <v>285.226</v>
      </c>
      <c r="J1888">
        <v>-456.8229</v>
      </c>
      <c r="K1888">
        <v>1.1047180000000001</v>
      </c>
      <c r="L1888">
        <v>286.34109999999998</v>
      </c>
      <c r="M1888">
        <v>-0.99853099999999995</v>
      </c>
      <c r="N1888">
        <v>0</v>
      </c>
      <c r="O1888">
        <v>5.2382089999999999E-2</v>
      </c>
      <c r="P1888">
        <v>-0.99944159999999904</v>
      </c>
      <c r="Q1888">
        <v>2.8856070000000001E-2</v>
      </c>
      <c r="R1888">
        <v>-1.6862209999999999E-2</v>
      </c>
      <c r="S1888">
        <v>-3.0044249999999999</v>
      </c>
      <c r="T1888">
        <v>-0.22503089999999901</v>
      </c>
      <c r="U1888">
        <v>-0.2244263</v>
      </c>
      <c r="V1888">
        <v>-6.9207190000000002E-2</v>
      </c>
      <c r="W1888">
        <v>4.2654270000000001E-2</v>
      </c>
      <c r="X1888">
        <v>0.99668999999999996</v>
      </c>
      <c r="Y1888">
        <v>-0.12613260000000001</v>
      </c>
      <c r="Z1888">
        <v>-8.6239490000000005E-3</v>
      </c>
      <c r="AA1888">
        <v>0.99197590000000002</v>
      </c>
      <c r="AB1888">
        <v>25</v>
      </c>
      <c r="AC1888">
        <v>-14.4909999999999</v>
      </c>
      <c r="AD1888">
        <v>-1.1047119152680001</v>
      </c>
      <c r="AE1888">
        <v>-1.11509999999998</v>
      </c>
      <c r="AF1888">
        <v>-1.86195316631716</v>
      </c>
      <c r="AG1888">
        <v>-1.1047119152680001</v>
      </c>
      <c r="AH1888">
        <v>14.329894384245399</v>
      </c>
      <c r="AI1888">
        <v>94.371688821641698</v>
      </c>
      <c r="AJ1888">
        <v>97.403243236802695</v>
      </c>
      <c r="AK1888">
        <v>14.4925198317242</v>
      </c>
    </row>
    <row r="1889" spans="1:37" x14ac:dyDescent="0.2">
      <c r="A1889" t="str">
        <f>"20200111160143457"</f>
        <v>20200111160143457</v>
      </c>
      <c r="B1889" t="str">
        <f>"1578729703453565"</f>
        <v>1578729703453565</v>
      </c>
      <c r="C1889" t="s">
        <v>37</v>
      </c>
      <c r="D1889">
        <v>4.661232</v>
      </c>
      <c r="E1889">
        <v>0.48093249999999999</v>
      </c>
      <c r="F1889" t="s">
        <v>54</v>
      </c>
      <c r="G1889">
        <v>-471.08600000000001</v>
      </c>
      <c r="H1889" s="1">
        <v>6.1966459999999899E-6</v>
      </c>
      <c r="I1889">
        <v>285.34969999999998</v>
      </c>
      <c r="J1889">
        <v>-457.06150000000002</v>
      </c>
      <c r="K1889">
        <v>1.104716</v>
      </c>
      <c r="L1889">
        <v>286.3535</v>
      </c>
      <c r="M1889">
        <v>-0.99853979999999998</v>
      </c>
      <c r="N1889">
        <v>0</v>
      </c>
      <c r="O1889">
        <v>5.221671E-2</v>
      </c>
      <c r="P1889">
        <v>-0.99947730000000001</v>
      </c>
      <c r="Q1889">
        <v>2.8005889999999999E-2</v>
      </c>
      <c r="R1889">
        <v>-1.615641E-2</v>
      </c>
      <c r="S1889">
        <v>-3.004883</v>
      </c>
      <c r="T1889">
        <v>-0.23273659999999999</v>
      </c>
      <c r="U1889">
        <v>-0.2088623</v>
      </c>
      <c r="V1889">
        <v>-6.8338949999999996E-2</v>
      </c>
      <c r="W1889">
        <v>4.1803399999999998E-2</v>
      </c>
      <c r="X1889">
        <v>0.9967859</v>
      </c>
      <c r="Y1889">
        <v>-0.12082560000000001</v>
      </c>
      <c r="Z1889">
        <v>-8.7008119999999901E-3</v>
      </c>
      <c r="AA1889">
        <v>0.99263559999999995</v>
      </c>
      <c r="AB1889">
        <v>25</v>
      </c>
      <c r="AC1889">
        <v>-14.0244999999999</v>
      </c>
      <c r="AD1889">
        <v>-1.1047098033539999</v>
      </c>
      <c r="AE1889">
        <v>-1.00380000000001</v>
      </c>
      <c r="AF1889">
        <v>-1.72417032095375</v>
      </c>
      <c r="AG1889">
        <v>-1.1047098033539999</v>
      </c>
      <c r="AH1889">
        <v>13.867339323295299</v>
      </c>
      <c r="AI1889">
        <v>94.520060886116696</v>
      </c>
      <c r="AJ1889">
        <v>97.087394773029402</v>
      </c>
      <c r="AK1889">
        <v>14.0177119014729</v>
      </c>
    </row>
    <row r="1890" spans="1:37" x14ac:dyDescent="0.2">
      <c r="A1890" t="str">
        <f>"20200111160143479"</f>
        <v>20200111160143479</v>
      </c>
      <c r="B1890" t="str">
        <f>"1578729703473083"</f>
        <v>1578729703473083</v>
      </c>
      <c r="C1890" t="s">
        <v>37</v>
      </c>
      <c r="D1890">
        <v>4.6759040000000001</v>
      </c>
      <c r="E1890">
        <v>0.48097380000000001</v>
      </c>
      <c r="F1890" t="s">
        <v>54</v>
      </c>
      <c r="G1890">
        <v>-472.72669999999999</v>
      </c>
      <c r="H1890" s="1">
        <v>5.4628539999999998E-6</v>
      </c>
      <c r="I1890">
        <v>285.2792</v>
      </c>
      <c r="J1890">
        <v>-457.31009999999998</v>
      </c>
      <c r="K1890">
        <v>1.1047149999999999</v>
      </c>
      <c r="L1890">
        <v>286.36630000000002</v>
      </c>
      <c r="M1890">
        <v>-0.99854869999999996</v>
      </c>
      <c r="N1890">
        <v>0</v>
      </c>
      <c r="O1890">
        <v>5.2044899999999998E-2</v>
      </c>
      <c r="P1890">
        <v>-0.99947619999999904</v>
      </c>
      <c r="Q1890">
        <v>2.7585439999999999E-2</v>
      </c>
      <c r="R1890">
        <v>-1.6930049999999999E-2</v>
      </c>
      <c r="S1890">
        <v>-3.0041500000000001</v>
      </c>
      <c r="T1890">
        <v>-0.21185199999999901</v>
      </c>
      <c r="U1890">
        <v>-0.20602419999999999</v>
      </c>
      <c r="V1890">
        <v>-6.8939529999999999E-2</v>
      </c>
      <c r="W1890">
        <v>4.1379390000000002E-2</v>
      </c>
      <c r="X1890">
        <v>0.99676229999999999</v>
      </c>
      <c r="Y1890">
        <v>-0.1198292</v>
      </c>
      <c r="Z1890">
        <v>-7.8770880000000008E-3</v>
      </c>
      <c r="AA1890">
        <v>0.99276330000000002</v>
      </c>
      <c r="AB1890">
        <v>25</v>
      </c>
      <c r="AC1890">
        <v>-15.416600000000001</v>
      </c>
      <c r="AD1890">
        <v>-1.1047095371459901</v>
      </c>
      <c r="AE1890">
        <v>-1.0871000000000199</v>
      </c>
      <c r="AF1890">
        <v>-1.8784610933183301</v>
      </c>
      <c r="AG1890">
        <v>-1.1047095371459901</v>
      </c>
      <c r="AH1890">
        <v>15.261144747484799</v>
      </c>
      <c r="AI1890">
        <v>94.109347038554603</v>
      </c>
      <c r="AJ1890">
        <v>97.017116980959401</v>
      </c>
      <c r="AK1890">
        <v>15.4159507732821</v>
      </c>
    </row>
    <row r="1891" spans="1:37" x14ac:dyDescent="0.2">
      <c r="A1891" t="str">
        <f>"20200111160143503"</f>
        <v>20200111160143503</v>
      </c>
      <c r="B1891" t="str">
        <f>"1578729703493578"</f>
        <v>1578729703493578</v>
      </c>
      <c r="C1891" t="s">
        <v>37</v>
      </c>
      <c r="D1891">
        <v>4.6275699999999897</v>
      </c>
      <c r="E1891">
        <v>0.48095369999999998</v>
      </c>
      <c r="F1891" t="s">
        <v>54</v>
      </c>
      <c r="G1891">
        <v>-472.7679</v>
      </c>
      <c r="H1891" s="1">
        <v>5.44604299999999E-6</v>
      </c>
      <c r="I1891">
        <v>285.29570000000001</v>
      </c>
      <c r="J1891">
        <v>-457.55709999999999</v>
      </c>
      <c r="K1891">
        <v>1.1047169999999999</v>
      </c>
      <c r="L1891">
        <v>286.37900000000002</v>
      </c>
      <c r="M1891">
        <v>-0.99855769999999899</v>
      </c>
      <c r="N1891">
        <v>0</v>
      </c>
      <c r="O1891">
        <v>5.187369E-2</v>
      </c>
      <c r="P1891">
        <v>-0.99945709999999999</v>
      </c>
      <c r="Q1891">
        <v>2.7448139999999999E-2</v>
      </c>
      <c r="R1891">
        <v>-1.82306E-2</v>
      </c>
      <c r="S1891">
        <v>-3.0039370000000001</v>
      </c>
      <c r="T1891">
        <v>-0.21467910000000001</v>
      </c>
      <c r="U1891">
        <v>-0.20803829999999901</v>
      </c>
      <c r="V1891">
        <v>-7.0066790000000004E-2</v>
      </c>
      <c r="W1891">
        <v>4.1237879999999998E-2</v>
      </c>
      <c r="X1891">
        <v>0.99668959999999995</v>
      </c>
      <c r="Y1891">
        <v>-0.120314</v>
      </c>
      <c r="Z1891">
        <v>-7.9874170000000001E-3</v>
      </c>
      <c r="AA1891">
        <v>0.99270369999999997</v>
      </c>
      <c r="AB1891">
        <v>25</v>
      </c>
      <c r="AC1891">
        <v>-15.210800000000001</v>
      </c>
      <c r="AD1891">
        <v>-1.1047115539569901</v>
      </c>
      <c r="AE1891">
        <v>-1.0832999999999999</v>
      </c>
      <c r="AF1891">
        <v>-1.86118958242581</v>
      </c>
      <c r="AG1891">
        <v>-1.1047115539569901</v>
      </c>
      <c r="AH1891">
        <v>15.0551072384433</v>
      </c>
      <c r="AI1891">
        <v>94.165125716097705</v>
      </c>
      <c r="AJ1891">
        <v>97.047440905945905</v>
      </c>
      <c r="AK1891">
        <v>15.209887186965</v>
      </c>
    </row>
    <row r="1892" spans="1:37" x14ac:dyDescent="0.2">
      <c r="A1892" t="str">
        <f>"20200111160143524"</f>
        <v>20200111160143524</v>
      </c>
      <c r="B1892" t="str">
        <f>"1578729703513099"</f>
        <v>1578729703513099</v>
      </c>
      <c r="C1892" t="s">
        <v>37</v>
      </c>
      <c r="D1892">
        <v>4.6167989999999897</v>
      </c>
      <c r="E1892">
        <v>0.48092940000000001</v>
      </c>
      <c r="F1892" t="s">
        <v>54</v>
      </c>
      <c r="G1892">
        <v>-473.00920000000002</v>
      </c>
      <c r="H1892" s="1">
        <v>5.3384679999999998E-6</v>
      </c>
      <c r="I1892">
        <v>285.28879999999998</v>
      </c>
      <c r="J1892">
        <v>-457.80290000000002</v>
      </c>
      <c r="K1892">
        <v>1.1047119999999999</v>
      </c>
      <c r="L1892">
        <v>286.39150000000001</v>
      </c>
      <c r="M1892">
        <v>-0.99856650000000002</v>
      </c>
      <c r="N1892">
        <v>0</v>
      </c>
      <c r="O1892">
        <v>5.1703489999999998E-2</v>
      </c>
      <c r="P1892">
        <v>-0.99945439999999997</v>
      </c>
      <c r="Q1892">
        <v>2.6702879999999998E-2</v>
      </c>
      <c r="R1892">
        <v>-1.9445960000000002E-2</v>
      </c>
      <c r="S1892">
        <v>-3.0036320000000001</v>
      </c>
      <c r="T1892">
        <v>-0.21473819999999999</v>
      </c>
      <c r="U1892">
        <v>-0.21191409999999999</v>
      </c>
      <c r="V1892">
        <v>-7.1110229999999996E-2</v>
      </c>
      <c r="W1892">
        <v>4.0489869999999997E-2</v>
      </c>
      <c r="X1892">
        <v>0.99664629999999998</v>
      </c>
      <c r="Y1892">
        <v>-0.1214237</v>
      </c>
      <c r="Z1892">
        <v>-8.0175239999999998E-3</v>
      </c>
      <c r="AA1892">
        <v>0.99256840000000002</v>
      </c>
      <c r="AB1892">
        <v>25</v>
      </c>
      <c r="AC1892">
        <v>-15.206300000000001</v>
      </c>
      <c r="AD1892">
        <v>-1.104706661532</v>
      </c>
      <c r="AE1892">
        <v>-1.10270000000002</v>
      </c>
      <c r="AF1892">
        <v>-1.8776610396676201</v>
      </c>
      <c r="AG1892">
        <v>-1.104706661532</v>
      </c>
      <c r="AH1892">
        <v>15.049924587026499</v>
      </c>
      <c r="AI1892">
        <v>94.165959252220603</v>
      </c>
      <c r="AJ1892">
        <v>97.111598154234997</v>
      </c>
      <c r="AK1892">
        <v>15.2067819693419</v>
      </c>
    </row>
    <row r="1893" spans="1:37" x14ac:dyDescent="0.2">
      <c r="A1893" t="str">
        <f>"20200111160143547"</f>
        <v>20200111160143547</v>
      </c>
      <c r="B1893" t="str">
        <f>"1578729703543355"</f>
        <v>1578729703543355</v>
      </c>
      <c r="C1893" t="s">
        <v>37</v>
      </c>
      <c r="D1893">
        <v>4.5942169999999898</v>
      </c>
      <c r="E1893">
        <v>0.48094179999999997</v>
      </c>
      <c r="F1893" t="s">
        <v>54</v>
      </c>
      <c r="G1893">
        <v>-473.10730000000001</v>
      </c>
      <c r="H1893" s="1">
        <v>5.2950609999999902E-6</v>
      </c>
      <c r="I1893">
        <v>285.29000000000002</v>
      </c>
      <c r="J1893">
        <v>-458.04770000000002</v>
      </c>
      <c r="K1893">
        <v>1.1047100000000001</v>
      </c>
      <c r="L1893">
        <v>286.404</v>
      </c>
      <c r="M1893">
        <v>-0.9985754</v>
      </c>
      <c r="N1893">
        <v>0</v>
      </c>
      <c r="O1893">
        <v>5.153377E-2</v>
      </c>
      <c r="P1893">
        <v>-0.99946029999999997</v>
      </c>
      <c r="Q1893">
        <v>2.612155E-2</v>
      </c>
      <c r="R1893">
        <v>-1.9921959999999999E-2</v>
      </c>
      <c r="S1893">
        <v>-3.0032040000000002</v>
      </c>
      <c r="T1893">
        <v>-0.21677840000000001</v>
      </c>
      <c r="U1893">
        <v>-0.21615599999999999</v>
      </c>
      <c r="V1893">
        <v>-7.1416060000000003E-2</v>
      </c>
      <c r="W1893">
        <v>3.9905749999999997E-2</v>
      </c>
      <c r="X1893">
        <v>0.99664799999999998</v>
      </c>
      <c r="Y1893">
        <v>-0.12264849999999999</v>
      </c>
      <c r="Z1893">
        <v>-8.1261440000000001E-3</v>
      </c>
      <c r="AA1893">
        <v>0.99241689999999905</v>
      </c>
      <c r="AB1893">
        <v>25</v>
      </c>
      <c r="AC1893">
        <v>-15.0595999999999</v>
      </c>
      <c r="AD1893">
        <v>-1.104704704939</v>
      </c>
      <c r="AE1893">
        <v>-1.1139999999999699</v>
      </c>
      <c r="AF1893">
        <v>-1.8786178642593401</v>
      </c>
      <c r="AG1893">
        <v>-1.104704704939</v>
      </c>
      <c r="AH1893">
        <v>14.9024176763875</v>
      </c>
      <c r="AI1893">
        <v>94.206367592955303</v>
      </c>
      <c r="AJ1893">
        <v>97.184879946330099</v>
      </c>
      <c r="AK1893">
        <v>15.0609305876674</v>
      </c>
    </row>
    <row r="1894" spans="1:37" x14ac:dyDescent="0.2">
      <c r="A1894" t="str">
        <f>"20200111160143570"</f>
        <v>20200111160143570</v>
      </c>
      <c r="B1894" t="str">
        <f>"1578729703562875"</f>
        <v>1578729703562875</v>
      </c>
      <c r="C1894" t="s">
        <v>37</v>
      </c>
      <c r="D1894">
        <v>4.5528849999999998</v>
      </c>
      <c r="E1894">
        <v>0.48099890000000001</v>
      </c>
      <c r="F1894" t="s">
        <v>54</v>
      </c>
      <c r="G1894">
        <v>-473.33240000000001</v>
      </c>
      <c r="H1894" s="1">
        <v>5.1956410000000004E-6</v>
      </c>
      <c r="I1894">
        <v>285.2946</v>
      </c>
      <c r="J1894">
        <v>-458.29989999999998</v>
      </c>
      <c r="K1894">
        <v>1.1047100000000001</v>
      </c>
      <c r="L1894">
        <v>286.41680000000002</v>
      </c>
      <c r="M1894">
        <v>-0.99858429999999998</v>
      </c>
      <c r="N1894">
        <v>0</v>
      </c>
      <c r="O1894">
        <v>5.1359099999999998E-2</v>
      </c>
      <c r="P1894">
        <v>-0.99947629999999998</v>
      </c>
      <c r="Q1894">
        <v>2.5776569999999999E-2</v>
      </c>
      <c r="R1894">
        <v>-1.9558579999999999E-2</v>
      </c>
      <c r="S1894">
        <v>-3.0029300000000001</v>
      </c>
      <c r="T1894">
        <v>-0.21703729999999999</v>
      </c>
      <c r="U1894">
        <v>-0.2179565</v>
      </c>
      <c r="V1894">
        <v>-7.0879529999999996E-2</v>
      </c>
      <c r="W1894">
        <v>3.9558879999999998E-2</v>
      </c>
      <c r="X1894">
        <v>0.99670020000000004</v>
      </c>
      <c r="Y1894">
        <v>-0.1230716</v>
      </c>
      <c r="Z1894">
        <v>-8.1390649999999991E-3</v>
      </c>
      <c r="AA1894">
        <v>0.99236440000000004</v>
      </c>
      <c r="AB1894">
        <v>25</v>
      </c>
      <c r="AC1894">
        <v>-15.032500000000001</v>
      </c>
      <c r="AD1894">
        <v>-1.104704804359</v>
      </c>
      <c r="AE1894">
        <v>-1.1222000000000201</v>
      </c>
      <c r="AF1894">
        <v>-1.8827370710807501</v>
      </c>
      <c r="AG1894">
        <v>-1.104704804359</v>
      </c>
      <c r="AH1894">
        <v>14.875129144396301</v>
      </c>
      <c r="AI1894">
        <v>94.213791521209103</v>
      </c>
      <c r="AJ1894">
        <v>97.213539205405397</v>
      </c>
      <c r="AK1894">
        <v>15.0344450727675</v>
      </c>
    </row>
    <row r="1895" spans="1:37" x14ac:dyDescent="0.2">
      <c r="A1895" t="str">
        <f>"20200111160143592"</f>
        <v>20200111160143592</v>
      </c>
      <c r="B1895" t="str">
        <f>"1578729703583372"</f>
        <v>1578729703583372</v>
      </c>
      <c r="C1895" t="s">
        <v>37</v>
      </c>
      <c r="D1895">
        <v>4.6737890000000002</v>
      </c>
      <c r="E1895">
        <v>0.48115779999999903</v>
      </c>
      <c r="F1895" t="s">
        <v>54</v>
      </c>
      <c r="G1895">
        <v>-473.58440000000002</v>
      </c>
      <c r="H1895" s="1">
        <v>5.0856790000000003E-6</v>
      </c>
      <c r="I1895">
        <v>285.31509999999997</v>
      </c>
      <c r="J1895">
        <v>-458.54360000000003</v>
      </c>
      <c r="K1895">
        <v>1.1047039999999999</v>
      </c>
      <c r="L1895">
        <v>286.42919999999998</v>
      </c>
      <c r="M1895">
        <v>-0.99859310000000001</v>
      </c>
      <c r="N1895">
        <v>0</v>
      </c>
      <c r="O1895">
        <v>5.1190029999999997E-2</v>
      </c>
      <c r="P1895">
        <v>-0.99952299999999905</v>
      </c>
      <c r="Q1895">
        <v>2.5091329999999998E-2</v>
      </c>
      <c r="R1895">
        <v>-1.800823E-2</v>
      </c>
      <c r="S1895">
        <v>-3.0029300000000001</v>
      </c>
      <c r="T1895">
        <v>-0.21704009999999899</v>
      </c>
      <c r="U1895">
        <v>-0.21646119999999999</v>
      </c>
      <c r="V1895">
        <v>-6.9164160000000002E-2</v>
      </c>
      <c r="W1895">
        <v>3.8873240000000003E-2</v>
      </c>
      <c r="X1895">
        <v>0.99684759999999994</v>
      </c>
      <c r="Y1895">
        <v>-0.1224141</v>
      </c>
      <c r="Z1895">
        <v>-8.1034149999999992E-3</v>
      </c>
      <c r="AA1895">
        <v>0.99244599999999905</v>
      </c>
      <c r="AB1895">
        <v>25</v>
      </c>
      <c r="AC1895">
        <v>-15.0407999999999</v>
      </c>
      <c r="AD1895">
        <v>-1.104698914321</v>
      </c>
      <c r="AE1895">
        <v>-1.1141000000000001</v>
      </c>
      <c r="AF1895">
        <v>-1.8726052297860001</v>
      </c>
      <c r="AG1895">
        <v>-1.104698914321</v>
      </c>
      <c r="AH1895">
        <v>14.884186771217299</v>
      </c>
      <c r="AI1895">
        <v>94.211609067459804</v>
      </c>
      <c r="AJ1895">
        <v>97.170804731166697</v>
      </c>
      <c r="AK1895">
        <v>15.042141665281701</v>
      </c>
    </row>
    <row r="1896" spans="1:37" x14ac:dyDescent="0.2">
      <c r="A1896" t="str">
        <f>"20200111160143614"</f>
        <v>20200111160143614</v>
      </c>
      <c r="B1896" t="str">
        <f>"1578729703602891"</f>
        <v>1578729703602891</v>
      </c>
      <c r="C1896" t="s">
        <v>37</v>
      </c>
      <c r="D1896">
        <v>4.5215189999999996</v>
      </c>
      <c r="E1896">
        <v>0.48127559999999903</v>
      </c>
      <c r="F1896" t="s">
        <v>54</v>
      </c>
      <c r="G1896">
        <v>-473.7534</v>
      </c>
      <c r="H1896" s="1">
        <v>5.0149820000000002E-6</v>
      </c>
      <c r="I1896">
        <v>285.3639</v>
      </c>
      <c r="J1896">
        <v>-458.78219999999999</v>
      </c>
      <c r="K1896">
        <v>1.104697</v>
      </c>
      <c r="L1896">
        <v>286.44119999999998</v>
      </c>
      <c r="M1896">
        <v>-0.99860170000000004</v>
      </c>
      <c r="N1896">
        <v>0</v>
      </c>
      <c r="O1896">
        <v>5.1024189999999997E-2</v>
      </c>
      <c r="P1896">
        <v>-0.99956699999999998</v>
      </c>
      <c r="Q1896">
        <v>2.4321760000000001E-2</v>
      </c>
      <c r="R1896">
        <v>-1.6572509999999999E-2</v>
      </c>
      <c r="S1896">
        <v>-3.0031129999999999</v>
      </c>
      <c r="T1896">
        <v>-0.21811849999999999</v>
      </c>
      <c r="U1896">
        <v>-0.21032709999999999</v>
      </c>
      <c r="V1896">
        <v>-6.7567050000000003E-2</v>
      </c>
      <c r="W1896">
        <v>3.8103720000000001E-2</v>
      </c>
      <c r="X1896">
        <v>0.99698690000000001</v>
      </c>
      <c r="Y1896">
        <v>-0.120229399999999</v>
      </c>
      <c r="Z1896">
        <v>-8.052465E-3</v>
      </c>
      <c r="AA1896">
        <v>0.99271350000000003</v>
      </c>
      <c r="AB1896">
        <v>25</v>
      </c>
      <c r="AC1896">
        <v>-14.9712</v>
      </c>
      <c r="AD1896">
        <v>-1.1046919850179999</v>
      </c>
      <c r="AE1896">
        <v>-1.0772999999999699</v>
      </c>
      <c r="AF1896">
        <v>-1.82995074399647</v>
      </c>
      <c r="AG1896">
        <v>-1.1046919850179999</v>
      </c>
      <c r="AH1896">
        <v>14.8164666609302</v>
      </c>
      <c r="AI1896">
        <v>94.231954736563196</v>
      </c>
      <c r="AJ1896">
        <v>97.040825395831007</v>
      </c>
      <c r="AK1896">
        <v>14.969861336087</v>
      </c>
    </row>
    <row r="1897" spans="1:37" x14ac:dyDescent="0.2">
      <c r="A1897" t="str">
        <f>"20200111160143638"</f>
        <v>20200111160143638</v>
      </c>
      <c r="B1897" t="str">
        <f>"1578729703633147"</f>
        <v>1578729703633147</v>
      </c>
      <c r="C1897" t="s">
        <v>37</v>
      </c>
      <c r="D1897">
        <v>4.5106989999999998</v>
      </c>
      <c r="E1897">
        <v>0.48139470000000001</v>
      </c>
      <c r="F1897" t="s">
        <v>54</v>
      </c>
      <c r="G1897">
        <v>-473.86900000000003</v>
      </c>
      <c r="H1897" s="1">
        <v>4.9678769999999999E-6</v>
      </c>
      <c r="I1897">
        <v>285.41120000000001</v>
      </c>
      <c r="J1897">
        <v>-459.03960000000001</v>
      </c>
      <c r="K1897">
        <v>1.104697</v>
      </c>
      <c r="L1897">
        <v>286.45409999999998</v>
      </c>
      <c r="M1897">
        <v>-0.99861080000000002</v>
      </c>
      <c r="N1897">
        <v>0</v>
      </c>
      <c r="O1897">
        <v>5.0845540000000002E-2</v>
      </c>
      <c r="P1897">
        <v>-0.99960349999999998</v>
      </c>
      <c r="Q1897">
        <v>2.3440949999999999E-2</v>
      </c>
      <c r="R1897">
        <v>-1.5615550000000001E-2</v>
      </c>
      <c r="S1897">
        <v>-3.0032649999999999</v>
      </c>
      <c r="T1897">
        <v>-0.21990749999999901</v>
      </c>
      <c r="U1897">
        <v>-0.2050476</v>
      </c>
      <c r="V1897">
        <v>-6.6434439999999997E-2</v>
      </c>
      <c r="W1897">
        <v>3.722172E-2</v>
      </c>
      <c r="X1897">
        <v>0.99709629999999905</v>
      </c>
      <c r="Y1897">
        <v>-0.1183094</v>
      </c>
      <c r="Z1897">
        <v>-8.0352050000000001E-3</v>
      </c>
      <c r="AA1897">
        <v>0.99294419999999906</v>
      </c>
      <c r="AB1897">
        <v>25</v>
      </c>
      <c r="AC1897">
        <v>-14.8294</v>
      </c>
      <c r="AD1897">
        <v>-1.104692032123</v>
      </c>
      <c r="AE1897">
        <v>-1.04289999999997</v>
      </c>
      <c r="AF1897">
        <v>-1.78577078509806</v>
      </c>
      <c r="AG1897">
        <v>-1.104692032123</v>
      </c>
      <c r="AH1897">
        <v>14.676142092890499</v>
      </c>
      <c r="AI1897">
        <v>94.273209826743596</v>
      </c>
      <c r="AJ1897">
        <v>96.937559611999902</v>
      </c>
      <c r="AK1897">
        <v>14.8256017926241</v>
      </c>
    </row>
    <row r="1898" spans="1:37" x14ac:dyDescent="0.2">
      <c r="A1898" t="str">
        <f>"20200111160143663"</f>
        <v>20200111160143663</v>
      </c>
      <c r="B1898" t="str">
        <f>"1578729703653643"</f>
        <v>1578729703653643</v>
      </c>
      <c r="C1898" t="s">
        <v>37</v>
      </c>
      <c r="D1898">
        <v>4.5857599999999996</v>
      </c>
      <c r="E1898">
        <v>0.48132069999999999</v>
      </c>
      <c r="F1898" t="s">
        <v>54</v>
      </c>
      <c r="G1898">
        <v>-474.00990000000002</v>
      </c>
      <c r="H1898" s="1">
        <v>4.9090089999999902E-6</v>
      </c>
      <c r="I1898">
        <v>285.45299999999997</v>
      </c>
      <c r="J1898">
        <v>-459.31830000000002</v>
      </c>
      <c r="K1898">
        <v>1.1046899999999999</v>
      </c>
      <c r="L1898">
        <v>286.46809999999999</v>
      </c>
      <c r="M1898">
        <v>-0.99862070000000003</v>
      </c>
      <c r="N1898">
        <v>0</v>
      </c>
      <c r="O1898">
        <v>5.0652269999999999E-2</v>
      </c>
      <c r="P1898">
        <v>-0.99961909999999898</v>
      </c>
      <c r="Q1898">
        <v>2.2682339999999999E-2</v>
      </c>
      <c r="R1898">
        <v>-1.573136E-2</v>
      </c>
      <c r="S1898">
        <v>-3.0032349999999899</v>
      </c>
      <c r="T1898">
        <v>-0.22161520000000001</v>
      </c>
      <c r="U1898">
        <v>-0.20083619999999999</v>
      </c>
      <c r="V1898">
        <v>-6.6357860000000005E-2</v>
      </c>
      <c r="W1898">
        <v>3.6460729999999997E-2</v>
      </c>
      <c r="X1898">
        <v>0.9971295</v>
      </c>
      <c r="Y1898">
        <v>-0.116729399999999</v>
      </c>
      <c r="Z1898">
        <v>-8.0254850000000006E-3</v>
      </c>
      <c r="AA1898">
        <v>0.99313130000000005</v>
      </c>
      <c r="AB1898">
        <v>25</v>
      </c>
      <c r="AC1898">
        <v>-14.6915999999999</v>
      </c>
      <c r="AD1898">
        <v>-1.104685090991</v>
      </c>
      <c r="AE1898">
        <v>-1.0151000000000101</v>
      </c>
      <c r="AF1898">
        <v>-1.7481937628951001</v>
      </c>
      <c r="AG1898">
        <v>-1.104685090991</v>
      </c>
      <c r="AH1898">
        <v>14.539502929323</v>
      </c>
      <c r="AI1898">
        <v>94.3139288998495</v>
      </c>
      <c r="AJ1898">
        <v>96.856188698682303</v>
      </c>
      <c r="AK1898">
        <v>14.685831812147301</v>
      </c>
    </row>
    <row r="1899" spans="1:37" x14ac:dyDescent="0.2">
      <c r="A1899" t="str">
        <f>"20200111160143703"</f>
        <v>20200111160143703</v>
      </c>
      <c r="B1899" t="str">
        <f>"1578729703692682"</f>
        <v>1578729703692682</v>
      </c>
      <c r="C1899" t="s">
        <v>37</v>
      </c>
      <c r="D1899">
        <v>4.6477319999999898</v>
      </c>
      <c r="E1899">
        <v>0.48117070000000001</v>
      </c>
      <c r="F1899" t="s">
        <v>54</v>
      </c>
      <c r="G1899">
        <v>-474.19490000000002</v>
      </c>
      <c r="H1899" s="1">
        <v>4.8283960000000001E-6</v>
      </c>
      <c r="I1899">
        <v>285.46899999999999</v>
      </c>
      <c r="J1899">
        <v>-459.75389999999999</v>
      </c>
      <c r="K1899">
        <v>1.1046899999999999</v>
      </c>
      <c r="L1899">
        <v>286.4898</v>
      </c>
      <c r="M1899">
        <v>-0.99863599999999997</v>
      </c>
      <c r="N1899">
        <v>0</v>
      </c>
      <c r="O1899">
        <v>5.0350369999999998E-2</v>
      </c>
      <c r="P1899">
        <v>-0.99958089999999999</v>
      </c>
      <c r="Q1899">
        <v>2.146702E-2</v>
      </c>
      <c r="R1899">
        <v>-1.9428000000000001E-2</v>
      </c>
      <c r="S1899">
        <v>-3.0030519999999998</v>
      </c>
      <c r="T1899">
        <v>-0.22299659999999999</v>
      </c>
      <c r="U1899">
        <v>-0.2016907</v>
      </c>
      <c r="V1899">
        <v>-6.9746340000000004E-2</v>
      </c>
      <c r="W1899">
        <v>3.523747E-2</v>
      </c>
      <c r="X1899">
        <v>0.996942199999999</v>
      </c>
      <c r="Y1899">
        <v>-0.1167097</v>
      </c>
      <c r="Z1899">
        <v>-8.0527029999999996E-3</v>
      </c>
      <c r="AA1899">
        <v>0.99313340000000006</v>
      </c>
      <c r="AB1899">
        <v>24</v>
      </c>
      <c r="AC1899">
        <v>-14.441000000000001</v>
      </c>
      <c r="AD1899">
        <v>-1.104685171604</v>
      </c>
      <c r="AE1899">
        <v>-1.0207999999999999</v>
      </c>
      <c r="AF1899">
        <v>-1.73657273115399</v>
      </c>
      <c r="AG1899">
        <v>-1.104685171604</v>
      </c>
      <c r="AH1899">
        <v>14.2880832287409</v>
      </c>
      <c r="AI1899">
        <v>94.388866514446704</v>
      </c>
      <c r="AJ1899">
        <v>96.929736874342396</v>
      </c>
      <c r="AK1899">
        <v>14.4355580609264</v>
      </c>
    </row>
    <row r="1900" spans="1:37" x14ac:dyDescent="0.2">
      <c r="A1900" t="str">
        <f>"20200111160143725"</f>
        <v>20200111160143725</v>
      </c>
      <c r="B1900" t="str">
        <f>"1578729703722939"</f>
        <v>1578729703722939</v>
      </c>
      <c r="C1900" t="s">
        <v>37</v>
      </c>
      <c r="D1900">
        <v>4.6233750000000002</v>
      </c>
      <c r="E1900">
        <v>0.48141919999999999</v>
      </c>
      <c r="F1900" t="s">
        <v>54</v>
      </c>
      <c r="G1900">
        <v>-474.62619999999998</v>
      </c>
      <c r="H1900" s="1">
        <v>4.6338539999999998E-6</v>
      </c>
      <c r="I1900">
        <v>285.43169999999998</v>
      </c>
      <c r="J1900">
        <v>-460.00029999999998</v>
      </c>
      <c r="K1900">
        <v>1.1046879999999999</v>
      </c>
      <c r="L1900">
        <v>286.50200000000001</v>
      </c>
      <c r="M1900">
        <v>-0.99864449999999905</v>
      </c>
      <c r="N1900">
        <v>0</v>
      </c>
      <c r="O1900">
        <v>5.0179580000000001E-2</v>
      </c>
      <c r="P1900">
        <v>-0.99953320000000001</v>
      </c>
      <c r="Q1900">
        <v>2.135196E-2</v>
      </c>
      <c r="R1900">
        <v>-2.185548E-2</v>
      </c>
      <c r="S1900">
        <v>-3.0018919999999998</v>
      </c>
      <c r="T1900">
        <v>-0.22297429999999999</v>
      </c>
      <c r="U1900">
        <v>-0.213562</v>
      </c>
      <c r="V1900">
        <v>-7.199738E-2</v>
      </c>
      <c r="W1900">
        <v>3.5117379999999997E-2</v>
      </c>
      <c r="X1900">
        <v>0.99678639999999996</v>
      </c>
      <c r="Y1900">
        <v>-0.1204635</v>
      </c>
      <c r="Z1900">
        <v>-8.1803869999999904E-3</v>
      </c>
      <c r="AA1900">
        <v>0.99268409999999996</v>
      </c>
      <c r="AB1900">
        <v>24</v>
      </c>
      <c r="AC1900">
        <v>-14.6259</v>
      </c>
      <c r="AD1900">
        <v>-1.1046833661459901</v>
      </c>
      <c r="AE1900">
        <v>-1.07030000000003</v>
      </c>
      <c r="AF1900">
        <v>-1.7927703865328</v>
      </c>
      <c r="AG1900">
        <v>-1.1046833661459901</v>
      </c>
      <c r="AH1900">
        <v>14.4716424056165</v>
      </c>
      <c r="AI1900">
        <v>94.332182336056604</v>
      </c>
      <c r="AJ1900">
        <v>97.061914594207195</v>
      </c>
      <c r="AK1900">
        <v>14.624048171224899</v>
      </c>
    </row>
    <row r="1901" spans="1:37" x14ac:dyDescent="0.2">
      <c r="A1901" t="str">
        <f>"20200111160143752"</f>
        <v>20200111160143752</v>
      </c>
      <c r="B1901" t="str">
        <f>"1578729703743435"</f>
        <v>1578729703743435</v>
      </c>
      <c r="C1901" t="s">
        <v>37</v>
      </c>
      <c r="D1901">
        <v>4.5657819999999996</v>
      </c>
      <c r="E1901">
        <v>0.48147869999999998</v>
      </c>
      <c r="F1901" t="s">
        <v>54</v>
      </c>
      <c r="G1901">
        <v>-474.83089999999999</v>
      </c>
      <c r="H1901" s="1">
        <v>4.5421019999999997E-6</v>
      </c>
      <c r="I1901">
        <v>285.42039999999997</v>
      </c>
      <c r="J1901">
        <v>-460.279</v>
      </c>
      <c r="K1901">
        <v>1.1046899999999999</v>
      </c>
      <c r="L1901">
        <v>286.51580000000001</v>
      </c>
      <c r="M1901">
        <v>-0.99865439999999905</v>
      </c>
      <c r="N1901">
        <v>0</v>
      </c>
      <c r="O1901">
        <v>4.9984510000000003E-2</v>
      </c>
      <c r="P1901">
        <v>-0.99948869999999901</v>
      </c>
      <c r="Q1901">
        <v>2.206431E-2</v>
      </c>
      <c r="R1901">
        <v>-2.3145079999999998E-2</v>
      </c>
      <c r="S1901">
        <v>-3.001404</v>
      </c>
      <c r="T1901">
        <v>-0.2235645</v>
      </c>
      <c r="U1901">
        <v>-0.218902599999999</v>
      </c>
      <c r="V1901">
        <v>-7.3088230000000004E-2</v>
      </c>
      <c r="W1901">
        <v>3.5825040000000002E-2</v>
      </c>
      <c r="X1901">
        <v>0.99668179999999995</v>
      </c>
      <c r="Y1901">
        <v>-0.12203170000000001</v>
      </c>
      <c r="Z1901">
        <v>-8.2465839999999995E-3</v>
      </c>
      <c r="AA1901">
        <v>0.99249200000000004</v>
      </c>
      <c r="AB1901">
        <v>24</v>
      </c>
      <c r="AC1901">
        <v>-14.5518999999999</v>
      </c>
      <c r="AD1901">
        <v>-1.1046854578980001</v>
      </c>
      <c r="AE1901">
        <v>-1.0954000000000399</v>
      </c>
      <c r="AF1901">
        <v>-1.8110912696278501</v>
      </c>
      <c r="AG1901">
        <v>-1.1046854578980001</v>
      </c>
      <c r="AH1901">
        <v>14.396451055733801</v>
      </c>
      <c r="AI1901">
        <v>94.353706817082596</v>
      </c>
      <c r="AJ1901">
        <v>97.170212792113702</v>
      </c>
      <c r="AK1901">
        <v>14.551913432533601</v>
      </c>
    </row>
    <row r="1902" spans="1:37" x14ac:dyDescent="0.2">
      <c r="A1902" t="str">
        <f>"20200111160143772"</f>
        <v>20200111160143772</v>
      </c>
      <c r="B1902" t="str">
        <f>"1578729703762956"</f>
        <v>1578729703762956</v>
      </c>
      <c r="C1902" t="s">
        <v>37</v>
      </c>
      <c r="D1902">
        <v>4.709943</v>
      </c>
      <c r="E1902">
        <v>0.48146809999999901</v>
      </c>
      <c r="F1902" t="s">
        <v>54</v>
      </c>
      <c r="G1902">
        <v>-475.31439999999998</v>
      </c>
      <c r="H1902" s="1">
        <v>4.3261769999999998E-6</v>
      </c>
      <c r="I1902">
        <v>285.40300000000002</v>
      </c>
      <c r="J1902">
        <v>-460.50650000000002</v>
      </c>
      <c r="K1902">
        <v>1.1046860000000001</v>
      </c>
      <c r="L1902">
        <v>286.52699999999999</v>
      </c>
      <c r="M1902">
        <v>-0.99866279999999996</v>
      </c>
      <c r="N1902">
        <v>0</v>
      </c>
      <c r="O1902">
        <v>4.9818069999999999E-2</v>
      </c>
      <c r="P1902">
        <v>-0.99943349999999898</v>
      </c>
      <c r="Q1902">
        <v>2.3769829999999999E-2</v>
      </c>
      <c r="R1902">
        <v>-2.3834029999999999E-2</v>
      </c>
      <c r="S1902">
        <v>-3.0012509999999999</v>
      </c>
      <c r="T1902">
        <v>-0.22050900000000001</v>
      </c>
      <c r="U1902">
        <v>-0.22213749999999999</v>
      </c>
      <c r="V1902">
        <v>-7.3608300000000002E-2</v>
      </c>
      <c r="W1902">
        <v>3.7526690000000001E-2</v>
      </c>
      <c r="X1902">
        <v>0.99658099999999905</v>
      </c>
      <c r="Y1902">
        <v>-0.12294480000000001</v>
      </c>
      <c r="Z1902">
        <v>-8.1555529999999994E-3</v>
      </c>
      <c r="AA1902">
        <v>0.99237999999999904</v>
      </c>
      <c r="AB1902">
        <v>24</v>
      </c>
      <c r="AC1902">
        <v>-14.807899999999901</v>
      </c>
      <c r="AD1902">
        <v>-1.1046816738230001</v>
      </c>
      <c r="AE1902">
        <v>-1.1239999999999599</v>
      </c>
      <c r="AF1902">
        <v>-1.85013788976613</v>
      </c>
      <c r="AG1902">
        <v>-1.1046816738230001</v>
      </c>
      <c r="AH1902">
        <v>14.652430998299501</v>
      </c>
      <c r="AI1902">
        <v>94.277670252952404</v>
      </c>
      <c r="AJ1902">
        <v>97.196556704971997</v>
      </c>
      <c r="AK1902">
        <v>14.8100326121031</v>
      </c>
    </row>
    <row r="1903" spans="1:37" x14ac:dyDescent="0.2">
      <c r="A1903" t="str">
        <f>"20200111160143795"</f>
        <v>20200111160143795</v>
      </c>
      <c r="B1903" t="str">
        <f>"1578729703783452"</f>
        <v>1578729703783452</v>
      </c>
      <c r="C1903" t="s">
        <v>37</v>
      </c>
      <c r="D1903">
        <v>4.7235069999999997</v>
      </c>
      <c r="E1903">
        <v>0.4813981</v>
      </c>
      <c r="F1903" t="s">
        <v>54</v>
      </c>
      <c r="G1903">
        <v>-475.98610000000002</v>
      </c>
      <c r="H1903" s="1">
        <v>4.0253259999999997E-6</v>
      </c>
      <c r="I1903">
        <v>285.3689</v>
      </c>
      <c r="J1903">
        <v>-460.74810000000002</v>
      </c>
      <c r="K1903">
        <v>1.1046940000000001</v>
      </c>
      <c r="L1903">
        <v>286.53879999999998</v>
      </c>
      <c r="M1903">
        <v>-0.998671999999999</v>
      </c>
      <c r="N1903">
        <v>0</v>
      </c>
      <c r="O1903">
        <v>4.9633099999999999E-2</v>
      </c>
      <c r="P1903">
        <v>-0.99938259999999901</v>
      </c>
      <c r="Q1903">
        <v>2.5785349999999999E-2</v>
      </c>
      <c r="R1903">
        <v>-2.3862870000000001E-2</v>
      </c>
      <c r="S1903">
        <v>-3.001465</v>
      </c>
      <c r="T1903">
        <v>-0.21419629999999901</v>
      </c>
      <c r="U1903">
        <v>-0.22454829999999901</v>
      </c>
      <c r="V1903">
        <v>-7.3451009999999997E-2</v>
      </c>
      <c r="W1903">
        <v>3.953839E-2</v>
      </c>
      <c r="X1903">
        <v>0.99651469999999898</v>
      </c>
      <c r="Y1903">
        <v>-0.12357360000000001</v>
      </c>
      <c r="Z1903">
        <v>-7.9311069999999997E-3</v>
      </c>
      <c r="AA1903">
        <v>0.99230370000000001</v>
      </c>
      <c r="AB1903">
        <v>24</v>
      </c>
      <c r="AC1903">
        <v>-15.238</v>
      </c>
      <c r="AD1903">
        <v>-1.104689974674</v>
      </c>
      <c r="AE1903">
        <v>-1.16989999999998</v>
      </c>
      <c r="AF1903">
        <v>-1.91483448905187</v>
      </c>
      <c r="AG1903">
        <v>-1.104689974674</v>
      </c>
      <c r="AH1903">
        <v>15.082341822102499</v>
      </c>
      <c r="AI1903">
        <v>94.155846809782602</v>
      </c>
      <c r="AJ1903">
        <v>97.235488200650906</v>
      </c>
      <c r="AK1903">
        <v>15.243489295412299</v>
      </c>
    </row>
    <row r="1904" spans="1:37" x14ac:dyDescent="0.2">
      <c r="A1904" t="str">
        <f>"20200111160143816"</f>
        <v>20200111160143816</v>
      </c>
      <c r="B1904" t="str">
        <f>"1578729703812731"</f>
        <v>1578729703812731</v>
      </c>
      <c r="C1904" t="s">
        <v>37</v>
      </c>
      <c r="D1904">
        <v>4.793183</v>
      </c>
      <c r="E1904">
        <v>0.48120649999999998</v>
      </c>
      <c r="F1904" t="s">
        <v>54</v>
      </c>
      <c r="G1904">
        <v>-476.68979999999999</v>
      </c>
      <c r="H1904" s="1">
        <v>3.711125E-6</v>
      </c>
      <c r="I1904">
        <v>285.34440000000001</v>
      </c>
      <c r="J1904">
        <v>-460.98410000000001</v>
      </c>
      <c r="K1904">
        <v>1.1047009999999999</v>
      </c>
      <c r="L1904">
        <v>286.55040000000002</v>
      </c>
      <c r="M1904">
        <v>-0.99868179999999995</v>
      </c>
      <c r="N1904">
        <v>0</v>
      </c>
      <c r="O1904">
        <v>4.9434220000000001E-2</v>
      </c>
      <c r="P1904">
        <v>-0.99938259999999901</v>
      </c>
      <c r="Q1904">
        <v>2.698822E-2</v>
      </c>
      <c r="R1904">
        <v>-2.249833E-2</v>
      </c>
      <c r="S1904">
        <v>-3.001862</v>
      </c>
      <c r="T1904">
        <v>-0.2080159</v>
      </c>
      <c r="U1904">
        <v>-0.22491459999999999</v>
      </c>
      <c r="V1904">
        <v>-7.1891239999999995E-2</v>
      </c>
      <c r="W1904">
        <v>4.0738099999999999E-2</v>
      </c>
      <c r="X1904">
        <v>0.99658019999999903</v>
      </c>
      <c r="Y1904">
        <v>-0.1235122</v>
      </c>
      <c r="Z1904">
        <v>-7.6859019999999997E-3</v>
      </c>
      <c r="AA1904">
        <v>0.99231329999999995</v>
      </c>
      <c r="AB1904">
        <v>24</v>
      </c>
      <c r="AC1904">
        <v>-15.705699999999901</v>
      </c>
      <c r="AD1904">
        <v>-1.104697288875</v>
      </c>
      <c r="AE1904">
        <v>-1.20600000000001</v>
      </c>
      <c r="AF1904">
        <v>-1.9713028526418299</v>
      </c>
      <c r="AG1904">
        <v>-1.104697288875</v>
      </c>
      <c r="AH1904">
        <v>15.5503887533543</v>
      </c>
      <c r="AI1904">
        <v>94.031301763979997</v>
      </c>
      <c r="AJ1904">
        <v>97.224775551782798</v>
      </c>
      <c r="AK1904">
        <v>15.7137195284035</v>
      </c>
    </row>
    <row r="1905" spans="1:37" x14ac:dyDescent="0.2">
      <c r="A1905" t="str">
        <f>"20200111160143839"</f>
        <v>20200111160143839</v>
      </c>
      <c r="B1905" t="str">
        <f>"1578729703833226"</f>
        <v>1578729703833226</v>
      </c>
      <c r="C1905" t="s">
        <v>37</v>
      </c>
      <c r="D1905">
        <v>7.6651100000000003</v>
      </c>
      <c r="E1905">
        <v>0.48129110000000003</v>
      </c>
      <c r="F1905" t="s">
        <v>54</v>
      </c>
      <c r="G1905">
        <v>-477.29820000000001</v>
      </c>
      <c r="H1905" s="1">
        <v>3.440923E-6</v>
      </c>
      <c r="I1905">
        <v>285.34019999999998</v>
      </c>
      <c r="J1905">
        <v>-461.2201</v>
      </c>
      <c r="K1905">
        <v>1.1047149999999999</v>
      </c>
      <c r="L1905">
        <v>286.56180000000001</v>
      </c>
      <c r="M1905">
        <v>-0.99869330000000001</v>
      </c>
      <c r="N1905">
        <v>0</v>
      </c>
      <c r="O1905">
        <v>4.9203289999999997E-2</v>
      </c>
      <c r="P1905">
        <v>-0.99941409999999997</v>
      </c>
      <c r="Q1905">
        <v>2.8533289999999999E-2</v>
      </c>
      <c r="R1905">
        <v>-1.889561E-2</v>
      </c>
      <c r="S1905">
        <v>-3.002319</v>
      </c>
      <c r="T1905">
        <v>-0.2032989</v>
      </c>
      <c r="U1905">
        <v>-0.22271729999999901</v>
      </c>
      <c r="V1905">
        <v>-6.8066650000000006E-2</v>
      </c>
      <c r="W1905">
        <v>4.2281720000000002E-2</v>
      </c>
      <c r="X1905">
        <v>0.99678440000000001</v>
      </c>
      <c r="Y1905">
        <v>-0.1225705</v>
      </c>
      <c r="Z1905">
        <v>-7.4636640000000001E-3</v>
      </c>
      <c r="AA1905">
        <v>0.99243179999999998</v>
      </c>
      <c r="AB1905">
        <v>24</v>
      </c>
      <c r="AC1905">
        <v>-16.078099999999999</v>
      </c>
      <c r="AD1905">
        <v>-1.10471155907699</v>
      </c>
      <c r="AE1905">
        <v>-1.22160000000002</v>
      </c>
      <c r="AF1905">
        <v>-2.0018943913696701</v>
      </c>
      <c r="AG1905">
        <v>-1.10471155907699</v>
      </c>
      <c r="AH1905">
        <v>15.9237661297219</v>
      </c>
      <c r="AI1905">
        <v>93.937640862954595</v>
      </c>
      <c r="AJ1905">
        <v>97.165484092238898</v>
      </c>
      <c r="AK1905">
        <v>16.087084774347201</v>
      </c>
    </row>
    <row r="1906" spans="1:37" x14ac:dyDescent="0.2">
      <c r="A1906" t="str">
        <f>"20200111160143861"</f>
        <v>20200111160143861</v>
      </c>
      <c r="B1906" t="str">
        <f>"1578729703852747"</f>
        <v>1578729703852747</v>
      </c>
      <c r="C1906" t="s">
        <v>37</v>
      </c>
      <c r="D1906">
        <v>4.7796279999999998</v>
      </c>
      <c r="E1906">
        <v>0.48279359999999999</v>
      </c>
      <c r="F1906" t="s">
        <v>54</v>
      </c>
      <c r="G1906">
        <v>-478.11750000000001</v>
      </c>
      <c r="H1906" s="1">
        <v>3.08004599999999E-6</v>
      </c>
      <c r="I1906">
        <v>285.36770000000001</v>
      </c>
      <c r="J1906">
        <v>-461.46699999999998</v>
      </c>
      <c r="K1906">
        <v>1.1047450000000001</v>
      </c>
      <c r="L1906">
        <v>286.57369999999997</v>
      </c>
      <c r="M1906">
        <v>-0.99870769999999998</v>
      </c>
      <c r="N1906">
        <v>0</v>
      </c>
      <c r="O1906">
        <v>4.890978E-2</v>
      </c>
      <c r="P1906">
        <v>-0.99945379999999995</v>
      </c>
      <c r="Q1906">
        <v>2.9766890000000001E-2</v>
      </c>
      <c r="R1906">
        <v>-1.4350369999999999E-2</v>
      </c>
      <c r="S1906">
        <v>-3.0033259999999999</v>
      </c>
      <c r="T1906">
        <v>-0.19635079999999999</v>
      </c>
      <c r="U1906">
        <v>-0.21224979999999999</v>
      </c>
      <c r="V1906">
        <v>-6.3238669999999997E-2</v>
      </c>
      <c r="W1906">
        <v>4.3513209999999997E-2</v>
      </c>
      <c r="X1906">
        <v>0.99704939999999997</v>
      </c>
      <c r="Y1906">
        <v>-0.11884749999999999</v>
      </c>
      <c r="Z1906">
        <v>-7.0669929999999997E-3</v>
      </c>
      <c r="AA1906">
        <v>0.99288739999999998</v>
      </c>
      <c r="AB1906">
        <v>24</v>
      </c>
      <c r="AC1906">
        <v>-16.650500000000001</v>
      </c>
      <c r="AD1906">
        <v>-1.1047419199540001</v>
      </c>
      <c r="AE1906">
        <v>-1.20599999999996</v>
      </c>
      <c r="AF1906">
        <v>-2.0102032830521699</v>
      </c>
      <c r="AG1906">
        <v>-1.1047419199540001</v>
      </c>
      <c r="AH1906">
        <v>16.499324238382499</v>
      </c>
      <c r="AI1906">
        <v>93.802589033127106</v>
      </c>
      <c r="AJ1906">
        <v>96.946423835697601</v>
      </c>
      <c r="AK1906">
        <v>16.658003249854801</v>
      </c>
    </row>
    <row r="1907" spans="1:37" x14ac:dyDescent="0.2">
      <c r="A1907" t="str">
        <f>"20200111160143883"</f>
        <v>20200111160143883</v>
      </c>
      <c r="B1907" t="str">
        <f>"1578729703873243"</f>
        <v>1578729703873243</v>
      </c>
      <c r="C1907" t="s">
        <v>37</v>
      </c>
      <c r="D1907">
        <v>4.833107</v>
      </c>
      <c r="E1907">
        <v>0.4846973</v>
      </c>
      <c r="F1907" t="s">
        <v>54</v>
      </c>
      <c r="G1907">
        <v>-478.73689999999999</v>
      </c>
      <c r="H1907" s="1">
        <v>2.816567E-6</v>
      </c>
      <c r="I1907">
        <v>285.49619999999999</v>
      </c>
      <c r="J1907">
        <v>-461.71179999999998</v>
      </c>
      <c r="K1907">
        <v>1.1047899999999999</v>
      </c>
      <c r="L1907">
        <v>286.58530000000002</v>
      </c>
      <c r="M1907">
        <v>-0.99872549999999904</v>
      </c>
      <c r="N1907">
        <v>0</v>
      </c>
      <c r="O1907">
        <v>4.8547430000000003E-2</v>
      </c>
      <c r="P1907">
        <v>-0.99949249999999901</v>
      </c>
      <c r="Q1907">
        <v>3.0387170000000002E-2</v>
      </c>
      <c r="R1907">
        <v>-9.5644079999999999E-3</v>
      </c>
      <c r="S1907">
        <v>-3.0046689999999998</v>
      </c>
      <c r="T1907">
        <v>-0.19220609999999999</v>
      </c>
      <c r="U1907">
        <v>-0.18746949999999901</v>
      </c>
      <c r="V1907">
        <v>-5.8104490000000002E-2</v>
      </c>
      <c r="W1907">
        <v>4.4130120000000002E-2</v>
      </c>
      <c r="X1907">
        <v>0.99733470000000002</v>
      </c>
      <c r="Y1907">
        <v>-0.11033229999999999</v>
      </c>
      <c r="Z1907">
        <v>-6.6218319999999898E-3</v>
      </c>
      <c r="AA1907">
        <v>0.99387269999999905</v>
      </c>
      <c r="AB1907">
        <v>24</v>
      </c>
      <c r="AC1907">
        <v>-17.025099999999998</v>
      </c>
      <c r="AD1907">
        <v>-1.1047871834330001</v>
      </c>
      <c r="AE1907">
        <v>-1.0891000000000299</v>
      </c>
      <c r="AF1907">
        <v>-1.9064240725861299</v>
      </c>
      <c r="AG1907">
        <v>-1.1047871834330001</v>
      </c>
      <c r="AH1907">
        <v>16.8813470251106</v>
      </c>
      <c r="AI1907">
        <v>93.720756256181801</v>
      </c>
      <c r="AJ1907">
        <v>96.443160254662004</v>
      </c>
      <c r="AK1907">
        <v>17.0245377278628</v>
      </c>
    </row>
    <row r="1908" spans="1:37" x14ac:dyDescent="0.2">
      <c r="A1908" t="str">
        <f>"20200111160143908"</f>
        <v>20200111160143908</v>
      </c>
      <c r="B1908" t="str">
        <f>"1578729703903499"</f>
        <v>1578729703903499</v>
      </c>
      <c r="C1908" t="s">
        <v>37</v>
      </c>
      <c r="D1908">
        <v>4.8268469999999999</v>
      </c>
      <c r="E1908">
        <v>0.4874715</v>
      </c>
      <c r="F1908" t="s">
        <v>54</v>
      </c>
      <c r="G1908">
        <v>-479.13420000000002</v>
      </c>
      <c r="H1908" s="1">
        <v>2.6552929999999998E-6</v>
      </c>
      <c r="I1908">
        <v>285.66640000000001</v>
      </c>
      <c r="J1908">
        <v>-461.96899999999999</v>
      </c>
      <c r="K1908">
        <v>1.104857</v>
      </c>
      <c r="L1908">
        <v>286.59730000000002</v>
      </c>
      <c r="M1908">
        <v>-0.99874839999999998</v>
      </c>
      <c r="N1908">
        <v>0</v>
      </c>
      <c r="O1908">
        <v>4.8073680000000001E-2</v>
      </c>
      <c r="P1908">
        <v>-0.9995465</v>
      </c>
      <c r="Q1908">
        <v>2.9438659999999998E-2</v>
      </c>
      <c r="R1908">
        <v>-6.3491069999999997E-3</v>
      </c>
      <c r="S1908">
        <v>-3.005798</v>
      </c>
      <c r="T1908">
        <v>-0.19060339999999901</v>
      </c>
      <c r="U1908">
        <v>-0.15853879999999901</v>
      </c>
      <c r="V1908">
        <v>-5.442835E-2</v>
      </c>
      <c r="W1908">
        <v>4.3176890000000002E-2</v>
      </c>
      <c r="X1908">
        <v>0.99758369999999996</v>
      </c>
      <c r="Y1908">
        <v>-0.10032439999999999</v>
      </c>
      <c r="Z1908">
        <v>-6.2191360000000001E-3</v>
      </c>
      <c r="AA1908">
        <v>0.99493529999999997</v>
      </c>
      <c r="AB1908">
        <v>24</v>
      </c>
      <c r="AC1908">
        <v>-17.165199999999999</v>
      </c>
      <c r="AD1908">
        <v>-1.1048543447070001</v>
      </c>
      <c r="AE1908">
        <v>-0.93090000000000805</v>
      </c>
      <c r="AF1908">
        <v>-1.7478762738333899</v>
      </c>
      <c r="AG1908">
        <v>-1.1048543447070001</v>
      </c>
      <c r="AH1908">
        <v>17.030244648296598</v>
      </c>
      <c r="AI1908">
        <v>93.692576625717393</v>
      </c>
      <c r="AJ1908">
        <v>95.859957201271698</v>
      </c>
      <c r="AK1908">
        <v>17.155320089479101</v>
      </c>
    </row>
    <row r="1909" spans="1:37" x14ac:dyDescent="0.2">
      <c r="A1909" t="str">
        <f>"20200111160143931"</f>
        <v>20200111160143931</v>
      </c>
      <c r="B1909" t="str">
        <f>"1578729703923019"</f>
        <v>1578729703923019</v>
      </c>
      <c r="C1909" t="s">
        <v>37</v>
      </c>
      <c r="D1909">
        <v>4.8513719999999996</v>
      </c>
      <c r="E1909">
        <v>0.48920839999999999</v>
      </c>
      <c r="F1909" t="s">
        <v>54</v>
      </c>
      <c r="G1909">
        <v>-479.1266</v>
      </c>
      <c r="H1909" s="1">
        <v>2.6768590000000001E-6</v>
      </c>
      <c r="I1909">
        <v>285.87479999999999</v>
      </c>
      <c r="J1909">
        <v>-462.21429999999998</v>
      </c>
      <c r="K1909">
        <v>1.104927</v>
      </c>
      <c r="L1909">
        <v>286.60849999999999</v>
      </c>
      <c r="M1909">
        <v>-0.99877499999999997</v>
      </c>
      <c r="N1909">
        <v>0</v>
      </c>
      <c r="O1909">
        <v>4.7518320000000003E-2</v>
      </c>
      <c r="P1909">
        <v>-0.99961630000000001</v>
      </c>
      <c r="Q1909">
        <v>2.7300270000000001E-2</v>
      </c>
      <c r="R1909">
        <v>-4.6986570000000002E-3</v>
      </c>
      <c r="S1909">
        <v>-3.006256</v>
      </c>
      <c r="T1909">
        <v>-0.19358590000000001</v>
      </c>
      <c r="U1909">
        <v>-0.1265869</v>
      </c>
      <c r="V1909">
        <v>-5.2232889999999997E-2</v>
      </c>
      <c r="W1909">
        <v>4.1031579999999998E-2</v>
      </c>
      <c r="X1909">
        <v>0.997791599999999</v>
      </c>
      <c r="Y1909">
        <v>-8.9220980000000005E-2</v>
      </c>
      <c r="Z1909">
        <v>-5.9240100000000004E-3</v>
      </c>
      <c r="AA1909">
        <v>0.99599419999999905</v>
      </c>
      <c r="AB1909">
        <v>24</v>
      </c>
      <c r="AC1909">
        <v>-16.912299999999998</v>
      </c>
      <c r="AD1909">
        <v>-1.104924323141</v>
      </c>
      <c r="AE1909">
        <v>-0.73369999999999802</v>
      </c>
      <c r="AF1909">
        <v>-1.5300730603925501</v>
      </c>
      <c r="AG1909">
        <v>-1.104924323141</v>
      </c>
      <c r="AH1909">
        <v>16.786806828284401</v>
      </c>
      <c r="AI1909">
        <v>93.750331385719605</v>
      </c>
      <c r="AJ1909">
        <v>95.207968310326095</v>
      </c>
      <c r="AK1909">
        <v>16.892568331078198</v>
      </c>
    </row>
    <row r="1910" spans="1:37" x14ac:dyDescent="0.2">
      <c r="A1910" t="str">
        <f>"20200111160143971"</f>
        <v>20200111160143971</v>
      </c>
      <c r="B1910" t="str">
        <f>"1578729703963034"</f>
        <v>1578729703963034</v>
      </c>
      <c r="C1910" t="s">
        <v>37</v>
      </c>
      <c r="D1910">
        <v>4.9158499999999998</v>
      </c>
      <c r="E1910">
        <v>0.49183909999999997</v>
      </c>
      <c r="F1910" t="s">
        <v>54</v>
      </c>
      <c r="G1910">
        <v>-478.79910000000001</v>
      </c>
      <c r="H1910" s="1">
        <v>2.8344759999999999E-6</v>
      </c>
      <c r="I1910">
        <v>286.01650000000001</v>
      </c>
      <c r="J1910">
        <v>-462.6465</v>
      </c>
      <c r="K1910">
        <v>1.105029</v>
      </c>
      <c r="L1910">
        <v>286.6277</v>
      </c>
      <c r="M1910">
        <v>-0.99883069999999896</v>
      </c>
      <c r="N1910">
        <v>0</v>
      </c>
      <c r="O1910">
        <v>4.6336769999999999E-2</v>
      </c>
      <c r="P1910">
        <v>-0.99962719999999905</v>
      </c>
      <c r="Q1910">
        <v>2.6116170000000001E-2</v>
      </c>
      <c r="R1910">
        <v>-8.0065220000000003E-3</v>
      </c>
      <c r="S1910">
        <v>-3.0061650000000002</v>
      </c>
      <c r="T1910">
        <v>-0.2002785</v>
      </c>
      <c r="U1910">
        <v>-0.1072998</v>
      </c>
      <c r="V1910">
        <v>-5.4365040000000003E-2</v>
      </c>
      <c r="W1910">
        <v>3.9828080000000002E-2</v>
      </c>
      <c r="X1910">
        <v>0.99772649999999996</v>
      </c>
      <c r="Y1910">
        <v>-8.1660430000000006E-2</v>
      </c>
      <c r="Z1910">
        <v>-5.7991199999999996E-3</v>
      </c>
      <c r="AA1910">
        <v>0.99664339999999996</v>
      </c>
      <c r="AB1910">
        <v>24</v>
      </c>
      <c r="AC1910">
        <v>-16.1526</v>
      </c>
      <c r="AD1910">
        <v>-1.1050261655239999</v>
      </c>
      <c r="AE1910">
        <v>-0.61119999999999597</v>
      </c>
      <c r="AF1910">
        <v>-1.3527518094359201</v>
      </c>
      <c r="AG1910">
        <v>-1.1050261655239999</v>
      </c>
      <c r="AH1910">
        <v>16.031998100282401</v>
      </c>
      <c r="AI1910">
        <v>93.929031391563399</v>
      </c>
      <c r="AJ1910">
        <v>94.823092474940395</v>
      </c>
      <c r="AK1910">
        <v>16.126871468821399</v>
      </c>
    </row>
    <row r="1911" spans="1:37" x14ac:dyDescent="0.2">
      <c r="A1911" t="str">
        <f>"20200111160143993"</f>
        <v>20200111160143993</v>
      </c>
      <c r="B1911" t="str">
        <f>"1578729703983531"</f>
        <v>1578729703983531</v>
      </c>
      <c r="C1911" t="s">
        <v>37</v>
      </c>
      <c r="D1911">
        <v>4.847988</v>
      </c>
      <c r="E1911">
        <v>0.49299179999999998</v>
      </c>
      <c r="F1911" t="s">
        <v>54</v>
      </c>
      <c r="G1911">
        <v>-478.76159999999999</v>
      </c>
      <c r="H1911" s="1">
        <v>2.8599680000000001E-6</v>
      </c>
      <c r="I1911">
        <v>286.11779999999999</v>
      </c>
      <c r="J1911">
        <v>-462.88260000000002</v>
      </c>
      <c r="K1911">
        <v>1.105059</v>
      </c>
      <c r="L1911">
        <v>286.63780000000003</v>
      </c>
      <c r="M1911">
        <v>-0.99886390000000003</v>
      </c>
      <c r="N1911">
        <v>0</v>
      </c>
      <c r="O1911">
        <v>4.5615269999999999E-2</v>
      </c>
      <c r="P1911">
        <v>-0.99955709999999998</v>
      </c>
      <c r="Q1911">
        <v>2.709553E-2</v>
      </c>
      <c r="R1911">
        <v>-1.231179E-2</v>
      </c>
      <c r="S1911">
        <v>-3.0057369999999999</v>
      </c>
      <c r="T1911">
        <v>-0.20610519999999999</v>
      </c>
      <c r="U1911">
        <v>-9.5092769999999993E-2</v>
      </c>
      <c r="V1911">
        <v>-5.7945789999999997E-2</v>
      </c>
      <c r="W1911">
        <v>4.0794320000000002E-2</v>
      </c>
      <c r="X1911">
        <v>0.99748590000000004</v>
      </c>
      <c r="Y1911">
        <v>-7.6897679999999996E-2</v>
      </c>
      <c r="Z1911">
        <v>-5.7561769999999899E-3</v>
      </c>
      <c r="AA1911">
        <v>0.99702239999999998</v>
      </c>
      <c r="AB1911">
        <v>24</v>
      </c>
      <c r="AC1911">
        <v>-15.8789999999999</v>
      </c>
      <c r="AD1911">
        <v>-1.105056140032</v>
      </c>
      <c r="AE1911">
        <v>-0.52000000000003799</v>
      </c>
      <c r="AF1911">
        <v>-1.2378637082692201</v>
      </c>
      <c r="AG1911">
        <v>-1.105056140032</v>
      </c>
      <c r="AH1911">
        <v>15.7624885740849</v>
      </c>
      <c r="AI1911">
        <v>93.997987471282102</v>
      </c>
      <c r="AJ1911">
        <v>94.490350533271297</v>
      </c>
      <c r="AK1911">
        <v>15.849589953088101</v>
      </c>
    </row>
    <row r="1912" spans="1:37" x14ac:dyDescent="0.2">
      <c r="A1912" t="str">
        <f>"20200111160144015"</f>
        <v>20200111160144015</v>
      </c>
      <c r="B1912" t="str">
        <f>"1578729704012812"</f>
        <v>1578729704012812</v>
      </c>
      <c r="C1912" t="s">
        <v>37</v>
      </c>
      <c r="D1912">
        <v>4.8773849999999896</v>
      </c>
      <c r="E1912">
        <v>0.494600599999999</v>
      </c>
      <c r="F1912" t="s">
        <v>54</v>
      </c>
      <c r="G1912">
        <v>-479.16680000000002</v>
      </c>
      <c r="H1912" s="1">
        <v>2.6791619999999999E-6</v>
      </c>
      <c r="I1912">
        <v>286.10520000000002</v>
      </c>
      <c r="J1912">
        <v>-463.12459999999999</v>
      </c>
      <c r="K1912">
        <v>1.1050690000000001</v>
      </c>
      <c r="L1912">
        <v>286.64789999999999</v>
      </c>
      <c r="M1912">
        <v>-0.99889859999999897</v>
      </c>
      <c r="N1912">
        <v>0</v>
      </c>
      <c r="O1912">
        <v>4.4847449999999997E-2</v>
      </c>
      <c r="P1912">
        <v>-0.99948440000000005</v>
      </c>
      <c r="Q1912">
        <v>2.7528489999999999E-2</v>
      </c>
      <c r="R1912">
        <v>-1.6532410000000001E-2</v>
      </c>
      <c r="S1912">
        <v>-3.005646</v>
      </c>
      <c r="T1912">
        <v>-0.20396420000000001</v>
      </c>
      <c r="U1912">
        <v>-9.8297120000000002E-2</v>
      </c>
      <c r="V1912">
        <v>-6.1393690000000001E-2</v>
      </c>
      <c r="W1912">
        <v>4.121549E-2</v>
      </c>
      <c r="X1912">
        <v>0.99726229999999905</v>
      </c>
      <c r="Y1912">
        <v>-7.7201099999999995E-2</v>
      </c>
      <c r="Z1912">
        <v>-5.6548789999999998E-3</v>
      </c>
      <c r="AA1912">
        <v>0.99699950000000004</v>
      </c>
      <c r="AB1912">
        <v>24</v>
      </c>
      <c r="AC1912">
        <v>-16.042200000000001</v>
      </c>
      <c r="AD1912">
        <v>-1.105066320838</v>
      </c>
      <c r="AE1912">
        <v>-0.54269999999996799</v>
      </c>
      <c r="AF1912">
        <v>-1.25572231820625</v>
      </c>
      <c r="AG1912">
        <v>-1.105066320838</v>
      </c>
      <c r="AH1912">
        <v>15.9262292262024</v>
      </c>
      <c r="AI1912">
        <v>93.956954140349794</v>
      </c>
      <c r="AJ1912">
        <v>94.508226589393601</v>
      </c>
      <c r="AK1912">
        <v>16.013831130601901</v>
      </c>
    </row>
    <row r="1913" spans="1:37" x14ac:dyDescent="0.2">
      <c r="A1913" t="str">
        <f>"20200111160144039"</f>
        <v>20200111160144039</v>
      </c>
      <c r="B1913" t="str">
        <f>"1578729704033307"</f>
        <v>1578729704033307</v>
      </c>
      <c r="C1913" t="s">
        <v>37</v>
      </c>
      <c r="D1913">
        <v>4.9211609999999997</v>
      </c>
      <c r="E1913">
        <v>0.49563029999999902</v>
      </c>
      <c r="F1913" t="s">
        <v>54</v>
      </c>
      <c r="G1913">
        <v>-479.41660000000002</v>
      </c>
      <c r="H1913" s="1">
        <v>2.5695009999999999E-6</v>
      </c>
      <c r="I1913">
        <v>286.11759999999998</v>
      </c>
      <c r="J1913">
        <v>-463.36520000000002</v>
      </c>
      <c r="K1913">
        <v>1.105062</v>
      </c>
      <c r="L1913">
        <v>286.65780000000001</v>
      </c>
      <c r="M1913">
        <v>-0.99893299999999996</v>
      </c>
      <c r="N1913">
        <v>0</v>
      </c>
      <c r="O1913">
        <v>4.4075509999999998E-2</v>
      </c>
      <c r="P1913">
        <v>-0.99944129999999998</v>
      </c>
      <c r="Q1913">
        <v>2.6707249999999998E-2</v>
      </c>
      <c r="R1913">
        <v>-2.009613E-2</v>
      </c>
      <c r="S1913">
        <v>-3.0055540000000001</v>
      </c>
      <c r="T1913">
        <v>-0.20386399999999999</v>
      </c>
      <c r="U1913">
        <v>-9.783936E-2</v>
      </c>
      <c r="V1913">
        <v>-6.4179879999999995E-2</v>
      </c>
      <c r="W1913">
        <v>4.0386480000000002E-2</v>
      </c>
      <c r="X1913">
        <v>0.99712080000000003</v>
      </c>
      <c r="Y1913">
        <v>-7.6284039999999997E-2</v>
      </c>
      <c r="Z1913">
        <v>-5.5689619999999898E-3</v>
      </c>
      <c r="AA1913">
        <v>0.99707060000000003</v>
      </c>
      <c r="AB1913">
        <v>24</v>
      </c>
      <c r="AC1913">
        <v>-16.051400000000001</v>
      </c>
      <c r="AD1913">
        <v>-1.105059430499</v>
      </c>
      <c r="AE1913">
        <v>-0.54020000000002699</v>
      </c>
      <c r="AF1913">
        <v>-1.24133902554425</v>
      </c>
      <c r="AG1913">
        <v>-1.105059430499</v>
      </c>
      <c r="AH1913">
        <v>15.9365384503832</v>
      </c>
      <c r="AI1913">
        <v>93.954670741754299</v>
      </c>
      <c r="AJ1913">
        <v>94.4539262443691</v>
      </c>
      <c r="AK1913">
        <v>16.022962794122002</v>
      </c>
    </row>
    <row r="1914" spans="1:37" x14ac:dyDescent="0.2">
      <c r="A1914" t="str">
        <f>"20200111160144060"</f>
        <v>20200111160144060</v>
      </c>
      <c r="B1914" t="str">
        <f>"1578729704052827"</f>
        <v>1578729704052827</v>
      </c>
      <c r="C1914" t="s">
        <v>37</v>
      </c>
      <c r="D1914">
        <v>5.0340239999999996</v>
      </c>
      <c r="E1914">
        <v>0.49668190000000001</v>
      </c>
      <c r="F1914" t="s">
        <v>54</v>
      </c>
      <c r="G1914">
        <v>-479.38979999999998</v>
      </c>
      <c r="H1914" s="1">
        <v>2.5817469999999899E-6</v>
      </c>
      <c r="I1914">
        <v>286.12180000000001</v>
      </c>
      <c r="J1914">
        <v>-463.60359999999997</v>
      </c>
      <c r="K1914">
        <v>1.1050359999999999</v>
      </c>
      <c r="L1914">
        <v>286.66750000000002</v>
      </c>
      <c r="M1914">
        <v>-0.99896620000000003</v>
      </c>
      <c r="N1914">
        <v>0</v>
      </c>
      <c r="O1914">
        <v>4.3317319999999999E-2</v>
      </c>
      <c r="P1914">
        <v>-0.99945779999999995</v>
      </c>
      <c r="Q1914">
        <v>2.4304530000000001E-2</v>
      </c>
      <c r="R1914">
        <v>-2.2219119999999998E-2</v>
      </c>
      <c r="S1914">
        <v>-3.0051570000000001</v>
      </c>
      <c r="T1914">
        <v>-0.2072369</v>
      </c>
      <c r="U1914">
        <v>-0.100524899999999</v>
      </c>
      <c r="V1914">
        <v>-6.5540600000000004E-2</v>
      </c>
      <c r="W1914">
        <v>3.7980300000000002E-2</v>
      </c>
      <c r="X1914">
        <v>0.99712679999999998</v>
      </c>
      <c r="Y1914">
        <v>-7.6413830000000002E-2</v>
      </c>
      <c r="Z1914">
        <v>-5.6138359999999997E-3</v>
      </c>
      <c r="AA1914">
        <v>0.99706039999999996</v>
      </c>
      <c r="AB1914">
        <v>24</v>
      </c>
      <c r="AC1914">
        <v>-15.786199999999999</v>
      </c>
      <c r="AD1914">
        <v>-1.1050334182529999</v>
      </c>
      <c r="AE1914">
        <v>-0.54570000000000995</v>
      </c>
      <c r="AF1914">
        <v>-1.2230826403989099</v>
      </c>
      <c r="AG1914">
        <v>-1.1050334182529999</v>
      </c>
      <c r="AH1914">
        <v>15.671042801973901</v>
      </c>
      <c r="AI1914">
        <v>94.0213095814469</v>
      </c>
      <c r="AJ1914">
        <v>94.462734383490996</v>
      </c>
      <c r="AK1914">
        <v>15.7574938521962</v>
      </c>
    </row>
    <row r="1915" spans="1:37" x14ac:dyDescent="0.2">
      <c r="A1915" t="str">
        <f>"20200111160144083"</f>
        <v>20200111160144083</v>
      </c>
      <c r="B1915" t="str">
        <f>"1578729704073323"</f>
        <v>1578729704073323</v>
      </c>
      <c r="C1915" t="s">
        <v>37</v>
      </c>
      <c r="D1915">
        <v>5.0703829999999996</v>
      </c>
      <c r="E1915">
        <v>0.49769399999999903</v>
      </c>
      <c r="F1915" t="s">
        <v>54</v>
      </c>
      <c r="G1915">
        <v>-479.02800000000002</v>
      </c>
      <c r="H1915" s="1">
        <v>2.7454610000000002E-6</v>
      </c>
      <c r="I1915">
        <v>286.15960000000001</v>
      </c>
      <c r="J1915">
        <v>-463.83499999999998</v>
      </c>
      <c r="K1915">
        <v>1.1050199999999999</v>
      </c>
      <c r="L1915">
        <v>286.67660000000001</v>
      </c>
      <c r="M1915">
        <v>-0.99899740000000004</v>
      </c>
      <c r="N1915">
        <v>0</v>
      </c>
      <c r="O1915">
        <v>4.2595460000000002E-2</v>
      </c>
      <c r="P1915">
        <v>-0.99953179999999997</v>
      </c>
      <c r="Q1915">
        <v>2.0525930000000001E-2</v>
      </c>
      <c r="R1915">
        <v>-2.2695880000000002E-2</v>
      </c>
      <c r="S1915">
        <v>-3.0046689999999998</v>
      </c>
      <c r="T1915">
        <v>-0.21525999999999901</v>
      </c>
      <c r="U1915">
        <v>-9.8937990000000003E-2</v>
      </c>
      <c r="V1915">
        <v>-6.5294669999999999E-2</v>
      </c>
      <c r="W1915">
        <v>3.4202879999999998E-2</v>
      </c>
      <c r="X1915">
        <v>0.99727969999999899</v>
      </c>
      <c r="Y1915">
        <v>-7.5155269999999996E-2</v>
      </c>
      <c r="Z1915">
        <v>-5.734978E-3</v>
      </c>
      <c r="AA1915">
        <v>0.99715540000000003</v>
      </c>
      <c r="AB1915">
        <v>24</v>
      </c>
      <c r="AC1915">
        <v>-15.193</v>
      </c>
      <c r="AD1915">
        <v>-1.105017254539</v>
      </c>
      <c r="AE1915">
        <v>-0.51699999999999502</v>
      </c>
      <c r="AF1915">
        <v>-1.15762823160461</v>
      </c>
      <c r="AG1915">
        <v>-1.105017254539</v>
      </c>
      <c r="AH1915">
        <v>15.077517328674499</v>
      </c>
      <c r="AI1915">
        <v>94.179403599928406</v>
      </c>
      <c r="AJ1915">
        <v>94.390466820594995</v>
      </c>
      <c r="AK1915">
        <v>15.1622127360065</v>
      </c>
    </row>
    <row r="1916" spans="1:37" x14ac:dyDescent="0.2">
      <c r="A1916" t="str">
        <f>"20200111160144104"</f>
        <v>20200111160144104</v>
      </c>
      <c r="B1916" t="str">
        <f>"1578729704092843"</f>
        <v>1578729704092843</v>
      </c>
      <c r="C1916" t="s">
        <v>37</v>
      </c>
      <c r="D1916">
        <v>4.9595199999999897</v>
      </c>
      <c r="E1916">
        <v>0.49860059999999901</v>
      </c>
      <c r="F1916" t="s">
        <v>54</v>
      </c>
      <c r="G1916">
        <v>-478.44690000000003</v>
      </c>
      <c r="H1916" s="1">
        <v>3.0091830000000001E-6</v>
      </c>
      <c r="I1916">
        <v>286.22800000000001</v>
      </c>
      <c r="J1916">
        <v>-464.07040000000001</v>
      </c>
      <c r="K1916">
        <v>1.105002</v>
      </c>
      <c r="L1916">
        <v>286.68579999999997</v>
      </c>
      <c r="M1916">
        <v>-0.99902780000000002</v>
      </c>
      <c r="N1916">
        <v>0</v>
      </c>
      <c r="O1916">
        <v>4.1877009999999999E-2</v>
      </c>
      <c r="P1916">
        <v>-0.99959149999999997</v>
      </c>
      <c r="Q1916">
        <v>1.762654E-2</v>
      </c>
      <c r="R1916">
        <v>-2.2497489999999998E-2</v>
      </c>
      <c r="S1916">
        <v>-3.0039370000000001</v>
      </c>
      <c r="T1916">
        <v>-0.22717119999999999</v>
      </c>
      <c r="U1916">
        <v>-9.2224120000000007E-2</v>
      </c>
      <c r="V1916">
        <v>-6.4377729999999994E-2</v>
      </c>
      <c r="W1916">
        <v>3.1305270000000003E-2</v>
      </c>
      <c r="X1916">
        <v>0.99743440000000005</v>
      </c>
      <c r="Y1916">
        <v>-7.2195499999999996E-2</v>
      </c>
      <c r="Z1916">
        <v>-5.8871289999999996E-3</v>
      </c>
      <c r="AA1916">
        <v>0.99737310000000001</v>
      </c>
      <c r="AB1916">
        <v>24</v>
      </c>
      <c r="AC1916">
        <v>-14.3765</v>
      </c>
      <c r="AD1916">
        <v>-1.1049989908169999</v>
      </c>
      <c r="AE1916">
        <v>-0.45779999999996301</v>
      </c>
      <c r="AF1916">
        <v>-1.05328412811345</v>
      </c>
      <c r="AG1916">
        <v>-1.1049989908169999</v>
      </c>
      <c r="AH1916">
        <v>14.2605515168921</v>
      </c>
      <c r="AI1916">
        <v>94.418802229681702</v>
      </c>
      <c r="AJ1916">
        <v>94.224195172420096</v>
      </c>
      <c r="AK1916">
        <v>14.3420277433206</v>
      </c>
    </row>
    <row r="1917" spans="1:37" x14ac:dyDescent="0.2">
      <c r="A1917" t="str">
        <f>"20200111160144132"</f>
        <v>20200111160144132</v>
      </c>
      <c r="B1917" t="str">
        <f>"1578729704123099"</f>
        <v>1578729704123099</v>
      </c>
      <c r="C1917" t="s">
        <v>37</v>
      </c>
      <c r="D1917">
        <v>5.2739519999999898</v>
      </c>
      <c r="E1917">
        <v>0.49966840000000001</v>
      </c>
      <c r="F1917" t="s">
        <v>54</v>
      </c>
      <c r="G1917">
        <v>-478.11059999999998</v>
      </c>
      <c r="H1917" s="1">
        <v>3.1639299999999999E-6</v>
      </c>
      <c r="I1917">
        <v>286.29250000000002</v>
      </c>
      <c r="J1917">
        <v>-464.3569</v>
      </c>
      <c r="K1917">
        <v>1.104989</v>
      </c>
      <c r="L1917">
        <v>286.6968</v>
      </c>
      <c r="M1917">
        <v>-0.99906349999999999</v>
      </c>
      <c r="N1917">
        <v>0</v>
      </c>
      <c r="O1917">
        <v>4.1017789999999998E-2</v>
      </c>
      <c r="P1917">
        <v>-0.99963440000000003</v>
      </c>
      <c r="Q1917">
        <v>1.5449879999999999E-2</v>
      </c>
      <c r="R1917">
        <v>-2.2195280000000001E-2</v>
      </c>
      <c r="S1917">
        <v>-3.0035400000000001</v>
      </c>
      <c r="T1917">
        <v>-0.2363855</v>
      </c>
      <c r="U1917">
        <v>-8.4136959999999997E-2</v>
      </c>
      <c r="V1917">
        <v>-6.3216110000000006E-2</v>
      </c>
      <c r="W1917">
        <v>2.9129499999999999E-2</v>
      </c>
      <c r="X1917">
        <v>0.99757459999999898</v>
      </c>
      <c r="Y1917">
        <v>-6.8644750000000004E-2</v>
      </c>
      <c r="Z1917">
        <v>-5.9192230000000004E-3</v>
      </c>
      <c r="AA1917">
        <v>0.99762359999999894</v>
      </c>
      <c r="AB1917">
        <v>24</v>
      </c>
      <c r="AC1917">
        <v>-13.753699999999901</v>
      </c>
      <c r="AD1917">
        <v>-1.10498583607</v>
      </c>
      <c r="AE1917">
        <v>-0.40429999999997701</v>
      </c>
      <c r="AF1917">
        <v>-0.96195581746315195</v>
      </c>
      <c r="AG1917">
        <v>-1.10498583607</v>
      </c>
      <c r="AH1917">
        <v>13.6375876613961</v>
      </c>
      <c r="AI1917">
        <v>94.6208411360562</v>
      </c>
      <c r="AJ1917">
        <v>94.034795019291195</v>
      </c>
      <c r="AK1917">
        <v>13.716054458733</v>
      </c>
    </row>
    <row r="1918" spans="1:37" x14ac:dyDescent="0.2">
      <c r="A1918" t="str">
        <f>"20200111160144152"</f>
        <v>20200111160144152</v>
      </c>
      <c r="B1918" t="str">
        <f>"1578729704143596"</f>
        <v>1578729704143596</v>
      </c>
      <c r="C1918" t="s">
        <v>37</v>
      </c>
      <c r="D1918">
        <v>5.0251339999999898</v>
      </c>
      <c r="E1918">
        <v>0.50046029999999997</v>
      </c>
      <c r="F1918" t="s">
        <v>54</v>
      </c>
      <c r="G1918">
        <v>-477.99290000000002</v>
      </c>
      <c r="H1918" s="1">
        <v>3.2220459999999998E-6</v>
      </c>
      <c r="I1918">
        <v>286.36020000000002</v>
      </c>
      <c r="J1918">
        <v>-464.57350000000002</v>
      </c>
      <c r="K1918">
        <v>1.1049799999999901</v>
      </c>
      <c r="L1918">
        <v>286.70490000000001</v>
      </c>
      <c r="M1918">
        <v>-0.99908980000000003</v>
      </c>
      <c r="N1918">
        <v>0</v>
      </c>
      <c r="O1918">
        <v>4.0372850000000002E-2</v>
      </c>
      <c r="P1918">
        <v>-0.99963649999999904</v>
      </c>
      <c r="Q1918">
        <v>1.4504649999999999E-2</v>
      </c>
      <c r="R1918">
        <v>-2.2737770000000001E-2</v>
      </c>
      <c r="S1918">
        <v>-3.0032349999999899</v>
      </c>
      <c r="T1918">
        <v>-0.2433649</v>
      </c>
      <c r="U1918">
        <v>-7.4127199999999893E-2</v>
      </c>
      <c r="V1918">
        <v>-6.3112219999999997E-2</v>
      </c>
      <c r="W1918">
        <v>2.8183369999999999E-2</v>
      </c>
      <c r="X1918">
        <v>0.99760839999999995</v>
      </c>
      <c r="Y1918">
        <v>-6.4675040000000003E-2</v>
      </c>
      <c r="Z1918">
        <v>-5.8815489999999998E-3</v>
      </c>
      <c r="AA1918">
        <v>0.99788899999999903</v>
      </c>
      <c r="AB1918">
        <v>24</v>
      </c>
      <c r="AC1918">
        <v>-13.4193999999999</v>
      </c>
      <c r="AD1918">
        <v>-1.1049767779539901</v>
      </c>
      <c r="AE1918">
        <v>-0.34469999999998802</v>
      </c>
      <c r="AF1918">
        <v>-0.880285158788496</v>
      </c>
      <c r="AG1918">
        <v>-1.1049767779539901</v>
      </c>
      <c r="AH1918">
        <v>13.304392568551</v>
      </c>
      <c r="AI1918">
        <v>94.737409271651103</v>
      </c>
      <c r="AJ1918">
        <v>93.785457789215698</v>
      </c>
      <c r="AK1918">
        <v>13.379190456029701</v>
      </c>
    </row>
    <row r="1919" spans="1:37" x14ac:dyDescent="0.2">
      <c r="A1919" t="str">
        <f>"20200111160144173"</f>
        <v>20200111160144173</v>
      </c>
      <c r="B1919" t="str">
        <f>"1578729704163115"</f>
        <v>1578729704163115</v>
      </c>
      <c r="C1919" t="s">
        <v>37</v>
      </c>
      <c r="D1919">
        <v>5.1756070000000003</v>
      </c>
      <c r="E1919">
        <v>0.50113920000000001</v>
      </c>
      <c r="F1919" t="s">
        <v>54</v>
      </c>
      <c r="G1919">
        <v>-478.04469999999998</v>
      </c>
      <c r="H1919" s="1">
        <v>3.2023170000000001E-6</v>
      </c>
      <c r="I1919">
        <v>286.3972</v>
      </c>
      <c r="J1919">
        <v>-464.7928</v>
      </c>
      <c r="K1919">
        <v>1.104983</v>
      </c>
      <c r="L1919">
        <v>286.712999999999</v>
      </c>
      <c r="M1919">
        <v>-0.99911589999999995</v>
      </c>
      <c r="N1919">
        <v>0</v>
      </c>
      <c r="O1919">
        <v>3.9721390000000002E-2</v>
      </c>
      <c r="P1919">
        <v>-0.99963289999999905</v>
      </c>
      <c r="Q1919">
        <v>1.417441E-2</v>
      </c>
      <c r="R1919">
        <v>-2.309694E-2</v>
      </c>
      <c r="S1919">
        <v>-3.0031129999999999</v>
      </c>
      <c r="T1919">
        <v>-0.24633189999999999</v>
      </c>
      <c r="U1919">
        <v>-6.8603520000000001E-2</v>
      </c>
      <c r="V1919">
        <v>-6.2819299999999995E-2</v>
      </c>
      <c r="W1919">
        <v>2.7852100000000001E-2</v>
      </c>
      <c r="X1919">
        <v>0.99763619999999897</v>
      </c>
      <c r="Y1919">
        <v>-6.2192820000000003E-2</v>
      </c>
      <c r="Z1919">
        <v>-5.7984100000000004E-3</v>
      </c>
      <c r="AA1919">
        <v>0.99804729999999997</v>
      </c>
      <c r="AB1919">
        <v>24</v>
      </c>
      <c r="AC1919">
        <v>-13.2518999999999</v>
      </c>
      <c r="AD1919">
        <v>-1.104979797683</v>
      </c>
      <c r="AE1919">
        <v>-0.315799999999967</v>
      </c>
      <c r="AF1919">
        <v>-0.836174172142502</v>
      </c>
      <c r="AG1919">
        <v>-1.104979797683</v>
      </c>
      <c r="AH1919">
        <v>13.137604588327299</v>
      </c>
      <c r="AI1919">
        <v>94.798064028757494</v>
      </c>
      <c r="AJ1919">
        <v>93.641814166157602</v>
      </c>
      <c r="AK1919">
        <v>13.2104815172909</v>
      </c>
    </row>
    <row r="1920" spans="1:37" x14ac:dyDescent="0.2">
      <c r="A1920" t="str">
        <f>"20200111160144196"</f>
        <v>20200111160144196</v>
      </c>
      <c r="B1920" t="str">
        <f>"1578729704193371"</f>
        <v>1578729704193371</v>
      </c>
      <c r="C1920" t="s">
        <v>37</v>
      </c>
      <c r="D1920">
        <v>5.0445659999999997</v>
      </c>
      <c r="E1920">
        <v>0.50228549999999905</v>
      </c>
      <c r="F1920" t="s">
        <v>54</v>
      </c>
      <c r="G1920">
        <v>-478.21769999999998</v>
      </c>
      <c r="H1920" s="1">
        <v>3.1283289999999999E-6</v>
      </c>
      <c r="I1920">
        <v>286.42840000000001</v>
      </c>
      <c r="J1920">
        <v>-465.03289999999998</v>
      </c>
      <c r="K1920">
        <v>1.1049770000000001</v>
      </c>
      <c r="L1920">
        <v>286.72160000000002</v>
      </c>
      <c r="M1920">
        <v>-0.99914429999999999</v>
      </c>
      <c r="N1920">
        <v>0</v>
      </c>
      <c r="O1920">
        <v>3.9003199999999898E-2</v>
      </c>
      <c r="P1920">
        <v>-0.99962050000000002</v>
      </c>
      <c r="Q1920">
        <v>1.391683E-2</v>
      </c>
      <c r="R1920">
        <v>-2.3778489999999999E-2</v>
      </c>
      <c r="S1920">
        <v>-3.003174</v>
      </c>
      <c r="T1920">
        <v>-0.24718599999999999</v>
      </c>
      <c r="U1920">
        <v>-6.3659670000000002E-2</v>
      </c>
      <c r="V1920">
        <v>-6.2782649999999995E-2</v>
      </c>
      <c r="W1920">
        <v>2.7592800000000001E-2</v>
      </c>
      <c r="X1920">
        <v>0.99764569999999997</v>
      </c>
      <c r="Y1920">
        <v>-5.9840579999999997E-2</v>
      </c>
      <c r="Z1920">
        <v>-5.6627880000000002E-3</v>
      </c>
      <c r="AA1920">
        <v>0.99819190000000002</v>
      </c>
      <c r="AB1920">
        <v>24</v>
      </c>
      <c r="AC1920">
        <v>-13.1847999999999</v>
      </c>
      <c r="AD1920">
        <v>-1.104973871671</v>
      </c>
      <c r="AE1920">
        <v>-0.29320000000001301</v>
      </c>
      <c r="AF1920">
        <v>-0.80164732967326602</v>
      </c>
      <c r="AG1920">
        <v>-1.104973871671</v>
      </c>
      <c r="AH1920">
        <v>13.0715653082092</v>
      </c>
      <c r="AI1920">
        <v>94.822857785655103</v>
      </c>
      <c r="AJ1920">
        <v>93.509415582998201</v>
      </c>
      <c r="AK1920">
        <v>13.1426567065045</v>
      </c>
    </row>
    <row r="1921" spans="1:37" x14ac:dyDescent="0.2">
      <c r="A1921" t="str">
        <f>"20200111160144217"</f>
        <v>20200111160144217</v>
      </c>
      <c r="B1921" t="str">
        <f>"1578729704212891"</f>
        <v>1578729704212891</v>
      </c>
      <c r="C1921" t="s">
        <v>37</v>
      </c>
      <c r="D1921">
        <v>5.2054099999999996</v>
      </c>
      <c r="E1921">
        <v>0.50265059999999995</v>
      </c>
      <c r="F1921" t="s">
        <v>54</v>
      </c>
      <c r="G1921">
        <v>-478.45229999999998</v>
      </c>
      <c r="H1921" s="1">
        <v>3.027968E-6</v>
      </c>
      <c r="I1921">
        <v>286.47030000000001</v>
      </c>
      <c r="J1921">
        <v>-465.26080000000002</v>
      </c>
      <c r="K1921">
        <v>1.104978</v>
      </c>
      <c r="L1921">
        <v>286.72969999999998</v>
      </c>
      <c r="M1921">
        <v>-0.99917099999999903</v>
      </c>
      <c r="N1921">
        <v>0</v>
      </c>
      <c r="O1921">
        <v>3.831151E-2</v>
      </c>
      <c r="P1921">
        <v>-0.99961999999999995</v>
      </c>
      <c r="Q1921">
        <v>1.314657E-2</v>
      </c>
      <c r="R1921">
        <v>-2.4231900000000001E-2</v>
      </c>
      <c r="S1921">
        <v>-3.0032040000000002</v>
      </c>
      <c r="T1921">
        <v>-0.247289799999999</v>
      </c>
      <c r="U1921">
        <v>-5.6243899999999999E-2</v>
      </c>
      <c r="V1921">
        <v>-6.2543710000000002E-2</v>
      </c>
      <c r="W1921">
        <v>2.6820610000000002E-2</v>
      </c>
      <c r="X1921">
        <v>0.99768179999999995</v>
      </c>
      <c r="Y1921">
        <v>-5.6697900000000002E-2</v>
      </c>
      <c r="Z1921">
        <v>-5.4792039999999997E-3</v>
      </c>
      <c r="AA1921">
        <v>0.99837640000000005</v>
      </c>
      <c r="AB1921">
        <v>24</v>
      </c>
      <c r="AC1921">
        <v>-13.1914999999999</v>
      </c>
      <c r="AD1921">
        <v>-1.1049749720319999</v>
      </c>
      <c r="AE1921">
        <v>-0.25939999999997099</v>
      </c>
      <c r="AF1921">
        <v>-0.759318063976131</v>
      </c>
      <c r="AG1921">
        <v>-1.1049749720319999</v>
      </c>
      <c r="AH1921">
        <v>13.080134165198199</v>
      </c>
      <c r="AI1921">
        <v>94.820652844287494</v>
      </c>
      <c r="AJ1921">
        <v>93.322362580224393</v>
      </c>
      <c r="AK1921">
        <v>13.1486669815112</v>
      </c>
    </row>
    <row r="1922" spans="1:37" x14ac:dyDescent="0.2">
      <c r="A1922" t="str">
        <f>"20200111160144240"</f>
        <v>20200111160144240</v>
      </c>
      <c r="B1922" t="str">
        <f>"1578729704233387"</f>
        <v>1578729704233387</v>
      </c>
      <c r="C1922" t="s">
        <v>37</v>
      </c>
      <c r="D1922">
        <v>5.2868889999999897</v>
      </c>
      <c r="E1922">
        <v>0.56272800000000001</v>
      </c>
      <c r="F1922" t="s">
        <v>54</v>
      </c>
      <c r="G1922">
        <v>-478.54539999999997</v>
      </c>
      <c r="H1922" s="1">
        <v>2.98826599999999E-6</v>
      </c>
      <c r="I1922">
        <v>286.4889</v>
      </c>
      <c r="J1922">
        <v>-465.49169999999998</v>
      </c>
      <c r="K1922">
        <v>1.1049910000000001</v>
      </c>
      <c r="L1922">
        <v>286.73770000000002</v>
      </c>
      <c r="M1922">
        <v>-0.99919829999999998</v>
      </c>
      <c r="N1922">
        <v>0</v>
      </c>
      <c r="O1922">
        <v>3.7593309999999998E-2</v>
      </c>
      <c r="P1922">
        <v>-0.99962569999999995</v>
      </c>
      <c r="Q1922">
        <v>1.309418E-2</v>
      </c>
      <c r="R1922">
        <v>-2.4023969999999999E-2</v>
      </c>
      <c r="S1922">
        <v>-3.0031430000000001</v>
      </c>
      <c r="T1922">
        <v>-0.2497916</v>
      </c>
      <c r="U1922">
        <v>-5.4443360000000003E-2</v>
      </c>
      <c r="V1922">
        <v>-6.161991E-2</v>
      </c>
      <c r="W1922">
        <v>2.6766270000000002E-2</v>
      </c>
      <c r="X1922">
        <v>0.99774069999999904</v>
      </c>
      <c r="Y1922">
        <v>-5.5382710000000002E-2</v>
      </c>
      <c r="Z1922">
        <v>-5.4203680000000001E-3</v>
      </c>
      <c r="AA1922">
        <v>0.99845049999999902</v>
      </c>
      <c r="AB1922">
        <v>24</v>
      </c>
      <c r="AC1922">
        <v>-13.0536999999999</v>
      </c>
      <c r="AD1922">
        <v>-1.1049880117340001</v>
      </c>
      <c r="AE1922">
        <v>-0.24880000000001601</v>
      </c>
      <c r="AF1922">
        <v>-0.73414377600663405</v>
      </c>
      <c r="AG1922">
        <v>-1.1049880117340001</v>
      </c>
      <c r="AH1922">
        <v>12.9424113062242</v>
      </c>
      <c r="AI1922">
        <v>94.872130139107099</v>
      </c>
      <c r="AJ1922">
        <v>93.246559818736102</v>
      </c>
      <c r="AK1922">
        <v>13.010225824689</v>
      </c>
    </row>
    <row r="1923" spans="1:37" x14ac:dyDescent="0.2">
      <c r="A1923" t="str">
        <f>"20200111160144261"</f>
        <v>20200111160144261</v>
      </c>
      <c r="B1923" t="str">
        <f>"1578729704252907"</f>
        <v>1578729704252907</v>
      </c>
      <c r="C1923" t="s">
        <v>37</v>
      </c>
      <c r="D1923">
        <v>5.0532399999999997</v>
      </c>
      <c r="E1923">
        <v>0.57121809999999995</v>
      </c>
      <c r="F1923" t="s">
        <v>42</v>
      </c>
      <c r="G1923">
        <v>-466.30619999999999</v>
      </c>
      <c r="H1923">
        <v>1.0242910000000001</v>
      </c>
      <c r="I1923">
        <v>286.8526</v>
      </c>
      <c r="J1923">
        <v>-465.7294</v>
      </c>
      <c r="K1923">
        <v>1.1050120000000001</v>
      </c>
      <c r="L1923">
        <v>286.74579999999997</v>
      </c>
      <c r="M1923">
        <v>-0.99922679999999997</v>
      </c>
      <c r="N1923">
        <v>0</v>
      </c>
      <c r="O1923">
        <v>3.6827720000000001E-2</v>
      </c>
      <c r="P1923">
        <v>-0.99961580000000005</v>
      </c>
      <c r="Q1923">
        <v>1.4696539999999999E-2</v>
      </c>
      <c r="R1923">
        <v>-2.3504750000000001E-2</v>
      </c>
      <c r="S1923">
        <v>-3.0151979999999998</v>
      </c>
      <c r="T1923">
        <v>-0.29882429999999999</v>
      </c>
      <c r="U1923">
        <v>0.4244385</v>
      </c>
      <c r="V1923">
        <v>-6.0338349999999999E-2</v>
      </c>
      <c r="W1923">
        <v>2.83664E-2</v>
      </c>
      <c r="X1923">
        <v>0.99777479999999996</v>
      </c>
      <c r="Y1923">
        <v>0.1025107</v>
      </c>
      <c r="Z1923">
        <v>1.4220279999999899E-3</v>
      </c>
      <c r="AA1923">
        <v>0.99473089999999997</v>
      </c>
      <c r="AB1923">
        <v>24</v>
      </c>
      <c r="AC1923">
        <v>-0.57679999999999099</v>
      </c>
      <c r="AD1923">
        <v>-8.0721000000000001E-2</v>
      </c>
      <c r="AE1923">
        <v>0.106800000000021</v>
      </c>
      <c r="AF1923">
        <v>8.3894684565708297E-2</v>
      </c>
      <c r="AG1923">
        <v>-8.0721000000000001E-2</v>
      </c>
      <c r="AH1923">
        <v>0.56955721617883204</v>
      </c>
      <c r="AI1923">
        <v>97.981577498213994</v>
      </c>
      <c r="AJ1923">
        <v>81.620696121342604</v>
      </c>
      <c r="AK1923">
        <v>0.58133434479717405</v>
      </c>
    </row>
    <row r="1924" spans="1:37" x14ac:dyDescent="0.2">
      <c r="A1924" t="str">
        <f>"20200111160144284"</f>
        <v>20200111160144284</v>
      </c>
      <c r="B1924" t="str">
        <f>"1578729704273403"</f>
        <v>1578729704273403</v>
      </c>
      <c r="C1924" t="s">
        <v>37</v>
      </c>
      <c r="D1924">
        <v>5.041512</v>
      </c>
      <c r="E1924">
        <v>0.57527510000000004</v>
      </c>
      <c r="F1924" t="s">
        <v>42</v>
      </c>
      <c r="G1924">
        <v>-466.52010000000001</v>
      </c>
      <c r="H1924">
        <v>1.0329969999999999</v>
      </c>
      <c r="I1924">
        <v>286.87529999999998</v>
      </c>
      <c r="J1924">
        <v>-465.96100000000001</v>
      </c>
      <c r="K1924">
        <v>1.1050420000000001</v>
      </c>
      <c r="L1924">
        <v>286.75349999999997</v>
      </c>
      <c r="M1924">
        <v>-0.99925529999999996</v>
      </c>
      <c r="N1924">
        <v>0</v>
      </c>
      <c r="O1924">
        <v>3.6049270000000001E-2</v>
      </c>
      <c r="P1924">
        <v>-0.99960649999999995</v>
      </c>
      <c r="Q1924">
        <v>1.6722330000000001E-2</v>
      </c>
      <c r="R1924">
        <v>-2.2530939999999999E-2</v>
      </c>
      <c r="S1924">
        <v>-3.016785</v>
      </c>
      <c r="T1924">
        <v>-0.27486059999999901</v>
      </c>
      <c r="U1924">
        <v>0.49337769999999997</v>
      </c>
      <c r="V1924">
        <v>-5.859106E-2</v>
      </c>
      <c r="W1924">
        <v>3.0390179999999999E-2</v>
      </c>
      <c r="X1924">
        <v>0.99781939999999902</v>
      </c>
      <c r="Y1924">
        <v>0.1253553</v>
      </c>
      <c r="Z1924">
        <v>2.4078289999999998E-3</v>
      </c>
      <c r="AA1924">
        <v>0.99210900000000002</v>
      </c>
      <c r="AB1924">
        <v>24</v>
      </c>
      <c r="AC1924">
        <v>-0.55910000000000004</v>
      </c>
      <c r="AD1924">
        <v>-7.2045000000000095E-2</v>
      </c>
      <c r="AE1924">
        <v>0.121800000000007</v>
      </c>
      <c r="AF1924">
        <v>9.9978868628927797E-2</v>
      </c>
      <c r="AG1924">
        <v>-7.2045000000000095E-2</v>
      </c>
      <c r="AH1924">
        <v>0.55434018330854595</v>
      </c>
      <c r="AI1924">
        <v>97.288657325012807</v>
      </c>
      <c r="AJ1924">
        <v>79.776241257383802</v>
      </c>
      <c r="AK1924">
        <v>0.56787260457594901</v>
      </c>
    </row>
    <row r="1925" spans="1:37" x14ac:dyDescent="0.2">
      <c r="A1925" t="str">
        <f>"20200111160144306"</f>
        <v>20200111160144306</v>
      </c>
      <c r="B1925" t="str">
        <f>"1578729704302683"</f>
        <v>1578729704302683</v>
      </c>
      <c r="C1925" t="s">
        <v>37</v>
      </c>
      <c r="D1925">
        <v>5.0522559999999999</v>
      </c>
      <c r="E1925">
        <v>0.57881280000000002</v>
      </c>
      <c r="F1925" t="s">
        <v>42</v>
      </c>
      <c r="G1925">
        <v>-466.73270000000002</v>
      </c>
      <c r="H1925">
        <v>1.038931</v>
      </c>
      <c r="I1925">
        <v>286.88909999999998</v>
      </c>
      <c r="J1925">
        <v>-466.19069999999999</v>
      </c>
      <c r="K1925">
        <v>1.1050659999999899</v>
      </c>
      <c r="L1925">
        <v>286.76089999999999</v>
      </c>
      <c r="M1925">
        <v>-0.99928419999999896</v>
      </c>
      <c r="N1925">
        <v>0</v>
      </c>
      <c r="O1925">
        <v>3.524033E-2</v>
      </c>
      <c r="P1925">
        <v>-0.99958969999999903</v>
      </c>
      <c r="Q1925">
        <v>1.797325E-2</v>
      </c>
      <c r="R1925">
        <v>-2.2311770000000002E-2</v>
      </c>
      <c r="S1925">
        <v>-3.017395</v>
      </c>
      <c r="T1925">
        <v>-0.25873370000000001</v>
      </c>
      <c r="U1925">
        <v>0.5285339</v>
      </c>
      <c r="V1925">
        <v>-5.756679E-2</v>
      </c>
      <c r="W1925">
        <v>3.1636980000000002E-2</v>
      </c>
      <c r="X1925">
        <v>0.99784019999999995</v>
      </c>
      <c r="Y1925">
        <v>0.1373501</v>
      </c>
      <c r="Z1925">
        <v>2.8426529999999901E-3</v>
      </c>
      <c r="AA1925">
        <v>0.99051849999999997</v>
      </c>
      <c r="AB1925">
        <v>24</v>
      </c>
      <c r="AC1925">
        <v>-0.54200000000003001</v>
      </c>
      <c r="AD1925">
        <v>-6.6134999999999805E-2</v>
      </c>
      <c r="AE1925">
        <v>0.12819999999999199</v>
      </c>
      <c r="AF1925">
        <v>0.107502494366853</v>
      </c>
      <c r="AG1925">
        <v>-6.6134999999999805E-2</v>
      </c>
      <c r="AH1925">
        <v>0.53858738736050604</v>
      </c>
      <c r="AI1925">
        <v>96.866388258714693</v>
      </c>
      <c r="AJ1925">
        <v>78.712059831643103</v>
      </c>
      <c r="AK1925">
        <v>0.553178993042859</v>
      </c>
    </row>
    <row r="1926" spans="1:37" x14ac:dyDescent="0.2">
      <c r="A1926" t="str">
        <f>"20200111160144329"</f>
        <v>20200111160144329</v>
      </c>
      <c r="B1926" t="str">
        <f>"1578729704323179"</f>
        <v>1578729704323179</v>
      </c>
      <c r="C1926" t="s">
        <v>37</v>
      </c>
      <c r="D1926">
        <v>5.0855759999999997</v>
      </c>
      <c r="E1926">
        <v>0.58017299999999905</v>
      </c>
      <c r="F1926" t="s">
        <v>42</v>
      </c>
      <c r="G1926">
        <v>-466.94589999999999</v>
      </c>
      <c r="H1926">
        <v>1.043174</v>
      </c>
      <c r="I1926">
        <v>286.9006</v>
      </c>
      <c r="J1926">
        <v>-466.43270000000001</v>
      </c>
      <c r="K1926">
        <v>1.1051059999999999</v>
      </c>
      <c r="L1926">
        <v>286.76839999999999</v>
      </c>
      <c r="M1926">
        <v>-0.99931539999999996</v>
      </c>
      <c r="N1926">
        <v>0</v>
      </c>
      <c r="O1926">
        <v>3.4344189999999997E-2</v>
      </c>
      <c r="P1926">
        <v>-0.99957129999999905</v>
      </c>
      <c r="Q1926">
        <v>1.9502809999999999E-2</v>
      </c>
      <c r="R1926">
        <v>-2.183614E-2</v>
      </c>
      <c r="S1926">
        <v>-3.018097</v>
      </c>
      <c r="T1926">
        <v>-0.24746379999999901</v>
      </c>
      <c r="U1926">
        <v>0.55715939999999997</v>
      </c>
      <c r="V1926">
        <v>-5.6199810000000003E-2</v>
      </c>
      <c r="W1926">
        <v>3.3162530000000003E-2</v>
      </c>
      <c r="X1926">
        <v>0.99786869999999905</v>
      </c>
      <c r="Y1926">
        <v>0.1472889</v>
      </c>
      <c r="Z1926">
        <v>3.1924779999999999E-3</v>
      </c>
      <c r="AA1926">
        <v>0.98908839999999998</v>
      </c>
      <c r="AB1926">
        <v>24</v>
      </c>
      <c r="AC1926">
        <v>-0.513199999999983</v>
      </c>
      <c r="AD1926">
        <v>-6.19319999999998E-2</v>
      </c>
      <c r="AE1926">
        <v>0.132200000000011</v>
      </c>
      <c r="AF1926">
        <v>0.11295230438755401</v>
      </c>
      <c r="AG1926">
        <v>-6.19319999999998E-2</v>
      </c>
      <c r="AH1926">
        <v>0.51046649746009298</v>
      </c>
      <c r="AI1926">
        <v>96.755718205365</v>
      </c>
      <c r="AJ1926">
        <v>77.523045695792305</v>
      </c>
      <c r="AK1926">
        <v>0.526469221056306</v>
      </c>
    </row>
    <row r="1927" spans="1:37" x14ac:dyDescent="0.2">
      <c r="A1927" t="str">
        <f>"20200111160144354"</f>
        <v>20200111160144354</v>
      </c>
      <c r="B1927" t="str">
        <f>"1578729704342699"</f>
        <v>1578729704342699</v>
      </c>
      <c r="C1927" t="s">
        <v>37</v>
      </c>
      <c r="D1927">
        <v>5.0425069999999996</v>
      </c>
      <c r="E1927">
        <v>0.58128080000000004</v>
      </c>
      <c r="F1927" t="s">
        <v>42</v>
      </c>
      <c r="G1927">
        <v>-467.15890000000002</v>
      </c>
      <c r="H1927">
        <v>1.0474000000000001</v>
      </c>
      <c r="I1927">
        <v>286.90589999999997</v>
      </c>
      <c r="J1927">
        <v>-466.69229999999999</v>
      </c>
      <c r="K1927">
        <v>1.10514</v>
      </c>
      <c r="L1927">
        <v>286.77609999999999</v>
      </c>
      <c r="M1927">
        <v>-0.99934969999999901</v>
      </c>
      <c r="N1927">
        <v>0</v>
      </c>
      <c r="O1927">
        <v>3.3330079999999998E-2</v>
      </c>
      <c r="P1927">
        <v>-0.99952750000000001</v>
      </c>
      <c r="Q1927">
        <v>2.1191310000000001E-2</v>
      </c>
      <c r="R1927">
        <v>-2.2269589999999999E-2</v>
      </c>
      <c r="S1927">
        <v>-3.0184630000000001</v>
      </c>
      <c r="T1927">
        <v>-0.24029589999999901</v>
      </c>
      <c r="U1927">
        <v>0.56927490000000003</v>
      </c>
      <c r="V1927">
        <v>-5.5623249999999999E-2</v>
      </c>
      <c r="W1927">
        <v>3.4845279999999999E-2</v>
      </c>
      <c r="X1927">
        <v>0.99784359999999905</v>
      </c>
      <c r="Y1927">
        <v>0.152109299999999</v>
      </c>
      <c r="Z1927">
        <v>3.3684969999999998E-3</v>
      </c>
      <c r="AA1927">
        <v>0.98835799999999996</v>
      </c>
      <c r="AB1927">
        <v>23</v>
      </c>
      <c r="AC1927">
        <v>-0.46660000000002799</v>
      </c>
      <c r="AD1927">
        <v>-5.7739999999999903E-2</v>
      </c>
      <c r="AE1927">
        <v>0.12979999999998801</v>
      </c>
      <c r="AF1927">
        <v>0.11257453357457201</v>
      </c>
      <c r="AG1927">
        <v>-5.7739999999999903E-2</v>
      </c>
      <c r="AH1927">
        <v>0.464071405149239</v>
      </c>
      <c r="AI1927">
        <v>96.894379483703503</v>
      </c>
      <c r="AJ1927">
        <v>76.364565810204795</v>
      </c>
      <c r="AK1927">
        <v>0.48100852621000501</v>
      </c>
    </row>
    <row r="1928" spans="1:37" x14ac:dyDescent="0.2">
      <c r="A1928" t="str">
        <f>"20200111160144374"</f>
        <v>20200111160144374</v>
      </c>
      <c r="B1928" t="str">
        <f>"1578729704363195"</f>
        <v>1578729704363195</v>
      </c>
      <c r="C1928" t="s">
        <v>37</v>
      </c>
      <c r="D1928">
        <v>5.0957549999999996</v>
      </c>
      <c r="E1928">
        <v>0.58203419999999995</v>
      </c>
      <c r="F1928" t="s">
        <v>42</v>
      </c>
      <c r="G1928">
        <v>-467.57060000000001</v>
      </c>
      <c r="H1928">
        <v>1.0372319999999999</v>
      </c>
      <c r="I1928">
        <v>286.94420000000002</v>
      </c>
      <c r="J1928">
        <v>-466.91070000000002</v>
      </c>
      <c r="K1928">
        <v>1.105172</v>
      </c>
      <c r="L1928">
        <v>286.7824</v>
      </c>
      <c r="M1928">
        <v>-0.99937889999999996</v>
      </c>
      <c r="N1928">
        <v>0</v>
      </c>
      <c r="O1928">
        <v>3.2444799999999899E-2</v>
      </c>
      <c r="P1928">
        <v>-0.99947509999999995</v>
      </c>
      <c r="Q1928">
        <v>2.2429359999999999E-2</v>
      </c>
      <c r="R1928">
        <v>-2.338525E-2</v>
      </c>
      <c r="S1928">
        <v>-3.019196</v>
      </c>
      <c r="T1928">
        <v>-0.23364889999999999</v>
      </c>
      <c r="U1928">
        <v>0.57672119999999905</v>
      </c>
      <c r="V1928">
        <v>-5.5856330000000003E-2</v>
      </c>
      <c r="W1928">
        <v>3.6077600000000001E-2</v>
      </c>
      <c r="X1928">
        <v>0.99778679999999997</v>
      </c>
      <c r="Y1928">
        <v>0.15530150000000001</v>
      </c>
      <c r="Z1928">
        <v>3.4640019999999999E-3</v>
      </c>
      <c r="AA1928">
        <v>0.98786099999999999</v>
      </c>
      <c r="AB1928">
        <v>23</v>
      </c>
      <c r="AC1928">
        <v>-0.65989999999999305</v>
      </c>
      <c r="AD1928">
        <v>-6.7940000000000098E-2</v>
      </c>
      <c r="AE1928">
        <v>0.16180000000002701</v>
      </c>
      <c r="AF1928">
        <v>0.138913506352705</v>
      </c>
      <c r="AG1928">
        <v>-6.7940000000000098E-2</v>
      </c>
      <c r="AH1928">
        <v>0.65822126519744395</v>
      </c>
      <c r="AI1928">
        <v>95.766918066527595</v>
      </c>
      <c r="AJ1928">
        <v>78.0829544953084</v>
      </c>
      <c r="AK1928">
        <v>0.67614202635639098</v>
      </c>
    </row>
    <row r="1929" spans="1:37" x14ac:dyDescent="0.2">
      <c r="A1929" t="str">
        <f>"20200111160144398"</f>
        <v>20200111160144398</v>
      </c>
      <c r="B1929" t="str">
        <f>"1578729704393452"</f>
        <v>1578729704393452</v>
      </c>
      <c r="C1929" t="s">
        <v>37</v>
      </c>
      <c r="D1929">
        <v>5.3256059999999996</v>
      </c>
      <c r="E1929">
        <v>0.58207310000000001</v>
      </c>
      <c r="F1929" t="s">
        <v>42</v>
      </c>
      <c r="G1929">
        <v>-467.78100000000001</v>
      </c>
      <c r="H1929">
        <v>1.0392790000000001</v>
      </c>
      <c r="I1929">
        <v>286.94959999999998</v>
      </c>
      <c r="J1929">
        <v>-467.14940000000001</v>
      </c>
      <c r="K1929">
        <v>1.105194</v>
      </c>
      <c r="L1929">
        <v>286.78899999999999</v>
      </c>
      <c r="M1929">
        <v>-0.99941069999999999</v>
      </c>
      <c r="N1929">
        <v>0</v>
      </c>
      <c r="O1929">
        <v>3.1451689999999997E-2</v>
      </c>
      <c r="P1929">
        <v>-0.99936840000000005</v>
      </c>
      <c r="Q1929">
        <v>2.4190529999999998E-2</v>
      </c>
      <c r="R1929">
        <v>-2.6037399999999999E-2</v>
      </c>
      <c r="S1929">
        <v>-3.0202939999999998</v>
      </c>
      <c r="T1929">
        <v>-0.22882279999999999</v>
      </c>
      <c r="U1929">
        <v>0.57968140000000001</v>
      </c>
      <c r="V1929">
        <v>-5.7515379999999998E-2</v>
      </c>
      <c r="W1929">
        <v>3.7830210000000003E-2</v>
      </c>
      <c r="X1929">
        <v>0.99762759999999995</v>
      </c>
      <c r="Y1929">
        <v>0.15715750000000001</v>
      </c>
      <c r="Z1929">
        <v>3.5350389999999998E-3</v>
      </c>
      <c r="AA1929">
        <v>0.98756719999999898</v>
      </c>
      <c r="AB1929">
        <v>23</v>
      </c>
      <c r="AC1929">
        <v>-0.63159999999999095</v>
      </c>
      <c r="AD1929">
        <v>-6.5914999999999904E-2</v>
      </c>
      <c r="AE1929">
        <v>0.160599999999988</v>
      </c>
      <c r="AF1929">
        <v>0.13922945102878601</v>
      </c>
      <c r="AG1929">
        <v>-6.5914999999999904E-2</v>
      </c>
      <c r="AH1929">
        <v>0.62989526992145295</v>
      </c>
      <c r="AI1929">
        <v>95.834126314549906</v>
      </c>
      <c r="AJ1929">
        <v>77.535982611199699</v>
      </c>
      <c r="AK1929">
        <v>0.64845792332902996</v>
      </c>
    </row>
    <row r="1930" spans="1:37" x14ac:dyDescent="0.2">
      <c r="A1930" t="str">
        <f>"20200111160144417"</f>
        <v>20200111160144417</v>
      </c>
      <c r="B1930" t="str">
        <f>"1578729704412971"</f>
        <v>1578729704412971</v>
      </c>
      <c r="C1930" t="s">
        <v>37</v>
      </c>
      <c r="D1930">
        <v>5.1313800000000001</v>
      </c>
      <c r="E1930">
        <v>0.517924299999999</v>
      </c>
      <c r="F1930" t="s">
        <v>42</v>
      </c>
      <c r="G1930">
        <v>-467.99130000000002</v>
      </c>
      <c r="H1930">
        <v>1.042643</v>
      </c>
      <c r="I1930">
        <v>286.94869999999997</v>
      </c>
      <c r="J1930">
        <v>-467.3571</v>
      </c>
      <c r="K1930">
        <v>1.1052070000000001</v>
      </c>
      <c r="L1930">
        <v>286.79450000000003</v>
      </c>
      <c r="M1930">
        <v>-0.99943799999999905</v>
      </c>
      <c r="N1930">
        <v>0</v>
      </c>
      <c r="O1930">
        <v>3.057406E-2</v>
      </c>
      <c r="P1930">
        <v>-0.99923809999999902</v>
      </c>
      <c r="Q1930">
        <v>2.60483E-2</v>
      </c>
      <c r="R1930">
        <v>-2.9069319999999999E-2</v>
      </c>
      <c r="S1930">
        <v>-3.0222169999999999</v>
      </c>
      <c r="T1930">
        <v>-0.22492300000000001</v>
      </c>
      <c r="U1930">
        <v>0.57168580000000002</v>
      </c>
      <c r="V1930">
        <v>-5.9669239999999998E-2</v>
      </c>
      <c r="W1930">
        <v>3.9679430000000002E-2</v>
      </c>
      <c r="X1930">
        <v>0.99742929999999996</v>
      </c>
      <c r="Y1930">
        <v>0.15540109999999999</v>
      </c>
      <c r="Z1930">
        <v>3.4734639999999999E-3</v>
      </c>
      <c r="AA1930">
        <v>0.98784539999999998</v>
      </c>
      <c r="AB1930">
        <v>23</v>
      </c>
      <c r="AC1930">
        <v>-0.63420000000002097</v>
      </c>
      <c r="AD1930">
        <v>-6.2563999999999995E-2</v>
      </c>
      <c r="AE1930">
        <v>0.15419999999994599</v>
      </c>
      <c r="AF1930">
        <v>0.133509226448075</v>
      </c>
      <c r="AG1930">
        <v>-6.2563999999999995E-2</v>
      </c>
      <c r="AH1930">
        <v>0.63280380184797602</v>
      </c>
      <c r="AI1930">
        <v>95.525503994700898</v>
      </c>
      <c r="AJ1930">
        <v>78.086428948915696</v>
      </c>
      <c r="AK1930">
        <v>0.64975350655153596</v>
      </c>
    </row>
    <row r="1931" spans="1:37" x14ac:dyDescent="0.2">
      <c r="A1931" t="str">
        <f>"20200111160144440"</f>
        <v>20200111160144440</v>
      </c>
      <c r="B1931" t="str">
        <f>"1578729704433467"</f>
        <v>1578729704433467</v>
      </c>
      <c r="C1931" t="s">
        <v>37</v>
      </c>
      <c r="D1931">
        <v>5.1015629999999996</v>
      </c>
      <c r="E1931">
        <v>0.51301799999999997</v>
      </c>
      <c r="F1931" t="s">
        <v>54</v>
      </c>
      <c r="G1931">
        <v>-494.1823</v>
      </c>
      <c r="H1931" s="1">
        <v>3.4543329999999898E-6</v>
      </c>
      <c r="I1931">
        <v>287.26549999999997</v>
      </c>
      <c r="J1931">
        <v>-467.59269999999998</v>
      </c>
      <c r="K1931">
        <v>1.105216</v>
      </c>
      <c r="L1931">
        <v>286.8005</v>
      </c>
      <c r="M1931">
        <v>-0.99946819999999903</v>
      </c>
      <c r="N1931">
        <v>0</v>
      </c>
      <c r="O1931">
        <v>2.9572129999999999E-2</v>
      </c>
      <c r="P1931">
        <v>-0.99907990000000002</v>
      </c>
      <c r="Q1931">
        <v>2.852733E-2</v>
      </c>
      <c r="R1931">
        <v>-3.2031730000000001E-2</v>
      </c>
      <c r="S1931">
        <v>-3.00705</v>
      </c>
      <c r="T1931">
        <v>-0.12389120000000001</v>
      </c>
      <c r="U1931">
        <v>5.2795410000000001E-2</v>
      </c>
      <c r="V1931">
        <v>-6.1628580000000002E-2</v>
      </c>
      <c r="W1931">
        <v>4.214975E-2</v>
      </c>
      <c r="X1931">
        <v>0.99720880000000001</v>
      </c>
      <c r="Y1931">
        <v>-1.19883E-2</v>
      </c>
      <c r="Z1931">
        <v>-1.4645089999999999E-3</v>
      </c>
      <c r="AA1931">
        <v>0.99992700000000001</v>
      </c>
      <c r="AB1931">
        <v>23</v>
      </c>
      <c r="AC1931">
        <v>-26.589600000000001</v>
      </c>
      <c r="AD1931">
        <v>-1.1052125456669999</v>
      </c>
      <c r="AE1931">
        <v>0.46499999999997499</v>
      </c>
      <c r="AF1931">
        <v>-0.321034274357621</v>
      </c>
      <c r="AG1931">
        <v>-1.1052125456669999</v>
      </c>
      <c r="AH1931">
        <v>26.5458719061462</v>
      </c>
      <c r="AI1931">
        <v>92.383905183359502</v>
      </c>
      <c r="AJ1931">
        <v>90.692876557743801</v>
      </c>
      <c r="AK1931">
        <v>26.570808663530201</v>
      </c>
    </row>
    <row r="1932" spans="1:37" x14ac:dyDescent="0.2">
      <c r="A1932" t="str">
        <f>"20200111160144462"</f>
        <v>20200111160144462</v>
      </c>
      <c r="B1932" t="str">
        <f>"1578729704452987"</f>
        <v>1578729704452987</v>
      </c>
      <c r="C1932" t="s">
        <v>37</v>
      </c>
      <c r="D1932">
        <v>5.0409360000000003</v>
      </c>
      <c r="E1932">
        <v>0.51138379999999894</v>
      </c>
      <c r="F1932" t="s">
        <v>54</v>
      </c>
      <c r="G1932">
        <v>-490.8159</v>
      </c>
      <c r="H1932" s="1">
        <v>4.0135760000000002E-6</v>
      </c>
      <c r="I1932">
        <v>286.83210000000003</v>
      </c>
      <c r="J1932">
        <v>-467.81959999999998</v>
      </c>
      <c r="K1932">
        <v>1.105216</v>
      </c>
      <c r="L1932">
        <v>286.80619999999999</v>
      </c>
      <c r="M1932">
        <v>-0.9994963</v>
      </c>
      <c r="N1932">
        <v>0</v>
      </c>
      <c r="O1932">
        <v>2.8605990000000001E-2</v>
      </c>
      <c r="P1932">
        <v>-0.99897939999999996</v>
      </c>
      <c r="Q1932">
        <v>2.97159E-2</v>
      </c>
      <c r="R1932">
        <v>-3.4018670000000001E-2</v>
      </c>
      <c r="S1932">
        <v>-3.0070189999999899</v>
      </c>
      <c r="T1932">
        <v>-0.14310610000000001</v>
      </c>
      <c r="U1932">
        <v>4.0893550000000002E-3</v>
      </c>
      <c r="V1932">
        <v>-6.2649609999999994E-2</v>
      </c>
      <c r="W1932">
        <v>4.3333610000000002E-2</v>
      </c>
      <c r="X1932">
        <v>0.99709439999999905</v>
      </c>
      <c r="Y1932">
        <v>-2.7186140000000001E-2</v>
      </c>
      <c r="Z1932">
        <v>-2.007128E-3</v>
      </c>
      <c r="AA1932">
        <v>0.99962839999999997</v>
      </c>
      <c r="AB1932">
        <v>23</v>
      </c>
      <c r="AC1932">
        <v>-22.996300000000002</v>
      </c>
      <c r="AD1932">
        <v>-1.105211986424</v>
      </c>
      <c r="AE1932">
        <v>2.5900000000035499E-2</v>
      </c>
      <c r="AF1932">
        <v>-0.630548210201058</v>
      </c>
      <c r="AG1932">
        <v>-1.105211986424</v>
      </c>
      <c r="AH1932">
        <v>22.934653793237</v>
      </c>
      <c r="AI1932">
        <v>92.757886366020202</v>
      </c>
      <c r="AJ1932">
        <v>91.574850570709998</v>
      </c>
      <c r="AK1932">
        <v>22.969924449069499</v>
      </c>
    </row>
    <row r="1933" spans="1:37" x14ac:dyDescent="0.2">
      <c r="A1933" t="str">
        <f>"20200111160144486"</f>
        <v>20200111160144486</v>
      </c>
      <c r="B1933" t="str">
        <f>"1578729704483242"</f>
        <v>1578729704483242</v>
      </c>
      <c r="C1933" t="s">
        <v>37</v>
      </c>
      <c r="D1933">
        <v>5.146744</v>
      </c>
      <c r="E1933">
        <v>0.50974679999999895</v>
      </c>
      <c r="F1933" t="s">
        <v>54</v>
      </c>
      <c r="G1933">
        <v>-490.20479999999998</v>
      </c>
      <c r="H1933" s="1">
        <v>4.1097429999999999E-6</v>
      </c>
      <c r="I1933">
        <v>286.69209999999998</v>
      </c>
      <c r="J1933">
        <v>-468.05959999999999</v>
      </c>
      <c r="K1933">
        <v>1.1052120000000001</v>
      </c>
      <c r="L1933">
        <v>286.81180000000001</v>
      </c>
      <c r="M1933">
        <v>-0.999525</v>
      </c>
      <c r="N1933">
        <v>0</v>
      </c>
      <c r="O1933">
        <v>2.7588689999999999E-2</v>
      </c>
      <c r="P1933">
        <v>-0.99887780000000004</v>
      </c>
      <c r="Q1933">
        <v>2.932943E-2</v>
      </c>
      <c r="R1933">
        <v>-3.719103E-2</v>
      </c>
      <c r="S1933">
        <v>-3.006958</v>
      </c>
      <c r="T1933">
        <v>-0.14846110000000001</v>
      </c>
      <c r="U1933">
        <v>-1.531982E-2</v>
      </c>
      <c r="V1933">
        <v>-6.4801029999999996E-2</v>
      </c>
      <c r="W1933">
        <v>4.2940590000000001E-2</v>
      </c>
      <c r="X1933">
        <v>0.99697389999999997</v>
      </c>
      <c r="Y1933">
        <v>-3.2610409999999999E-2</v>
      </c>
      <c r="Z1933">
        <v>-2.1658419999999999E-3</v>
      </c>
      <c r="AA1933">
        <v>0.99946579999999996</v>
      </c>
      <c r="AB1933">
        <v>23</v>
      </c>
      <c r="AC1933">
        <v>-22.1451999999999</v>
      </c>
      <c r="AD1933">
        <v>-1.1052078902569999</v>
      </c>
      <c r="AE1933">
        <v>-0.119700000000023</v>
      </c>
      <c r="AF1933">
        <v>-0.72885378604255402</v>
      </c>
      <c r="AG1933">
        <v>-1.1052078902569999</v>
      </c>
      <c r="AH1933">
        <v>22.078476194090801</v>
      </c>
      <c r="AI1933">
        <v>92.864171572560196</v>
      </c>
      <c r="AJ1933">
        <v>91.890759371579307</v>
      </c>
      <c r="AK1933">
        <v>22.1181333610038</v>
      </c>
    </row>
    <row r="1934" spans="1:37" x14ac:dyDescent="0.2">
      <c r="A1934" t="str">
        <f>"20200111160144508"</f>
        <v>20200111160144508</v>
      </c>
      <c r="B1934" t="str">
        <f>"1578729704502762"</f>
        <v>1578729704502762</v>
      </c>
      <c r="C1934" t="s">
        <v>37</v>
      </c>
      <c r="D1934">
        <v>4.9826600000000001</v>
      </c>
      <c r="E1934">
        <v>0.5094786</v>
      </c>
      <c r="F1934" t="s">
        <v>54</v>
      </c>
      <c r="G1934">
        <v>-488.42500000000001</v>
      </c>
      <c r="H1934" s="1">
        <v>3.8699019999999996E-6</v>
      </c>
      <c r="I1934">
        <v>286.55739999999997</v>
      </c>
      <c r="J1934">
        <v>-468.28609999999998</v>
      </c>
      <c r="K1934">
        <v>1.1052139999999999</v>
      </c>
      <c r="L1934">
        <v>286.81700000000001</v>
      </c>
      <c r="M1934">
        <v>-0.99955079999999996</v>
      </c>
      <c r="N1934">
        <v>0</v>
      </c>
      <c r="O1934">
        <v>2.6635180000000001E-2</v>
      </c>
      <c r="P1934">
        <v>-0.99876690000000001</v>
      </c>
      <c r="Q1934">
        <v>2.9290070000000001E-2</v>
      </c>
      <c r="R1934">
        <v>-4.0084910000000001E-2</v>
      </c>
      <c r="S1934">
        <v>-3.0068049999999999</v>
      </c>
      <c r="T1934">
        <v>-0.16317619999999999</v>
      </c>
      <c r="U1934">
        <v>-3.7567139999999999E-2</v>
      </c>
      <c r="V1934">
        <v>-6.6738749999999999E-2</v>
      </c>
      <c r="W1934">
        <v>4.289486E-2</v>
      </c>
      <c r="X1934">
        <v>0.99684799999999996</v>
      </c>
      <c r="Y1934">
        <v>-3.9027640000000002E-2</v>
      </c>
      <c r="Z1934">
        <v>-2.502588E-3</v>
      </c>
      <c r="AA1934">
        <v>0.99923499999999998</v>
      </c>
      <c r="AB1934">
        <v>23</v>
      </c>
      <c r="AC1934">
        <v>-20.1389</v>
      </c>
      <c r="AD1934">
        <v>-1.105210130098</v>
      </c>
      <c r="AE1934">
        <v>-0.25960000000003403</v>
      </c>
      <c r="AF1934">
        <v>-0.79357210287090196</v>
      </c>
      <c r="AG1934">
        <v>-1.105210130098</v>
      </c>
      <c r="AH1934">
        <v>20.0644197598041</v>
      </c>
      <c r="AI1934">
        <v>93.150383975298794</v>
      </c>
      <c r="AJ1934">
        <v>92.264936954426801</v>
      </c>
      <c r="AK1934">
        <v>20.110499407318098</v>
      </c>
    </row>
    <row r="1935" spans="1:37" x14ac:dyDescent="0.2">
      <c r="A1935" t="str">
        <f>"20200111160144530"</f>
        <v>20200111160144530</v>
      </c>
      <c r="B1935" t="str">
        <f>"1578729704523258"</f>
        <v>1578729704523258</v>
      </c>
      <c r="C1935" t="s">
        <v>37</v>
      </c>
      <c r="D1935">
        <v>4.9740839999999897</v>
      </c>
      <c r="E1935">
        <v>0.50944160000000005</v>
      </c>
      <c r="F1935" t="s">
        <v>54</v>
      </c>
      <c r="G1935">
        <v>-487.7</v>
      </c>
      <c r="H1935" s="1">
        <v>3.7370739999999999E-6</v>
      </c>
      <c r="I1935">
        <v>286.50900000000001</v>
      </c>
      <c r="J1935">
        <v>-468.51740000000001</v>
      </c>
      <c r="K1935">
        <v>1.1052090000000001</v>
      </c>
      <c r="L1935">
        <v>286.822</v>
      </c>
      <c r="M1935">
        <v>-0.99957619999999903</v>
      </c>
      <c r="N1935">
        <v>0</v>
      </c>
      <c r="O1935">
        <v>2.566711E-2</v>
      </c>
      <c r="P1935">
        <v>-0.99872340000000004</v>
      </c>
      <c r="Q1935">
        <v>2.9499279999999999E-2</v>
      </c>
      <c r="R1935">
        <v>-4.1003009999999999E-2</v>
      </c>
      <c r="S1935">
        <v>-3.0068049999999999</v>
      </c>
      <c r="T1935">
        <v>-0.1711732</v>
      </c>
      <c r="U1935">
        <v>-4.769897E-2</v>
      </c>
      <c r="V1935">
        <v>-6.6689680000000001E-2</v>
      </c>
      <c r="W1935">
        <v>4.3102090000000003E-2</v>
      </c>
      <c r="X1935">
        <v>0.99684240000000002</v>
      </c>
      <c r="Y1935">
        <v>-4.1414159999999998E-2</v>
      </c>
      <c r="Z1935">
        <v>-2.6378079999999902E-3</v>
      </c>
      <c r="AA1935">
        <v>0.99913859999999999</v>
      </c>
      <c r="AB1935">
        <v>23</v>
      </c>
      <c r="AC1935">
        <v>-19.182599999999901</v>
      </c>
      <c r="AD1935">
        <v>-1.1052052629260001</v>
      </c>
      <c r="AE1935">
        <v>-0.31299999999998801</v>
      </c>
      <c r="AF1935">
        <v>-0.80264155785307401</v>
      </c>
      <c r="AG1935">
        <v>-1.1052052629260001</v>
      </c>
      <c r="AH1935">
        <v>19.104843055248001</v>
      </c>
      <c r="AI1935">
        <v>93.3079295587319</v>
      </c>
      <c r="AJ1935">
        <v>92.405722215552203</v>
      </c>
      <c r="AK1935">
        <v>19.153609067464298</v>
      </c>
    </row>
    <row r="1936" spans="1:37" x14ac:dyDescent="0.2">
      <c r="A1936" t="str">
        <f>"20200111160144553"</f>
        <v>20200111160144553</v>
      </c>
      <c r="B1936" t="str">
        <f>"1578729704543286"</f>
        <v>1578729704543286</v>
      </c>
      <c r="C1936" t="s">
        <v>37</v>
      </c>
      <c r="D1936">
        <v>4.992534</v>
      </c>
      <c r="E1936">
        <v>0.50950799999999996</v>
      </c>
      <c r="F1936" t="s">
        <v>54</v>
      </c>
      <c r="G1936">
        <v>-487.26870000000002</v>
      </c>
      <c r="H1936" s="1">
        <v>3.6605590000000001E-6</v>
      </c>
      <c r="I1936">
        <v>286.50900000000001</v>
      </c>
      <c r="J1936">
        <v>-468.75</v>
      </c>
      <c r="K1936">
        <v>1.105208</v>
      </c>
      <c r="L1936">
        <v>286.82690000000002</v>
      </c>
      <c r="M1936">
        <v>-0.99960070000000001</v>
      </c>
      <c r="N1936">
        <v>0</v>
      </c>
      <c r="O1936">
        <v>2.4692860000000001E-2</v>
      </c>
      <c r="P1936">
        <v>-0.99877070000000001</v>
      </c>
      <c r="Q1936">
        <v>2.8816339999999999E-2</v>
      </c>
      <c r="R1936">
        <v>-4.0335099999999999E-2</v>
      </c>
      <c r="S1936">
        <v>-3.0070189999999899</v>
      </c>
      <c r="T1936">
        <v>-0.17723420000000001</v>
      </c>
      <c r="U1936">
        <v>-5.0201419999999997E-2</v>
      </c>
      <c r="V1936">
        <v>-6.5049689999999993E-2</v>
      </c>
      <c r="W1936">
        <v>4.2421779999999999E-2</v>
      </c>
      <c r="X1936">
        <v>0.99697990000000003</v>
      </c>
      <c r="Y1936">
        <v>-4.1264639999999998E-2</v>
      </c>
      <c r="Z1936">
        <v>-2.6690729999999901E-3</v>
      </c>
      <c r="AA1936">
        <v>0.9991447</v>
      </c>
      <c r="AB1936">
        <v>23</v>
      </c>
      <c r="AC1936">
        <v>-18.518699999999999</v>
      </c>
      <c r="AD1936">
        <v>-1.105204339441</v>
      </c>
      <c r="AE1936">
        <v>-0.31790000000000801</v>
      </c>
      <c r="AF1936">
        <v>-0.77237566359412002</v>
      </c>
      <c r="AG1936">
        <v>-1.105204339441</v>
      </c>
      <c r="AH1936">
        <v>18.4395438923707</v>
      </c>
      <c r="AI1936">
        <v>93.427015335769099</v>
      </c>
      <c r="AJ1936">
        <v>92.398541517688102</v>
      </c>
      <c r="AK1936">
        <v>18.488775507217799</v>
      </c>
    </row>
    <row r="1937" spans="1:37" x14ac:dyDescent="0.2">
      <c r="A1937" t="str">
        <f>"20200111160144574"</f>
        <v>20200111160144574</v>
      </c>
      <c r="B1937" t="str">
        <f>"1578729704562806"</f>
        <v>1578729704562806</v>
      </c>
      <c r="C1937" t="s">
        <v>37</v>
      </c>
      <c r="D1937">
        <v>4.9874519999999896</v>
      </c>
      <c r="E1937">
        <v>0.50967070000000003</v>
      </c>
      <c r="F1937" t="s">
        <v>54</v>
      </c>
      <c r="G1937">
        <v>-486.73630000000003</v>
      </c>
      <c r="H1937" s="1">
        <v>3.5688020000000001E-6</v>
      </c>
      <c r="I1937">
        <v>286.53969999999998</v>
      </c>
      <c r="J1937">
        <v>-468.9753</v>
      </c>
      <c r="K1937">
        <v>1.1052040000000001</v>
      </c>
      <c r="L1937">
        <v>286.8313</v>
      </c>
      <c r="M1937">
        <v>-0.99962379999999995</v>
      </c>
      <c r="N1937">
        <v>0</v>
      </c>
      <c r="O1937">
        <v>2.374604E-2</v>
      </c>
      <c r="P1937">
        <v>-0.99886379999999997</v>
      </c>
      <c r="Q1937">
        <v>2.782074E-2</v>
      </c>
      <c r="R1937">
        <v>-3.8703330000000001E-2</v>
      </c>
      <c r="S1937">
        <v>-3.00705</v>
      </c>
      <c r="T1937">
        <v>-0.18477449999999901</v>
      </c>
      <c r="U1937">
        <v>-4.8004150000000002E-2</v>
      </c>
      <c r="V1937">
        <v>-6.247399E-2</v>
      </c>
      <c r="W1937">
        <v>4.1430359999999999E-2</v>
      </c>
      <c r="X1937">
        <v>0.99718629999999997</v>
      </c>
      <c r="Y1937">
        <v>-3.9583170000000001E-2</v>
      </c>
      <c r="Z1937">
        <v>-2.6726749999999998E-3</v>
      </c>
      <c r="AA1937">
        <v>0.99921269999999995</v>
      </c>
      <c r="AB1937">
        <v>23</v>
      </c>
      <c r="AC1937">
        <v>-17.760999999999999</v>
      </c>
      <c r="AD1937">
        <v>-1.1052004311979999</v>
      </c>
      <c r="AE1937">
        <v>-0.29160000000001601</v>
      </c>
      <c r="AF1937">
        <v>-0.710560284418703</v>
      </c>
      <c r="AG1937">
        <v>-1.1052004311979999</v>
      </c>
      <c r="AH1937">
        <v>17.680623063993998</v>
      </c>
      <c r="AI1937">
        <v>93.573978098345407</v>
      </c>
      <c r="AJ1937">
        <v>92.3014012597977</v>
      </c>
      <c r="AK1937">
        <v>17.729376634330599</v>
      </c>
    </row>
    <row r="1938" spans="1:37" x14ac:dyDescent="0.2">
      <c r="A1938" t="str">
        <f>"20200111160144597"</f>
        <v>20200111160144597</v>
      </c>
      <c r="B1938" t="str">
        <f>"1578729704593062"</f>
        <v>1578729704593062</v>
      </c>
      <c r="C1938" t="s">
        <v>37</v>
      </c>
      <c r="D1938">
        <v>4.9259269999999997</v>
      </c>
      <c r="E1938">
        <v>0.50992579999999998</v>
      </c>
      <c r="F1938" t="s">
        <v>54</v>
      </c>
      <c r="G1938">
        <v>-486.22199999999998</v>
      </c>
      <c r="H1938" s="1">
        <v>3.4819300000000001E-6</v>
      </c>
      <c r="I1938">
        <v>286.58960000000002</v>
      </c>
      <c r="J1938">
        <v>-469.2133</v>
      </c>
      <c r="K1938">
        <v>1.1052139999999999</v>
      </c>
      <c r="L1938">
        <v>286.83580000000001</v>
      </c>
      <c r="M1938">
        <v>-0.99964730000000002</v>
      </c>
      <c r="N1938">
        <v>0</v>
      </c>
      <c r="O1938">
        <v>2.2732019999999999E-2</v>
      </c>
      <c r="P1938">
        <v>-0.99897179999999997</v>
      </c>
      <c r="Q1938">
        <v>2.6804599999999901E-2</v>
      </c>
      <c r="R1938">
        <v>-3.6570599999999898E-2</v>
      </c>
      <c r="S1938">
        <v>-3.00707999999999</v>
      </c>
      <c r="T1938">
        <v>-0.1926997</v>
      </c>
      <c r="U1938">
        <v>-4.214478E-2</v>
      </c>
      <c r="V1938">
        <v>-5.9331210000000002E-2</v>
      </c>
      <c r="W1938">
        <v>4.0418410000000002E-2</v>
      </c>
      <c r="X1938">
        <v>0.99741979999999997</v>
      </c>
      <c r="Y1938">
        <v>-3.6620390000000003E-2</v>
      </c>
      <c r="Z1938">
        <v>-2.6273450000000001E-3</v>
      </c>
      <c r="AA1938">
        <v>0.99932579999999904</v>
      </c>
      <c r="AB1938">
        <v>23</v>
      </c>
      <c r="AC1938">
        <v>-17.008699999999902</v>
      </c>
      <c r="AD1938">
        <v>-1.10521051806999</v>
      </c>
      <c r="AE1938">
        <v>-0.24619999999998701</v>
      </c>
      <c r="AF1938">
        <v>-0.63015479203495695</v>
      </c>
      <c r="AG1938">
        <v>-1.10521051806999</v>
      </c>
      <c r="AH1938">
        <v>16.927250133591102</v>
      </c>
      <c r="AI1938">
        <v>93.733063298182799</v>
      </c>
      <c r="AJ1938">
        <v>92.131979180516296</v>
      </c>
      <c r="AK1938">
        <v>16.974992855266201</v>
      </c>
    </row>
    <row r="1939" spans="1:37" x14ac:dyDescent="0.2">
      <c r="A1939" t="str">
        <f>"20200111160144622"</f>
        <v>20200111160144622</v>
      </c>
      <c r="B1939" t="str">
        <f>"1578729704613558"</f>
        <v>1578729704613558</v>
      </c>
      <c r="C1939" t="s">
        <v>37</v>
      </c>
      <c r="D1939">
        <v>5.0189139999999997</v>
      </c>
      <c r="E1939">
        <v>0.50999039999999995</v>
      </c>
      <c r="F1939" t="s">
        <v>54</v>
      </c>
      <c r="G1939">
        <v>-485.70690000000002</v>
      </c>
      <c r="H1939" s="1">
        <v>3.3957700000000002E-6</v>
      </c>
      <c r="I1939">
        <v>286.649</v>
      </c>
      <c r="J1939">
        <v>-469.4683</v>
      </c>
      <c r="K1939">
        <v>1.105235</v>
      </c>
      <c r="L1939">
        <v>286.84030000000001</v>
      </c>
      <c r="M1939">
        <v>-0.99967220000000001</v>
      </c>
      <c r="N1939">
        <v>0</v>
      </c>
      <c r="O1939">
        <v>2.1612570000000001E-2</v>
      </c>
      <c r="P1939">
        <v>-0.99908009999999903</v>
      </c>
      <c r="Q1939">
        <v>2.55720999999999E-2</v>
      </c>
      <c r="R1939">
        <v>-3.4425850000000001E-2</v>
      </c>
      <c r="S1939">
        <v>-3.007263</v>
      </c>
      <c r="T1939">
        <v>-0.20151140000000001</v>
      </c>
      <c r="U1939">
        <v>-3.4057619999999997E-2</v>
      </c>
      <c r="V1939">
        <v>-5.6071469999999998E-2</v>
      </c>
      <c r="W1939">
        <v>3.9189620000000001E-2</v>
      </c>
      <c r="X1939">
        <v>0.99765740000000003</v>
      </c>
      <c r="Y1939">
        <v>-3.2812929999999997E-2</v>
      </c>
      <c r="Z1939">
        <v>-2.5447500000000001E-3</v>
      </c>
      <c r="AA1939">
        <v>0.99945830000000002</v>
      </c>
      <c r="AB1939">
        <v>23</v>
      </c>
      <c r="AC1939">
        <v>-16.238600000000002</v>
      </c>
      <c r="AD1939">
        <v>-1.1052316042299899</v>
      </c>
      <c r="AE1939">
        <v>-0.19130000000001199</v>
      </c>
      <c r="AF1939">
        <v>-0.53974625717664904</v>
      </c>
      <c r="AG1939">
        <v>-1.1052316042299899</v>
      </c>
      <c r="AH1939">
        <v>16.155840904362599</v>
      </c>
      <c r="AI1939">
        <v>93.911368625725203</v>
      </c>
      <c r="AJ1939">
        <v>91.913468000594705</v>
      </c>
      <c r="AK1939">
        <v>16.202594182667202</v>
      </c>
    </row>
    <row r="1940" spans="1:37" x14ac:dyDescent="0.2">
      <c r="A1940" t="str">
        <f>"20200111160144641"</f>
        <v>20200111160144641</v>
      </c>
      <c r="B1940" t="str">
        <f>"1578729704633078"</f>
        <v>1578729704633078</v>
      </c>
      <c r="C1940" t="s">
        <v>37</v>
      </c>
      <c r="D1940">
        <v>4.8845450000000001</v>
      </c>
      <c r="E1940">
        <v>0.51019669999999995</v>
      </c>
      <c r="F1940" t="s">
        <v>54</v>
      </c>
      <c r="G1940">
        <v>-485.50439999999998</v>
      </c>
      <c r="H1940" s="1">
        <v>3.363926E-6</v>
      </c>
      <c r="I1940">
        <v>286.69580000000002</v>
      </c>
      <c r="J1940">
        <v>-469.6694</v>
      </c>
      <c r="K1940">
        <v>1.1052660000000001</v>
      </c>
      <c r="L1940">
        <v>286.84359999999998</v>
      </c>
      <c r="M1940">
        <v>-0.99969169999999996</v>
      </c>
      <c r="N1940">
        <v>0</v>
      </c>
      <c r="O1940">
        <v>2.0691399999999999E-2</v>
      </c>
      <c r="P1940">
        <v>-0.99914999999999998</v>
      </c>
      <c r="Q1940">
        <v>2.6110970000000001E-2</v>
      </c>
      <c r="R1940">
        <v>-3.1903599999999997E-2</v>
      </c>
      <c r="S1940">
        <v>-3.0071720000000002</v>
      </c>
      <c r="T1940">
        <v>-0.20725940000000001</v>
      </c>
      <c r="U1940">
        <v>-2.709961E-2</v>
      </c>
      <c r="V1940">
        <v>-5.263437E-2</v>
      </c>
      <c r="W1940">
        <v>3.973136E-2</v>
      </c>
      <c r="X1940">
        <v>0.99782320000000002</v>
      </c>
      <c r="Y1940">
        <v>-2.9582609999999999E-2</v>
      </c>
      <c r="Z1940">
        <v>-2.4426729999999998E-3</v>
      </c>
      <c r="AA1940">
        <v>0.99955930000000004</v>
      </c>
      <c r="AB1940">
        <v>23</v>
      </c>
      <c r="AC1940">
        <v>-15.8349999999999</v>
      </c>
      <c r="AD1940">
        <v>-1.1052626360740001</v>
      </c>
      <c r="AE1940">
        <v>-0.14779999999996099</v>
      </c>
      <c r="AF1940">
        <v>-0.473142650434491</v>
      </c>
      <c r="AG1940">
        <v>-1.1052626360740001</v>
      </c>
      <c r="AH1940">
        <v>15.7518168014058</v>
      </c>
      <c r="AI1940">
        <v>94.011908793225302</v>
      </c>
      <c r="AJ1940">
        <v>91.720495403806595</v>
      </c>
      <c r="AK1940">
        <v>15.7976327975875</v>
      </c>
    </row>
    <row r="1941" spans="1:37" x14ac:dyDescent="0.2">
      <c r="A1941" t="str">
        <f>"20200111160144664"</f>
        <v>20200111160144664</v>
      </c>
      <c r="B1941" t="str">
        <f>"1578729704654551"</f>
        <v>1578729704654551</v>
      </c>
      <c r="C1941" t="s">
        <v>37</v>
      </c>
      <c r="D1941">
        <v>4.8638839999999997</v>
      </c>
      <c r="E1941">
        <v>0.51029579999999997</v>
      </c>
      <c r="F1941" t="s">
        <v>54</v>
      </c>
      <c r="G1941">
        <v>-485.678</v>
      </c>
      <c r="H1941" s="1">
        <v>3.3993070000000002E-6</v>
      </c>
      <c r="I1941">
        <v>286.74829999999997</v>
      </c>
      <c r="J1941">
        <v>-469.90069999999997</v>
      </c>
      <c r="K1941">
        <v>1.105318</v>
      </c>
      <c r="L1941">
        <v>286.84710000000001</v>
      </c>
      <c r="M1941">
        <v>-0.99971429999999994</v>
      </c>
      <c r="N1941">
        <v>0</v>
      </c>
      <c r="O1941">
        <v>1.9576340000000001E-2</v>
      </c>
      <c r="P1941">
        <v>-0.9991641</v>
      </c>
      <c r="Q1941">
        <v>2.7983600000000001E-2</v>
      </c>
      <c r="R1941">
        <v>-2.9804810000000001E-2</v>
      </c>
      <c r="S1941">
        <v>-3.00738499999999</v>
      </c>
      <c r="T1941">
        <v>-0.20763609999999999</v>
      </c>
      <c r="U1941">
        <v>-1.791382E-2</v>
      </c>
      <c r="V1941">
        <v>-4.9429630000000002E-2</v>
      </c>
      <c r="W1941">
        <v>4.1604259999999997E-2</v>
      </c>
      <c r="X1941">
        <v>0.99791070000000004</v>
      </c>
      <c r="Y1941">
        <v>-2.542606E-2</v>
      </c>
      <c r="Z1941">
        <v>-2.226736E-3</v>
      </c>
      <c r="AA1941">
        <v>0.99967419999999996</v>
      </c>
      <c r="AB1941">
        <v>23</v>
      </c>
      <c r="AC1941">
        <v>-15.7773</v>
      </c>
      <c r="AD1941">
        <v>-1.1053146006929999</v>
      </c>
      <c r="AE1941">
        <v>-9.8800000000039703E-2</v>
      </c>
      <c r="AF1941">
        <v>-0.405680889861115</v>
      </c>
      <c r="AG1941">
        <v>-1.1053146006929999</v>
      </c>
      <c r="AH1941">
        <v>15.6953117205393</v>
      </c>
      <c r="AI1941">
        <v>94.026962955360105</v>
      </c>
      <c r="AJ1941">
        <v>91.480609563995699</v>
      </c>
      <c r="AK1941">
        <v>15.7394125479892</v>
      </c>
    </row>
    <row r="1942" spans="1:37" x14ac:dyDescent="0.2">
      <c r="A1942" t="str">
        <f>"20200111160144686"</f>
        <v>20200111160144686</v>
      </c>
      <c r="B1942" t="str">
        <f>"1578729704682854"</f>
        <v>1578729704682854</v>
      </c>
      <c r="C1942" t="s">
        <v>37</v>
      </c>
      <c r="D1942">
        <v>4.8373439999999999</v>
      </c>
      <c r="E1942">
        <v>0.51013660000000005</v>
      </c>
      <c r="F1942" t="s">
        <v>54</v>
      </c>
      <c r="G1942">
        <v>-486.30770000000001</v>
      </c>
      <c r="H1942" s="1">
        <v>3.5145349999999999E-6</v>
      </c>
      <c r="I1942">
        <v>286.7885</v>
      </c>
      <c r="J1942">
        <v>-470.12670000000003</v>
      </c>
      <c r="K1942">
        <v>1.1053809999999999</v>
      </c>
      <c r="L1942">
        <v>286.8503</v>
      </c>
      <c r="M1942">
        <v>-0.99973639999999997</v>
      </c>
      <c r="N1942">
        <v>0</v>
      </c>
      <c r="O1942">
        <v>1.8412350000000001E-2</v>
      </c>
      <c r="P1942">
        <v>-0.99915279999999995</v>
      </c>
      <c r="Q1942">
        <v>2.988296E-2</v>
      </c>
      <c r="R1942">
        <v>-2.8299660000000001E-2</v>
      </c>
      <c r="S1942">
        <v>-3.0078740000000002</v>
      </c>
      <c r="T1942">
        <v>-0.20263589999999901</v>
      </c>
      <c r="U1942">
        <v>-1.074219E-2</v>
      </c>
      <c r="V1942">
        <v>-4.6770480000000003E-2</v>
      </c>
      <c r="W1942">
        <v>4.3501779999999997E-2</v>
      </c>
      <c r="X1942">
        <v>0.99795789999999995</v>
      </c>
      <c r="Y1942">
        <v>-2.1893340000000001E-2</v>
      </c>
      <c r="Z1942">
        <v>-1.9757020000000002E-3</v>
      </c>
      <c r="AA1942">
        <v>0.99975840000000005</v>
      </c>
      <c r="AB1942">
        <v>23</v>
      </c>
      <c r="AC1942">
        <v>-16.180999999999901</v>
      </c>
      <c r="AD1942">
        <v>-1.105377485465</v>
      </c>
      <c r="AE1942">
        <v>-6.1800000000005101E-2</v>
      </c>
      <c r="AF1942">
        <v>-0.35807676869095301</v>
      </c>
      <c r="AG1942">
        <v>-1.105377485465</v>
      </c>
      <c r="AH1942">
        <v>16.101976357175001</v>
      </c>
      <c r="AI1942">
        <v>93.926143829883301</v>
      </c>
      <c r="AJ1942">
        <v>91.273937195819897</v>
      </c>
      <c r="AK1942">
        <v>16.1438446772964</v>
      </c>
    </row>
    <row r="1943" spans="1:37" x14ac:dyDescent="0.2">
      <c r="A1943" t="str">
        <f>"20200111160144708"</f>
        <v>20200111160144708</v>
      </c>
      <c r="B1943" t="str">
        <f>"1578729704703350"</f>
        <v>1578729704703350</v>
      </c>
      <c r="C1943" t="s">
        <v>37</v>
      </c>
      <c r="D1943">
        <v>4.95533</v>
      </c>
      <c r="E1943">
        <v>0.45640900000000001</v>
      </c>
      <c r="F1943" t="s">
        <v>54</v>
      </c>
      <c r="G1943">
        <v>-487.00490000000002</v>
      </c>
      <c r="H1943" s="1">
        <v>3.6399430000000002E-6</v>
      </c>
      <c r="I1943">
        <v>286.80829999999997</v>
      </c>
      <c r="J1943">
        <v>-470.35149999999999</v>
      </c>
      <c r="K1943">
        <v>1.105451</v>
      </c>
      <c r="L1943">
        <v>286.85300000000001</v>
      </c>
      <c r="M1943">
        <v>-0.99975859999999905</v>
      </c>
      <c r="N1943">
        <v>0</v>
      </c>
      <c r="O1943">
        <v>1.7164229999999999E-2</v>
      </c>
      <c r="P1943">
        <v>-0.99918649999999998</v>
      </c>
      <c r="Q1943">
        <v>2.9968709999999999E-2</v>
      </c>
      <c r="R1943">
        <v>-2.6993420000000001E-2</v>
      </c>
      <c r="S1943">
        <v>-3.0082399999999998</v>
      </c>
      <c r="T1943">
        <v>-0.19701350000000001</v>
      </c>
      <c r="U1943">
        <v>-7.4768069999999898E-3</v>
      </c>
      <c r="V1943">
        <v>-4.4224779999999998E-2</v>
      </c>
      <c r="W1943">
        <v>4.3586099999999899E-2</v>
      </c>
      <c r="X1943">
        <v>0.99807040000000002</v>
      </c>
      <c r="Y1943">
        <v>-1.9572160000000002E-2</v>
      </c>
      <c r="Z1943">
        <v>-1.7631889999999901E-3</v>
      </c>
      <c r="AA1943">
        <v>0.99980689999999905</v>
      </c>
      <c r="AB1943">
        <v>23</v>
      </c>
      <c r="AC1943">
        <v>-16.653400000000001</v>
      </c>
      <c r="AD1943">
        <v>-1.1054473600570001</v>
      </c>
      <c r="AE1943">
        <v>-4.4700000000034303E-2</v>
      </c>
      <c r="AF1943">
        <v>-0.32911294595157298</v>
      </c>
      <c r="AG1943">
        <v>-1.1054473600570001</v>
      </c>
      <c r="AH1943">
        <v>16.5771362312409</v>
      </c>
      <c r="AI1943">
        <v>93.814374713150798</v>
      </c>
      <c r="AJ1943">
        <v>91.137368094727506</v>
      </c>
      <c r="AK1943">
        <v>16.6172132087835</v>
      </c>
    </row>
    <row r="1944" spans="1:37" x14ac:dyDescent="0.2">
      <c r="A1944" t="str">
        <f>"20200111160146229"</f>
        <v>20200111160146229</v>
      </c>
      <c r="B1944" t="str">
        <f>"1578729706223496"</f>
        <v>1578729706223496</v>
      </c>
      <c r="C1944" t="s">
        <v>37</v>
      </c>
      <c r="D1944">
        <v>4.9633589999999996</v>
      </c>
      <c r="E1944">
        <v>0.32862029999999998</v>
      </c>
      <c r="F1944" t="s">
        <v>54</v>
      </c>
      <c r="G1944">
        <v>-489.69170000000003</v>
      </c>
      <c r="H1944" s="1">
        <v>3.8767690000000001E-6</v>
      </c>
      <c r="I1944">
        <v>284.06569999999999</v>
      </c>
      <c r="J1944">
        <v>-484.03309999999999</v>
      </c>
      <c r="K1944">
        <v>1.1133850000000001</v>
      </c>
      <c r="L1944">
        <v>283.29199999999997</v>
      </c>
      <c r="M1944">
        <v>-0.81337720000000002</v>
      </c>
      <c r="N1944">
        <v>0</v>
      </c>
      <c r="O1944">
        <v>-0.58152369999999898</v>
      </c>
      <c r="P1944">
        <v>-0.62992190000000003</v>
      </c>
      <c r="Q1944">
        <v>-3.3758679999999999E-2</v>
      </c>
      <c r="R1944">
        <v>-0.77592469999999902</v>
      </c>
      <c r="S1944">
        <v>-2.995911</v>
      </c>
      <c r="T1944">
        <v>-0.17123959999999999</v>
      </c>
      <c r="U1944">
        <v>-0.4317627</v>
      </c>
      <c r="V1944">
        <v>-0.26437149999999998</v>
      </c>
      <c r="W1944">
        <v>-2.4326839999999999E-2</v>
      </c>
      <c r="X1944">
        <v>0.96411409999999997</v>
      </c>
      <c r="Y1944">
        <v>0.45807720000000002</v>
      </c>
      <c r="Z1944">
        <v>4.4025500000000002E-2</v>
      </c>
      <c r="AA1944">
        <v>0.88782150000000004</v>
      </c>
      <c r="AB1944">
        <v>20</v>
      </c>
      <c r="AC1944">
        <v>-5.6586000000000301</v>
      </c>
      <c r="AD1944">
        <v>-1.113381123231</v>
      </c>
      <c r="AE1944">
        <v>0.77369999999996197</v>
      </c>
      <c r="AF1944">
        <v>3.7768706182921199</v>
      </c>
      <c r="AG1944">
        <v>-1.113381123231</v>
      </c>
      <c r="AH1944">
        <v>4.00110895880856</v>
      </c>
      <c r="AI1944">
        <v>101.43955651100801</v>
      </c>
      <c r="AJ1944">
        <v>46.651373932596599</v>
      </c>
      <c r="AK1944">
        <v>5.61366565562499</v>
      </c>
    </row>
    <row r="1945" spans="1:37" x14ac:dyDescent="0.2">
      <c r="A1945" t="str">
        <f>"20200111160146250"</f>
        <v>20200111160146250</v>
      </c>
      <c r="B1945" t="str">
        <f>"1578729706243015"</f>
        <v>1578729706243015</v>
      </c>
      <c r="C1945" t="s">
        <v>37</v>
      </c>
      <c r="D1945">
        <v>4.9741029999999897</v>
      </c>
      <c r="E1945">
        <v>0.33042650000000001</v>
      </c>
      <c r="F1945" t="s">
        <v>42</v>
      </c>
      <c r="G1945">
        <v>-484.26080000000002</v>
      </c>
      <c r="H1945">
        <v>1.080843</v>
      </c>
      <c r="I1945">
        <v>282.41489999999999</v>
      </c>
      <c r="J1945">
        <v>-484.17919999999998</v>
      </c>
      <c r="K1945">
        <v>1.113397</v>
      </c>
      <c r="L1945">
        <v>283.16469999999998</v>
      </c>
      <c r="M1945">
        <v>-0.80407600000000001</v>
      </c>
      <c r="N1945">
        <v>0</v>
      </c>
      <c r="O1945">
        <v>-0.59431709999999904</v>
      </c>
      <c r="P1945">
        <v>-0.61747069999999904</v>
      </c>
      <c r="Q1945">
        <v>-3.2691230000000002E-2</v>
      </c>
      <c r="R1945">
        <v>-0.78591429999999995</v>
      </c>
      <c r="S1945">
        <v>-0.82794190000000001</v>
      </c>
      <c r="T1945">
        <v>-0.118291699999999</v>
      </c>
      <c r="U1945">
        <v>-3.189117</v>
      </c>
      <c r="V1945">
        <v>-0.264551599999999</v>
      </c>
      <c r="W1945">
        <v>-2.3243860000000002E-2</v>
      </c>
      <c r="X1945">
        <v>0.96409140000000004</v>
      </c>
      <c r="Y1945">
        <v>-0.62895269999999903</v>
      </c>
      <c r="Z1945">
        <v>1.1118919999999999E-2</v>
      </c>
      <c r="AA1945">
        <v>0.77736400000000005</v>
      </c>
      <c r="AB1945">
        <v>20</v>
      </c>
      <c r="AC1945">
        <v>-8.1600000000037198E-2</v>
      </c>
      <c r="AD1945">
        <v>-3.2553999999999902E-2</v>
      </c>
      <c r="AE1945">
        <v>-0.74979999999999303</v>
      </c>
      <c r="AF1945">
        <v>-0.553437902327791</v>
      </c>
      <c r="AG1945">
        <v>-3.2553999999999902E-2</v>
      </c>
      <c r="AH1945">
        <v>0.51034446274696899</v>
      </c>
      <c r="AI1945">
        <v>92.476068591967007</v>
      </c>
      <c r="AJ1945">
        <v>137.31976296476199</v>
      </c>
      <c r="AK1945">
        <v>0.75352819808251303</v>
      </c>
    </row>
    <row r="1946" spans="1:37" x14ac:dyDescent="0.2">
      <c r="A1946" t="str">
        <f>"20200111160146318"</f>
        <v>20200111160146318</v>
      </c>
      <c r="B1946" t="str">
        <f>"1578729706313288"</f>
        <v>1578729706313288</v>
      </c>
      <c r="C1946" t="s">
        <v>37</v>
      </c>
      <c r="D1946">
        <v>4.9083829999999997</v>
      </c>
      <c r="E1946">
        <v>0.33215259999999902</v>
      </c>
      <c r="F1946" t="s">
        <v>38</v>
      </c>
      <c r="G1946">
        <v>-491.3777</v>
      </c>
      <c r="H1946" s="1">
        <v>-2.257364E-6</v>
      </c>
      <c r="I1946">
        <v>253.9966</v>
      </c>
      <c r="J1946">
        <v>-484.60939999999999</v>
      </c>
      <c r="K1946">
        <v>1.1134250000000001</v>
      </c>
      <c r="L1946">
        <v>282.76389999999998</v>
      </c>
      <c r="M1946">
        <v>-0.77430449999999995</v>
      </c>
      <c r="N1946">
        <v>0</v>
      </c>
      <c r="O1946">
        <v>-0.63261499999999904</v>
      </c>
      <c r="P1946">
        <v>-0.57821180000000005</v>
      </c>
      <c r="Q1946">
        <v>-3.1862359999999999E-2</v>
      </c>
      <c r="R1946">
        <v>-0.81526469999999995</v>
      </c>
      <c r="S1946">
        <v>-0.78802490000000003</v>
      </c>
      <c r="T1946">
        <v>-0.1218833</v>
      </c>
      <c r="U1946">
        <v>-3.1930239999999999</v>
      </c>
      <c r="V1946">
        <v>-0.2650864</v>
      </c>
      <c r="W1946">
        <v>-2.2369489999999999E-2</v>
      </c>
      <c r="X1946">
        <v>0.96396510000000002</v>
      </c>
      <c r="Y1946">
        <v>-0.6002073</v>
      </c>
      <c r="Z1946">
        <v>1.387037E-2</v>
      </c>
      <c r="AA1946">
        <v>0.799724199999999</v>
      </c>
      <c r="AB1946">
        <v>20</v>
      </c>
      <c r="AC1946">
        <v>-6.7683000000000098</v>
      </c>
      <c r="AD1946">
        <v>-1.1134272573639901</v>
      </c>
      <c r="AE1946">
        <v>-28.767299999999899</v>
      </c>
      <c r="AF1946">
        <v>-17.969671065232401</v>
      </c>
      <c r="AG1946">
        <v>-1.1134272573639901</v>
      </c>
      <c r="AH1946">
        <v>23.409062021823001</v>
      </c>
      <c r="AI1946">
        <v>92.1607079481564</v>
      </c>
      <c r="AJ1946">
        <v>127.511191878114</v>
      </c>
      <c r="AK1946">
        <v>29.5318977241837</v>
      </c>
    </row>
    <row r="1947" spans="1:37" x14ac:dyDescent="0.2">
      <c r="A1947" t="str">
        <f>"20200111160146419"</f>
        <v>20200111160146419</v>
      </c>
      <c r="B1947" t="str">
        <f>"1578729706413817"</f>
        <v>1578729706413817</v>
      </c>
      <c r="C1947" t="s">
        <v>37</v>
      </c>
      <c r="D1947">
        <v>4.9412659999999997</v>
      </c>
      <c r="E1947">
        <v>0.32755479999999998</v>
      </c>
      <c r="F1947" t="s">
        <v>38</v>
      </c>
      <c r="G1947">
        <v>-490.45229999999998</v>
      </c>
      <c r="H1947" s="1">
        <v>-1.7810349999999899E-6</v>
      </c>
      <c r="I1947">
        <v>253.46019999999999</v>
      </c>
      <c r="J1947">
        <v>-485.21469999999999</v>
      </c>
      <c r="K1947">
        <v>1.113502</v>
      </c>
      <c r="L1947">
        <v>282.12459999999999</v>
      </c>
      <c r="M1947">
        <v>-0.72531519999999905</v>
      </c>
      <c r="N1947">
        <v>0</v>
      </c>
      <c r="O1947">
        <v>-0.68823269999999903</v>
      </c>
      <c r="P1947">
        <v>-0.51952759999999998</v>
      </c>
      <c r="Q1947">
        <v>-2.5770910000000001E-2</v>
      </c>
      <c r="R1947">
        <v>-0.85406510000000002</v>
      </c>
      <c r="S1947">
        <v>-0.64196779999999998</v>
      </c>
      <c r="T1947">
        <v>-0.1223336</v>
      </c>
      <c r="U1947">
        <v>-3.2196349999999998</v>
      </c>
      <c r="V1947">
        <v>-0.26165309999999897</v>
      </c>
      <c r="W1947">
        <v>-1.6130530000000001E-2</v>
      </c>
      <c r="X1947">
        <v>0.96502719999999897</v>
      </c>
      <c r="Y1947">
        <v>-0.576789</v>
      </c>
      <c r="Z1947">
        <v>1.70586E-2</v>
      </c>
      <c r="AA1947">
        <v>0.81671510000000003</v>
      </c>
      <c r="AB1947">
        <v>20</v>
      </c>
      <c r="AC1947">
        <v>-5.23759999999998</v>
      </c>
      <c r="AD1947">
        <v>-1.1135037810349999</v>
      </c>
      <c r="AE1947">
        <v>-28.664400000000001</v>
      </c>
      <c r="AF1947">
        <v>-17.163154206352601</v>
      </c>
      <c r="AG1947">
        <v>-1.1135037810349999</v>
      </c>
      <c r="AH1947">
        <v>23.4953624925338</v>
      </c>
      <c r="AI1947">
        <v>92.191602553958603</v>
      </c>
      <c r="AJ1947">
        <v>126.147797492759</v>
      </c>
      <c r="AK1947">
        <v>29.1177920117063</v>
      </c>
    </row>
    <row r="1948" spans="1:37" x14ac:dyDescent="0.2">
      <c r="A1948" t="str">
        <f>"20200111160146442"</f>
        <v>20200111160146442</v>
      </c>
      <c r="B1948" t="str">
        <f>"1578729706433336"</f>
        <v>1578729706433336</v>
      </c>
      <c r="C1948" t="s">
        <v>37</v>
      </c>
      <c r="D1948">
        <v>4.9636670000000001</v>
      </c>
      <c r="E1948">
        <v>0.32577840000000002</v>
      </c>
      <c r="F1948" t="s">
        <v>38</v>
      </c>
      <c r="G1948">
        <v>-497.91019999999997</v>
      </c>
      <c r="H1948" s="1">
        <v>-3.7867600000000001E-6</v>
      </c>
      <c r="I1948">
        <v>173.99119999999999</v>
      </c>
      <c r="J1948">
        <v>-485.34059999999999</v>
      </c>
      <c r="K1948">
        <v>1.113542</v>
      </c>
      <c r="L1948">
        <v>281.97829999999999</v>
      </c>
      <c r="M1948">
        <v>-0.71382469999999998</v>
      </c>
      <c r="N1948">
        <v>0</v>
      </c>
      <c r="O1948">
        <v>-0.70014279999999995</v>
      </c>
      <c r="P1948">
        <v>-0.50795950000000001</v>
      </c>
      <c r="Q1948">
        <v>-2.403104E-2</v>
      </c>
      <c r="R1948">
        <v>-0.86104559999999997</v>
      </c>
      <c r="S1948">
        <v>-0.38479609999999997</v>
      </c>
      <c r="T1948">
        <v>-3.3750059999999998E-2</v>
      </c>
      <c r="U1948">
        <v>-3.27749599999999</v>
      </c>
      <c r="V1948">
        <v>-0.25877260000000002</v>
      </c>
      <c r="W1948">
        <v>-1.4311580000000001E-2</v>
      </c>
      <c r="X1948">
        <v>0.96583220000000003</v>
      </c>
      <c r="Y1948">
        <v>-0.62739180000000005</v>
      </c>
      <c r="Z1948">
        <v>4.5858940000000001E-3</v>
      </c>
      <c r="AA1948">
        <v>0.77869029999999995</v>
      </c>
      <c r="AB1948">
        <v>20</v>
      </c>
      <c r="AC1948">
        <v>-12.5695999999999</v>
      </c>
      <c r="AD1948">
        <v>-1.11354578676</v>
      </c>
      <c r="AE1948">
        <v>-107.9871</v>
      </c>
      <c r="AF1948">
        <v>-68.284866217635397</v>
      </c>
      <c r="AG1948">
        <v>-1.11354578676</v>
      </c>
      <c r="AH1948">
        <v>84.580766596115794</v>
      </c>
      <c r="AI1948">
        <v>90.586903747871105</v>
      </c>
      <c r="AJ1948">
        <v>128.91509151506801</v>
      </c>
      <c r="AK1948">
        <v>108.710482551436</v>
      </c>
    </row>
    <row r="1949" spans="1:37" x14ac:dyDescent="0.2">
      <c r="A1949" t="str">
        <f>"20200111160146485"</f>
        <v>20200111160146485</v>
      </c>
      <c r="B1949" t="str">
        <f>"1578729706473352"</f>
        <v>1578729706473352</v>
      </c>
      <c r="C1949" t="s">
        <v>37</v>
      </c>
      <c r="D1949">
        <v>4.9884599999999999</v>
      </c>
      <c r="E1949">
        <v>0.32557829999999999</v>
      </c>
      <c r="F1949" t="s">
        <v>64</v>
      </c>
      <c r="G1949">
        <v>-498.74799999999999</v>
      </c>
      <c r="H1949" s="1">
        <v>-7.0875219999999997E-6</v>
      </c>
      <c r="I1949">
        <v>147.5821</v>
      </c>
      <c r="J1949">
        <v>-485.57760000000002</v>
      </c>
      <c r="K1949">
        <v>1.1136139999999899</v>
      </c>
      <c r="L1949">
        <v>281.68869999999998</v>
      </c>
      <c r="M1949">
        <v>-0.69076680000000001</v>
      </c>
      <c r="N1949">
        <v>0</v>
      </c>
      <c r="O1949">
        <v>-0.72290109999999996</v>
      </c>
      <c r="P1949">
        <v>-0.48477520000000002</v>
      </c>
      <c r="Q1949">
        <v>-2.114276E-2</v>
      </c>
      <c r="R1949">
        <v>-0.87438359999999904</v>
      </c>
      <c r="S1949">
        <v>-0.32818599999999998</v>
      </c>
      <c r="T1949">
        <v>-2.725756E-2</v>
      </c>
      <c r="U1949">
        <v>-3.2897639999999999</v>
      </c>
      <c r="V1949">
        <v>-0.25339600000000001</v>
      </c>
      <c r="W1949">
        <v>-1.127239E-2</v>
      </c>
      <c r="X1949">
        <v>0.96729699999999996</v>
      </c>
      <c r="Y1949">
        <v>-0.61567139999999998</v>
      </c>
      <c r="Z1949">
        <v>3.9994359999999899E-3</v>
      </c>
      <c r="AA1949">
        <v>0.7879929</v>
      </c>
      <c r="AB1949">
        <v>20</v>
      </c>
      <c r="AC1949">
        <v>-13.170400000000001</v>
      </c>
      <c r="AD1949">
        <v>-1.1136210875219901</v>
      </c>
      <c r="AE1949">
        <v>-134.10659999999999</v>
      </c>
      <c r="AF1949">
        <v>-83.120422077532297</v>
      </c>
      <c r="AG1949">
        <v>-1.1136210875219901</v>
      </c>
      <c r="AH1949">
        <v>106.049775971451</v>
      </c>
      <c r="AI1949">
        <v>90.473527680576893</v>
      </c>
      <c r="AJ1949">
        <v>128.08888245266701</v>
      </c>
      <c r="AK1949">
        <v>134.74716955049001</v>
      </c>
    </row>
    <row r="1950" spans="1:37" x14ac:dyDescent="0.2">
      <c r="A1950" t="str">
        <f>"20200111160146512"</f>
        <v>20200111160146512</v>
      </c>
      <c r="B1950" t="str">
        <f>"1578729706503608"</f>
        <v>1578729706503608</v>
      </c>
      <c r="C1950" t="s">
        <v>37</v>
      </c>
      <c r="D1950">
        <v>4.9967829999999998</v>
      </c>
      <c r="E1950">
        <v>0.32540839999999999</v>
      </c>
      <c r="F1950" t="s">
        <v>39</v>
      </c>
      <c r="G1950">
        <v>-503.54230000000001</v>
      </c>
      <c r="H1950">
        <v>-0.05</v>
      </c>
      <c r="I1950">
        <v>33.203150000000001</v>
      </c>
      <c r="J1950">
        <v>-485.7201</v>
      </c>
      <c r="K1950">
        <v>1.1136440000000001</v>
      </c>
      <c r="L1950">
        <v>281.5043</v>
      </c>
      <c r="M1950">
        <v>-0.67589519999999903</v>
      </c>
      <c r="N1950">
        <v>0</v>
      </c>
      <c r="O1950">
        <v>-0.73682389999999998</v>
      </c>
      <c r="P1950">
        <v>-0.46922970000000003</v>
      </c>
      <c r="Q1950">
        <v>-2.1108700000000001E-2</v>
      </c>
      <c r="R1950">
        <v>-0.8828241</v>
      </c>
      <c r="S1950">
        <v>-0.23846439999999899</v>
      </c>
      <c r="T1950">
        <v>-1.5445830000000001E-2</v>
      </c>
      <c r="U1950">
        <v>-3.2984010000000001</v>
      </c>
      <c r="V1950">
        <v>-0.25080370000000002</v>
      </c>
      <c r="W1950">
        <v>-1.1158660000000001E-2</v>
      </c>
      <c r="X1950">
        <v>0.96797359999999899</v>
      </c>
      <c r="Y1950">
        <v>-0.6210831</v>
      </c>
      <c r="Z1950">
        <v>2.3425249999999998E-3</v>
      </c>
      <c r="AA1950">
        <v>0.78374119999999903</v>
      </c>
      <c r="AB1950">
        <v>20</v>
      </c>
      <c r="AC1950">
        <v>-17.822199999999999</v>
      </c>
      <c r="AD1950">
        <v>-1.1636439999999999</v>
      </c>
      <c r="AE1950">
        <v>-248.30115000000001</v>
      </c>
      <c r="AF1950">
        <v>-154.71017366034599</v>
      </c>
      <c r="AG1950">
        <v>-1.1636439999999999</v>
      </c>
      <c r="AH1950">
        <v>195.020886122966</v>
      </c>
      <c r="AI1950">
        <v>90.267827099971996</v>
      </c>
      <c r="AJ1950">
        <v>128.42498669529499</v>
      </c>
      <c r="AK1950">
        <v>248.937216835008</v>
      </c>
    </row>
    <row r="1951" spans="1:37" x14ac:dyDescent="0.2">
      <c r="A1951" t="str">
        <f>"20200111160146526"</f>
        <v>20200111160146526</v>
      </c>
      <c r="B1951" t="str">
        <f>"1578729706523128"</f>
        <v>1578729706523128</v>
      </c>
      <c r="C1951" t="s">
        <v>37</v>
      </c>
      <c r="D1951">
        <v>5.0018139999999898</v>
      </c>
      <c r="E1951">
        <v>0.3255091</v>
      </c>
      <c r="F1951" t="s">
        <v>39</v>
      </c>
      <c r="G1951">
        <v>-498.63979999999998</v>
      </c>
      <c r="H1951">
        <v>-0.05</v>
      </c>
      <c r="I1951">
        <v>43.651559999999897</v>
      </c>
      <c r="J1951">
        <v>-485.79349999999999</v>
      </c>
      <c r="K1951">
        <v>1.113653</v>
      </c>
      <c r="L1951">
        <v>281.40600000000001</v>
      </c>
      <c r="M1951">
        <v>-0.66791119999999904</v>
      </c>
      <c r="N1951">
        <v>0</v>
      </c>
      <c r="O1951">
        <v>-0.74406859999999997</v>
      </c>
      <c r="P1951">
        <v>-0.46092169999999999</v>
      </c>
      <c r="Q1951">
        <v>-2.0968810000000001E-2</v>
      </c>
      <c r="R1951">
        <v>-0.88719319999999902</v>
      </c>
      <c r="S1951">
        <v>-0.17938229999999999</v>
      </c>
      <c r="T1951">
        <v>-1.6156440000000001E-2</v>
      </c>
      <c r="U1951">
        <v>-3.3024290000000001</v>
      </c>
      <c r="V1951">
        <v>-0.2494594</v>
      </c>
      <c r="W1951">
        <v>-1.097441E-2</v>
      </c>
      <c r="X1951">
        <v>0.96832309999999999</v>
      </c>
      <c r="Y1951">
        <v>-0.6266505</v>
      </c>
      <c r="Z1951">
        <v>2.4860099999999999E-3</v>
      </c>
      <c r="AA1951">
        <v>0.77929649999999995</v>
      </c>
      <c r="AB1951">
        <v>20</v>
      </c>
      <c r="AC1951">
        <v>-12.8462999999999</v>
      </c>
      <c r="AD1951">
        <v>-1.163653</v>
      </c>
      <c r="AE1951">
        <v>-237.75443999999999</v>
      </c>
      <c r="AF1951">
        <v>-149.25590719868001</v>
      </c>
      <c r="AG1951">
        <v>-1.163653</v>
      </c>
      <c r="AH1951">
        <v>185.505167718091</v>
      </c>
      <c r="AI1951">
        <v>90.280021502341299</v>
      </c>
      <c r="AJ1951">
        <v>128.81986495767899</v>
      </c>
      <c r="AK1951">
        <v>238.09839808810699</v>
      </c>
    </row>
    <row r="1952" spans="1:37" x14ac:dyDescent="0.2">
      <c r="A1952" t="str">
        <f>"20200111160146541"</f>
        <v>20200111160146541</v>
      </c>
      <c r="B1952" t="str">
        <f>"1578729706532889"</f>
        <v>1578729706532889</v>
      </c>
      <c r="C1952" t="s">
        <v>37</v>
      </c>
      <c r="D1952">
        <v>5.0016059999999998</v>
      </c>
      <c r="E1952">
        <v>0.32571299999999997</v>
      </c>
      <c r="F1952" t="s">
        <v>39</v>
      </c>
      <c r="G1952">
        <v>-495.61610000000002</v>
      </c>
      <c r="H1952">
        <v>-0.05</v>
      </c>
      <c r="I1952">
        <v>63.602589999999999</v>
      </c>
      <c r="J1952">
        <v>-485.8698</v>
      </c>
      <c r="K1952">
        <v>1.113653</v>
      </c>
      <c r="L1952">
        <v>281.30119999999999</v>
      </c>
      <c r="M1952">
        <v>-0.65936759999999905</v>
      </c>
      <c r="N1952">
        <v>0</v>
      </c>
      <c r="O1952">
        <v>-0.75164989999999998</v>
      </c>
      <c r="P1952">
        <v>-0.45331309999999903</v>
      </c>
      <c r="Q1952">
        <v>-2.0279490000000001E-2</v>
      </c>
      <c r="R1952">
        <v>-0.89112080000000005</v>
      </c>
      <c r="S1952">
        <v>-0.1489868</v>
      </c>
      <c r="T1952">
        <v>-1.7650010000000001E-2</v>
      </c>
      <c r="U1952">
        <v>-3.3035890000000001</v>
      </c>
      <c r="V1952">
        <v>-0.24670990000000001</v>
      </c>
      <c r="W1952">
        <v>-1.020068E-2</v>
      </c>
      <c r="X1952">
        <v>0.96903569999999895</v>
      </c>
      <c r="Y1952">
        <v>-0.62491350000000001</v>
      </c>
      <c r="Z1952">
        <v>2.7770429999999999E-3</v>
      </c>
      <c r="AA1952">
        <v>0.78068909999999903</v>
      </c>
      <c r="AB1952">
        <v>20</v>
      </c>
      <c r="AC1952">
        <v>-9.7463000000000193</v>
      </c>
      <c r="AD1952">
        <v>-1.163653</v>
      </c>
      <c r="AE1952">
        <v>-217.69861</v>
      </c>
      <c r="AF1952">
        <v>-136.23121344133699</v>
      </c>
      <c r="AG1952">
        <v>-1.163653</v>
      </c>
      <c r="AH1952">
        <v>170.07652272769101</v>
      </c>
      <c r="AI1952">
        <v>90.305959489139994</v>
      </c>
      <c r="AJ1952">
        <v>128.69471099026501</v>
      </c>
      <c r="AK1952">
        <v>217.91356356855499</v>
      </c>
    </row>
    <row r="1953" spans="1:37" x14ac:dyDescent="0.2">
      <c r="A1953" t="str">
        <f>"20200111160146563"</f>
        <v>20200111160146563</v>
      </c>
      <c r="B1953" t="str">
        <f>"1578729706552915"</f>
        <v>1578729706552915</v>
      </c>
      <c r="C1953" t="s">
        <v>37</v>
      </c>
      <c r="D1953">
        <v>8.8723569999999992</v>
      </c>
      <c r="E1953">
        <v>0.32611609999999902</v>
      </c>
      <c r="F1953" t="s">
        <v>39</v>
      </c>
      <c r="G1953">
        <v>-494.6465</v>
      </c>
      <c r="H1953">
        <v>-0.05</v>
      </c>
      <c r="I1953">
        <v>44.105129999999903</v>
      </c>
      <c r="J1953">
        <v>-485.97699999999998</v>
      </c>
      <c r="K1953">
        <v>1.11364</v>
      </c>
      <c r="L1953">
        <v>281.14980000000003</v>
      </c>
      <c r="M1953">
        <v>-0.64696750000000003</v>
      </c>
      <c r="N1953">
        <v>0</v>
      </c>
      <c r="O1953">
        <v>-0.76234880000000005</v>
      </c>
      <c r="P1953">
        <v>-0.44109019999999999</v>
      </c>
      <c r="Q1953">
        <v>-2.0561220000000002E-2</v>
      </c>
      <c r="R1953">
        <v>-0.89722749999999996</v>
      </c>
      <c r="S1953">
        <v>-0.122253399999999</v>
      </c>
      <c r="T1953">
        <v>-1.6208770000000001E-2</v>
      </c>
      <c r="U1953">
        <v>-3.3039550000000002</v>
      </c>
      <c r="V1953">
        <v>-0.24407379999999901</v>
      </c>
      <c r="W1953">
        <v>-1.0393329999999999E-2</v>
      </c>
      <c r="X1953">
        <v>0.96970100000000004</v>
      </c>
      <c r="Y1953">
        <v>-0.61841459999999904</v>
      </c>
      <c r="Z1953">
        <v>2.63940099999999E-3</v>
      </c>
      <c r="AA1953">
        <v>0.78584750000000003</v>
      </c>
      <c r="AB1953">
        <v>20</v>
      </c>
      <c r="AC1953">
        <v>-8.6695000000000206</v>
      </c>
      <c r="AD1953">
        <v>-1.16364</v>
      </c>
      <c r="AE1953">
        <v>-237.04467</v>
      </c>
      <c r="AF1953">
        <v>-146.766370244277</v>
      </c>
      <c r="AG1953">
        <v>-1.16364</v>
      </c>
      <c r="AH1953">
        <v>186.33910043958701</v>
      </c>
      <c r="AI1953">
        <v>90.281078601412304</v>
      </c>
      <c r="AJ1953">
        <v>128.225048972764</v>
      </c>
      <c r="AK1953">
        <v>237.20029899931501</v>
      </c>
    </row>
    <row r="1954" spans="1:37" x14ac:dyDescent="0.2">
      <c r="A1954" t="str">
        <f>"20200111160146578"</f>
        <v>20200111160146578</v>
      </c>
      <c r="B1954" t="str">
        <f>"1578729706573410"</f>
        <v>1578729706573410</v>
      </c>
      <c r="C1954" t="s">
        <v>37</v>
      </c>
      <c r="D1954">
        <v>4.953665</v>
      </c>
      <c r="E1954">
        <v>0.32718769999999903</v>
      </c>
      <c r="F1954" t="s">
        <v>39</v>
      </c>
      <c r="G1954">
        <v>-491.09559999999999</v>
      </c>
      <c r="H1954">
        <v>-0.05</v>
      </c>
      <c r="I1954">
        <v>69.887349999999998</v>
      </c>
      <c r="J1954">
        <v>-486.04520000000002</v>
      </c>
      <c r="K1954">
        <v>1.113626</v>
      </c>
      <c r="L1954">
        <v>281.0505</v>
      </c>
      <c r="M1954">
        <v>-0.63880539999999997</v>
      </c>
      <c r="N1954">
        <v>0</v>
      </c>
      <c r="O1954">
        <v>-0.76920080000000002</v>
      </c>
      <c r="P1954">
        <v>-0.43274200000000002</v>
      </c>
      <c r="Q1954">
        <v>-2.071067E-2</v>
      </c>
      <c r="R1954">
        <v>-0.90127999999999997</v>
      </c>
      <c r="S1954">
        <v>-8.0047610000000005E-2</v>
      </c>
      <c r="T1954">
        <v>-1.8197769999999999E-2</v>
      </c>
      <c r="U1954">
        <v>-3.3038639999999999</v>
      </c>
      <c r="V1954">
        <v>-0.24273609999999901</v>
      </c>
      <c r="W1954">
        <v>-1.049309E-2</v>
      </c>
      <c r="X1954">
        <v>0.9700356</v>
      </c>
      <c r="Y1954">
        <v>-0.62006569999999905</v>
      </c>
      <c r="Z1954">
        <v>3.0136759999999999E-3</v>
      </c>
      <c r="AA1954">
        <v>0.78454409999999997</v>
      </c>
      <c r="AB1954">
        <v>20</v>
      </c>
      <c r="AC1954">
        <v>-5.0503999999999598</v>
      </c>
      <c r="AD1954">
        <v>-1.163626</v>
      </c>
      <c r="AE1954">
        <v>-211.16315</v>
      </c>
      <c r="AF1954">
        <v>-131.02030194211201</v>
      </c>
      <c r="AG1954">
        <v>-1.163626</v>
      </c>
      <c r="AH1954">
        <v>165.669414827899</v>
      </c>
      <c r="AI1954">
        <v>90.315647624527003</v>
      </c>
      <c r="AJ1954">
        <v>128.33884716333401</v>
      </c>
      <c r="AK1954">
        <v>211.22033177677</v>
      </c>
    </row>
    <row r="1955" spans="1:37" x14ac:dyDescent="0.2">
      <c r="A1955" t="str">
        <f>"20200111160146979"</f>
        <v>20200111160146979</v>
      </c>
      <c r="B1955" t="str">
        <f>"1578729706973141"</f>
        <v>1578729706973141</v>
      </c>
      <c r="C1955" t="s">
        <v>37</v>
      </c>
      <c r="D1955">
        <v>4.9079620000000004</v>
      </c>
      <c r="E1955">
        <v>0.42323850000000002</v>
      </c>
      <c r="F1955" t="s">
        <v>64</v>
      </c>
      <c r="G1955">
        <v>-488.62939999999998</v>
      </c>
      <c r="H1955" s="1">
        <v>-1.444442E-5</v>
      </c>
      <c r="I1955">
        <v>130.6156</v>
      </c>
      <c r="J1955">
        <v>-487.541</v>
      </c>
      <c r="K1955">
        <v>1.1097589999999999</v>
      </c>
      <c r="L1955">
        <v>278.02229999999997</v>
      </c>
      <c r="M1955">
        <v>-0.40716170000000002</v>
      </c>
      <c r="N1955">
        <v>0</v>
      </c>
      <c r="O1955">
        <v>-0.91323240000000006</v>
      </c>
      <c r="P1955">
        <v>-0.20645239999999901</v>
      </c>
      <c r="Q1955">
        <v>-4.1888790000000002E-2</v>
      </c>
      <c r="R1955">
        <v>-0.97755959999999997</v>
      </c>
      <c r="S1955">
        <v>-5.6701660000000001E-2</v>
      </c>
      <c r="T1955">
        <v>-2.4435040000000002E-2</v>
      </c>
      <c r="U1955">
        <v>-3.30078099999999</v>
      </c>
      <c r="V1955">
        <v>-0.20913689999999999</v>
      </c>
      <c r="W1955">
        <v>-2.9924909999999999E-2</v>
      </c>
      <c r="X1955">
        <v>0.97742839999999998</v>
      </c>
      <c r="Y1955">
        <v>-0.39146029999999998</v>
      </c>
      <c r="Z1955">
        <v>6.1456330000000002E-3</v>
      </c>
      <c r="AA1955">
        <v>0.92017450000000001</v>
      </c>
      <c r="AB1955">
        <v>19</v>
      </c>
      <c r="AC1955">
        <v>-1.0883999999999701</v>
      </c>
      <c r="AD1955">
        <v>-1.10977344442</v>
      </c>
      <c r="AE1955">
        <v>-147.40669999999901</v>
      </c>
      <c r="AF1955">
        <v>-59.027723805578702</v>
      </c>
      <c r="AG1955">
        <v>-1.10977344442</v>
      </c>
      <c r="AH1955">
        <v>135.067333789418</v>
      </c>
      <c r="AI1955">
        <v>90.431364406845304</v>
      </c>
      <c r="AJ1955">
        <v>113.606502886513</v>
      </c>
      <c r="AK1955">
        <v>147.406541346534</v>
      </c>
    </row>
    <row r="1956" spans="1:37" x14ac:dyDescent="0.2">
      <c r="A1956" t="str">
        <f>"20200111160147068"</f>
        <v>20200111160147068</v>
      </c>
      <c r="B1956" t="str">
        <f>"1578729707062934"</f>
        <v>1578729707062934</v>
      </c>
      <c r="C1956" t="s">
        <v>37</v>
      </c>
      <c r="D1956">
        <v>5.1592250000000002</v>
      </c>
      <c r="E1956">
        <v>0.44417509999999999</v>
      </c>
      <c r="F1956" t="s">
        <v>38</v>
      </c>
      <c r="G1956">
        <v>-488.15949999999998</v>
      </c>
      <c r="H1956" s="1">
        <v>-1.5716059999999899E-6</v>
      </c>
      <c r="I1956">
        <v>192.5352</v>
      </c>
      <c r="J1956">
        <v>-487.79349999999999</v>
      </c>
      <c r="K1956">
        <v>1.107729</v>
      </c>
      <c r="L1956">
        <v>277.31740000000002</v>
      </c>
      <c r="M1956">
        <v>-0.37345620000000002</v>
      </c>
      <c r="N1956">
        <v>0</v>
      </c>
      <c r="O1956">
        <v>-0.92753509999999995</v>
      </c>
      <c r="P1956">
        <v>-0.18988640000000001</v>
      </c>
      <c r="Q1956">
        <v>-3.119092E-2</v>
      </c>
      <c r="R1956">
        <v>-0.98131089999999999</v>
      </c>
      <c r="S1956">
        <v>-2.215576E-2</v>
      </c>
      <c r="T1956">
        <v>-3.9756180000000002E-2</v>
      </c>
      <c r="U1956">
        <v>-3.0625</v>
      </c>
      <c r="V1956">
        <v>-0.19022649999999999</v>
      </c>
      <c r="W1956">
        <v>-1.8528309999999999E-2</v>
      </c>
      <c r="X1956">
        <v>0.98156540000000003</v>
      </c>
      <c r="Y1956">
        <v>-0.36677409999999999</v>
      </c>
      <c r="Z1956">
        <v>1.11197E-2</v>
      </c>
      <c r="AA1956">
        <v>0.93024359999999995</v>
      </c>
      <c r="AB1956">
        <v>19</v>
      </c>
      <c r="AC1956">
        <v>-0.365999999999985</v>
      </c>
      <c r="AD1956">
        <v>-1.107730571606</v>
      </c>
      <c r="AE1956">
        <v>-84.782200000000003</v>
      </c>
      <c r="AF1956">
        <v>-31.320889110937699</v>
      </c>
      <c r="AG1956">
        <v>-1.107730571606</v>
      </c>
      <c r="AH1956">
        <v>78.769942188406205</v>
      </c>
      <c r="AI1956">
        <v>90.748682112909705</v>
      </c>
      <c r="AJ1956">
        <v>111.683999583315</v>
      </c>
      <c r="AK1956">
        <v>84.775756877091794</v>
      </c>
    </row>
    <row r="1957" spans="1:37" x14ac:dyDescent="0.2">
      <c r="A1957" t="str">
        <f>"20200111160147092"</f>
        <v>20200111160147092</v>
      </c>
      <c r="B1957" t="str">
        <f>"1578729707083429"</f>
        <v>1578729707083429</v>
      </c>
      <c r="C1957" t="s">
        <v>37</v>
      </c>
      <c r="D1957">
        <v>5.1678660000000001</v>
      </c>
      <c r="E1957">
        <v>0.44922679999999998</v>
      </c>
      <c r="F1957" t="s">
        <v>38</v>
      </c>
      <c r="G1957">
        <v>-489.12130000000002</v>
      </c>
      <c r="H1957" s="1">
        <v>-3.2417489999999899E-6</v>
      </c>
      <c r="I1957">
        <v>246.82599999999999</v>
      </c>
      <c r="J1957">
        <v>-487.85680000000002</v>
      </c>
      <c r="K1957">
        <v>1.107116</v>
      </c>
      <c r="L1957">
        <v>277.137</v>
      </c>
      <c r="M1957">
        <v>-0.36706919999999998</v>
      </c>
      <c r="N1957">
        <v>0</v>
      </c>
      <c r="O1957">
        <v>-0.9300832</v>
      </c>
      <c r="P1957">
        <v>-0.1869749</v>
      </c>
      <c r="Q1957">
        <v>-3.103204E-2</v>
      </c>
      <c r="R1957">
        <v>-0.98187459999999904</v>
      </c>
      <c r="S1957">
        <v>-0.1318665</v>
      </c>
      <c r="T1957">
        <v>-0.1100093</v>
      </c>
      <c r="U1957">
        <v>-3.0281069999999999</v>
      </c>
      <c r="V1957">
        <v>-0.18641629999999901</v>
      </c>
      <c r="W1957">
        <v>-1.8185130000000001E-2</v>
      </c>
      <c r="X1957">
        <v>0.98230249999999997</v>
      </c>
      <c r="Y1957">
        <v>-0.32630710000000002</v>
      </c>
      <c r="Z1957">
        <v>3.150592E-2</v>
      </c>
      <c r="AA1957">
        <v>0.94473859999999998</v>
      </c>
      <c r="AB1957">
        <v>19</v>
      </c>
      <c r="AC1957">
        <v>-1.26449999999999</v>
      </c>
      <c r="AD1957">
        <v>-1.1071192417489999</v>
      </c>
      <c r="AE1957">
        <v>-30.311</v>
      </c>
      <c r="AF1957">
        <v>-9.9379314115613795</v>
      </c>
      <c r="AG1957">
        <v>-1.1071192417489999</v>
      </c>
      <c r="AH1957">
        <v>28.620738336805299</v>
      </c>
      <c r="AI1957">
        <v>92.092781974373594</v>
      </c>
      <c r="AJ1957">
        <v>109.148450176276</v>
      </c>
      <c r="AK1957">
        <v>30.317236956890198</v>
      </c>
    </row>
    <row r="1958" spans="1:37" x14ac:dyDescent="0.2">
      <c r="A1958" t="str">
        <f>"20200111160147114"</f>
        <v>20200111160147114</v>
      </c>
      <c r="B1958" t="str">
        <f>"1578729707102949"</f>
        <v>1578729707102949</v>
      </c>
      <c r="C1958" t="s">
        <v>37</v>
      </c>
      <c r="D1958">
        <v>5.0702489999999996</v>
      </c>
      <c r="E1958">
        <v>0.4523857</v>
      </c>
      <c r="F1958" t="s">
        <v>38</v>
      </c>
      <c r="G1958">
        <v>-489.11160000000001</v>
      </c>
      <c r="H1958" s="1">
        <v>-1.9323620000000001E-6</v>
      </c>
      <c r="I1958">
        <v>253.7698</v>
      </c>
      <c r="J1958">
        <v>-487.91860000000003</v>
      </c>
      <c r="K1958">
        <v>1.106538</v>
      </c>
      <c r="L1958">
        <v>276.96019999999999</v>
      </c>
      <c r="M1958">
        <v>-0.36170150000000001</v>
      </c>
      <c r="N1958">
        <v>0</v>
      </c>
      <c r="O1958">
        <v>-0.9321855</v>
      </c>
      <c r="P1958">
        <v>-0.183478</v>
      </c>
      <c r="Q1958">
        <v>-3.3406100000000001E-2</v>
      </c>
      <c r="R1958">
        <v>-0.98245609999999906</v>
      </c>
      <c r="S1958">
        <v>-0.16217039999999999</v>
      </c>
      <c r="T1958">
        <v>-0.14308189999999901</v>
      </c>
      <c r="U1958">
        <v>-3.01992799999999</v>
      </c>
      <c r="V1958">
        <v>-0.18423419999999999</v>
      </c>
      <c r="W1958">
        <v>-2.0407359999999999E-2</v>
      </c>
      <c r="X1958">
        <v>0.9826705</v>
      </c>
      <c r="Y1958">
        <v>-0.31126479999999901</v>
      </c>
      <c r="Z1958">
        <v>4.1331479999999997E-2</v>
      </c>
      <c r="AA1958">
        <v>0.94942399999999905</v>
      </c>
      <c r="AB1958">
        <v>19</v>
      </c>
      <c r="AC1958">
        <v>-1.1929999999999801</v>
      </c>
      <c r="AD1958">
        <v>-1.106539932362</v>
      </c>
      <c r="AE1958">
        <v>-23.190399999999901</v>
      </c>
      <c r="AF1958">
        <v>-7.2601549190012102</v>
      </c>
      <c r="AG1958">
        <v>-1.106539932362</v>
      </c>
      <c r="AH1958">
        <v>22.001534183410101</v>
      </c>
      <c r="AI1958">
        <v>92.734404351136206</v>
      </c>
      <c r="AJ1958">
        <v>108.262064790967</v>
      </c>
      <c r="AK1958">
        <v>23.194865520057999</v>
      </c>
    </row>
    <row r="1959" spans="1:37" x14ac:dyDescent="0.2">
      <c r="A1959" t="str">
        <f>"20200111160147137"</f>
        <v>20200111160147137</v>
      </c>
      <c r="B1959" t="str">
        <f>"1578729707133205"</f>
        <v>1578729707133205</v>
      </c>
      <c r="C1959" t="s">
        <v>37</v>
      </c>
      <c r="D1959">
        <v>5.2924920000000002</v>
      </c>
      <c r="E1959">
        <v>0.45556170000000001</v>
      </c>
      <c r="F1959" t="s">
        <v>38</v>
      </c>
      <c r="G1959">
        <v>-489.07960000000003</v>
      </c>
      <c r="H1959" s="1">
        <v>-3.34044199999999E-6</v>
      </c>
      <c r="I1959">
        <v>257.03879999999998</v>
      </c>
      <c r="J1959">
        <v>-487.98079999999999</v>
      </c>
      <c r="K1959">
        <v>1.1060559999999999</v>
      </c>
      <c r="L1959">
        <v>276.78219999999999</v>
      </c>
      <c r="M1959">
        <v>-0.35704759999999902</v>
      </c>
      <c r="N1959">
        <v>0</v>
      </c>
      <c r="O1959">
        <v>-0.93397969999999897</v>
      </c>
      <c r="P1959">
        <v>-0.1794897</v>
      </c>
      <c r="Q1959">
        <v>-3.7771739999999998E-2</v>
      </c>
      <c r="R1959">
        <v>-0.98303439999999997</v>
      </c>
      <c r="S1959">
        <v>-0.17572019999999999</v>
      </c>
      <c r="T1959">
        <v>-0.1674756</v>
      </c>
      <c r="U1959">
        <v>-3.0151059999999998</v>
      </c>
      <c r="V1959">
        <v>-0.18326799999999999</v>
      </c>
      <c r="W1959">
        <v>-2.466964E-2</v>
      </c>
      <c r="X1959">
        <v>0.9827534</v>
      </c>
      <c r="Y1959">
        <v>-0.3021932</v>
      </c>
      <c r="Z1959">
        <v>4.8660490000000001E-2</v>
      </c>
      <c r="AA1959">
        <v>0.95200390000000001</v>
      </c>
      <c r="AB1959">
        <v>19</v>
      </c>
      <c r="AC1959">
        <v>-1.09880000000003</v>
      </c>
      <c r="AD1959">
        <v>-1.1060593404419901</v>
      </c>
      <c r="AE1959">
        <v>-19.743400000000001</v>
      </c>
      <c r="AF1959">
        <v>-6.0048881192587498</v>
      </c>
      <c r="AG1959">
        <v>-1.1060593404419901</v>
      </c>
      <c r="AH1959">
        <v>18.775388790520001</v>
      </c>
      <c r="AI1959">
        <v>93.211508633329402</v>
      </c>
      <c r="AJ1959">
        <v>107.73571253</v>
      </c>
      <c r="AK1959">
        <v>19.7432842461577</v>
      </c>
    </row>
    <row r="1960" spans="1:37" x14ac:dyDescent="0.2">
      <c r="A1960" t="str">
        <f>"20200111160147158"</f>
        <v>20200111160147158</v>
      </c>
      <c r="B1960" t="str">
        <f>"1578729707153535"</f>
        <v>1578729707153535</v>
      </c>
      <c r="C1960" t="s">
        <v>37</v>
      </c>
      <c r="D1960">
        <v>5.1120000000000001</v>
      </c>
      <c r="E1960">
        <v>0.45732469999999997</v>
      </c>
      <c r="F1960" t="s">
        <v>38</v>
      </c>
      <c r="G1960">
        <v>-489.01850000000002</v>
      </c>
      <c r="H1960" s="1">
        <v>-4.2328010000000001E-7</v>
      </c>
      <c r="I1960">
        <v>260.12450000000001</v>
      </c>
      <c r="J1960">
        <v>-488.04129999999998</v>
      </c>
      <c r="K1960">
        <v>1.105677</v>
      </c>
      <c r="L1960">
        <v>276.60930000000002</v>
      </c>
      <c r="M1960">
        <v>-0.35322959999999998</v>
      </c>
      <c r="N1960">
        <v>0</v>
      </c>
      <c r="O1960">
        <v>-0.93543180000000004</v>
      </c>
      <c r="P1960">
        <v>-0.17601169999999999</v>
      </c>
      <c r="Q1960">
        <v>-4.314026E-2</v>
      </c>
      <c r="R1960">
        <v>-0.98344240000000005</v>
      </c>
      <c r="S1960">
        <v>-0.1875</v>
      </c>
      <c r="T1960">
        <v>-0.19985249999999999</v>
      </c>
      <c r="U1960">
        <v>-3.0098569999999998</v>
      </c>
      <c r="V1960">
        <v>-0.18265529999999999</v>
      </c>
      <c r="W1960">
        <v>-2.9969900000000001E-2</v>
      </c>
      <c r="X1960">
        <v>0.98272009999999899</v>
      </c>
      <c r="Y1960">
        <v>-0.294510099999999</v>
      </c>
      <c r="Z1960">
        <v>5.8349539999999998E-2</v>
      </c>
      <c r="AA1960">
        <v>0.95386530000000003</v>
      </c>
      <c r="AB1960">
        <v>19</v>
      </c>
      <c r="AC1960">
        <v>-0.97720000000003804</v>
      </c>
      <c r="AD1960">
        <v>-1.1056774232801001</v>
      </c>
      <c r="AE1960">
        <v>-16.4848</v>
      </c>
      <c r="AF1960">
        <v>-4.8873869518738804</v>
      </c>
      <c r="AG1960">
        <v>-1.1056774232801001</v>
      </c>
      <c r="AH1960">
        <v>15.696760761732699</v>
      </c>
      <c r="AI1960">
        <v>93.847642635766903</v>
      </c>
      <c r="AJ1960">
        <v>107.294644107115</v>
      </c>
      <c r="AK1960">
        <v>16.477177312658</v>
      </c>
    </row>
    <row r="1961" spans="1:37" x14ac:dyDescent="0.2">
      <c r="A1961" t="str">
        <f>"20200111160147180"</f>
        <v>20200111160147180</v>
      </c>
      <c r="B1961" t="str">
        <f>"1578729707173056"</f>
        <v>1578729707173056</v>
      </c>
      <c r="C1961" t="s">
        <v>37</v>
      </c>
      <c r="D1961">
        <v>5.1017580000000002</v>
      </c>
      <c r="E1961">
        <v>0.45865</v>
      </c>
      <c r="F1961" t="s">
        <v>38</v>
      </c>
      <c r="G1961">
        <v>-488.98500000000001</v>
      </c>
      <c r="H1961" s="1">
        <v>-1.076522E-6</v>
      </c>
      <c r="I1961">
        <v>261.72250000000003</v>
      </c>
      <c r="J1961">
        <v>-488.10509999999999</v>
      </c>
      <c r="K1961">
        <v>1.105324</v>
      </c>
      <c r="L1961">
        <v>276.42700000000002</v>
      </c>
      <c r="M1961">
        <v>-0.34995369999999998</v>
      </c>
      <c r="N1961">
        <v>0</v>
      </c>
      <c r="O1961">
        <v>-0.93666369999999899</v>
      </c>
      <c r="P1961">
        <v>-0.172628</v>
      </c>
      <c r="Q1961">
        <v>-4.6948400000000001E-2</v>
      </c>
      <c r="R1961">
        <v>-0.98386779999999996</v>
      </c>
      <c r="S1961">
        <v>-0.19058229999999901</v>
      </c>
      <c r="T1961">
        <v>-0.22330619999999901</v>
      </c>
      <c r="U1961">
        <v>-3.0065919999999999</v>
      </c>
      <c r="V1961">
        <v>-0.18255060000000001</v>
      </c>
      <c r="W1961">
        <v>-3.3717749999999998E-2</v>
      </c>
      <c r="X1961">
        <v>0.982618199999999</v>
      </c>
      <c r="Y1961">
        <v>-0.29014959999999901</v>
      </c>
      <c r="Z1961">
        <v>6.5416779999999994E-2</v>
      </c>
      <c r="AA1961">
        <v>0.9547428</v>
      </c>
      <c r="AB1961">
        <v>19</v>
      </c>
      <c r="AC1961">
        <v>-0.87990000000002</v>
      </c>
      <c r="AD1961">
        <v>-1.105325076522</v>
      </c>
      <c r="AE1961">
        <v>-14.7044999999999</v>
      </c>
      <c r="AF1961">
        <v>-4.2979435532237602</v>
      </c>
      <c r="AG1961">
        <v>-1.105325076522</v>
      </c>
      <c r="AH1961">
        <v>14.0036145596171</v>
      </c>
      <c r="AI1961">
        <v>94.315213962074594</v>
      </c>
      <c r="AJ1961">
        <v>107.062125891253</v>
      </c>
      <c r="AK1961">
        <v>14.6899721935001</v>
      </c>
    </row>
    <row r="1962" spans="1:37" x14ac:dyDescent="0.2">
      <c r="A1962" t="str">
        <f>"20200111160147203"</f>
        <v>20200111160147203</v>
      </c>
      <c r="B1962" t="str">
        <f>"1578729707193551"</f>
        <v>1578729707193551</v>
      </c>
      <c r="C1962" t="s">
        <v>37</v>
      </c>
      <c r="D1962">
        <v>5.0698080000000001</v>
      </c>
      <c r="E1962">
        <v>0.46012189999999997</v>
      </c>
      <c r="F1962" t="s">
        <v>38</v>
      </c>
      <c r="G1962">
        <v>-488.98090000000002</v>
      </c>
      <c r="H1962" s="1">
        <v>-1.442355E-6</v>
      </c>
      <c r="I1962">
        <v>262.5736</v>
      </c>
      <c r="J1962">
        <v>-488.1669</v>
      </c>
      <c r="K1962">
        <v>1.104981</v>
      </c>
      <c r="L1962">
        <v>276.25099999999998</v>
      </c>
      <c r="M1962">
        <v>-0.34749179999999902</v>
      </c>
      <c r="N1962">
        <v>0</v>
      </c>
      <c r="O1962">
        <v>-0.93758079999999999</v>
      </c>
      <c r="P1962">
        <v>-0.16871120000000001</v>
      </c>
      <c r="Q1962">
        <v>-4.5951560000000002E-2</v>
      </c>
      <c r="R1962">
        <v>-0.98459379999999996</v>
      </c>
      <c r="S1962">
        <v>-0.18994140000000001</v>
      </c>
      <c r="T1962">
        <v>-0.23971429999999999</v>
      </c>
      <c r="U1962">
        <v>-3.0044249999999999</v>
      </c>
      <c r="V1962">
        <v>-0.18392410000000001</v>
      </c>
      <c r="W1962">
        <v>-3.2651890000000003E-2</v>
      </c>
      <c r="X1962">
        <v>0.98239799999999999</v>
      </c>
      <c r="Y1962">
        <v>-0.2878134</v>
      </c>
      <c r="Z1962">
        <v>7.0382449999999999E-2</v>
      </c>
      <c r="AA1962">
        <v>0.95509669999999902</v>
      </c>
      <c r="AB1962">
        <v>19</v>
      </c>
      <c r="AC1962">
        <v>-0.81400000000002104</v>
      </c>
      <c r="AD1962">
        <v>-1.1049824423550001</v>
      </c>
      <c r="AE1962">
        <v>-13.677399999999899</v>
      </c>
      <c r="AF1962">
        <v>-3.9641936374258</v>
      </c>
      <c r="AG1962">
        <v>-1.1049824423550001</v>
      </c>
      <c r="AH1962">
        <v>13.0230826400306</v>
      </c>
      <c r="AI1962">
        <v>94.640566750383201</v>
      </c>
      <c r="AJ1962">
        <v>106.930117208607</v>
      </c>
      <c r="AK1962">
        <v>13.6578365359227</v>
      </c>
    </row>
    <row r="1963" spans="1:37" x14ac:dyDescent="0.2">
      <c r="A1963" t="str">
        <f>"20200111160147225"</f>
        <v>20200111160147225</v>
      </c>
      <c r="B1963" t="str">
        <f>"1578729707213071"</f>
        <v>1578729707213071</v>
      </c>
      <c r="C1963" t="s">
        <v>37</v>
      </c>
      <c r="D1963">
        <v>5.1179030000000001</v>
      </c>
      <c r="E1963">
        <v>0.46127229999999902</v>
      </c>
      <c r="F1963" t="s">
        <v>38</v>
      </c>
      <c r="G1963">
        <v>-489.03230000000002</v>
      </c>
      <c r="H1963" s="1">
        <v>-1.4262199999999999E-6</v>
      </c>
      <c r="I1963">
        <v>262.55720000000002</v>
      </c>
      <c r="J1963">
        <v>-488.23009999999999</v>
      </c>
      <c r="K1963">
        <v>1.104622</v>
      </c>
      <c r="L1963">
        <v>276.07170000000002</v>
      </c>
      <c r="M1963">
        <v>-0.34564329999999999</v>
      </c>
      <c r="N1963">
        <v>0</v>
      </c>
      <c r="O1963">
        <v>-0.93826500000000002</v>
      </c>
      <c r="P1963">
        <v>-0.1651956</v>
      </c>
      <c r="Q1963">
        <v>-3.9810230000000002E-2</v>
      </c>
      <c r="R1963">
        <v>-0.98545709999999997</v>
      </c>
      <c r="S1963">
        <v>-0.18978879999999901</v>
      </c>
      <c r="T1963">
        <v>-0.2423257</v>
      </c>
      <c r="U1963">
        <v>-3.003082</v>
      </c>
      <c r="V1963">
        <v>-0.18562020000000001</v>
      </c>
      <c r="W1963">
        <v>-2.6408669999999999E-2</v>
      </c>
      <c r="X1963">
        <v>0.98226659999999899</v>
      </c>
      <c r="Y1963">
        <v>-0.2859505</v>
      </c>
      <c r="Z1963">
        <v>7.128031E-2</v>
      </c>
      <c r="AA1963">
        <v>0.95558960000000004</v>
      </c>
      <c r="AB1963">
        <v>19</v>
      </c>
      <c r="AC1963">
        <v>-0.802200000000027</v>
      </c>
      <c r="AD1963">
        <v>-1.1046234262200001</v>
      </c>
      <c r="AE1963">
        <v>-13.5144999999999</v>
      </c>
      <c r="AF1963">
        <v>-3.8929746527517701</v>
      </c>
      <c r="AG1963">
        <v>-1.1046234262200001</v>
      </c>
      <c r="AH1963">
        <v>12.872985388689999</v>
      </c>
      <c r="AI1963">
        <v>94.695491155644802</v>
      </c>
      <c r="AJ1963">
        <v>106.82606641146801</v>
      </c>
      <c r="AK1963">
        <v>13.494043033062701</v>
      </c>
    </row>
    <row r="1964" spans="1:37" x14ac:dyDescent="0.2">
      <c r="A1964" t="str">
        <f>"20200111160147247"</f>
        <v>20200111160147247</v>
      </c>
      <c r="B1964" t="str">
        <f>"1578729707243328"</f>
        <v>1578729707243328</v>
      </c>
      <c r="C1964" t="s">
        <v>37</v>
      </c>
      <c r="D1964">
        <v>5.0842660000000004</v>
      </c>
      <c r="E1964">
        <v>0.47741699999999998</v>
      </c>
      <c r="F1964" t="s">
        <v>38</v>
      </c>
      <c r="G1964">
        <v>-489.1361</v>
      </c>
      <c r="H1964" s="1">
        <v>-1.020294E-6</v>
      </c>
      <c r="I1964">
        <v>261.65390000000002</v>
      </c>
      <c r="J1964">
        <v>-488.29050000000001</v>
      </c>
      <c r="K1964">
        <v>1.104282</v>
      </c>
      <c r="L1964">
        <v>275.90230000000003</v>
      </c>
      <c r="M1964">
        <v>-0.34449409999999903</v>
      </c>
      <c r="N1964">
        <v>0</v>
      </c>
      <c r="O1964">
        <v>-0.93868830000000003</v>
      </c>
      <c r="P1964">
        <v>-0.164092299999999</v>
      </c>
      <c r="Q1964">
        <v>-3.0406289999999999E-2</v>
      </c>
      <c r="R1964">
        <v>-0.98597619999999897</v>
      </c>
      <c r="S1964">
        <v>-0.18872069999999999</v>
      </c>
      <c r="T1964">
        <v>-0.23009769999999999</v>
      </c>
      <c r="U1964">
        <v>-3.00329599999999</v>
      </c>
      <c r="V1964">
        <v>-0.18565419999999999</v>
      </c>
      <c r="W1964">
        <v>-1.6876559999999999E-2</v>
      </c>
      <c r="X1964">
        <v>0.98247019999999996</v>
      </c>
      <c r="Y1964">
        <v>-0.28510559999999902</v>
      </c>
      <c r="Z1964">
        <v>6.7757620000000005E-2</v>
      </c>
      <c r="AA1964">
        <v>0.95609820000000001</v>
      </c>
      <c r="AB1964">
        <v>19</v>
      </c>
      <c r="AC1964">
        <v>-0.84559999999999003</v>
      </c>
      <c r="AD1964">
        <v>-1.1042830202939999</v>
      </c>
      <c r="AE1964">
        <v>-14.2484</v>
      </c>
      <c r="AF1964">
        <v>-4.09063735467962</v>
      </c>
      <c r="AG1964">
        <v>-1.1042830202939999</v>
      </c>
      <c r="AH1964">
        <v>13.5860763090057</v>
      </c>
      <c r="AI1964">
        <v>94.450313336449099</v>
      </c>
      <c r="AJ1964">
        <v>106.75654461442799</v>
      </c>
      <c r="AK1964">
        <v>14.231451943864901</v>
      </c>
    </row>
    <row r="1965" spans="1:37" x14ac:dyDescent="0.2">
      <c r="A1965" t="str">
        <f>"20200111160147270"</f>
        <v>20200111160147270</v>
      </c>
      <c r="B1965" t="str">
        <f>"1578729707262848"</f>
        <v>1578729707262848</v>
      </c>
      <c r="C1965" t="s">
        <v>37</v>
      </c>
      <c r="D1965">
        <v>5.0904910000000001</v>
      </c>
      <c r="E1965">
        <v>0.47664469999999998</v>
      </c>
      <c r="F1965" t="s">
        <v>38</v>
      </c>
      <c r="G1965">
        <v>-489.72809999999998</v>
      </c>
      <c r="H1965" s="1">
        <v>-1.1151210000000001E-6</v>
      </c>
      <c r="I1965">
        <v>262.11970000000002</v>
      </c>
      <c r="J1965">
        <v>-488.3571</v>
      </c>
      <c r="K1965">
        <v>1.103891</v>
      </c>
      <c r="L1965">
        <v>275.7174</v>
      </c>
      <c r="M1965">
        <v>-0.34390290000000001</v>
      </c>
      <c r="N1965">
        <v>0</v>
      </c>
      <c r="O1965">
        <v>-0.93890589999999996</v>
      </c>
      <c r="P1965">
        <v>-0.16521240000000001</v>
      </c>
      <c r="Q1965">
        <v>-2.361129E-2</v>
      </c>
      <c r="R1965">
        <v>-0.98597539999999995</v>
      </c>
      <c r="S1965">
        <v>-0.31118770000000001</v>
      </c>
      <c r="T1965">
        <v>-0.239046799999999</v>
      </c>
      <c r="U1965">
        <v>-2.9835509999999998</v>
      </c>
      <c r="V1965">
        <v>-0.18399160000000001</v>
      </c>
      <c r="W1965">
        <v>-9.92865699999999E-3</v>
      </c>
      <c r="X1965">
        <v>0.98287769999999997</v>
      </c>
      <c r="Y1965">
        <v>-0.24493280000000001</v>
      </c>
      <c r="Z1965">
        <v>7.1202779999999993E-2</v>
      </c>
      <c r="AA1965">
        <v>0.96692199999999995</v>
      </c>
      <c r="AB1965">
        <v>19</v>
      </c>
      <c r="AC1965">
        <v>-1.37099999999998</v>
      </c>
      <c r="AD1965">
        <v>-1.1038921151209999</v>
      </c>
      <c r="AE1965">
        <v>-13.5976999999999</v>
      </c>
      <c r="AF1965">
        <v>-3.36739487901575</v>
      </c>
      <c r="AG1965">
        <v>-1.1038921151209999</v>
      </c>
      <c r="AH1965">
        <v>13.153867396453499</v>
      </c>
      <c r="AI1965">
        <v>94.647908691432804</v>
      </c>
      <c r="AJ1965">
        <v>104.359356270536</v>
      </c>
      <c r="AK1965">
        <v>13.622854089966999</v>
      </c>
    </row>
    <row r="1966" spans="1:37" x14ac:dyDescent="0.2">
      <c r="A1966" t="str">
        <f>"20200111160147293"</f>
        <v>20200111160147293</v>
      </c>
      <c r="B1966" t="str">
        <f>"1578729707283343"</f>
        <v>1578729707283343</v>
      </c>
      <c r="C1966" t="s">
        <v>37</v>
      </c>
      <c r="D1966">
        <v>5.1774129999999996</v>
      </c>
      <c r="E1966">
        <v>0.47597050000000002</v>
      </c>
      <c r="F1966" t="s">
        <v>38</v>
      </c>
      <c r="G1966">
        <v>-489.83420000000001</v>
      </c>
      <c r="H1966" s="1">
        <v>-7.8764009999999997E-7</v>
      </c>
      <c r="I1966">
        <v>261.40019999999998</v>
      </c>
      <c r="J1966">
        <v>-488.42360000000002</v>
      </c>
      <c r="K1966">
        <v>1.1035379999999999</v>
      </c>
      <c r="L1966">
        <v>275.53570000000002</v>
      </c>
      <c r="M1966">
        <v>-0.34406100000000001</v>
      </c>
      <c r="N1966">
        <v>0</v>
      </c>
      <c r="O1966">
        <v>-0.93884829999999997</v>
      </c>
      <c r="P1966">
        <v>-0.16875409999999999</v>
      </c>
      <c r="Q1966">
        <v>-1.8755750000000002E-2</v>
      </c>
      <c r="R1966">
        <v>-0.98547980000000002</v>
      </c>
      <c r="S1966">
        <v>-0.30801390000000001</v>
      </c>
      <c r="T1966">
        <v>-0.2301909</v>
      </c>
      <c r="U1966">
        <v>-2.9855040000000002</v>
      </c>
      <c r="V1966">
        <v>-0.1806594</v>
      </c>
      <c r="W1966">
        <v>-4.933893E-3</v>
      </c>
      <c r="X1966">
        <v>0.98353330000000005</v>
      </c>
      <c r="Y1966">
        <v>-0.24615860000000001</v>
      </c>
      <c r="Z1966">
        <v>6.8520499999999998E-2</v>
      </c>
      <c r="AA1966">
        <v>0.96680440000000001</v>
      </c>
      <c r="AB1966">
        <v>19</v>
      </c>
      <c r="AC1966">
        <v>-1.4105999999999801</v>
      </c>
      <c r="AD1966">
        <v>-1.1035387876400999</v>
      </c>
      <c r="AE1966">
        <v>-14.1355</v>
      </c>
      <c r="AF1966">
        <v>-3.5182326861533699</v>
      </c>
      <c r="AG1966">
        <v>-1.1035387876400999</v>
      </c>
      <c r="AH1966">
        <v>13.675177015913199</v>
      </c>
      <c r="AI1966">
        <v>94.468671364033298</v>
      </c>
      <c r="AJ1966">
        <v>104.427684038219</v>
      </c>
      <c r="AK1966">
        <v>14.163552714848899</v>
      </c>
    </row>
    <row r="1967" spans="1:37" x14ac:dyDescent="0.2">
      <c r="A1967" t="str">
        <f>"20200111160147313"</f>
        <v>20200111160147313</v>
      </c>
      <c r="B1967" t="str">
        <f>"1578729707302863"</f>
        <v>1578729707302863</v>
      </c>
      <c r="C1967" t="s">
        <v>37</v>
      </c>
      <c r="D1967">
        <v>5.1493529999999996</v>
      </c>
      <c r="E1967">
        <v>0.47670839999999998</v>
      </c>
      <c r="F1967" t="s">
        <v>38</v>
      </c>
      <c r="G1967">
        <v>-489.98360000000002</v>
      </c>
      <c r="H1967" s="1">
        <v>-4.5100709999999998E-7</v>
      </c>
      <c r="I1967">
        <v>260.6506</v>
      </c>
      <c r="J1967">
        <v>-488.4846</v>
      </c>
      <c r="K1967">
        <v>1.103294</v>
      </c>
      <c r="L1967">
        <v>275.37110000000001</v>
      </c>
      <c r="M1967">
        <v>-0.34468939999999998</v>
      </c>
      <c r="N1967">
        <v>0</v>
      </c>
      <c r="O1967">
        <v>-0.93861839999999996</v>
      </c>
      <c r="P1967">
        <v>-0.17208039999999999</v>
      </c>
      <c r="Q1967">
        <v>-1.4141839999999999E-2</v>
      </c>
      <c r="R1967">
        <v>-0.98498149999999995</v>
      </c>
      <c r="S1967">
        <v>-0.3129883</v>
      </c>
      <c r="T1967">
        <v>-0.22140180000000001</v>
      </c>
      <c r="U1967">
        <v>-2.986389</v>
      </c>
      <c r="V1967">
        <v>-0.178013</v>
      </c>
      <c r="W1967">
        <v>-2.277875E-4</v>
      </c>
      <c r="X1967">
        <v>0.98402809999999896</v>
      </c>
      <c r="Y1967">
        <v>-0.24522469999999999</v>
      </c>
      <c r="Z1967">
        <v>6.5877389999999994E-2</v>
      </c>
      <c r="AA1967">
        <v>0.96722540000000001</v>
      </c>
      <c r="AB1967">
        <v>19</v>
      </c>
      <c r="AC1967">
        <v>-1.4990000000000201</v>
      </c>
      <c r="AD1967">
        <v>-1.1032944510071001</v>
      </c>
      <c r="AE1967">
        <v>-14.720499999999999</v>
      </c>
      <c r="AF1967">
        <v>-3.6470731372320402</v>
      </c>
      <c r="AG1967">
        <v>-1.1032944510071001</v>
      </c>
      <c r="AH1967">
        <v>14.2556871138689</v>
      </c>
      <c r="AI1967">
        <v>94.287927401441806</v>
      </c>
      <c r="AJ1967">
        <v>104.350348508265</v>
      </c>
      <c r="AK1967">
        <v>14.7561179245244</v>
      </c>
    </row>
    <row r="1968" spans="1:37" x14ac:dyDescent="0.2">
      <c r="A1968" t="str">
        <f>"20200111160147336"</f>
        <v>20200111160147336</v>
      </c>
      <c r="B1968" t="str">
        <f>"1578729707333119"</f>
        <v>1578729707333119</v>
      </c>
      <c r="C1968" t="s">
        <v>37</v>
      </c>
      <c r="D1968">
        <v>5.0080799999999996</v>
      </c>
      <c r="E1968">
        <v>0.47853269999999998</v>
      </c>
      <c r="F1968" t="s">
        <v>38</v>
      </c>
      <c r="G1968">
        <v>-490.23770000000002</v>
      </c>
      <c r="H1968" s="1">
        <v>-4.2851580000000002E-6</v>
      </c>
      <c r="I1968">
        <v>259.45499999999998</v>
      </c>
      <c r="J1968">
        <v>-488.55099999999999</v>
      </c>
      <c r="K1968">
        <v>1.1030899999999999</v>
      </c>
      <c r="L1968">
        <v>275.19380000000001</v>
      </c>
      <c r="M1968">
        <v>-0.34586790000000001</v>
      </c>
      <c r="N1968">
        <v>0</v>
      </c>
      <c r="O1968">
        <v>-0.93818500000000005</v>
      </c>
      <c r="P1968">
        <v>-0.17547289999999999</v>
      </c>
      <c r="Q1968">
        <v>-1.17707E-2</v>
      </c>
      <c r="R1968">
        <v>-0.98441429999999996</v>
      </c>
      <c r="S1968">
        <v>-0.32882689999999998</v>
      </c>
      <c r="T1968">
        <v>-0.2069415</v>
      </c>
      <c r="U1968">
        <v>-2.9853209999999999</v>
      </c>
      <c r="V1968">
        <v>-0.17586079999999901</v>
      </c>
      <c r="W1968">
        <v>2.2109180000000001E-3</v>
      </c>
      <c r="X1968">
        <v>0.98441259999999997</v>
      </c>
      <c r="Y1968">
        <v>-0.24130189999999899</v>
      </c>
      <c r="Z1968">
        <v>6.1591109999999998E-2</v>
      </c>
      <c r="AA1968">
        <v>0.96849359999999995</v>
      </c>
      <c r="AB1968">
        <v>19</v>
      </c>
      <c r="AC1968">
        <v>-1.6867000000000301</v>
      </c>
      <c r="AD1968">
        <v>-1.1030942851579999</v>
      </c>
      <c r="AE1968">
        <v>-15.738799999999999</v>
      </c>
      <c r="AF1968">
        <v>-3.8428023838270899</v>
      </c>
      <c r="AG1968">
        <v>-1.1030942851579999</v>
      </c>
      <c r="AH1968">
        <v>15.2765058977065</v>
      </c>
      <c r="AI1968">
        <v>94.005710608349602</v>
      </c>
      <c r="AJ1968">
        <v>104.11978793254301</v>
      </c>
      <c r="AK1968">
        <v>15.7909967894924</v>
      </c>
    </row>
    <row r="1969" spans="1:37" x14ac:dyDescent="0.2">
      <c r="A1969" t="str">
        <f>"20200111160147359"</f>
        <v>20200111160147359</v>
      </c>
      <c r="B1969" t="str">
        <f>"1578729707353616"</f>
        <v>1578729707353616</v>
      </c>
      <c r="C1969" t="s">
        <v>37</v>
      </c>
      <c r="D1969">
        <v>5.1996630000000001</v>
      </c>
      <c r="E1969">
        <v>0.47841450000000002</v>
      </c>
      <c r="F1969" t="s">
        <v>38</v>
      </c>
      <c r="G1969">
        <v>-490.4477</v>
      </c>
      <c r="H1969" s="1">
        <v>-4.2397219999999996E-6</v>
      </c>
      <c r="I1969">
        <v>259.21210000000002</v>
      </c>
      <c r="J1969">
        <v>-488.62060000000002</v>
      </c>
      <c r="K1969">
        <v>1.102948</v>
      </c>
      <c r="L1969">
        <v>275.01049999999998</v>
      </c>
      <c r="M1969">
        <v>-0.34757389999999999</v>
      </c>
      <c r="N1969">
        <v>0</v>
      </c>
      <c r="O1969">
        <v>-0.93755469999999896</v>
      </c>
      <c r="P1969">
        <v>-0.18138170000000001</v>
      </c>
      <c r="Q1969">
        <v>-8.5022480000000004E-3</v>
      </c>
      <c r="R1969">
        <v>-0.98337640000000004</v>
      </c>
      <c r="S1969">
        <v>-0.35388179999999902</v>
      </c>
      <c r="T1969">
        <v>-0.205821</v>
      </c>
      <c r="U1969">
        <v>-2.9819640000000001</v>
      </c>
      <c r="V1969">
        <v>-0.17173659999999999</v>
      </c>
      <c r="W1969">
        <v>5.5277700000000004E-3</v>
      </c>
      <c r="X1969">
        <v>0.98512739999999999</v>
      </c>
      <c r="Y1969">
        <v>-0.2349097</v>
      </c>
      <c r="Z1969">
        <v>6.1291089999999999E-2</v>
      </c>
      <c r="AA1969">
        <v>0.97008289999999997</v>
      </c>
      <c r="AB1969">
        <v>19</v>
      </c>
      <c r="AC1969">
        <v>-1.82709999999997</v>
      </c>
      <c r="AD1969">
        <v>-1.102952239722</v>
      </c>
      <c r="AE1969">
        <v>-15.7983999999999</v>
      </c>
      <c r="AF1969">
        <v>-3.7603659387514501</v>
      </c>
      <c r="AG1969">
        <v>-1.102952239722</v>
      </c>
      <c r="AH1969">
        <v>15.3743884043653</v>
      </c>
      <c r="AI1969">
        <v>93.986239713169496</v>
      </c>
      <c r="AJ1969">
        <v>103.743941599492</v>
      </c>
      <c r="AK1969">
        <v>15.865959613106</v>
      </c>
    </row>
    <row r="1970" spans="1:37" x14ac:dyDescent="0.2">
      <c r="A1970" t="str">
        <f>"20200111160147381"</f>
        <v>20200111160147381</v>
      </c>
      <c r="B1970" t="str">
        <f>"1578729707373135"</f>
        <v>1578729707373135</v>
      </c>
      <c r="C1970" t="s">
        <v>37</v>
      </c>
      <c r="D1970">
        <v>5.2846729999999997</v>
      </c>
      <c r="E1970">
        <v>0.46756379999999997</v>
      </c>
      <c r="F1970" t="s">
        <v>38</v>
      </c>
      <c r="G1970">
        <v>-490.69189999999998</v>
      </c>
      <c r="H1970" s="1">
        <v>-3.9385459999999996E-6</v>
      </c>
      <c r="I1970">
        <v>258.34089999999998</v>
      </c>
      <c r="J1970">
        <v>-488.69049999999999</v>
      </c>
      <c r="K1970">
        <v>1.1028290000000001</v>
      </c>
      <c r="L1970">
        <v>274.8288</v>
      </c>
      <c r="M1970">
        <v>-0.349664799999999</v>
      </c>
      <c r="N1970">
        <v>0</v>
      </c>
      <c r="O1970">
        <v>-0.93677690000000002</v>
      </c>
      <c r="P1970">
        <v>-0.1877828</v>
      </c>
      <c r="Q1970">
        <v>-5.4600300000000003E-3</v>
      </c>
      <c r="R1970">
        <v>-0.98219539999999905</v>
      </c>
      <c r="S1970">
        <v>-0.3703613</v>
      </c>
      <c r="T1970">
        <v>-0.19721520000000001</v>
      </c>
      <c r="U1970">
        <v>-2.9806520000000001</v>
      </c>
      <c r="V1970">
        <v>-0.16750889999999999</v>
      </c>
      <c r="W1970">
        <v>8.6109210000000005E-3</v>
      </c>
      <c r="X1970">
        <v>0.98583299999999996</v>
      </c>
      <c r="Y1970">
        <v>-0.23172280000000001</v>
      </c>
      <c r="Z1970">
        <v>5.8696709999999999E-2</v>
      </c>
      <c r="AA1970">
        <v>0.97100940000000002</v>
      </c>
      <c r="AB1970">
        <v>19</v>
      </c>
      <c r="AC1970">
        <v>-2.0013999999999799</v>
      </c>
      <c r="AD1970">
        <v>-1.1028329385460001</v>
      </c>
      <c r="AE1970">
        <v>-16.4879</v>
      </c>
      <c r="AF1970">
        <v>-3.8736513100838601</v>
      </c>
      <c r="AG1970">
        <v>-1.1028329385460001</v>
      </c>
      <c r="AH1970">
        <v>16.075907002058099</v>
      </c>
      <c r="AI1970">
        <v>93.815563666046401</v>
      </c>
      <c r="AJ1970">
        <v>103.547732767013</v>
      </c>
      <c r="AK1970">
        <v>16.572754777081499</v>
      </c>
    </row>
    <row r="1971" spans="1:37" x14ac:dyDescent="0.2">
      <c r="A1971" t="str">
        <f>"20200111160147402"</f>
        <v>20200111160147402</v>
      </c>
      <c r="B1971" t="str">
        <f>"1578729707393631"</f>
        <v>1578729707393631</v>
      </c>
      <c r="C1971" t="s">
        <v>37</v>
      </c>
      <c r="D1971">
        <v>5.1982439999999999</v>
      </c>
      <c r="E1971">
        <v>0.46562819999999999</v>
      </c>
      <c r="F1971" t="s">
        <v>38</v>
      </c>
      <c r="G1971">
        <v>-490.7835</v>
      </c>
      <c r="H1971" s="1">
        <v>-2.207866E-6</v>
      </c>
      <c r="I1971">
        <v>254.24979999999999</v>
      </c>
      <c r="J1971">
        <v>-488.75319999999999</v>
      </c>
      <c r="K1971">
        <v>1.1027209999999901</v>
      </c>
      <c r="L1971">
        <v>274.6678</v>
      </c>
      <c r="M1971">
        <v>-0.35178109999999901</v>
      </c>
      <c r="N1971">
        <v>0</v>
      </c>
      <c r="O1971">
        <v>-0.93598429999999999</v>
      </c>
      <c r="P1971">
        <v>-0.194413</v>
      </c>
      <c r="Q1971">
        <v>-2.512767E-3</v>
      </c>
      <c r="R1971">
        <v>-0.98091640000000002</v>
      </c>
      <c r="S1971">
        <v>-0.30462649999999902</v>
      </c>
      <c r="T1971">
        <v>-0.16051309999999999</v>
      </c>
      <c r="U1971">
        <v>-2.995209</v>
      </c>
      <c r="V1971">
        <v>-0.16306470000000001</v>
      </c>
      <c r="W1971">
        <v>1.159052E-2</v>
      </c>
      <c r="X1971">
        <v>0.98654730000000002</v>
      </c>
      <c r="Y1971">
        <v>-0.25540659999999998</v>
      </c>
      <c r="Z1971">
        <v>4.7406339999999998E-2</v>
      </c>
      <c r="AA1971">
        <v>0.96567080000000005</v>
      </c>
      <c r="AB1971">
        <v>19</v>
      </c>
      <c r="AC1971">
        <v>-2.0303000000000102</v>
      </c>
      <c r="AD1971">
        <v>-1.1027232078659901</v>
      </c>
      <c r="AE1971">
        <v>-20.417999999999999</v>
      </c>
      <c r="AF1971">
        <v>-5.2676080327838601</v>
      </c>
      <c r="AG1971">
        <v>-1.1027232078659901</v>
      </c>
      <c r="AH1971">
        <v>19.7698671371503</v>
      </c>
      <c r="AI1971">
        <v>93.085119181358905</v>
      </c>
      <c r="AJ1971">
        <v>104.919628921091</v>
      </c>
      <c r="AK1971">
        <v>20.489298169551599</v>
      </c>
    </row>
    <row r="1972" spans="1:37" x14ac:dyDescent="0.2">
      <c r="A1972" t="str">
        <f>"20200111160147426"</f>
        <v>20200111160147426</v>
      </c>
      <c r="B1972" t="str">
        <f>"1578729707422912"</f>
        <v>1578729707422912</v>
      </c>
      <c r="C1972" t="s">
        <v>37</v>
      </c>
      <c r="D1972">
        <v>5.1199760000000003</v>
      </c>
      <c r="E1972">
        <v>0.4648002</v>
      </c>
      <c r="F1972" t="s">
        <v>38</v>
      </c>
      <c r="G1972">
        <v>-491.05579999999998</v>
      </c>
      <c r="H1972" s="1">
        <v>-1.460229E-6</v>
      </c>
      <c r="I1972">
        <v>252.3381</v>
      </c>
      <c r="J1972">
        <v>-488.82549999999998</v>
      </c>
      <c r="K1972">
        <v>1.102617</v>
      </c>
      <c r="L1972">
        <v>274.4846</v>
      </c>
      <c r="M1972">
        <v>-0.35441929999999999</v>
      </c>
      <c r="N1972">
        <v>0</v>
      </c>
      <c r="O1972">
        <v>-0.93498840000000005</v>
      </c>
      <c r="P1972">
        <v>-0.20076949999999999</v>
      </c>
      <c r="Q1972">
        <v>-1.3468369999999999E-4</v>
      </c>
      <c r="R1972">
        <v>-0.97963840000000002</v>
      </c>
      <c r="S1972">
        <v>-0.30902099999999999</v>
      </c>
      <c r="T1972">
        <v>-0.1479896</v>
      </c>
      <c r="U1972">
        <v>-2.9967349999999899</v>
      </c>
      <c r="V1972">
        <v>-0.15943499999999999</v>
      </c>
      <c r="W1972">
        <v>1.399978E-2</v>
      </c>
      <c r="X1972">
        <v>0.98710919999999902</v>
      </c>
      <c r="Y1972">
        <v>-0.25676349999999998</v>
      </c>
      <c r="Z1972">
        <v>4.3610019999999999E-2</v>
      </c>
      <c r="AA1972">
        <v>0.96548989999999901</v>
      </c>
      <c r="AB1972">
        <v>19</v>
      </c>
      <c r="AC1972">
        <v>-2.2303000000000002</v>
      </c>
      <c r="AD1972">
        <v>-1.1026184602289999</v>
      </c>
      <c r="AE1972">
        <v>-22.1465</v>
      </c>
      <c r="AF1972">
        <v>-5.7502611398710597</v>
      </c>
      <c r="AG1972">
        <v>-1.1026184602289999</v>
      </c>
      <c r="AH1972">
        <v>21.4465284642874</v>
      </c>
      <c r="AI1972">
        <v>92.842885846742504</v>
      </c>
      <c r="AJ1972">
        <v>105.00917527173701</v>
      </c>
      <c r="AK1972">
        <v>22.231393429451099</v>
      </c>
    </row>
    <row r="1973" spans="1:37" x14ac:dyDescent="0.2">
      <c r="A1973" t="str">
        <f>"20200111160147449"</f>
        <v>20200111160147449</v>
      </c>
      <c r="B1973" t="str">
        <f>"1578729707443407"</f>
        <v>1578729707443407</v>
      </c>
      <c r="C1973" t="s">
        <v>37</v>
      </c>
      <c r="D1973">
        <v>5.2208360000000003</v>
      </c>
      <c r="E1973">
        <v>0.4646092</v>
      </c>
      <c r="F1973" t="s">
        <v>38</v>
      </c>
      <c r="G1973">
        <v>-491.17860000000002</v>
      </c>
      <c r="H1973" s="1">
        <v>-1.568973E-6</v>
      </c>
      <c r="I1973">
        <v>252.5154</v>
      </c>
      <c r="J1973">
        <v>-488.89599999999899</v>
      </c>
      <c r="K1973">
        <v>1.10254599999999</v>
      </c>
      <c r="L1973">
        <v>274.30829999999997</v>
      </c>
      <c r="M1973">
        <v>-0.35715989999999997</v>
      </c>
      <c r="N1973">
        <v>0</v>
      </c>
      <c r="O1973">
        <v>-0.93394539999999904</v>
      </c>
      <c r="P1973">
        <v>-0.20676030000000001</v>
      </c>
      <c r="Q1973">
        <v>1.02559999999999E-3</v>
      </c>
      <c r="R1973">
        <v>-0.97839159999999903</v>
      </c>
      <c r="S1973">
        <v>-0.3209534</v>
      </c>
      <c r="T1973">
        <v>-0.15039330000000001</v>
      </c>
      <c r="U1973">
        <v>-2.996521</v>
      </c>
      <c r="V1973">
        <v>-0.15628020000000001</v>
      </c>
      <c r="W1973">
        <v>1.517697E-2</v>
      </c>
      <c r="X1973">
        <v>0.98759619999999904</v>
      </c>
      <c r="Y1973">
        <v>-0.2557912</v>
      </c>
      <c r="Z1973">
        <v>4.4240799999999997E-2</v>
      </c>
      <c r="AA1973">
        <v>0.965719199999999</v>
      </c>
      <c r="AB1973">
        <v>19</v>
      </c>
      <c r="AC1973">
        <v>-2.2826000000000501</v>
      </c>
      <c r="AD1973">
        <v>-1.10254756897299</v>
      </c>
      <c r="AE1973">
        <v>-21.7928999999999</v>
      </c>
      <c r="AF1973">
        <v>-5.6379687399581604</v>
      </c>
      <c r="AG1973">
        <v>-1.10254756897299</v>
      </c>
      <c r="AH1973">
        <v>21.117103051481799</v>
      </c>
      <c r="AI1973">
        <v>92.887791722043801</v>
      </c>
      <c r="AJ1973">
        <v>104.948492161538</v>
      </c>
      <c r="AK1973">
        <v>21.884568625894701</v>
      </c>
    </row>
    <row r="1974" spans="1:37" x14ac:dyDescent="0.2">
      <c r="A1974" t="str">
        <f>"20200111160147471"</f>
        <v>20200111160147471</v>
      </c>
      <c r="B1974" t="str">
        <f>"1578729707463186"</f>
        <v>1578729707463186</v>
      </c>
      <c r="C1974" t="s">
        <v>37</v>
      </c>
      <c r="D1974">
        <v>5.3085149999999999</v>
      </c>
      <c r="E1974">
        <v>0.45874300000000001</v>
      </c>
      <c r="F1974" t="s">
        <v>38</v>
      </c>
      <c r="G1974">
        <v>-491.42399999999998</v>
      </c>
      <c r="H1974" s="1">
        <v>-1.3509019999999999E-6</v>
      </c>
      <c r="I1974">
        <v>251.85489999999999</v>
      </c>
      <c r="J1974">
        <v>-488.96699999999998</v>
      </c>
      <c r="K1974">
        <v>1.1025020000000001</v>
      </c>
      <c r="L1974">
        <v>274.13319999999999</v>
      </c>
      <c r="M1974">
        <v>-0.36007649999999902</v>
      </c>
      <c r="N1974">
        <v>0</v>
      </c>
      <c r="O1974">
        <v>-0.932824599999999</v>
      </c>
      <c r="P1974">
        <v>-0.2119192</v>
      </c>
      <c r="Q1974">
        <v>1.572015E-3</v>
      </c>
      <c r="R1974">
        <v>-0.97728590000000004</v>
      </c>
      <c r="S1974">
        <v>-0.3372192</v>
      </c>
      <c r="T1974">
        <v>-0.14707110000000001</v>
      </c>
      <c r="U1974">
        <v>-2.995117</v>
      </c>
      <c r="V1974">
        <v>-0.15415090000000001</v>
      </c>
      <c r="W1974">
        <v>1.5729079999999999E-2</v>
      </c>
      <c r="X1974">
        <v>0.98792209999999903</v>
      </c>
      <c r="Y1974">
        <v>-0.25357659999999999</v>
      </c>
      <c r="Z1974">
        <v>4.3207679999999998E-2</v>
      </c>
      <c r="AA1974">
        <v>0.96634979999999904</v>
      </c>
      <c r="AB1974">
        <v>19</v>
      </c>
      <c r="AC1974">
        <v>-2.45700000000005</v>
      </c>
      <c r="AD1974">
        <v>-1.1025033509019999</v>
      </c>
      <c r="AE1974">
        <v>-22.278300000000002</v>
      </c>
      <c r="AF1974">
        <v>-5.7166351020914803</v>
      </c>
      <c r="AG1974">
        <v>-1.1025033509019999</v>
      </c>
      <c r="AH1974">
        <v>21.616136346412102</v>
      </c>
      <c r="AI1974">
        <v>92.822885047649095</v>
      </c>
      <c r="AJ1974">
        <v>104.813392138206</v>
      </c>
      <c r="AK1974">
        <v>22.3864419029888</v>
      </c>
    </row>
    <row r="1975" spans="1:37" x14ac:dyDescent="0.2">
      <c r="A1975" t="str">
        <f>"20200111160147492"</f>
        <v>20200111160147492</v>
      </c>
      <c r="B1975" t="str">
        <f>"1578729707483682"</f>
        <v>1578729707483682</v>
      </c>
      <c r="C1975" t="s">
        <v>37</v>
      </c>
      <c r="D1975">
        <v>5.2122400000000004</v>
      </c>
      <c r="E1975">
        <v>0.45796429999999999</v>
      </c>
      <c r="F1975" t="s">
        <v>38</v>
      </c>
      <c r="G1975">
        <v>-498.54480000000001</v>
      </c>
      <c r="H1975" s="1">
        <v>-3.1981380000000001E-6</v>
      </c>
      <c r="I1975">
        <v>181.9307</v>
      </c>
      <c r="J1975">
        <v>-489.03429999999997</v>
      </c>
      <c r="K1975">
        <v>1.1024780000000001</v>
      </c>
      <c r="L1975">
        <v>273.96899999999999</v>
      </c>
      <c r="M1975">
        <v>-0.362950299999999</v>
      </c>
      <c r="N1975">
        <v>0</v>
      </c>
      <c r="O1975">
        <v>-0.93171029999999999</v>
      </c>
      <c r="P1975">
        <v>-0.2156556</v>
      </c>
      <c r="Q1975">
        <v>2.5259559999999998E-4</v>
      </c>
      <c r="R1975">
        <v>-0.97646980000000005</v>
      </c>
      <c r="S1975">
        <v>-0.3118591</v>
      </c>
      <c r="T1975">
        <v>-3.589821E-2</v>
      </c>
      <c r="U1975">
        <v>-3.002167</v>
      </c>
      <c r="V1975">
        <v>-0.153423799999999</v>
      </c>
      <c r="W1975">
        <v>1.440982E-2</v>
      </c>
      <c r="X1975">
        <v>0.98805540000000003</v>
      </c>
      <c r="Y1975">
        <v>-0.26477139999999999</v>
      </c>
      <c r="Z1975">
        <v>1.0499629999999999E-2</v>
      </c>
      <c r="AA1975">
        <v>0.96425399999999994</v>
      </c>
      <c r="AB1975">
        <v>19</v>
      </c>
      <c r="AC1975">
        <v>-9.5105000000000306</v>
      </c>
      <c r="AD1975">
        <v>-1.1024811981380001</v>
      </c>
      <c r="AE1975">
        <v>-92.038300000000007</v>
      </c>
      <c r="AF1975">
        <v>-24.543059511894501</v>
      </c>
      <c r="AG1975">
        <v>-1.1024811981380001</v>
      </c>
      <c r="AH1975">
        <v>89.200370486489604</v>
      </c>
      <c r="AI1975">
        <v>90.682747364672693</v>
      </c>
      <c r="AJ1975">
        <v>105.38398881660299</v>
      </c>
      <c r="AK1975">
        <v>92.5217992146912</v>
      </c>
    </row>
    <row r="1976" spans="1:37" x14ac:dyDescent="0.2">
      <c r="A1976" t="str">
        <f>"20200111160147514"</f>
        <v>20200111160147514</v>
      </c>
      <c r="B1976" t="str">
        <f>"1578729707503202"</f>
        <v>1578729707503202</v>
      </c>
      <c r="C1976" t="s">
        <v>37</v>
      </c>
      <c r="D1976">
        <v>5.2974509999999997</v>
      </c>
      <c r="E1976">
        <v>0.45748749999999999</v>
      </c>
      <c r="F1976" t="s">
        <v>54</v>
      </c>
      <c r="G1976">
        <v>-495.99900000000002</v>
      </c>
      <c r="H1976" s="1">
        <v>1.8066560000000001E-6</v>
      </c>
      <c r="I1976">
        <v>207.95779999999999</v>
      </c>
      <c r="J1976">
        <v>-489.1046</v>
      </c>
      <c r="K1976">
        <v>1.1024750000000001</v>
      </c>
      <c r="L1976">
        <v>273.79950000000002</v>
      </c>
      <c r="M1976">
        <v>-0.36601469999999903</v>
      </c>
      <c r="N1976">
        <v>0</v>
      </c>
      <c r="O1976">
        <v>-0.93051059999999997</v>
      </c>
      <c r="P1976">
        <v>-0.2183774</v>
      </c>
      <c r="Q1976">
        <v>-2.5471230000000001E-3</v>
      </c>
      <c r="R1976">
        <v>-0.97586130000000004</v>
      </c>
      <c r="S1976">
        <v>-0.31677250000000001</v>
      </c>
      <c r="T1976">
        <v>-5.0143239999999999E-2</v>
      </c>
      <c r="U1976">
        <v>-3.0023499999999999</v>
      </c>
      <c r="V1976">
        <v>-0.1539344</v>
      </c>
      <c r="W1976">
        <v>1.160578E-2</v>
      </c>
      <c r="X1976">
        <v>0.98801289999999997</v>
      </c>
      <c r="Y1976">
        <v>-0.2663953</v>
      </c>
      <c r="Z1976">
        <v>1.462977E-2</v>
      </c>
      <c r="AA1976">
        <v>0.96375290000000002</v>
      </c>
      <c r="AB1976">
        <v>19</v>
      </c>
      <c r="AC1976">
        <v>-6.8944000000000099</v>
      </c>
      <c r="AD1976">
        <v>-1.102473193344</v>
      </c>
      <c r="AE1976">
        <v>-65.841700000000003</v>
      </c>
      <c r="AF1976">
        <v>-17.680435068883501</v>
      </c>
      <c r="AG1976">
        <v>-1.102473193344</v>
      </c>
      <c r="AH1976">
        <v>63.778009867115102</v>
      </c>
      <c r="AI1976">
        <v>90.954337375079604</v>
      </c>
      <c r="AJ1976">
        <v>105.494350244545</v>
      </c>
      <c r="AK1976">
        <v>66.192505421511896</v>
      </c>
    </row>
    <row r="1977" spans="1:37" x14ac:dyDescent="0.2">
      <c r="A1977" t="str">
        <f>"20200111160147537"</f>
        <v>20200111160147537</v>
      </c>
      <c r="B1977" t="str">
        <f>"1578729707533458"</f>
        <v>1578729707533458</v>
      </c>
      <c r="C1977" t="s">
        <v>37</v>
      </c>
      <c r="D1977">
        <v>5.2399969999999998</v>
      </c>
      <c r="E1977">
        <v>0.45659379999999999</v>
      </c>
      <c r="F1977" t="s">
        <v>38</v>
      </c>
      <c r="G1977">
        <v>-492.6936</v>
      </c>
      <c r="H1977" s="1">
        <v>-9.3648190000000004E-7</v>
      </c>
      <c r="I1977">
        <v>240.10140000000001</v>
      </c>
      <c r="J1977">
        <v>-489.178</v>
      </c>
      <c r="K1977">
        <v>1.1024890000000001</v>
      </c>
      <c r="L1977">
        <v>273.62419999999997</v>
      </c>
      <c r="M1977">
        <v>-0.36925549999999902</v>
      </c>
      <c r="N1977">
        <v>0</v>
      </c>
      <c r="O1977">
        <v>-0.92922929999999904</v>
      </c>
      <c r="P1977">
        <v>-0.219085</v>
      </c>
      <c r="Q1977">
        <v>-6.7858019999999996E-3</v>
      </c>
      <c r="R1977">
        <v>-0.97568250000000001</v>
      </c>
      <c r="S1977">
        <v>-0.31976320000000003</v>
      </c>
      <c r="T1977">
        <v>-9.8225709999999994E-2</v>
      </c>
      <c r="U1977">
        <v>-3.0023499999999999</v>
      </c>
      <c r="V1977">
        <v>-0.1566755</v>
      </c>
      <c r="W1977">
        <v>7.3649859999999996E-3</v>
      </c>
      <c r="X1977">
        <v>0.98762269999999897</v>
      </c>
      <c r="Y1977">
        <v>-0.26883600000000002</v>
      </c>
      <c r="Z1977">
        <v>2.8573169999999998E-2</v>
      </c>
      <c r="AA1977">
        <v>0.96276209999999995</v>
      </c>
      <c r="AB1977">
        <v>19</v>
      </c>
      <c r="AC1977">
        <v>-3.5155999999999401</v>
      </c>
      <c r="AD1977">
        <v>-1.1024899364819001</v>
      </c>
      <c r="AE1977">
        <v>-33.522799999999897</v>
      </c>
      <c r="AF1977">
        <v>-9.1027763710453105</v>
      </c>
      <c r="AG1977">
        <v>-1.1024899364819001</v>
      </c>
      <c r="AH1977">
        <v>32.416815898193803</v>
      </c>
      <c r="AI1977">
        <v>91.875387638815795</v>
      </c>
      <c r="AJ1977">
        <v>105.684962205864</v>
      </c>
      <c r="AK1977">
        <v>33.688662405899898</v>
      </c>
    </row>
    <row r="1978" spans="1:37" x14ac:dyDescent="0.2">
      <c r="A1978" t="str">
        <f>"20200111160147559"</f>
        <v>20200111160147559</v>
      </c>
      <c r="B1978" t="str">
        <f>"1578729707552979"</f>
        <v>1578729707552979</v>
      </c>
      <c r="C1978" t="s">
        <v>37</v>
      </c>
      <c r="D1978">
        <v>5.4792680000000002</v>
      </c>
      <c r="E1978">
        <v>0.456445299999999</v>
      </c>
      <c r="F1978" t="s">
        <v>38</v>
      </c>
      <c r="G1978">
        <v>-491.64599999999899</v>
      </c>
      <c r="H1978" s="1">
        <v>-6.4520309999999905E-7</v>
      </c>
      <c r="I1978">
        <v>250.07220000000001</v>
      </c>
      <c r="J1978">
        <v>-489.25310000000002</v>
      </c>
      <c r="K1978">
        <v>1.1025100000000001</v>
      </c>
      <c r="L1978">
        <v>273.4468</v>
      </c>
      <c r="M1978">
        <v>-0.37260140000000003</v>
      </c>
      <c r="N1978">
        <v>0</v>
      </c>
      <c r="O1978">
        <v>-0.92789279999999996</v>
      </c>
      <c r="P1978">
        <v>-0.21913260000000001</v>
      </c>
      <c r="Q1978">
        <v>-1.0006660000000001E-2</v>
      </c>
      <c r="R1978">
        <v>-0.97564379999999995</v>
      </c>
      <c r="S1978">
        <v>-0.31469730000000001</v>
      </c>
      <c r="T1978">
        <v>-0.1405795</v>
      </c>
      <c r="U1978">
        <v>-3.0031430000000001</v>
      </c>
      <c r="V1978">
        <v>-0.16019059999999999</v>
      </c>
      <c r="W1978">
        <v>4.1440050000000001E-3</v>
      </c>
      <c r="X1978">
        <v>0.98707739999999999</v>
      </c>
      <c r="Y1978">
        <v>-0.27397890000000003</v>
      </c>
      <c r="Z1978">
        <v>4.07379E-2</v>
      </c>
      <c r="AA1978">
        <v>0.96087250000000002</v>
      </c>
      <c r="AB1978">
        <v>19</v>
      </c>
      <c r="AC1978">
        <v>-2.3928999999999401</v>
      </c>
      <c r="AD1978">
        <v>-1.1025106452030999</v>
      </c>
      <c r="AE1978">
        <v>-23.374599999999901</v>
      </c>
      <c r="AF1978">
        <v>-6.47539172899861</v>
      </c>
      <c r="AG1978">
        <v>-1.1025106452030999</v>
      </c>
      <c r="AH1978">
        <v>22.5331787174485</v>
      </c>
      <c r="AI1978">
        <v>92.692357169292407</v>
      </c>
      <c r="AJ1978">
        <v>106.03313881368101</v>
      </c>
      <c r="AK1978">
        <v>23.4710538936632</v>
      </c>
    </row>
    <row r="1979" spans="1:37" x14ac:dyDescent="0.2">
      <c r="A1979" t="str">
        <f>"20200111160147582"</f>
        <v>20200111160147582</v>
      </c>
      <c r="B1979" t="str">
        <f>"1578729707573474"</f>
        <v>1578729707573474</v>
      </c>
      <c r="C1979" t="s">
        <v>37</v>
      </c>
      <c r="D1979">
        <v>5.3571349999999898</v>
      </c>
      <c r="E1979">
        <v>0.45648430000000001</v>
      </c>
      <c r="F1979" t="s">
        <v>38</v>
      </c>
      <c r="G1979">
        <v>-491.392</v>
      </c>
      <c r="H1979" s="1">
        <v>-1.823937E-6</v>
      </c>
      <c r="I1979">
        <v>252.97739999999999</v>
      </c>
      <c r="J1979">
        <v>-489.32530000000003</v>
      </c>
      <c r="K1979">
        <v>1.102533</v>
      </c>
      <c r="L1979">
        <v>273.27850000000001</v>
      </c>
      <c r="M1979">
        <v>-0.37583049999999901</v>
      </c>
      <c r="N1979">
        <v>0</v>
      </c>
      <c r="O1979">
        <v>-0.92658969999999896</v>
      </c>
      <c r="P1979">
        <v>-0.218012399999999</v>
      </c>
      <c r="Q1979">
        <v>-9.5108669999999992E-3</v>
      </c>
      <c r="R1979">
        <v>-0.97589979999999998</v>
      </c>
      <c r="S1979">
        <v>-0.31375120000000001</v>
      </c>
      <c r="T1979">
        <v>-0.16173209999999999</v>
      </c>
      <c r="U1979">
        <v>-3.0027469999999998</v>
      </c>
      <c r="V1979">
        <v>-0.1647593</v>
      </c>
      <c r="W1979">
        <v>4.6451560000000001E-3</v>
      </c>
      <c r="X1979">
        <v>0.986322899999999</v>
      </c>
      <c r="Y1979">
        <v>-0.27763890000000002</v>
      </c>
      <c r="Z1979">
        <v>4.6726829999999997E-2</v>
      </c>
      <c r="AA1979">
        <v>0.95954850000000003</v>
      </c>
      <c r="AB1979">
        <v>19</v>
      </c>
      <c r="AC1979">
        <v>-2.06669999999996</v>
      </c>
      <c r="AD1979">
        <v>-1.1025348239370001</v>
      </c>
      <c r="AE1979">
        <v>-20.301100000000002</v>
      </c>
      <c r="AF1979">
        <v>-5.6986767737113304</v>
      </c>
      <c r="AG1979">
        <v>-1.1025348239370001</v>
      </c>
      <c r="AH1979">
        <v>19.5322920173939</v>
      </c>
      <c r="AI1979">
        <v>93.101686717542194</v>
      </c>
      <c r="AJ1979">
        <v>106.264957914021</v>
      </c>
      <c r="AK1979">
        <v>20.376479859435499</v>
      </c>
    </row>
    <row r="1980" spans="1:37" x14ac:dyDescent="0.2">
      <c r="A1980" t="str">
        <f>"20200111160147604"</f>
        <v>20200111160147604</v>
      </c>
      <c r="B1980" t="str">
        <f>"1578729707592994"</f>
        <v>1578729707592994</v>
      </c>
      <c r="C1980" t="s">
        <v>37</v>
      </c>
      <c r="D1980">
        <v>5.2821949999999998</v>
      </c>
      <c r="E1980">
        <v>0.456459</v>
      </c>
      <c r="F1980" t="s">
        <v>38</v>
      </c>
      <c r="G1980">
        <v>-491.34559999999999</v>
      </c>
      <c r="H1980" s="1">
        <v>-2.137414E-6</v>
      </c>
      <c r="I1980">
        <v>253.73689999999999</v>
      </c>
      <c r="J1980">
        <v>-489.3981</v>
      </c>
      <c r="K1980">
        <v>1.102552</v>
      </c>
      <c r="L1980">
        <v>273.1103</v>
      </c>
      <c r="M1980">
        <v>-0.37910369999999999</v>
      </c>
      <c r="N1980">
        <v>0</v>
      </c>
      <c r="O1980">
        <v>-0.92525539999999995</v>
      </c>
      <c r="P1980">
        <v>-0.2176961</v>
      </c>
      <c r="Q1980">
        <v>-6.5756369999999996E-3</v>
      </c>
      <c r="R1980">
        <v>-0.97599469999999999</v>
      </c>
      <c r="S1980">
        <v>-0.31048579999999998</v>
      </c>
      <c r="T1980">
        <v>-0.16943469999999999</v>
      </c>
      <c r="U1980">
        <v>-3.0031129999999999</v>
      </c>
      <c r="V1980">
        <v>-0.16855889999999901</v>
      </c>
      <c r="W1980">
        <v>7.5857559999999999E-3</v>
      </c>
      <c r="X1980">
        <v>0.98566239999999905</v>
      </c>
      <c r="Y1980">
        <v>-0.2820859</v>
      </c>
      <c r="Z1980">
        <v>4.8794400000000002E-2</v>
      </c>
      <c r="AA1980">
        <v>0.95814750000000004</v>
      </c>
      <c r="AB1980">
        <v>19</v>
      </c>
      <c r="AC1980">
        <v>-1.94749999999999</v>
      </c>
      <c r="AD1980">
        <v>-1.102554137414</v>
      </c>
      <c r="AE1980">
        <v>-19.3734</v>
      </c>
      <c r="AF1980">
        <v>-5.52538272917774</v>
      </c>
      <c r="AG1980">
        <v>-1.102554137414</v>
      </c>
      <c r="AH1980">
        <v>18.605695953435202</v>
      </c>
      <c r="AI1980">
        <v>93.251301273545195</v>
      </c>
      <c r="AJ1980">
        <v>106.53997919292701</v>
      </c>
      <c r="AK1980">
        <v>19.440097783743301</v>
      </c>
    </row>
    <row r="1981" spans="1:37" x14ac:dyDescent="0.2">
      <c r="A1981" t="str">
        <f>"20200111160147627"</f>
        <v>20200111160147627</v>
      </c>
      <c r="B1981" t="str">
        <f>"1578729707623251"</f>
        <v>1578729707623251</v>
      </c>
      <c r="C1981" t="s">
        <v>37</v>
      </c>
      <c r="D1981">
        <v>5.2663320000000002</v>
      </c>
      <c r="E1981">
        <v>0.45630959999999998</v>
      </c>
      <c r="F1981" t="s">
        <v>38</v>
      </c>
      <c r="G1981">
        <v>-491.42469999999997</v>
      </c>
      <c r="H1981" s="1">
        <v>-2.0258729999999998E-6</v>
      </c>
      <c r="I1981">
        <v>253.42789999999999</v>
      </c>
      <c r="J1981">
        <v>-489.47329999999999</v>
      </c>
      <c r="K1981">
        <v>1.1025780000000001</v>
      </c>
      <c r="L1981">
        <v>272.93810000000002</v>
      </c>
      <c r="M1981">
        <v>-0.3824844</v>
      </c>
      <c r="N1981">
        <v>0</v>
      </c>
      <c r="O1981">
        <v>-0.92386290000000004</v>
      </c>
      <c r="P1981">
        <v>-0.219581199999999</v>
      </c>
      <c r="Q1981">
        <v>-2.5890940000000001E-3</v>
      </c>
      <c r="R1981">
        <v>-0.97559079999999998</v>
      </c>
      <c r="S1981">
        <v>-0.30926509999999902</v>
      </c>
      <c r="T1981">
        <v>-0.16825519999999999</v>
      </c>
      <c r="U1981">
        <v>-3.0036320000000001</v>
      </c>
      <c r="V1981">
        <v>-0.17024700000000001</v>
      </c>
      <c r="W1981">
        <v>1.1570499999999999E-2</v>
      </c>
      <c r="X1981">
        <v>0.98533349999999897</v>
      </c>
      <c r="Y1981">
        <v>-0.2859913</v>
      </c>
      <c r="Z1981">
        <v>4.8300709999999997E-2</v>
      </c>
      <c r="AA1981">
        <v>0.95701409999999998</v>
      </c>
      <c r="AB1981">
        <v>18</v>
      </c>
      <c r="AC1981">
        <v>-1.95139999999997</v>
      </c>
      <c r="AD1981">
        <v>-1.1025800258730001</v>
      </c>
      <c r="AE1981">
        <v>-19.510200000000001</v>
      </c>
      <c r="AF1981">
        <v>-5.6421979498887103</v>
      </c>
      <c r="AG1981">
        <v>-1.1025800258730001</v>
      </c>
      <c r="AH1981">
        <v>18.713673790017001</v>
      </c>
      <c r="AI1981">
        <v>93.228647209737403</v>
      </c>
      <c r="AJ1981">
        <v>106.778130061704</v>
      </c>
      <c r="AK1981">
        <v>19.576814529906301</v>
      </c>
    </row>
    <row r="1982" spans="1:37" x14ac:dyDescent="0.2">
      <c r="A1982" t="str">
        <f>"20200111160147649"</f>
        <v>20200111160147649</v>
      </c>
      <c r="B1982" t="str">
        <f>"1578729707643746"</f>
        <v>1578729707643746</v>
      </c>
      <c r="C1982" t="s">
        <v>37</v>
      </c>
      <c r="D1982">
        <v>5.3530620000000004</v>
      </c>
      <c r="E1982">
        <v>0.45624809999999999</v>
      </c>
      <c r="F1982" t="s">
        <v>38</v>
      </c>
      <c r="G1982">
        <v>-491.5883</v>
      </c>
      <c r="H1982" s="1">
        <v>-1.744248E-6</v>
      </c>
      <c r="I1982">
        <v>252.66990000000001</v>
      </c>
      <c r="J1982">
        <v>-489.5496</v>
      </c>
      <c r="K1982">
        <v>1.1026100000000001</v>
      </c>
      <c r="L1982">
        <v>272.76560000000001</v>
      </c>
      <c r="M1982">
        <v>-0.38588410000000001</v>
      </c>
      <c r="N1982">
        <v>0</v>
      </c>
      <c r="O1982">
        <v>-0.92244809999999999</v>
      </c>
      <c r="P1982">
        <v>-0.22275599999999901</v>
      </c>
      <c r="Q1982">
        <v>1.670411E-4</v>
      </c>
      <c r="R1982">
        <v>-0.97487409999999997</v>
      </c>
      <c r="S1982">
        <v>-0.31347659999999899</v>
      </c>
      <c r="T1982">
        <v>-0.16341910000000001</v>
      </c>
      <c r="U1982">
        <v>-3.0040589999999998</v>
      </c>
      <c r="V1982">
        <v>-0.17065620000000001</v>
      </c>
      <c r="W1982">
        <v>1.4315420000000001E-2</v>
      </c>
      <c r="X1982">
        <v>0.98522659999999995</v>
      </c>
      <c r="Y1982">
        <v>-0.28819850000000002</v>
      </c>
      <c r="Z1982">
        <v>4.6775270000000001E-2</v>
      </c>
      <c r="AA1982">
        <v>0.95642759999999905</v>
      </c>
      <c r="AB1982">
        <v>18</v>
      </c>
      <c r="AC1982">
        <v>-2.0387</v>
      </c>
      <c r="AD1982">
        <v>-1.1026117442479999</v>
      </c>
      <c r="AE1982">
        <v>-20.095699999999901</v>
      </c>
      <c r="AF1982">
        <v>-5.8571004225625103</v>
      </c>
      <c r="AG1982">
        <v>-1.1026117442479999</v>
      </c>
      <c r="AH1982">
        <v>19.268293923044101</v>
      </c>
      <c r="AI1982">
        <v>93.133844632439704</v>
      </c>
      <c r="AJ1982">
        <v>106.90801714137601</v>
      </c>
      <c r="AK1982">
        <v>20.1689991998451</v>
      </c>
    </row>
    <row r="1983" spans="1:37" x14ac:dyDescent="0.2">
      <c r="A1983" t="str">
        <f>"20200111160147673"</f>
        <v>20200111160147673</v>
      </c>
      <c r="B1983" t="str">
        <f>"1578729707663266"</f>
        <v>1578729707663266</v>
      </c>
      <c r="C1983" t="s">
        <v>37</v>
      </c>
      <c r="D1983">
        <v>5.3126030000000002</v>
      </c>
      <c r="E1983">
        <v>0.45590559999999902</v>
      </c>
      <c r="F1983" t="s">
        <v>38</v>
      </c>
      <c r="G1983">
        <v>-491.81540000000001</v>
      </c>
      <c r="H1983" s="1">
        <v>-1.3727260000000001E-6</v>
      </c>
      <c r="I1983">
        <v>251.66299999999899</v>
      </c>
      <c r="J1983">
        <v>-489.62720000000002</v>
      </c>
      <c r="K1983">
        <v>1.102662</v>
      </c>
      <c r="L1983">
        <v>272.59179999999998</v>
      </c>
      <c r="M1983">
        <v>-0.3892967</v>
      </c>
      <c r="N1983">
        <v>0</v>
      </c>
      <c r="O1983">
        <v>-0.92101339999999998</v>
      </c>
      <c r="P1983">
        <v>-0.22687060000000001</v>
      </c>
      <c r="Q1983">
        <v>1.463771E-3</v>
      </c>
      <c r="R1983">
        <v>-0.97392409999999996</v>
      </c>
      <c r="S1983">
        <v>-0.32250980000000001</v>
      </c>
      <c r="T1983">
        <v>-0.1569412</v>
      </c>
      <c r="U1983">
        <v>-3.0036619999999998</v>
      </c>
      <c r="V1983">
        <v>-0.17013900000000001</v>
      </c>
      <c r="W1983">
        <v>1.558843E-2</v>
      </c>
      <c r="X1983">
        <v>0.98529679999999997</v>
      </c>
      <c r="Y1983">
        <v>-0.28887669999999999</v>
      </c>
      <c r="Z1983">
        <v>4.4809920000000003E-2</v>
      </c>
      <c r="AA1983">
        <v>0.95631710000000003</v>
      </c>
      <c r="AB1983">
        <v>18</v>
      </c>
      <c r="AC1983">
        <v>-2.1881999999999899</v>
      </c>
      <c r="AD1983">
        <v>-1.102663372726</v>
      </c>
      <c r="AE1983">
        <v>-20.928799999999899</v>
      </c>
      <c r="AF1983">
        <v>-6.1159172318494797</v>
      </c>
      <c r="AG1983">
        <v>-1.102663372726</v>
      </c>
      <c r="AH1983">
        <v>20.074279345785001</v>
      </c>
      <c r="AI1983">
        <v>93.007821215340897</v>
      </c>
      <c r="AJ1983">
        <v>106.944109551507</v>
      </c>
      <c r="AK1983">
        <v>21.014209510542901</v>
      </c>
    </row>
    <row r="1984" spans="1:37" x14ac:dyDescent="0.2">
      <c r="A1984" t="str">
        <f>"20200111160147694"</f>
        <v>20200111160147694</v>
      </c>
      <c r="B1984" t="str">
        <f>"1578729707682786"</f>
        <v>1578729707682786</v>
      </c>
      <c r="C1984" t="s">
        <v>37</v>
      </c>
      <c r="D1984">
        <v>5.3531079999999998</v>
      </c>
      <c r="E1984">
        <v>0.45575349999999998</v>
      </c>
      <c r="F1984" t="s">
        <v>38</v>
      </c>
      <c r="G1984">
        <v>-491.99849999999998</v>
      </c>
      <c r="H1984" s="1">
        <v>-1.189171E-6</v>
      </c>
      <c r="I1984">
        <v>251.1216</v>
      </c>
      <c r="J1984">
        <v>-489.70030000000003</v>
      </c>
      <c r="K1984">
        <v>1.1027309999999999</v>
      </c>
      <c r="L1984">
        <v>272.42950000000002</v>
      </c>
      <c r="M1984">
        <v>-0.39245370000000002</v>
      </c>
      <c r="N1984">
        <v>0</v>
      </c>
      <c r="O1984">
        <v>-0.91967239999999995</v>
      </c>
      <c r="P1984">
        <v>-0.23120929999999901</v>
      </c>
      <c r="Q1984">
        <v>3.2094939999999998E-3</v>
      </c>
      <c r="R1984">
        <v>-0.97289890000000001</v>
      </c>
      <c r="S1984">
        <v>-0.33169559999999998</v>
      </c>
      <c r="T1984">
        <v>-0.1542414</v>
      </c>
      <c r="U1984">
        <v>-3.0032649999999999</v>
      </c>
      <c r="V1984">
        <v>-0.1691194</v>
      </c>
      <c r="W1984">
        <v>1.7303860000000001E-2</v>
      </c>
      <c r="X1984">
        <v>0.98544370000000003</v>
      </c>
      <c r="Y1984">
        <v>-0.28925259999999903</v>
      </c>
      <c r="Z1984">
        <v>4.393619E-2</v>
      </c>
      <c r="AA1984">
        <v>0.95624399999999998</v>
      </c>
      <c r="AB1984">
        <v>18</v>
      </c>
      <c r="AC1984">
        <v>-2.2981999999999498</v>
      </c>
      <c r="AD1984">
        <v>-1.10273218917099</v>
      </c>
      <c r="AE1984">
        <v>-21.3079</v>
      </c>
      <c r="AF1984">
        <v>-6.2328427627970697</v>
      </c>
      <c r="AG1984">
        <v>-1.10273218917099</v>
      </c>
      <c r="AH1984">
        <v>20.4459674366923</v>
      </c>
      <c r="AI1984">
        <v>92.953275395459102</v>
      </c>
      <c r="AJ1984">
        <v>106.953559544092</v>
      </c>
      <c r="AK1984">
        <v>21.403315902193</v>
      </c>
    </row>
    <row r="1985" spans="1:37" x14ac:dyDescent="0.2">
      <c r="A1985" t="str">
        <f>"20200111160147715"</f>
        <v>20200111160147715</v>
      </c>
      <c r="B1985" t="str">
        <f>"1578729707703282"</f>
        <v>1578729707703282</v>
      </c>
      <c r="C1985" t="s">
        <v>37</v>
      </c>
      <c r="D1985">
        <v>5.2766120000000001</v>
      </c>
      <c r="E1985">
        <v>0.45555020000000002</v>
      </c>
      <c r="F1985" t="s">
        <v>38</v>
      </c>
      <c r="G1985">
        <v>-492.2149</v>
      </c>
      <c r="H1985" s="1">
        <v>-1.001589E-6</v>
      </c>
      <c r="I1985">
        <v>250.55009999999999</v>
      </c>
      <c r="J1985">
        <v>-489.77370000000002</v>
      </c>
      <c r="K1985">
        <v>1.102808</v>
      </c>
      <c r="L1985">
        <v>272.26780000000002</v>
      </c>
      <c r="M1985">
        <v>-0.39553690000000002</v>
      </c>
      <c r="N1985">
        <v>0</v>
      </c>
      <c r="O1985">
        <v>-0.91835059999999902</v>
      </c>
      <c r="P1985">
        <v>-0.23561959999999901</v>
      </c>
      <c r="Q1985">
        <v>4.8013170000000003E-3</v>
      </c>
      <c r="R1985">
        <v>-0.97183359999999996</v>
      </c>
      <c r="S1985">
        <v>-0.3450317</v>
      </c>
      <c r="T1985">
        <v>-0.1513072</v>
      </c>
      <c r="U1985">
        <v>-3.0021059999999999</v>
      </c>
      <c r="V1985">
        <v>-0.1679496</v>
      </c>
      <c r="W1985">
        <v>1.8856189999999998E-2</v>
      </c>
      <c r="X1985">
        <v>0.98561529999999997</v>
      </c>
      <c r="Y1985">
        <v>-0.2882248</v>
      </c>
      <c r="Z1985">
        <v>4.3019509999999997E-2</v>
      </c>
      <c r="AA1985">
        <v>0.956595999999999</v>
      </c>
      <c r="AB1985">
        <v>18</v>
      </c>
      <c r="AC1985">
        <v>-2.4411999999999798</v>
      </c>
      <c r="AD1985">
        <v>-1.102809001589</v>
      </c>
      <c r="AE1985">
        <v>-21.717700000000001</v>
      </c>
      <c r="AF1985">
        <v>-6.33272894410314</v>
      </c>
      <c r="AG1985">
        <v>-1.102809001589</v>
      </c>
      <c r="AH1985">
        <v>20.858844133324801</v>
      </c>
      <c r="AI1985">
        <v>92.896122890928694</v>
      </c>
      <c r="AJ1985">
        <v>106.888249423844</v>
      </c>
      <c r="AK1985">
        <v>21.826841781435199</v>
      </c>
    </row>
    <row r="1986" spans="1:37" x14ac:dyDescent="0.2">
      <c r="A1986" t="str">
        <f>"20200111160147739"</f>
        <v>20200111160147739</v>
      </c>
      <c r="B1986" t="str">
        <f>"1578729707733539"</f>
        <v>1578729707733539</v>
      </c>
      <c r="C1986" t="s">
        <v>37</v>
      </c>
      <c r="D1986">
        <v>5.4954769999999904</v>
      </c>
      <c r="E1986">
        <v>0.4553854</v>
      </c>
      <c r="F1986" t="s">
        <v>38</v>
      </c>
      <c r="G1986">
        <v>-492.41340000000002</v>
      </c>
      <c r="H1986" s="1">
        <v>-8.4310479999999997E-7</v>
      </c>
      <c r="I1986">
        <v>250.05760000000001</v>
      </c>
      <c r="J1986">
        <v>-489.85469999999998</v>
      </c>
      <c r="K1986">
        <v>1.1029199999999999</v>
      </c>
      <c r="L1986">
        <v>272.09070000000003</v>
      </c>
      <c r="M1986">
        <v>-0.39878179999999902</v>
      </c>
      <c r="N1986">
        <v>0</v>
      </c>
      <c r="O1986">
        <v>-0.91694639999999905</v>
      </c>
      <c r="P1986">
        <v>-0.24040589999999901</v>
      </c>
      <c r="Q1986">
        <v>5.3020250000000001E-3</v>
      </c>
      <c r="R1986">
        <v>-0.97065829999999997</v>
      </c>
      <c r="S1986">
        <v>-0.35668949999999999</v>
      </c>
      <c r="T1986">
        <v>-0.1490216</v>
      </c>
      <c r="U1986">
        <v>-3.0012509999999999</v>
      </c>
      <c r="V1986">
        <v>-0.16657849999999999</v>
      </c>
      <c r="W1986">
        <v>1.9302420000000001E-2</v>
      </c>
      <c r="X1986">
        <v>0.98583920000000003</v>
      </c>
      <c r="Y1986">
        <v>-0.28791059999999902</v>
      </c>
      <c r="Z1986">
        <v>4.2274770000000003E-2</v>
      </c>
      <c r="AA1986">
        <v>0.95672369999999995</v>
      </c>
      <c r="AB1986">
        <v>18</v>
      </c>
      <c r="AC1986">
        <v>-2.5587000000000399</v>
      </c>
      <c r="AD1986">
        <v>-1.1029208431048001</v>
      </c>
      <c r="AE1986">
        <v>-22.033100000000001</v>
      </c>
      <c r="AF1986">
        <v>-6.4249108887100297</v>
      </c>
      <c r="AG1986">
        <v>-1.1029208431048001</v>
      </c>
      <c r="AH1986">
        <v>21.173121770412301</v>
      </c>
      <c r="AI1986">
        <v>92.853616379170205</v>
      </c>
      <c r="AJ1986">
        <v>106.880239952403</v>
      </c>
      <c r="AK1986">
        <v>22.153938697638502</v>
      </c>
    </row>
    <row r="1987" spans="1:37" x14ac:dyDescent="0.2">
      <c r="A1987" t="str">
        <f>"20200111160147761"</f>
        <v>20200111160147761</v>
      </c>
      <c r="B1987" t="str">
        <f>"1578729707753059"</f>
        <v>1578729707753059</v>
      </c>
      <c r="C1987" t="s">
        <v>37</v>
      </c>
      <c r="D1987">
        <v>5.2683210000000003</v>
      </c>
      <c r="E1987">
        <v>0.50640269999999998</v>
      </c>
      <c r="F1987" t="s">
        <v>38</v>
      </c>
      <c r="G1987">
        <v>-492.5745</v>
      </c>
      <c r="H1987" s="1">
        <v>-8.9418890000000002E-7</v>
      </c>
      <c r="I1987">
        <v>250.07669999999999</v>
      </c>
      <c r="J1987">
        <v>-489.93470000000002</v>
      </c>
      <c r="K1987">
        <v>1.103059</v>
      </c>
      <c r="L1987">
        <v>271.91699999999997</v>
      </c>
      <c r="M1987">
        <v>-0.40177950000000001</v>
      </c>
      <c r="N1987">
        <v>0</v>
      </c>
      <c r="O1987">
        <v>-0.91563709999999898</v>
      </c>
      <c r="P1987">
        <v>-0.24509919999999999</v>
      </c>
      <c r="Q1987">
        <v>5.7612540000000004E-3</v>
      </c>
      <c r="R1987">
        <v>-0.96948109999999998</v>
      </c>
      <c r="S1987">
        <v>-0.37060549999999998</v>
      </c>
      <c r="T1987">
        <v>-0.1502907</v>
      </c>
      <c r="U1987">
        <v>-2.9997560000000001</v>
      </c>
      <c r="V1987">
        <v>-0.16503760000000001</v>
      </c>
      <c r="W1987">
        <v>1.9693829999999999E-2</v>
      </c>
      <c r="X1987">
        <v>0.98609069999999899</v>
      </c>
      <c r="Y1987">
        <v>-0.28661520000000001</v>
      </c>
      <c r="Z1987">
        <v>4.2558190000000003E-2</v>
      </c>
      <c r="AA1987">
        <v>0.95710010000000001</v>
      </c>
      <c r="AB1987">
        <v>18</v>
      </c>
      <c r="AC1987">
        <v>-2.6397999999999802</v>
      </c>
      <c r="AD1987">
        <v>-1.1030598941888901</v>
      </c>
      <c r="AE1987">
        <v>-21.840299999999999</v>
      </c>
      <c r="AF1987">
        <v>-6.3425187214005199</v>
      </c>
      <c r="AG1987">
        <v>-1.1030598941888901</v>
      </c>
      <c r="AH1987">
        <v>21.007507431672799</v>
      </c>
      <c r="AI1987">
        <v>92.877655785663904</v>
      </c>
      <c r="AJ1987">
        <v>106.799945725773</v>
      </c>
      <c r="AK1987">
        <v>21.971792219872999</v>
      </c>
    </row>
    <row r="1988" spans="1:37" x14ac:dyDescent="0.2">
      <c r="A1988" t="str">
        <f>"20200111160147783"</f>
        <v>20200111160147783</v>
      </c>
      <c r="B1988" t="str">
        <f>"1578729707773555"</f>
        <v>1578729707773555</v>
      </c>
      <c r="C1988" t="s">
        <v>37</v>
      </c>
      <c r="D1988">
        <v>5.3356409999999999</v>
      </c>
      <c r="E1988">
        <v>0.51989579999999902</v>
      </c>
      <c r="F1988" t="s">
        <v>38</v>
      </c>
      <c r="G1988">
        <v>-493.31580000000002</v>
      </c>
      <c r="H1988" s="1">
        <v>-4.7799300000000002E-6</v>
      </c>
      <c r="I1988">
        <v>259.30450000000002</v>
      </c>
      <c r="J1988">
        <v>-490.00850000000003</v>
      </c>
      <c r="K1988">
        <v>1.1032189999999999</v>
      </c>
      <c r="L1988">
        <v>271.75720000000001</v>
      </c>
      <c r="M1988">
        <v>-0.40432659999999998</v>
      </c>
      <c r="N1988">
        <v>0</v>
      </c>
      <c r="O1988">
        <v>-0.91451530000000003</v>
      </c>
      <c r="P1988">
        <v>-0.24943709999999999</v>
      </c>
      <c r="Q1988">
        <v>6.09704199999999E-3</v>
      </c>
      <c r="R1988">
        <v>-0.96837209999999996</v>
      </c>
      <c r="S1988">
        <v>-0.77728269999999899</v>
      </c>
      <c r="T1988">
        <v>-0.25358209999999998</v>
      </c>
      <c r="U1988">
        <v>-2.8994749999999998</v>
      </c>
      <c r="V1988">
        <v>-0.16337289999999999</v>
      </c>
      <c r="W1988">
        <v>1.9954139999999999E-2</v>
      </c>
      <c r="X1988">
        <v>0.98636259999999998</v>
      </c>
      <c r="Y1988">
        <v>-0.15452639999999901</v>
      </c>
      <c r="Z1988">
        <v>7.4359069999999999E-2</v>
      </c>
      <c r="AA1988">
        <v>0.98518649999999997</v>
      </c>
      <c r="AB1988">
        <v>18</v>
      </c>
      <c r="AC1988">
        <v>-3.3072999999999899</v>
      </c>
      <c r="AD1988">
        <v>-1.10322377992999</v>
      </c>
      <c r="AE1988">
        <v>-12.452699999999901</v>
      </c>
      <c r="AF1988">
        <v>-1.99593078496561</v>
      </c>
      <c r="AG1988">
        <v>-1.10322377992999</v>
      </c>
      <c r="AH1988">
        <v>12.633943804496599</v>
      </c>
      <c r="AI1988">
        <v>94.929702497196303</v>
      </c>
      <c r="AJ1988">
        <v>98.977482950922607</v>
      </c>
      <c r="AK1988">
        <v>12.8381220769298</v>
      </c>
    </row>
    <row r="1989" spans="1:37" x14ac:dyDescent="0.2">
      <c r="A1989" t="str">
        <f>"20200111160147804"</f>
        <v>20200111160147804</v>
      </c>
      <c r="B1989" t="str">
        <f>"1578729707793074"</f>
        <v>1578729707793074</v>
      </c>
      <c r="C1989" t="s">
        <v>37</v>
      </c>
      <c r="D1989">
        <v>5.2373320000000003</v>
      </c>
      <c r="E1989">
        <v>0.52558179999999999</v>
      </c>
      <c r="F1989" t="s">
        <v>38</v>
      </c>
      <c r="G1989">
        <v>-494.05930000000001</v>
      </c>
      <c r="H1989" s="1">
        <v>-4.7310699999999999E-6</v>
      </c>
      <c r="I1989">
        <v>258.77339999999998</v>
      </c>
      <c r="J1989">
        <v>-490.08179999999999</v>
      </c>
      <c r="K1989">
        <v>1.1033959999999901</v>
      </c>
      <c r="L1989">
        <v>271.5992</v>
      </c>
      <c r="M1989">
        <v>-0.40661079999999999</v>
      </c>
      <c r="N1989">
        <v>0</v>
      </c>
      <c r="O1989">
        <v>-0.9135025</v>
      </c>
      <c r="P1989">
        <v>-0.25282070000000001</v>
      </c>
      <c r="Q1989">
        <v>5.7178810000000002E-3</v>
      </c>
      <c r="R1989">
        <v>-0.96749660000000004</v>
      </c>
      <c r="S1989">
        <v>-0.89505000000000001</v>
      </c>
      <c r="T1989">
        <v>-0.24376990000000001</v>
      </c>
      <c r="U1989">
        <v>-2.8689269999999998</v>
      </c>
      <c r="V1989">
        <v>-0.16240070000000001</v>
      </c>
      <c r="W1989">
        <v>1.949122E-2</v>
      </c>
      <c r="X1989">
        <v>0.98653239999999998</v>
      </c>
      <c r="Y1989">
        <v>-0.1169475</v>
      </c>
      <c r="Z1989">
        <v>7.1949310000000002E-2</v>
      </c>
      <c r="AA1989">
        <v>0.99052850000000003</v>
      </c>
      <c r="AB1989">
        <v>18</v>
      </c>
      <c r="AC1989">
        <v>-3.97750000000002</v>
      </c>
      <c r="AD1989">
        <v>-1.10340073106999</v>
      </c>
      <c r="AE1989">
        <v>-12.825799999999999</v>
      </c>
      <c r="AF1989">
        <v>-1.5711873169174999</v>
      </c>
      <c r="AG1989">
        <v>-1.10340073106999</v>
      </c>
      <c r="AH1989">
        <v>13.245470039640299</v>
      </c>
      <c r="AI1989">
        <v>94.7289707844443</v>
      </c>
      <c r="AJ1989">
        <v>96.764856187073505</v>
      </c>
      <c r="AK1989">
        <v>13.383893279953201</v>
      </c>
    </row>
    <row r="1990" spans="1:37" x14ac:dyDescent="0.2">
      <c r="A1990" t="str">
        <f>"20200111160147827"</f>
        <v>20200111160147827</v>
      </c>
      <c r="B1990" t="str">
        <f>"1578729707823330"</f>
        <v>1578729707823330</v>
      </c>
      <c r="C1990" t="s">
        <v>37</v>
      </c>
      <c r="D1990">
        <v>5.2952519999999996</v>
      </c>
      <c r="E1990">
        <v>0.529120699999999</v>
      </c>
      <c r="F1990" t="s">
        <v>38</v>
      </c>
      <c r="G1990">
        <v>-494.51459999999997</v>
      </c>
      <c r="H1990" s="1">
        <v>-4.6412840000000003E-6</v>
      </c>
      <c r="I1990">
        <v>258.2722</v>
      </c>
      <c r="J1990">
        <v>-490.1576</v>
      </c>
      <c r="K1990">
        <v>1.103594</v>
      </c>
      <c r="L1990">
        <v>271.43610000000001</v>
      </c>
      <c r="M1990">
        <v>-0.408692</v>
      </c>
      <c r="N1990">
        <v>0</v>
      </c>
      <c r="O1990">
        <v>-0.91257310000000003</v>
      </c>
      <c r="P1990">
        <v>-0.25442559999999997</v>
      </c>
      <c r="Q1990">
        <v>3.5349050000000001E-3</v>
      </c>
      <c r="R1990">
        <v>-0.967086</v>
      </c>
      <c r="S1990">
        <v>-0.94934079999999998</v>
      </c>
      <c r="T1990">
        <v>-0.2363054</v>
      </c>
      <c r="U1990">
        <v>-2.8541259999999999</v>
      </c>
      <c r="V1990">
        <v>-0.1630317</v>
      </c>
      <c r="W1990">
        <v>1.7214230000000001E-2</v>
      </c>
      <c r="X1990">
        <v>0.98647059999999998</v>
      </c>
      <c r="Y1990">
        <v>-0.100628</v>
      </c>
      <c r="Z1990">
        <v>6.9881429999999994E-2</v>
      </c>
      <c r="AA1990">
        <v>0.99246690000000004</v>
      </c>
      <c r="AB1990">
        <v>18</v>
      </c>
      <c r="AC1990">
        <v>-4.35699999999997</v>
      </c>
      <c r="AD1990">
        <v>-1.103598641284</v>
      </c>
      <c r="AE1990">
        <v>-13.1639</v>
      </c>
      <c r="AF1990">
        <v>-1.39518910796094</v>
      </c>
      <c r="AG1990">
        <v>-1.103598641284</v>
      </c>
      <c r="AH1990">
        <v>13.708108926580699</v>
      </c>
      <c r="AI1990">
        <v>94.579228723094303</v>
      </c>
      <c r="AJ1990">
        <v>95.811460045706198</v>
      </c>
      <c r="AK1990">
        <v>13.823050783058701</v>
      </c>
    </row>
    <row r="1991" spans="1:37" x14ac:dyDescent="0.2">
      <c r="A1991" t="str">
        <f>"20200111160147850"</f>
        <v>20200111160147850</v>
      </c>
      <c r="B1991" t="str">
        <f>"1578729707842850"</f>
        <v>1578729707842850</v>
      </c>
      <c r="C1991" t="s">
        <v>37</v>
      </c>
      <c r="D1991">
        <v>5.5478249999999996</v>
      </c>
      <c r="E1991">
        <v>0.52951380000000003</v>
      </c>
      <c r="F1991" t="s">
        <v>38</v>
      </c>
      <c r="G1991">
        <v>-494.66140000000001</v>
      </c>
      <c r="H1991" s="1">
        <v>-4.7096910000000004E-6</v>
      </c>
      <c r="I1991">
        <v>258.39659999999998</v>
      </c>
      <c r="J1991">
        <v>-490.23910000000001</v>
      </c>
      <c r="K1991">
        <v>1.1038139999999901</v>
      </c>
      <c r="L1991">
        <v>271.26069999999999</v>
      </c>
      <c r="M1991">
        <v>-0.41057739999999998</v>
      </c>
      <c r="N1991">
        <v>0</v>
      </c>
      <c r="O1991">
        <v>-0.91172679999999995</v>
      </c>
      <c r="P1991">
        <v>-0.25583030000000001</v>
      </c>
      <c r="Q1991">
        <v>1.8744250000000001E-3</v>
      </c>
      <c r="R1991">
        <v>-0.96672019999999903</v>
      </c>
      <c r="S1991">
        <v>-0.98251339999999998</v>
      </c>
      <c r="T1991">
        <v>-0.24074960000000001</v>
      </c>
      <c r="U1991">
        <v>-2.8445429999999998</v>
      </c>
      <c r="V1991">
        <v>-0.16365260000000001</v>
      </c>
      <c r="W1991">
        <v>1.5447310000000001E-2</v>
      </c>
      <c r="X1991">
        <v>0.98639709999999903</v>
      </c>
      <c r="Y1991">
        <v>-9.1337409999999994E-2</v>
      </c>
      <c r="Z1991">
        <v>7.1229440000000005E-2</v>
      </c>
      <c r="AA1991">
        <v>0.99326930000000002</v>
      </c>
      <c r="AB1991">
        <v>18</v>
      </c>
      <c r="AC1991">
        <v>-4.4222999999999999</v>
      </c>
      <c r="AD1991">
        <v>-1.1038187096909999</v>
      </c>
      <c r="AE1991">
        <v>-12.864100000000001</v>
      </c>
      <c r="AF1991">
        <v>-1.2417159424161901</v>
      </c>
      <c r="AG1991">
        <v>-1.1038187096909999</v>
      </c>
      <c r="AH1991">
        <v>13.4568560475869</v>
      </c>
      <c r="AI1991">
        <v>94.669524813916993</v>
      </c>
      <c r="AJ1991">
        <v>95.271973422054998</v>
      </c>
      <c r="AK1991">
        <v>13.559028317360699</v>
      </c>
    </row>
    <row r="1992" spans="1:37" x14ac:dyDescent="0.2">
      <c r="A1992" t="str">
        <f>"20200111160147882"</f>
        <v>20200111160147882</v>
      </c>
      <c r="B1992" t="str">
        <f>"1578729707873106"</f>
        <v>1578729707873106</v>
      </c>
      <c r="C1992" t="s">
        <v>37</v>
      </c>
      <c r="D1992">
        <v>5.2298749999999998</v>
      </c>
      <c r="E1992">
        <v>0.53033280000000005</v>
      </c>
      <c r="F1992" t="s">
        <v>38</v>
      </c>
      <c r="G1992">
        <v>-494.65570000000002</v>
      </c>
      <c r="H1992" s="1">
        <v>-4.7715029999999998E-6</v>
      </c>
      <c r="I1992">
        <v>258.5813</v>
      </c>
      <c r="J1992">
        <v>-490.35079999999999</v>
      </c>
      <c r="K1992">
        <v>1.104117</v>
      </c>
      <c r="L1992">
        <v>271.01979999999998</v>
      </c>
      <c r="M1992">
        <v>-0.41255059999999899</v>
      </c>
      <c r="N1992">
        <v>0</v>
      </c>
      <c r="O1992">
        <v>-0.91083590000000003</v>
      </c>
      <c r="P1992">
        <v>-0.25657419999999997</v>
      </c>
      <c r="Q1992">
        <v>2.2058049999999901E-4</v>
      </c>
      <c r="R1992">
        <v>-0.96652479999999996</v>
      </c>
      <c r="S1992">
        <v>-0.98989869999999902</v>
      </c>
      <c r="T1992">
        <v>-0.24739910000000001</v>
      </c>
      <c r="U1992">
        <v>-2.8418269999999999</v>
      </c>
      <c r="V1992">
        <v>-0.16504340000000001</v>
      </c>
      <c r="W1992">
        <v>1.365268E-2</v>
      </c>
      <c r="X1992">
        <v>0.98619179999999995</v>
      </c>
      <c r="Y1992">
        <v>-9.0947029999999998E-2</v>
      </c>
      <c r="Z1992">
        <v>7.3114670000000007E-2</v>
      </c>
      <c r="AA1992">
        <v>0.9931681</v>
      </c>
      <c r="AB1992">
        <v>18</v>
      </c>
      <c r="AC1992">
        <v>-4.3049000000000301</v>
      </c>
      <c r="AD1992">
        <v>-1.1041217715030001</v>
      </c>
      <c r="AE1992">
        <v>-12.4384999999999</v>
      </c>
      <c r="AF1992">
        <v>-1.2021033526882701</v>
      </c>
      <c r="AG1992">
        <v>-1.1041217715030001</v>
      </c>
      <c r="AH1992">
        <v>13.015018994068599</v>
      </c>
      <c r="AI1992">
        <v>94.828590069361695</v>
      </c>
      <c r="AJ1992">
        <v>95.2770256398573</v>
      </c>
      <c r="AK1992">
        <v>13.1169682767329</v>
      </c>
    </row>
    <row r="1993" spans="1:37" x14ac:dyDescent="0.2">
      <c r="A1993" t="str">
        <f>"20200111160147905"</f>
        <v>20200111160147905</v>
      </c>
      <c r="B1993" t="str">
        <f>"1578729707893603"</f>
        <v>1578729707893603</v>
      </c>
      <c r="C1993" t="s">
        <v>37</v>
      </c>
      <c r="D1993">
        <v>5.2532139999999998</v>
      </c>
      <c r="E1993">
        <v>0.5305706</v>
      </c>
      <c r="F1993" t="s">
        <v>38</v>
      </c>
      <c r="G1993">
        <v>-494.71969999999999</v>
      </c>
      <c r="H1993" s="1">
        <v>-4.7865120000000002E-6</v>
      </c>
      <c r="I1993">
        <v>258.59199999999998</v>
      </c>
      <c r="J1993">
        <v>-490.42450000000002</v>
      </c>
      <c r="K1993">
        <v>1.104279</v>
      </c>
      <c r="L1993">
        <v>270.86059999999998</v>
      </c>
      <c r="M1993">
        <v>-0.41354380000000002</v>
      </c>
      <c r="N1993">
        <v>0</v>
      </c>
      <c r="O1993">
        <v>-0.91038539999999901</v>
      </c>
      <c r="P1993">
        <v>-0.25502129999999901</v>
      </c>
      <c r="Q1993">
        <v>-8.5301829999999998E-4</v>
      </c>
      <c r="R1993">
        <v>-0.966935399999999</v>
      </c>
      <c r="S1993">
        <v>-0.99804689999999996</v>
      </c>
      <c r="T1993">
        <v>-0.25222919999999999</v>
      </c>
      <c r="U1993">
        <v>-2.8390499999999999</v>
      </c>
      <c r="V1993">
        <v>-0.16770879999999999</v>
      </c>
      <c r="W1993">
        <v>1.2497879999999999E-2</v>
      </c>
      <c r="X1993">
        <v>0.98575740000000001</v>
      </c>
      <c r="Y1993">
        <v>-8.9230580000000004E-2</v>
      </c>
      <c r="Z1993">
        <v>7.4519859999999993E-2</v>
      </c>
      <c r="AA1993">
        <v>0.99321939999999997</v>
      </c>
      <c r="AB1993">
        <v>18</v>
      </c>
      <c r="AC1993">
        <v>-4.2951999999999604</v>
      </c>
      <c r="AD1993">
        <v>-1.1042837865120001</v>
      </c>
      <c r="AE1993">
        <v>-12.2685999999999</v>
      </c>
      <c r="AF1993">
        <v>-1.1550844933420601</v>
      </c>
      <c r="AG1993">
        <v>-1.1042837865120001</v>
      </c>
      <c r="AH1993">
        <v>12.853806204382201</v>
      </c>
      <c r="AI1993">
        <v>94.890671720411603</v>
      </c>
      <c r="AJ1993">
        <v>95.134990862632705</v>
      </c>
      <c r="AK1993">
        <v>12.952760200348299</v>
      </c>
    </row>
    <row r="1994" spans="1:37" x14ac:dyDescent="0.2">
      <c r="A1994" t="str">
        <f>"20200111160147928"</f>
        <v>20200111160147928</v>
      </c>
      <c r="B1994" t="str">
        <f>"1578729707922883"</f>
        <v>1578729707922883</v>
      </c>
      <c r="C1994" t="s">
        <v>37</v>
      </c>
      <c r="D1994">
        <v>5.5756439999999996</v>
      </c>
      <c r="E1994">
        <v>0.53028359999999997</v>
      </c>
      <c r="F1994" t="s">
        <v>38</v>
      </c>
      <c r="G1994">
        <v>-494.71929999999998</v>
      </c>
      <c r="H1994" s="1">
        <v>-4.7939269999999996E-6</v>
      </c>
      <c r="I1994">
        <v>258.61399999999998</v>
      </c>
      <c r="J1994">
        <v>-490.50560000000002</v>
      </c>
      <c r="K1994">
        <v>1.1044419999999999</v>
      </c>
      <c r="L1994">
        <v>270.68520000000001</v>
      </c>
      <c r="M1994">
        <v>-0.41431879999999999</v>
      </c>
      <c r="N1994">
        <v>0</v>
      </c>
      <c r="O1994">
        <v>-0.91003319999999999</v>
      </c>
      <c r="P1994">
        <v>-0.25270409999999999</v>
      </c>
      <c r="Q1994">
        <v>-8.3741149999999999E-4</v>
      </c>
      <c r="R1994">
        <v>-0.96754370000000001</v>
      </c>
      <c r="S1994">
        <v>-0.99588009999999905</v>
      </c>
      <c r="T1994">
        <v>-0.25606239999999902</v>
      </c>
      <c r="U1994">
        <v>-2.8397519999999998</v>
      </c>
      <c r="V1994">
        <v>-0.17091429999999999</v>
      </c>
      <c r="W1994">
        <v>1.24254E-2</v>
      </c>
      <c r="X1994">
        <v>0.98520759999999996</v>
      </c>
      <c r="Y1994">
        <v>-9.0859389999999998E-2</v>
      </c>
      <c r="Z1994">
        <v>7.5584719999999994E-2</v>
      </c>
      <c r="AA1994">
        <v>0.99299119999999996</v>
      </c>
      <c r="AB1994">
        <v>18</v>
      </c>
      <c r="AC1994">
        <v>-4.2136999999999603</v>
      </c>
      <c r="AD1994">
        <v>-1.104446793927</v>
      </c>
      <c r="AE1994">
        <v>-12.0711999999999</v>
      </c>
      <c r="AF1994">
        <v>-1.15818061920576</v>
      </c>
      <c r="AG1994">
        <v>-1.104446793927</v>
      </c>
      <c r="AH1994">
        <v>12.6378473874513</v>
      </c>
      <c r="AI1994">
        <v>94.9737663350286</v>
      </c>
      <c r="AJ1994">
        <v>95.236177990428601</v>
      </c>
      <c r="AK1994">
        <v>12.7387743388377</v>
      </c>
    </row>
    <row r="1995" spans="1:37" x14ac:dyDescent="0.2">
      <c r="A1995" t="str">
        <f>"20200111160147951"</f>
        <v>20200111160147951</v>
      </c>
      <c r="B1995" t="str">
        <f>"1578729707943378"</f>
        <v>1578729707943378</v>
      </c>
      <c r="C1995" t="s">
        <v>37</v>
      </c>
      <c r="D1995">
        <v>5.2671489999999999</v>
      </c>
      <c r="E1995">
        <v>0.53034700000000001</v>
      </c>
      <c r="F1995" t="s">
        <v>38</v>
      </c>
      <c r="G1995">
        <v>-494.786</v>
      </c>
      <c r="H1995" s="1">
        <v>-4.7203639999999996E-6</v>
      </c>
      <c r="I1995">
        <v>258.36309999999997</v>
      </c>
      <c r="J1995">
        <v>-490.58159999999998</v>
      </c>
      <c r="K1995">
        <v>1.1046240000000001</v>
      </c>
      <c r="L1995">
        <v>270.52010000000001</v>
      </c>
      <c r="M1995">
        <v>-0.41468279999999902</v>
      </c>
      <c r="N1995">
        <v>0</v>
      </c>
      <c r="O1995">
        <v>-0.90986730000000005</v>
      </c>
      <c r="P1995">
        <v>-0.24985969999999999</v>
      </c>
      <c r="Q1995" s="1">
        <v>7.195387E-5</v>
      </c>
      <c r="R1995">
        <v>-0.96828230000000004</v>
      </c>
      <c r="S1995">
        <v>-0.98742680000000005</v>
      </c>
      <c r="T1995">
        <v>-0.25478049999999902</v>
      </c>
      <c r="U1995">
        <v>-2.8425289999999999</v>
      </c>
      <c r="V1995">
        <v>-0.17420839999999899</v>
      </c>
      <c r="W1995">
        <v>1.324359E-2</v>
      </c>
      <c r="X1995">
        <v>0.98461969999999999</v>
      </c>
      <c r="Y1995">
        <v>-9.4180639999999996E-2</v>
      </c>
      <c r="Z1995">
        <v>7.5138949999999996E-2</v>
      </c>
      <c r="AA1995">
        <v>0.99271549999999997</v>
      </c>
      <c r="AB1995">
        <v>18</v>
      </c>
      <c r="AC1995">
        <v>-4.2044000000000201</v>
      </c>
      <c r="AD1995">
        <v>-1.1046287203639999</v>
      </c>
      <c r="AE1995">
        <v>-12.157</v>
      </c>
      <c r="AF1995">
        <v>-1.2070608682688799</v>
      </c>
      <c r="AG1995">
        <v>-1.1046287203639999</v>
      </c>
      <c r="AH1995">
        <v>12.712157734936699</v>
      </c>
      <c r="AI1995">
        <v>94.944140553327898</v>
      </c>
      <c r="AJ1995">
        <v>95.424158656994607</v>
      </c>
      <c r="AK1995">
        <v>12.817025974362</v>
      </c>
    </row>
    <row r="1996" spans="1:37" x14ac:dyDescent="0.2">
      <c r="A1996" t="str">
        <f>"20200111160147972"</f>
        <v>20200111160147972</v>
      </c>
      <c r="B1996" t="str">
        <f>"1578729707962898"</f>
        <v>1578729707962898</v>
      </c>
      <c r="C1996" t="s">
        <v>37</v>
      </c>
      <c r="D1996">
        <v>5.8449169999999997</v>
      </c>
      <c r="E1996">
        <v>0.53034700000000001</v>
      </c>
      <c r="F1996" t="s">
        <v>38</v>
      </c>
      <c r="G1996">
        <v>-494.8723</v>
      </c>
      <c r="H1996" s="1">
        <v>-4.6336970000000003E-6</v>
      </c>
      <c r="I1996">
        <v>258.0634</v>
      </c>
      <c r="J1996">
        <v>-490.6524</v>
      </c>
      <c r="K1996">
        <v>1.1048180000000001</v>
      </c>
      <c r="L1996">
        <v>270.36540000000002</v>
      </c>
      <c r="M1996">
        <v>-0.41475279999999998</v>
      </c>
      <c r="N1996">
        <v>0</v>
      </c>
      <c r="O1996">
        <v>-0.90983559999999997</v>
      </c>
      <c r="P1996">
        <v>-0.2463603</v>
      </c>
      <c r="Q1996">
        <v>2.3728099999999999E-4</v>
      </c>
      <c r="R1996">
        <v>-0.9691784</v>
      </c>
      <c r="S1996">
        <v>-0.98010249999999999</v>
      </c>
      <c r="T1996">
        <v>-0.25232189999999999</v>
      </c>
      <c r="U1996">
        <v>-2.8453979999999999</v>
      </c>
      <c r="V1996">
        <v>-0.17784610000000001</v>
      </c>
      <c r="W1996">
        <v>1.331559E-2</v>
      </c>
      <c r="X1996">
        <v>0.98396819999999896</v>
      </c>
      <c r="Y1996">
        <v>-9.6828609999999996E-2</v>
      </c>
      <c r="Z1996">
        <v>7.4361579999999997E-2</v>
      </c>
      <c r="AA1996">
        <v>0.99251929999999999</v>
      </c>
      <c r="AB1996">
        <v>18</v>
      </c>
      <c r="AC1996">
        <v>-4.2198999999999902</v>
      </c>
      <c r="AD1996">
        <v>-1.104822633697</v>
      </c>
      <c r="AE1996">
        <v>-12.302</v>
      </c>
      <c r="AF1996">
        <v>-1.2539379906944299</v>
      </c>
      <c r="AG1996">
        <v>-1.104822633697</v>
      </c>
      <c r="AH1996">
        <v>12.8514321073629</v>
      </c>
      <c r="AI1996">
        <v>94.890459652026806</v>
      </c>
      <c r="AJ1996">
        <v>95.572814918554997</v>
      </c>
      <c r="AK1996">
        <v>12.9596412275415</v>
      </c>
    </row>
    <row r="1997" spans="1:37" x14ac:dyDescent="0.2">
      <c r="A1997" t="str">
        <f>"20200111160148554"</f>
        <v>20200111160148554</v>
      </c>
      <c r="B1997" t="str">
        <f>"1578729708543618"</f>
        <v>1578729708543618</v>
      </c>
      <c r="C1997" t="s">
        <v>37</v>
      </c>
      <c r="D1997">
        <v>5.0073379999999998</v>
      </c>
      <c r="E1997">
        <v>0.46101899999999901</v>
      </c>
      <c r="F1997" t="s">
        <v>38</v>
      </c>
      <c r="G1997">
        <v>-494.92090000000002</v>
      </c>
      <c r="H1997" s="1">
        <v>-4.5640959999999999E-6</v>
      </c>
      <c r="I1997">
        <v>257.83359999999999</v>
      </c>
      <c r="J1997">
        <v>-492.35950000000003</v>
      </c>
      <c r="K1997">
        <v>1.107148</v>
      </c>
      <c r="L1997">
        <v>266.13959999999997</v>
      </c>
      <c r="M1997">
        <v>-0.34757270000000001</v>
      </c>
      <c r="N1997">
        <v>0</v>
      </c>
      <c r="O1997">
        <v>-0.93755580000000005</v>
      </c>
      <c r="P1997">
        <v>-0.1245923</v>
      </c>
      <c r="Q1997">
        <v>-3.3552959999999998E-3</v>
      </c>
      <c r="R1997">
        <v>-0.99220219999999903</v>
      </c>
      <c r="S1997">
        <v>-0.97033689999999995</v>
      </c>
      <c r="T1997">
        <v>-0.2511545</v>
      </c>
      <c r="U1997">
        <v>-2.8488159999999998</v>
      </c>
      <c r="V1997">
        <v>-0.22812669999999999</v>
      </c>
      <c r="W1997">
        <v>8.3930140000000007E-3</v>
      </c>
      <c r="X1997">
        <v>0.97359530000000005</v>
      </c>
      <c r="Y1997">
        <v>-2.7762700000000001E-2</v>
      </c>
      <c r="Z1997">
        <v>7.7592129999999995E-2</v>
      </c>
      <c r="AA1997">
        <v>0.99659850000000005</v>
      </c>
      <c r="AB1997">
        <v>17</v>
      </c>
      <c r="AC1997">
        <v>-2.5613999999999901</v>
      </c>
      <c r="AD1997">
        <v>-1.107152564096</v>
      </c>
      <c r="AE1997">
        <v>-8.3059999999999796</v>
      </c>
      <c r="AF1997">
        <v>-0.477775891072932</v>
      </c>
      <c r="AG1997">
        <v>-1.107152564096</v>
      </c>
      <c r="AH1997">
        <v>8.5398455364861707</v>
      </c>
      <c r="AI1997">
        <v>97.3755310480487</v>
      </c>
      <c r="AJ1997">
        <v>93.2021696963685</v>
      </c>
      <c r="AK1997">
        <v>8.6245590257889493</v>
      </c>
    </row>
    <row r="1998" spans="1:37" x14ac:dyDescent="0.2">
      <c r="A1998" t="str">
        <f>"20200111160148575"</f>
        <v>20200111160148575</v>
      </c>
      <c r="B1998" t="str">
        <f>"1578729708573874"</f>
        <v>1578729708573874</v>
      </c>
      <c r="C1998" t="s">
        <v>37</v>
      </c>
      <c r="D1998">
        <v>5.0461019999999897</v>
      </c>
      <c r="E1998">
        <v>0.31252529999999901</v>
      </c>
      <c r="F1998" t="s">
        <v>65</v>
      </c>
      <c r="G1998">
        <v>-506.22239999999999</v>
      </c>
      <c r="H1998">
        <v>-0.1</v>
      </c>
      <c r="I1998">
        <v>-373.63040000000001</v>
      </c>
      <c r="J1998">
        <v>-492.41199999999998</v>
      </c>
      <c r="K1998">
        <v>1.1072569999999999</v>
      </c>
      <c r="L1998">
        <v>265.98099999999999</v>
      </c>
      <c r="M1998">
        <v>-0.34284929999999902</v>
      </c>
      <c r="N1998">
        <v>0</v>
      </c>
      <c r="O1998">
        <v>-0.9392933</v>
      </c>
      <c r="P1998">
        <v>-0.12056689999999901</v>
      </c>
      <c r="Q1998">
        <v>-3.3839459999999901E-3</v>
      </c>
      <c r="R1998">
        <v>-0.99269989999999997</v>
      </c>
      <c r="S1998">
        <v>-6.5338129999999994E-2</v>
      </c>
      <c r="T1998">
        <v>-5.6895019999999999E-3</v>
      </c>
      <c r="U1998">
        <v>-3.0153500000000002</v>
      </c>
      <c r="V1998">
        <v>-0.2271774</v>
      </c>
      <c r="W1998">
        <v>8.3305510000000003E-3</v>
      </c>
      <c r="X1998">
        <v>0.97381779999999996</v>
      </c>
      <c r="Y1998">
        <v>-0.32245000000000001</v>
      </c>
      <c r="Z1998">
        <v>1.664902E-3</v>
      </c>
      <c r="AA1998">
        <v>0.94658509999999996</v>
      </c>
      <c r="AB1998">
        <v>17</v>
      </c>
      <c r="AC1998">
        <v>-13.8104</v>
      </c>
      <c r="AD1998">
        <v>-1.207257</v>
      </c>
      <c r="AE1998">
        <v>-639.6114</v>
      </c>
      <c r="AF1998">
        <v>-206.33639420280801</v>
      </c>
      <c r="AG1998">
        <v>-1.207257</v>
      </c>
      <c r="AH1998">
        <v>605.570679328305</v>
      </c>
      <c r="AI1998">
        <v>90.108119987704796</v>
      </c>
      <c r="AJ1998">
        <v>108.815541884307</v>
      </c>
      <c r="AK1998">
        <v>639.75933967721403</v>
      </c>
    </row>
    <row r="1999" spans="1:37" x14ac:dyDescent="0.2">
      <c r="A1999" t="str">
        <f>"20200111160148600"</f>
        <v>20200111160148600</v>
      </c>
      <c r="B1999" t="str">
        <f>"1578729708593394"</f>
        <v>1578729708593394</v>
      </c>
      <c r="C1999" t="s">
        <v>37</v>
      </c>
      <c r="D1999">
        <v>4.8972829999999998</v>
      </c>
      <c r="E1999">
        <v>0.31211129999999998</v>
      </c>
      <c r="F1999" t="s">
        <v>66</v>
      </c>
      <c r="G1999">
        <v>-468.01609999999999</v>
      </c>
      <c r="H1999">
        <v>0.96738239999999998</v>
      </c>
      <c r="I1999">
        <v>197.345</v>
      </c>
      <c r="J1999">
        <v>-492.46890000000002</v>
      </c>
      <c r="K1999">
        <v>1.10738</v>
      </c>
      <c r="L1999">
        <v>265.80520000000001</v>
      </c>
      <c r="M1999">
        <v>-0.3373467</v>
      </c>
      <c r="N1999">
        <v>0</v>
      </c>
      <c r="O1999">
        <v>-0.94128299999999998</v>
      </c>
      <c r="P1999">
        <v>-0.1171441</v>
      </c>
      <c r="Q1999">
        <v>-2.8468149999999999E-3</v>
      </c>
      <c r="R1999">
        <v>-0.99311090000000002</v>
      </c>
      <c r="S1999">
        <v>1.12262</v>
      </c>
      <c r="T1999">
        <v>-6.4349169999999897E-3</v>
      </c>
      <c r="U1999">
        <v>-3.1583860000000001</v>
      </c>
      <c r="V1999">
        <v>-0.224841399999999</v>
      </c>
      <c r="W1999">
        <v>8.8436090000000005E-3</v>
      </c>
      <c r="X1999">
        <v>0.97435519999999998</v>
      </c>
      <c r="Y1999">
        <v>-0.63317080000000003</v>
      </c>
      <c r="Z1999">
        <v>1.5760189999999999E-3</v>
      </c>
      <c r="AA1999">
        <v>0.77401049999999905</v>
      </c>
      <c r="AB1999">
        <v>17</v>
      </c>
      <c r="AC1999">
        <v>24.4528</v>
      </c>
      <c r="AD1999">
        <v>-0.139997599999999</v>
      </c>
      <c r="AE1999">
        <v>-68.4602</v>
      </c>
      <c r="AF1999">
        <v>-46.1158882208954</v>
      </c>
      <c r="AG1999">
        <v>-0.139997599999999</v>
      </c>
      <c r="AH1999">
        <v>56.1962994069888</v>
      </c>
      <c r="AI1999">
        <v>90.110339890637405</v>
      </c>
      <c r="AJ1999">
        <v>129.37303648306701</v>
      </c>
      <c r="AK1999">
        <v>72.6960715085076</v>
      </c>
    </row>
    <row r="2000" spans="1:37" x14ac:dyDescent="0.2">
      <c r="A2000" t="str">
        <f>"20200111160148621"</f>
        <v>20200111160148621</v>
      </c>
      <c r="B2000" t="str">
        <f>"1578729708612919"</f>
        <v>1578729708612919</v>
      </c>
      <c r="C2000" t="s">
        <v>37</v>
      </c>
      <c r="D2000">
        <v>4.8978169999999999</v>
      </c>
      <c r="E2000">
        <v>0.31224879999999999</v>
      </c>
      <c r="F2000" t="s">
        <v>66</v>
      </c>
      <c r="G2000">
        <v>-467.80810000000002</v>
      </c>
      <c r="H2000">
        <v>1.0573629999999901</v>
      </c>
      <c r="I2000">
        <v>197.345</v>
      </c>
      <c r="J2000">
        <v>-492.51819999999998</v>
      </c>
      <c r="K2000">
        <v>1.107507</v>
      </c>
      <c r="L2000">
        <v>265.64879999999999</v>
      </c>
      <c r="M2000">
        <v>-0.33220479999999902</v>
      </c>
      <c r="N2000">
        <v>0</v>
      </c>
      <c r="O2000">
        <v>-0.94311</v>
      </c>
      <c r="P2000">
        <v>-0.11511929999999999</v>
      </c>
      <c r="Q2000">
        <v>-2.2603200000000001E-3</v>
      </c>
      <c r="R2000">
        <v>-0.99334959999999894</v>
      </c>
      <c r="S2000">
        <v>1.136444</v>
      </c>
      <c r="T2000">
        <v>-2.303243E-3</v>
      </c>
      <c r="U2000">
        <v>-3.154846</v>
      </c>
      <c r="V2000">
        <v>-0.22151609999999999</v>
      </c>
      <c r="W2000">
        <v>9.4196049999999993E-3</v>
      </c>
      <c r="X2000">
        <v>0.97511119999999996</v>
      </c>
      <c r="Y2000">
        <v>-0.63222699999999998</v>
      </c>
      <c r="Z2000">
        <v>5.6655339999999897E-4</v>
      </c>
      <c r="AA2000">
        <v>0.774783</v>
      </c>
      <c r="AB2000">
        <v>17</v>
      </c>
      <c r="AC2000">
        <v>24.710099999999901</v>
      </c>
      <c r="AD2000">
        <v>-5.0144000000000098E-2</v>
      </c>
      <c r="AE2000">
        <v>-68.303799999999995</v>
      </c>
      <c r="AF2000">
        <v>-45.999391318179399</v>
      </c>
      <c r="AG2000">
        <v>-5.0144000000000098E-2</v>
      </c>
      <c r="AH2000">
        <v>56.2143140665179</v>
      </c>
      <c r="AI2000">
        <v>90.039553910676105</v>
      </c>
      <c r="AJ2000">
        <v>129.29298540130799</v>
      </c>
      <c r="AK2000">
        <v>72.636049053020798</v>
      </c>
    </row>
    <row r="2001" spans="1:37" x14ac:dyDescent="0.2">
      <c r="A2001" t="str">
        <f>"20200111160148644"</f>
        <v>20200111160148644</v>
      </c>
      <c r="B2001" t="str">
        <f>"1578729708633410"</f>
        <v>1578729708633410</v>
      </c>
      <c r="C2001" t="s">
        <v>37</v>
      </c>
      <c r="D2001">
        <v>4.9771539999999996</v>
      </c>
      <c r="E2001">
        <v>0.31300630000000002</v>
      </c>
      <c r="F2001" t="s">
        <v>66</v>
      </c>
      <c r="G2001">
        <v>-467.77629999999999</v>
      </c>
      <c r="H2001">
        <v>1.151913</v>
      </c>
      <c r="I2001">
        <v>197.345</v>
      </c>
      <c r="J2001">
        <v>-492.56729999999999</v>
      </c>
      <c r="K2001">
        <v>1.1076509999999999</v>
      </c>
      <c r="L2001">
        <v>265.48910000000001</v>
      </c>
      <c r="M2001">
        <v>-0.32670679999999902</v>
      </c>
      <c r="N2001">
        <v>0</v>
      </c>
      <c r="O2001">
        <v>-0.94502819999999899</v>
      </c>
      <c r="P2001">
        <v>-0.11268350000000001</v>
      </c>
      <c r="Q2001">
        <v>-1.142674E-3</v>
      </c>
      <c r="R2001">
        <v>-0.99363049999999997</v>
      </c>
      <c r="S2001">
        <v>1.141937</v>
      </c>
      <c r="T2001">
        <v>2.0511150000000001E-3</v>
      </c>
      <c r="U2001">
        <v>-3.152466</v>
      </c>
      <c r="V2001">
        <v>-0.21823899999999999</v>
      </c>
      <c r="W2001">
        <v>1.0521040000000001E-2</v>
      </c>
      <c r="X2001">
        <v>0.97583869999999895</v>
      </c>
      <c r="Y2001">
        <v>-0.62909059999999895</v>
      </c>
      <c r="Z2001">
        <v>-5.0741769999999896E-4</v>
      </c>
      <c r="AA2001">
        <v>0.77733180000000002</v>
      </c>
      <c r="AB2001">
        <v>17</v>
      </c>
      <c r="AC2001">
        <v>24.791</v>
      </c>
      <c r="AD2001">
        <v>4.4262000000000003E-2</v>
      </c>
      <c r="AE2001">
        <v>-68.144099999999995</v>
      </c>
      <c r="AF2001">
        <v>-45.695530524076602</v>
      </c>
      <c r="AG2001">
        <v>4.4262000000000003E-2</v>
      </c>
      <c r="AH2001">
        <v>56.303877465820001</v>
      </c>
      <c r="AI2001">
        <v>89.965026851959095</v>
      </c>
      <c r="AJ2001">
        <v>129.06235688464099</v>
      </c>
      <c r="AK2001">
        <v>72.513516579238797</v>
      </c>
    </row>
    <row r="2002" spans="1:37" x14ac:dyDescent="0.2">
      <c r="A2002" t="str">
        <f>"20200111160148666"</f>
        <v>20200111160148666</v>
      </c>
      <c r="B2002" t="str">
        <f>"1578729708663667"</f>
        <v>1578729708663667</v>
      </c>
      <c r="C2002" t="s">
        <v>37</v>
      </c>
      <c r="D2002">
        <v>4.9458960000000003</v>
      </c>
      <c r="E2002">
        <v>0.31327300000000002</v>
      </c>
      <c r="F2002" t="s">
        <v>66</v>
      </c>
      <c r="G2002">
        <v>-467.81909999999999</v>
      </c>
      <c r="H2002">
        <v>1.2208649999999901</v>
      </c>
      <c r="I2002">
        <v>197.345</v>
      </c>
      <c r="J2002">
        <v>-492.61410000000001</v>
      </c>
      <c r="K2002">
        <v>1.1078059999999901</v>
      </c>
      <c r="L2002">
        <v>265.33249999999998</v>
      </c>
      <c r="M2002">
        <v>-0.32106689999999999</v>
      </c>
      <c r="N2002">
        <v>0</v>
      </c>
      <c r="O2002">
        <v>-0.94695890000000005</v>
      </c>
      <c r="P2002">
        <v>-0.1102441</v>
      </c>
      <c r="Q2002">
        <v>8.6093869999999905E-4</v>
      </c>
      <c r="R2002">
        <v>-0.99390409999999996</v>
      </c>
      <c r="S2002">
        <v>1.143616</v>
      </c>
      <c r="T2002">
        <v>5.233288E-3</v>
      </c>
      <c r="U2002">
        <v>-3.1489259999999999</v>
      </c>
      <c r="V2002">
        <v>-0.2148351</v>
      </c>
      <c r="W2002">
        <v>1.2507890000000001E-2</v>
      </c>
      <c r="X2002">
        <v>0.97657019999999894</v>
      </c>
      <c r="Y2002">
        <v>-0.62509369999999997</v>
      </c>
      <c r="Z2002">
        <v>-1.303289E-3</v>
      </c>
      <c r="AA2002">
        <v>0.78054869999999898</v>
      </c>
      <c r="AB2002">
        <v>17</v>
      </c>
      <c r="AC2002">
        <v>24.795000000000002</v>
      </c>
      <c r="AD2002">
        <v>0.11305900000000001</v>
      </c>
      <c r="AE2002">
        <v>-67.987499999999898</v>
      </c>
      <c r="AF2002">
        <v>-45.312460249824198</v>
      </c>
      <c r="AG2002">
        <v>0.11305900000000001</v>
      </c>
      <c r="AH2002">
        <v>56.4255931539644</v>
      </c>
      <c r="AI2002">
        <v>89.910487565327799</v>
      </c>
      <c r="AJ2002">
        <v>128.766136662761</v>
      </c>
      <c r="AK2002">
        <v>72.367668188259998</v>
      </c>
    </row>
    <row r="2003" spans="1:37" x14ac:dyDescent="0.2">
      <c r="A2003" t="str">
        <f>"20200111160148689"</f>
        <v>20200111160148689</v>
      </c>
      <c r="B2003" t="str">
        <f>"1578729708683187"</f>
        <v>1578729708683187</v>
      </c>
      <c r="C2003" t="s">
        <v>37</v>
      </c>
      <c r="D2003">
        <v>4.981071</v>
      </c>
      <c r="E2003">
        <v>0.31331559999999897</v>
      </c>
      <c r="F2003" t="s">
        <v>66</v>
      </c>
      <c r="G2003">
        <v>-467.77769999999998</v>
      </c>
      <c r="H2003">
        <v>1.2469139999999901</v>
      </c>
      <c r="I2003">
        <v>197.345</v>
      </c>
      <c r="J2003">
        <v>-492.66309999999999</v>
      </c>
      <c r="K2003">
        <v>1.1079680000000001</v>
      </c>
      <c r="L2003">
        <v>265.16370000000001</v>
      </c>
      <c r="M2003">
        <v>-0.31470729999999902</v>
      </c>
      <c r="N2003">
        <v>0</v>
      </c>
      <c r="O2003">
        <v>-0.94909109999999997</v>
      </c>
      <c r="P2003">
        <v>-0.106922699999999</v>
      </c>
      <c r="Q2003">
        <v>3.1589629999999999E-3</v>
      </c>
      <c r="R2003">
        <v>-0.9942626</v>
      </c>
      <c r="S2003">
        <v>1.1492309999999999</v>
      </c>
      <c r="T2003">
        <v>6.4384940000000003E-3</v>
      </c>
      <c r="U2003">
        <v>-3.145905</v>
      </c>
      <c r="V2003">
        <v>-0.21156759999999999</v>
      </c>
      <c r="W2003">
        <v>1.478601E-2</v>
      </c>
      <c r="X2003">
        <v>0.97725149999999905</v>
      </c>
      <c r="Y2003">
        <v>-0.6213206</v>
      </c>
      <c r="Z2003">
        <v>-1.6138999999999999E-3</v>
      </c>
      <c r="AA2003">
        <v>0.7835548</v>
      </c>
      <c r="AB2003">
        <v>17</v>
      </c>
      <c r="AC2003">
        <v>24.885400000000001</v>
      </c>
      <c r="AD2003">
        <v>0.13894599999999899</v>
      </c>
      <c r="AE2003">
        <v>-67.818700000000007</v>
      </c>
      <c r="AF2003">
        <v>-44.965553778270198</v>
      </c>
      <c r="AG2003">
        <v>0.13894599999999899</v>
      </c>
      <c r="AH2003">
        <v>56.539539832721601</v>
      </c>
      <c r="AI2003">
        <v>89.889797795104002</v>
      </c>
      <c r="AJ2003">
        <v>128.49501760805001</v>
      </c>
      <c r="AK2003">
        <v>72.240154326200994</v>
      </c>
    </row>
    <row r="2004" spans="1:37" x14ac:dyDescent="0.2">
      <c r="A2004" t="str">
        <f>"20200111160148713"</f>
        <v>20200111160148713</v>
      </c>
      <c r="B2004" t="str">
        <f>"1578729708703683"</f>
        <v>1578729708703683</v>
      </c>
      <c r="C2004" t="s">
        <v>37</v>
      </c>
      <c r="D2004">
        <v>4.9640459999999997</v>
      </c>
      <c r="E2004">
        <v>0.31346239999999997</v>
      </c>
      <c r="F2004" t="s">
        <v>66</v>
      </c>
      <c r="G2004">
        <v>-467.6345</v>
      </c>
      <c r="H2004">
        <v>1.286832</v>
      </c>
      <c r="I2004">
        <v>197.345</v>
      </c>
      <c r="J2004">
        <v>-492.71039999999999</v>
      </c>
      <c r="K2004">
        <v>1.10812</v>
      </c>
      <c r="L2004">
        <v>264.99430000000001</v>
      </c>
      <c r="M2004">
        <v>-0.30799679999999902</v>
      </c>
      <c r="N2004">
        <v>0</v>
      </c>
      <c r="O2004">
        <v>-0.95128939999999995</v>
      </c>
      <c r="P2004">
        <v>-0.103232899999999</v>
      </c>
      <c r="Q2004">
        <v>4.1339559999999899E-3</v>
      </c>
      <c r="R2004">
        <v>-0.9946488</v>
      </c>
      <c r="S2004">
        <v>1.1595759999999999</v>
      </c>
      <c r="T2004">
        <v>8.2883829999999999E-3</v>
      </c>
      <c r="U2004">
        <v>-3.142029</v>
      </c>
      <c r="V2004">
        <v>-0.2083033</v>
      </c>
      <c r="W2004">
        <v>1.575006E-2</v>
      </c>
      <c r="X2004">
        <v>0.97793750000000002</v>
      </c>
      <c r="Y2004">
        <v>-0.61836679999999999</v>
      </c>
      <c r="Z2004">
        <v>-2.0904779999999898E-3</v>
      </c>
      <c r="AA2004">
        <v>0.7858868</v>
      </c>
      <c r="AB2004">
        <v>17</v>
      </c>
      <c r="AC2004">
        <v>25.075899999999901</v>
      </c>
      <c r="AD2004">
        <v>0.17871199999999901</v>
      </c>
      <c r="AE2004">
        <v>-67.649299999999997</v>
      </c>
      <c r="AF2004">
        <v>-44.694098352570698</v>
      </c>
      <c r="AG2004">
        <v>0.17871199999999901</v>
      </c>
      <c r="AH2004">
        <v>56.635697650693103</v>
      </c>
      <c r="AI2004">
        <v>89.8580752223979</v>
      </c>
      <c r="AJ2004">
        <v>128.27875986894199</v>
      </c>
      <c r="AK2004">
        <v>72.147048546069698</v>
      </c>
    </row>
    <row r="2005" spans="1:37" x14ac:dyDescent="0.2">
      <c r="A2005" t="str">
        <f>"20200111160148756"</f>
        <v>20200111160148756</v>
      </c>
      <c r="B2005" t="str">
        <f>"1578729708753460"</f>
        <v>1578729708753460</v>
      </c>
      <c r="C2005" t="s">
        <v>37</v>
      </c>
      <c r="D2005">
        <v>5.3008329999999999</v>
      </c>
      <c r="E2005">
        <v>0.31357740000000001</v>
      </c>
      <c r="F2005" t="s">
        <v>66</v>
      </c>
      <c r="G2005">
        <v>-467.47269999999997</v>
      </c>
      <c r="H2005">
        <v>1.3001769999999999</v>
      </c>
      <c r="I2005">
        <v>197.345</v>
      </c>
      <c r="J2005">
        <v>-492.7944</v>
      </c>
      <c r="K2005">
        <v>1.108314</v>
      </c>
      <c r="L2005">
        <v>264.67809999999997</v>
      </c>
      <c r="M2005">
        <v>-0.29476540000000001</v>
      </c>
      <c r="N2005">
        <v>0</v>
      </c>
      <c r="O2005">
        <v>-0.95547130000000002</v>
      </c>
      <c r="P2005">
        <v>-9.6133549999999998E-2</v>
      </c>
      <c r="Q2005">
        <v>2.0400839999999902E-3</v>
      </c>
      <c r="R2005">
        <v>-0.99536650000000004</v>
      </c>
      <c r="S2005">
        <v>1.1705319999999999</v>
      </c>
      <c r="T2005">
        <v>8.9092249999999998E-3</v>
      </c>
      <c r="U2005">
        <v>-3.1375730000000002</v>
      </c>
      <c r="V2005">
        <v>-0.20169519999999999</v>
      </c>
      <c r="W2005">
        <v>1.368367E-2</v>
      </c>
      <c r="X2005">
        <v>0.97935280000000002</v>
      </c>
      <c r="Y2005">
        <v>-0.61020129999999995</v>
      </c>
      <c r="Z2005">
        <v>-2.2751640000000001E-3</v>
      </c>
      <c r="AA2005">
        <v>0.79224319999999904</v>
      </c>
      <c r="AB2005">
        <v>17</v>
      </c>
      <c r="AC2005">
        <v>25.3217</v>
      </c>
      <c r="AD2005">
        <v>0.19186300000000001</v>
      </c>
      <c r="AE2005">
        <v>-67.333099999999902</v>
      </c>
      <c r="AF2005">
        <v>-44.045451938638998</v>
      </c>
      <c r="AG2005">
        <v>0.19186300000000001</v>
      </c>
      <c r="AH2005">
        <v>56.875824284005397</v>
      </c>
      <c r="AI2005">
        <v>89.847185881820593</v>
      </c>
      <c r="AJ2005">
        <v>127.754712894899</v>
      </c>
      <c r="AK2005">
        <v>71.936764146539005</v>
      </c>
    </row>
    <row r="2006" spans="1:37" x14ac:dyDescent="0.2">
      <c r="A2006" t="str">
        <f>"20200111160148778"</f>
        <v>20200111160148778</v>
      </c>
      <c r="B2006" t="str">
        <f>"1578729708772979"</f>
        <v>1578729708772979</v>
      </c>
      <c r="C2006" t="s">
        <v>37</v>
      </c>
      <c r="D2006">
        <v>5.2670570000000003</v>
      </c>
      <c r="E2006">
        <v>0.31357740000000001</v>
      </c>
      <c r="F2006" t="s">
        <v>66</v>
      </c>
      <c r="G2006">
        <v>-467.15820000000002</v>
      </c>
      <c r="H2006">
        <v>1.1652799999999901</v>
      </c>
      <c r="I2006">
        <v>197.345</v>
      </c>
      <c r="J2006">
        <v>-492.83479999999997</v>
      </c>
      <c r="K2006">
        <v>1.1083620000000001</v>
      </c>
      <c r="L2006">
        <v>264.5181</v>
      </c>
      <c r="M2006">
        <v>-0.28778369999999998</v>
      </c>
      <c r="N2006">
        <v>0</v>
      </c>
      <c r="O2006">
        <v>-0.95759709999999998</v>
      </c>
      <c r="P2006">
        <v>-9.3060110000000001E-2</v>
      </c>
      <c r="Q2006" s="1">
        <v>1.145166E-5</v>
      </c>
      <c r="R2006">
        <v>-0.99566069999999995</v>
      </c>
      <c r="S2006">
        <v>1.1913450000000001</v>
      </c>
      <c r="T2006">
        <v>2.649069E-3</v>
      </c>
      <c r="U2006">
        <v>-3.1290279999999999</v>
      </c>
      <c r="V2006">
        <v>-0.1975529</v>
      </c>
      <c r="W2006">
        <v>1.169971E-2</v>
      </c>
      <c r="X2006">
        <v>0.98022240000000005</v>
      </c>
      <c r="Y2006">
        <v>-0.60974069999999903</v>
      </c>
      <c r="Z2006">
        <v>-6.8026890000000002E-4</v>
      </c>
      <c r="AA2006">
        <v>0.79260069999999905</v>
      </c>
      <c r="AB2006">
        <v>17</v>
      </c>
      <c r="AC2006">
        <v>25.676599999999901</v>
      </c>
      <c r="AD2006">
        <v>5.6917999999999802E-2</v>
      </c>
      <c r="AE2006">
        <v>-67.173100000000005</v>
      </c>
      <c r="AF2006">
        <v>-43.923269806615302</v>
      </c>
      <c r="AG2006">
        <v>5.6917999999999802E-2</v>
      </c>
      <c r="AH2006">
        <v>56.940785394600098</v>
      </c>
      <c r="AI2006">
        <v>89.954651426699101</v>
      </c>
      <c r="AJ2006">
        <v>127.646056831935</v>
      </c>
      <c r="AK2006">
        <v>71.913210966534905</v>
      </c>
    </row>
    <row r="2007" spans="1:37" x14ac:dyDescent="0.2">
      <c r="A2007" t="str">
        <f>"20200111160148801"</f>
        <v>20200111160148801</v>
      </c>
      <c r="B2007" t="str">
        <f>"1578729708793475"</f>
        <v>1578729708793475</v>
      </c>
      <c r="C2007" t="s">
        <v>37</v>
      </c>
      <c r="D2007">
        <v>5.322775</v>
      </c>
      <c r="E2007">
        <v>0.55241640000000003</v>
      </c>
      <c r="F2007" t="s">
        <v>66</v>
      </c>
      <c r="G2007">
        <v>-467.01080000000002</v>
      </c>
      <c r="H2007">
        <v>1.0578939999999999</v>
      </c>
      <c r="I2007">
        <v>197.345</v>
      </c>
      <c r="J2007">
        <v>-492.87459999999999</v>
      </c>
      <c r="K2007">
        <v>1.1084000000000001</v>
      </c>
      <c r="L2007">
        <v>264.35390000000001</v>
      </c>
      <c r="M2007">
        <v>-0.28045710000000001</v>
      </c>
      <c r="N2007">
        <v>0</v>
      </c>
      <c r="O2007">
        <v>-0.95976799999999995</v>
      </c>
      <c r="P2007">
        <v>-9.0883080000000005E-2</v>
      </c>
      <c r="Q2007">
        <v>-1.0340029999999999E-3</v>
      </c>
      <c r="R2007">
        <v>-0.99586109999999906</v>
      </c>
      <c r="S2007">
        <v>1.201508</v>
      </c>
      <c r="T2007">
        <v>-2.3463960000000002E-3</v>
      </c>
      <c r="U2007">
        <v>-3.1253359999999999</v>
      </c>
      <c r="V2007">
        <v>-0.19219330000000001</v>
      </c>
      <c r="W2007">
        <v>1.0720830000000001E-2</v>
      </c>
      <c r="X2007">
        <v>0.98129849999999996</v>
      </c>
      <c r="Y2007">
        <v>-0.60623660000000001</v>
      </c>
      <c r="Z2007">
        <v>6.0626289999999997E-4</v>
      </c>
      <c r="AA2007">
        <v>0.79528409999999905</v>
      </c>
      <c r="AB2007">
        <v>17</v>
      </c>
      <c r="AC2007">
        <v>25.863799999999902</v>
      </c>
      <c r="AD2007">
        <v>-5.0505999999999898E-2</v>
      </c>
      <c r="AE2007">
        <v>-67.008899999999997</v>
      </c>
      <c r="AF2007">
        <v>-43.620474520165097</v>
      </c>
      <c r="AG2007">
        <v>-5.0505999999999898E-2</v>
      </c>
      <c r="AH2007">
        <v>57.064681989627701</v>
      </c>
      <c r="AI2007">
        <v>90.040288172091607</v>
      </c>
      <c r="AJ2007">
        <v>127.394442943092</v>
      </c>
      <c r="AK2007">
        <v>71.827058124342997</v>
      </c>
    </row>
    <row r="2008" spans="1:37" x14ac:dyDescent="0.2">
      <c r="A2008" t="str">
        <f>"20200111160148822"</f>
        <v>20200111160148822</v>
      </c>
      <c r="B2008" t="str">
        <f>"1578729708812994"</f>
        <v>1578729708812994</v>
      </c>
      <c r="C2008" t="s">
        <v>37</v>
      </c>
      <c r="D2008">
        <v>5.2216839999999998</v>
      </c>
      <c r="E2008">
        <v>0.5577493</v>
      </c>
      <c r="F2008" t="s">
        <v>38</v>
      </c>
      <c r="G2008">
        <v>-495.45330000000001</v>
      </c>
      <c r="H2008" s="1">
        <v>-3.0135320000000001E-6</v>
      </c>
      <c r="I2008">
        <v>253.23140000000001</v>
      </c>
      <c r="J2008">
        <v>-492.91149999999999</v>
      </c>
      <c r="K2008">
        <v>1.1084290000000001</v>
      </c>
      <c r="L2008">
        <v>264.19650000000001</v>
      </c>
      <c r="M2008">
        <v>-0.27330300000000002</v>
      </c>
      <c r="N2008">
        <v>0</v>
      </c>
      <c r="O2008">
        <v>-0.96182939999999995</v>
      </c>
      <c r="P2008">
        <v>-8.996374E-2</v>
      </c>
      <c r="Q2008">
        <v>-2.0284750000000001E-3</v>
      </c>
      <c r="R2008">
        <v>-0.99594309999999997</v>
      </c>
      <c r="S2008">
        <v>-0.68386840000000004</v>
      </c>
      <c r="T2008">
        <v>-0.29394759999999998</v>
      </c>
      <c r="U2008">
        <v>-2.9496769999999999</v>
      </c>
      <c r="V2008">
        <v>-0.18577949999999999</v>
      </c>
      <c r="W2008">
        <v>9.8091619999999997E-3</v>
      </c>
      <c r="X2008">
        <v>0.98254249999999899</v>
      </c>
      <c r="Y2008">
        <v>-5.0013849999999999E-2</v>
      </c>
      <c r="Z2008">
        <v>9.2299480000000003E-2</v>
      </c>
      <c r="AA2008">
        <v>0.99447450000000004</v>
      </c>
      <c r="AB2008">
        <v>17</v>
      </c>
      <c r="AC2008">
        <v>-2.5418000000000198</v>
      </c>
      <c r="AD2008">
        <v>-1.108432013532</v>
      </c>
      <c r="AE2008">
        <v>-10.9651</v>
      </c>
      <c r="AF2008">
        <v>-0.54676682360133499</v>
      </c>
      <c r="AG2008">
        <v>-1.108432013532</v>
      </c>
      <c r="AH2008">
        <v>11.134327793593499</v>
      </c>
      <c r="AI2008">
        <v>95.6783159720421</v>
      </c>
      <c r="AJ2008">
        <v>92.811331489771703</v>
      </c>
      <c r="AK2008">
        <v>11.2027153361675</v>
      </c>
    </row>
    <row r="2009" spans="1:37" x14ac:dyDescent="0.2">
      <c r="A2009" t="str">
        <f>"20200111160148846"</f>
        <v>20200111160148846</v>
      </c>
      <c r="B2009" t="str">
        <f>"1578729708843251"</f>
        <v>1578729708843251</v>
      </c>
      <c r="C2009" t="s">
        <v>37</v>
      </c>
      <c r="D2009">
        <v>5.2086949999999996</v>
      </c>
      <c r="E2009">
        <v>0.56224689999999999</v>
      </c>
      <c r="F2009" t="s">
        <v>42</v>
      </c>
      <c r="G2009">
        <v>-493.09769999999997</v>
      </c>
      <c r="H2009">
        <v>1.0323439999999999</v>
      </c>
      <c r="I2009">
        <v>263.43779999999998</v>
      </c>
      <c r="J2009">
        <v>-492.94839999999999</v>
      </c>
      <c r="K2009">
        <v>1.108449</v>
      </c>
      <c r="L2009">
        <v>264.03280000000001</v>
      </c>
      <c r="M2009">
        <v>-0.26575979999999999</v>
      </c>
      <c r="N2009">
        <v>0</v>
      </c>
      <c r="O2009">
        <v>-0.96394059999999904</v>
      </c>
      <c r="P2009">
        <v>-8.8677270000000002E-2</v>
      </c>
      <c r="Q2009">
        <v>-2.2260190000000001E-3</v>
      </c>
      <c r="R2009">
        <v>-0.99605789999999905</v>
      </c>
      <c r="S2009">
        <v>-0.72296139999999998</v>
      </c>
      <c r="T2009">
        <v>-0.2960063</v>
      </c>
      <c r="U2009">
        <v>-2.9463200000000001</v>
      </c>
      <c r="V2009">
        <v>-0.179345899999999</v>
      </c>
      <c r="W2009">
        <v>9.6966340000000008E-3</v>
      </c>
      <c r="X2009">
        <v>0.98373829999999995</v>
      </c>
      <c r="Y2009">
        <v>-2.9467819999999999E-2</v>
      </c>
      <c r="Z2009">
        <v>9.3252370000000001E-2</v>
      </c>
      <c r="AA2009">
        <v>0.99520640000000005</v>
      </c>
      <c r="AB2009">
        <v>17</v>
      </c>
      <c r="AC2009">
        <v>-0.149299999999982</v>
      </c>
      <c r="AD2009">
        <v>-7.6104999999999798E-2</v>
      </c>
      <c r="AE2009">
        <v>-0.59500000000002695</v>
      </c>
      <c r="AF2009">
        <v>-1.39966748817791E-2</v>
      </c>
      <c r="AG2009">
        <v>-7.6104999999999798E-2</v>
      </c>
      <c r="AH2009">
        <v>0.60398484560156296</v>
      </c>
      <c r="AI2009">
        <v>97.179787886176499</v>
      </c>
      <c r="AJ2009">
        <v>91.327528154342303</v>
      </c>
      <c r="AK2009">
        <v>0.60892164655979297</v>
      </c>
    </row>
    <row r="2010" spans="1:37" x14ac:dyDescent="0.2">
      <c r="A2010" t="str">
        <f>"20200111160148867"</f>
        <v>20200111160148867</v>
      </c>
      <c r="B2010" t="str">
        <f>"1578729708863747"</f>
        <v>1578729708863747</v>
      </c>
      <c r="C2010" t="s">
        <v>37</v>
      </c>
      <c r="D2010">
        <v>5.177524</v>
      </c>
      <c r="E2010">
        <v>0.56360659999999996</v>
      </c>
      <c r="F2010" t="s">
        <v>42</v>
      </c>
      <c r="G2010">
        <v>-493.13529999999997</v>
      </c>
      <c r="H2010">
        <v>1.036816</v>
      </c>
      <c r="I2010">
        <v>263.30360000000002</v>
      </c>
      <c r="J2010">
        <v>-492.98219999999998</v>
      </c>
      <c r="K2010">
        <v>1.1084529999999999</v>
      </c>
      <c r="L2010">
        <v>263.8768</v>
      </c>
      <c r="M2010">
        <v>-0.25849739999999999</v>
      </c>
      <c r="N2010">
        <v>0</v>
      </c>
      <c r="O2010">
        <v>-0.96591340000000003</v>
      </c>
      <c r="P2010">
        <v>-8.6730749999999995E-2</v>
      </c>
      <c r="Q2010">
        <v>-1.4943059999999999E-3</v>
      </c>
      <c r="R2010">
        <v>-0.99623059999999997</v>
      </c>
      <c r="S2010">
        <v>-0.75421139999999998</v>
      </c>
      <c r="T2010">
        <v>-0.29024829999999902</v>
      </c>
      <c r="U2010">
        <v>-2.9440919999999999</v>
      </c>
      <c r="V2010">
        <v>-0.173869</v>
      </c>
      <c r="W2010">
        <v>1.04972E-2</v>
      </c>
      <c r="X2010">
        <v>0.98471280000000005</v>
      </c>
      <c r="Y2010">
        <v>-1.178971E-2</v>
      </c>
      <c r="Z2010">
        <v>9.1706969999999999E-2</v>
      </c>
      <c r="AA2010">
        <v>0.99571620000000005</v>
      </c>
      <c r="AB2010">
        <v>17</v>
      </c>
      <c r="AC2010">
        <v>-0.15309999999999399</v>
      </c>
      <c r="AD2010">
        <v>-7.1637000000000103E-2</v>
      </c>
      <c r="AE2010">
        <v>-0.57319999999998505</v>
      </c>
      <c r="AF2010">
        <v>-2.85237151692957E-4</v>
      </c>
      <c r="AG2010">
        <v>-7.1637000000000103E-2</v>
      </c>
      <c r="AH2010">
        <v>0.58476851817019304</v>
      </c>
      <c r="AI2010">
        <v>96.984212382379894</v>
      </c>
      <c r="AJ2010">
        <v>90.027947612000901</v>
      </c>
      <c r="AK2010">
        <v>0.58914018787738198</v>
      </c>
    </row>
    <row r="2011" spans="1:37" x14ac:dyDescent="0.2">
      <c r="A2011" t="str">
        <f>"20200111160148890"</f>
        <v>20200111160148890</v>
      </c>
      <c r="B2011" t="str">
        <f>"1578729708883266"</f>
        <v>1578729708883266</v>
      </c>
      <c r="C2011" t="s">
        <v>37</v>
      </c>
      <c r="D2011">
        <v>5.12493</v>
      </c>
      <c r="E2011">
        <v>0.56447990000000003</v>
      </c>
      <c r="F2011" t="s">
        <v>42</v>
      </c>
      <c r="G2011">
        <v>-493.16750000000002</v>
      </c>
      <c r="H2011">
        <v>1.039174</v>
      </c>
      <c r="I2011">
        <v>263.1585</v>
      </c>
      <c r="J2011">
        <v>-493.015999999999</v>
      </c>
      <c r="K2011">
        <v>1.1084459999999901</v>
      </c>
      <c r="L2011">
        <v>263.71440000000001</v>
      </c>
      <c r="M2011">
        <v>-0.25086920000000001</v>
      </c>
      <c r="N2011">
        <v>0</v>
      </c>
      <c r="O2011">
        <v>-0.96792339999999999</v>
      </c>
      <c r="P2011">
        <v>-8.6241399999999996E-2</v>
      </c>
      <c r="Q2011">
        <v>-1.117079E-3</v>
      </c>
      <c r="R2011">
        <v>-0.99627389999999905</v>
      </c>
      <c r="S2011">
        <v>-0.75942989999999999</v>
      </c>
      <c r="T2011">
        <v>-0.28516720000000001</v>
      </c>
      <c r="U2011">
        <v>-2.944855</v>
      </c>
      <c r="V2011">
        <v>-0.16658319999999999</v>
      </c>
      <c r="W2011">
        <v>1.0919180000000001E-2</v>
      </c>
      <c r="X2011">
        <v>0.98596689999999998</v>
      </c>
      <c r="Y2011">
        <v>-2.273279E-3</v>
      </c>
      <c r="Z2011">
        <v>9.0358129999999995E-2</v>
      </c>
      <c r="AA2011">
        <v>0.99590679999999998</v>
      </c>
      <c r="AB2011">
        <v>17</v>
      </c>
      <c r="AC2011">
        <v>-0.15150000000005501</v>
      </c>
      <c r="AD2011">
        <v>-6.9271999999999695E-2</v>
      </c>
      <c r="AE2011">
        <v>-0.55590000000000805</v>
      </c>
      <c r="AF2011">
        <v>7.0805387438578797E-3</v>
      </c>
      <c r="AG2011">
        <v>-6.9271999999999695E-2</v>
      </c>
      <c r="AH2011">
        <v>0.56792064004781695</v>
      </c>
      <c r="AI2011">
        <v>96.953752957345003</v>
      </c>
      <c r="AJ2011">
        <v>89.285703071115705</v>
      </c>
      <c r="AK2011">
        <v>0.57217357279520098</v>
      </c>
    </row>
    <row r="2012" spans="1:37" x14ac:dyDescent="0.2">
      <c r="A2012" t="str">
        <f>"20200111160148925"</f>
        <v>20200111160148925</v>
      </c>
      <c r="B2012" t="str">
        <f>"1578729708913522"</f>
        <v>1578729708913522</v>
      </c>
      <c r="C2012" t="s">
        <v>37</v>
      </c>
      <c r="D2012">
        <v>5.1927120000000002</v>
      </c>
      <c r="E2012">
        <v>0.56509580000000004</v>
      </c>
      <c r="F2012" t="s">
        <v>42</v>
      </c>
      <c r="G2012">
        <v>-493.23309999999998</v>
      </c>
      <c r="H2012">
        <v>1.029075</v>
      </c>
      <c r="I2012">
        <v>262.8793</v>
      </c>
      <c r="J2012">
        <v>-493.06540000000001</v>
      </c>
      <c r="K2012">
        <v>1.1083780000000001</v>
      </c>
      <c r="L2012">
        <v>263.4622</v>
      </c>
      <c r="M2012">
        <v>-0.2389078</v>
      </c>
      <c r="N2012">
        <v>0</v>
      </c>
      <c r="O2012">
        <v>-0.97094829999999999</v>
      </c>
      <c r="P2012">
        <v>-7.8672039999999999E-2</v>
      </c>
      <c r="Q2012">
        <v>-2.0570200000000001E-3</v>
      </c>
      <c r="R2012">
        <v>-0.99689910000000004</v>
      </c>
      <c r="S2012">
        <v>-0.76464840000000001</v>
      </c>
      <c r="T2012">
        <v>-0.28143489999999999</v>
      </c>
      <c r="U2012">
        <v>-2.9447019999999999</v>
      </c>
      <c r="V2012">
        <v>-0.16189249999999999</v>
      </c>
      <c r="W2012">
        <v>9.7991480000000006E-3</v>
      </c>
      <c r="X2012">
        <v>0.98675970000000002</v>
      </c>
      <c r="Y2012">
        <v>1.1753710000000001E-2</v>
      </c>
      <c r="Z2012">
        <v>8.9584810000000001E-2</v>
      </c>
      <c r="AA2012">
        <v>0.99590990000000001</v>
      </c>
      <c r="AB2012">
        <v>17</v>
      </c>
      <c r="AC2012">
        <v>-0.16769999999996801</v>
      </c>
      <c r="AD2012">
        <v>-7.9303000000000096E-2</v>
      </c>
      <c r="AE2012">
        <v>-0.58289999999999498</v>
      </c>
      <c r="AF2012">
        <v>2.3174666160740001E-2</v>
      </c>
      <c r="AG2012">
        <v>-7.9303000000000096E-2</v>
      </c>
      <c r="AH2012">
        <v>0.59589934124681998</v>
      </c>
      <c r="AI2012">
        <v>97.574789594325694</v>
      </c>
      <c r="AJ2012">
        <v>87.772875951209699</v>
      </c>
      <c r="AK2012">
        <v>0.60159958099973398</v>
      </c>
    </row>
    <row r="2013" spans="1:37" x14ac:dyDescent="0.2">
      <c r="A2013" t="str">
        <f>"20200111160148945"</f>
        <v>20200111160148945</v>
      </c>
      <c r="B2013" t="str">
        <f>"1578729708933042"</f>
        <v>1578729708933042</v>
      </c>
      <c r="C2013" t="s">
        <v>37</v>
      </c>
      <c r="D2013">
        <v>5.0932959999999996</v>
      </c>
      <c r="E2013">
        <v>0.56519410000000003</v>
      </c>
      <c r="F2013" t="s">
        <v>42</v>
      </c>
      <c r="G2013">
        <v>-493.25170000000003</v>
      </c>
      <c r="H2013">
        <v>1.037784</v>
      </c>
      <c r="I2013">
        <v>262.72660000000002</v>
      </c>
      <c r="J2013">
        <v>-493.09440000000001</v>
      </c>
      <c r="K2013">
        <v>1.1083129999999899</v>
      </c>
      <c r="L2013">
        <v>263.30669999999998</v>
      </c>
      <c r="M2013">
        <v>-0.231517999999999</v>
      </c>
      <c r="N2013">
        <v>0</v>
      </c>
      <c r="O2013">
        <v>-0.97273940000000003</v>
      </c>
      <c r="P2013">
        <v>-7.3260899999999907E-2</v>
      </c>
      <c r="Q2013">
        <v>-2.8543100000000001E-3</v>
      </c>
      <c r="R2013">
        <v>-0.99730869999999905</v>
      </c>
      <c r="S2013">
        <v>-0.74615480000000001</v>
      </c>
      <c r="T2013">
        <v>-0.28454879999999999</v>
      </c>
      <c r="U2013">
        <v>-2.9498599999999899</v>
      </c>
      <c r="V2013">
        <v>-0.159733399999999</v>
      </c>
      <c r="W2013">
        <v>8.8436079999999993E-3</v>
      </c>
      <c r="X2013">
        <v>0.98712060000000001</v>
      </c>
      <c r="Y2013">
        <v>1.305015E-2</v>
      </c>
      <c r="Z2013">
        <v>9.0731610000000004E-2</v>
      </c>
      <c r="AA2013">
        <v>0.99578989999999901</v>
      </c>
      <c r="AB2013">
        <v>17</v>
      </c>
      <c r="AC2013">
        <v>-0.15730000000002001</v>
      </c>
      <c r="AD2013">
        <v>-7.05289999999998E-2</v>
      </c>
      <c r="AE2013">
        <v>-0.58009999999995898</v>
      </c>
      <c r="AF2013">
        <v>1.84558493819156E-2</v>
      </c>
      <c r="AG2013">
        <v>-7.05289999999998E-2</v>
      </c>
      <c r="AH2013">
        <v>0.59259748144325797</v>
      </c>
      <c r="AI2013">
        <v>96.783969536661203</v>
      </c>
      <c r="AJ2013">
        <v>88.216157474807403</v>
      </c>
      <c r="AK2013">
        <v>0.59706509965857202</v>
      </c>
    </row>
    <row r="2014" spans="1:37" x14ac:dyDescent="0.2">
      <c r="A2014" t="str">
        <f>"20200111160148968"</f>
        <v>20200111160148968</v>
      </c>
      <c r="B2014" t="str">
        <f>"1578729708962952"</f>
        <v>1578729708962952</v>
      </c>
      <c r="C2014" t="s">
        <v>37</v>
      </c>
      <c r="D2014">
        <v>5.2488460000000003</v>
      </c>
      <c r="E2014">
        <v>0.56547840000000005</v>
      </c>
      <c r="F2014" t="s">
        <v>42</v>
      </c>
      <c r="G2014">
        <v>-493.27420000000001</v>
      </c>
      <c r="H2014">
        <v>1.0379080000000001</v>
      </c>
      <c r="I2014">
        <v>262.5797</v>
      </c>
      <c r="J2014">
        <v>-493.12419999999997</v>
      </c>
      <c r="K2014">
        <v>1.108225</v>
      </c>
      <c r="L2014">
        <v>263.13929999999999</v>
      </c>
      <c r="M2014">
        <v>-0.22355079999999999</v>
      </c>
      <c r="N2014">
        <v>0</v>
      </c>
      <c r="O2014">
        <v>-0.97460480000000005</v>
      </c>
      <c r="P2014">
        <v>-6.643164E-2</v>
      </c>
      <c r="Q2014">
        <v>-4.0702480000000003E-3</v>
      </c>
      <c r="R2014">
        <v>-0.99778279999999997</v>
      </c>
      <c r="S2014">
        <v>-0.7307129</v>
      </c>
      <c r="T2014">
        <v>-0.28631899999999999</v>
      </c>
      <c r="U2014">
        <v>-2.9535830000000001</v>
      </c>
      <c r="V2014">
        <v>-0.15839790000000001</v>
      </c>
      <c r="W2014">
        <v>7.396456E-3</v>
      </c>
      <c r="X2014">
        <v>0.98734769999999905</v>
      </c>
      <c r="Y2014">
        <v>1.6019140000000001E-2</v>
      </c>
      <c r="Z2014">
        <v>9.1495350000000003E-2</v>
      </c>
      <c r="AA2014">
        <v>0.99567659999999902</v>
      </c>
      <c r="AB2014">
        <v>17</v>
      </c>
      <c r="AC2014">
        <v>-0.150000000000034</v>
      </c>
      <c r="AD2014">
        <v>-7.0316999999999893E-2</v>
      </c>
      <c r="AE2014">
        <v>-0.559599999999989</v>
      </c>
      <c r="AF2014">
        <v>2.0787274240227801E-2</v>
      </c>
      <c r="AG2014">
        <v>-7.0316999999999893E-2</v>
      </c>
      <c r="AH2014">
        <v>0.570565846322722</v>
      </c>
      <c r="AI2014">
        <v>97.021140113425602</v>
      </c>
      <c r="AJ2014">
        <v>87.913480902071797</v>
      </c>
      <c r="AK2014">
        <v>0.57525818225324099</v>
      </c>
    </row>
    <row r="2015" spans="1:37" x14ac:dyDescent="0.2">
      <c r="A2015" t="str">
        <f>"20200111160148991"</f>
        <v>20200111160148991</v>
      </c>
      <c r="B2015" t="str">
        <f>"1578729708983448"</f>
        <v>1578729708983448</v>
      </c>
      <c r="C2015" t="s">
        <v>37</v>
      </c>
      <c r="D2015">
        <v>5.0053409999999996</v>
      </c>
      <c r="E2015">
        <v>0.56588450000000001</v>
      </c>
      <c r="F2015" t="s">
        <v>42</v>
      </c>
      <c r="G2015">
        <v>-493.29509999999999</v>
      </c>
      <c r="H2015">
        <v>1.039793</v>
      </c>
      <c r="I2015">
        <v>262.43060000000003</v>
      </c>
      <c r="J2015">
        <v>-493.15140000000002</v>
      </c>
      <c r="K2015">
        <v>1.1081350000000001</v>
      </c>
      <c r="L2015">
        <v>262.97930000000002</v>
      </c>
      <c r="M2015">
        <v>-0.21591050000000001</v>
      </c>
      <c r="N2015">
        <v>0</v>
      </c>
      <c r="O2015">
        <v>-0.97633019999999904</v>
      </c>
      <c r="P2015">
        <v>-5.9208150000000001E-2</v>
      </c>
      <c r="Q2015">
        <v>-4.7974619999999997E-3</v>
      </c>
      <c r="R2015">
        <v>-0.99823430000000002</v>
      </c>
      <c r="S2015">
        <v>-0.7123718</v>
      </c>
      <c r="T2015">
        <v>-0.28741339999999999</v>
      </c>
      <c r="U2015">
        <v>-2.9580690000000001</v>
      </c>
      <c r="V2015">
        <v>-0.1577992</v>
      </c>
      <c r="W2015">
        <v>6.3541149999999996E-3</v>
      </c>
      <c r="X2015">
        <v>0.98745079999999996</v>
      </c>
      <c r="Y2015">
        <v>1.7662770000000001E-2</v>
      </c>
      <c r="Z2015">
        <v>9.2013979999999995E-2</v>
      </c>
      <c r="AA2015">
        <v>0.99560110000000002</v>
      </c>
      <c r="AB2015">
        <v>17</v>
      </c>
      <c r="AC2015">
        <v>-0.14369999999996699</v>
      </c>
      <c r="AD2015">
        <v>-6.8342000000000097E-2</v>
      </c>
      <c r="AE2015">
        <v>-0.54869999999999597</v>
      </c>
      <c r="AF2015">
        <v>2.1517937426793601E-2</v>
      </c>
      <c r="AG2015">
        <v>-6.8342000000000097E-2</v>
      </c>
      <c r="AH2015">
        <v>0.55867401262205196</v>
      </c>
      <c r="AI2015">
        <v>96.969164619648694</v>
      </c>
      <c r="AJ2015">
        <v>87.794281003759906</v>
      </c>
      <c r="AK2015">
        <v>0.56324976961764395</v>
      </c>
    </row>
    <row r="2016" spans="1:37" x14ac:dyDescent="0.2">
      <c r="A2016" t="str">
        <f>"20200111160149012"</f>
        <v>20200111160149012</v>
      </c>
      <c r="B2016" t="str">
        <f>"1578729709002967"</f>
        <v>1578729709002967</v>
      </c>
      <c r="C2016" t="s">
        <v>37</v>
      </c>
      <c r="D2016">
        <v>4.9540989999999896</v>
      </c>
      <c r="E2016">
        <v>0.56624030000000003</v>
      </c>
      <c r="F2016" t="s">
        <v>42</v>
      </c>
      <c r="G2016">
        <v>-493.34739999999999</v>
      </c>
      <c r="H2016">
        <v>1.027441</v>
      </c>
      <c r="I2016">
        <v>262.14400000000001</v>
      </c>
      <c r="J2016">
        <v>-493.17809999999997</v>
      </c>
      <c r="K2016">
        <v>1.1080479999999999</v>
      </c>
      <c r="L2016">
        <v>262.8141</v>
      </c>
      <c r="M2016">
        <v>-0.208035</v>
      </c>
      <c r="N2016">
        <v>0</v>
      </c>
      <c r="O2016">
        <v>-0.97804369999999996</v>
      </c>
      <c r="P2016">
        <v>-5.1909070000000002E-2</v>
      </c>
      <c r="Q2016">
        <v>-5.6356679999999999E-3</v>
      </c>
      <c r="R2016">
        <v>-0.99863639999999998</v>
      </c>
      <c r="S2016">
        <v>-0.69393919999999998</v>
      </c>
      <c r="T2016">
        <v>-0.28780790000000001</v>
      </c>
      <c r="U2016">
        <v>-2.962799</v>
      </c>
      <c r="V2016">
        <v>-0.1570464</v>
      </c>
      <c r="W2016">
        <v>5.1372470000000002E-3</v>
      </c>
      <c r="X2016">
        <v>0.98757790000000001</v>
      </c>
      <c r="Y2016">
        <v>1.9491769999999999E-2</v>
      </c>
      <c r="Z2016">
        <v>9.2300530000000006E-2</v>
      </c>
      <c r="AA2016">
        <v>0.99554039999999999</v>
      </c>
      <c r="AB2016">
        <v>17</v>
      </c>
      <c r="AC2016">
        <v>-0.16930000000002099</v>
      </c>
      <c r="AD2016">
        <v>-8.0606999999999804E-2</v>
      </c>
      <c r="AE2016">
        <v>-0.67009999999999004</v>
      </c>
      <c r="AF2016">
        <v>2.5829212760610998E-2</v>
      </c>
      <c r="AG2016">
        <v>-8.0606999999999804E-2</v>
      </c>
      <c r="AH2016">
        <v>0.68139179465731503</v>
      </c>
      <c r="AI2016">
        <v>96.741799969692593</v>
      </c>
      <c r="AJ2016">
        <v>87.829153985932805</v>
      </c>
      <c r="AK2016">
        <v>0.68662902247658397</v>
      </c>
    </row>
    <row r="2017" spans="1:37" x14ac:dyDescent="0.2">
      <c r="A2017" t="str">
        <f>"20200111160149034"</f>
        <v>20200111160149034</v>
      </c>
      <c r="B2017" t="str">
        <f>"1578729709023463"</f>
        <v>1578729709023463</v>
      </c>
      <c r="C2017" t="s">
        <v>37</v>
      </c>
      <c r="D2017">
        <v>4.9111799999999999</v>
      </c>
      <c r="E2017">
        <v>0.56668130000000005</v>
      </c>
      <c r="F2017" t="s">
        <v>42</v>
      </c>
      <c r="G2017">
        <v>-493.36489999999998</v>
      </c>
      <c r="H2017">
        <v>1.0284139999999999</v>
      </c>
      <c r="I2017">
        <v>261.99380000000002</v>
      </c>
      <c r="J2017">
        <v>-493.20310000000001</v>
      </c>
      <c r="K2017">
        <v>1.1079779999999999</v>
      </c>
      <c r="L2017">
        <v>262.65260000000001</v>
      </c>
      <c r="M2017">
        <v>-0.20037099999999999</v>
      </c>
      <c r="N2017">
        <v>0</v>
      </c>
      <c r="O2017">
        <v>-0.9796473</v>
      </c>
      <c r="P2017">
        <v>-4.3800970000000002E-2</v>
      </c>
      <c r="Q2017">
        <v>-5.8508859999999996E-3</v>
      </c>
      <c r="R2017">
        <v>-0.99902359999999901</v>
      </c>
      <c r="S2017">
        <v>-0.67501829999999996</v>
      </c>
      <c r="T2017">
        <v>-0.28846679999999902</v>
      </c>
      <c r="U2017">
        <v>-2.967346</v>
      </c>
      <c r="V2017">
        <v>-0.1573242</v>
      </c>
      <c r="W2017">
        <v>4.546451E-3</v>
      </c>
      <c r="X2017">
        <v>0.98753649999999904</v>
      </c>
      <c r="Y2017">
        <v>2.0948789999999998E-2</v>
      </c>
      <c r="Z2017">
        <v>9.2661759999999996E-2</v>
      </c>
      <c r="AA2017">
        <v>0.99547730000000001</v>
      </c>
      <c r="AB2017">
        <v>17</v>
      </c>
      <c r="AC2017">
        <v>-0.16179999999997099</v>
      </c>
      <c r="AD2017">
        <v>-7.9564000000000107E-2</v>
      </c>
      <c r="AE2017">
        <v>-0.65879999999998495</v>
      </c>
      <c r="AF2017">
        <v>2.6144763219013E-2</v>
      </c>
      <c r="AG2017">
        <v>-7.9564000000000107E-2</v>
      </c>
      <c r="AH2017">
        <v>0.66866195003833895</v>
      </c>
      <c r="AI2017">
        <v>96.780579272826998</v>
      </c>
      <c r="AJ2017">
        <v>87.760868693747199</v>
      </c>
      <c r="AK2017">
        <v>0.67388632733484999</v>
      </c>
    </row>
    <row r="2018" spans="1:37" x14ac:dyDescent="0.2">
      <c r="A2018" t="str">
        <f>"20200111160149057"</f>
        <v>20200111160149057</v>
      </c>
      <c r="B2018" t="str">
        <f>"1578729709053720"</f>
        <v>1578729709053720</v>
      </c>
      <c r="C2018" t="s">
        <v>37</v>
      </c>
      <c r="D2018">
        <v>4.7723000000000004</v>
      </c>
      <c r="E2018">
        <v>0.57509949999999999</v>
      </c>
      <c r="F2018" t="s">
        <v>42</v>
      </c>
      <c r="G2018">
        <v>-493.38139999999999</v>
      </c>
      <c r="H2018">
        <v>1.0300009999999999</v>
      </c>
      <c r="I2018">
        <v>261.84269999999998</v>
      </c>
      <c r="J2018">
        <v>-493.22809999999998</v>
      </c>
      <c r="K2018">
        <v>1.1079349999999999</v>
      </c>
      <c r="L2018">
        <v>262.48160000000001</v>
      </c>
      <c r="M2018">
        <v>-0.19228039999999999</v>
      </c>
      <c r="N2018">
        <v>0</v>
      </c>
      <c r="O2018">
        <v>-0.98127189999999997</v>
      </c>
      <c r="P2018">
        <v>-3.5478299999999997E-2</v>
      </c>
      <c r="Q2018">
        <v>-5.5474649999999997E-3</v>
      </c>
      <c r="R2018">
        <v>-0.99935509999999905</v>
      </c>
      <c r="S2018">
        <v>-0.65377810000000003</v>
      </c>
      <c r="T2018">
        <v>-0.28757569999999999</v>
      </c>
      <c r="U2018">
        <v>-2.972626</v>
      </c>
      <c r="V2018">
        <v>-0.1573996</v>
      </c>
      <c r="W2018">
        <v>4.4715889999999998E-3</v>
      </c>
      <c r="X2018">
        <v>0.98752489999999904</v>
      </c>
      <c r="Y2018">
        <v>2.204706E-2</v>
      </c>
      <c r="Z2018">
        <v>9.2516249999999994E-2</v>
      </c>
      <c r="AA2018">
        <v>0.99546710000000005</v>
      </c>
      <c r="AB2018">
        <v>17</v>
      </c>
      <c r="AC2018">
        <v>-0.15330000000000099</v>
      </c>
      <c r="AD2018">
        <v>-7.79340000000001E-2</v>
      </c>
      <c r="AE2018">
        <v>-0.638900000000035</v>
      </c>
      <c r="AF2018">
        <v>2.7200186489143598E-2</v>
      </c>
      <c r="AG2018">
        <v>-7.79340000000001E-2</v>
      </c>
      <c r="AH2018">
        <v>0.64734725516841596</v>
      </c>
      <c r="AI2018">
        <v>96.858794450688805</v>
      </c>
      <c r="AJ2018">
        <v>87.593965694000303</v>
      </c>
      <c r="AK2018">
        <v>0.652588712187949</v>
      </c>
    </row>
    <row r="2019" spans="1:37" x14ac:dyDescent="0.2">
      <c r="A2019" t="str">
        <f>"20200111160149081"</f>
        <v>20200111160149081</v>
      </c>
      <c r="B2019" t="str">
        <f>"1578729709073240"</f>
        <v>1578729709073240</v>
      </c>
      <c r="C2019" t="s">
        <v>37</v>
      </c>
      <c r="D2019">
        <v>4.8097690000000002</v>
      </c>
      <c r="E2019">
        <v>0.57665769999999905</v>
      </c>
      <c r="F2019" t="s">
        <v>42</v>
      </c>
      <c r="G2019">
        <v>-493.41419999999999</v>
      </c>
      <c r="H2019">
        <v>1.044378</v>
      </c>
      <c r="I2019">
        <v>261.68810000000002</v>
      </c>
      <c r="J2019">
        <v>-493.25290000000001</v>
      </c>
      <c r="K2019">
        <v>1.1079129999999999</v>
      </c>
      <c r="L2019">
        <v>262.30189999999999</v>
      </c>
      <c r="M2019">
        <v>-0.18379799999999999</v>
      </c>
      <c r="N2019">
        <v>0</v>
      </c>
      <c r="O2019">
        <v>-0.98290069999999996</v>
      </c>
      <c r="P2019">
        <v>-2.6328150000000002E-2</v>
      </c>
      <c r="Q2019">
        <v>-4.3395250000000003E-3</v>
      </c>
      <c r="R2019">
        <v>-0.99964430000000004</v>
      </c>
      <c r="S2019">
        <v>-0.69744869999999903</v>
      </c>
      <c r="T2019">
        <v>-0.23885729999999999</v>
      </c>
      <c r="U2019">
        <v>-2.9758909999999998</v>
      </c>
      <c r="V2019">
        <v>-0.1579188</v>
      </c>
      <c r="W2019">
        <v>5.2783889999999997E-3</v>
      </c>
      <c r="X2019">
        <v>0.98743799999999904</v>
      </c>
      <c r="Y2019">
        <v>4.4648019999999997E-2</v>
      </c>
      <c r="Z2019">
        <v>7.6905940000000006E-2</v>
      </c>
      <c r="AA2019">
        <v>0.99603809999999904</v>
      </c>
      <c r="AB2019">
        <v>17</v>
      </c>
      <c r="AC2019">
        <v>-0.16129999999998201</v>
      </c>
      <c r="AD2019">
        <v>-6.3534999999999897E-2</v>
      </c>
      <c r="AE2019">
        <v>-0.61379999999996904</v>
      </c>
      <c r="AF2019">
        <v>4.5275746622997097E-2</v>
      </c>
      <c r="AG2019">
        <v>-6.3534999999999897E-2</v>
      </c>
      <c r="AH2019">
        <v>0.62670935402354699</v>
      </c>
      <c r="AI2019">
        <v>95.7738502425767</v>
      </c>
      <c r="AJ2019">
        <v>85.867924655405403</v>
      </c>
      <c r="AK2019">
        <v>0.63154667592972202</v>
      </c>
    </row>
    <row r="2020" spans="1:37" x14ac:dyDescent="0.2">
      <c r="A2020" t="str">
        <f>"20200111160149102"</f>
        <v>20200111160149102</v>
      </c>
      <c r="B2020" t="str">
        <f>"1578729709093736"</f>
        <v>1578729709093736</v>
      </c>
      <c r="C2020" t="s">
        <v>37</v>
      </c>
      <c r="D2020">
        <v>4.6931199999999897</v>
      </c>
      <c r="E2020">
        <v>0.57802180000000003</v>
      </c>
      <c r="F2020" t="s">
        <v>42</v>
      </c>
      <c r="G2020">
        <v>-493.42939999999999</v>
      </c>
      <c r="H2020">
        <v>1.0498459999999901</v>
      </c>
      <c r="I2020">
        <v>261.53230000000002</v>
      </c>
      <c r="J2020">
        <v>-493.27420000000001</v>
      </c>
      <c r="K2020">
        <v>1.1079110000000001</v>
      </c>
      <c r="L2020">
        <v>262.13819999999998</v>
      </c>
      <c r="M2020">
        <v>-0.17607579999999901</v>
      </c>
      <c r="N2020">
        <v>0</v>
      </c>
      <c r="O2020">
        <v>-0.98431689999999905</v>
      </c>
      <c r="P2020">
        <v>-1.799924E-2</v>
      </c>
      <c r="Q2020">
        <v>-3.5433129999999898E-3</v>
      </c>
      <c r="R2020">
        <v>-0.99983180000000005</v>
      </c>
      <c r="S2020">
        <v>-0.68307499999999999</v>
      </c>
      <c r="T2020">
        <v>-0.22637869999999999</v>
      </c>
      <c r="U2020">
        <v>-2.9820859999999998</v>
      </c>
      <c r="V2020">
        <v>-0.15839679999999901</v>
      </c>
      <c r="W2020">
        <v>5.7161180000000001E-3</v>
      </c>
      <c r="X2020">
        <v>0.98735899999999999</v>
      </c>
      <c r="Y2020">
        <v>4.7543120000000001E-2</v>
      </c>
      <c r="Z2020">
        <v>7.295422E-2</v>
      </c>
      <c r="AA2020">
        <v>0.99620149999999996</v>
      </c>
      <c r="AB2020">
        <v>17</v>
      </c>
      <c r="AC2020">
        <v>-0.15519999999997899</v>
      </c>
      <c r="AD2020">
        <v>-5.80650000000002E-2</v>
      </c>
      <c r="AE2020">
        <v>-0.60589999999996202</v>
      </c>
      <c r="AF2020">
        <v>4.5690583501625998E-2</v>
      </c>
      <c r="AG2020">
        <v>-5.80650000000002E-2</v>
      </c>
      <c r="AH2020">
        <v>0.61843133273458495</v>
      </c>
      <c r="AI2020">
        <v>95.349325981287294</v>
      </c>
      <c r="AJ2020">
        <v>85.774583527152402</v>
      </c>
      <c r="AK2020">
        <v>0.62282942043033995</v>
      </c>
    </row>
    <row r="2021" spans="1:37" x14ac:dyDescent="0.2">
      <c r="A2021" t="str">
        <f>"20200111160149125"</f>
        <v>20200111160149125</v>
      </c>
      <c r="B2021" t="str">
        <f>"1578729709113257"</f>
        <v>1578729709113257</v>
      </c>
      <c r="C2021" t="s">
        <v>37</v>
      </c>
      <c r="D2021">
        <v>4.6587670000000001</v>
      </c>
      <c r="E2021">
        <v>0.57736219999999905</v>
      </c>
      <c r="F2021" t="s">
        <v>42</v>
      </c>
      <c r="G2021">
        <v>-493.44479999999999</v>
      </c>
      <c r="H2021">
        <v>1.053188</v>
      </c>
      <c r="I2021">
        <v>261.37720000000002</v>
      </c>
      <c r="J2021">
        <v>-493.29520000000002</v>
      </c>
      <c r="K2021">
        <v>1.1079190000000001</v>
      </c>
      <c r="L2021">
        <v>261.96600000000001</v>
      </c>
      <c r="M2021">
        <v>-0.16796329999999901</v>
      </c>
      <c r="N2021">
        <v>0</v>
      </c>
      <c r="O2021">
        <v>-0.98573750000000004</v>
      </c>
      <c r="P2021">
        <v>-9.1154459999999993E-3</v>
      </c>
      <c r="Q2021">
        <v>-2.9201539999999999E-3</v>
      </c>
      <c r="R2021">
        <v>-0.99995440000000002</v>
      </c>
      <c r="S2021">
        <v>-0.66976930000000001</v>
      </c>
      <c r="T2021">
        <v>-0.21497339999999901</v>
      </c>
      <c r="U2021">
        <v>-2.9876399999999999</v>
      </c>
      <c r="V2021">
        <v>-0.1590406</v>
      </c>
      <c r="W2021">
        <v>5.9869569999999898E-3</v>
      </c>
      <c r="X2021">
        <v>0.98725390000000002</v>
      </c>
      <c r="Y2021">
        <v>5.1204149999999997E-2</v>
      </c>
      <c r="Z2021">
        <v>6.9348209999999993E-2</v>
      </c>
      <c r="AA2021">
        <v>0.99627759999999999</v>
      </c>
      <c r="AB2021">
        <v>17</v>
      </c>
      <c r="AC2021">
        <v>-0.14959999999996301</v>
      </c>
      <c r="AD2021">
        <v>-5.4731000000000002E-2</v>
      </c>
      <c r="AE2021">
        <v>-0.588799999999992</v>
      </c>
      <c r="AF2021">
        <v>4.8181151066156697E-2</v>
      </c>
      <c r="AG2021">
        <v>-5.4731000000000002E-2</v>
      </c>
      <c r="AH2021">
        <v>0.60068741299358996</v>
      </c>
      <c r="AI2021">
        <v>95.189494283093097</v>
      </c>
      <c r="AJ2021">
        <v>85.414122046420403</v>
      </c>
      <c r="AK2021">
        <v>0.60509691274042399</v>
      </c>
    </row>
    <row r="2022" spans="1:37" x14ac:dyDescent="0.2">
      <c r="A2022" t="str">
        <f>"20200111160149146"</f>
        <v>20200111160149146</v>
      </c>
      <c r="B2022" t="str">
        <f>"1578729709143511"</f>
        <v>1578729709143511</v>
      </c>
      <c r="C2022" t="s">
        <v>37</v>
      </c>
      <c r="D2022">
        <v>4.5700099999999999</v>
      </c>
      <c r="E2022">
        <v>0.49101119999999998</v>
      </c>
      <c r="F2022" t="s">
        <v>42</v>
      </c>
      <c r="G2022">
        <v>-493.45359999999999</v>
      </c>
      <c r="H2022">
        <v>1.053965</v>
      </c>
      <c r="I2022">
        <v>261.22210000000001</v>
      </c>
      <c r="J2022">
        <v>-493.31310000000002</v>
      </c>
      <c r="K2022">
        <v>1.107939</v>
      </c>
      <c r="L2022">
        <v>261.80849999999998</v>
      </c>
      <c r="M2022">
        <v>-0.1605444</v>
      </c>
      <c r="N2022">
        <v>0</v>
      </c>
      <c r="O2022">
        <v>-0.98697579999999996</v>
      </c>
      <c r="P2022">
        <v>-5.8933100000000001E-4</v>
      </c>
      <c r="Q2022">
        <v>-2.5027489999999999E-3</v>
      </c>
      <c r="R2022">
        <v>-0.99999699999999903</v>
      </c>
      <c r="S2022">
        <v>-0.63739009999999996</v>
      </c>
      <c r="T2022">
        <v>-0.2174567</v>
      </c>
      <c r="U2022">
        <v>-2.9936829999999999</v>
      </c>
      <c r="V2022">
        <v>-0.16003419999999999</v>
      </c>
      <c r="W2022">
        <v>6.1099780000000003E-3</v>
      </c>
      <c r="X2022">
        <v>0.98709259999999999</v>
      </c>
      <c r="Y2022">
        <v>4.7988990000000002E-2</v>
      </c>
      <c r="Z2022">
        <v>7.0223880000000002E-2</v>
      </c>
      <c r="AA2022">
        <v>0.99637629999999999</v>
      </c>
      <c r="AB2022">
        <v>17</v>
      </c>
      <c r="AC2022">
        <v>-0.14049999999997401</v>
      </c>
      <c r="AD2022">
        <v>-5.3973999999999897E-2</v>
      </c>
      <c r="AE2022">
        <v>-0.58639999999996895</v>
      </c>
      <c r="AF2022">
        <v>4.4175254587546002E-2</v>
      </c>
      <c r="AG2022">
        <v>-5.3973999999999897E-2</v>
      </c>
      <c r="AH2022">
        <v>0.59657074362082296</v>
      </c>
      <c r="AI2022">
        <v>95.155650894021903</v>
      </c>
      <c r="AJ2022">
        <v>85.765054291130795</v>
      </c>
      <c r="AK2022">
        <v>0.60063407990071305</v>
      </c>
    </row>
    <row r="2023" spans="1:37" x14ac:dyDescent="0.2">
      <c r="A2023" t="str">
        <f>"20200111160149169"</f>
        <v>20200111160149169</v>
      </c>
      <c r="B2023" t="str">
        <f>"1578729709163031"</f>
        <v>1578729709163031</v>
      </c>
      <c r="C2023" t="s">
        <v>37</v>
      </c>
      <c r="D2023">
        <v>4.4998110000000002</v>
      </c>
      <c r="E2023">
        <v>0.48133939999999997</v>
      </c>
      <c r="F2023" t="s">
        <v>54</v>
      </c>
      <c r="G2023">
        <v>-492.25400000000002</v>
      </c>
      <c r="H2023" s="1">
        <v>3.052576E-6</v>
      </c>
      <c r="I2023">
        <v>217.89850000000001</v>
      </c>
      <c r="J2023">
        <v>-493.3322</v>
      </c>
      <c r="K2023">
        <v>1.107966</v>
      </c>
      <c r="L2023">
        <v>261.62819999999999</v>
      </c>
      <c r="M2023">
        <v>-0.152055</v>
      </c>
      <c r="N2023">
        <v>0</v>
      </c>
      <c r="O2023">
        <v>-0.98832240000000005</v>
      </c>
      <c r="P2023">
        <v>9.1377660000000003E-3</v>
      </c>
      <c r="Q2023">
        <v>-1.694632E-3</v>
      </c>
      <c r="R2023">
        <v>-0.99995730000000005</v>
      </c>
      <c r="S2023">
        <v>7.2357179999999993E-2</v>
      </c>
      <c r="T2023">
        <v>-7.5693609999999995E-2</v>
      </c>
      <c r="U2023">
        <v>-2.999908</v>
      </c>
      <c r="V2023">
        <v>-0.16115660000000001</v>
      </c>
      <c r="W2023">
        <v>6.6163699999999999E-3</v>
      </c>
      <c r="X2023">
        <v>0.98690659999999897</v>
      </c>
      <c r="Y2023">
        <v>-0.1758429</v>
      </c>
      <c r="Z2023">
        <v>2.4583629999999999E-2</v>
      </c>
      <c r="AA2023">
        <v>0.98411119999999996</v>
      </c>
      <c r="AB2023">
        <v>17</v>
      </c>
      <c r="AC2023">
        <v>1.0781999999999801</v>
      </c>
      <c r="AD2023">
        <v>-1.107962947424</v>
      </c>
      <c r="AE2023">
        <v>-43.729699999999902</v>
      </c>
      <c r="AF2023">
        <v>-7.7103606149041104</v>
      </c>
      <c r="AG2023">
        <v>-1.107962947424</v>
      </c>
      <c r="AH2023">
        <v>43.029602756648302</v>
      </c>
      <c r="AI2023">
        <v>91.451860768008302</v>
      </c>
      <c r="AJ2023">
        <v>100.158867332108</v>
      </c>
      <c r="AK2023">
        <v>43.728983021557802</v>
      </c>
    </row>
    <row r="2024" spans="1:37" x14ac:dyDescent="0.2">
      <c r="A2024" t="str">
        <f>"20200111160149192"</f>
        <v>20200111160149192</v>
      </c>
      <c r="B2024" t="str">
        <f>"1578729709183527"</f>
        <v>1578729709183527</v>
      </c>
      <c r="C2024" t="s">
        <v>37</v>
      </c>
      <c r="D2024">
        <v>4.3772039999999999</v>
      </c>
      <c r="E2024">
        <v>0.47581259999999997</v>
      </c>
      <c r="F2024" t="s">
        <v>54</v>
      </c>
      <c r="G2024">
        <v>-490.96159999999998</v>
      </c>
      <c r="H2024" s="1">
        <v>4.081851E-6</v>
      </c>
      <c r="I2024">
        <v>221.9564</v>
      </c>
      <c r="J2024">
        <v>-493.3492</v>
      </c>
      <c r="K2024">
        <v>1.1079859999999999</v>
      </c>
      <c r="L2024">
        <v>261.45269999999999</v>
      </c>
      <c r="M2024">
        <v>-0.14379900000000001</v>
      </c>
      <c r="N2024">
        <v>0</v>
      </c>
      <c r="O2024">
        <v>-0.98955939999999998</v>
      </c>
      <c r="P2024">
        <v>1.780965E-2</v>
      </c>
      <c r="Q2024">
        <v>4.9822129999999997E-4</v>
      </c>
      <c r="R2024">
        <v>-0.99984150000000005</v>
      </c>
      <c r="S2024">
        <v>0.17916869999999999</v>
      </c>
      <c r="T2024">
        <v>-8.3737850000000003E-2</v>
      </c>
      <c r="U2024">
        <v>-2.9983219999999999</v>
      </c>
      <c r="V2024">
        <v>-0.16149539999999901</v>
      </c>
      <c r="W2024">
        <v>8.5594250000000007E-3</v>
      </c>
      <c r="X2024">
        <v>0.98683639999999995</v>
      </c>
      <c r="Y2024">
        <v>-0.20255680000000001</v>
      </c>
      <c r="Z2024">
        <v>2.716793E-2</v>
      </c>
      <c r="AA2024">
        <v>0.97889359999999903</v>
      </c>
      <c r="AB2024">
        <v>18</v>
      </c>
      <c r="AC2024">
        <v>2.3876000000000199</v>
      </c>
      <c r="AD2024">
        <v>-1.107981918149</v>
      </c>
      <c r="AE2024">
        <v>-39.496299999999898</v>
      </c>
      <c r="AF2024">
        <v>-8.0362774439119509</v>
      </c>
      <c r="AG2024">
        <v>-1.107981918149</v>
      </c>
      <c r="AH2024">
        <v>38.712068262179699</v>
      </c>
      <c r="AI2024">
        <v>91.605216267049499</v>
      </c>
      <c r="AJ2024">
        <v>101.72752025355901</v>
      </c>
      <c r="AK2024">
        <v>39.552921614238997</v>
      </c>
    </row>
    <row r="2025" spans="1:37" x14ac:dyDescent="0.2">
      <c r="A2025" t="str">
        <f>"20200111160149216"</f>
        <v>20200111160149216</v>
      </c>
      <c r="B2025" t="str">
        <f>"1578729709213783"</f>
        <v>1578729709213783</v>
      </c>
      <c r="C2025" t="s">
        <v>37</v>
      </c>
      <c r="D2025">
        <v>4.4521519999999999</v>
      </c>
      <c r="E2025">
        <v>0.47295529999999902</v>
      </c>
      <c r="F2025" t="s">
        <v>54</v>
      </c>
      <c r="G2025">
        <v>-490.13060000000002</v>
      </c>
      <c r="H2025" s="1">
        <v>4.4889950000000002E-6</v>
      </c>
      <c r="I2025">
        <v>222.79490000000001</v>
      </c>
      <c r="J2025">
        <v>-493.36590000000001</v>
      </c>
      <c r="K2025">
        <v>1.1080099999999999</v>
      </c>
      <c r="L2025">
        <v>261.26369999999997</v>
      </c>
      <c r="M2025">
        <v>-0.13492370000000001</v>
      </c>
      <c r="N2025">
        <v>0</v>
      </c>
      <c r="O2025">
        <v>-0.99081070000000004</v>
      </c>
      <c r="P2025">
        <v>2.6991419999999999E-2</v>
      </c>
      <c r="Q2025">
        <v>3.3977489999999998E-3</v>
      </c>
      <c r="R2025">
        <v>-0.99962989999999996</v>
      </c>
      <c r="S2025">
        <v>0.2494507</v>
      </c>
      <c r="T2025">
        <v>-8.5871929999999999E-2</v>
      </c>
      <c r="U2025">
        <v>-2.9960939999999998</v>
      </c>
      <c r="V2025">
        <v>-0.1617382</v>
      </c>
      <c r="W2025">
        <v>1.122243E-2</v>
      </c>
      <c r="X2025">
        <v>0.98676989999999998</v>
      </c>
      <c r="Y2025">
        <v>-0.21664410000000001</v>
      </c>
      <c r="Z2025">
        <v>2.7867449999999998E-2</v>
      </c>
      <c r="AA2025">
        <v>0.97585279999999996</v>
      </c>
      <c r="AB2025">
        <v>18</v>
      </c>
      <c r="AC2025">
        <v>3.2352999999999899</v>
      </c>
      <c r="AD2025">
        <v>-1.108005511005</v>
      </c>
      <c r="AE2025">
        <v>-38.468799999999902</v>
      </c>
      <c r="AF2025">
        <v>-8.3893885688703893</v>
      </c>
      <c r="AG2025">
        <v>-1.108005511005</v>
      </c>
      <c r="AH2025">
        <v>37.649456532362898</v>
      </c>
      <c r="AI2025">
        <v>91.645370146779001</v>
      </c>
      <c r="AJ2025">
        <v>102.561930055109</v>
      </c>
      <c r="AK2025">
        <v>38.588743098916801</v>
      </c>
    </row>
    <row r="2026" spans="1:37" x14ac:dyDescent="0.2">
      <c r="A2026" t="str">
        <f>"20200111160149236"</f>
        <v>20200111160149236</v>
      </c>
      <c r="B2026" t="str">
        <f>"1578729709233304"</f>
        <v>1578729709233304</v>
      </c>
      <c r="C2026" t="s">
        <v>37</v>
      </c>
      <c r="D2026">
        <v>4.4221969999999997</v>
      </c>
      <c r="E2026">
        <v>0.47266920000000001</v>
      </c>
      <c r="F2026" t="s">
        <v>54</v>
      </c>
      <c r="G2026">
        <v>-489.74810000000002</v>
      </c>
      <c r="H2026" s="1">
        <v>5.2071429999999998E-6</v>
      </c>
      <c r="I2026">
        <v>225.1942</v>
      </c>
      <c r="J2026">
        <v>-493.37810000000002</v>
      </c>
      <c r="K2026">
        <v>1.1080129999999999</v>
      </c>
      <c r="L2026">
        <v>261.11329999999998</v>
      </c>
      <c r="M2026">
        <v>-0.12788189999999999</v>
      </c>
      <c r="N2026">
        <v>0</v>
      </c>
      <c r="O2026">
        <v>-0.99174569999999995</v>
      </c>
      <c r="P2026">
        <v>3.4198810000000003E-2</v>
      </c>
      <c r="Q2026">
        <v>5.5900580000000002E-3</v>
      </c>
      <c r="R2026">
        <v>-0.9993995</v>
      </c>
      <c r="S2026">
        <v>0.3002319</v>
      </c>
      <c r="T2026">
        <v>-9.1950420000000005E-2</v>
      </c>
      <c r="U2026">
        <v>-2.9933169999999998</v>
      </c>
      <c r="V2026">
        <v>-0.16186210000000001</v>
      </c>
      <c r="W2026">
        <v>1.325027E-2</v>
      </c>
      <c r="X2026">
        <v>0.98672439999999995</v>
      </c>
      <c r="Y2026">
        <v>-0.22618379999999899</v>
      </c>
      <c r="Z2026">
        <v>2.9852429999999999E-2</v>
      </c>
      <c r="AA2026">
        <v>0.97362709999999997</v>
      </c>
      <c r="AB2026">
        <v>18</v>
      </c>
      <c r="AC2026">
        <v>3.6299999999999901</v>
      </c>
      <c r="AD2026">
        <v>-1.108007792857</v>
      </c>
      <c r="AE2026">
        <v>-35.919099999999901</v>
      </c>
      <c r="AF2026">
        <v>-8.1860840248666804</v>
      </c>
      <c r="AG2026">
        <v>-1.108007792857</v>
      </c>
      <c r="AH2026">
        <v>35.126838392485503</v>
      </c>
      <c r="AI2026">
        <v>91.759566981376594</v>
      </c>
      <c r="AJ2026">
        <v>103.118276622433</v>
      </c>
      <c r="AK2026">
        <v>36.085099811182502</v>
      </c>
    </row>
    <row r="2027" spans="1:37" x14ac:dyDescent="0.2">
      <c r="A2027" t="str">
        <f>"20200111160149258"</f>
        <v>20200111160149258</v>
      </c>
      <c r="B2027" t="str">
        <f>"1578729709253800"</f>
        <v>1578729709253800</v>
      </c>
      <c r="C2027" t="s">
        <v>37</v>
      </c>
      <c r="D2027">
        <v>4.4227910000000001</v>
      </c>
      <c r="E2027">
        <v>0.47290539999999998</v>
      </c>
      <c r="F2027" t="s">
        <v>54</v>
      </c>
      <c r="G2027">
        <v>-489.1524</v>
      </c>
      <c r="H2027" s="1">
        <v>4.1297160000000001E-6</v>
      </c>
      <c r="I2027">
        <v>222.11259999999999</v>
      </c>
      <c r="J2027">
        <v>-493.39109999999999</v>
      </c>
      <c r="K2027">
        <v>1.1079950000000001</v>
      </c>
      <c r="L2027">
        <v>260.93540000000002</v>
      </c>
      <c r="M2027">
        <v>-0.1196058</v>
      </c>
      <c r="N2027">
        <v>0</v>
      </c>
      <c r="O2027">
        <v>-0.99277919999999997</v>
      </c>
      <c r="P2027">
        <v>4.2904020000000001E-2</v>
      </c>
      <c r="Q2027">
        <v>4.6941040000000002E-3</v>
      </c>
      <c r="R2027">
        <v>-0.99906819999999896</v>
      </c>
      <c r="S2027">
        <v>0.32409670000000002</v>
      </c>
      <c r="T2027">
        <v>-8.4980130000000001E-2</v>
      </c>
      <c r="U2027">
        <v>-2.9912109999999998</v>
      </c>
      <c r="V2027">
        <v>-0.16221859999999999</v>
      </c>
      <c r="W2027">
        <v>1.218462E-2</v>
      </c>
      <c r="X2027">
        <v>0.98667959999999999</v>
      </c>
      <c r="Y2027">
        <v>-0.22581860000000001</v>
      </c>
      <c r="Z2027">
        <v>2.76444E-2</v>
      </c>
      <c r="AA2027">
        <v>0.97377709999999995</v>
      </c>
      <c r="AB2027">
        <v>18</v>
      </c>
      <c r="AC2027">
        <v>4.2386999999999899</v>
      </c>
      <c r="AD2027">
        <v>-1.107990870284</v>
      </c>
      <c r="AE2027">
        <v>-38.822800000000001</v>
      </c>
      <c r="AF2027">
        <v>-8.8447773169484094</v>
      </c>
      <c r="AG2027">
        <v>-1.107990870284</v>
      </c>
      <c r="AH2027">
        <v>38.006498990174798</v>
      </c>
      <c r="AI2027">
        <v>91.626415631535195</v>
      </c>
      <c r="AJ2027">
        <v>103.100554801577</v>
      </c>
      <c r="AK2027">
        <v>39.037823902533198</v>
      </c>
    </row>
    <row r="2028" spans="1:37" x14ac:dyDescent="0.2">
      <c r="A2028" t="str">
        <f>"20200111160149281"</f>
        <v>20200111160149281</v>
      </c>
      <c r="B2028" t="str">
        <f>"1578729709273319"</f>
        <v>1578729709273319</v>
      </c>
      <c r="C2028" t="s">
        <v>37</v>
      </c>
      <c r="D2028">
        <v>4.3119079999999999</v>
      </c>
      <c r="E2028">
        <v>0.473176599999999</v>
      </c>
      <c r="F2028" t="s">
        <v>54</v>
      </c>
      <c r="G2028">
        <v>-489.0231</v>
      </c>
      <c r="H2028" s="1">
        <v>4.5184660000000004E-6</v>
      </c>
      <c r="I2028">
        <v>223.46</v>
      </c>
      <c r="J2028">
        <v>-493.40280000000001</v>
      </c>
      <c r="K2028">
        <v>1.107947</v>
      </c>
      <c r="L2028">
        <v>260.75740000000002</v>
      </c>
      <c r="M2028">
        <v>-0.1114289</v>
      </c>
      <c r="N2028">
        <v>0</v>
      </c>
      <c r="O2028">
        <v>-0.993731699999999</v>
      </c>
      <c r="P2028">
        <v>5.1228990000000002E-2</v>
      </c>
      <c r="Q2028">
        <v>1.46786299999999E-3</v>
      </c>
      <c r="R2028">
        <v>-0.99868609999999902</v>
      </c>
      <c r="S2028">
        <v>0.34829709999999903</v>
      </c>
      <c r="T2028">
        <v>-8.8349220000000006E-2</v>
      </c>
      <c r="U2028">
        <v>-2.9882200000000001</v>
      </c>
      <c r="V2028">
        <v>-0.1622874</v>
      </c>
      <c r="W2028">
        <v>8.8192919999999994E-3</v>
      </c>
      <c r="X2028">
        <v>0.98670409999999997</v>
      </c>
      <c r="Y2028">
        <v>-0.2256871</v>
      </c>
      <c r="Z2028">
        <v>2.87976E-2</v>
      </c>
      <c r="AA2028">
        <v>0.97377409999999998</v>
      </c>
      <c r="AB2028">
        <v>18</v>
      </c>
      <c r="AC2028">
        <v>4.3797000000000104</v>
      </c>
      <c r="AD2028">
        <v>-1.107942481534</v>
      </c>
      <c r="AE2028">
        <v>-37.297400000000003</v>
      </c>
      <c r="AF2028">
        <v>-8.5011995686529396</v>
      </c>
      <c r="AG2028">
        <v>-1.107942481534</v>
      </c>
      <c r="AH2028">
        <v>36.545253499829002</v>
      </c>
      <c r="AI2028">
        <v>91.691372192631903</v>
      </c>
      <c r="AJ2028">
        <v>103.095319015458</v>
      </c>
      <c r="AK2028">
        <v>37.537361175437198</v>
      </c>
    </row>
    <row r="2029" spans="1:37" x14ac:dyDescent="0.2">
      <c r="A2029" t="str">
        <f>"20200111160149303"</f>
        <v>20200111160149303</v>
      </c>
      <c r="B2029" t="str">
        <f>"1578729709293816"</f>
        <v>1578729709293816</v>
      </c>
      <c r="C2029" t="s">
        <v>37</v>
      </c>
      <c r="D2029">
        <v>4.5864839999999996</v>
      </c>
      <c r="E2029">
        <v>0.47276459999999998</v>
      </c>
      <c r="F2029" t="s">
        <v>54</v>
      </c>
      <c r="G2029">
        <v>-489.31009999999998</v>
      </c>
      <c r="H2029" s="1">
        <v>5.90288699999999E-6</v>
      </c>
      <c r="I2029">
        <v>227.81630000000001</v>
      </c>
      <c r="J2029">
        <v>-493.41309999999999</v>
      </c>
      <c r="K2029">
        <v>1.107872</v>
      </c>
      <c r="L2029">
        <v>260.58099999999899</v>
      </c>
      <c r="M2029">
        <v>-0.1034543</v>
      </c>
      <c r="N2029">
        <v>0</v>
      </c>
      <c r="O2029">
        <v>-0.9945946</v>
      </c>
      <c r="P2029">
        <v>5.9943899999999897E-2</v>
      </c>
      <c r="Q2029">
        <v>-1.29331E-3</v>
      </c>
      <c r="R2029">
        <v>-0.9982008</v>
      </c>
      <c r="S2029">
        <v>0.37088009999999999</v>
      </c>
      <c r="T2029">
        <v>-0.100400899999999</v>
      </c>
      <c r="U2029">
        <v>-2.9851070000000002</v>
      </c>
      <c r="V2029">
        <v>-0.16295750000000001</v>
      </c>
      <c r="W2029">
        <v>5.9364140000000001E-3</v>
      </c>
      <c r="X2029">
        <v>0.98661520000000003</v>
      </c>
      <c r="Y2029">
        <v>-0.22523550000000001</v>
      </c>
      <c r="Z2029">
        <v>3.2785990000000001E-2</v>
      </c>
      <c r="AA2029">
        <v>0.97375259999999997</v>
      </c>
      <c r="AB2029">
        <v>18</v>
      </c>
      <c r="AC2029">
        <v>4.1029999999999998</v>
      </c>
      <c r="AD2029">
        <v>-1.1078660971130001</v>
      </c>
      <c r="AE2029">
        <v>-32.764699999999898</v>
      </c>
      <c r="AF2029">
        <v>-7.4623650274132398</v>
      </c>
      <c r="AG2029">
        <v>-1.1078660971130001</v>
      </c>
      <c r="AH2029">
        <v>32.1282225973777</v>
      </c>
      <c r="AI2029">
        <v>91.923757216944395</v>
      </c>
      <c r="AJ2029">
        <v>103.076133103061</v>
      </c>
      <c r="AK2029">
        <v>33.002074879591198</v>
      </c>
    </row>
    <row r="2030" spans="1:37" x14ac:dyDescent="0.2">
      <c r="A2030" t="str">
        <f>"20200111160149327"</f>
        <v>20200111160149327</v>
      </c>
      <c r="B2030" t="str">
        <f>"1578729709323096"</f>
        <v>1578729709323096</v>
      </c>
      <c r="C2030" t="s">
        <v>37</v>
      </c>
      <c r="D2030">
        <v>4.3875010000000003</v>
      </c>
      <c r="E2030">
        <v>0.47335829999999901</v>
      </c>
      <c r="F2030" t="s">
        <v>38</v>
      </c>
      <c r="G2030">
        <v>-489.48509999999999</v>
      </c>
      <c r="H2030" s="1">
        <v>-8.2505679999999898E-7</v>
      </c>
      <c r="I2030">
        <v>231.34309999999999</v>
      </c>
      <c r="J2030">
        <v>-493.42239999999998</v>
      </c>
      <c r="K2030">
        <v>1.107766</v>
      </c>
      <c r="L2030">
        <v>260.39999999999998</v>
      </c>
      <c r="M2030">
        <v>-9.5457169999999994E-2</v>
      </c>
      <c r="N2030">
        <v>0</v>
      </c>
      <c r="O2030">
        <v>-0.99539529999999998</v>
      </c>
      <c r="P2030">
        <v>6.8850939999999999E-2</v>
      </c>
      <c r="Q2030">
        <v>-4.2908759999999999E-3</v>
      </c>
      <c r="R2030">
        <v>-0.99761809999999995</v>
      </c>
      <c r="S2030">
        <v>0.4005127</v>
      </c>
      <c r="T2030">
        <v>-0.1129627</v>
      </c>
      <c r="U2030">
        <v>-2.981201</v>
      </c>
      <c r="V2030">
        <v>-0.16380229999999901</v>
      </c>
      <c r="W2030">
        <v>2.8279429999999999E-3</v>
      </c>
      <c r="X2030">
        <v>0.98648910000000001</v>
      </c>
      <c r="Y2030">
        <v>-0.227060399999999</v>
      </c>
      <c r="Z2030">
        <v>3.6944310000000001E-2</v>
      </c>
      <c r="AA2030">
        <v>0.97317969999999898</v>
      </c>
      <c r="AB2030">
        <v>18</v>
      </c>
      <c r="AC2030">
        <v>3.9372999999999898</v>
      </c>
      <c r="AD2030">
        <v>-1.1077668250568</v>
      </c>
      <c r="AE2030">
        <v>-29.056899999999899</v>
      </c>
      <c r="AF2030">
        <v>-6.6835750692932896</v>
      </c>
      <c r="AG2030">
        <v>-1.1077668250568</v>
      </c>
      <c r="AH2030">
        <v>28.507657617350699</v>
      </c>
      <c r="AI2030">
        <v>92.166621926596505</v>
      </c>
      <c r="AJ2030">
        <v>103.19459784391699</v>
      </c>
      <c r="AK2030">
        <v>29.301601762935501</v>
      </c>
    </row>
    <row r="2031" spans="1:37" x14ac:dyDescent="0.2">
      <c r="A2031" t="str">
        <f>"20200111160149347"</f>
        <v>20200111160149347</v>
      </c>
      <c r="B2031" t="str">
        <f>"1578729709343592"</f>
        <v>1578729709343592</v>
      </c>
      <c r="C2031" t="s">
        <v>37</v>
      </c>
      <c r="D2031">
        <v>4.4391559999999997</v>
      </c>
      <c r="E2031">
        <v>0.47399150000000001</v>
      </c>
      <c r="F2031" t="s">
        <v>38</v>
      </c>
      <c r="G2031">
        <v>-489.73439999999999</v>
      </c>
      <c r="H2031" s="1">
        <v>-2.0848200000000001E-6</v>
      </c>
      <c r="I2031">
        <v>234.3827</v>
      </c>
      <c r="J2031">
        <v>-493.43020000000001</v>
      </c>
      <c r="K2031">
        <v>1.1076280000000001</v>
      </c>
      <c r="L2031">
        <v>260.22649999999999</v>
      </c>
      <c r="M2031">
        <v>-8.8015479999999993E-2</v>
      </c>
      <c r="N2031">
        <v>0</v>
      </c>
      <c r="O2031">
        <v>-0.99608209999999997</v>
      </c>
      <c r="P2031">
        <v>7.6799439999999997E-2</v>
      </c>
      <c r="Q2031">
        <v>-5.4431180000000003E-3</v>
      </c>
      <c r="R2031">
        <v>-0.99703169999999997</v>
      </c>
      <c r="S2031">
        <v>0.42205809999999999</v>
      </c>
      <c r="T2031">
        <v>-0.12677430000000001</v>
      </c>
      <c r="U2031">
        <v>-2.9774479999999999</v>
      </c>
      <c r="V2031">
        <v>-0.16427919999999999</v>
      </c>
      <c r="W2031">
        <v>1.577202E-3</v>
      </c>
      <c r="X2031">
        <v>0.98641259999999997</v>
      </c>
      <c r="Y2031">
        <v>-0.226828899999999</v>
      </c>
      <c r="Z2031">
        <v>4.152981E-2</v>
      </c>
      <c r="AA2031">
        <v>0.97304880000000005</v>
      </c>
      <c r="AB2031">
        <v>18</v>
      </c>
      <c r="AC2031">
        <v>3.6958000000000202</v>
      </c>
      <c r="AD2031">
        <v>-1.10763008482</v>
      </c>
      <c r="AE2031">
        <v>-25.843799999999899</v>
      </c>
      <c r="AF2031">
        <v>-5.9454920638857303</v>
      </c>
      <c r="AG2031">
        <v>-1.10763008482</v>
      </c>
      <c r="AH2031">
        <v>25.372524128884901</v>
      </c>
      <c r="AI2031">
        <v>92.433799296567202</v>
      </c>
      <c r="AJ2031">
        <v>103.18805635805499</v>
      </c>
      <c r="AK2031">
        <v>26.083341445401</v>
      </c>
    </row>
    <row r="2032" spans="1:37" x14ac:dyDescent="0.2">
      <c r="A2032" t="str">
        <f>"20200111160149371"</f>
        <v>20200111160149371</v>
      </c>
      <c r="B2032" t="str">
        <f>"1578729709363696"</f>
        <v>1578729709363696</v>
      </c>
      <c r="C2032" t="s">
        <v>37</v>
      </c>
      <c r="D2032">
        <v>4.611783</v>
      </c>
      <c r="E2032">
        <v>0.47468529999999998</v>
      </c>
      <c r="F2032" t="s">
        <v>38</v>
      </c>
      <c r="G2032">
        <v>-489.76369999999997</v>
      </c>
      <c r="H2032" s="1">
        <v>-2.5557189999999998E-6</v>
      </c>
      <c r="I2032">
        <v>235.49250000000001</v>
      </c>
      <c r="J2032">
        <v>-493.4375</v>
      </c>
      <c r="K2032">
        <v>1.107448</v>
      </c>
      <c r="L2032">
        <v>260.03820000000002</v>
      </c>
      <c r="M2032">
        <v>-8.0244999999999997E-2</v>
      </c>
      <c r="N2032">
        <v>0</v>
      </c>
      <c r="O2032">
        <v>-0.99673969999999901</v>
      </c>
      <c r="P2032">
        <v>8.5277210000000006E-2</v>
      </c>
      <c r="Q2032">
        <v>-4.3132350000000003E-3</v>
      </c>
      <c r="R2032">
        <v>-0.99634809999999996</v>
      </c>
      <c r="S2032">
        <v>0.44088749999999999</v>
      </c>
      <c r="T2032">
        <v>-0.13319020000000001</v>
      </c>
      <c r="U2032">
        <v>-2.9742130000000002</v>
      </c>
      <c r="V2032">
        <v>-0.164985299999999</v>
      </c>
      <c r="W2032">
        <v>2.588094E-3</v>
      </c>
      <c r="X2032">
        <v>0.98629270000000002</v>
      </c>
      <c r="Y2032">
        <v>-0.225400299999999</v>
      </c>
      <c r="Z2032">
        <v>4.3705969999999997E-2</v>
      </c>
      <c r="AA2032">
        <v>0.97328539999999997</v>
      </c>
      <c r="AB2032">
        <v>18</v>
      </c>
      <c r="AC2032">
        <v>3.6738000000000199</v>
      </c>
      <c r="AD2032">
        <v>-1.107450555719</v>
      </c>
      <c r="AE2032">
        <v>-24.5457</v>
      </c>
      <c r="AF2032">
        <v>-5.6205005729523796</v>
      </c>
      <c r="AG2032">
        <v>-1.107450555719</v>
      </c>
      <c r="AH2032">
        <v>24.123693353734001</v>
      </c>
      <c r="AI2032">
        <v>92.559973591798794</v>
      </c>
      <c r="AJ2032">
        <v>103.115187657248</v>
      </c>
      <c r="AK2032">
        <v>24.794536786334799</v>
      </c>
    </row>
    <row r="2033" spans="1:37" x14ac:dyDescent="0.2">
      <c r="A2033" t="str">
        <f>"20200111160149393"</f>
        <v>20200111160149393</v>
      </c>
      <c r="B2033" t="str">
        <f>"1578729709383216"</f>
        <v>1578729709383216</v>
      </c>
      <c r="C2033" t="s">
        <v>37</v>
      </c>
      <c r="D2033">
        <v>4.4509189999999998</v>
      </c>
      <c r="E2033">
        <v>0.47540959999999899</v>
      </c>
      <c r="F2033" t="s">
        <v>38</v>
      </c>
      <c r="G2033">
        <v>-489.54219999999998</v>
      </c>
      <c r="H2033" s="1">
        <v>-2.346244E-6</v>
      </c>
      <c r="I2033">
        <v>234.9126</v>
      </c>
      <c r="J2033">
        <v>-493.44349999999997</v>
      </c>
      <c r="K2033">
        <v>1.1072569999999999</v>
      </c>
      <c r="L2033">
        <v>259.85640000000001</v>
      </c>
      <c r="M2033">
        <v>-7.3090740000000001E-2</v>
      </c>
      <c r="N2033">
        <v>0</v>
      </c>
      <c r="O2033">
        <v>-0.99729140000000005</v>
      </c>
      <c r="P2033">
        <v>9.3079419999999996E-2</v>
      </c>
      <c r="Q2033">
        <v>-1.445857E-3</v>
      </c>
      <c r="R2033">
        <v>-0.99565740000000003</v>
      </c>
      <c r="S2033">
        <v>0.46060180000000001</v>
      </c>
      <c r="T2033">
        <v>-0.13095080000000001</v>
      </c>
      <c r="U2033">
        <v>-2.9709779999999899</v>
      </c>
      <c r="V2033">
        <v>-0.165655</v>
      </c>
      <c r="W2033">
        <v>5.327979E-3</v>
      </c>
      <c r="X2033">
        <v>0.98616930000000003</v>
      </c>
      <c r="Y2033">
        <v>-0.22488079999999999</v>
      </c>
      <c r="Z2033">
        <v>4.3036339999999999E-2</v>
      </c>
      <c r="AA2033">
        <v>0.97343539999999995</v>
      </c>
      <c r="AB2033">
        <v>18</v>
      </c>
      <c r="AC2033">
        <v>3.9012999999999902</v>
      </c>
      <c r="AD2033">
        <v>-1.1072593462439999</v>
      </c>
      <c r="AE2033">
        <v>-24.9438</v>
      </c>
      <c r="AF2033">
        <v>-5.7031173219045996</v>
      </c>
      <c r="AG2033">
        <v>-1.1072593462439999</v>
      </c>
      <c r="AH2033">
        <v>24.544709467674998</v>
      </c>
      <c r="AI2033">
        <v>92.516034994862906</v>
      </c>
      <c r="AJ2033">
        <v>103.08092015245801</v>
      </c>
      <c r="AK2033">
        <v>25.222893039852298</v>
      </c>
    </row>
    <row r="2034" spans="1:37" x14ac:dyDescent="0.2">
      <c r="A2034" t="str">
        <f>"20200111160149418"</f>
        <v>20200111160149418</v>
      </c>
      <c r="B2034" t="str">
        <f>"1578729709413473"</f>
        <v>1578729709413473</v>
      </c>
      <c r="C2034" t="s">
        <v>37</v>
      </c>
      <c r="D2034">
        <v>4.4595339999999997</v>
      </c>
      <c r="E2034">
        <v>0.47641640000000002</v>
      </c>
      <c r="F2034" t="s">
        <v>38</v>
      </c>
      <c r="G2034">
        <v>-489.22059999999999</v>
      </c>
      <c r="H2034" s="1">
        <v>-1.8485449999999999E-6</v>
      </c>
      <c r="I2034">
        <v>233.61949999999999</v>
      </c>
      <c r="J2034">
        <v>-493.44920000000002</v>
      </c>
      <c r="K2034">
        <v>1.1070629999999999</v>
      </c>
      <c r="L2034">
        <v>259.6533</v>
      </c>
      <c r="M2034">
        <v>-6.546101E-2</v>
      </c>
      <c r="N2034">
        <v>0</v>
      </c>
      <c r="O2034">
        <v>-0.99782309999999996</v>
      </c>
      <c r="P2034">
        <v>0.1006577</v>
      </c>
      <c r="Q2034">
        <v>2.5456719999999999E-4</v>
      </c>
      <c r="R2034">
        <v>-0.994921099999999</v>
      </c>
      <c r="S2034">
        <v>0.47775269999999997</v>
      </c>
      <c r="T2034">
        <v>-0.1252664</v>
      </c>
      <c r="U2034">
        <v>-2.9682309999999998</v>
      </c>
      <c r="V2034">
        <v>-0.16563039999999901</v>
      </c>
      <c r="W2034">
        <v>6.88434599999999E-3</v>
      </c>
      <c r="X2034">
        <v>0.98616389999999998</v>
      </c>
      <c r="Y2034">
        <v>-0.223064399999999</v>
      </c>
      <c r="Z2034">
        <v>4.1232820000000003E-2</v>
      </c>
      <c r="AA2034">
        <v>0.97393130000000006</v>
      </c>
      <c r="AB2034">
        <v>18</v>
      </c>
      <c r="AC2034">
        <v>4.2286000000000197</v>
      </c>
      <c r="AD2034">
        <v>-1.1070648485449901</v>
      </c>
      <c r="AE2034">
        <v>-26.033799999999999</v>
      </c>
      <c r="AF2034">
        <v>-5.9133646338194996</v>
      </c>
      <c r="AG2034">
        <v>-1.1070648485449901</v>
      </c>
      <c r="AH2034">
        <v>25.655938817146399</v>
      </c>
      <c r="AI2034">
        <v>92.407754511467701</v>
      </c>
      <c r="AJ2034">
        <v>102.979271868601</v>
      </c>
      <c r="AK2034">
        <v>26.351862751246902</v>
      </c>
    </row>
    <row r="2035" spans="1:37" x14ac:dyDescent="0.2">
      <c r="A2035" t="str">
        <f>"20200111160149438"</f>
        <v>20200111160149438</v>
      </c>
      <c r="B2035" t="str">
        <f>"1578729709432993"</f>
        <v>1578729709432993</v>
      </c>
      <c r="C2035" t="s">
        <v>37</v>
      </c>
      <c r="D2035">
        <v>4.4579360000000001</v>
      </c>
      <c r="E2035">
        <v>0.47737299999999899</v>
      </c>
      <c r="F2035" t="s">
        <v>38</v>
      </c>
      <c r="G2035">
        <v>-489.00819999999999</v>
      </c>
      <c r="H2035" s="1">
        <v>-1.5733269999999999E-6</v>
      </c>
      <c r="I2035">
        <v>232.89009999999999</v>
      </c>
      <c r="J2035">
        <v>-493.45299999999997</v>
      </c>
      <c r="K2035">
        <v>1.1069020000000001</v>
      </c>
      <c r="L2035">
        <v>259.48939999999999</v>
      </c>
      <c r="M2035">
        <v>-5.9594349999999997E-2</v>
      </c>
      <c r="N2035">
        <v>0</v>
      </c>
      <c r="O2035">
        <v>-0.99819210000000003</v>
      </c>
      <c r="P2035">
        <v>0.106185899999999</v>
      </c>
      <c r="Q2035">
        <v>3.279375E-4</v>
      </c>
      <c r="R2035">
        <v>-0.99434639999999996</v>
      </c>
      <c r="S2035">
        <v>0.49209589999999998</v>
      </c>
      <c r="T2035">
        <v>-0.122670499999999</v>
      </c>
      <c r="U2035">
        <v>-2.9655459999999998</v>
      </c>
      <c r="V2035">
        <v>-0.16531119999999999</v>
      </c>
      <c r="W2035">
        <v>6.8366640000000001E-3</v>
      </c>
      <c r="X2035">
        <v>0.98621769999999997</v>
      </c>
      <c r="Y2035">
        <v>-0.22206590000000001</v>
      </c>
      <c r="Z2035">
        <v>4.0427570000000003E-2</v>
      </c>
      <c r="AA2035">
        <v>0.97419319999999898</v>
      </c>
      <c r="AB2035">
        <v>19</v>
      </c>
      <c r="AC2035">
        <v>4.4448000000000398</v>
      </c>
      <c r="AD2035">
        <v>-1.1069035733270001</v>
      </c>
      <c r="AE2035">
        <v>-26.599299999999999</v>
      </c>
      <c r="AF2035">
        <v>-6.0119877513792099</v>
      </c>
      <c r="AG2035">
        <v>-1.1069035733270001</v>
      </c>
      <c r="AH2035">
        <v>26.2429174881654</v>
      </c>
      <c r="AI2035">
        <v>92.354335780185394</v>
      </c>
      <c r="AJ2035">
        <v>102.90323050927</v>
      </c>
      <c r="AK2035">
        <v>26.945499634150998</v>
      </c>
    </row>
    <row r="2036" spans="1:37" x14ac:dyDescent="0.2">
      <c r="A2036" t="str">
        <f>"20200111160149461"</f>
        <v>20200111160149461</v>
      </c>
      <c r="B2036" t="str">
        <f>"1578729709453488"</f>
        <v>1578729709453488</v>
      </c>
      <c r="C2036" t="s">
        <v>37</v>
      </c>
      <c r="D2036">
        <v>4.5018440000000002</v>
      </c>
      <c r="E2036">
        <v>0.47835280000000002</v>
      </c>
      <c r="F2036" t="s">
        <v>38</v>
      </c>
      <c r="G2036">
        <v>-489.04140000000001</v>
      </c>
      <c r="H2036" s="1">
        <v>-1.7758669999999999E-6</v>
      </c>
      <c r="I2036">
        <v>233.37599999999901</v>
      </c>
      <c r="J2036">
        <v>-493.45659999999998</v>
      </c>
      <c r="K2036">
        <v>1.1066959999999999</v>
      </c>
      <c r="L2036">
        <v>259.30189999999999</v>
      </c>
      <c r="M2036">
        <v>-5.3265599999999899E-2</v>
      </c>
      <c r="N2036">
        <v>0</v>
      </c>
      <c r="O2036">
        <v>-0.99855149999999904</v>
      </c>
      <c r="P2036">
        <v>0.1115617</v>
      </c>
      <c r="Q2036">
        <v>-3.9957730000000002E-4</v>
      </c>
      <c r="R2036">
        <v>-0.99375759999999902</v>
      </c>
      <c r="S2036">
        <v>0.50067139999999999</v>
      </c>
      <c r="T2036">
        <v>-0.12562180000000001</v>
      </c>
      <c r="U2036">
        <v>-2.9635929999999999</v>
      </c>
      <c r="V2036">
        <v>-0.16438320000000001</v>
      </c>
      <c r="W2036">
        <v>5.9593010000000002E-3</v>
      </c>
      <c r="X2036">
        <v>0.98637859999999999</v>
      </c>
      <c r="Y2036">
        <v>-0.21872269999999999</v>
      </c>
      <c r="Z2036">
        <v>4.1454049999999999E-2</v>
      </c>
      <c r="AA2036">
        <v>0.9749061</v>
      </c>
      <c r="AB2036">
        <v>19</v>
      </c>
      <c r="AC2036">
        <v>4.4151999999999596</v>
      </c>
      <c r="AD2036">
        <v>-1.10669777586699</v>
      </c>
      <c r="AE2036">
        <v>-25.925899999999999</v>
      </c>
      <c r="AF2036">
        <v>-5.7796953882074504</v>
      </c>
      <c r="AG2036">
        <v>-1.10669777586699</v>
      </c>
      <c r="AH2036">
        <v>25.608559787604801</v>
      </c>
      <c r="AI2036">
        <v>92.413909365718794</v>
      </c>
      <c r="AJ2036">
        <v>102.71821893237799</v>
      </c>
      <c r="AK2036">
        <v>26.275996520453901</v>
      </c>
    </row>
    <row r="2037" spans="1:37" x14ac:dyDescent="0.2">
      <c r="A2037" t="str">
        <f>"20200111160149483"</f>
        <v>20200111160149483</v>
      </c>
      <c r="B2037" t="str">
        <f>"1578729709473749"</f>
        <v>1578729709473749</v>
      </c>
      <c r="C2037" t="s">
        <v>37</v>
      </c>
      <c r="D2037">
        <v>4.5302769999999999</v>
      </c>
      <c r="E2037">
        <v>0.479126099999999</v>
      </c>
      <c r="F2037" t="s">
        <v>38</v>
      </c>
      <c r="G2037">
        <v>-489.15710000000001</v>
      </c>
      <c r="H2037" s="1">
        <v>-2.1385369999999999E-6</v>
      </c>
      <c r="I2037">
        <v>234.26920000000001</v>
      </c>
      <c r="J2037">
        <v>-493.45949999999999</v>
      </c>
      <c r="K2037">
        <v>1.1064419999999999</v>
      </c>
      <c r="L2037">
        <v>259.11090000000002</v>
      </c>
      <c r="M2037">
        <v>-4.7275490000000003E-2</v>
      </c>
      <c r="N2037">
        <v>0</v>
      </c>
      <c r="O2037">
        <v>-0.99885489999999999</v>
      </c>
      <c r="P2037">
        <v>0.1163706</v>
      </c>
      <c r="Q2037">
        <v>-9.5693269999999999E-4</v>
      </c>
      <c r="R2037">
        <v>-0.99320549999999996</v>
      </c>
      <c r="S2037">
        <v>0.50869750000000002</v>
      </c>
      <c r="T2037">
        <v>-0.13093830000000001</v>
      </c>
      <c r="U2037">
        <v>-2.9617309999999999</v>
      </c>
      <c r="V2037">
        <v>-0.163233399999999</v>
      </c>
      <c r="W2037">
        <v>5.2307050000000004E-3</v>
      </c>
      <c r="X2037">
        <v>0.98657359999999905</v>
      </c>
      <c r="Y2037">
        <v>-0.2155242</v>
      </c>
      <c r="Z2037">
        <v>4.3257589999999999E-2</v>
      </c>
      <c r="AA2037">
        <v>0.97553989999999902</v>
      </c>
      <c r="AB2037">
        <v>19</v>
      </c>
      <c r="AC2037">
        <v>4.3023999999999702</v>
      </c>
      <c r="AD2037">
        <v>-1.1064441385370001</v>
      </c>
      <c r="AE2037">
        <v>-24.841699999999999</v>
      </c>
      <c r="AF2037">
        <v>-5.4615054082342098</v>
      </c>
      <c r="AG2037">
        <v>-1.1064441385370001</v>
      </c>
      <c r="AH2037">
        <v>24.5632099195542</v>
      </c>
      <c r="AI2037">
        <v>92.517729693558294</v>
      </c>
      <c r="AJ2037">
        <v>102.535507804029</v>
      </c>
      <c r="AK2037">
        <v>25.187368689642</v>
      </c>
    </row>
    <row r="2038" spans="1:37" x14ac:dyDescent="0.2">
      <c r="A2038" t="str">
        <f>"20200111160149504"</f>
        <v>20200111160149504</v>
      </c>
      <c r="B2038" t="str">
        <f>"1578729709493268"</f>
        <v>1578729709493268</v>
      </c>
      <c r="C2038" t="s">
        <v>37</v>
      </c>
      <c r="D2038">
        <v>4.5653809999999897</v>
      </c>
      <c r="E2038">
        <v>0.49883339999999998</v>
      </c>
      <c r="F2038" t="s">
        <v>38</v>
      </c>
      <c r="G2038">
        <v>-489.22199999999998</v>
      </c>
      <c r="H2038" s="1">
        <v>-2.3785900000000001E-6</v>
      </c>
      <c r="I2038">
        <v>234.85570000000001</v>
      </c>
      <c r="J2038">
        <v>-493.46179999999998</v>
      </c>
      <c r="K2038">
        <v>1.106158</v>
      </c>
      <c r="L2038">
        <v>258.92910000000001</v>
      </c>
      <c r="M2038">
        <v>-4.2037690000000003E-2</v>
      </c>
      <c r="N2038">
        <v>0</v>
      </c>
      <c r="O2038">
        <v>-0.99909099999999995</v>
      </c>
      <c r="P2038">
        <v>0.12060650000000001</v>
      </c>
      <c r="Q2038">
        <v>-2.51702E-3</v>
      </c>
      <c r="R2038">
        <v>-0.99269719999999995</v>
      </c>
      <c r="S2038">
        <v>0.51708980000000004</v>
      </c>
      <c r="T2038">
        <v>-0.13501669999999999</v>
      </c>
      <c r="U2038">
        <v>-2.9598080000000002</v>
      </c>
      <c r="V2038">
        <v>-0.16225499999999901</v>
      </c>
      <c r="W2038">
        <v>3.4969419999999998E-3</v>
      </c>
      <c r="X2038">
        <v>0.98674269999999997</v>
      </c>
      <c r="Y2038">
        <v>-0.2131844</v>
      </c>
      <c r="Z2038">
        <v>4.4647560000000003E-2</v>
      </c>
      <c r="AA2038">
        <v>0.97599130000000001</v>
      </c>
      <c r="AB2038">
        <v>19</v>
      </c>
      <c r="AC2038">
        <v>4.2397999999999998</v>
      </c>
      <c r="AD2038">
        <v>-1.10616037859</v>
      </c>
      <c r="AE2038">
        <v>-24.0733999999999</v>
      </c>
      <c r="AF2038">
        <v>-5.2373421541198804</v>
      </c>
      <c r="AG2038">
        <v>-1.10616037859</v>
      </c>
      <c r="AH2038">
        <v>23.8250929454383</v>
      </c>
      <c r="AI2038">
        <v>92.596337779517697</v>
      </c>
      <c r="AJ2038">
        <v>102.397833883597</v>
      </c>
      <c r="AK2038">
        <v>24.419017127666201</v>
      </c>
    </row>
    <row r="2039" spans="1:37" x14ac:dyDescent="0.2">
      <c r="A2039" t="str">
        <f>"20200111160149528"</f>
        <v>20200111160149528</v>
      </c>
      <c r="B2039" t="str">
        <f>"1578729709523525"</f>
        <v>1578729709523525</v>
      </c>
      <c r="C2039" t="s">
        <v>37</v>
      </c>
      <c r="D2039">
        <v>4.6118519999999998</v>
      </c>
      <c r="E2039">
        <v>0.49966650000000001</v>
      </c>
      <c r="F2039" t="s">
        <v>38</v>
      </c>
      <c r="G2039">
        <v>-491.27330000000001</v>
      </c>
      <c r="H2039" s="1">
        <v>-1.162927E-6</v>
      </c>
      <c r="I2039">
        <v>241.5102</v>
      </c>
      <c r="J2039">
        <v>-493.46379999999999</v>
      </c>
      <c r="K2039">
        <v>1.10581</v>
      </c>
      <c r="L2039">
        <v>258.73379999999997</v>
      </c>
      <c r="M2039">
        <v>-3.6935179999999998E-2</v>
      </c>
      <c r="N2039">
        <v>0</v>
      </c>
      <c r="O2039">
        <v>-0.99929489999999999</v>
      </c>
      <c r="P2039">
        <v>0.125073499999999</v>
      </c>
      <c r="Q2039">
        <v>-4.8551389999999996E-3</v>
      </c>
      <c r="R2039">
        <v>-0.99213569999999995</v>
      </c>
      <c r="S2039">
        <v>0.37393189999999998</v>
      </c>
      <c r="T2039">
        <v>-0.18899630000000001</v>
      </c>
      <c r="U2039">
        <v>-2.9761660000000001</v>
      </c>
      <c r="V2039">
        <v>-0.16164100000000001</v>
      </c>
      <c r="W2039">
        <v>9.6637410000000002E-4</v>
      </c>
      <c r="X2039">
        <v>0.98684910000000003</v>
      </c>
      <c r="Y2039">
        <v>-0.16097929999999999</v>
      </c>
      <c r="Z2039">
        <v>6.2652009999999994E-2</v>
      </c>
      <c r="AA2039">
        <v>0.98496719999999904</v>
      </c>
      <c r="AB2039">
        <v>19</v>
      </c>
      <c r="AC2039">
        <v>2.1904999999999801</v>
      </c>
      <c r="AD2039">
        <v>-1.105811162927</v>
      </c>
      <c r="AE2039">
        <v>-17.223599999999902</v>
      </c>
      <c r="AF2039">
        <v>-2.8137626363736001</v>
      </c>
      <c r="AG2039">
        <v>-1.105811162927</v>
      </c>
      <c r="AH2039">
        <v>17.0617288452762</v>
      </c>
      <c r="AI2039">
        <v>93.659001887447403</v>
      </c>
      <c r="AJ2039">
        <v>99.364734274816698</v>
      </c>
      <c r="AK2039">
        <v>17.327511930211902</v>
      </c>
    </row>
    <row r="2040" spans="1:37" x14ac:dyDescent="0.2">
      <c r="A2040" t="str">
        <f>"20200111160149549"</f>
        <v>20200111160149549</v>
      </c>
      <c r="B2040" t="str">
        <f>"1578729709543044"</f>
        <v>1578729709543044</v>
      </c>
      <c r="C2040" t="s">
        <v>37</v>
      </c>
      <c r="D2040">
        <v>4.7082569999999997</v>
      </c>
      <c r="E2040">
        <v>0.49980999999999998</v>
      </c>
      <c r="F2040" t="s">
        <v>38</v>
      </c>
      <c r="G2040">
        <v>-491.3614</v>
      </c>
      <c r="H2040" s="1">
        <v>-1.527149E-6</v>
      </c>
      <c r="I2040">
        <v>242.30449999999999</v>
      </c>
      <c r="J2040">
        <v>-493.46550000000002</v>
      </c>
      <c r="K2040">
        <v>1.105453</v>
      </c>
      <c r="L2040">
        <v>258.54509999999999</v>
      </c>
      <c r="M2040">
        <v>-3.2587629999999999E-2</v>
      </c>
      <c r="N2040">
        <v>0</v>
      </c>
      <c r="O2040">
        <v>-0.99944809999999995</v>
      </c>
      <c r="P2040">
        <v>0.12880179999999999</v>
      </c>
      <c r="Q2040">
        <v>-7.2394340000000003E-3</v>
      </c>
      <c r="R2040">
        <v>-0.99164409999999903</v>
      </c>
      <c r="S2040">
        <v>0.38067629999999902</v>
      </c>
      <c r="T2040">
        <v>-0.2002285</v>
      </c>
      <c r="U2040">
        <v>-2.9748380000000001</v>
      </c>
      <c r="V2040">
        <v>-0.16104370000000001</v>
      </c>
      <c r="W2040">
        <v>-1.604477E-3</v>
      </c>
      <c r="X2040">
        <v>0.98694599999999899</v>
      </c>
      <c r="Y2040">
        <v>-0.15890689999999999</v>
      </c>
      <c r="Z2040">
        <v>6.6405560000000002E-2</v>
      </c>
      <c r="AA2040">
        <v>0.98505779999999998</v>
      </c>
      <c r="AB2040">
        <v>19</v>
      </c>
      <c r="AC2040">
        <v>2.1041000000000101</v>
      </c>
      <c r="AD2040">
        <v>-1.1054545271489999</v>
      </c>
      <c r="AE2040">
        <v>-16.240600000000001</v>
      </c>
      <c r="AF2040">
        <v>-2.6202962382669899</v>
      </c>
      <c r="AG2040">
        <v>-1.1054545271489999</v>
      </c>
      <c r="AH2040">
        <v>16.0900875585235</v>
      </c>
      <c r="AI2040">
        <v>93.879331702325601</v>
      </c>
      <c r="AJ2040">
        <v>99.249511154636295</v>
      </c>
      <c r="AK2040">
        <v>16.3394889677989</v>
      </c>
    </row>
    <row r="2041" spans="1:37" x14ac:dyDescent="0.2">
      <c r="A2041" t="str">
        <f>"20200111160149596"</f>
        <v>20200111160149596</v>
      </c>
      <c r="B2041" t="str">
        <f>"1578729709593389"</f>
        <v>1578729709593389</v>
      </c>
      <c r="C2041" t="s">
        <v>37</v>
      </c>
      <c r="D2041">
        <v>4.8340709999999998</v>
      </c>
      <c r="E2041">
        <v>0.50169520000000001</v>
      </c>
      <c r="F2041" t="s">
        <v>38</v>
      </c>
      <c r="G2041">
        <v>-491.46699999999998</v>
      </c>
      <c r="H2041" s="1">
        <v>-1.9883429999999998E-6</v>
      </c>
      <c r="I2041">
        <v>243.3141</v>
      </c>
      <c r="J2041">
        <v>-493.46870000000001</v>
      </c>
      <c r="K2041">
        <v>1.1047199999999999</v>
      </c>
      <c r="L2041">
        <v>258.14929999999998</v>
      </c>
      <c r="M2041">
        <v>-2.5335710000000001E-2</v>
      </c>
      <c r="N2041">
        <v>0</v>
      </c>
      <c r="O2041">
        <v>-0.9996623</v>
      </c>
      <c r="P2041">
        <v>0.13640650000000001</v>
      </c>
      <c r="Q2041">
        <v>-9.8255340000000004E-3</v>
      </c>
      <c r="R2041">
        <v>-0.9906045</v>
      </c>
      <c r="S2041">
        <v>0.39010620000000001</v>
      </c>
      <c r="T2041">
        <v>-0.2157811</v>
      </c>
      <c r="U2041">
        <v>-2.9730379999999998</v>
      </c>
      <c r="V2041">
        <v>-0.161447799999999</v>
      </c>
      <c r="W2041">
        <v>-4.5934399999999998E-3</v>
      </c>
      <c r="X2041">
        <v>0.98687060000000004</v>
      </c>
      <c r="Y2041">
        <v>-0.15484400000000001</v>
      </c>
      <c r="Z2041">
        <v>7.1612060000000005E-2</v>
      </c>
      <c r="AA2041">
        <v>0.98534009999999905</v>
      </c>
      <c r="AB2041">
        <v>20</v>
      </c>
      <c r="AC2041">
        <v>2.00170000000002</v>
      </c>
      <c r="AD2041">
        <v>-1.1047219883429999</v>
      </c>
      <c r="AE2041">
        <v>-14.835199999999899</v>
      </c>
      <c r="AF2041">
        <v>-2.3640492425523898</v>
      </c>
      <c r="AG2041">
        <v>-1.1047219883429999</v>
      </c>
      <c r="AH2041">
        <v>14.6996669111861</v>
      </c>
      <c r="AI2041">
        <v>94.243538009032605</v>
      </c>
      <c r="AJ2041">
        <v>99.136266312501405</v>
      </c>
      <c r="AK2041">
        <v>14.9294791199345</v>
      </c>
    </row>
    <row r="2042" spans="1:37" x14ac:dyDescent="0.2">
      <c r="A2042" t="str">
        <f>"20200111160149616"</f>
        <v>20200111160149616</v>
      </c>
      <c r="B2042" t="str">
        <f>"1578729709613886"</f>
        <v>1578729709613886</v>
      </c>
      <c r="C2042" t="s">
        <v>37</v>
      </c>
      <c r="D2042">
        <v>4.7635769999999997</v>
      </c>
      <c r="E2042">
        <v>0.50266949999999999</v>
      </c>
      <c r="F2042" t="s">
        <v>38</v>
      </c>
      <c r="G2042">
        <v>-491.51069999999999</v>
      </c>
      <c r="H2042" s="1">
        <v>-2.082017E-6</v>
      </c>
      <c r="I2042">
        <v>243.50530000000001</v>
      </c>
      <c r="J2042">
        <v>-493.4701</v>
      </c>
      <c r="K2042">
        <v>1.1044339999999999</v>
      </c>
      <c r="L2042">
        <v>257.96230000000003</v>
      </c>
      <c r="M2042">
        <v>-2.265785E-2</v>
      </c>
      <c r="N2042">
        <v>0</v>
      </c>
      <c r="O2042">
        <v>-0.99972830000000001</v>
      </c>
      <c r="P2042">
        <v>0.13891679999999901</v>
      </c>
      <c r="Q2042">
        <v>-1.0718409999999999E-2</v>
      </c>
      <c r="R2042">
        <v>-0.99024619999999997</v>
      </c>
      <c r="S2042">
        <v>0.3973083</v>
      </c>
      <c r="T2042">
        <v>-0.22417100000000001</v>
      </c>
      <c r="U2042">
        <v>-2.9715579999999999</v>
      </c>
      <c r="V2042">
        <v>-0.16130529999999901</v>
      </c>
      <c r="W2042">
        <v>-5.6816530000000001E-3</v>
      </c>
      <c r="X2042">
        <v>0.98688819999999999</v>
      </c>
      <c r="Y2042">
        <v>-0.15458089999999999</v>
      </c>
      <c r="Z2042">
        <v>7.4414720000000004E-2</v>
      </c>
      <c r="AA2042">
        <v>0.98517369999999904</v>
      </c>
      <c r="AB2042">
        <v>20</v>
      </c>
      <c r="AC2042">
        <v>1.95940000000001</v>
      </c>
      <c r="AD2042">
        <v>-1.1044360820169901</v>
      </c>
      <c r="AE2042">
        <v>-14.457000000000001</v>
      </c>
      <c r="AF2042">
        <v>-2.2734376604359698</v>
      </c>
      <c r="AG2042">
        <v>-1.1044360820169901</v>
      </c>
      <c r="AH2042">
        <v>14.326787235100699</v>
      </c>
      <c r="AI2042">
        <v>94.353886730576903</v>
      </c>
      <c r="AJ2042">
        <v>99.016765158271497</v>
      </c>
      <c r="AK2042">
        <v>14.5480284002677</v>
      </c>
    </row>
    <row r="2043" spans="1:37" x14ac:dyDescent="0.2">
      <c r="A2043" t="str">
        <f>"20200111160149639"</f>
        <v>20200111160149639</v>
      </c>
      <c r="B2043" t="str">
        <f>"1578729709633405"</f>
        <v>1578729709633405</v>
      </c>
      <c r="C2043" t="s">
        <v>37</v>
      </c>
      <c r="D2043">
        <v>4.8389009999999999</v>
      </c>
      <c r="E2043">
        <v>0.5025925</v>
      </c>
      <c r="F2043" t="s">
        <v>38</v>
      </c>
      <c r="G2043">
        <v>-491.44569999999999</v>
      </c>
      <c r="H2043" s="1">
        <v>-1.761247E-6</v>
      </c>
      <c r="I2043">
        <v>242.798</v>
      </c>
      <c r="J2043">
        <v>-493.4717</v>
      </c>
      <c r="K2043">
        <v>1.1041259999999999</v>
      </c>
      <c r="L2043">
        <v>257.75850000000003</v>
      </c>
      <c r="M2043">
        <v>-2.031312E-2</v>
      </c>
      <c r="N2043">
        <v>0</v>
      </c>
      <c r="O2043">
        <v>-0.99978040000000001</v>
      </c>
      <c r="P2043">
        <v>0.1407969</v>
      </c>
      <c r="Q2043">
        <v>-1.2789170000000001E-2</v>
      </c>
      <c r="R2043">
        <v>-0.98995610000000001</v>
      </c>
      <c r="S2043">
        <v>0.396698</v>
      </c>
      <c r="T2043">
        <v>-0.21642169999999999</v>
      </c>
      <c r="U2043">
        <v>-2.9715579999999999</v>
      </c>
      <c r="V2043">
        <v>-0.1608637</v>
      </c>
      <c r="W2043">
        <v>-7.9601419999999999E-3</v>
      </c>
      <c r="X2043">
        <v>0.98694459999999995</v>
      </c>
      <c r="Y2043">
        <v>-0.15208920000000001</v>
      </c>
      <c r="Z2043">
        <v>7.1876419999999996E-2</v>
      </c>
      <c r="AA2043">
        <v>0.98574980000000001</v>
      </c>
      <c r="AB2043">
        <v>20</v>
      </c>
      <c r="AC2043">
        <v>2.02600000000001</v>
      </c>
      <c r="AD2043">
        <v>-1.104127761247</v>
      </c>
      <c r="AE2043">
        <v>-14.9605</v>
      </c>
      <c r="AF2043">
        <v>-2.3170868586045601</v>
      </c>
      <c r="AG2043">
        <v>-1.104127761247</v>
      </c>
      <c r="AH2043">
        <v>14.8368990005849</v>
      </c>
      <c r="AI2043">
        <v>94.205189050641906</v>
      </c>
      <c r="AJ2043">
        <v>98.876216118628193</v>
      </c>
      <c r="AK2043">
        <v>15.0572760344304</v>
      </c>
    </row>
    <row r="2044" spans="1:37" x14ac:dyDescent="0.2">
      <c r="A2044" t="str">
        <f>"20200111160149661"</f>
        <v>20200111160149661</v>
      </c>
      <c r="B2044" t="str">
        <f>"1578729709652926"</f>
        <v>1578729709652926</v>
      </c>
      <c r="C2044" t="s">
        <v>37</v>
      </c>
      <c r="D2044">
        <v>4.7413980000000002</v>
      </c>
      <c r="E2044">
        <v>0.50240370000000001</v>
      </c>
      <c r="F2044" t="s">
        <v>38</v>
      </c>
      <c r="G2044">
        <v>-491.5009</v>
      </c>
      <c r="H2044" s="1">
        <v>-1.9621050000000002E-6</v>
      </c>
      <c r="I2044">
        <v>243.2319</v>
      </c>
      <c r="J2044">
        <v>-493.4735</v>
      </c>
      <c r="K2044">
        <v>1.103807</v>
      </c>
      <c r="L2044">
        <v>257.54969999999997</v>
      </c>
      <c r="M2044">
        <v>-1.8515589999999998E-2</v>
      </c>
      <c r="N2044">
        <v>0</v>
      </c>
      <c r="O2044">
        <v>-0.99981679999999995</v>
      </c>
      <c r="P2044">
        <v>0.14195929999999901</v>
      </c>
      <c r="Q2044">
        <v>-1.6129370000000001E-2</v>
      </c>
      <c r="R2044">
        <v>-0.98974130000000005</v>
      </c>
      <c r="S2044">
        <v>0.40295409999999998</v>
      </c>
      <c r="T2044">
        <v>-0.22575899999999999</v>
      </c>
      <c r="U2044">
        <v>-2.9702299999999999</v>
      </c>
      <c r="V2044">
        <v>-0.16024820000000001</v>
      </c>
      <c r="W2044">
        <v>-1.150052E-2</v>
      </c>
      <c r="X2044">
        <v>0.98700980000000005</v>
      </c>
      <c r="Y2044">
        <v>-0.15237870000000001</v>
      </c>
      <c r="Z2044">
        <v>7.4985029999999994E-2</v>
      </c>
      <c r="AA2044">
        <v>0.9854735</v>
      </c>
      <c r="AB2044">
        <v>20</v>
      </c>
      <c r="AC2044">
        <v>1.9725999999999999</v>
      </c>
      <c r="AD2044">
        <v>-1.103808962105</v>
      </c>
      <c r="AE2044">
        <v>-14.317799999999901</v>
      </c>
      <c r="AF2044">
        <v>-2.2243932666412398</v>
      </c>
      <c r="AG2044">
        <v>-1.103808962105</v>
      </c>
      <c r="AH2044">
        <v>14.196020171171099</v>
      </c>
      <c r="AI2044">
        <v>94.392692782282495</v>
      </c>
      <c r="AJ2044">
        <v>98.905341146254699</v>
      </c>
      <c r="AK2044">
        <v>14.4115685589667</v>
      </c>
    </row>
    <row r="2045" spans="1:37" x14ac:dyDescent="0.2">
      <c r="A2045" t="str">
        <f>"20200111160149684"</f>
        <v>20200111160149684</v>
      </c>
      <c r="B2045" t="str">
        <f>"1578729709673683"</f>
        <v>1578729709673683</v>
      </c>
      <c r="C2045" t="s">
        <v>37</v>
      </c>
      <c r="D2045">
        <v>4.9299470000000003</v>
      </c>
      <c r="E2045">
        <v>0.46673789999999998</v>
      </c>
      <c r="F2045" t="s">
        <v>38</v>
      </c>
      <c r="G2045">
        <v>-491.56990000000002</v>
      </c>
      <c r="H2045" s="1">
        <v>-2.1736210000000002E-6</v>
      </c>
      <c r="I2045">
        <v>243.68219999999999</v>
      </c>
      <c r="J2045">
        <v>-493.47550000000001</v>
      </c>
      <c r="K2045">
        <v>1.103497</v>
      </c>
      <c r="L2045">
        <v>257.34710000000001</v>
      </c>
      <c r="M2045">
        <v>-1.7325380000000001E-2</v>
      </c>
      <c r="N2045">
        <v>0</v>
      </c>
      <c r="O2045">
        <v>-0.999839699999999</v>
      </c>
      <c r="P2045">
        <v>0.143284299999999</v>
      </c>
      <c r="Q2045">
        <v>-1.8192429999999999E-2</v>
      </c>
      <c r="R2045">
        <v>-0.98951460000000002</v>
      </c>
      <c r="S2045">
        <v>0.4075317</v>
      </c>
      <c r="T2045">
        <v>-0.23630670000000001</v>
      </c>
      <c r="U2045">
        <v>-2.96879599999999</v>
      </c>
      <c r="V2045">
        <v>-0.16040090000000001</v>
      </c>
      <c r="W2045">
        <v>-1.3739400000000001E-2</v>
      </c>
      <c r="X2045">
        <v>0.98695630000000001</v>
      </c>
      <c r="Y2045">
        <v>-0.15272060000000001</v>
      </c>
      <c r="Z2045">
        <v>7.8496739999999995E-2</v>
      </c>
      <c r="AA2045">
        <v>0.98514709999999905</v>
      </c>
      <c r="AB2045">
        <v>20</v>
      </c>
      <c r="AC2045">
        <v>1.90559999999999</v>
      </c>
      <c r="AD2045">
        <v>-1.103499173621</v>
      </c>
      <c r="AE2045">
        <v>-13.664899999999999</v>
      </c>
      <c r="AF2045">
        <v>-2.1284505831573601</v>
      </c>
      <c r="AG2045">
        <v>-1.103499173621</v>
      </c>
      <c r="AH2045">
        <v>13.5431994540115</v>
      </c>
      <c r="AI2045">
        <v>94.601928311238893</v>
      </c>
      <c r="AJ2045">
        <v>98.9315542435059</v>
      </c>
      <c r="AK2045">
        <v>13.753772710142499</v>
      </c>
    </row>
    <row r="2046" spans="1:37" x14ac:dyDescent="0.2">
      <c r="A2046" t="str">
        <f>"20200111160149705"</f>
        <v>20200111160149705</v>
      </c>
      <c r="B2046" t="str">
        <f>"1578729709702964"</f>
        <v>1578729709702964</v>
      </c>
      <c r="C2046" t="s">
        <v>37</v>
      </c>
      <c r="D2046">
        <v>5.000699</v>
      </c>
      <c r="E2046">
        <v>0.45974729999999903</v>
      </c>
      <c r="F2046" t="s">
        <v>38</v>
      </c>
      <c r="G2046">
        <v>-490.13760000000002</v>
      </c>
      <c r="H2046" s="1">
        <v>-1.605418E-6</v>
      </c>
      <c r="I2046">
        <v>243.24599999999899</v>
      </c>
      <c r="J2046">
        <v>-493.4778</v>
      </c>
      <c r="K2046">
        <v>1.1032059999999999</v>
      </c>
      <c r="L2046">
        <v>257.15280000000001</v>
      </c>
      <c r="M2046">
        <v>-1.6666480000000001E-2</v>
      </c>
      <c r="N2046">
        <v>0</v>
      </c>
      <c r="O2046">
        <v>-0.99985190000000002</v>
      </c>
      <c r="P2046">
        <v>0.1454106</v>
      </c>
      <c r="Q2046">
        <v>-1.7344849999999998E-2</v>
      </c>
      <c r="R2046">
        <v>-0.98921949999999903</v>
      </c>
      <c r="S2046">
        <v>0.69293209999999905</v>
      </c>
      <c r="T2046">
        <v>-0.22907849999999999</v>
      </c>
      <c r="U2046">
        <v>-2.9272770000000001</v>
      </c>
      <c r="V2046">
        <v>-0.16188039999999901</v>
      </c>
      <c r="W2046">
        <v>-1.304378E-2</v>
      </c>
      <c r="X2046">
        <v>0.98672420000000005</v>
      </c>
      <c r="Y2046">
        <v>-0.24587339999999999</v>
      </c>
      <c r="Z2046">
        <v>7.5763449999999996E-2</v>
      </c>
      <c r="AA2046">
        <v>0.96633649999999904</v>
      </c>
      <c r="AB2046">
        <v>20</v>
      </c>
      <c r="AC2046">
        <v>3.3401999999999799</v>
      </c>
      <c r="AD2046">
        <v>-1.103207605418</v>
      </c>
      <c r="AE2046">
        <v>-13.9068</v>
      </c>
      <c r="AF2046">
        <v>-3.5503914779050798</v>
      </c>
      <c r="AG2046">
        <v>-1.103207605418</v>
      </c>
      <c r="AH2046">
        <v>13.7672859139594</v>
      </c>
      <c r="AI2046">
        <v>94.436910993776706</v>
      </c>
      <c r="AJ2046">
        <v>104.460708720442</v>
      </c>
      <c r="AK2046">
        <v>14.2604525911255</v>
      </c>
    </row>
    <row r="2047" spans="1:37" x14ac:dyDescent="0.2">
      <c r="A2047" t="str">
        <f>"20200111160149730"</f>
        <v>20200111160149730</v>
      </c>
      <c r="B2047" t="str">
        <f>"1578729709723461"</f>
        <v>1578729709723461</v>
      </c>
      <c r="C2047" t="s">
        <v>37</v>
      </c>
      <c r="D2047">
        <v>5.0984579999999999</v>
      </c>
      <c r="E2047">
        <v>0.45850200000000002</v>
      </c>
      <c r="F2047" t="s">
        <v>38</v>
      </c>
      <c r="G2047">
        <v>-489.81509999999997</v>
      </c>
      <c r="H2047" s="1">
        <v>-1.468867E-6</v>
      </c>
      <c r="I2047">
        <v>242.9803</v>
      </c>
      <c r="J2047">
        <v>-493.48090000000002</v>
      </c>
      <c r="K2047">
        <v>1.102903</v>
      </c>
      <c r="L2047">
        <v>256.93049999999999</v>
      </c>
      <c r="M2047">
        <v>-1.6432249999999999E-2</v>
      </c>
      <c r="N2047">
        <v>0</v>
      </c>
      <c r="O2047">
        <v>-0.99985689999999905</v>
      </c>
      <c r="P2047">
        <v>0.14751889999999901</v>
      </c>
      <c r="Q2047">
        <v>-1.261547E-2</v>
      </c>
      <c r="R2047">
        <v>-0.98897900000000005</v>
      </c>
      <c r="S2047">
        <v>0.75408940000000002</v>
      </c>
      <c r="T2047">
        <v>-0.22712950000000001</v>
      </c>
      <c r="U2047">
        <v>-2.917862</v>
      </c>
      <c r="V2047">
        <v>-0.1637585</v>
      </c>
      <c r="W2047">
        <v>-8.4736529999999994E-3</v>
      </c>
      <c r="X2047">
        <v>0.98646409999999995</v>
      </c>
      <c r="Y2047">
        <v>-0.26538869999999998</v>
      </c>
      <c r="Z2047">
        <v>7.4974550000000001E-2</v>
      </c>
      <c r="AA2047">
        <v>0.96122199999999902</v>
      </c>
      <c r="AB2047">
        <v>20</v>
      </c>
      <c r="AC2047">
        <v>3.6658000000000399</v>
      </c>
      <c r="AD2047">
        <v>-1.102904468867</v>
      </c>
      <c r="AE2047">
        <v>-13.950199999999899</v>
      </c>
      <c r="AF2047">
        <v>-3.8719019441285498</v>
      </c>
      <c r="AG2047">
        <v>-1.102904468867</v>
      </c>
      <c r="AH2047">
        <v>13.807350193425499</v>
      </c>
      <c r="AI2047">
        <v>94.398031611052701</v>
      </c>
      <c r="AJ2047">
        <v>105.664731136531</v>
      </c>
      <c r="AK2047">
        <v>14.382313523779199</v>
      </c>
    </row>
    <row r="2048" spans="1:37" x14ac:dyDescent="0.2">
      <c r="A2048" t="str">
        <f>"20200111160149751"</f>
        <v>20200111160149751</v>
      </c>
      <c r="B2048" t="str">
        <f>"1578729709742980"</f>
        <v>1578729709742980</v>
      </c>
      <c r="C2048" t="s">
        <v>37</v>
      </c>
      <c r="D2048">
        <v>4.9825309999999998</v>
      </c>
      <c r="E2048">
        <v>0.45780009999999999</v>
      </c>
      <c r="F2048" t="s">
        <v>38</v>
      </c>
      <c r="G2048">
        <v>-489.4341</v>
      </c>
      <c r="H2048" s="1">
        <v>-9.5153579999999997E-7</v>
      </c>
      <c r="I2048">
        <v>241.61689999999999</v>
      </c>
      <c r="J2048">
        <v>-493.48430000000002</v>
      </c>
      <c r="K2048">
        <v>1.102649</v>
      </c>
      <c r="L2048">
        <v>256.72280000000001</v>
      </c>
      <c r="M2048">
        <v>-1.6727570000000001E-2</v>
      </c>
      <c r="N2048">
        <v>0</v>
      </c>
      <c r="O2048">
        <v>-0.99985279999999999</v>
      </c>
      <c r="P2048">
        <v>0.148203799999999</v>
      </c>
      <c r="Q2048">
        <v>-6.8292630000000003E-3</v>
      </c>
      <c r="R2048">
        <v>-0.98893319999999996</v>
      </c>
      <c r="S2048">
        <v>0.77053830000000001</v>
      </c>
      <c r="T2048">
        <v>-0.210004</v>
      </c>
      <c r="U2048">
        <v>-2.9158629999999999</v>
      </c>
      <c r="V2048">
        <v>-0.1647303</v>
      </c>
      <c r="W2048">
        <v>-2.8310169999999999E-3</v>
      </c>
      <c r="X2048">
        <v>0.98633459999999995</v>
      </c>
      <c r="Y2048">
        <v>-0.27100930000000001</v>
      </c>
      <c r="Z2048">
        <v>6.929246E-2</v>
      </c>
      <c r="AA2048">
        <v>0.96007940000000003</v>
      </c>
      <c r="AB2048">
        <v>21</v>
      </c>
      <c r="AC2048">
        <v>4.05020000000001</v>
      </c>
      <c r="AD2048">
        <v>-1.1026499515357999</v>
      </c>
      <c r="AE2048">
        <v>-15.1059</v>
      </c>
      <c r="AF2048">
        <v>-4.2810396503649102</v>
      </c>
      <c r="AG2048">
        <v>-1.1026499515357999</v>
      </c>
      <c r="AH2048">
        <v>14.9616634237917</v>
      </c>
      <c r="AI2048">
        <v>94.052911725642403</v>
      </c>
      <c r="AJ2048">
        <v>105.96762299084899</v>
      </c>
      <c r="AK2048">
        <v>15.6011060444586</v>
      </c>
    </row>
    <row r="2049" spans="1:37" x14ac:dyDescent="0.2">
      <c r="A2049" t="str">
        <f>"20200111160149776"</f>
        <v>20200111160149776</v>
      </c>
      <c r="B2049" t="str">
        <f>"1578729709763475"</f>
        <v>1578729709763475</v>
      </c>
      <c r="C2049" t="s">
        <v>37</v>
      </c>
      <c r="D2049">
        <v>5.0042879999999998</v>
      </c>
      <c r="E2049">
        <v>0.45728350000000001</v>
      </c>
      <c r="F2049" t="s">
        <v>38</v>
      </c>
      <c r="G2049">
        <v>-488.95909999999998</v>
      </c>
      <c r="H2049" s="1">
        <v>-3.1538529999999901E-7</v>
      </c>
      <c r="I2049">
        <v>239.761</v>
      </c>
      <c r="J2049">
        <v>-493.48849999999999</v>
      </c>
      <c r="K2049">
        <v>1.1024320000000001</v>
      </c>
      <c r="L2049">
        <v>256.50299999999999</v>
      </c>
      <c r="M2049">
        <v>-1.742525E-2</v>
      </c>
      <c r="N2049">
        <v>0</v>
      </c>
      <c r="O2049">
        <v>-0.99984200000000001</v>
      </c>
      <c r="P2049">
        <v>0.14795029999999901</v>
      </c>
      <c r="Q2049">
        <v>-2.2857070000000001E-3</v>
      </c>
      <c r="R2049">
        <v>-0.98899219999999899</v>
      </c>
      <c r="S2049">
        <v>0.77786250000000001</v>
      </c>
      <c r="T2049">
        <v>-0.1895405</v>
      </c>
      <c r="U2049">
        <v>-2.9156650000000002</v>
      </c>
      <c r="V2049">
        <v>-0.16515869999999999</v>
      </c>
      <c r="W2049">
        <v>1.5504989999999899E-3</v>
      </c>
      <c r="X2049">
        <v>0.98626579999999997</v>
      </c>
      <c r="Y2049">
        <v>-0.27406379999999902</v>
      </c>
      <c r="Z2049">
        <v>6.2524979999999994E-2</v>
      </c>
      <c r="AA2049">
        <v>0.95967690000000005</v>
      </c>
      <c r="AB2049">
        <v>21</v>
      </c>
      <c r="AC2049">
        <v>4.5294000000000096</v>
      </c>
      <c r="AD2049">
        <v>-1.1024323153853</v>
      </c>
      <c r="AE2049">
        <v>-16.741999999999901</v>
      </c>
      <c r="AF2049">
        <v>-4.8010500314772804</v>
      </c>
      <c r="AG2049">
        <v>-1.1024323153853</v>
      </c>
      <c r="AH2049">
        <v>16.593489239092701</v>
      </c>
      <c r="AI2049">
        <v>93.6516652652045</v>
      </c>
      <c r="AJ2049">
        <v>106.13692025318301</v>
      </c>
      <c r="AK2049">
        <v>17.309226543743701</v>
      </c>
    </row>
    <row r="2050" spans="1:37" x14ac:dyDescent="0.2">
      <c r="A2050" t="str">
        <f>"20200111160149795"</f>
        <v>20200111160149795</v>
      </c>
      <c r="B2050" t="str">
        <f>"1578729709782996"</f>
        <v>1578729709782996</v>
      </c>
      <c r="C2050" t="s">
        <v>37</v>
      </c>
      <c r="D2050">
        <v>5.0662820000000002</v>
      </c>
      <c r="E2050">
        <v>0.45688050000000002</v>
      </c>
      <c r="F2050" t="s">
        <v>38</v>
      </c>
      <c r="G2050">
        <v>-488.54500000000002</v>
      </c>
      <c r="H2050" s="1">
        <v>-3.8723649999999996E-6</v>
      </c>
      <c r="I2050">
        <v>238.05779999999999</v>
      </c>
      <c r="J2050">
        <v>-493.49279999999999</v>
      </c>
      <c r="K2050">
        <v>1.1022700000000001</v>
      </c>
      <c r="L2050">
        <v>256.3057</v>
      </c>
      <c r="M2050">
        <v>-1.8331239999999999E-2</v>
      </c>
      <c r="N2050">
        <v>0</v>
      </c>
      <c r="O2050">
        <v>-0.9998264</v>
      </c>
      <c r="P2050">
        <v>0.1476374</v>
      </c>
      <c r="Q2050">
        <v>3.6015019999999898E-4</v>
      </c>
      <c r="R2050">
        <v>-0.98904169999999902</v>
      </c>
      <c r="S2050">
        <v>0.78152469999999996</v>
      </c>
      <c r="T2050">
        <v>-0.17428629999999901</v>
      </c>
      <c r="U2050">
        <v>-2.9160459999999899</v>
      </c>
      <c r="V2050">
        <v>-0.1657341</v>
      </c>
      <c r="W2050">
        <v>4.0457779999999999E-3</v>
      </c>
      <c r="X2050">
        <v>0.98616219999999999</v>
      </c>
      <c r="Y2050">
        <v>-0.27610669999999998</v>
      </c>
      <c r="Z2050">
        <v>5.7476109999999997E-2</v>
      </c>
      <c r="AA2050">
        <v>0.95940689999999995</v>
      </c>
      <c r="AB2050">
        <v>21</v>
      </c>
      <c r="AC2050">
        <v>4.9477999999999698</v>
      </c>
      <c r="AD2050">
        <v>-1.1022738723650001</v>
      </c>
      <c r="AE2050">
        <v>-18.247900000000001</v>
      </c>
      <c r="AF2050">
        <v>-5.2635864842476998</v>
      </c>
      <c r="AG2050">
        <v>-1.1022738723650001</v>
      </c>
      <c r="AH2050">
        <v>18.092638129946099</v>
      </c>
      <c r="AI2050">
        <v>93.347907090448601</v>
      </c>
      <c r="AJ2050">
        <v>106.220992448589</v>
      </c>
      <c r="AK2050">
        <v>18.874954433535301</v>
      </c>
    </row>
    <row r="2051" spans="1:37" x14ac:dyDescent="0.2">
      <c r="A2051" t="str">
        <f>"20200111160149818"</f>
        <v>20200111160149818</v>
      </c>
      <c r="B2051" t="str">
        <f>"1578729709813251"</f>
        <v>1578729709813251</v>
      </c>
      <c r="C2051" t="s">
        <v>37</v>
      </c>
      <c r="D2051">
        <v>5.3571929999999996</v>
      </c>
      <c r="E2051">
        <v>0.45625640000000001</v>
      </c>
      <c r="F2051" t="s">
        <v>38</v>
      </c>
      <c r="G2051">
        <v>-488.2749</v>
      </c>
      <c r="H2051" s="1">
        <v>-3.4286329999999999E-6</v>
      </c>
      <c r="I2051">
        <v>236.9117</v>
      </c>
      <c r="J2051">
        <v>-493.49799999999999</v>
      </c>
      <c r="K2051">
        <v>1.10212</v>
      </c>
      <c r="L2051">
        <v>256.08760000000001</v>
      </c>
      <c r="M2051">
        <v>-1.9608770000000001E-2</v>
      </c>
      <c r="N2051">
        <v>0</v>
      </c>
      <c r="O2051">
        <v>-0.99980309999999994</v>
      </c>
      <c r="P2051">
        <v>0.146679799999999</v>
      </c>
      <c r="Q2051">
        <v>6.4141959999999896E-4</v>
      </c>
      <c r="R2051">
        <v>-0.98918399999999995</v>
      </c>
      <c r="S2051">
        <v>0.7846069</v>
      </c>
      <c r="T2051">
        <v>-0.16574549999999999</v>
      </c>
      <c r="U2051">
        <v>-2.9162140000000001</v>
      </c>
      <c r="V2051">
        <v>-0.16603779999999899</v>
      </c>
      <c r="W2051">
        <v>4.1540179999999998E-3</v>
      </c>
      <c r="X2051">
        <v>0.98611059999999995</v>
      </c>
      <c r="Y2051">
        <v>-0.27830739999999998</v>
      </c>
      <c r="Z2051">
        <v>5.463842E-2</v>
      </c>
      <c r="AA2051">
        <v>0.95893680000000003</v>
      </c>
      <c r="AB2051">
        <v>21</v>
      </c>
      <c r="AC2051">
        <v>5.2231000000000396</v>
      </c>
      <c r="AD2051">
        <v>-1.1021234286329999</v>
      </c>
      <c r="AE2051">
        <v>-19.175899999999999</v>
      </c>
      <c r="AF2051">
        <v>-5.5809509731457698</v>
      </c>
      <c r="AG2051">
        <v>-1.1021234286329999</v>
      </c>
      <c r="AH2051">
        <v>19.011331062132101</v>
      </c>
      <c r="AI2051">
        <v>93.183777604617504</v>
      </c>
      <c r="AJ2051">
        <v>106.360086273135</v>
      </c>
      <c r="AK2051">
        <v>19.844203147785699</v>
      </c>
    </row>
    <row r="2052" spans="1:37" x14ac:dyDescent="0.2">
      <c r="A2052" t="str">
        <f>"20200111160149840"</f>
        <v>20200111160149840</v>
      </c>
      <c r="B2052" t="str">
        <f>"1578729709833749"</f>
        <v>1578729709833749</v>
      </c>
      <c r="C2052" t="s">
        <v>37</v>
      </c>
      <c r="D2052">
        <v>5.06243</v>
      </c>
      <c r="E2052">
        <v>0.45629819999999999</v>
      </c>
      <c r="F2052" t="s">
        <v>38</v>
      </c>
      <c r="G2052">
        <v>-488.05220000000003</v>
      </c>
      <c r="H2052" s="1">
        <v>-3.0352530000000002E-6</v>
      </c>
      <c r="I2052">
        <v>235.90260000000001</v>
      </c>
      <c r="J2052">
        <v>-493.50389999999999</v>
      </c>
      <c r="K2052">
        <v>1.101969</v>
      </c>
      <c r="L2052">
        <v>255.86580000000001</v>
      </c>
      <c r="M2052">
        <v>-2.1149560000000001E-2</v>
      </c>
      <c r="N2052">
        <v>0</v>
      </c>
      <c r="O2052">
        <v>-0.99977229999999995</v>
      </c>
      <c r="P2052">
        <v>0.14501159999999999</v>
      </c>
      <c r="Q2052">
        <v>-3.9192429999999998E-4</v>
      </c>
      <c r="R2052">
        <v>-0.98942980000000003</v>
      </c>
      <c r="S2052">
        <v>0.78680419999999995</v>
      </c>
      <c r="T2052">
        <v>-0.1592306</v>
      </c>
      <c r="U2052">
        <v>-2.9162599999999999</v>
      </c>
      <c r="V2052">
        <v>-0.1658974</v>
      </c>
      <c r="W2052">
        <v>2.9404759999999901E-3</v>
      </c>
      <c r="X2052">
        <v>0.98613859999999998</v>
      </c>
      <c r="Y2052">
        <v>-0.28048679999999998</v>
      </c>
      <c r="Z2052">
        <v>5.2471730000000001E-2</v>
      </c>
      <c r="AA2052">
        <v>0.95842260000000001</v>
      </c>
      <c r="AB2052">
        <v>22</v>
      </c>
      <c r="AC2052">
        <v>5.4516999999999598</v>
      </c>
      <c r="AD2052">
        <v>-1.101972035253</v>
      </c>
      <c r="AE2052">
        <v>-19.963200000000001</v>
      </c>
      <c r="AF2052">
        <v>-5.8560896975548804</v>
      </c>
      <c r="AG2052">
        <v>-1.101972035253</v>
      </c>
      <c r="AH2052">
        <v>19.787324403848299</v>
      </c>
      <c r="AI2052">
        <v>93.056762848996996</v>
      </c>
      <c r="AJ2052">
        <v>106.486202303497</v>
      </c>
      <c r="AK2052">
        <v>20.665099466864799</v>
      </c>
    </row>
    <row r="2053" spans="1:37" x14ac:dyDescent="0.2">
      <c r="A2053" t="str">
        <f>"20200111160149863"</f>
        <v>20200111160149863</v>
      </c>
      <c r="B2053" t="str">
        <f>"1578729709853267"</f>
        <v>1578729709853267</v>
      </c>
      <c r="C2053" t="s">
        <v>37</v>
      </c>
      <c r="D2053">
        <v>5.0470980000000001</v>
      </c>
      <c r="E2053">
        <v>0.45638649999999997</v>
      </c>
      <c r="F2053" t="s">
        <v>38</v>
      </c>
      <c r="G2053">
        <v>-488.33510000000001</v>
      </c>
      <c r="H2053" s="1">
        <v>-3.2776019999999998E-6</v>
      </c>
      <c r="I2053">
        <v>236.58449999999999</v>
      </c>
      <c r="J2053">
        <v>-493.51029999999997</v>
      </c>
      <c r="K2053">
        <v>1.101842</v>
      </c>
      <c r="L2053">
        <v>255.64699999999999</v>
      </c>
      <c r="M2053">
        <v>-2.2852770000000001E-2</v>
      </c>
      <c r="N2053">
        <v>0</v>
      </c>
      <c r="O2053">
        <v>-0.99973519999999905</v>
      </c>
      <c r="P2053">
        <v>0.14248559999999999</v>
      </c>
      <c r="Q2053">
        <v>-2.1748779999999999E-3</v>
      </c>
      <c r="R2053">
        <v>-0.98979450000000002</v>
      </c>
      <c r="S2053">
        <v>0.78207399999999905</v>
      </c>
      <c r="T2053">
        <v>-0.16673379999999999</v>
      </c>
      <c r="U2053">
        <v>-2.9173580000000001</v>
      </c>
      <c r="V2053">
        <v>-0.1650662</v>
      </c>
      <c r="W2053">
        <v>9.7400340000000001E-4</v>
      </c>
      <c r="X2053">
        <v>0.98628199999999999</v>
      </c>
      <c r="Y2053">
        <v>-0.28054759999999901</v>
      </c>
      <c r="Z2053">
        <v>5.4924399999999998E-2</v>
      </c>
      <c r="AA2053">
        <v>0.95826739999999999</v>
      </c>
      <c r="AB2053">
        <v>22</v>
      </c>
      <c r="AC2053">
        <v>5.1751999999999603</v>
      </c>
      <c r="AD2053">
        <v>-1.101845277602</v>
      </c>
      <c r="AE2053">
        <v>-19.0625</v>
      </c>
      <c r="AF2053">
        <v>-5.5920801208904001</v>
      </c>
      <c r="AG2053">
        <v>-1.101845277602</v>
      </c>
      <c r="AH2053">
        <v>18.880503216653601</v>
      </c>
      <c r="AI2053">
        <v>93.202710028930397</v>
      </c>
      <c r="AJ2053">
        <v>106.498382636732</v>
      </c>
      <c r="AK2053">
        <v>19.722039063147001</v>
      </c>
    </row>
    <row r="2054" spans="1:37" x14ac:dyDescent="0.2">
      <c r="A2054" t="str">
        <f>"20200111160149885"</f>
        <v>20200111160149885</v>
      </c>
      <c r="B2054" t="str">
        <f>"1578729709873763"</f>
        <v>1578729709873763</v>
      </c>
      <c r="C2054" t="s">
        <v>37</v>
      </c>
      <c r="D2054">
        <v>5.0471219999999999</v>
      </c>
      <c r="E2054">
        <v>0.45636579999999899</v>
      </c>
      <c r="F2054" t="s">
        <v>38</v>
      </c>
      <c r="G2054">
        <v>-488.65699999999998</v>
      </c>
      <c r="H2054" s="1">
        <v>-3.5537629999999998E-6</v>
      </c>
      <c r="I2054">
        <v>237.3614</v>
      </c>
      <c r="J2054">
        <v>-493.51710000000003</v>
      </c>
      <c r="K2054">
        <v>1.101739</v>
      </c>
      <c r="L2054">
        <v>255.4289</v>
      </c>
      <c r="M2054">
        <v>-2.467892E-2</v>
      </c>
      <c r="N2054">
        <v>0</v>
      </c>
      <c r="O2054">
        <v>-0.99969259999999904</v>
      </c>
      <c r="P2054">
        <v>0.13962169999999999</v>
      </c>
      <c r="Q2054">
        <v>-3.4095509999999998E-3</v>
      </c>
      <c r="R2054">
        <v>-0.99019919999999995</v>
      </c>
      <c r="S2054">
        <v>0.77474980000000004</v>
      </c>
      <c r="T2054">
        <v>-0.17589279999999999</v>
      </c>
      <c r="U2054">
        <v>-2.919022</v>
      </c>
      <c r="V2054">
        <v>-0.16401879999999999</v>
      </c>
      <c r="W2054">
        <v>-4.4916199999999899E-4</v>
      </c>
      <c r="X2054">
        <v>0.98645709999999998</v>
      </c>
      <c r="Y2054">
        <v>-0.27987570000000001</v>
      </c>
      <c r="Z2054">
        <v>5.7919690000000003E-2</v>
      </c>
      <c r="AA2054">
        <v>0.95828749999999996</v>
      </c>
      <c r="AB2054">
        <v>22</v>
      </c>
      <c r="AC2054">
        <v>4.8601000000000401</v>
      </c>
      <c r="AD2054">
        <v>-1.1017425537629999</v>
      </c>
      <c r="AE2054">
        <v>-18.0674999999999</v>
      </c>
      <c r="AF2054">
        <v>-5.2861772654224604</v>
      </c>
      <c r="AG2054">
        <v>-1.1017425537629999</v>
      </c>
      <c r="AH2054">
        <v>17.8800546388849</v>
      </c>
      <c r="AI2054">
        <v>93.381685116612005</v>
      </c>
      <c r="AJ2054">
        <v>106.470134464975</v>
      </c>
      <c r="AK2054">
        <v>18.677629952050999</v>
      </c>
    </row>
    <row r="2055" spans="1:37" x14ac:dyDescent="0.2">
      <c r="A2055" t="str">
        <f>"20200111160149906"</f>
        <v>20200111160149906</v>
      </c>
      <c r="B2055" t="str">
        <f>"1578729709903043"</f>
        <v>1578729709903043</v>
      </c>
      <c r="C2055" t="s">
        <v>37</v>
      </c>
      <c r="D2055">
        <v>5.1560959999999998</v>
      </c>
      <c r="E2055">
        <v>0.45583770000000001</v>
      </c>
      <c r="F2055" t="s">
        <v>38</v>
      </c>
      <c r="G2055">
        <v>-488.90219999999999</v>
      </c>
      <c r="H2055" s="1">
        <v>-3.7252719999999998E-6</v>
      </c>
      <c r="I2055">
        <v>237.86250000000001</v>
      </c>
      <c r="J2055">
        <v>-493.52460000000002</v>
      </c>
      <c r="K2055">
        <v>1.1016600000000001</v>
      </c>
      <c r="L2055">
        <v>255.20830000000001</v>
      </c>
      <c r="M2055">
        <v>-2.6607740000000001E-2</v>
      </c>
      <c r="N2055">
        <v>0</v>
      </c>
      <c r="O2055">
        <v>-0.99964359999999997</v>
      </c>
      <c r="P2055">
        <v>0.13608899999999999</v>
      </c>
      <c r="Q2055">
        <v>-3.674217E-3</v>
      </c>
      <c r="R2055">
        <v>-0.99068979999999995</v>
      </c>
      <c r="S2055">
        <v>0.76733399999999996</v>
      </c>
      <c r="T2055">
        <v>-0.1831914</v>
      </c>
      <c r="U2055">
        <v>-2.9208219999999998</v>
      </c>
      <c r="V2055">
        <v>-0.1624051</v>
      </c>
      <c r="W2055">
        <v>-9.1529149999999902E-4</v>
      </c>
      <c r="X2055">
        <v>0.98672369999999898</v>
      </c>
      <c r="Y2055">
        <v>-0.27927069999999998</v>
      </c>
      <c r="Z2055">
        <v>6.0298259999999999E-2</v>
      </c>
      <c r="AA2055">
        <v>0.95831730000000004</v>
      </c>
      <c r="AB2055">
        <v>22</v>
      </c>
      <c r="AC2055">
        <v>4.6224000000000203</v>
      </c>
      <c r="AD2055">
        <v>-1.1016637252720001</v>
      </c>
      <c r="AE2055">
        <v>-17.345799999999901</v>
      </c>
      <c r="AF2055">
        <v>-5.0632274604669298</v>
      </c>
      <c r="AG2055">
        <v>-1.1016637252720001</v>
      </c>
      <c r="AH2055">
        <v>17.1520670954751</v>
      </c>
      <c r="AI2055">
        <v>93.525038472910694</v>
      </c>
      <c r="AJ2055">
        <v>106.446407611794</v>
      </c>
      <c r="AK2055">
        <v>17.917682353688701</v>
      </c>
    </row>
    <row r="2056" spans="1:37" x14ac:dyDescent="0.2">
      <c r="A2056" t="str">
        <f>"20200111160149932"</f>
        <v>20200111160149932</v>
      </c>
      <c r="B2056" t="str">
        <f>"1578729709923539"</f>
        <v>1578729709923539</v>
      </c>
      <c r="C2056" t="s">
        <v>37</v>
      </c>
      <c r="D2056">
        <v>5.154909</v>
      </c>
      <c r="E2056">
        <v>0.45598129999999998</v>
      </c>
      <c r="F2056" t="s">
        <v>38</v>
      </c>
      <c r="G2056">
        <v>-488.95170000000002</v>
      </c>
      <c r="H2056" s="1">
        <v>-3.6251039999999999E-6</v>
      </c>
      <c r="I2056">
        <v>237.64949999999999</v>
      </c>
      <c r="J2056">
        <v>-493.53359999999998</v>
      </c>
      <c r="K2056">
        <v>1.101599</v>
      </c>
      <c r="L2056">
        <v>254.95949999999999</v>
      </c>
      <c r="M2056">
        <v>-2.883521E-2</v>
      </c>
      <c r="N2056">
        <v>0</v>
      </c>
      <c r="O2056">
        <v>-0.99958250000000004</v>
      </c>
      <c r="P2056">
        <v>0.13104469999999999</v>
      </c>
      <c r="Q2056">
        <v>-4.4077989999999996E-3</v>
      </c>
      <c r="R2056">
        <v>-0.99136689999999905</v>
      </c>
      <c r="S2056">
        <v>0.76123050000000003</v>
      </c>
      <c r="T2056">
        <v>-0.18338750000000001</v>
      </c>
      <c r="U2056">
        <v>-2.9229129999999999</v>
      </c>
      <c r="V2056">
        <v>-0.159584</v>
      </c>
      <c r="W2056">
        <v>-1.892414E-3</v>
      </c>
      <c r="X2056">
        <v>0.98718259999999902</v>
      </c>
      <c r="Y2056">
        <v>-0.27936800000000001</v>
      </c>
      <c r="Z2056">
        <v>6.0329999999999898E-2</v>
      </c>
      <c r="AA2056">
        <v>0.95828690000000005</v>
      </c>
      <c r="AB2056">
        <v>22</v>
      </c>
      <c r="AC2056">
        <v>4.5818999999999601</v>
      </c>
      <c r="AD2056">
        <v>-1.1016026251040001</v>
      </c>
      <c r="AE2056">
        <v>-17.309999999999999</v>
      </c>
      <c r="AF2056">
        <v>-5.0599819154966301</v>
      </c>
      <c r="AG2056">
        <v>-1.1016026251040001</v>
      </c>
      <c r="AH2056">
        <v>17.1059388432923</v>
      </c>
      <c r="AI2056">
        <v>93.533743730609103</v>
      </c>
      <c r="AJ2056">
        <v>106.478356333721</v>
      </c>
      <c r="AK2056">
        <v>17.872607225563002</v>
      </c>
    </row>
    <row r="2057" spans="1:37" x14ac:dyDescent="0.2">
      <c r="A2057" t="str">
        <f>"20200111160149964"</f>
        <v>20200111160149964</v>
      </c>
      <c r="B2057" t="str">
        <f>"1578729709953795"</f>
        <v>1578729709953795</v>
      </c>
      <c r="C2057" t="s">
        <v>37</v>
      </c>
      <c r="D2057">
        <v>5.1127880000000001</v>
      </c>
      <c r="E2057">
        <v>0.45574160000000002</v>
      </c>
      <c r="F2057" t="s">
        <v>38</v>
      </c>
      <c r="G2057">
        <v>-489.17070000000001</v>
      </c>
      <c r="H2057" s="1">
        <v>-3.6626880000000002E-6</v>
      </c>
      <c r="I2057">
        <v>237.82769999999999</v>
      </c>
      <c r="J2057">
        <v>-493.54680000000002</v>
      </c>
      <c r="K2057">
        <v>1.1015569999999999</v>
      </c>
      <c r="L2057">
        <v>254.62039999999999</v>
      </c>
      <c r="M2057">
        <v>-3.188539E-2</v>
      </c>
      <c r="N2057">
        <v>0</v>
      </c>
      <c r="O2057">
        <v>-0.99949030000000005</v>
      </c>
      <c r="P2057">
        <v>0.1246013</v>
      </c>
      <c r="Q2057">
        <v>-5.1323000000000002E-3</v>
      </c>
      <c r="R2057">
        <v>-0.99219389999999996</v>
      </c>
      <c r="S2057">
        <v>0.7453613</v>
      </c>
      <c r="T2057">
        <v>-0.18819859999999999</v>
      </c>
      <c r="U2057">
        <v>-2.9268040000000002</v>
      </c>
      <c r="V2057">
        <v>-0.1561855</v>
      </c>
      <c r="W2057">
        <v>-2.9637309999999998E-3</v>
      </c>
      <c r="X2057">
        <v>0.98772329999999997</v>
      </c>
      <c r="Y2057">
        <v>-0.27708959999999999</v>
      </c>
      <c r="Z2057">
        <v>6.1880159999999997E-2</v>
      </c>
      <c r="AA2057">
        <v>0.95884939999999996</v>
      </c>
      <c r="AB2057">
        <v>23</v>
      </c>
      <c r="AC2057">
        <v>4.3761000000000001</v>
      </c>
      <c r="AD2057">
        <v>-1.1015606626879999</v>
      </c>
      <c r="AE2057">
        <v>-16.7926999999999</v>
      </c>
      <c r="AF2057">
        <v>-4.8896150844915596</v>
      </c>
      <c r="AG2057">
        <v>-1.1015606626879999</v>
      </c>
      <c r="AH2057">
        <v>16.577828775474</v>
      </c>
      <c r="AI2057">
        <v>93.646721888276304</v>
      </c>
      <c r="AJ2057">
        <v>106.433374425026</v>
      </c>
      <c r="AK2057">
        <v>17.318954312457802</v>
      </c>
    </row>
    <row r="2058" spans="1:37" x14ac:dyDescent="0.2">
      <c r="A2058" t="str">
        <f>"20200111160149985"</f>
        <v>20200111160149985</v>
      </c>
      <c r="B2058" t="str">
        <f>"1578729709973315"</f>
        <v>1578729709973315</v>
      </c>
      <c r="C2058" t="s">
        <v>37</v>
      </c>
      <c r="D2058">
        <v>5.1786500000000002</v>
      </c>
      <c r="E2058">
        <v>0.4554145</v>
      </c>
      <c r="F2058" t="s">
        <v>38</v>
      </c>
      <c r="G2058">
        <v>-489.37860000000001</v>
      </c>
      <c r="H2058" s="1">
        <v>-3.6319360000000001E-6</v>
      </c>
      <c r="I2058">
        <v>237.84200000000001</v>
      </c>
      <c r="J2058">
        <v>-493.55549999999999</v>
      </c>
      <c r="K2058">
        <v>1.101539</v>
      </c>
      <c r="L2058">
        <v>254.40989999999999</v>
      </c>
      <c r="M2058">
        <v>-3.3753770000000002E-2</v>
      </c>
      <c r="N2058">
        <v>0</v>
      </c>
      <c r="O2058">
        <v>-0.99942909999999996</v>
      </c>
      <c r="P2058">
        <v>0.1199648</v>
      </c>
      <c r="Q2058">
        <v>-5.7521209999999998E-3</v>
      </c>
      <c r="R2058">
        <v>-0.99276149999999996</v>
      </c>
      <c r="S2058">
        <v>0.72817989999999999</v>
      </c>
      <c r="T2058">
        <v>-0.19244120000000001</v>
      </c>
      <c r="U2058">
        <v>-2.931168</v>
      </c>
      <c r="V2058">
        <v>-0.1534198</v>
      </c>
      <c r="W2058">
        <v>-3.8001720000000001E-3</v>
      </c>
      <c r="X2058">
        <v>0.98815379999999997</v>
      </c>
      <c r="Y2058">
        <v>-0.27323449999999999</v>
      </c>
      <c r="Z2058">
        <v>6.3252370000000002E-2</v>
      </c>
      <c r="AA2058">
        <v>0.95986559999999899</v>
      </c>
      <c r="AB2058">
        <v>23</v>
      </c>
      <c r="AC2058">
        <v>4.1768999999999803</v>
      </c>
      <c r="AD2058">
        <v>-1.101542631936</v>
      </c>
      <c r="AE2058">
        <v>-16.567899999999899</v>
      </c>
      <c r="AF2058">
        <v>-4.7141561770348197</v>
      </c>
      <c r="AG2058">
        <v>-1.101542631936</v>
      </c>
      <c r="AH2058">
        <v>16.349519549624699</v>
      </c>
      <c r="AI2058">
        <v>93.704004583231196</v>
      </c>
      <c r="AJ2058">
        <v>106.08417942685099</v>
      </c>
      <c r="AK2058">
        <v>17.051200958730401</v>
      </c>
    </row>
    <row r="2059" spans="1:37" x14ac:dyDescent="0.2">
      <c r="A2059" t="str">
        <f>"20200111160150007"</f>
        <v>20200111160150007</v>
      </c>
      <c r="B2059" t="str">
        <f>"1578729710003572"</f>
        <v>1578729710003572</v>
      </c>
      <c r="C2059" t="s">
        <v>37</v>
      </c>
      <c r="D2059">
        <v>5.1570199999999904</v>
      </c>
      <c r="E2059">
        <v>0.45509430000000001</v>
      </c>
      <c r="F2059" t="s">
        <v>38</v>
      </c>
      <c r="G2059">
        <v>-489.52120000000002</v>
      </c>
      <c r="H2059" s="1">
        <v>-3.632447E-6</v>
      </c>
      <c r="I2059">
        <v>237.90209999999999</v>
      </c>
      <c r="J2059">
        <v>-493.56560000000002</v>
      </c>
      <c r="K2059">
        <v>1.101534</v>
      </c>
      <c r="L2059">
        <v>254.1773</v>
      </c>
      <c r="M2059">
        <v>-3.5770030000000001E-2</v>
      </c>
      <c r="N2059">
        <v>0</v>
      </c>
      <c r="O2059">
        <v>-0.99935949999999996</v>
      </c>
      <c r="P2059">
        <v>0.1157231</v>
      </c>
      <c r="Q2059">
        <v>-6.6246430000000004E-3</v>
      </c>
      <c r="R2059">
        <v>-0.99325980000000003</v>
      </c>
      <c r="S2059">
        <v>0.71707149999999997</v>
      </c>
      <c r="T2059">
        <v>-0.19579150000000001</v>
      </c>
      <c r="U2059">
        <v>-2.9341430000000002</v>
      </c>
      <c r="V2059">
        <v>-0.1511951</v>
      </c>
      <c r="W2059">
        <v>-4.9031140000000001E-3</v>
      </c>
      <c r="X2059">
        <v>0.98849179999999903</v>
      </c>
      <c r="Y2059">
        <v>-0.27150419999999997</v>
      </c>
      <c r="Z2059">
        <v>6.4323480000000002E-2</v>
      </c>
      <c r="AA2059">
        <v>0.96028539999999996</v>
      </c>
      <c r="AB2059">
        <v>23</v>
      </c>
      <c r="AC2059">
        <v>4.0443999999999898</v>
      </c>
      <c r="AD2059">
        <v>-1.1015376324470001</v>
      </c>
      <c r="AE2059">
        <v>-16.275200000000002</v>
      </c>
      <c r="AF2059">
        <v>-4.6041123994774598</v>
      </c>
      <c r="AG2059">
        <v>-1.1015376324470001</v>
      </c>
      <c r="AH2059">
        <v>16.0508660330065</v>
      </c>
      <c r="AI2059">
        <v>93.774199638477498</v>
      </c>
      <c r="AJ2059">
        <v>106.005279418871</v>
      </c>
      <c r="AK2059">
        <v>16.734441626544999</v>
      </c>
    </row>
    <row r="2060" spans="1:37" x14ac:dyDescent="0.2">
      <c r="A2060" t="str">
        <f>"20200111160150029"</f>
        <v>20200111160150029</v>
      </c>
      <c r="B2060" t="str">
        <f>"1578729710023091"</f>
        <v>1578729710023091</v>
      </c>
      <c r="C2060" t="s">
        <v>37</v>
      </c>
      <c r="D2060">
        <v>5.1745150000000004</v>
      </c>
      <c r="E2060">
        <v>0.45475379999999899</v>
      </c>
      <c r="F2060" t="s">
        <v>38</v>
      </c>
      <c r="G2060">
        <v>-489.68779999999998</v>
      </c>
      <c r="H2060" s="1">
        <v>-3.6771360000000001E-6</v>
      </c>
      <c r="I2060">
        <v>238.0752</v>
      </c>
      <c r="J2060">
        <v>-493.57650000000001</v>
      </c>
      <c r="K2060">
        <v>1.101534</v>
      </c>
      <c r="L2060">
        <v>253.93279999999999</v>
      </c>
      <c r="M2060">
        <v>-3.781644E-2</v>
      </c>
      <c r="N2060">
        <v>0</v>
      </c>
      <c r="O2060">
        <v>-0.99928449999999902</v>
      </c>
      <c r="P2060">
        <v>0.11192719999999901</v>
      </c>
      <c r="Q2060">
        <v>-7.90368199999999E-3</v>
      </c>
      <c r="R2060">
        <v>-0.9936855</v>
      </c>
      <c r="S2060">
        <v>0.70721440000000002</v>
      </c>
      <c r="T2060">
        <v>-0.20089360000000001</v>
      </c>
      <c r="U2060">
        <v>-2.9366300000000001</v>
      </c>
      <c r="V2060">
        <v>-0.14944579999999999</v>
      </c>
      <c r="W2060">
        <v>-6.4087359999999999E-3</v>
      </c>
      <c r="X2060">
        <v>0.98874910000000005</v>
      </c>
      <c r="Y2060">
        <v>-0.2702174</v>
      </c>
      <c r="Z2060">
        <v>6.5968260000000001E-2</v>
      </c>
      <c r="AA2060">
        <v>0.96053670000000002</v>
      </c>
      <c r="AB2060">
        <v>23</v>
      </c>
      <c r="AC2060">
        <v>3.88870000000002</v>
      </c>
      <c r="AD2060">
        <v>-1.1015376771359999</v>
      </c>
      <c r="AE2060">
        <v>-15.8575999999999</v>
      </c>
      <c r="AF2060">
        <v>-4.4652724743345003</v>
      </c>
      <c r="AG2060">
        <v>-1.1015376771359999</v>
      </c>
      <c r="AH2060">
        <v>15.628067863718799</v>
      </c>
      <c r="AI2060">
        <v>93.877148144344304</v>
      </c>
      <c r="AJ2060">
        <v>105.945769518181</v>
      </c>
      <c r="AK2060">
        <v>16.290750402519802</v>
      </c>
    </row>
    <row r="2061" spans="1:37" x14ac:dyDescent="0.2">
      <c r="A2061" t="str">
        <f>"20200111160150052"</f>
        <v>20200111160150052</v>
      </c>
      <c r="B2061" t="str">
        <f>"1578729710043587"</f>
        <v>1578729710043587</v>
      </c>
      <c r="C2061" t="s">
        <v>37</v>
      </c>
      <c r="D2061">
        <v>5.1307410000000004</v>
      </c>
      <c r="E2061">
        <v>0.45446059999999999</v>
      </c>
      <c r="F2061" t="s">
        <v>38</v>
      </c>
      <c r="G2061">
        <v>-489.84249999999997</v>
      </c>
      <c r="H2061" s="1">
        <v>-3.7203670000000001E-6</v>
      </c>
      <c r="I2061">
        <v>238.23990000000001</v>
      </c>
      <c r="J2061">
        <v>-493.58800000000002</v>
      </c>
      <c r="K2061">
        <v>1.1015349999999999</v>
      </c>
      <c r="L2061">
        <v>253.68809999999999</v>
      </c>
      <c r="M2061">
        <v>-3.9785229999999998E-2</v>
      </c>
      <c r="N2061">
        <v>0</v>
      </c>
      <c r="O2061">
        <v>-0.99920819999999999</v>
      </c>
      <c r="P2061">
        <v>0.109724499999999</v>
      </c>
      <c r="Q2061">
        <v>-9.5550099999999992E-3</v>
      </c>
      <c r="R2061">
        <v>-0.99391669999999999</v>
      </c>
      <c r="S2061">
        <v>0.69924929999999996</v>
      </c>
      <c r="T2061">
        <v>-0.20627599999999999</v>
      </c>
      <c r="U2061">
        <v>-2.9386899999999998</v>
      </c>
      <c r="V2061">
        <v>-0.1492076</v>
      </c>
      <c r="W2061">
        <v>-8.2602449999999994E-3</v>
      </c>
      <c r="X2061">
        <v>0.98877139999999997</v>
      </c>
      <c r="Y2061">
        <v>-0.26947120000000002</v>
      </c>
      <c r="Z2061">
        <v>6.7701650000000002E-2</v>
      </c>
      <c r="AA2061">
        <v>0.96062569999999903</v>
      </c>
      <c r="AB2061">
        <v>24</v>
      </c>
      <c r="AC2061">
        <v>3.7455000000000398</v>
      </c>
      <c r="AD2061">
        <v>-1.101538720367</v>
      </c>
      <c r="AE2061">
        <v>-15.4481999999999</v>
      </c>
      <c r="AF2061">
        <v>-4.3363210555024398</v>
      </c>
      <c r="AG2061">
        <v>-1.101538720367</v>
      </c>
      <c r="AH2061">
        <v>15.213893895197501</v>
      </c>
      <c r="AI2061">
        <v>93.983096729409795</v>
      </c>
      <c r="AJ2061">
        <v>105.908810351214</v>
      </c>
      <c r="AK2061">
        <v>15.858109449212099</v>
      </c>
    </row>
    <row r="2062" spans="1:37" x14ac:dyDescent="0.2">
      <c r="A2062" t="str">
        <f>"20200111160150074"</f>
        <v>20200111160150074</v>
      </c>
      <c r="B2062" t="str">
        <f>"1578729710063108"</f>
        <v>1578729710063108</v>
      </c>
      <c r="C2062" t="s">
        <v>37</v>
      </c>
      <c r="D2062">
        <v>5.3596219999999999</v>
      </c>
      <c r="E2062">
        <v>0.45442949999999999</v>
      </c>
      <c r="F2062" t="s">
        <v>38</v>
      </c>
      <c r="G2062">
        <v>-489.97620000000001</v>
      </c>
      <c r="H2062" s="1">
        <v>-3.779157E-6</v>
      </c>
      <c r="I2062">
        <v>238.41319999999999</v>
      </c>
      <c r="J2062">
        <v>-493.5992</v>
      </c>
      <c r="K2062">
        <v>1.1015360000000001</v>
      </c>
      <c r="L2062">
        <v>253.4556</v>
      </c>
      <c r="M2062">
        <v>-4.1599650000000002E-2</v>
      </c>
      <c r="N2062">
        <v>0</v>
      </c>
      <c r="O2062">
        <v>-0.99913419999999897</v>
      </c>
      <c r="P2062">
        <v>0.1083252</v>
      </c>
      <c r="Q2062">
        <v>-1.0594070000000001E-2</v>
      </c>
      <c r="R2062">
        <v>-0.99405940000000004</v>
      </c>
      <c r="S2062">
        <v>0.69506840000000003</v>
      </c>
      <c r="T2062">
        <v>-0.21198359999999999</v>
      </c>
      <c r="U2062">
        <v>-2.93955999999999</v>
      </c>
      <c r="V2062">
        <v>-0.14961379999999999</v>
      </c>
      <c r="W2062">
        <v>-9.4665429999999991E-3</v>
      </c>
      <c r="X2062">
        <v>0.9886992</v>
      </c>
      <c r="Y2062">
        <v>-0.26983269999999998</v>
      </c>
      <c r="Z2062">
        <v>6.9545430000000005E-2</v>
      </c>
      <c r="AA2062">
        <v>0.96039249999999998</v>
      </c>
      <c r="AB2062">
        <v>24</v>
      </c>
      <c r="AC2062">
        <v>3.62299999999999</v>
      </c>
      <c r="AD2062">
        <v>-1.1015397791570001</v>
      </c>
      <c r="AE2062">
        <v>-15.042400000000001</v>
      </c>
      <c r="AF2062">
        <v>-4.2242121930379701</v>
      </c>
      <c r="AG2062">
        <v>-1.1015397791570001</v>
      </c>
      <c r="AH2062">
        <v>14.803631463496499</v>
      </c>
      <c r="AI2062">
        <v>94.092765902219796</v>
      </c>
      <c r="AJ2062">
        <v>105.926082781304</v>
      </c>
      <c r="AK2062">
        <v>15.4338868417485</v>
      </c>
    </row>
    <row r="2063" spans="1:37" x14ac:dyDescent="0.2">
      <c r="A2063" t="str">
        <f>"20200111160150096"</f>
        <v>20200111160150096</v>
      </c>
      <c r="B2063" t="str">
        <f>"1578729710093363"</f>
        <v>1578729710093363</v>
      </c>
      <c r="C2063" t="s">
        <v>37</v>
      </c>
      <c r="D2063">
        <v>5.2065710000000003</v>
      </c>
      <c r="E2063">
        <v>0.48352010000000001</v>
      </c>
      <c r="F2063" t="s">
        <v>38</v>
      </c>
      <c r="G2063">
        <v>-490.06670000000003</v>
      </c>
      <c r="H2063" s="1">
        <v>-3.8093340000000002E-6</v>
      </c>
      <c r="I2063">
        <v>238.42740000000001</v>
      </c>
      <c r="J2063">
        <v>-493.61130000000003</v>
      </c>
      <c r="K2063">
        <v>1.1015299999999999</v>
      </c>
      <c r="L2063">
        <v>253.21369999999999</v>
      </c>
      <c r="M2063">
        <v>-4.3441300000000002E-2</v>
      </c>
      <c r="N2063">
        <v>0</v>
      </c>
      <c r="O2063">
        <v>-0.9990559</v>
      </c>
      <c r="P2063">
        <v>0.108720699999999</v>
      </c>
      <c r="Q2063">
        <v>-1.086406E-2</v>
      </c>
      <c r="R2063">
        <v>-0.99401319999999904</v>
      </c>
      <c r="S2063">
        <v>0.6911621</v>
      </c>
      <c r="T2063">
        <v>-0.2155202</v>
      </c>
      <c r="U2063">
        <v>-2.9403229999999998</v>
      </c>
      <c r="V2063">
        <v>-0.15182960000000001</v>
      </c>
      <c r="W2063">
        <v>-9.8825760000000006E-3</v>
      </c>
      <c r="X2063">
        <v>0.98835729999999999</v>
      </c>
      <c r="Y2063">
        <v>-0.27032430000000002</v>
      </c>
      <c r="Z2063">
        <v>7.0678989999999997E-2</v>
      </c>
      <c r="AA2063">
        <v>0.96017149999999996</v>
      </c>
      <c r="AB2063">
        <v>24</v>
      </c>
      <c r="AC2063">
        <v>3.5446</v>
      </c>
      <c r="AD2063">
        <v>-1.1015338093339999</v>
      </c>
      <c r="AE2063">
        <v>-14.786299999999899</v>
      </c>
      <c r="AF2063">
        <v>-4.1617483089310197</v>
      </c>
      <c r="AG2063">
        <v>-1.1015338093339999</v>
      </c>
      <c r="AH2063">
        <v>14.542039942850201</v>
      </c>
      <c r="AI2063">
        <v>94.165191119324305</v>
      </c>
      <c r="AJ2063">
        <v>105.97045330699299</v>
      </c>
      <c r="AK2063">
        <v>15.165897646346099</v>
      </c>
    </row>
    <row r="2064" spans="1:37" x14ac:dyDescent="0.2">
      <c r="A2064" t="str">
        <f>"20200111160150119"</f>
        <v>20200111160150119</v>
      </c>
      <c r="B2064" t="str">
        <f>"1578729710113860"</f>
        <v>1578729710113860</v>
      </c>
      <c r="C2064" t="s">
        <v>37</v>
      </c>
      <c r="D2064">
        <v>5.163869</v>
      </c>
      <c r="E2064">
        <v>0.4850449</v>
      </c>
      <c r="F2064" t="s">
        <v>38</v>
      </c>
      <c r="G2064">
        <v>-491.6866</v>
      </c>
      <c r="H2064" s="1">
        <v>-9.9989999999999995E-7</v>
      </c>
      <c r="I2064">
        <v>240.87379999999999</v>
      </c>
      <c r="J2064">
        <v>-493.62430000000001</v>
      </c>
      <c r="K2064">
        <v>1.1015269999999999</v>
      </c>
      <c r="L2064">
        <v>252.96170000000001</v>
      </c>
      <c r="M2064">
        <v>-4.5323019999999999E-2</v>
      </c>
      <c r="N2064">
        <v>0</v>
      </c>
      <c r="O2064">
        <v>-0.99897230000000004</v>
      </c>
      <c r="P2064">
        <v>0.1093827</v>
      </c>
      <c r="Q2064">
        <v>-1.059268E-2</v>
      </c>
      <c r="R2064">
        <v>-0.99394349999999998</v>
      </c>
      <c r="S2064">
        <v>0.46240229999999999</v>
      </c>
      <c r="T2064">
        <v>-0.2646385</v>
      </c>
      <c r="U2064">
        <v>-2.9645999999999999</v>
      </c>
      <c r="V2064">
        <v>-0.15434829999999999</v>
      </c>
      <c r="W2064">
        <v>-9.7387689999999996E-3</v>
      </c>
      <c r="X2064">
        <v>0.98796849999999903</v>
      </c>
      <c r="Y2064">
        <v>-0.19814279999999901</v>
      </c>
      <c r="Z2064">
        <v>8.7369530000000001E-2</v>
      </c>
      <c r="AA2064">
        <v>0.97627149999999996</v>
      </c>
      <c r="AB2064">
        <v>24</v>
      </c>
      <c r="AC2064">
        <v>1.9377</v>
      </c>
      <c r="AD2064">
        <v>-1.1015279999000001</v>
      </c>
      <c r="AE2064">
        <v>-12.087899999999999</v>
      </c>
      <c r="AF2064">
        <v>-2.46362346916368</v>
      </c>
      <c r="AG2064">
        <v>-1.1015279999000001</v>
      </c>
      <c r="AH2064">
        <v>11.8913832032991</v>
      </c>
      <c r="AI2064">
        <v>95.182901529856693</v>
      </c>
      <c r="AJ2064">
        <v>101.704788178954</v>
      </c>
      <c r="AK2064">
        <v>12.1937606594553</v>
      </c>
    </row>
    <row r="2065" spans="1:37" x14ac:dyDescent="0.2">
      <c r="A2065" t="str">
        <f>"20200111160150143"</f>
        <v>20200111160150143</v>
      </c>
      <c r="B2065" t="str">
        <f>"1578729710133379"</f>
        <v>1578729710133379</v>
      </c>
      <c r="C2065" t="s">
        <v>37</v>
      </c>
      <c r="D2065">
        <v>5.1578480000000004</v>
      </c>
      <c r="E2065">
        <v>0.4858384</v>
      </c>
      <c r="F2065" t="s">
        <v>38</v>
      </c>
      <c r="G2065">
        <v>-491.77030000000002</v>
      </c>
      <c r="H2065" s="1">
        <v>-9.921087E-7</v>
      </c>
      <c r="I2065">
        <v>240.8038</v>
      </c>
      <c r="J2065">
        <v>-493.63810000000001</v>
      </c>
      <c r="K2065">
        <v>1.1015189999999999</v>
      </c>
      <c r="L2065">
        <v>252.70079999999999</v>
      </c>
      <c r="M2065">
        <v>-4.7247810000000001E-2</v>
      </c>
      <c r="N2065">
        <v>0</v>
      </c>
      <c r="O2065">
        <v>-0.99888310000000002</v>
      </c>
      <c r="P2065">
        <v>0.11006009999999999</v>
      </c>
      <c r="Q2065">
        <v>-1.0573910000000001E-2</v>
      </c>
      <c r="R2065">
        <v>-0.9938688</v>
      </c>
      <c r="S2065">
        <v>0.45223999999999998</v>
      </c>
      <c r="T2065">
        <v>-0.26869460000000001</v>
      </c>
      <c r="U2065">
        <v>-2.965668</v>
      </c>
      <c r="V2065">
        <v>-0.15692509999999901</v>
      </c>
      <c r="W2065">
        <v>-9.8284240000000005E-3</v>
      </c>
      <c r="X2065">
        <v>0.98756160000000004</v>
      </c>
      <c r="Y2065">
        <v>-0.19669210000000001</v>
      </c>
      <c r="Z2065">
        <v>8.8690530000000004E-2</v>
      </c>
      <c r="AA2065">
        <v>0.97644569999999997</v>
      </c>
      <c r="AB2065">
        <v>24</v>
      </c>
      <c r="AC2065">
        <v>1.8677999999999799</v>
      </c>
      <c r="AD2065">
        <v>-1.1015199921087</v>
      </c>
      <c r="AE2065">
        <v>-11.896999999999901</v>
      </c>
      <c r="AF2065">
        <v>-2.4076778587046501</v>
      </c>
      <c r="AG2065">
        <v>-1.1015199921087</v>
      </c>
      <c r="AH2065">
        <v>11.6975979652006</v>
      </c>
      <c r="AI2065">
        <v>95.269646807790906</v>
      </c>
      <c r="AJ2065">
        <v>101.630574347432</v>
      </c>
      <c r="AK2065">
        <v>11.993500619909801</v>
      </c>
    </row>
    <row r="2066" spans="1:37" x14ac:dyDescent="0.2">
      <c r="A2066" t="str">
        <f>"20200111160150166"</f>
        <v>20200111160150166</v>
      </c>
      <c r="B2066" t="str">
        <f>"1578729710163635"</f>
        <v>1578729710163635</v>
      </c>
      <c r="C2066" t="s">
        <v>37</v>
      </c>
      <c r="D2066">
        <v>5.1604739999999998</v>
      </c>
      <c r="E2066">
        <v>0.48599940000000003</v>
      </c>
      <c r="F2066" t="s">
        <v>38</v>
      </c>
      <c r="G2066">
        <v>-491.80579999999998</v>
      </c>
      <c r="H2066" s="1">
        <v>-8.9557980000000005E-7</v>
      </c>
      <c r="I2066">
        <v>240.55670000000001</v>
      </c>
      <c r="J2066">
        <v>-493.65179999999998</v>
      </c>
      <c r="K2066">
        <v>1.1014999999999999</v>
      </c>
      <c r="L2066">
        <v>252.45160000000001</v>
      </c>
      <c r="M2066">
        <v>-4.90728E-2</v>
      </c>
      <c r="N2066">
        <v>0</v>
      </c>
      <c r="O2066">
        <v>-0.99879549999999995</v>
      </c>
      <c r="P2066">
        <v>0.10981199999999899</v>
      </c>
      <c r="Q2066">
        <v>-9.9978830000000008E-3</v>
      </c>
      <c r="R2066">
        <v>-0.99390249999999902</v>
      </c>
      <c r="S2066">
        <v>0.4475403</v>
      </c>
      <c r="T2066">
        <v>-0.26903939999999998</v>
      </c>
      <c r="U2066">
        <v>-2.96611</v>
      </c>
      <c r="V2066">
        <v>-0.1584815</v>
      </c>
      <c r="W2066">
        <v>-9.3388169999999993E-3</v>
      </c>
      <c r="X2066">
        <v>0.98731780000000002</v>
      </c>
      <c r="Y2066">
        <v>-0.19694779999999901</v>
      </c>
      <c r="Z2066">
        <v>8.8786669999999998E-2</v>
      </c>
      <c r="AA2066">
        <v>0.97638539999999996</v>
      </c>
      <c r="AB2066">
        <v>25</v>
      </c>
      <c r="AC2066">
        <v>1.8460000000000001</v>
      </c>
      <c r="AD2066">
        <v>-1.1015008955798</v>
      </c>
      <c r="AE2066">
        <v>-11.8949</v>
      </c>
      <c r="AF2066">
        <v>-2.4073337741229102</v>
      </c>
      <c r="AG2066">
        <v>-1.1015008955798</v>
      </c>
      <c r="AH2066">
        <v>11.692075952132701</v>
      </c>
      <c r="AI2066">
        <v>95.271960512572605</v>
      </c>
      <c r="AJ2066">
        <v>101.634299988465</v>
      </c>
      <c r="AK2066">
        <v>11.988044052031</v>
      </c>
    </row>
    <row r="2067" spans="1:37" x14ac:dyDescent="0.2">
      <c r="A2067" t="str">
        <f>"20200111160150186"</f>
        <v>20200111160150186</v>
      </c>
      <c r="B2067" t="str">
        <f>"1578729710183155"</f>
        <v>1578729710183155</v>
      </c>
      <c r="C2067" t="s">
        <v>37</v>
      </c>
      <c r="D2067">
        <v>5.1674949999999997</v>
      </c>
      <c r="E2067">
        <v>0.48641519999999999</v>
      </c>
      <c r="F2067" t="s">
        <v>38</v>
      </c>
      <c r="G2067">
        <v>-491.8272</v>
      </c>
      <c r="H2067" s="1">
        <v>-7.9235709999999899E-7</v>
      </c>
      <c r="I2067">
        <v>240.30279999999999</v>
      </c>
      <c r="J2067">
        <v>-493.66520000000003</v>
      </c>
      <c r="K2067">
        <v>1.1014870000000001</v>
      </c>
      <c r="L2067">
        <v>252.21690000000001</v>
      </c>
      <c r="M2067">
        <v>-5.0777679999999999E-2</v>
      </c>
      <c r="N2067">
        <v>0</v>
      </c>
      <c r="O2067">
        <v>-0.99871019999999899</v>
      </c>
      <c r="P2067">
        <v>0.1096422</v>
      </c>
      <c r="Q2067">
        <v>-9.3547809999999995E-3</v>
      </c>
      <c r="R2067">
        <v>-0.99392769999999997</v>
      </c>
      <c r="S2067">
        <v>0.44552609999999898</v>
      </c>
      <c r="T2067">
        <v>-0.26896179999999997</v>
      </c>
      <c r="U2067">
        <v>-2.9664609999999998</v>
      </c>
      <c r="V2067">
        <v>-0.15999669999999999</v>
      </c>
      <c r="W2067">
        <v>-8.7623100000000006E-3</v>
      </c>
      <c r="X2067">
        <v>0.98707869999999998</v>
      </c>
      <c r="Y2067">
        <v>-0.197956299999999</v>
      </c>
      <c r="Z2067">
        <v>8.8734779999999999E-2</v>
      </c>
      <c r="AA2067">
        <v>0.976186199999999</v>
      </c>
      <c r="AB2067">
        <v>25</v>
      </c>
      <c r="AC2067">
        <v>1.8380000000000201</v>
      </c>
      <c r="AD2067">
        <v>-1.1014877923571</v>
      </c>
      <c r="AE2067">
        <v>-11.914099999999999</v>
      </c>
      <c r="AF2067">
        <v>-2.4203919018237601</v>
      </c>
      <c r="AG2067">
        <v>-1.1014877923571</v>
      </c>
      <c r="AH2067">
        <v>11.7076568277751</v>
      </c>
      <c r="AI2067">
        <v>95.264050036274995</v>
      </c>
      <c r="AJ2067">
        <v>101.680537052201</v>
      </c>
      <c r="AK2067">
        <v>12.0058652629485</v>
      </c>
    </row>
    <row r="2068" spans="1:37" x14ac:dyDescent="0.2">
      <c r="A2068" t="str">
        <f>"20200111160150208"</f>
        <v>20200111160150208</v>
      </c>
      <c r="B2068" t="str">
        <f>"1578729710203651"</f>
        <v>1578729710203651</v>
      </c>
      <c r="C2068" t="s">
        <v>37</v>
      </c>
      <c r="D2068">
        <v>5.1702309999999896</v>
      </c>
      <c r="E2068">
        <v>0.48657899999999998</v>
      </c>
      <c r="F2068" t="s">
        <v>38</v>
      </c>
      <c r="G2068">
        <v>-491.85309999999998</v>
      </c>
      <c r="H2068" s="1">
        <v>-6.8700230000000003E-7</v>
      </c>
      <c r="I2068">
        <v>240.0412</v>
      </c>
      <c r="J2068">
        <v>-493.68009999999998</v>
      </c>
      <c r="K2068">
        <v>1.101478</v>
      </c>
      <c r="L2068">
        <v>251.95930000000001</v>
      </c>
      <c r="M2068">
        <v>-5.2624650000000002E-2</v>
      </c>
      <c r="N2068">
        <v>0</v>
      </c>
      <c r="O2068">
        <v>-0.99861440000000001</v>
      </c>
      <c r="P2068">
        <v>0.108369699999999</v>
      </c>
      <c r="Q2068">
        <v>-9.0006949999999995E-3</v>
      </c>
      <c r="R2068">
        <v>-0.99407000000000001</v>
      </c>
      <c r="S2068">
        <v>0.44158940000000002</v>
      </c>
      <c r="T2068">
        <v>-0.26842189999999999</v>
      </c>
      <c r="U2068">
        <v>-2.9671020000000001</v>
      </c>
      <c r="V2068">
        <v>-0.16055810000000001</v>
      </c>
      <c r="W2068">
        <v>-8.4691130000000003E-3</v>
      </c>
      <c r="X2068">
        <v>0.98698999999999903</v>
      </c>
      <c r="Y2068">
        <v>-0.1984736</v>
      </c>
      <c r="Z2068">
        <v>8.8530310000000001E-2</v>
      </c>
      <c r="AA2068">
        <v>0.97609969999999902</v>
      </c>
      <c r="AB2068">
        <v>25</v>
      </c>
      <c r="AC2068">
        <v>1.82699999999999</v>
      </c>
      <c r="AD2068">
        <v>-1.1014786870022999</v>
      </c>
      <c r="AE2068">
        <v>-11.918100000000001</v>
      </c>
      <c r="AF2068">
        <v>-2.4313634075174901</v>
      </c>
      <c r="AG2068">
        <v>-1.1014786870022999</v>
      </c>
      <c r="AH2068">
        <v>11.707734153897601</v>
      </c>
      <c r="AI2068">
        <v>95.262999159510201</v>
      </c>
      <c r="AJ2068">
        <v>101.731944515401</v>
      </c>
      <c r="AK2068">
        <v>12.0081564919714</v>
      </c>
    </row>
    <row r="2069" spans="1:37" x14ac:dyDescent="0.2">
      <c r="A2069" t="str">
        <f>"20200111160150231"</f>
        <v>20200111160150231</v>
      </c>
      <c r="B2069" t="str">
        <f>"1578729710223171"</f>
        <v>1578729710223171</v>
      </c>
      <c r="C2069" t="s">
        <v>37</v>
      </c>
      <c r="D2069">
        <v>5.1801389999999996</v>
      </c>
      <c r="E2069">
        <v>0.48692259999999998</v>
      </c>
      <c r="F2069" t="s">
        <v>38</v>
      </c>
      <c r="G2069">
        <v>-491.89530000000002</v>
      </c>
      <c r="H2069" s="1">
        <v>-6.0266519999999898E-7</v>
      </c>
      <c r="I2069">
        <v>239.8184</v>
      </c>
      <c r="J2069">
        <v>-493.69589999999999</v>
      </c>
      <c r="K2069">
        <v>1.1014679999999999</v>
      </c>
      <c r="L2069">
        <v>251.69659999999999</v>
      </c>
      <c r="M2069">
        <v>-5.4457989999999998E-2</v>
      </c>
      <c r="N2069">
        <v>0</v>
      </c>
      <c r="O2069">
        <v>-0.99851639999999997</v>
      </c>
      <c r="P2069">
        <v>0.1072803</v>
      </c>
      <c r="Q2069">
        <v>-9.4206559999999995E-3</v>
      </c>
      <c r="R2069">
        <v>-0.99418469999999903</v>
      </c>
      <c r="S2069">
        <v>0.43630979999999903</v>
      </c>
      <c r="T2069">
        <v>-0.26925890000000002</v>
      </c>
      <c r="U2069">
        <v>-2.9678650000000002</v>
      </c>
      <c r="V2069">
        <v>-0.16128919999999999</v>
      </c>
      <c r="W2069">
        <v>-8.9325759999999994E-3</v>
      </c>
      <c r="X2069">
        <v>0.98686679999999904</v>
      </c>
      <c r="Y2069">
        <v>-0.19853370000000001</v>
      </c>
      <c r="Z2069">
        <v>8.8779319999999995E-2</v>
      </c>
      <c r="AA2069">
        <v>0.97606489999999901</v>
      </c>
      <c r="AB2069">
        <v>25</v>
      </c>
      <c r="AC2069">
        <v>1.80059999999997</v>
      </c>
      <c r="AD2069">
        <v>-1.1014686026652001</v>
      </c>
      <c r="AE2069">
        <v>-11.8781999999999</v>
      </c>
      <c r="AF2069">
        <v>-2.42441171638096</v>
      </c>
      <c r="AG2069">
        <v>-1.1014686026652001</v>
      </c>
      <c r="AH2069">
        <v>11.664467940002501</v>
      </c>
      <c r="AI2069">
        <v>95.282180158503806</v>
      </c>
      <c r="AJ2069">
        <v>101.741519613081</v>
      </c>
      <c r="AK2069">
        <v>11.96456508096</v>
      </c>
    </row>
    <row r="2070" spans="1:37" x14ac:dyDescent="0.2">
      <c r="A2070" t="str">
        <f>"20200111160150253"</f>
        <v>20200111160150253</v>
      </c>
      <c r="B2070" t="str">
        <f>"1578729710243667"</f>
        <v>1578729710243667</v>
      </c>
      <c r="C2070" t="s">
        <v>37</v>
      </c>
      <c r="D2070">
        <v>5.1970970000000003</v>
      </c>
      <c r="E2070">
        <v>0.48676510000000001</v>
      </c>
      <c r="F2070" t="s">
        <v>38</v>
      </c>
      <c r="G2070">
        <v>-491.9461</v>
      </c>
      <c r="H2070" s="1">
        <v>-5.4277609999999898E-7</v>
      </c>
      <c r="I2070">
        <v>239.6473</v>
      </c>
      <c r="J2070">
        <v>-493.71159999999998</v>
      </c>
      <c r="K2070">
        <v>1.101477</v>
      </c>
      <c r="L2070">
        <v>251.4402</v>
      </c>
      <c r="M2070">
        <v>-5.6178980000000003E-2</v>
      </c>
      <c r="N2070">
        <v>0</v>
      </c>
      <c r="O2070">
        <v>-0.99842070000000005</v>
      </c>
      <c r="P2070">
        <v>0.1065422</v>
      </c>
      <c r="Q2070">
        <v>-1.090034E-2</v>
      </c>
      <c r="R2070">
        <v>-0.99424849999999998</v>
      </c>
      <c r="S2070">
        <v>0.43106080000000002</v>
      </c>
      <c r="T2070">
        <v>-0.27135710000000002</v>
      </c>
      <c r="U2070">
        <v>-2.9684599999999999</v>
      </c>
      <c r="V2070">
        <v>-0.16226089999999899</v>
      </c>
      <c r="W2070">
        <v>-1.043931E-2</v>
      </c>
      <c r="X2070">
        <v>0.98669269999999998</v>
      </c>
      <c r="Y2070">
        <v>-0.19849600000000001</v>
      </c>
      <c r="Z2070">
        <v>8.9446490000000003E-2</v>
      </c>
      <c r="AA2070">
        <v>0.97601159999999998</v>
      </c>
      <c r="AB2070">
        <v>26</v>
      </c>
      <c r="AC2070">
        <v>1.7654999999999701</v>
      </c>
      <c r="AD2070">
        <v>-1.1014775427761001</v>
      </c>
      <c r="AE2070">
        <v>-11.792899999999999</v>
      </c>
      <c r="AF2070">
        <v>-2.4047063603286598</v>
      </c>
      <c r="AG2070">
        <v>-1.1014775427761001</v>
      </c>
      <c r="AH2070">
        <v>11.576315026989599</v>
      </c>
      <c r="AI2070">
        <v>95.322342401177494</v>
      </c>
      <c r="AJ2070">
        <v>101.734957256982</v>
      </c>
      <c r="AK2070">
        <v>11.874634102184</v>
      </c>
    </row>
    <row r="2071" spans="1:37" x14ac:dyDescent="0.2">
      <c r="A2071" t="str">
        <f>"20200111160150274"</f>
        <v>20200111160150274</v>
      </c>
      <c r="B2071" t="str">
        <f>"1578729710263187"</f>
        <v>1578729710263187</v>
      </c>
      <c r="C2071" t="s">
        <v>37</v>
      </c>
      <c r="D2071">
        <v>5.1793949999999898</v>
      </c>
      <c r="E2071">
        <v>0.48691440000000002</v>
      </c>
      <c r="F2071" t="s">
        <v>38</v>
      </c>
      <c r="G2071">
        <v>-491.99549999999999</v>
      </c>
      <c r="H2071" s="1">
        <v>-4.6382220000000001E-6</v>
      </c>
      <c r="I2071">
        <v>239.5763</v>
      </c>
      <c r="J2071">
        <v>-493.72719999999998</v>
      </c>
      <c r="K2071">
        <v>1.101499</v>
      </c>
      <c r="L2071">
        <v>251.19210000000001</v>
      </c>
      <c r="M2071">
        <v>-5.778055E-2</v>
      </c>
      <c r="N2071">
        <v>0</v>
      </c>
      <c r="O2071">
        <v>-0.99832949999999998</v>
      </c>
      <c r="P2071">
        <v>0.1069946</v>
      </c>
      <c r="Q2071">
        <v>-1.1911349999999999E-2</v>
      </c>
      <c r="R2071">
        <v>-0.99418850000000003</v>
      </c>
      <c r="S2071">
        <v>0.42938229999999999</v>
      </c>
      <c r="T2071">
        <v>-0.27558709999999997</v>
      </c>
      <c r="U2071">
        <v>-2.9683069999999998</v>
      </c>
      <c r="V2071">
        <v>-0.164294</v>
      </c>
      <c r="W2071">
        <v>-1.1461239999999999E-2</v>
      </c>
      <c r="X2071">
        <v>0.98634480000000002</v>
      </c>
      <c r="Y2071">
        <v>-0.19951659999999999</v>
      </c>
      <c r="Z2071">
        <v>9.0815160000000006E-2</v>
      </c>
      <c r="AA2071">
        <v>0.97567709999999996</v>
      </c>
      <c r="AB2071">
        <v>26</v>
      </c>
      <c r="AC2071">
        <v>1.73169999999998</v>
      </c>
      <c r="AD2071">
        <v>-1.101503638222</v>
      </c>
      <c r="AE2071">
        <v>-11.6158</v>
      </c>
      <c r="AF2071">
        <v>-2.3790459471163499</v>
      </c>
      <c r="AG2071">
        <v>-1.101503638222</v>
      </c>
      <c r="AH2071">
        <v>11.3960854162467</v>
      </c>
      <c r="AI2071">
        <v>95.405039528772406</v>
      </c>
      <c r="AJ2071">
        <v>101.79171216938499</v>
      </c>
      <c r="AK2071">
        <v>11.693756141544</v>
      </c>
    </row>
    <row r="2072" spans="1:37" x14ac:dyDescent="0.2">
      <c r="A2072" t="str">
        <f>"20200111160150297"</f>
        <v>20200111160150297</v>
      </c>
      <c r="B2072" t="str">
        <f>"1578729710293443"</f>
        <v>1578729710293443</v>
      </c>
      <c r="C2072" t="s">
        <v>37</v>
      </c>
      <c r="D2072">
        <v>5.1577419999999998</v>
      </c>
      <c r="E2072">
        <v>0.48661670000000001</v>
      </c>
      <c r="F2072" t="s">
        <v>38</v>
      </c>
      <c r="G2072">
        <v>-492.04169999999999</v>
      </c>
      <c r="H2072" s="1">
        <v>-4.6346630000000003E-6</v>
      </c>
      <c r="I2072">
        <v>239.54169999999999</v>
      </c>
      <c r="J2072">
        <v>-493.74489999999997</v>
      </c>
      <c r="K2072">
        <v>1.101534</v>
      </c>
      <c r="L2072">
        <v>250.91849999999999</v>
      </c>
      <c r="M2072">
        <v>-5.9454340000000001E-2</v>
      </c>
      <c r="N2072">
        <v>0</v>
      </c>
      <c r="O2072">
        <v>-0.99823119999999999</v>
      </c>
      <c r="P2072">
        <v>0.108379</v>
      </c>
      <c r="Q2072">
        <v>-1.2116160000000001E-2</v>
      </c>
      <c r="R2072">
        <v>-0.99403600000000003</v>
      </c>
      <c r="S2072">
        <v>0.42941279999999998</v>
      </c>
      <c r="T2072">
        <v>-0.28061409999999998</v>
      </c>
      <c r="U2072">
        <v>-2.9679869999999999</v>
      </c>
      <c r="V2072">
        <v>-0.16731940000000001</v>
      </c>
      <c r="W2072">
        <v>-1.1662870000000001E-2</v>
      </c>
      <c r="X2072">
        <v>0.98583379999999998</v>
      </c>
      <c r="Y2072">
        <v>-0.20116210000000001</v>
      </c>
      <c r="Z2072">
        <v>9.2437480000000002E-2</v>
      </c>
      <c r="AA2072">
        <v>0.97518669999999996</v>
      </c>
      <c r="AB2072">
        <v>26</v>
      </c>
      <c r="AC2072">
        <v>1.7031999999999801</v>
      </c>
      <c r="AD2072">
        <v>-1.1015386346630001</v>
      </c>
      <c r="AE2072">
        <v>-11.376799999999999</v>
      </c>
      <c r="AF2072">
        <v>-2.3549936151529902</v>
      </c>
      <c r="AG2072">
        <v>-1.1015386346630001</v>
      </c>
      <c r="AH2072">
        <v>11.1531463223514</v>
      </c>
      <c r="AI2072">
        <v>95.5195893016231</v>
      </c>
      <c r="AJ2072">
        <v>101.92290491485301</v>
      </c>
      <c r="AK2072">
        <v>11.452163777157899</v>
      </c>
    </row>
    <row r="2073" spans="1:37" x14ac:dyDescent="0.2">
      <c r="A2073" t="str">
        <f>"20200111160150320"</f>
        <v>20200111160150320</v>
      </c>
      <c r="B2073" t="str">
        <f>"1578729710312963"</f>
        <v>1578729710312963</v>
      </c>
      <c r="C2073" t="s">
        <v>37</v>
      </c>
      <c r="D2073">
        <v>5.3786230000000002</v>
      </c>
      <c r="E2073">
        <v>0.48669750000000001</v>
      </c>
      <c r="F2073" t="s">
        <v>38</v>
      </c>
      <c r="G2073">
        <v>-492.04199999999997</v>
      </c>
      <c r="H2073" s="1">
        <v>-4.555561E-6</v>
      </c>
      <c r="I2073">
        <v>239.3091</v>
      </c>
      <c r="J2073">
        <v>-493.76280000000003</v>
      </c>
      <c r="K2073">
        <v>1.1016030000000001</v>
      </c>
      <c r="L2073">
        <v>250.6447</v>
      </c>
      <c r="M2073">
        <v>-6.1007970000000002E-2</v>
      </c>
      <c r="N2073">
        <v>0</v>
      </c>
      <c r="O2073">
        <v>-0.99813750000000001</v>
      </c>
      <c r="P2073">
        <v>0.1101558</v>
      </c>
      <c r="Q2073">
        <v>-1.118395E-2</v>
      </c>
      <c r="R2073">
        <v>-0.99385179999999995</v>
      </c>
      <c r="S2073">
        <v>0.43521120000000002</v>
      </c>
      <c r="T2073">
        <v>-0.28152690000000002</v>
      </c>
      <c r="U2073">
        <v>-2.9670869999999998</v>
      </c>
      <c r="V2073">
        <v>-0.17061219999999999</v>
      </c>
      <c r="W2073">
        <v>-1.071682E-2</v>
      </c>
      <c r="X2073">
        <v>0.98527999999999905</v>
      </c>
      <c r="Y2073">
        <v>-0.20458959999999901</v>
      </c>
      <c r="Z2073">
        <v>9.2703569999999999E-2</v>
      </c>
      <c r="AA2073">
        <v>0.97444809999999904</v>
      </c>
      <c r="AB2073">
        <v>26</v>
      </c>
      <c r="AC2073">
        <v>1.7208000000000501</v>
      </c>
      <c r="AD2073">
        <v>-1.1016075555610001</v>
      </c>
      <c r="AE2073">
        <v>-11.335599999999999</v>
      </c>
      <c r="AF2073">
        <v>-2.3871198336136499</v>
      </c>
      <c r="AG2073">
        <v>-1.1016075555610001</v>
      </c>
      <c r="AH2073">
        <v>11.1069689716018</v>
      </c>
      <c r="AI2073">
        <v>95.538508513228095</v>
      </c>
      <c r="AJ2073">
        <v>102.129548569373</v>
      </c>
      <c r="AK2073">
        <v>11.4138792722994</v>
      </c>
    </row>
    <row r="2074" spans="1:37" x14ac:dyDescent="0.2">
      <c r="A2074" t="str">
        <f>"20200111160150343"</f>
        <v>20200111160150343</v>
      </c>
      <c r="B2074" t="str">
        <f>"1578729710333459"</f>
        <v>1578729710333459</v>
      </c>
      <c r="C2074" t="s">
        <v>37</v>
      </c>
      <c r="D2074">
        <v>5.1969989999999999</v>
      </c>
      <c r="E2074">
        <v>0.48678059999999901</v>
      </c>
      <c r="F2074" t="s">
        <v>38</v>
      </c>
      <c r="G2074">
        <v>-492.0299</v>
      </c>
      <c r="H2074" s="1">
        <v>-4.4268490000000004E-6</v>
      </c>
      <c r="I2074">
        <v>238.93719999999999</v>
      </c>
      <c r="J2074">
        <v>-493.78050000000002</v>
      </c>
      <c r="K2074">
        <v>1.1016809999999999</v>
      </c>
      <c r="L2074">
        <v>250.37889999999999</v>
      </c>
      <c r="M2074">
        <v>-6.2374260000000001E-2</v>
      </c>
      <c r="N2074">
        <v>0</v>
      </c>
      <c r="O2074">
        <v>-0.99805290000000002</v>
      </c>
      <c r="P2074">
        <v>0.11129600000000001</v>
      </c>
      <c r="Q2074">
        <v>-1.055641E-2</v>
      </c>
      <c r="R2074">
        <v>-0.99373129999999998</v>
      </c>
      <c r="S2074">
        <v>0.43911739999999999</v>
      </c>
      <c r="T2074">
        <v>-0.27915079999999998</v>
      </c>
      <c r="U2074">
        <v>-2.966736</v>
      </c>
      <c r="V2074">
        <v>-0.1730874</v>
      </c>
      <c r="W2074">
        <v>-1.0071780000000001E-2</v>
      </c>
      <c r="X2074">
        <v>0.98485499999999904</v>
      </c>
      <c r="Y2074">
        <v>-0.2072118</v>
      </c>
      <c r="Z2074">
        <v>9.1892440000000006E-2</v>
      </c>
      <c r="AA2074">
        <v>0.97397080000000003</v>
      </c>
      <c r="AB2074">
        <v>27</v>
      </c>
      <c r="AC2074">
        <v>1.7506000000000199</v>
      </c>
      <c r="AD2074">
        <v>-1.1016854268489999</v>
      </c>
      <c r="AE2074">
        <v>-11.4416999999999</v>
      </c>
      <c r="AF2074">
        <v>-2.4387658035519899</v>
      </c>
      <c r="AG2074">
        <v>-1.1016854268489999</v>
      </c>
      <c r="AH2074">
        <v>11.2086881675106</v>
      </c>
      <c r="AI2074">
        <v>95.485946302799107</v>
      </c>
      <c r="AJ2074">
        <v>102.274996520531</v>
      </c>
      <c r="AK2074">
        <v>11.5237138050543</v>
      </c>
    </row>
    <row r="2075" spans="1:37" x14ac:dyDescent="0.2">
      <c r="A2075" t="str">
        <f>"20200111160150364"</f>
        <v>20200111160150364</v>
      </c>
      <c r="B2075" t="str">
        <f>"1578729710352989"</f>
        <v>1578729710352989</v>
      </c>
      <c r="C2075" t="s">
        <v>37</v>
      </c>
      <c r="D2075">
        <v>5.2591469999999996</v>
      </c>
      <c r="E2075">
        <v>0.48665439999999999</v>
      </c>
      <c r="F2075" t="s">
        <v>38</v>
      </c>
      <c r="G2075">
        <v>-492.02210000000002</v>
      </c>
      <c r="H2075" s="1">
        <v>-4.3021879999999997E-6</v>
      </c>
      <c r="I2075">
        <v>238.57499999999999</v>
      </c>
      <c r="J2075">
        <v>-493.798</v>
      </c>
      <c r="K2075">
        <v>1.1017779999999999</v>
      </c>
      <c r="L2075">
        <v>250.119</v>
      </c>
      <c r="M2075">
        <v>-6.354833E-2</v>
      </c>
      <c r="N2075">
        <v>0</v>
      </c>
      <c r="O2075">
        <v>-0.9979789</v>
      </c>
      <c r="P2075">
        <v>0.112259199999999</v>
      </c>
      <c r="Q2075">
        <v>-1.056058E-2</v>
      </c>
      <c r="R2075">
        <v>-0.99362309999999998</v>
      </c>
      <c r="S2075">
        <v>0.44192500000000001</v>
      </c>
      <c r="T2075">
        <v>-0.27686909999999998</v>
      </c>
      <c r="U2075">
        <v>-2.966507</v>
      </c>
      <c r="V2075">
        <v>-0.17519789999999999</v>
      </c>
      <c r="W2075">
        <v>-1.005694E-2</v>
      </c>
      <c r="X2075">
        <v>0.98448189999999902</v>
      </c>
      <c r="Y2075">
        <v>-0.2092852</v>
      </c>
      <c r="Z2075">
        <v>9.1117690000000001E-2</v>
      </c>
      <c r="AA2075">
        <v>0.97360009999999997</v>
      </c>
      <c r="AB2075">
        <v>27</v>
      </c>
      <c r="AC2075">
        <v>1.7758999999999701</v>
      </c>
      <c r="AD2075">
        <v>-1.101782302188</v>
      </c>
      <c r="AE2075">
        <v>-11.544</v>
      </c>
      <c r="AF2075">
        <v>-2.4838099255006099</v>
      </c>
      <c r="AG2075">
        <v>-1.101782302188</v>
      </c>
      <c r="AH2075">
        <v>11.307193414795099</v>
      </c>
      <c r="AI2075">
        <v>95.436562329916498</v>
      </c>
      <c r="AJ2075">
        <v>102.389183143222</v>
      </c>
      <c r="AK2075">
        <v>11.6290953606467</v>
      </c>
    </row>
    <row r="2076" spans="1:37" x14ac:dyDescent="0.2">
      <c r="A2076" t="str">
        <f>"20200111160150387"</f>
        <v>20200111160150387</v>
      </c>
      <c r="B2076" t="str">
        <f>"1578729710383236"</f>
        <v>1578729710383236</v>
      </c>
      <c r="C2076" t="s">
        <v>37</v>
      </c>
      <c r="D2076">
        <v>5.1863299999999999</v>
      </c>
      <c r="E2076">
        <v>0.48656909999999998</v>
      </c>
      <c r="F2076" t="s">
        <v>38</v>
      </c>
      <c r="G2076">
        <v>-492.0213</v>
      </c>
      <c r="H2076" s="1">
        <v>-4.2036160000000003E-6</v>
      </c>
      <c r="I2076">
        <v>238.28569999999999</v>
      </c>
      <c r="J2076">
        <v>-493.81659999999999</v>
      </c>
      <c r="K2076">
        <v>1.1019000000000001</v>
      </c>
      <c r="L2076">
        <v>249.8443</v>
      </c>
      <c r="M2076">
        <v>-6.458941E-2</v>
      </c>
      <c r="N2076">
        <v>0</v>
      </c>
      <c r="O2076">
        <v>-0.99791189999999996</v>
      </c>
      <c r="P2076">
        <v>0.1132975</v>
      </c>
      <c r="Q2076">
        <v>-1.219923E-2</v>
      </c>
      <c r="R2076">
        <v>-0.99348630000000004</v>
      </c>
      <c r="S2076">
        <v>0.4453125</v>
      </c>
      <c r="T2076">
        <v>-0.27615809999999902</v>
      </c>
      <c r="U2076">
        <v>-2.965973</v>
      </c>
      <c r="V2076">
        <v>-0.17725199999999999</v>
      </c>
      <c r="W2076">
        <v>-1.167172E-2</v>
      </c>
      <c r="X2076">
        <v>0.98409629999999904</v>
      </c>
      <c r="Y2076">
        <v>-0.2114212</v>
      </c>
      <c r="Z2076">
        <v>9.0863730000000004E-2</v>
      </c>
      <c r="AA2076">
        <v>0.97316229999999904</v>
      </c>
      <c r="AB2076">
        <v>27</v>
      </c>
      <c r="AC2076">
        <v>1.7952999999999899</v>
      </c>
      <c r="AD2076">
        <v>-1.1019042036160001</v>
      </c>
      <c r="AE2076">
        <v>-11.5586</v>
      </c>
      <c r="AF2076">
        <v>-2.51578908482084</v>
      </c>
      <c r="AG2076">
        <v>-1.1019042036160001</v>
      </c>
      <c r="AH2076">
        <v>11.318069708189199</v>
      </c>
      <c r="AI2076">
        <v>95.428993242307698</v>
      </c>
      <c r="AJ2076">
        <v>102.532003554216</v>
      </c>
      <c r="AK2076">
        <v>11.6465483948112</v>
      </c>
    </row>
    <row r="2077" spans="1:37" x14ac:dyDescent="0.2">
      <c r="A2077" t="str">
        <f>"20200111160150410"</f>
        <v>20200111160150410</v>
      </c>
      <c r="B2077" t="str">
        <f>"1578729710403731"</f>
        <v>1578729710403731</v>
      </c>
      <c r="C2077" t="s">
        <v>37</v>
      </c>
      <c r="D2077">
        <v>5.1902349999999897</v>
      </c>
      <c r="E2077">
        <v>0.4866317</v>
      </c>
      <c r="F2077" t="s">
        <v>38</v>
      </c>
      <c r="G2077">
        <v>-492.0582</v>
      </c>
      <c r="H2077" s="1">
        <v>-4.1887009999999996E-6</v>
      </c>
      <c r="I2077">
        <v>238.2227</v>
      </c>
      <c r="J2077">
        <v>-493.8356</v>
      </c>
      <c r="K2077">
        <v>1.102055</v>
      </c>
      <c r="L2077">
        <v>249.5651</v>
      </c>
      <c r="M2077">
        <v>-6.5398010000000006E-2</v>
      </c>
      <c r="N2077">
        <v>0</v>
      </c>
      <c r="O2077">
        <v>-0.99785949999999901</v>
      </c>
      <c r="P2077">
        <v>0.11386110000000001</v>
      </c>
      <c r="Q2077">
        <v>-1.4277E-2</v>
      </c>
      <c r="R2077">
        <v>-0.99339460000000002</v>
      </c>
      <c r="S2077">
        <v>0.44863890000000001</v>
      </c>
      <c r="T2077">
        <v>-0.28113070000000001</v>
      </c>
      <c r="U2077">
        <v>-2.9650569999999998</v>
      </c>
      <c r="V2077">
        <v>-0.17860429999999999</v>
      </c>
      <c r="W2077">
        <v>-1.371942E-2</v>
      </c>
      <c r="X2077">
        <v>0.98382530000000001</v>
      </c>
      <c r="Y2077">
        <v>-0.21330180000000001</v>
      </c>
      <c r="Z2077">
        <v>9.24793E-2</v>
      </c>
      <c r="AA2077">
        <v>0.97259959999999901</v>
      </c>
      <c r="AB2077">
        <v>27</v>
      </c>
      <c r="AC2077">
        <v>1.7774000000000001</v>
      </c>
      <c r="AD2077">
        <v>-1.1020591887010001</v>
      </c>
      <c r="AE2077">
        <v>-11.3423999999999</v>
      </c>
      <c r="AF2077">
        <v>-2.4923994467042001</v>
      </c>
      <c r="AG2077">
        <v>-1.1020591887010001</v>
      </c>
      <c r="AH2077">
        <v>11.0996049580495</v>
      </c>
      <c r="AI2077">
        <v>95.533310068410302</v>
      </c>
      <c r="AJ2077">
        <v>102.655757614202</v>
      </c>
      <c r="AK2077">
        <v>11.429252805065101</v>
      </c>
    </row>
    <row r="2078" spans="1:37" x14ac:dyDescent="0.2">
      <c r="A2078" t="str">
        <f>"20200111160150432"</f>
        <v>20200111160150432</v>
      </c>
      <c r="B2078" t="str">
        <f>"1578729710423251"</f>
        <v>1578729710423251</v>
      </c>
      <c r="C2078" t="s">
        <v>37</v>
      </c>
      <c r="D2078">
        <v>5.2334079999999998</v>
      </c>
      <c r="E2078">
        <v>0.48664020000000002</v>
      </c>
      <c r="F2078" t="s">
        <v>38</v>
      </c>
      <c r="G2078">
        <v>-492.11540000000002</v>
      </c>
      <c r="H2078" s="1">
        <v>-4.1973910000000002E-6</v>
      </c>
      <c r="I2078">
        <v>238.2183</v>
      </c>
      <c r="J2078">
        <v>-493.8544</v>
      </c>
      <c r="K2078">
        <v>1.102236</v>
      </c>
      <c r="L2078">
        <v>249.28819999999999</v>
      </c>
      <c r="M2078">
        <v>-6.5917260000000005E-2</v>
      </c>
      <c r="N2078">
        <v>0</v>
      </c>
      <c r="O2078">
        <v>-0.99782510000000002</v>
      </c>
      <c r="P2078">
        <v>0.11432879999999999</v>
      </c>
      <c r="Q2078">
        <v>-1.669491E-2</v>
      </c>
      <c r="R2078">
        <v>-0.993303099999999</v>
      </c>
      <c r="S2078">
        <v>0.44940190000000002</v>
      </c>
      <c r="T2078">
        <v>-0.28791230000000001</v>
      </c>
      <c r="U2078">
        <v>-2.96434</v>
      </c>
      <c r="V2078">
        <v>-0.1795736</v>
      </c>
      <c r="W2078">
        <v>-1.6093960000000001E-2</v>
      </c>
      <c r="X2078">
        <v>0.98361290000000001</v>
      </c>
      <c r="Y2078">
        <v>-0.214058</v>
      </c>
      <c r="Z2078">
        <v>9.4697480000000001E-2</v>
      </c>
      <c r="AA2078">
        <v>0.97221990000000003</v>
      </c>
      <c r="AB2078">
        <v>27</v>
      </c>
      <c r="AC2078">
        <v>1.7389999999999699</v>
      </c>
      <c r="AD2078">
        <v>-1.1022401973910001</v>
      </c>
      <c r="AE2078">
        <v>-11.069899999999899</v>
      </c>
      <c r="AF2078">
        <v>-2.44129433348298</v>
      </c>
      <c r="AG2078">
        <v>-1.1022401973910001</v>
      </c>
      <c r="AH2078">
        <v>10.826441621119599</v>
      </c>
      <c r="AI2078">
        <v>95.671807148973798</v>
      </c>
      <c r="AJ2078">
        <v>102.70730431806599</v>
      </c>
      <c r="AK2078">
        <v>11.1528780882314</v>
      </c>
    </row>
    <row r="2079" spans="1:37" x14ac:dyDescent="0.2">
      <c r="A2079" t="str">
        <f>"20200111160150454"</f>
        <v>20200111160150454</v>
      </c>
      <c r="B2079" t="str">
        <f>"1578729710443748"</f>
        <v>1578729710443748</v>
      </c>
      <c r="C2079" t="s">
        <v>37</v>
      </c>
      <c r="D2079">
        <v>5.2424580000000001</v>
      </c>
      <c r="E2079">
        <v>0.48662699999999998</v>
      </c>
      <c r="F2079" t="s">
        <v>38</v>
      </c>
      <c r="G2079">
        <v>-492.17140000000001</v>
      </c>
      <c r="H2079" s="1">
        <v>-4.2095269999999998E-6</v>
      </c>
      <c r="I2079">
        <v>238.22479999999999</v>
      </c>
      <c r="J2079">
        <v>-493.87290000000002</v>
      </c>
      <c r="K2079">
        <v>1.1024149999999999</v>
      </c>
      <c r="L2079">
        <v>249.01589999999999</v>
      </c>
      <c r="M2079">
        <v>-6.6208420000000004E-2</v>
      </c>
      <c r="N2079">
        <v>0</v>
      </c>
      <c r="O2079">
        <v>-0.99780599999999997</v>
      </c>
      <c r="P2079">
        <v>0.1140655</v>
      </c>
      <c r="Q2079">
        <v>-1.746257E-2</v>
      </c>
      <c r="R2079">
        <v>-0.99332009999999904</v>
      </c>
      <c r="S2079">
        <v>0.45080569999999998</v>
      </c>
      <c r="T2079">
        <v>-0.2952437</v>
      </c>
      <c r="U2079">
        <v>-2.963409</v>
      </c>
      <c r="V2079">
        <v>-0.17959259999999999</v>
      </c>
      <c r="W2079">
        <v>-1.6801980000000001E-2</v>
      </c>
      <c r="X2079">
        <v>0.98359759999999996</v>
      </c>
      <c r="Y2079">
        <v>-0.2148032</v>
      </c>
      <c r="Z2079">
        <v>9.7101209999999993E-2</v>
      </c>
      <c r="AA2079">
        <v>0.97181839999999997</v>
      </c>
      <c r="AB2079">
        <v>28</v>
      </c>
      <c r="AC2079">
        <v>1.70150000000001</v>
      </c>
      <c r="AD2079">
        <v>-1.102419209527</v>
      </c>
      <c r="AE2079">
        <v>-10.7911</v>
      </c>
      <c r="AF2079">
        <v>-2.3879108698706299</v>
      </c>
      <c r="AG2079">
        <v>-1.102419209527</v>
      </c>
      <c r="AH2079">
        <v>10.5473597631904</v>
      </c>
      <c r="AI2079">
        <v>95.8206789481264</v>
      </c>
      <c r="AJ2079">
        <v>102.75665068196599</v>
      </c>
      <c r="AK2079">
        <v>10.8703378241041</v>
      </c>
    </row>
    <row r="2080" spans="1:37" x14ac:dyDescent="0.2">
      <c r="A2080" t="str">
        <f>"20200111160150475"</f>
        <v>20200111160150475</v>
      </c>
      <c r="B2080" t="str">
        <f>"1578729710474004"</f>
        <v>1578729710474004</v>
      </c>
      <c r="C2080" t="s">
        <v>37</v>
      </c>
      <c r="D2080">
        <v>5.24336</v>
      </c>
      <c r="E2080">
        <v>0.48657139999999999</v>
      </c>
      <c r="F2080" t="s">
        <v>38</v>
      </c>
      <c r="G2080">
        <v>-492.20639999999997</v>
      </c>
      <c r="H2080" s="1">
        <v>-4.1539299999999997E-6</v>
      </c>
      <c r="I2080">
        <v>238.04320000000001</v>
      </c>
      <c r="J2080">
        <v>-493.89109999999999</v>
      </c>
      <c r="K2080">
        <v>1.102606</v>
      </c>
      <c r="L2080">
        <v>248.74340000000001</v>
      </c>
      <c r="M2080">
        <v>-6.6253480000000003E-2</v>
      </c>
      <c r="N2080">
        <v>0</v>
      </c>
      <c r="O2080">
        <v>-0.99780290000000005</v>
      </c>
      <c r="P2080">
        <v>0.114737899999999</v>
      </c>
      <c r="Q2080">
        <v>-1.865553E-2</v>
      </c>
      <c r="R2080">
        <v>-0.99322099999999902</v>
      </c>
      <c r="S2080">
        <v>0.45004269999999902</v>
      </c>
      <c r="T2080">
        <v>-0.29771629999999999</v>
      </c>
      <c r="U2080">
        <v>-2.963257</v>
      </c>
      <c r="V2080">
        <v>-0.18029500000000001</v>
      </c>
      <c r="W2080">
        <v>-1.7913140000000001E-2</v>
      </c>
      <c r="X2080">
        <v>0.98344949999999998</v>
      </c>
      <c r="Y2080">
        <v>-0.21459810000000001</v>
      </c>
      <c r="Z2080">
        <v>9.7914989999999993E-2</v>
      </c>
      <c r="AA2080">
        <v>0.97178199999999904</v>
      </c>
      <c r="AB2080">
        <v>28</v>
      </c>
      <c r="AC2080">
        <v>1.6847000000000201</v>
      </c>
      <c r="AD2080">
        <v>-1.1026101539299999</v>
      </c>
      <c r="AE2080">
        <v>-10.700199999999899</v>
      </c>
      <c r="AF2080">
        <v>-2.3654144387127398</v>
      </c>
      <c r="AG2080">
        <v>-1.1026101539299999</v>
      </c>
      <c r="AH2080">
        <v>10.4567244468045</v>
      </c>
      <c r="AI2080">
        <v>95.872026750610203</v>
      </c>
      <c r="AJ2080">
        <v>102.746347407767</v>
      </c>
      <c r="AK2080">
        <v>10.7774774773515</v>
      </c>
    </row>
    <row r="2081" spans="1:37" x14ac:dyDescent="0.2">
      <c r="A2081" t="str">
        <f>"20200111160150499"</f>
        <v>20200111160150499</v>
      </c>
      <c r="B2081" t="str">
        <f>"1578729710493523"</f>
        <v>1578729710493523</v>
      </c>
      <c r="C2081" t="s">
        <v>37</v>
      </c>
      <c r="D2081">
        <v>5.2698049999999999</v>
      </c>
      <c r="E2081">
        <v>0.48650070000000001</v>
      </c>
      <c r="F2081" t="s">
        <v>38</v>
      </c>
      <c r="G2081">
        <v>-492.2364</v>
      </c>
      <c r="H2081" s="1">
        <v>-4.1117040000000001E-6</v>
      </c>
      <c r="I2081">
        <v>237.90350000000001</v>
      </c>
      <c r="J2081">
        <v>-493.90989999999999</v>
      </c>
      <c r="K2081">
        <v>1.102846</v>
      </c>
      <c r="L2081">
        <v>248.45820000000001</v>
      </c>
      <c r="M2081">
        <v>-6.5985290000000002E-2</v>
      </c>
      <c r="N2081">
        <v>0</v>
      </c>
      <c r="O2081">
        <v>-0.99782029999999999</v>
      </c>
      <c r="P2081">
        <v>0.115242</v>
      </c>
      <c r="Q2081">
        <v>-1.8707599999999901E-2</v>
      </c>
      <c r="R2081">
        <v>-0.99316150000000003</v>
      </c>
      <c r="S2081">
        <v>0.45223999999999998</v>
      </c>
      <c r="T2081">
        <v>-0.30134429999999901</v>
      </c>
      <c r="U2081">
        <v>-2.962555</v>
      </c>
      <c r="V2081">
        <v>-0.18052029999999999</v>
      </c>
      <c r="W2081">
        <v>-1.7848010000000001E-2</v>
      </c>
      <c r="X2081">
        <v>0.98340930000000004</v>
      </c>
      <c r="Y2081">
        <v>-0.2150562</v>
      </c>
      <c r="Z2081">
        <v>9.9111329999999997E-2</v>
      </c>
      <c r="AA2081">
        <v>0.97155949999999902</v>
      </c>
      <c r="AB2081">
        <v>28</v>
      </c>
      <c r="AC2081">
        <v>1.67349999999998</v>
      </c>
      <c r="AD2081">
        <v>-1.1028501117039999</v>
      </c>
      <c r="AE2081">
        <v>-10.554699999999899</v>
      </c>
      <c r="AF2081">
        <v>-2.3413718104817098</v>
      </c>
      <c r="AG2081">
        <v>-1.1028501117039999</v>
      </c>
      <c r="AH2081">
        <v>10.3114514945553</v>
      </c>
      <c r="AI2081">
        <v>95.954361021546305</v>
      </c>
      <c r="AJ2081">
        <v>102.792959208182</v>
      </c>
      <c r="AK2081">
        <v>10.6312902438214</v>
      </c>
    </row>
    <row r="2082" spans="1:37" x14ac:dyDescent="0.2">
      <c r="A2082" t="str">
        <f>"20200111160150521"</f>
        <v>20200111160150521</v>
      </c>
      <c r="B2082" t="str">
        <f>"1578729710514019"</f>
        <v>1578729710514019</v>
      </c>
      <c r="C2082" t="s">
        <v>37</v>
      </c>
      <c r="D2082">
        <v>5.2620940000000003</v>
      </c>
      <c r="E2082">
        <v>0.48637320000000001</v>
      </c>
      <c r="F2082" t="s">
        <v>38</v>
      </c>
      <c r="G2082">
        <v>-492.24380000000002</v>
      </c>
      <c r="H2082" s="1">
        <v>-4.0090159999999997E-6</v>
      </c>
      <c r="I2082">
        <v>237.59790000000001</v>
      </c>
      <c r="J2082">
        <v>-493.92849999999999</v>
      </c>
      <c r="K2082">
        <v>1.103148</v>
      </c>
      <c r="L2082">
        <v>248.1696</v>
      </c>
      <c r="M2082">
        <v>-6.5341789999999997E-2</v>
      </c>
      <c r="N2082">
        <v>0</v>
      </c>
      <c r="O2082">
        <v>-0.99786239999999904</v>
      </c>
      <c r="P2082">
        <v>0.1157458</v>
      </c>
      <c r="Q2082">
        <v>-1.813946E-2</v>
      </c>
      <c r="R2082">
        <v>-0.99311349999999998</v>
      </c>
      <c r="S2082">
        <v>0.45443729999999899</v>
      </c>
      <c r="T2082">
        <v>-0.30081160000000001</v>
      </c>
      <c r="U2082">
        <v>-2.962234</v>
      </c>
      <c r="V2082">
        <v>-0.18037529999999999</v>
      </c>
      <c r="W2082">
        <v>-1.7123889999999999E-2</v>
      </c>
      <c r="X2082">
        <v>0.98344880000000001</v>
      </c>
      <c r="Y2082">
        <v>-0.2151489</v>
      </c>
      <c r="Z2082">
        <v>9.8948259999999996E-2</v>
      </c>
      <c r="AA2082">
        <v>0.97155550000000002</v>
      </c>
      <c r="AB2082">
        <v>28</v>
      </c>
      <c r="AC2082">
        <v>1.6846999999999599</v>
      </c>
      <c r="AD2082">
        <v>-1.1031520090160001</v>
      </c>
      <c r="AE2082">
        <v>-10.5716999999999</v>
      </c>
      <c r="AF2082">
        <v>-2.3469512455644299</v>
      </c>
      <c r="AG2082">
        <v>-1.1031520090160001</v>
      </c>
      <c r="AH2082">
        <v>10.329337497239001</v>
      </c>
      <c r="AI2082">
        <v>95.945552604534797</v>
      </c>
      <c r="AJ2082">
        <v>102.80096706902</v>
      </c>
      <c r="AK2082">
        <v>10.6498984800757</v>
      </c>
    </row>
    <row r="2083" spans="1:37" x14ac:dyDescent="0.2">
      <c r="A2083" t="str">
        <f>"20200111160150544"</f>
        <v>20200111160150544</v>
      </c>
      <c r="B2083" t="str">
        <f>"1578729710533539"</f>
        <v>1578729710533539</v>
      </c>
      <c r="C2083" t="s">
        <v>37</v>
      </c>
      <c r="D2083">
        <v>5.8161569999999996</v>
      </c>
      <c r="E2083">
        <v>0.48631540000000001</v>
      </c>
      <c r="F2083" t="s">
        <v>38</v>
      </c>
      <c r="G2083">
        <v>-492.24169999999998</v>
      </c>
      <c r="H2083" s="1">
        <v>-3.8725709999999998E-6</v>
      </c>
      <c r="I2083">
        <v>237.22579999999999</v>
      </c>
      <c r="J2083">
        <v>-493.94589999999999</v>
      </c>
      <c r="K2083">
        <v>1.1035079999999999</v>
      </c>
      <c r="L2083">
        <v>247.89009999999999</v>
      </c>
      <c r="M2083">
        <v>-6.4323669999999999E-2</v>
      </c>
      <c r="N2083">
        <v>0</v>
      </c>
      <c r="O2083">
        <v>-0.99792800000000004</v>
      </c>
      <c r="P2083">
        <v>0.11575679999999899</v>
      </c>
      <c r="Q2083">
        <v>-1.7163270000000001E-2</v>
      </c>
      <c r="R2083">
        <v>-0.99312939999999905</v>
      </c>
      <c r="S2083">
        <v>0.45657349999999902</v>
      </c>
      <c r="T2083">
        <v>-0.29858779999999902</v>
      </c>
      <c r="U2083">
        <v>-2.9621279999999999</v>
      </c>
      <c r="V2083">
        <v>-0.17937329999999899</v>
      </c>
      <c r="W2083">
        <v>-1.5953459999999999E-2</v>
      </c>
      <c r="X2083">
        <v>0.98365179999999997</v>
      </c>
      <c r="Y2083">
        <v>-0.2148534</v>
      </c>
      <c r="Z2083">
        <v>9.8235390000000006E-2</v>
      </c>
      <c r="AA2083">
        <v>0.97169329999999998</v>
      </c>
      <c r="AB2083">
        <v>28</v>
      </c>
      <c r="AC2083">
        <v>1.7042000000000099</v>
      </c>
      <c r="AD2083">
        <v>-1.103511872571</v>
      </c>
      <c r="AE2083">
        <v>-10.6642999999999</v>
      </c>
      <c r="AF2083">
        <v>-2.3619772424635799</v>
      </c>
      <c r="AG2083">
        <v>-1.103511872571</v>
      </c>
      <c r="AH2083">
        <v>10.4237611938395</v>
      </c>
      <c r="AI2083">
        <v>95.894762835334305</v>
      </c>
      <c r="AJ2083">
        <v>102.767363496795</v>
      </c>
      <c r="AK2083">
        <v>10.744834683373</v>
      </c>
    </row>
    <row r="2084" spans="1:37" x14ac:dyDescent="0.2">
      <c r="A2084" t="str">
        <f>"20200111160150564"</f>
        <v>20200111160150564</v>
      </c>
      <c r="B2084" t="str">
        <f>"1578729710553059"</f>
        <v>1578729710553059</v>
      </c>
      <c r="C2084" t="s">
        <v>37</v>
      </c>
      <c r="D2084">
        <v>5.3575010000000001</v>
      </c>
      <c r="E2084">
        <v>0.48628979999999999</v>
      </c>
      <c r="F2084" t="s">
        <v>38</v>
      </c>
      <c r="G2084">
        <v>-492.24059999999997</v>
      </c>
      <c r="H2084" s="1">
        <v>-3.7050819999999998E-6</v>
      </c>
      <c r="I2084">
        <v>236.83599999999899</v>
      </c>
      <c r="J2084">
        <v>-493.96210000000002</v>
      </c>
      <c r="K2084">
        <v>1.1038969999999999</v>
      </c>
      <c r="L2084">
        <v>247.6216</v>
      </c>
      <c r="M2084">
        <v>-6.2943949999999999E-2</v>
      </c>
      <c r="N2084">
        <v>0</v>
      </c>
      <c r="O2084">
        <v>-0.99801550000000006</v>
      </c>
      <c r="P2084">
        <v>0.1161339</v>
      </c>
      <c r="Q2084">
        <v>-1.693511E-2</v>
      </c>
      <c r="R2084">
        <v>-0.99308949999999996</v>
      </c>
      <c r="S2084">
        <v>0.45700069999999998</v>
      </c>
      <c r="T2084">
        <v>-0.29572779999999999</v>
      </c>
      <c r="U2084">
        <v>-2.9623569999999999</v>
      </c>
      <c r="V2084">
        <v>-0.1783759</v>
      </c>
      <c r="W2084">
        <v>-1.5486750000000001E-2</v>
      </c>
      <c r="X2084">
        <v>0.98384050000000001</v>
      </c>
      <c r="Y2084">
        <v>-0.21364279999999999</v>
      </c>
      <c r="Z2084">
        <v>9.7321480000000002E-2</v>
      </c>
      <c r="AA2084">
        <v>0.97205209999999997</v>
      </c>
      <c r="AB2084">
        <v>28</v>
      </c>
      <c r="AC2084">
        <v>1.72150000000004</v>
      </c>
      <c r="AD2084">
        <v>-1.103900705082</v>
      </c>
      <c r="AE2084">
        <v>-10.785600000000001</v>
      </c>
      <c r="AF2084">
        <v>-2.3727377463697201</v>
      </c>
      <c r="AG2084">
        <v>-1.103900705082</v>
      </c>
      <c r="AH2084">
        <v>10.548103810434901</v>
      </c>
      <c r="AI2084">
        <v>95.829846961630693</v>
      </c>
      <c r="AJ2084">
        <v>102.67735577760899</v>
      </c>
      <c r="AK2084">
        <v>10.8678873372629</v>
      </c>
    </row>
    <row r="2085" spans="1:37" x14ac:dyDescent="0.2">
      <c r="A2085" t="str">
        <f>"20200111160150588"</f>
        <v>20200111160150588</v>
      </c>
      <c r="B2085" t="str">
        <f>"1578729710583317"</f>
        <v>1578729710583317</v>
      </c>
      <c r="C2085" t="s">
        <v>37</v>
      </c>
      <c r="D2085">
        <v>5.6524209999999897</v>
      </c>
      <c r="E2085">
        <v>0.4862667</v>
      </c>
      <c r="F2085" t="s">
        <v>38</v>
      </c>
      <c r="G2085">
        <v>-492.24459999999999</v>
      </c>
      <c r="H2085" s="1">
        <v>-3.5729829999999899E-6</v>
      </c>
      <c r="I2085">
        <v>236.5257</v>
      </c>
      <c r="J2085">
        <v>-493.97879999999998</v>
      </c>
      <c r="K2085">
        <v>1.1043499999999999</v>
      </c>
      <c r="L2085">
        <v>247.32769999999999</v>
      </c>
      <c r="M2085">
        <v>-6.0975920000000003E-2</v>
      </c>
      <c r="N2085">
        <v>0</v>
      </c>
      <c r="O2085">
        <v>-0.99813649999999998</v>
      </c>
      <c r="P2085">
        <v>0.11652939999999901</v>
      </c>
      <c r="Q2085">
        <v>-1.6976069999999999E-2</v>
      </c>
      <c r="R2085">
        <v>-0.99304230000000004</v>
      </c>
      <c r="S2085">
        <v>0.45849609999999902</v>
      </c>
      <c r="T2085">
        <v>-0.29470069999999998</v>
      </c>
      <c r="U2085">
        <v>-2.9622039999999998</v>
      </c>
      <c r="V2085">
        <v>-0.17681520000000001</v>
      </c>
      <c r="W2085">
        <v>-1.52027999999999E-2</v>
      </c>
      <c r="X2085">
        <v>0.98412659999999996</v>
      </c>
      <c r="Y2085">
        <v>-0.21220820000000001</v>
      </c>
      <c r="Z2085">
        <v>9.7021399999999994E-2</v>
      </c>
      <c r="AA2085">
        <v>0.97239629999999999</v>
      </c>
      <c r="AB2085">
        <v>28</v>
      </c>
      <c r="AC2085">
        <v>1.73419999999998</v>
      </c>
      <c r="AD2085">
        <v>-1.1043535729830001</v>
      </c>
      <c r="AE2085">
        <v>-10.8019999999999</v>
      </c>
      <c r="AF2085">
        <v>-2.3655329613065699</v>
      </c>
      <c r="AG2085">
        <v>-1.1043535729830001</v>
      </c>
      <c r="AH2085">
        <v>10.568467022276799</v>
      </c>
      <c r="AI2085">
        <v>95.822439296595206</v>
      </c>
      <c r="AJ2085">
        <v>102.616525435158</v>
      </c>
      <c r="AK2085">
        <v>10.886130543317</v>
      </c>
    </row>
    <row r="2086" spans="1:37" x14ac:dyDescent="0.2">
      <c r="A2086" t="str">
        <f>"20200111160150611"</f>
        <v>20200111160150611</v>
      </c>
      <c r="B2086" t="str">
        <f>"1578729710603811"</f>
        <v>1578729710603811</v>
      </c>
      <c r="C2086" t="s">
        <v>37</v>
      </c>
      <c r="D2086">
        <v>5.7464449999999996</v>
      </c>
      <c r="E2086">
        <v>0.4862628</v>
      </c>
      <c r="F2086" t="s">
        <v>38</v>
      </c>
      <c r="G2086">
        <v>-492.26029999999997</v>
      </c>
      <c r="H2086" s="1">
        <v>-3.4540499999999898E-6</v>
      </c>
      <c r="I2086">
        <v>236.23869999999999</v>
      </c>
      <c r="J2086">
        <v>-493.99439999999998</v>
      </c>
      <c r="K2086">
        <v>1.104822</v>
      </c>
      <c r="L2086">
        <v>247.03110000000001</v>
      </c>
      <c r="M2086">
        <v>-5.8470710000000002E-2</v>
      </c>
      <c r="N2086">
        <v>0</v>
      </c>
      <c r="O2086">
        <v>-0.99828490000000003</v>
      </c>
      <c r="P2086">
        <v>0.11718530000000001</v>
      </c>
      <c r="Q2086">
        <v>-1.6566000000000001E-2</v>
      </c>
      <c r="R2086">
        <v>-0.99297230000000003</v>
      </c>
      <c r="S2086">
        <v>0.45904539999999999</v>
      </c>
      <c r="T2086">
        <v>-0.29499409999999998</v>
      </c>
      <c r="U2086">
        <v>-2.9620820000000001</v>
      </c>
      <c r="V2086">
        <v>-0.1749859</v>
      </c>
      <c r="W2086">
        <v>-1.439499E-2</v>
      </c>
      <c r="X2086">
        <v>0.984465699999999</v>
      </c>
      <c r="Y2086">
        <v>-0.20993589999999901</v>
      </c>
      <c r="Z2086">
        <v>9.7166020000000006E-2</v>
      </c>
      <c r="AA2086">
        <v>0.97287489999999999</v>
      </c>
      <c r="AB2086">
        <v>29</v>
      </c>
      <c r="AC2086">
        <v>1.73410000000001</v>
      </c>
      <c r="AD2086">
        <v>-1.10482545405</v>
      </c>
      <c r="AE2086">
        <v>-10.792400000000001</v>
      </c>
      <c r="AF2086">
        <v>-2.3382871376115602</v>
      </c>
      <c r="AG2086">
        <v>-1.10482545405</v>
      </c>
      <c r="AH2086">
        <v>10.564612737703699</v>
      </c>
      <c r="AI2086">
        <v>95.830086184681704</v>
      </c>
      <c r="AJ2086">
        <v>102.480194263</v>
      </c>
      <c r="AK2086">
        <v>10.876546709295599</v>
      </c>
    </row>
    <row r="2087" spans="1:37" x14ac:dyDescent="0.2">
      <c r="A2087" t="str">
        <f>"20200111160150633"</f>
        <v>20200111160150633</v>
      </c>
      <c r="B2087" t="str">
        <f>"1578729710623331"</f>
        <v>1578729710623331</v>
      </c>
      <c r="C2087" t="s">
        <v>37</v>
      </c>
      <c r="D2087">
        <v>5.3709259999999999</v>
      </c>
      <c r="E2087">
        <v>0.48605619999999999</v>
      </c>
      <c r="F2087" t="s">
        <v>38</v>
      </c>
      <c r="G2087">
        <v>-492.26350000000002</v>
      </c>
      <c r="H2087" s="1">
        <v>-3.3116959999999999E-6</v>
      </c>
      <c r="I2087">
        <v>235.90479999999999</v>
      </c>
      <c r="J2087">
        <v>-494.00819999999999</v>
      </c>
      <c r="K2087">
        <v>1.1052569999999999</v>
      </c>
      <c r="L2087">
        <v>246.74680000000001</v>
      </c>
      <c r="M2087">
        <v>-5.560996E-2</v>
      </c>
      <c r="N2087">
        <v>0</v>
      </c>
      <c r="O2087">
        <v>-0.99844650000000001</v>
      </c>
      <c r="P2087">
        <v>0.1182781</v>
      </c>
      <c r="Q2087">
        <v>-1.631939E-2</v>
      </c>
      <c r="R2087">
        <v>-0.99284669999999897</v>
      </c>
      <c r="S2087">
        <v>0.4607849</v>
      </c>
      <c r="T2087">
        <v>-0.29411799999999999</v>
      </c>
      <c r="U2087">
        <v>-2.9619599999999999</v>
      </c>
      <c r="V2087">
        <v>-0.17324049999999999</v>
      </c>
      <c r="W2087">
        <v>-1.3712439999999999E-2</v>
      </c>
      <c r="X2087">
        <v>0.98478410000000005</v>
      </c>
      <c r="Y2087">
        <v>-0.20770229999999901</v>
      </c>
      <c r="Z2087">
        <v>9.6927410000000006E-2</v>
      </c>
      <c r="AA2087">
        <v>0.97337809999999902</v>
      </c>
      <c r="AB2087">
        <v>29</v>
      </c>
      <c r="AC2087">
        <v>1.7446999999999599</v>
      </c>
      <c r="AD2087">
        <v>-1.105260311696</v>
      </c>
      <c r="AE2087">
        <v>-10.842000000000001</v>
      </c>
      <c r="AF2087">
        <v>-2.3214112265821498</v>
      </c>
      <c r="AG2087">
        <v>-1.105260311696</v>
      </c>
      <c r="AH2087">
        <v>10.6206129951403</v>
      </c>
      <c r="AI2087">
        <v>95.805155384031295</v>
      </c>
      <c r="AJ2087">
        <v>102.329573357054</v>
      </c>
      <c r="AK2087">
        <v>10.9273954276422</v>
      </c>
    </row>
    <row r="2088" spans="1:37" x14ac:dyDescent="0.2">
      <c r="A2088" t="str">
        <f>"20200111160150655"</f>
        <v>20200111160150655</v>
      </c>
      <c r="B2088" t="str">
        <f>"1578729710643827"</f>
        <v>1578729710643827</v>
      </c>
      <c r="C2088" t="s">
        <v>37</v>
      </c>
      <c r="D2088">
        <v>5.3780950000000001</v>
      </c>
      <c r="E2088">
        <v>0.48576709999999901</v>
      </c>
      <c r="F2088" t="s">
        <v>38</v>
      </c>
      <c r="G2088">
        <v>-492.25599999999997</v>
      </c>
      <c r="H2088" s="1">
        <v>-3.177935E-6</v>
      </c>
      <c r="I2088">
        <v>235.5977</v>
      </c>
      <c r="J2088">
        <v>-494.02030000000002</v>
      </c>
      <c r="K2088">
        <v>1.1056090000000001</v>
      </c>
      <c r="L2088">
        <v>246.47730000000001</v>
      </c>
      <c r="M2088">
        <v>-5.2571519999999997E-2</v>
      </c>
      <c r="N2088">
        <v>0</v>
      </c>
      <c r="O2088">
        <v>-0.99860899999999997</v>
      </c>
      <c r="P2088">
        <v>0.119546</v>
      </c>
      <c r="Q2088">
        <v>-1.7291440000000002E-2</v>
      </c>
      <c r="R2088">
        <v>-0.99267830000000001</v>
      </c>
      <c r="S2088">
        <v>0.46542359999999999</v>
      </c>
      <c r="T2088">
        <v>-0.29356850000000001</v>
      </c>
      <c r="U2088">
        <v>-2.9613040000000002</v>
      </c>
      <c r="V2088">
        <v>-0.1714888</v>
      </c>
      <c r="W2088">
        <v>-1.4246160000000001E-2</v>
      </c>
      <c r="X2088">
        <v>0.98508300000000004</v>
      </c>
      <c r="Y2088">
        <v>-0.2062495</v>
      </c>
      <c r="Z2088">
        <v>9.679683E-2</v>
      </c>
      <c r="AA2088">
        <v>0.97369989999999995</v>
      </c>
      <c r="AB2088">
        <v>29</v>
      </c>
      <c r="AC2088">
        <v>1.7643000000000399</v>
      </c>
      <c r="AD2088">
        <v>-1.1056121779350001</v>
      </c>
      <c r="AE2088">
        <v>-10.8796</v>
      </c>
      <c r="AF2088">
        <v>-2.3105718335980199</v>
      </c>
      <c r="AG2088">
        <v>-1.1056121779350001</v>
      </c>
      <c r="AH2088">
        <v>10.6644907769405</v>
      </c>
      <c r="AI2088">
        <v>95.785547788613698</v>
      </c>
      <c r="AJ2088">
        <v>102.22477456966</v>
      </c>
      <c r="AK2088">
        <v>10.967793033134001</v>
      </c>
    </row>
    <row r="2089" spans="1:37" x14ac:dyDescent="0.2">
      <c r="A2089" t="str">
        <f>"20200111160150677"</f>
        <v>20200111160150677</v>
      </c>
      <c r="B2089" t="str">
        <f>"1578729710673106"</f>
        <v>1578729710673106</v>
      </c>
      <c r="C2089" t="s">
        <v>37</v>
      </c>
      <c r="D2089">
        <v>5.4125949999999996</v>
      </c>
      <c r="E2089">
        <v>0.4765395</v>
      </c>
      <c r="F2089" t="s">
        <v>38</v>
      </c>
      <c r="G2089">
        <v>-492.26490000000001</v>
      </c>
      <c r="H2089" s="1">
        <v>-3.1139479999999898E-6</v>
      </c>
      <c r="I2089">
        <v>235.44299999999899</v>
      </c>
      <c r="J2089">
        <v>-494.03160000000003</v>
      </c>
      <c r="K2089">
        <v>1.105934</v>
      </c>
      <c r="L2089">
        <v>246.19110000000001</v>
      </c>
      <c r="M2089">
        <v>-4.9020099999999997E-2</v>
      </c>
      <c r="N2089">
        <v>0</v>
      </c>
      <c r="O2089">
        <v>-0.99878690000000003</v>
      </c>
      <c r="P2089">
        <v>0.1222017</v>
      </c>
      <c r="Q2089">
        <v>-1.8687260000000001E-2</v>
      </c>
      <c r="R2089">
        <v>-0.99232929999999997</v>
      </c>
      <c r="S2089">
        <v>0.47091670000000002</v>
      </c>
      <c r="T2089">
        <v>-0.29661189999999998</v>
      </c>
      <c r="U2089">
        <v>-2.9602659999999998</v>
      </c>
      <c r="V2089">
        <v>-0.1706067</v>
      </c>
      <c r="W2089">
        <v>-1.515905E-2</v>
      </c>
      <c r="X2089">
        <v>0.98522259999999995</v>
      </c>
      <c r="Y2089">
        <v>-0.20456939999999901</v>
      </c>
      <c r="Z2089">
        <v>9.7854469999999999E-2</v>
      </c>
      <c r="AA2089">
        <v>0.97394859999999905</v>
      </c>
      <c r="AB2089">
        <v>29</v>
      </c>
      <c r="AC2089">
        <v>1.7667000000000099</v>
      </c>
      <c r="AD2089">
        <v>-1.1059371139480001</v>
      </c>
      <c r="AE2089">
        <v>-10.748100000000001</v>
      </c>
      <c r="AF2089">
        <v>-2.2680729758847602</v>
      </c>
      <c r="AG2089">
        <v>-1.1059371139480001</v>
      </c>
      <c r="AH2089">
        <v>10.539916854256299</v>
      </c>
      <c r="AI2089">
        <v>95.856930250246805</v>
      </c>
      <c r="AJ2089">
        <v>102.144224027815</v>
      </c>
      <c r="AK2089">
        <v>10.837762648193699</v>
      </c>
    </row>
    <row r="2090" spans="1:37" x14ac:dyDescent="0.2">
      <c r="A2090" t="str">
        <f>"20200111160150699"</f>
        <v>20200111160150699</v>
      </c>
      <c r="B2090" t="str">
        <f>"1578729710693603"</f>
        <v>1578729710693603</v>
      </c>
      <c r="C2090" t="s">
        <v>37</v>
      </c>
      <c r="D2090">
        <v>5.7318259999999999</v>
      </c>
      <c r="E2090">
        <v>0.47670770000000001</v>
      </c>
      <c r="F2090" t="s">
        <v>38</v>
      </c>
      <c r="G2090">
        <v>-491.96480000000003</v>
      </c>
      <c r="H2090" s="1">
        <v>-2.90460199999999E-6</v>
      </c>
      <c r="I2090">
        <v>235.1412</v>
      </c>
      <c r="J2090">
        <v>-494.04180000000002</v>
      </c>
      <c r="K2090">
        <v>1.1062319999999899</v>
      </c>
      <c r="L2090">
        <v>245.90549999999999</v>
      </c>
      <c r="M2090">
        <v>-4.5170509999999997E-2</v>
      </c>
      <c r="N2090">
        <v>0</v>
      </c>
      <c r="O2090">
        <v>-0.9989654</v>
      </c>
      <c r="P2090">
        <v>0.1257026</v>
      </c>
      <c r="Q2090">
        <v>-1.9525319999999999E-2</v>
      </c>
      <c r="R2090">
        <v>-0.99187610000000004</v>
      </c>
      <c r="S2090">
        <v>0.55172730000000003</v>
      </c>
      <c r="T2090">
        <v>-0.295222599999999</v>
      </c>
      <c r="U2090">
        <v>-2.9497070000000001</v>
      </c>
      <c r="V2090">
        <v>-0.17027500000000001</v>
      </c>
      <c r="W2090">
        <v>-1.549847E-2</v>
      </c>
      <c r="X2090">
        <v>0.98527469999999995</v>
      </c>
      <c r="Y2090">
        <v>-0.2271936</v>
      </c>
      <c r="Z2090">
        <v>9.7296869999999994E-2</v>
      </c>
      <c r="AA2090">
        <v>0.96897699999999998</v>
      </c>
      <c r="AB2090">
        <v>29</v>
      </c>
      <c r="AC2090">
        <v>2.0769999999999902</v>
      </c>
      <c r="AD2090">
        <v>-1.1062349046019999</v>
      </c>
      <c r="AE2090">
        <v>-10.764299999999899</v>
      </c>
      <c r="AF2090">
        <v>-2.5353002988246298</v>
      </c>
      <c r="AG2090">
        <v>-1.1062349046019999</v>
      </c>
      <c r="AH2090">
        <v>10.5520474565096</v>
      </c>
      <c r="AI2090">
        <v>95.820345950785494</v>
      </c>
      <c r="AJ2090">
        <v>103.510153634791</v>
      </c>
      <c r="AK2090">
        <v>10.9085841791596</v>
      </c>
    </row>
    <row r="2091" spans="1:37" x14ac:dyDescent="0.2">
      <c r="A2091" t="str">
        <f>"20200111160150723"</f>
        <v>20200111160150723</v>
      </c>
      <c r="B2091" t="str">
        <f>"1578729710714100"</f>
        <v>1578729710714100</v>
      </c>
      <c r="C2091" t="s">
        <v>37</v>
      </c>
      <c r="D2091">
        <v>5.5353260000000004</v>
      </c>
      <c r="E2091">
        <v>0.47745399999999999</v>
      </c>
      <c r="F2091" t="s">
        <v>38</v>
      </c>
      <c r="G2091">
        <v>-491.98630000000003</v>
      </c>
      <c r="H2091" s="1">
        <v>-2.894762E-6</v>
      </c>
      <c r="I2091">
        <v>235.10489999999999</v>
      </c>
      <c r="J2091">
        <v>-494.05149999999998</v>
      </c>
      <c r="K2091">
        <v>1.1065559999999901</v>
      </c>
      <c r="L2091">
        <v>245.5883</v>
      </c>
      <c r="M2091">
        <v>-4.0570630000000003E-2</v>
      </c>
      <c r="N2091">
        <v>0</v>
      </c>
      <c r="O2091">
        <v>-0.99915919999999903</v>
      </c>
      <c r="P2091">
        <v>0.13064219999999999</v>
      </c>
      <c r="Q2091">
        <v>-2.004794E-2</v>
      </c>
      <c r="R2091">
        <v>-0.99122699999999997</v>
      </c>
      <c r="S2091">
        <v>0.56094359999999999</v>
      </c>
      <c r="T2091">
        <v>-0.30189450000000001</v>
      </c>
      <c r="U2091">
        <v>-2.9475250000000002</v>
      </c>
      <c r="V2091">
        <v>-0.17063819999999999</v>
      </c>
      <c r="W2091">
        <v>-1.5478759999999999E-2</v>
      </c>
      <c r="X2091">
        <v>0.98521209999999904</v>
      </c>
      <c r="Y2091">
        <v>-0.22572429999999999</v>
      </c>
      <c r="Z2091">
        <v>9.9564100000000003E-2</v>
      </c>
      <c r="AA2091">
        <v>0.96909000000000001</v>
      </c>
      <c r="AB2091">
        <v>29</v>
      </c>
      <c r="AC2091">
        <v>2.06519999999994</v>
      </c>
      <c r="AD2091">
        <v>-1.106558894762</v>
      </c>
      <c r="AE2091">
        <v>-10.4834</v>
      </c>
      <c r="AF2091">
        <v>-2.4624150298407499</v>
      </c>
      <c r="AG2091">
        <v>-1.106558894762</v>
      </c>
      <c r="AH2091">
        <v>10.280716716374201</v>
      </c>
      <c r="AI2091">
        <v>95.975604962400197</v>
      </c>
      <c r="AJ2091">
        <v>103.46960910249901</v>
      </c>
      <c r="AK2091">
        <v>10.629256632949399</v>
      </c>
    </row>
    <row r="2092" spans="1:37" x14ac:dyDescent="0.2">
      <c r="A2092" t="str">
        <f>"20200111160150745"</f>
        <v>20200111160150745</v>
      </c>
      <c r="B2092" t="str">
        <f>"1578729710733619"</f>
        <v>1578729710733619</v>
      </c>
      <c r="C2092" t="s">
        <v>37</v>
      </c>
      <c r="D2092">
        <v>4.306184</v>
      </c>
      <c r="E2092">
        <v>0.47745399999999999</v>
      </c>
      <c r="F2092" t="s">
        <v>38</v>
      </c>
      <c r="G2092">
        <v>-492.0138</v>
      </c>
      <c r="H2092" s="1">
        <v>-2.8778210000000002E-6</v>
      </c>
      <c r="I2092">
        <v>235.04839999999999</v>
      </c>
      <c r="J2092">
        <v>-494.05840000000001</v>
      </c>
      <c r="K2092">
        <v>1.1068279999999999</v>
      </c>
      <c r="L2092">
        <v>245.30860000000001</v>
      </c>
      <c r="M2092">
        <v>-3.625192E-2</v>
      </c>
      <c r="N2092">
        <v>0</v>
      </c>
      <c r="O2092">
        <v>-0.99932160000000003</v>
      </c>
      <c r="P2092">
        <v>0.136132</v>
      </c>
      <c r="Q2092">
        <v>-1.938347E-2</v>
      </c>
      <c r="R2092">
        <v>-0.99050099999999996</v>
      </c>
      <c r="S2092">
        <v>0.56939700000000004</v>
      </c>
      <c r="T2092">
        <v>-0.3092105</v>
      </c>
      <c r="U2092">
        <v>-2.9452210000000001</v>
      </c>
      <c r="V2092">
        <v>-0.171840299999999</v>
      </c>
      <c r="W2092">
        <v>-1.437568E-2</v>
      </c>
      <c r="X2092">
        <v>0.98501989999999995</v>
      </c>
      <c r="Y2092">
        <v>-0.2242893</v>
      </c>
      <c r="Z2092">
        <v>0.10204479999999901</v>
      </c>
      <c r="AA2092">
        <v>0.96916519999999995</v>
      </c>
      <c r="AB2092">
        <v>29</v>
      </c>
      <c r="AC2092">
        <v>2.0446</v>
      </c>
      <c r="AD2092">
        <v>-1.1068308778210001</v>
      </c>
      <c r="AE2092">
        <v>-10.260199999999999</v>
      </c>
      <c r="AF2092">
        <v>-2.3884819958475401</v>
      </c>
      <c r="AG2092">
        <v>-1.1068308778210001</v>
      </c>
      <c r="AH2092">
        <v>10.0666592453462</v>
      </c>
      <c r="AI2092">
        <v>96.106286688736304</v>
      </c>
      <c r="AJ2092">
        <v>103.34755889142799</v>
      </c>
      <c r="AK2092">
        <v>10.405169349823201</v>
      </c>
    </row>
    <row r="2093" spans="1:37" x14ac:dyDescent="0.2">
      <c r="A2093" t="str">
        <f>"20200111160151384"</f>
        <v>20200111160151384</v>
      </c>
      <c r="B2093" t="str">
        <f>"1578729711373395"</f>
        <v>1578729711373395</v>
      </c>
      <c r="C2093" t="s">
        <v>37</v>
      </c>
      <c r="D2093">
        <v>4.9230929999999997</v>
      </c>
      <c r="E2093">
        <v>0.36269009999999902</v>
      </c>
      <c r="F2093" t="s">
        <v>38</v>
      </c>
      <c r="G2093">
        <v>-491.94749999999999</v>
      </c>
      <c r="H2093" s="1">
        <v>-2.7156680000000001E-6</v>
      </c>
      <c r="I2093">
        <v>234.7115</v>
      </c>
      <c r="J2093">
        <v>-493.48</v>
      </c>
      <c r="K2093">
        <v>1.1097859999999999</v>
      </c>
      <c r="L2093">
        <v>237.15790000000001</v>
      </c>
      <c r="M2093">
        <v>0.149114</v>
      </c>
      <c r="N2093">
        <v>0</v>
      </c>
      <c r="O2093">
        <v>-0.9887222</v>
      </c>
      <c r="P2093">
        <v>0.35258270000000003</v>
      </c>
      <c r="Q2093">
        <v>-4.5504410000000002E-2</v>
      </c>
      <c r="R2093">
        <v>-0.93467359999999899</v>
      </c>
      <c r="S2093">
        <v>0.58609009999999995</v>
      </c>
      <c r="T2093">
        <v>-0.3073051</v>
      </c>
      <c r="U2093">
        <v>-2.9422299999999999</v>
      </c>
      <c r="V2093">
        <v>-0.20879449999999999</v>
      </c>
      <c r="W2093">
        <v>-3.4794209999999999E-2</v>
      </c>
      <c r="X2093">
        <v>0.9773404</v>
      </c>
      <c r="Y2093">
        <v>-4.5909199999999997E-2</v>
      </c>
      <c r="Z2093">
        <v>0.1011169</v>
      </c>
      <c r="AA2093">
        <v>0.99381469999999905</v>
      </c>
      <c r="AB2093">
        <v>29</v>
      </c>
      <c r="AC2093">
        <v>1.53250000000002</v>
      </c>
      <c r="AD2093">
        <v>-1.109788715668</v>
      </c>
      <c r="AE2093">
        <v>-2.4464000000000099</v>
      </c>
      <c r="AF2093">
        <v>-1.0023885299136499</v>
      </c>
      <c r="AG2093">
        <v>-1.109788715668</v>
      </c>
      <c r="AH2093">
        <v>2.30667107520885</v>
      </c>
      <c r="AI2093">
        <v>113.809843600948</v>
      </c>
      <c r="AJ2093">
        <v>113.48787034490501</v>
      </c>
      <c r="AK2093">
        <v>2.7490262289639298</v>
      </c>
    </row>
    <row r="2094" spans="1:37" x14ac:dyDescent="0.2">
      <c r="A2094" t="str">
        <f>"20200111160151405"</f>
        <v>20200111160151405</v>
      </c>
      <c r="B2094" t="str">
        <f>"1578729711393891"</f>
        <v>1578729711393891</v>
      </c>
      <c r="C2094" t="s">
        <v>37</v>
      </c>
      <c r="D2094">
        <v>5.0115619999999996</v>
      </c>
      <c r="E2094">
        <v>0.34692600000000001</v>
      </c>
      <c r="F2094" t="s">
        <v>42</v>
      </c>
      <c r="G2094">
        <v>-492.87759999999997</v>
      </c>
      <c r="H2094">
        <v>1.0584750000000001</v>
      </c>
      <c r="I2094">
        <v>236.4588</v>
      </c>
      <c r="J2094">
        <v>-493.43150000000003</v>
      </c>
      <c r="K2094">
        <v>1.109799</v>
      </c>
      <c r="L2094">
        <v>236.88759999999999</v>
      </c>
      <c r="M2094">
        <v>0.15614339999999999</v>
      </c>
      <c r="N2094">
        <v>0</v>
      </c>
      <c r="O2094">
        <v>-0.98763529999999999</v>
      </c>
      <c r="P2094">
        <v>0.36024250000000002</v>
      </c>
      <c r="Q2094">
        <v>-4.4379830000000002E-2</v>
      </c>
      <c r="R2094">
        <v>-0.93180260000000004</v>
      </c>
      <c r="S2094">
        <v>2.0810849999999999</v>
      </c>
      <c r="T2094">
        <v>-0.17733199999999999</v>
      </c>
      <c r="U2094">
        <v>-2.4159999999999999</v>
      </c>
      <c r="V2094">
        <v>-0.20987159999999999</v>
      </c>
      <c r="W2094">
        <v>-3.3597330000000002E-2</v>
      </c>
      <c r="X2094">
        <v>0.97715160000000001</v>
      </c>
      <c r="Y2094">
        <v>-0.52524609999999905</v>
      </c>
      <c r="Z2094">
        <v>5.7309569999999997E-2</v>
      </c>
      <c r="AA2094">
        <v>0.84901839999999995</v>
      </c>
      <c r="AB2094">
        <v>29</v>
      </c>
      <c r="AC2094">
        <v>0.55390000000005502</v>
      </c>
      <c r="AD2094">
        <v>-5.1323999999999897E-2</v>
      </c>
      <c r="AE2094">
        <v>-0.42879999999999502</v>
      </c>
      <c r="AF2094">
        <v>-0.47758004432415202</v>
      </c>
      <c r="AG2094">
        <v>-5.1323999999999897E-2</v>
      </c>
      <c r="AH2094">
        <v>0.50731229777671305</v>
      </c>
      <c r="AI2094">
        <v>94.212965244733297</v>
      </c>
      <c r="AJ2094">
        <v>133.270861340039</v>
      </c>
      <c r="AK2094">
        <v>0.69862909987213395</v>
      </c>
    </row>
    <row r="2095" spans="1:37" x14ac:dyDescent="0.2">
      <c r="A2095" t="str">
        <f>"20200111160151430"</f>
        <v>20200111160151430</v>
      </c>
      <c r="B2095" t="str">
        <f>"1578729711423171"</f>
        <v>1578729711423171</v>
      </c>
      <c r="C2095" t="s">
        <v>37</v>
      </c>
      <c r="D2095">
        <v>4.9962059999999999</v>
      </c>
      <c r="E2095">
        <v>0.34249990000000002</v>
      </c>
      <c r="F2095" t="s">
        <v>42</v>
      </c>
      <c r="G2095">
        <v>-492.80549999999999</v>
      </c>
      <c r="H2095">
        <v>1.061976</v>
      </c>
      <c r="I2095">
        <v>236.22309999999999</v>
      </c>
      <c r="J2095">
        <v>-493.37459999999999</v>
      </c>
      <c r="K2095">
        <v>1.1098269999999999</v>
      </c>
      <c r="L2095">
        <v>236.58349999999999</v>
      </c>
      <c r="M2095">
        <v>0.16409360000000001</v>
      </c>
      <c r="N2095">
        <v>0</v>
      </c>
      <c r="O2095">
        <v>-0.98634419999999901</v>
      </c>
      <c r="P2095">
        <v>0.36863950000000001</v>
      </c>
      <c r="Q2095">
        <v>-4.1863150000000002E-2</v>
      </c>
      <c r="R2095">
        <v>-0.92862960000000006</v>
      </c>
      <c r="S2095">
        <v>2.218445</v>
      </c>
      <c r="T2095">
        <v>-0.1694031</v>
      </c>
      <c r="U2095">
        <v>-2.353882</v>
      </c>
      <c r="V2095">
        <v>-0.21083679999999999</v>
      </c>
      <c r="W2095">
        <v>-3.1012319999999999E-2</v>
      </c>
      <c r="X2095">
        <v>0.97702919999999904</v>
      </c>
      <c r="Y2095">
        <v>-0.55612930000000005</v>
      </c>
      <c r="Z2095">
        <v>5.420291E-2</v>
      </c>
      <c r="AA2095">
        <v>0.82932640000000002</v>
      </c>
      <c r="AB2095">
        <v>29</v>
      </c>
      <c r="AC2095">
        <v>0.56909999999999095</v>
      </c>
      <c r="AD2095">
        <v>-4.7850999999999998E-2</v>
      </c>
      <c r="AE2095">
        <v>-0.360399999999998</v>
      </c>
      <c r="AF2095">
        <v>-0.49971737058994398</v>
      </c>
      <c r="AG2095">
        <v>-4.7850999999999998E-2</v>
      </c>
      <c r="AH2095">
        <v>0.44665480361513998</v>
      </c>
      <c r="AI2095">
        <v>94.083653020747803</v>
      </c>
      <c r="AJ2095">
        <v>138.20918264797299</v>
      </c>
      <c r="AK2095">
        <v>0.67194321357002096</v>
      </c>
    </row>
    <row r="2096" spans="1:37" x14ac:dyDescent="0.2">
      <c r="A2096" t="str">
        <f>"20200111160151451"</f>
        <v>20200111160151451</v>
      </c>
      <c r="B2096" t="str">
        <f>"1578729711443667"</f>
        <v>1578729711443667</v>
      </c>
      <c r="C2096" t="s">
        <v>37</v>
      </c>
      <c r="D2096">
        <v>5.1764349999999997</v>
      </c>
      <c r="E2096">
        <v>0.343234599999999</v>
      </c>
      <c r="F2096" t="s">
        <v>54</v>
      </c>
      <c r="G2096">
        <v>-479.89249999999998</v>
      </c>
      <c r="H2096">
        <v>7.0423349999999996E-2</v>
      </c>
      <c r="I2096">
        <v>222.81099999999901</v>
      </c>
      <c r="J2096">
        <v>-493.32369999999997</v>
      </c>
      <c r="K2096">
        <v>1.1098729999999899</v>
      </c>
      <c r="L2096">
        <v>236.32329999999999</v>
      </c>
      <c r="M2096">
        <v>0.17094690000000001</v>
      </c>
      <c r="N2096">
        <v>0</v>
      </c>
      <c r="O2096">
        <v>-0.98517860000000002</v>
      </c>
      <c r="P2096">
        <v>0.376310799999999</v>
      </c>
      <c r="Q2096">
        <v>-3.816307E-2</v>
      </c>
      <c r="R2096">
        <v>-0.92570699999999995</v>
      </c>
      <c r="S2096">
        <v>2.271881</v>
      </c>
      <c r="T2096">
        <v>-0.1751509</v>
      </c>
      <c r="U2096">
        <v>-2.32081599999999</v>
      </c>
      <c r="V2096">
        <v>-0.21215120000000001</v>
      </c>
      <c r="W2096">
        <v>-2.727591E-2</v>
      </c>
      <c r="X2096">
        <v>0.9768561</v>
      </c>
      <c r="Y2096">
        <v>-0.56597209999999998</v>
      </c>
      <c r="Z2096">
        <v>5.5919990000000003E-2</v>
      </c>
      <c r="AA2096">
        <v>0.82252569999999903</v>
      </c>
      <c r="AB2096">
        <v>28</v>
      </c>
      <c r="AC2096">
        <v>13.431199999999899</v>
      </c>
      <c r="AD2096">
        <v>-1.0394496499999999</v>
      </c>
      <c r="AE2096">
        <v>-13.5123</v>
      </c>
      <c r="AF2096">
        <v>-10.890920703647</v>
      </c>
      <c r="AG2096">
        <v>-1.0394496499999999</v>
      </c>
      <c r="AH2096">
        <v>15.5632878919577</v>
      </c>
      <c r="AI2096">
        <v>93.132153261325698</v>
      </c>
      <c r="AJ2096">
        <v>124.983666063817</v>
      </c>
      <c r="AK2096">
        <v>19.023893906242499</v>
      </c>
    </row>
    <row r="2097" spans="1:37" x14ac:dyDescent="0.2">
      <c r="A2097" t="str">
        <f>"20200111160151472"</f>
        <v>20200111160151472</v>
      </c>
      <c r="B2097" t="str">
        <f>"1578729711463187"</f>
        <v>1578729711463187</v>
      </c>
      <c r="C2097" t="s">
        <v>37</v>
      </c>
      <c r="D2097">
        <v>5.0286499999999998</v>
      </c>
      <c r="E2097">
        <v>0.3422038</v>
      </c>
      <c r="F2097" t="s">
        <v>54</v>
      </c>
      <c r="G2097">
        <v>-479.6157</v>
      </c>
      <c r="H2097">
        <v>8.0000559999999998E-2</v>
      </c>
      <c r="I2097">
        <v>222.5034</v>
      </c>
      <c r="J2097">
        <v>-493.26900000000001</v>
      </c>
      <c r="K2097">
        <v>1.1099270000000001</v>
      </c>
      <c r="L2097">
        <v>236.05410000000001</v>
      </c>
      <c r="M2097">
        <v>0.17808750000000001</v>
      </c>
      <c r="N2097">
        <v>0</v>
      </c>
      <c r="O2097">
        <v>-0.98391219999999902</v>
      </c>
      <c r="P2097">
        <v>0.3842486</v>
      </c>
      <c r="Q2097">
        <v>-3.4489060000000002E-2</v>
      </c>
      <c r="R2097">
        <v>-0.92258560000000001</v>
      </c>
      <c r="S2097">
        <v>2.2858580000000002</v>
      </c>
      <c r="T2097">
        <v>-0.17173389999999999</v>
      </c>
      <c r="U2097">
        <v>-2.3045040000000001</v>
      </c>
      <c r="V2097">
        <v>-0.213480899999999</v>
      </c>
      <c r="W2097">
        <v>-2.3574149999999999E-2</v>
      </c>
      <c r="X2097">
        <v>0.97666280000000005</v>
      </c>
      <c r="Y2097">
        <v>-0.5654593</v>
      </c>
      <c r="Z2097">
        <v>5.4909600000000003E-2</v>
      </c>
      <c r="AA2097">
        <v>0.82294639999999997</v>
      </c>
      <c r="AB2097">
        <v>28</v>
      </c>
      <c r="AC2097">
        <v>13.6533</v>
      </c>
      <c r="AD2097">
        <v>-1.0299264400000001</v>
      </c>
      <c r="AE2097">
        <v>-13.550700000000001</v>
      </c>
      <c r="AF2097">
        <v>-10.9900449957272</v>
      </c>
      <c r="AG2097">
        <v>-1.0299264400000001</v>
      </c>
      <c r="AH2097">
        <v>15.720705231835099</v>
      </c>
      <c r="AI2097">
        <v>93.073507747392696</v>
      </c>
      <c r="AJ2097">
        <v>124.95666285607901</v>
      </c>
      <c r="AK2097">
        <v>19.2089148695643</v>
      </c>
    </row>
    <row r="2098" spans="1:37" x14ac:dyDescent="0.2">
      <c r="A2098" t="str">
        <f>"20200111160151541"</f>
        <v>20200111160151541</v>
      </c>
      <c r="B2098" t="str">
        <f>"1578729711533464"</f>
        <v>1578729711533464</v>
      </c>
      <c r="C2098" t="s">
        <v>37</v>
      </c>
      <c r="D2098">
        <v>5.6886619999999999</v>
      </c>
      <c r="E2098">
        <v>0.34124189999999999</v>
      </c>
      <c r="F2098" t="s">
        <v>54</v>
      </c>
      <c r="G2098">
        <v>-479.52179999999998</v>
      </c>
      <c r="H2098">
        <v>8.000061E-2</v>
      </c>
      <c r="I2098">
        <v>222.4889</v>
      </c>
      <c r="J2098">
        <v>-493.08670000000001</v>
      </c>
      <c r="K2098">
        <v>1.1101030000000001</v>
      </c>
      <c r="L2098">
        <v>235.22299999999899</v>
      </c>
      <c r="M2098">
        <v>0.2006279</v>
      </c>
      <c r="N2098">
        <v>0</v>
      </c>
      <c r="O2098">
        <v>-0.97956219999999905</v>
      </c>
      <c r="P2098">
        <v>0.40734189999999998</v>
      </c>
      <c r="Q2098">
        <v>-3.007539E-2</v>
      </c>
      <c r="R2098">
        <v>-0.91278029999999999</v>
      </c>
      <c r="S2098">
        <v>2.3126530000000001</v>
      </c>
      <c r="T2098">
        <v>-0.17326159999999999</v>
      </c>
      <c r="U2098">
        <v>-2.2820429999999998</v>
      </c>
      <c r="V2098">
        <v>-0.21566089999999999</v>
      </c>
      <c r="W2098">
        <v>-1.911566E-2</v>
      </c>
      <c r="X2098">
        <v>0.97628119999999996</v>
      </c>
      <c r="Y2098">
        <v>-0.55530019999999902</v>
      </c>
      <c r="Z2098">
        <v>5.5413339999999998E-2</v>
      </c>
      <c r="AA2098">
        <v>0.82980189999999998</v>
      </c>
      <c r="AB2098">
        <v>28</v>
      </c>
      <c r="AC2098">
        <v>13.5649</v>
      </c>
      <c r="AD2098">
        <v>-1.0301023899999999</v>
      </c>
      <c r="AE2098">
        <v>-12.7340999999999</v>
      </c>
      <c r="AF2098">
        <v>-10.7011523300857</v>
      </c>
      <c r="AG2098">
        <v>-1.0301023899999999</v>
      </c>
      <c r="AH2098">
        <v>15.150466990772999</v>
      </c>
      <c r="AI2098">
        <v>93.178670676565503</v>
      </c>
      <c r="AJ2098">
        <v>125.234513637468</v>
      </c>
      <c r="AK2098">
        <v>18.5772016774348</v>
      </c>
    </row>
    <row r="2099" spans="1:37" x14ac:dyDescent="0.2">
      <c r="A2099" t="str">
        <f>"20200111160151563"</f>
        <v>20200111160151563</v>
      </c>
      <c r="B2099" t="str">
        <f>"1578729711553960"</f>
        <v>1578729711553960</v>
      </c>
      <c r="C2099" t="s">
        <v>37</v>
      </c>
      <c r="D2099">
        <v>5.0104150000000001</v>
      </c>
      <c r="E2099">
        <v>0.34107309999999902</v>
      </c>
      <c r="F2099" t="s">
        <v>42</v>
      </c>
      <c r="G2099">
        <v>-492.37040000000002</v>
      </c>
      <c r="H2099">
        <v>1.06192</v>
      </c>
      <c r="I2099">
        <v>234.5538</v>
      </c>
      <c r="J2099">
        <v>-493.02120000000002</v>
      </c>
      <c r="K2099">
        <v>1.110188</v>
      </c>
      <c r="L2099">
        <v>234.94589999999999</v>
      </c>
      <c r="M2099">
        <v>0.2083836</v>
      </c>
      <c r="N2099">
        <v>0</v>
      </c>
      <c r="O2099">
        <v>-0.97794119999999995</v>
      </c>
      <c r="P2099">
        <v>0.41524629999999901</v>
      </c>
      <c r="Q2099">
        <v>-2.9582270000000001E-2</v>
      </c>
      <c r="R2099">
        <v>-0.90922819999999904</v>
      </c>
      <c r="S2099">
        <v>2.376465</v>
      </c>
      <c r="T2099">
        <v>-0.1599005</v>
      </c>
      <c r="U2099">
        <v>-2.2207949999999999</v>
      </c>
      <c r="V2099">
        <v>-0.21639549999999999</v>
      </c>
      <c r="W2099">
        <v>-1.8634700000000001E-2</v>
      </c>
      <c r="X2099">
        <v>0.97612790000000005</v>
      </c>
      <c r="Y2099">
        <v>-0.57133540000000005</v>
      </c>
      <c r="Z2099">
        <v>5.1238680000000002E-2</v>
      </c>
      <c r="AA2099">
        <v>0.819115699999999</v>
      </c>
      <c r="AB2099">
        <v>28</v>
      </c>
      <c r="AC2099">
        <v>0.65080000000000304</v>
      </c>
      <c r="AD2099">
        <v>-4.8267999999999901E-2</v>
      </c>
      <c r="AE2099">
        <v>-0.392099999999999</v>
      </c>
      <c r="AF2099">
        <v>-0.55256438634557603</v>
      </c>
      <c r="AG2099">
        <v>-4.8267999999999901E-2</v>
      </c>
      <c r="AH2099">
        <v>0.51703395062364199</v>
      </c>
      <c r="AI2099">
        <v>93.649629688602602</v>
      </c>
      <c r="AJ2099">
        <v>136.90257935485499</v>
      </c>
      <c r="AK2099">
        <v>0.75827521849191004</v>
      </c>
    </row>
    <row r="2100" spans="1:37" x14ac:dyDescent="0.2">
      <c r="A2100" t="str">
        <f>"20200111160151586"</f>
        <v>20200111160151586</v>
      </c>
      <c r="B2100" t="str">
        <f>"1578729711583241"</f>
        <v>1578729711583241</v>
      </c>
      <c r="C2100" t="s">
        <v>37</v>
      </c>
      <c r="D2100">
        <v>4.9464709999999998</v>
      </c>
      <c r="E2100">
        <v>0.34095559999999903</v>
      </c>
      <c r="F2100" t="s">
        <v>42</v>
      </c>
      <c r="G2100">
        <v>-492.32639999999998</v>
      </c>
      <c r="H2100">
        <v>1.0634709999999901</v>
      </c>
      <c r="I2100">
        <v>234.30779999999999</v>
      </c>
      <c r="J2100">
        <v>-492.95609999999999</v>
      </c>
      <c r="K2100">
        <v>1.1102889999999901</v>
      </c>
      <c r="L2100">
        <v>234.67959999999999</v>
      </c>
      <c r="M2100">
        <v>0.21599579999999999</v>
      </c>
      <c r="N2100">
        <v>0</v>
      </c>
      <c r="O2100">
        <v>-0.97628749999999997</v>
      </c>
      <c r="P2100">
        <v>0.42307339999999999</v>
      </c>
      <c r="Q2100">
        <v>-2.888398E-2</v>
      </c>
      <c r="R2100">
        <v>-0.90563470000000001</v>
      </c>
      <c r="S2100">
        <v>2.396576</v>
      </c>
      <c r="T2100">
        <v>-0.16105520000000001</v>
      </c>
      <c r="U2100">
        <v>-2.199783</v>
      </c>
      <c r="V2100">
        <v>-0.21721170000000001</v>
      </c>
      <c r="W2100">
        <v>-1.7963349999999999E-2</v>
      </c>
      <c r="X2100">
        <v>0.97595919999999903</v>
      </c>
      <c r="Y2100">
        <v>-0.57225329999999996</v>
      </c>
      <c r="Z2100">
        <v>5.1643479999999999E-2</v>
      </c>
      <c r="AA2100">
        <v>0.81844930000000005</v>
      </c>
      <c r="AB2100">
        <v>28</v>
      </c>
      <c r="AC2100">
        <v>0.62970000000001303</v>
      </c>
      <c r="AD2100">
        <v>-4.6817999999999999E-2</v>
      </c>
      <c r="AE2100">
        <v>-0.37180000000000701</v>
      </c>
      <c r="AF2100">
        <v>-0.532334739932525</v>
      </c>
      <c r="AG2100">
        <v>-4.6817999999999999E-2</v>
      </c>
      <c r="AH2100">
        <v>0.49701107774851999</v>
      </c>
      <c r="AI2100">
        <v>93.678209231724693</v>
      </c>
      <c r="AJ2100">
        <v>136.965425825881</v>
      </c>
      <c r="AK2100">
        <v>0.72978915576197401</v>
      </c>
    </row>
    <row r="2101" spans="1:37" x14ac:dyDescent="0.2">
      <c r="A2101" t="str">
        <f>"20200111160151607"</f>
        <v>20200111160151607</v>
      </c>
      <c r="B2101" t="str">
        <f>"1578729711603736"</f>
        <v>1578729711603736</v>
      </c>
      <c r="C2101" t="s">
        <v>37</v>
      </c>
      <c r="D2101">
        <v>4.8407849999999897</v>
      </c>
      <c r="E2101">
        <v>0.34086519999999998</v>
      </c>
      <c r="F2101" t="s">
        <v>42</v>
      </c>
      <c r="G2101">
        <v>-492.2747</v>
      </c>
      <c r="H2101">
        <v>1.0638459999999901</v>
      </c>
      <c r="I2101">
        <v>234.0652</v>
      </c>
      <c r="J2101">
        <v>-492.89060000000001</v>
      </c>
      <c r="K2101">
        <v>1.1104099999999999</v>
      </c>
      <c r="L2101">
        <v>234.422</v>
      </c>
      <c r="M2101">
        <v>0.22353119999999899</v>
      </c>
      <c r="N2101">
        <v>0</v>
      </c>
      <c r="O2101">
        <v>-0.97458940000000005</v>
      </c>
      <c r="P2101">
        <v>0.43090790000000001</v>
      </c>
      <c r="Q2101">
        <v>-2.760311E-2</v>
      </c>
      <c r="R2101">
        <v>-0.90197369999999899</v>
      </c>
      <c r="S2101">
        <v>2.4163509999999899</v>
      </c>
      <c r="T2101">
        <v>-0.16469200000000001</v>
      </c>
      <c r="U2101">
        <v>-2.1785739999999998</v>
      </c>
      <c r="V2101">
        <v>-0.21813730000000001</v>
      </c>
      <c r="W2101">
        <v>-1.6723080000000001E-2</v>
      </c>
      <c r="X2101">
        <v>0.97577479999999905</v>
      </c>
      <c r="Y2101">
        <v>-0.57317039999999997</v>
      </c>
      <c r="Z2101">
        <v>5.2842310000000003E-2</v>
      </c>
      <c r="AA2101">
        <v>0.81773070000000003</v>
      </c>
      <c r="AB2101">
        <v>28</v>
      </c>
      <c r="AC2101">
        <v>0.61590000000001</v>
      </c>
      <c r="AD2101">
        <v>-4.6564000000000202E-2</v>
      </c>
      <c r="AE2101">
        <v>-0.35679999999999201</v>
      </c>
      <c r="AF2101">
        <v>-0.51832992036808301</v>
      </c>
      <c r="AG2101">
        <v>-4.6564000000000202E-2</v>
      </c>
      <c r="AH2101">
        <v>0.48338846753460002</v>
      </c>
      <c r="AI2101">
        <v>93.758846025488495</v>
      </c>
      <c r="AJ2101">
        <v>136.997753497339</v>
      </c>
      <c r="AK2101">
        <v>0.71028059454713599</v>
      </c>
    </row>
    <row r="2102" spans="1:37" x14ac:dyDescent="0.2">
      <c r="A2102" t="str">
        <f>"20200111160151813"</f>
        <v>20200111160151813</v>
      </c>
      <c r="B2102" t="str">
        <f>"1578729711803856"</f>
        <v>1578729711803856</v>
      </c>
      <c r="C2102" t="s">
        <v>37</v>
      </c>
      <c r="D2102">
        <v>4.6908479999999999</v>
      </c>
      <c r="E2102">
        <v>0.3383176</v>
      </c>
      <c r="F2102" t="s">
        <v>42</v>
      </c>
      <c r="G2102">
        <v>-491.61559999999997</v>
      </c>
      <c r="H2102">
        <v>1.068154</v>
      </c>
      <c r="I2102">
        <v>231.9785</v>
      </c>
      <c r="J2102">
        <v>-492.15050000000002</v>
      </c>
      <c r="K2102">
        <v>1.111918</v>
      </c>
      <c r="L2102">
        <v>232.0027</v>
      </c>
      <c r="M2102">
        <v>0.3046664</v>
      </c>
      <c r="N2102">
        <v>0</v>
      </c>
      <c r="O2102">
        <v>-0.95234430000000003</v>
      </c>
      <c r="P2102">
        <v>0.50469419999999998</v>
      </c>
      <c r="Q2102">
        <v>-1.359848E-2</v>
      </c>
      <c r="R2102">
        <v>-0.86319120000000005</v>
      </c>
      <c r="S2102">
        <v>2.5690919999999999</v>
      </c>
      <c r="T2102">
        <v>-0.15469260000000001</v>
      </c>
      <c r="U2102">
        <v>-1.997009</v>
      </c>
      <c r="V2102">
        <v>-0.217660399999999</v>
      </c>
      <c r="W2102">
        <v>-3.1015729999999998E-3</v>
      </c>
      <c r="X2102">
        <v>0.97601959999999999</v>
      </c>
      <c r="Y2102">
        <v>-0.5639885</v>
      </c>
      <c r="Z2102">
        <v>4.9704379999999999E-2</v>
      </c>
      <c r="AA2102">
        <v>0.82428539999999995</v>
      </c>
      <c r="AB2102">
        <v>28</v>
      </c>
      <c r="AC2102">
        <v>0.53490000000005</v>
      </c>
      <c r="AD2102">
        <v>-4.37639999999999E-2</v>
      </c>
      <c r="AE2102">
        <v>-2.42000000000075E-2</v>
      </c>
      <c r="AF2102">
        <v>-0.49875905343626697</v>
      </c>
      <c r="AG2102">
        <v>-4.37639999999999E-2</v>
      </c>
      <c r="AH2102">
        <v>0.18479861112729801</v>
      </c>
      <c r="AI2102">
        <v>94.703676538316103</v>
      </c>
      <c r="AJ2102">
        <v>159.66948549060501</v>
      </c>
      <c r="AK2102">
        <v>0.53369130380325602</v>
      </c>
    </row>
    <row r="2103" spans="1:37" x14ac:dyDescent="0.2">
      <c r="A2103" t="str">
        <f>"20200111160151877"</f>
        <v>20200111160151877</v>
      </c>
      <c r="B2103" t="str">
        <f>"1578729711873659"</f>
        <v>1578729711873659</v>
      </c>
      <c r="C2103" t="s">
        <v>37</v>
      </c>
      <c r="D2103">
        <v>4.6226820000000002</v>
      </c>
      <c r="E2103">
        <v>0.3362406</v>
      </c>
      <c r="F2103" t="s">
        <v>57</v>
      </c>
      <c r="G2103">
        <v>-468.47329999999999</v>
      </c>
      <c r="H2103" s="1">
        <v>2.9764809999999999E-6</v>
      </c>
      <c r="I2103">
        <v>214.5197</v>
      </c>
      <c r="J2103">
        <v>-491.87139999999999</v>
      </c>
      <c r="K2103">
        <v>1.1122369999999999</v>
      </c>
      <c r="L2103">
        <v>231.26150000000001</v>
      </c>
      <c r="M2103">
        <v>0.33313209999999999</v>
      </c>
      <c r="N2103">
        <v>0</v>
      </c>
      <c r="O2103">
        <v>-0.94276289999999996</v>
      </c>
      <c r="P2103">
        <v>0.53545259999999995</v>
      </c>
      <c r="Q2103">
        <v>-6.2284180000000003E-3</v>
      </c>
      <c r="R2103">
        <v>-0.84454269999999998</v>
      </c>
      <c r="S2103">
        <v>2.6253359999999999</v>
      </c>
      <c r="T2103">
        <v>-0.1232895</v>
      </c>
      <c r="U2103">
        <v>-1.9385220000000001</v>
      </c>
      <c r="V2103">
        <v>-0.22360160000000001</v>
      </c>
      <c r="W2103">
        <v>4.0634199999999999E-3</v>
      </c>
      <c r="X2103">
        <v>0.97467209999999904</v>
      </c>
      <c r="Y2103">
        <v>-0.55995059999999997</v>
      </c>
      <c r="Z2103">
        <v>3.9450350000000002E-2</v>
      </c>
      <c r="AA2103">
        <v>0.82758619999999905</v>
      </c>
      <c r="AB2103">
        <v>28</v>
      </c>
      <c r="AC2103">
        <v>23.398099999999999</v>
      </c>
      <c r="AD2103">
        <v>-1.112234023519</v>
      </c>
      <c r="AE2103">
        <v>-16.741800000000001</v>
      </c>
      <c r="AF2103">
        <v>-16.458854779831501</v>
      </c>
      <c r="AG2103">
        <v>-1.112234023519</v>
      </c>
      <c r="AH2103">
        <v>23.545624994737</v>
      </c>
      <c r="AI2103">
        <v>92.217167834941506</v>
      </c>
      <c r="AJ2103">
        <v>124.95430528978601</v>
      </c>
      <c r="AK2103">
        <v>28.7493899340393</v>
      </c>
    </row>
    <row r="2104" spans="1:37" x14ac:dyDescent="0.2">
      <c r="A2104" t="str">
        <f>"20200111160151900"</f>
        <v>20200111160151900</v>
      </c>
      <c r="B2104" t="str">
        <f>"1578729711893179"</f>
        <v>1578729711893179</v>
      </c>
      <c r="C2104" t="s">
        <v>37</v>
      </c>
      <c r="D2104">
        <v>4.6930259999999997</v>
      </c>
      <c r="E2104">
        <v>0.33463340000000003</v>
      </c>
      <c r="F2104" t="s">
        <v>42</v>
      </c>
      <c r="G2104">
        <v>-491.01769999999999</v>
      </c>
      <c r="H2104">
        <v>1.082398</v>
      </c>
      <c r="I2104">
        <v>230.68289999999999</v>
      </c>
      <c r="J2104">
        <v>-491.77140000000003</v>
      </c>
      <c r="K2104">
        <v>1.1122840000000001</v>
      </c>
      <c r="L2104">
        <v>231.0119</v>
      </c>
      <c r="M2104">
        <v>0.3429529</v>
      </c>
      <c r="N2104">
        <v>0</v>
      </c>
      <c r="O2104">
        <v>-0.93923429999999997</v>
      </c>
      <c r="P2104">
        <v>0.54764849999999998</v>
      </c>
      <c r="Q2104">
        <v>-9.2495960000000006E-3</v>
      </c>
      <c r="R2104">
        <v>-0.83665719999999999</v>
      </c>
      <c r="S2104">
        <v>2.7078549999999999</v>
      </c>
      <c r="T2104">
        <v>-9.4612360000000006E-2</v>
      </c>
      <c r="U2104">
        <v>-1.834732</v>
      </c>
      <c r="V2104">
        <v>-0.227520899999999</v>
      </c>
      <c r="W2104">
        <v>9.4300880000000001E-4</v>
      </c>
      <c r="X2104">
        <v>0.97377279999999999</v>
      </c>
      <c r="Y2104">
        <v>-0.58485909999999997</v>
      </c>
      <c r="Z2104">
        <v>3.0363919999999999E-2</v>
      </c>
      <c r="AA2104">
        <v>0.81056640000000002</v>
      </c>
      <c r="AB2104">
        <v>28</v>
      </c>
      <c r="AC2104">
        <v>0.75370000000003701</v>
      </c>
      <c r="AD2104">
        <v>-2.9885999999999999E-2</v>
      </c>
      <c r="AE2104">
        <v>-0.32900000000000701</v>
      </c>
      <c r="AF2104">
        <v>-0.59435058342699498</v>
      </c>
      <c r="AG2104">
        <v>-2.9885999999999999E-2</v>
      </c>
      <c r="AH2104">
        <v>0.566806193083782</v>
      </c>
      <c r="AI2104">
        <v>92.084014917100504</v>
      </c>
      <c r="AJ2104">
        <v>136.35888747243101</v>
      </c>
      <c r="AK2104">
        <v>0.82183638854344898</v>
      </c>
    </row>
    <row r="2105" spans="1:37" x14ac:dyDescent="0.2">
      <c r="A2105" t="str">
        <f>"20200111160151922"</f>
        <v>20200111160151922</v>
      </c>
      <c r="B2105" t="str">
        <f>"1578729711913675"</f>
        <v>1578729711913675</v>
      </c>
      <c r="C2105" t="s">
        <v>37</v>
      </c>
      <c r="D2105">
        <v>4.7141419999999998</v>
      </c>
      <c r="E2105">
        <v>0.33317920000000001</v>
      </c>
      <c r="F2105" t="s">
        <v>42</v>
      </c>
      <c r="G2105">
        <v>-490.92739999999998</v>
      </c>
      <c r="H2105">
        <v>1.0799609999999999</v>
      </c>
      <c r="I2105">
        <v>230.4622</v>
      </c>
      <c r="J2105">
        <v>-491.66570000000002</v>
      </c>
      <c r="K2105">
        <v>1.11232999999999</v>
      </c>
      <c r="L2105">
        <v>230.75630000000001</v>
      </c>
      <c r="M2105">
        <v>0.3531106</v>
      </c>
      <c r="N2105">
        <v>0</v>
      </c>
      <c r="O2105">
        <v>-0.93546260000000003</v>
      </c>
      <c r="P2105">
        <v>0.55994739999999998</v>
      </c>
      <c r="Q2105">
        <v>-1.179994E-2</v>
      </c>
      <c r="R2105">
        <v>-0.82844449999999903</v>
      </c>
      <c r="S2105">
        <v>2.7444759999999899</v>
      </c>
      <c r="T2105">
        <v>-0.1051376</v>
      </c>
      <c r="U2105">
        <v>-1.7880400000000001</v>
      </c>
      <c r="V2105">
        <v>-0.23131289999999999</v>
      </c>
      <c r="W2105">
        <v>-1.7028829999999899E-3</v>
      </c>
      <c r="X2105">
        <v>0.97287789999999996</v>
      </c>
      <c r="Y2105">
        <v>-0.59061239999999904</v>
      </c>
      <c r="Z2105">
        <v>3.371992E-2</v>
      </c>
      <c r="AA2105">
        <v>0.80625059999999904</v>
      </c>
      <c r="AB2105">
        <v>28</v>
      </c>
      <c r="AC2105">
        <v>0.73830000000003704</v>
      </c>
      <c r="AD2105">
        <v>-3.2368999999999801E-2</v>
      </c>
      <c r="AE2105">
        <v>-0.29410000000001402</v>
      </c>
      <c r="AF2105">
        <v>-0.58589557846451101</v>
      </c>
      <c r="AG2105">
        <v>-3.2368999999999801E-2</v>
      </c>
      <c r="AH2105">
        <v>0.53499324272166104</v>
      </c>
      <c r="AI2105">
        <v>92.336233439009405</v>
      </c>
      <c r="AJ2105">
        <v>137.60015671726501</v>
      </c>
      <c r="AK2105">
        <v>0.79406495375573805</v>
      </c>
    </row>
    <row r="2106" spans="1:37" x14ac:dyDescent="0.2">
      <c r="A2106" t="str">
        <f>"20200111160151942"</f>
        <v>20200111160151942</v>
      </c>
      <c r="B2106" t="str">
        <f>"1578729711933195"</f>
        <v>1578729711933195</v>
      </c>
      <c r="C2106" t="s">
        <v>37</v>
      </c>
      <c r="D2106">
        <v>4.7024359999999996</v>
      </c>
      <c r="E2106">
        <v>0.33233069999999998</v>
      </c>
      <c r="F2106" t="s">
        <v>42</v>
      </c>
      <c r="G2106">
        <v>-490.84030000000001</v>
      </c>
      <c r="H2106">
        <v>1.0801799999999999</v>
      </c>
      <c r="I2106">
        <v>230.23949999999999</v>
      </c>
      <c r="J2106">
        <v>-491.56699999999898</v>
      </c>
      <c r="K2106">
        <v>1.1123689999999999</v>
      </c>
      <c r="L2106">
        <v>230.5248</v>
      </c>
      <c r="M2106">
        <v>0.3623922</v>
      </c>
      <c r="N2106">
        <v>0</v>
      </c>
      <c r="O2106">
        <v>-0.93190589999999995</v>
      </c>
      <c r="P2106">
        <v>0.57035729999999996</v>
      </c>
      <c r="Q2106">
        <v>-1.3748130000000001E-2</v>
      </c>
      <c r="R2106">
        <v>-0.82128179999999995</v>
      </c>
      <c r="S2106">
        <v>2.780548</v>
      </c>
      <c r="T2106">
        <v>-0.108242</v>
      </c>
      <c r="U2106">
        <v>-1.7403409999999999</v>
      </c>
      <c r="V2106">
        <v>-0.23389109999999999</v>
      </c>
      <c r="W2106">
        <v>-3.718378E-3</v>
      </c>
      <c r="X2106">
        <v>0.97225569999999895</v>
      </c>
      <c r="Y2106">
        <v>-0.59720709999999999</v>
      </c>
      <c r="Z2106">
        <v>3.4701919999999997E-2</v>
      </c>
      <c r="AA2106">
        <v>0.80133599999999905</v>
      </c>
      <c r="AB2106">
        <v>28</v>
      </c>
      <c r="AC2106">
        <v>0.72669999999993695</v>
      </c>
      <c r="AD2106">
        <v>-3.2189000000000002E-2</v>
      </c>
      <c r="AE2106">
        <v>-0.28530000000000599</v>
      </c>
      <c r="AF2106">
        <v>-0.57291564045199495</v>
      </c>
      <c r="AG2106">
        <v>-3.2189000000000002E-2</v>
      </c>
      <c r="AH2106">
        <v>0.52838400600812696</v>
      </c>
      <c r="AI2106">
        <v>92.365037912944402</v>
      </c>
      <c r="AJ2106">
        <v>137.31552375256601</v>
      </c>
      <c r="AK2106">
        <v>0.78003725590558604</v>
      </c>
    </row>
    <row r="2107" spans="1:37" x14ac:dyDescent="0.2">
      <c r="A2107" t="str">
        <f>"20200111160151967"</f>
        <v>20200111160151967</v>
      </c>
      <c r="B2107" t="str">
        <f>"1578729711963451"</f>
        <v>1578729711963451</v>
      </c>
      <c r="C2107" t="s">
        <v>37</v>
      </c>
      <c r="D2107">
        <v>4.7478550000000004</v>
      </c>
      <c r="E2107">
        <v>0.33151170000000002</v>
      </c>
      <c r="F2107" t="s">
        <v>42</v>
      </c>
      <c r="G2107">
        <v>-490.74110000000002</v>
      </c>
      <c r="H2107">
        <v>1.079874</v>
      </c>
      <c r="I2107">
        <v>230.02440000000001</v>
      </c>
      <c r="J2107">
        <v>-491.45209999999997</v>
      </c>
      <c r="K2107">
        <v>1.1124240000000001</v>
      </c>
      <c r="L2107">
        <v>230.2627</v>
      </c>
      <c r="M2107">
        <v>0.37298509999999901</v>
      </c>
      <c r="N2107">
        <v>0</v>
      </c>
      <c r="O2107">
        <v>-0.92771669999999995</v>
      </c>
      <c r="P2107">
        <v>0.58053100000000002</v>
      </c>
      <c r="Q2107">
        <v>-1.520669E-2</v>
      </c>
      <c r="R2107">
        <v>-0.8140965</v>
      </c>
      <c r="S2107">
        <v>2.8078609999999999</v>
      </c>
      <c r="T2107">
        <v>-0.1104511</v>
      </c>
      <c r="U2107">
        <v>-1.700974</v>
      </c>
      <c r="V2107">
        <v>-0.2348922</v>
      </c>
      <c r="W2107">
        <v>-5.2115E-3</v>
      </c>
      <c r="X2107">
        <v>0.97200750000000002</v>
      </c>
      <c r="Y2107">
        <v>-0.59973120000000002</v>
      </c>
      <c r="Z2107">
        <v>3.5380599999999998E-2</v>
      </c>
      <c r="AA2107">
        <v>0.79941890000000004</v>
      </c>
      <c r="AB2107">
        <v>28</v>
      </c>
      <c r="AC2107">
        <v>0.710999999999955</v>
      </c>
      <c r="AD2107">
        <v>-3.2550000000000003E-2</v>
      </c>
      <c r="AE2107">
        <v>-0.238299999999981</v>
      </c>
      <c r="AF2107">
        <v>-0.56971465212319405</v>
      </c>
      <c r="AG2107">
        <v>-3.2550000000000003E-2</v>
      </c>
      <c r="AH2107">
        <v>0.48540712201258401</v>
      </c>
      <c r="AI2107">
        <v>92.4901785895308</v>
      </c>
      <c r="AJ2107">
        <v>139.568406153642</v>
      </c>
      <c r="AK2107">
        <v>0.74916911404861897</v>
      </c>
    </row>
    <row r="2108" spans="1:37" x14ac:dyDescent="0.2">
      <c r="A2108" t="str">
        <f>"20200111160151988"</f>
        <v>20200111160151988</v>
      </c>
      <c r="B2108" t="str">
        <f>"1578729711983477"</f>
        <v>1578729711983477</v>
      </c>
      <c r="C2108" t="s">
        <v>37</v>
      </c>
      <c r="D2108">
        <v>4.7472050000000001</v>
      </c>
      <c r="E2108">
        <v>0.33123550000000002</v>
      </c>
      <c r="F2108" t="s">
        <v>42</v>
      </c>
      <c r="G2108">
        <v>-490.65929999999997</v>
      </c>
      <c r="H2108">
        <v>1.081488</v>
      </c>
      <c r="I2108">
        <v>229.79750000000001</v>
      </c>
      <c r="J2108">
        <v>-491.3467</v>
      </c>
      <c r="K2108">
        <v>1.1124769999999999</v>
      </c>
      <c r="L2108">
        <v>230.02969999999999</v>
      </c>
      <c r="M2108">
        <v>0.38249169999999999</v>
      </c>
      <c r="N2108">
        <v>0</v>
      </c>
      <c r="O2108">
        <v>-0.92383780000000004</v>
      </c>
      <c r="P2108">
        <v>0.58890880000000001</v>
      </c>
      <c r="Q2108">
        <v>-1.6961960000000002E-2</v>
      </c>
      <c r="R2108">
        <v>-0.80802180000000001</v>
      </c>
      <c r="S2108">
        <v>2.8342589999999999</v>
      </c>
      <c r="T2108">
        <v>-0.11050219999999999</v>
      </c>
      <c r="U2108">
        <v>-1.66194199999999</v>
      </c>
      <c r="V2108">
        <v>-0.23492950000000001</v>
      </c>
      <c r="W2108">
        <v>-6.9803030000000002E-3</v>
      </c>
      <c r="X2108">
        <v>0.97198739999999995</v>
      </c>
      <c r="Y2108">
        <v>-0.60296340000000004</v>
      </c>
      <c r="Z2108">
        <v>3.5373139999999997E-2</v>
      </c>
      <c r="AA2108">
        <v>0.79698429999999998</v>
      </c>
      <c r="AB2108">
        <v>27</v>
      </c>
      <c r="AC2108">
        <v>0.68740000000002499</v>
      </c>
      <c r="AD2108">
        <v>-3.0988999999999899E-2</v>
      </c>
      <c r="AE2108">
        <v>-0.23219999999997701</v>
      </c>
      <c r="AF2108">
        <v>-0.54529794306191104</v>
      </c>
      <c r="AG2108">
        <v>-3.0988999999999899E-2</v>
      </c>
      <c r="AH2108">
        <v>0.47662391851735197</v>
      </c>
      <c r="AI2108">
        <v>92.450102480297502</v>
      </c>
      <c r="AJ2108">
        <v>138.84454515508699</v>
      </c>
      <c r="AK2108">
        <v>0.72490035489809701</v>
      </c>
    </row>
    <row r="2109" spans="1:37" x14ac:dyDescent="0.2">
      <c r="A2109" t="str">
        <f>"20200111160152010"</f>
        <v>20200111160152010</v>
      </c>
      <c r="B2109" t="str">
        <f>"1578729712003974"</f>
        <v>1578729712003974</v>
      </c>
      <c r="C2109" t="s">
        <v>37</v>
      </c>
      <c r="D2109">
        <v>4.7196419999999897</v>
      </c>
      <c r="E2109">
        <v>0.33107399999999998</v>
      </c>
      <c r="F2109" t="s">
        <v>42</v>
      </c>
      <c r="G2109">
        <v>-490.56180000000001</v>
      </c>
      <c r="H2109">
        <v>1.080562</v>
      </c>
      <c r="I2109">
        <v>229.58090000000001</v>
      </c>
      <c r="J2109">
        <v>-491.2328</v>
      </c>
      <c r="K2109">
        <v>1.112544</v>
      </c>
      <c r="L2109">
        <v>229.7852</v>
      </c>
      <c r="M2109">
        <v>0.39256049999999998</v>
      </c>
      <c r="N2109">
        <v>0</v>
      </c>
      <c r="O2109">
        <v>-0.91960409999999904</v>
      </c>
      <c r="P2109">
        <v>0.59748880000000004</v>
      </c>
      <c r="Q2109">
        <v>-1.8518980000000001E-2</v>
      </c>
      <c r="R2109">
        <v>-0.80166359999999903</v>
      </c>
      <c r="S2109">
        <v>2.8528439999999899</v>
      </c>
      <c r="T2109">
        <v>-0.1159922</v>
      </c>
      <c r="U2109">
        <v>-1.6311340000000001</v>
      </c>
      <c r="V2109">
        <v>-0.234656</v>
      </c>
      <c r="W2109">
        <v>-8.5465780000000009E-3</v>
      </c>
      <c r="X2109">
        <v>0.97204089999999999</v>
      </c>
      <c r="Y2109">
        <v>-0.60292009999999996</v>
      </c>
      <c r="Z2109">
        <v>3.7091039999999999E-2</v>
      </c>
      <c r="AA2109">
        <v>0.79693890000000001</v>
      </c>
      <c r="AB2109">
        <v>27</v>
      </c>
      <c r="AC2109">
        <v>0.67099999999999205</v>
      </c>
      <c r="AD2109">
        <v>-3.1981999999999899E-2</v>
      </c>
      <c r="AE2109">
        <v>-0.20429999999998899</v>
      </c>
      <c r="AF2109">
        <v>-0.53580057284542204</v>
      </c>
      <c r="AG2109">
        <v>-3.1981999999999899E-2</v>
      </c>
      <c r="AH2109">
        <v>0.45039749277698399</v>
      </c>
      <c r="AI2109">
        <v>92.616102651773403</v>
      </c>
      <c r="AJ2109">
        <v>139.949369773824</v>
      </c>
      <c r="AK2109">
        <v>0.70068752214184304</v>
      </c>
    </row>
    <row r="2110" spans="1:37" x14ac:dyDescent="0.2">
      <c r="A2110" t="str">
        <f>"20200111160152044"</f>
        <v>20200111160152044</v>
      </c>
      <c r="B2110" t="str">
        <f>"1578729712033253"</f>
        <v>1578729712033253</v>
      </c>
      <c r="C2110" t="s">
        <v>37</v>
      </c>
      <c r="D2110">
        <v>4.7417439999999997</v>
      </c>
      <c r="E2110">
        <v>0.33075739999999998</v>
      </c>
      <c r="F2110" t="s">
        <v>57</v>
      </c>
      <c r="G2110">
        <v>-464.59649999999999</v>
      </c>
      <c r="H2110" s="1">
        <v>8.9485519999999895E-7</v>
      </c>
      <c r="I2110">
        <v>214.94589999999999</v>
      </c>
      <c r="J2110">
        <v>-491.05549999999999</v>
      </c>
      <c r="K2110">
        <v>1.1126370000000001</v>
      </c>
      <c r="L2110">
        <v>229.41890000000001</v>
      </c>
      <c r="M2110">
        <v>0.40783399999999997</v>
      </c>
      <c r="N2110">
        <v>0</v>
      </c>
      <c r="O2110">
        <v>-0.91293279999999999</v>
      </c>
      <c r="P2110">
        <v>0.60777429999999999</v>
      </c>
      <c r="Q2110">
        <v>-1.6473060000000001E-2</v>
      </c>
      <c r="R2110">
        <v>-0.79393939999999996</v>
      </c>
      <c r="S2110">
        <v>2.8711549999999999</v>
      </c>
      <c r="T2110">
        <v>-0.1199224</v>
      </c>
      <c r="U2110">
        <v>-1.599548</v>
      </c>
      <c r="V2110">
        <v>-0.23100560000000001</v>
      </c>
      <c r="W2110">
        <v>-6.4354989999999999E-3</v>
      </c>
      <c r="X2110">
        <v>0.97293109999999905</v>
      </c>
      <c r="Y2110">
        <v>-0.5984294</v>
      </c>
      <c r="Z2110">
        <v>3.8238899999999999E-2</v>
      </c>
      <c r="AA2110">
        <v>0.80026249999999999</v>
      </c>
      <c r="AB2110">
        <v>27</v>
      </c>
      <c r="AC2110">
        <v>26.459</v>
      </c>
      <c r="AD2110">
        <v>-1.1126361051447999</v>
      </c>
      <c r="AE2110">
        <v>-14.473000000000001</v>
      </c>
      <c r="AF2110">
        <v>-18.229950152720502</v>
      </c>
      <c r="AG2110">
        <v>-1.1126361051447999</v>
      </c>
      <c r="AH2110">
        <v>23.973828541242298</v>
      </c>
      <c r="AI2110">
        <v>92.115712238392504</v>
      </c>
      <c r="AJ2110">
        <v>127.24973849910501</v>
      </c>
      <c r="AK2110">
        <v>30.1382397727211</v>
      </c>
    </row>
    <row r="2111" spans="1:37" x14ac:dyDescent="0.2">
      <c r="A2111" t="str">
        <f>"20200111160152066"</f>
        <v>20200111160152066</v>
      </c>
      <c r="B2111" t="str">
        <f>"1578729712063509"</f>
        <v>1578729712063509</v>
      </c>
      <c r="C2111" t="s">
        <v>37</v>
      </c>
      <c r="D2111">
        <v>4.7589550000000003</v>
      </c>
      <c r="E2111">
        <v>0.3307408</v>
      </c>
      <c r="F2111" t="s">
        <v>42</v>
      </c>
      <c r="G2111">
        <v>-490.21960000000001</v>
      </c>
      <c r="H2111">
        <v>1.0790850000000001</v>
      </c>
      <c r="I2111">
        <v>228.96770000000001</v>
      </c>
      <c r="J2111">
        <v>-490.93770000000001</v>
      </c>
      <c r="K2111">
        <v>1.112687</v>
      </c>
      <c r="L2111">
        <v>229.18369999999999</v>
      </c>
      <c r="M2111">
        <v>0.41773719999999998</v>
      </c>
      <c r="N2111">
        <v>0</v>
      </c>
      <c r="O2111">
        <v>-0.90844360000000002</v>
      </c>
      <c r="P2111">
        <v>0.61389879999999997</v>
      </c>
      <c r="Q2111">
        <v>-1.3746319999999999E-2</v>
      </c>
      <c r="R2111">
        <v>-0.78926560000000001</v>
      </c>
      <c r="S2111">
        <v>2.8936459999999999</v>
      </c>
      <c r="T2111">
        <v>-0.11609169999999901</v>
      </c>
      <c r="U2111">
        <v>-1.561035</v>
      </c>
      <c r="V2111">
        <v>-0.2279852</v>
      </c>
      <c r="W2111">
        <v>-3.6461809999999901E-3</v>
      </c>
      <c r="X2111">
        <v>0.97365780000000002</v>
      </c>
      <c r="Y2111">
        <v>-0.60061569999999997</v>
      </c>
      <c r="Z2111">
        <v>3.6985339999999998E-2</v>
      </c>
      <c r="AA2111">
        <v>0.798682</v>
      </c>
      <c r="AB2111">
        <v>27</v>
      </c>
      <c r="AC2111">
        <v>0.71809999999999197</v>
      </c>
      <c r="AD2111">
        <v>-3.3601999999999903E-2</v>
      </c>
      <c r="AE2111">
        <v>-0.21599999999997899</v>
      </c>
      <c r="AF2111">
        <v>-0.56105904914062898</v>
      </c>
      <c r="AG2111">
        <v>-3.3601999999999903E-2</v>
      </c>
      <c r="AH2111">
        <v>0.49526250389198601</v>
      </c>
      <c r="AI2111">
        <v>92.570834749991505</v>
      </c>
      <c r="AJ2111">
        <v>138.56425575687399</v>
      </c>
      <c r="AK2111">
        <v>0.74913369887353698</v>
      </c>
    </row>
    <row r="2112" spans="1:37" x14ac:dyDescent="0.2">
      <c r="A2112" t="str">
        <f>"20200111160152112"</f>
        <v>20200111160152112</v>
      </c>
      <c r="B2112" t="str">
        <f>"1578729712103525"</f>
        <v>1578729712103525</v>
      </c>
      <c r="C2112" t="s">
        <v>37</v>
      </c>
      <c r="D2112">
        <v>4.8741389999999898</v>
      </c>
      <c r="E2112">
        <v>0.33116620000000002</v>
      </c>
      <c r="F2112" t="s">
        <v>42</v>
      </c>
      <c r="G2112">
        <v>-490.12060000000002</v>
      </c>
      <c r="H2112">
        <v>1.082195</v>
      </c>
      <c r="I2112">
        <v>228.75069999999999</v>
      </c>
      <c r="J2112">
        <v>-490.68470000000002</v>
      </c>
      <c r="K2112">
        <v>1.1127629999999999</v>
      </c>
      <c r="L2112">
        <v>228.69970000000001</v>
      </c>
      <c r="M2112">
        <v>0.43833749999999999</v>
      </c>
      <c r="N2112">
        <v>0</v>
      </c>
      <c r="O2112">
        <v>-0.89868429999999999</v>
      </c>
      <c r="P2112">
        <v>0.62686030000000004</v>
      </c>
      <c r="Q2112">
        <v>-5.1765400000000003E-3</v>
      </c>
      <c r="R2112">
        <v>-0.77911470000000005</v>
      </c>
      <c r="S2112">
        <v>2.90564</v>
      </c>
      <c r="T2112">
        <v>-0.10839500000000001</v>
      </c>
      <c r="U2112">
        <v>-1.539093</v>
      </c>
      <c r="V2112">
        <v>-0.2220057</v>
      </c>
      <c r="W2112">
        <v>5.060953E-3</v>
      </c>
      <c r="X2112">
        <v>0.97503220000000002</v>
      </c>
      <c r="Y2112">
        <v>-0.58848730000000005</v>
      </c>
      <c r="Z2112">
        <v>3.4317380000000001E-2</v>
      </c>
      <c r="AA2112">
        <v>0.80777790000000005</v>
      </c>
      <c r="AB2112">
        <v>27</v>
      </c>
      <c r="AC2112">
        <v>0.56409999999999605</v>
      </c>
      <c r="AD2112">
        <v>-3.0567999999999901E-2</v>
      </c>
      <c r="AE2112">
        <v>5.0999999999987701E-2</v>
      </c>
      <c r="AF2112">
        <v>-0.52782568525893303</v>
      </c>
      <c r="AG2112">
        <v>-3.0567999999999901E-2</v>
      </c>
      <c r="AH2112">
        <v>0.20087106279394701</v>
      </c>
      <c r="AI2112">
        <v>93.098170903931603</v>
      </c>
      <c r="AJ2112">
        <v>159.16501403151599</v>
      </c>
      <c r="AK2112">
        <v>0.56558247896397196</v>
      </c>
    </row>
    <row r="2113" spans="1:37" x14ac:dyDescent="0.2">
      <c r="A2113" t="str">
        <f>"20200111160152134"</f>
        <v>20200111160152134</v>
      </c>
      <c r="B2113" t="str">
        <f>"1578729712123046"</f>
        <v>1578729712123046</v>
      </c>
      <c r="C2113" t="s">
        <v>37</v>
      </c>
      <c r="D2113">
        <v>4.8721319999999997</v>
      </c>
      <c r="E2113">
        <v>0.33138759999999901</v>
      </c>
      <c r="F2113" t="s">
        <v>57</v>
      </c>
      <c r="G2113">
        <v>-453.26760000000002</v>
      </c>
      <c r="H2113">
        <v>1.406937E-3</v>
      </c>
      <c r="I2113">
        <v>209.6163</v>
      </c>
      <c r="J2113">
        <v>-490.55270000000002</v>
      </c>
      <c r="K2113">
        <v>1.1127689999999999</v>
      </c>
      <c r="L2113">
        <v>228.4579</v>
      </c>
      <c r="M2113">
        <v>0.44872529999999999</v>
      </c>
      <c r="N2113">
        <v>0</v>
      </c>
      <c r="O2113">
        <v>-0.89354290000000003</v>
      </c>
      <c r="P2113">
        <v>0.63367580000000001</v>
      </c>
      <c r="Q2113">
        <v>-5.2986159999999999E-3</v>
      </c>
      <c r="R2113">
        <v>-0.77358110000000002</v>
      </c>
      <c r="S2113">
        <v>2.9285580000000002</v>
      </c>
      <c r="T2113">
        <v>-8.6983679999999994E-2</v>
      </c>
      <c r="U2113">
        <v>-1.493622</v>
      </c>
      <c r="V2113">
        <v>-0.21926089999999901</v>
      </c>
      <c r="W2113">
        <v>5.006595E-3</v>
      </c>
      <c r="X2113">
        <v>0.9756534</v>
      </c>
      <c r="Y2113">
        <v>-0.59182429999999997</v>
      </c>
      <c r="Z2113">
        <v>2.7528799999999999E-2</v>
      </c>
      <c r="AA2113">
        <v>0.8055968</v>
      </c>
      <c r="AB2113">
        <v>27</v>
      </c>
      <c r="AC2113">
        <v>37.2851</v>
      </c>
      <c r="AD2113">
        <v>-1.1113620630000001</v>
      </c>
      <c r="AE2113">
        <v>-18.8416</v>
      </c>
      <c r="AF2113">
        <v>-24.846367537762902</v>
      </c>
      <c r="AG2113">
        <v>-1.1113620630000001</v>
      </c>
      <c r="AH2113">
        <v>33.546608791728403</v>
      </c>
      <c r="AI2113">
        <v>91.524973178079605</v>
      </c>
      <c r="AJ2113">
        <v>126.52557728505199</v>
      </c>
      <c r="AK2113">
        <v>41.7606521366938</v>
      </c>
    </row>
    <row r="2114" spans="1:37" x14ac:dyDescent="0.2">
      <c r="A2114" t="str">
        <f>"20200111160152269"</f>
        <v>20200111160152269</v>
      </c>
      <c r="B2114" t="str">
        <f>"1578729712263051"</f>
        <v>1578729712263051</v>
      </c>
      <c r="C2114" t="s">
        <v>37</v>
      </c>
      <c r="D2114">
        <v>5.3388669999999996</v>
      </c>
      <c r="E2114">
        <v>0.33168350000000002</v>
      </c>
      <c r="F2114" t="s">
        <v>57</v>
      </c>
      <c r="G2114">
        <v>-453.38220000000001</v>
      </c>
      <c r="H2114" s="1">
        <v>4.6993479999999902E-7</v>
      </c>
      <c r="I2114">
        <v>209.8835</v>
      </c>
      <c r="J2114">
        <v>-489.72910000000002</v>
      </c>
      <c r="K2114">
        <v>1.1129739999999999</v>
      </c>
      <c r="L2114">
        <v>227.08439999999999</v>
      </c>
      <c r="M2114">
        <v>0.50905730000000005</v>
      </c>
      <c r="N2114">
        <v>0</v>
      </c>
      <c r="O2114">
        <v>-0.86059979999999903</v>
      </c>
      <c r="P2114">
        <v>0.67461400000000005</v>
      </c>
      <c r="Q2114">
        <v>4.18983799999999E-3</v>
      </c>
      <c r="R2114">
        <v>-0.73815889999999995</v>
      </c>
      <c r="S2114">
        <v>2.9400330000000001</v>
      </c>
      <c r="T2114">
        <v>-8.801544E-2</v>
      </c>
      <c r="U2114">
        <v>-1.4691620000000001</v>
      </c>
      <c r="V2114">
        <v>-0.2051772</v>
      </c>
      <c r="W2114">
        <v>1.4791250000000001E-2</v>
      </c>
      <c r="X2114">
        <v>0.97861309999999901</v>
      </c>
      <c r="Y2114">
        <v>-0.54197879999999998</v>
      </c>
      <c r="Z2114">
        <v>2.705683E-2</v>
      </c>
      <c r="AA2114">
        <v>0.83995649999999999</v>
      </c>
      <c r="AB2114">
        <v>27</v>
      </c>
      <c r="AC2114">
        <v>36.346899999999998</v>
      </c>
      <c r="AD2114">
        <v>-1.1129735300651999</v>
      </c>
      <c r="AE2114">
        <v>-17.200899999999901</v>
      </c>
      <c r="AF2114">
        <v>-22.5092230084975</v>
      </c>
      <c r="AG2114">
        <v>-1.1129735300651999</v>
      </c>
      <c r="AH2114">
        <v>33.284056299162003</v>
      </c>
      <c r="AI2114">
        <v>91.586639570536093</v>
      </c>
      <c r="AJ2114">
        <v>124.069562909097</v>
      </c>
      <c r="AK2114">
        <v>40.196171885525203</v>
      </c>
    </row>
    <row r="2115" spans="1:37" x14ac:dyDescent="0.2">
      <c r="A2115" t="str">
        <f>"20200111160152427"</f>
        <v>20200111160152427</v>
      </c>
      <c r="B2115" t="str">
        <f>"1578729712423114"</f>
        <v>1578729712423114</v>
      </c>
      <c r="C2115" t="s">
        <v>37</v>
      </c>
      <c r="D2115">
        <v>5.2247009999999996</v>
      </c>
      <c r="E2115">
        <v>0.33092899999999997</v>
      </c>
      <c r="F2115" t="s">
        <v>38</v>
      </c>
      <c r="G2115">
        <v>-413.61489999999998</v>
      </c>
      <c r="H2115" s="1">
        <v>-3.3806439999999998E-6</v>
      </c>
      <c r="I2115">
        <v>194.02379999999999</v>
      </c>
      <c r="J2115">
        <v>-488.66570000000002</v>
      </c>
      <c r="K2115">
        <v>1.113216</v>
      </c>
      <c r="L2115">
        <v>225.59139999999999</v>
      </c>
      <c r="M2115">
        <v>0.57877209999999901</v>
      </c>
      <c r="N2115">
        <v>0</v>
      </c>
      <c r="O2115">
        <v>-0.81534759999999995</v>
      </c>
      <c r="P2115">
        <v>0.75604539999999998</v>
      </c>
      <c r="Q2115">
        <v>2.417906E-3</v>
      </c>
      <c r="R2115">
        <v>-0.65451459999999995</v>
      </c>
      <c r="S2115">
        <v>3.0145569999999999</v>
      </c>
      <c r="T2115">
        <v>-4.4080260000000003E-2</v>
      </c>
      <c r="U2115">
        <v>-1.3093870000000001</v>
      </c>
      <c r="V2115">
        <v>-0.23796149999999899</v>
      </c>
      <c r="W2115">
        <v>1.219082E-2</v>
      </c>
      <c r="X2115">
        <v>0.97119809999999995</v>
      </c>
      <c r="Y2115">
        <v>-0.51723479999999999</v>
      </c>
      <c r="Z2115">
        <v>1.30995E-2</v>
      </c>
      <c r="AA2115">
        <v>0.85574329999999998</v>
      </c>
      <c r="AB2115">
        <v>27</v>
      </c>
      <c r="AC2115">
        <v>75.050799999999995</v>
      </c>
      <c r="AD2115">
        <v>-1.1132193806440001</v>
      </c>
      <c r="AE2115">
        <v>-31.567599999999999</v>
      </c>
      <c r="AF2115">
        <v>-42.918981716501897</v>
      </c>
      <c r="AG2115">
        <v>-1.1132193806440001</v>
      </c>
      <c r="AH2115">
        <v>69.170941434034205</v>
      </c>
      <c r="AI2115">
        <v>90.783482025919895</v>
      </c>
      <c r="AJ2115">
        <v>121.818652160383</v>
      </c>
      <c r="AK2115">
        <v>81.411899546942493</v>
      </c>
    </row>
    <row r="2116" spans="1:37" x14ac:dyDescent="0.2">
      <c r="A2116" t="str">
        <f>"20200111160152448"</f>
        <v>20200111160152448</v>
      </c>
      <c r="B2116" t="str">
        <f>"1578729712443611"</f>
        <v>1578729712443611</v>
      </c>
      <c r="C2116" t="s">
        <v>37</v>
      </c>
      <c r="D2116">
        <v>5.1709870000000002</v>
      </c>
      <c r="E2116">
        <v>0.3301443</v>
      </c>
      <c r="F2116" t="s">
        <v>60</v>
      </c>
      <c r="G2116">
        <v>-437.13400000000001</v>
      </c>
      <c r="H2116" s="1">
        <v>5.7731300000000002E-6</v>
      </c>
      <c r="I2116">
        <v>210.1268</v>
      </c>
      <c r="J2116">
        <v>-488.50220000000002</v>
      </c>
      <c r="K2116">
        <v>1.1131819999999999</v>
      </c>
      <c r="L2116">
        <v>225.3836</v>
      </c>
      <c r="M2116">
        <v>0.58863369999999904</v>
      </c>
      <c r="N2116">
        <v>0</v>
      </c>
      <c r="O2116">
        <v>-0.80825689999999994</v>
      </c>
      <c r="P2116">
        <v>0.76556919999999995</v>
      </c>
      <c r="Q2116">
        <v>1.472424E-3</v>
      </c>
      <c r="R2116">
        <v>-0.64335200000000003</v>
      </c>
      <c r="S2116">
        <v>3.149902</v>
      </c>
      <c r="T2116">
        <v>-6.8045620000000001E-2</v>
      </c>
      <c r="U2116">
        <v>-0.94528199999999996</v>
      </c>
      <c r="V2116">
        <v>-0.24039349999999901</v>
      </c>
      <c r="W2116">
        <v>1.120145E-2</v>
      </c>
      <c r="X2116">
        <v>0.97061090000000005</v>
      </c>
      <c r="Y2116">
        <v>-0.60478209999999999</v>
      </c>
      <c r="Z2116">
        <v>2.0823390000000001E-2</v>
      </c>
      <c r="AA2116">
        <v>0.79611869999999996</v>
      </c>
      <c r="AB2116">
        <v>27</v>
      </c>
      <c r="AC2116">
        <v>51.368200000000002</v>
      </c>
      <c r="AD2116">
        <v>-1.1131762268699901</v>
      </c>
      <c r="AE2116">
        <v>-15.256799999999901</v>
      </c>
      <c r="AF2116">
        <v>-32.527759555547</v>
      </c>
      <c r="AG2116">
        <v>-1.1131762268699901</v>
      </c>
      <c r="AH2116">
        <v>42.5550238689463</v>
      </c>
      <c r="AI2116">
        <v>91.190583575264696</v>
      </c>
      <c r="AJ2116">
        <v>127.393190780662</v>
      </c>
      <c r="AK2116">
        <v>53.574474887787098</v>
      </c>
    </row>
    <row r="2117" spans="1:37" x14ac:dyDescent="0.2">
      <c r="A2117" t="str">
        <f>"20200111160152492"</f>
        <v>20200111160152492</v>
      </c>
      <c r="B2117" t="str">
        <f>"1578729712483628"</f>
        <v>1578729712483628</v>
      </c>
      <c r="C2117" t="s">
        <v>37</v>
      </c>
      <c r="D2117">
        <v>5.2058819999999999</v>
      </c>
      <c r="E2117">
        <v>0.32930879999999901</v>
      </c>
      <c r="F2117" t="s">
        <v>60</v>
      </c>
      <c r="G2117">
        <v>-436.47449999999998</v>
      </c>
      <c r="H2117" s="1">
        <v>5.4304980000000003E-6</v>
      </c>
      <c r="I2117">
        <v>210.7003</v>
      </c>
      <c r="J2117">
        <v>-488.18349999999998</v>
      </c>
      <c r="K2117">
        <v>1.1130899999999999</v>
      </c>
      <c r="L2117">
        <v>224.99369999999999</v>
      </c>
      <c r="M2117">
        <v>0.60714469999999898</v>
      </c>
      <c r="N2117">
        <v>0</v>
      </c>
      <c r="O2117">
        <v>-0.79444579999999998</v>
      </c>
      <c r="P2117">
        <v>0.78093650000000003</v>
      </c>
      <c r="Q2117">
        <v>1.1461510000000001E-4</v>
      </c>
      <c r="R2117">
        <v>-0.62461040000000001</v>
      </c>
      <c r="S2117">
        <v>3.1675719999999998</v>
      </c>
      <c r="T2117">
        <v>-6.7772869999999999E-2</v>
      </c>
      <c r="U2117">
        <v>-0.89395139999999995</v>
      </c>
      <c r="V2117">
        <v>-0.24146770000000001</v>
      </c>
      <c r="W2117">
        <v>9.8515970000000001E-3</v>
      </c>
      <c r="X2117">
        <v>0.97035879999999997</v>
      </c>
      <c r="Y2117">
        <v>-0.59950209999999904</v>
      </c>
      <c r="Z2117">
        <v>2.0521480000000002E-2</v>
      </c>
      <c r="AA2117">
        <v>0.80010999999999999</v>
      </c>
      <c r="AB2117">
        <v>27</v>
      </c>
      <c r="AC2117">
        <v>51.709000000000003</v>
      </c>
      <c r="AD2117">
        <v>-1.113084569502</v>
      </c>
      <c r="AE2117">
        <v>-14.293399999999901</v>
      </c>
      <c r="AF2117">
        <v>-32.391638097177001</v>
      </c>
      <c r="AG2117">
        <v>-1.113084569502</v>
      </c>
      <c r="AH2117">
        <v>42.736722271640502</v>
      </c>
      <c r="AI2117">
        <v>91.189106492966502</v>
      </c>
      <c r="AJ2117">
        <v>127.159745412204</v>
      </c>
      <c r="AK2117">
        <v>53.636597640050603</v>
      </c>
    </row>
    <row r="2118" spans="1:37" x14ac:dyDescent="0.2">
      <c r="A2118" t="str">
        <f>"20200111160152514"</f>
        <v>20200111160152514</v>
      </c>
      <c r="B2118" t="str">
        <f>"1578729712503147"</f>
        <v>1578729712503147</v>
      </c>
      <c r="C2118" t="s">
        <v>37</v>
      </c>
      <c r="D2118">
        <v>5.1723419999999898</v>
      </c>
      <c r="E2118">
        <v>0.3290959</v>
      </c>
      <c r="F2118" t="s">
        <v>57</v>
      </c>
      <c r="G2118">
        <v>-440.61529999999999</v>
      </c>
      <c r="H2118" s="1">
        <v>-1.1343070000000001E-6</v>
      </c>
      <c r="I2118">
        <v>212.8998</v>
      </c>
      <c r="J2118">
        <v>-488.01229999999998</v>
      </c>
      <c r="K2118">
        <v>1.1130340000000001</v>
      </c>
      <c r="L2118">
        <v>224.79179999999999</v>
      </c>
      <c r="M2118">
        <v>0.61672830000000001</v>
      </c>
      <c r="N2118">
        <v>0</v>
      </c>
      <c r="O2118">
        <v>-0.78702930000000004</v>
      </c>
      <c r="P2118">
        <v>0.787321099999999</v>
      </c>
      <c r="Q2118">
        <v>-2.97918099999999E-3</v>
      </c>
      <c r="R2118">
        <v>-0.61653639999999998</v>
      </c>
      <c r="S2118">
        <v>3.192383</v>
      </c>
      <c r="T2118">
        <v>-7.4701550000000005E-2</v>
      </c>
      <c r="U2118">
        <v>-0.81164550000000002</v>
      </c>
      <c r="V2118">
        <v>-0.23962990000000001</v>
      </c>
      <c r="W2118">
        <v>6.8171129999999996E-3</v>
      </c>
      <c r="X2118">
        <v>0.97084040000000005</v>
      </c>
      <c r="Y2118">
        <v>-0.61057189999999995</v>
      </c>
      <c r="Z2118">
        <v>2.2613210000000002E-2</v>
      </c>
      <c r="AA2118">
        <v>0.79163790000000001</v>
      </c>
      <c r="AB2118">
        <v>26</v>
      </c>
      <c r="AC2118">
        <v>47.396999999999899</v>
      </c>
      <c r="AD2118">
        <v>-1.113035134307</v>
      </c>
      <c r="AE2118">
        <v>-11.8919999999999</v>
      </c>
      <c r="AF2118">
        <v>-29.9566164632434</v>
      </c>
      <c r="AG2118">
        <v>-1.113035134307</v>
      </c>
      <c r="AH2118">
        <v>38.574870517912601</v>
      </c>
      <c r="AI2118">
        <v>91.305491226378393</v>
      </c>
      <c r="AJ2118">
        <v>127.83233151635299</v>
      </c>
      <c r="AK2118">
        <v>48.853437469740001</v>
      </c>
    </row>
    <row r="2119" spans="1:37" x14ac:dyDescent="0.2">
      <c r="A2119" t="str">
        <f>"20200111160152536"</f>
        <v>20200111160152536</v>
      </c>
      <c r="B2119" t="str">
        <f>"1578729712533402"</f>
        <v>1578729712533402</v>
      </c>
      <c r="C2119" t="s">
        <v>37</v>
      </c>
      <c r="D2119">
        <v>5.197959</v>
      </c>
      <c r="E2119">
        <v>0.32851799999999998</v>
      </c>
      <c r="F2119" t="s">
        <v>57</v>
      </c>
      <c r="G2119">
        <v>-448.04950000000002</v>
      </c>
      <c r="H2119" s="1">
        <v>2.7261110000000001E-6</v>
      </c>
      <c r="I2119">
        <v>215.0889</v>
      </c>
      <c r="J2119">
        <v>-487.85090000000002</v>
      </c>
      <c r="K2119">
        <v>1.112975</v>
      </c>
      <c r="L2119">
        <v>224.60560000000001</v>
      </c>
      <c r="M2119">
        <v>0.62555810000000001</v>
      </c>
      <c r="N2119">
        <v>0</v>
      </c>
      <c r="O2119">
        <v>-0.78002939999999998</v>
      </c>
      <c r="P2119">
        <v>0.79298109999999999</v>
      </c>
      <c r="Q2119">
        <v>-6.2304379999999996E-3</v>
      </c>
      <c r="R2119">
        <v>-0.60921449999999999</v>
      </c>
      <c r="S2119">
        <v>3.201355</v>
      </c>
      <c r="T2119">
        <v>-8.9163300000000001E-2</v>
      </c>
      <c r="U2119">
        <v>-0.77728269999999899</v>
      </c>
      <c r="V2119">
        <v>-0.23760249999999999</v>
      </c>
      <c r="W2119">
        <v>3.6271179999999999E-3</v>
      </c>
      <c r="X2119">
        <v>0.97135569999999904</v>
      </c>
      <c r="Y2119">
        <v>-0.61005830000000005</v>
      </c>
      <c r="Z2119">
        <v>2.687167E-2</v>
      </c>
      <c r="AA2119">
        <v>0.79190079999999996</v>
      </c>
      <c r="AB2119">
        <v>26</v>
      </c>
      <c r="AC2119">
        <v>39.801400000000001</v>
      </c>
      <c r="AD2119">
        <v>-1.112972273889</v>
      </c>
      <c r="AE2119">
        <v>-9.5167000000000108</v>
      </c>
      <c r="AF2119">
        <v>-25.0773661353007</v>
      </c>
      <c r="AG2119">
        <v>-1.112972273889</v>
      </c>
      <c r="AH2119">
        <v>32.3012392939577</v>
      </c>
      <c r="AI2119">
        <v>91.559013620379503</v>
      </c>
      <c r="AJ2119">
        <v>127.82430808957</v>
      </c>
      <c r="AK2119">
        <v>40.908227283663699</v>
      </c>
    </row>
    <row r="2120" spans="1:37" x14ac:dyDescent="0.2">
      <c r="A2120" t="str">
        <f>"20200111160152560"</f>
        <v>20200111160152560</v>
      </c>
      <c r="B2120" t="str">
        <f>"1578729712553898"</f>
        <v>1578729712553898</v>
      </c>
      <c r="C2120" t="s">
        <v>37</v>
      </c>
      <c r="D2120">
        <v>5.142563</v>
      </c>
      <c r="E2120">
        <v>0.32859319999999997</v>
      </c>
      <c r="F2120" t="s">
        <v>57</v>
      </c>
      <c r="G2120">
        <v>-451.88319999999999</v>
      </c>
      <c r="H2120" s="1">
        <v>-6.0710659999999999E-7</v>
      </c>
      <c r="I2120">
        <v>216.2739</v>
      </c>
      <c r="J2120">
        <v>-487.6601</v>
      </c>
      <c r="K2120">
        <v>1.112932</v>
      </c>
      <c r="L2120">
        <v>224.39099999999999</v>
      </c>
      <c r="M2120">
        <v>0.63574140000000001</v>
      </c>
      <c r="N2120">
        <v>0</v>
      </c>
      <c r="O2120">
        <v>-0.77175289999999996</v>
      </c>
      <c r="P2120">
        <v>0.800069699999999</v>
      </c>
      <c r="Q2120">
        <v>-9.180845E-3</v>
      </c>
      <c r="R2120">
        <v>-0.59983739999999997</v>
      </c>
      <c r="S2120">
        <v>3.2109679999999998</v>
      </c>
      <c r="T2120">
        <v>-9.9359390000000006E-2</v>
      </c>
      <c r="U2120">
        <v>-0.74380489999999999</v>
      </c>
      <c r="V2120">
        <v>-0.236206799999999</v>
      </c>
      <c r="W2120">
        <v>7.2223269999999997E-4</v>
      </c>
      <c r="X2120">
        <v>0.97170249999999903</v>
      </c>
      <c r="Y2120">
        <v>-0.60792259999999998</v>
      </c>
      <c r="Z2120">
        <v>2.9754490000000001E-2</v>
      </c>
      <c r="AA2120">
        <v>0.79343859999999999</v>
      </c>
      <c r="AB2120">
        <v>26</v>
      </c>
      <c r="AC2120">
        <v>35.776899999999998</v>
      </c>
      <c r="AD2120">
        <v>-1.1129326071065999</v>
      </c>
      <c r="AE2120">
        <v>-8.11709999999999</v>
      </c>
      <c r="AF2120">
        <v>-22.4324910065559</v>
      </c>
      <c r="AG2120">
        <v>-1.1129326071065999</v>
      </c>
      <c r="AH2120">
        <v>28.985917457062399</v>
      </c>
      <c r="AI2120">
        <v>91.739223506714495</v>
      </c>
      <c r="AJ2120">
        <v>127.736645739888</v>
      </c>
      <c r="AK2120">
        <v>36.669315272783699</v>
      </c>
    </row>
    <row r="2121" spans="1:37" x14ac:dyDescent="0.2">
      <c r="A2121" t="str">
        <f>"20200111160152583"</f>
        <v>20200111160152583</v>
      </c>
      <c r="B2121" t="str">
        <f>"1578729712573418"</f>
        <v>1578729712573418</v>
      </c>
      <c r="C2121" t="s">
        <v>37</v>
      </c>
      <c r="D2121">
        <v>5.2366979999999996</v>
      </c>
      <c r="E2121">
        <v>0.32872030000000002</v>
      </c>
      <c r="F2121" t="s">
        <v>57</v>
      </c>
      <c r="G2121">
        <v>-456.43979999999999</v>
      </c>
      <c r="H2121" s="1">
        <v>1.7625309999999899E-6</v>
      </c>
      <c r="I2121">
        <v>217.53559999999999</v>
      </c>
      <c r="J2121">
        <v>-487.4898</v>
      </c>
      <c r="K2121">
        <v>1.112906</v>
      </c>
      <c r="L2121">
        <v>224.20410000000001</v>
      </c>
      <c r="M2121">
        <v>0.64461380000000001</v>
      </c>
      <c r="N2121">
        <v>0</v>
      </c>
      <c r="O2121">
        <v>-0.76435730000000002</v>
      </c>
      <c r="P2121">
        <v>0.80632169999999903</v>
      </c>
      <c r="Q2121">
        <v>-1.1449559999999999E-2</v>
      </c>
      <c r="R2121">
        <v>-0.59136679999999997</v>
      </c>
      <c r="S2121">
        <v>3.2185060000000001</v>
      </c>
      <c r="T2121">
        <v>-0.1147321</v>
      </c>
      <c r="U2121">
        <v>-0.70672609999999902</v>
      </c>
      <c r="V2121">
        <v>-0.2351607</v>
      </c>
      <c r="W2121">
        <v>-1.5125169999999999E-3</v>
      </c>
      <c r="X2121">
        <v>0.97195540000000002</v>
      </c>
      <c r="Y2121">
        <v>-0.60768800000000001</v>
      </c>
      <c r="Z2121">
        <v>3.4207050000000003E-2</v>
      </c>
      <c r="AA2121">
        <v>0.79343889999999995</v>
      </c>
      <c r="AB2121">
        <v>26</v>
      </c>
      <c r="AC2121">
        <v>31.05</v>
      </c>
      <c r="AD2121">
        <v>-1.1129042374689999</v>
      </c>
      <c r="AE2121">
        <v>-6.6685000000000203</v>
      </c>
      <c r="AF2121">
        <v>-19.413091954486301</v>
      </c>
      <c r="AG2121">
        <v>-1.1129042374689999</v>
      </c>
      <c r="AH2121">
        <v>25.084471228713898</v>
      </c>
      <c r="AI2121">
        <v>92.009472132352599</v>
      </c>
      <c r="AJ2121">
        <v>127.73660166766</v>
      </c>
      <c r="AK2121">
        <v>31.738578920602201</v>
      </c>
    </row>
    <row r="2122" spans="1:37" x14ac:dyDescent="0.2">
      <c r="A2122" t="str">
        <f>"20200111160153096"</f>
        <v>20200111160153096</v>
      </c>
      <c r="B2122" t="str">
        <f>"1578729713093626"</f>
        <v>1578729713093626</v>
      </c>
      <c r="C2122" t="s">
        <v>37</v>
      </c>
      <c r="D2122">
        <v>5.3000169999999898</v>
      </c>
      <c r="E2122">
        <v>0.44450820000000002</v>
      </c>
      <c r="F2122" t="s">
        <v>54</v>
      </c>
      <c r="G2122">
        <v>-472.66379999999998</v>
      </c>
      <c r="H2122" s="1">
        <v>4.9322169999999998E-6</v>
      </c>
      <c r="I2122">
        <v>218.1643</v>
      </c>
      <c r="J2122">
        <v>-483.01920000000001</v>
      </c>
      <c r="K2122">
        <v>1.112455</v>
      </c>
      <c r="L2122">
        <v>220.49879999999999</v>
      </c>
      <c r="M2122">
        <v>0.82350610000000002</v>
      </c>
      <c r="N2122">
        <v>0</v>
      </c>
      <c r="O2122">
        <v>-0.56710709999999998</v>
      </c>
      <c r="P2122">
        <v>0.91856789999999999</v>
      </c>
      <c r="Q2122">
        <v>-2.1721279999999999E-2</v>
      </c>
      <c r="R2122">
        <v>-0.39466599999999902</v>
      </c>
      <c r="S2122">
        <v>2.9649049999999999</v>
      </c>
      <c r="T2122">
        <v>-0.31196380000000001</v>
      </c>
      <c r="U2122">
        <v>-0.69319149999999996</v>
      </c>
      <c r="V2122">
        <v>-0.19576830000000001</v>
      </c>
      <c r="W2122">
        <v>-1.0722270000000001E-2</v>
      </c>
      <c r="X2122">
        <v>0.98059149999999995</v>
      </c>
      <c r="Y2122">
        <v>-0.36035899999999998</v>
      </c>
      <c r="Z2122">
        <v>7.3621160000000005E-2</v>
      </c>
      <c r="AA2122">
        <v>0.92990390000000001</v>
      </c>
      <c r="AB2122">
        <v>25</v>
      </c>
      <c r="AC2122">
        <v>10.355399999999999</v>
      </c>
      <c r="AD2122">
        <v>-1.112450067783</v>
      </c>
      <c r="AE2122">
        <v>-2.33449999999999</v>
      </c>
      <c r="AF2122">
        <v>-3.90767899559305</v>
      </c>
      <c r="AG2122">
        <v>-1.112450067783</v>
      </c>
      <c r="AH2122">
        <v>9.74573438597516</v>
      </c>
      <c r="AI2122">
        <v>96.047809740917799</v>
      </c>
      <c r="AJ2122">
        <v>111.848959562632</v>
      </c>
      <c r="AK2122">
        <v>10.5587328315422</v>
      </c>
    </row>
    <row r="2123" spans="1:37" x14ac:dyDescent="0.2">
      <c r="A2123" t="str">
        <f>"20200111160153141"</f>
        <v>20200111160153141</v>
      </c>
      <c r="B2123" t="str">
        <f>"1578729713133642"</f>
        <v>1578729713133642</v>
      </c>
      <c r="C2123" t="s">
        <v>37</v>
      </c>
      <c r="D2123">
        <v>5.3166549999999999</v>
      </c>
      <c r="E2123">
        <v>0.45034929999999901</v>
      </c>
      <c r="F2123" t="s">
        <v>54</v>
      </c>
      <c r="G2123">
        <v>-473.45659999999998</v>
      </c>
      <c r="H2123" s="1">
        <v>4.5716109999999997E-6</v>
      </c>
      <c r="I2123">
        <v>217.95740000000001</v>
      </c>
      <c r="J2123">
        <v>-482.59120000000001</v>
      </c>
      <c r="K2123">
        <v>1.1124529999999999</v>
      </c>
      <c r="L2123">
        <v>220.239</v>
      </c>
      <c r="M2123">
        <v>0.83643940000000006</v>
      </c>
      <c r="N2123">
        <v>0</v>
      </c>
      <c r="O2123">
        <v>-0.54785229999999996</v>
      </c>
      <c r="P2123">
        <v>0.92518419999999901</v>
      </c>
      <c r="Q2123">
        <v>-2.0545109999999998E-2</v>
      </c>
      <c r="R2123">
        <v>-0.37896239999999998</v>
      </c>
      <c r="S2123">
        <v>2.9239809999999999</v>
      </c>
      <c r="T2123">
        <v>-0.3401595</v>
      </c>
      <c r="U2123">
        <v>-0.7770996</v>
      </c>
      <c r="V2123">
        <v>-0.1897606</v>
      </c>
      <c r="W2123">
        <v>-9.4094650000000005E-3</v>
      </c>
      <c r="X2123">
        <v>0.98178529999999997</v>
      </c>
      <c r="Y2123">
        <v>-0.3097529</v>
      </c>
      <c r="Z2123">
        <v>7.6256770000000001E-2</v>
      </c>
      <c r="AA2123">
        <v>0.94775419999999999</v>
      </c>
      <c r="AB2123">
        <v>25</v>
      </c>
      <c r="AC2123">
        <v>9.1346000000000291</v>
      </c>
      <c r="AD2123">
        <v>-1.1124484283889999</v>
      </c>
      <c r="AE2123">
        <v>-2.2815999999999899</v>
      </c>
      <c r="AF2123">
        <v>-3.05371190479539</v>
      </c>
      <c r="AG2123">
        <v>-1.1124484283889999</v>
      </c>
      <c r="AH2123">
        <v>8.7691081537355995</v>
      </c>
      <c r="AI2123">
        <v>96.831678898180499</v>
      </c>
      <c r="AJ2123">
        <v>109.19991466965701</v>
      </c>
      <c r="AK2123">
        <v>9.3520027649283008</v>
      </c>
    </row>
    <row r="2124" spans="1:37" x14ac:dyDescent="0.2">
      <c r="A2124" t="str">
        <f>"20200111160153163"</f>
        <v>20200111160153163</v>
      </c>
      <c r="B2124" t="str">
        <f>"1578729713153162"</f>
        <v>1578729713153162</v>
      </c>
      <c r="C2124" t="s">
        <v>37</v>
      </c>
      <c r="D2124">
        <v>5.2777830000000003</v>
      </c>
      <c r="E2124">
        <v>0.45227869999999998</v>
      </c>
      <c r="F2124" t="s">
        <v>54</v>
      </c>
      <c r="G2124">
        <v>-473.29610000000002</v>
      </c>
      <c r="H2124" s="1">
        <v>4.6354179999999998E-6</v>
      </c>
      <c r="I2124">
        <v>217.78799999999899</v>
      </c>
      <c r="J2124">
        <v>-482.37369999999999</v>
      </c>
      <c r="K2124">
        <v>1.1124479999999899</v>
      </c>
      <c r="L2124">
        <v>220.11199999999999</v>
      </c>
      <c r="M2124">
        <v>0.84279879999999996</v>
      </c>
      <c r="N2124">
        <v>0</v>
      </c>
      <c r="O2124">
        <v>-0.538018</v>
      </c>
      <c r="P2124">
        <v>0.92825780000000002</v>
      </c>
      <c r="Q2124">
        <v>-2.115556E-2</v>
      </c>
      <c r="R2124">
        <v>-0.37133579999999999</v>
      </c>
      <c r="S2124">
        <v>2.919495</v>
      </c>
      <c r="T2124">
        <v>-0.34940509999999902</v>
      </c>
      <c r="U2124">
        <v>-0.76982119999999998</v>
      </c>
      <c r="V2124">
        <v>-0.18632219999999999</v>
      </c>
      <c r="W2124">
        <v>-9.9432040000000006E-3</v>
      </c>
      <c r="X2124">
        <v>0.98243840000000004</v>
      </c>
      <c r="Y2124">
        <v>-0.30027929999999903</v>
      </c>
      <c r="Z2124">
        <v>7.6961890000000005E-2</v>
      </c>
      <c r="AA2124">
        <v>0.95074139999999996</v>
      </c>
      <c r="AB2124">
        <v>25</v>
      </c>
      <c r="AC2124">
        <v>9.0775999999999595</v>
      </c>
      <c r="AD2124">
        <v>-1.11244336458199</v>
      </c>
      <c r="AE2124">
        <v>-2.3240000000000101</v>
      </c>
      <c r="AF2124">
        <v>-2.8849187684949502</v>
      </c>
      <c r="AG2124">
        <v>-1.11244336458199</v>
      </c>
      <c r="AH2124">
        <v>8.7782310820916791</v>
      </c>
      <c r="AI2124">
        <v>96.864944156610406</v>
      </c>
      <c r="AJ2124">
        <v>108.19283262156399</v>
      </c>
      <c r="AK2124">
        <v>9.3068591625111399</v>
      </c>
    </row>
    <row r="2125" spans="1:37" x14ac:dyDescent="0.2">
      <c r="A2125" t="str">
        <f>"20200111160153185"</f>
        <v>20200111160153185</v>
      </c>
      <c r="B2125" t="str">
        <f>"1578729713173658"</f>
        <v>1578729713173658</v>
      </c>
      <c r="C2125" t="s">
        <v>37</v>
      </c>
      <c r="D2125">
        <v>5.2995320000000001</v>
      </c>
      <c r="E2125">
        <v>0.45389459999999998</v>
      </c>
      <c r="F2125" t="s">
        <v>54</v>
      </c>
      <c r="G2125">
        <v>-473.32670000000002</v>
      </c>
      <c r="H2125" s="1">
        <v>4.6205680000000002E-6</v>
      </c>
      <c r="I2125">
        <v>217.7587</v>
      </c>
      <c r="J2125">
        <v>-482.16849999999999</v>
      </c>
      <c r="K2125">
        <v>1.112441</v>
      </c>
      <c r="L2125">
        <v>219.99529999999999</v>
      </c>
      <c r="M2125">
        <v>0.84866399999999997</v>
      </c>
      <c r="N2125">
        <v>0</v>
      </c>
      <c r="O2125">
        <v>-0.52871780000000002</v>
      </c>
      <c r="P2125">
        <v>0.93117559999999999</v>
      </c>
      <c r="Q2125">
        <v>-2.1399069999999999E-2</v>
      </c>
      <c r="R2125">
        <v>-0.36394280000000001</v>
      </c>
      <c r="S2125">
        <v>2.919861</v>
      </c>
      <c r="T2125">
        <v>-0.35903390000000002</v>
      </c>
      <c r="U2125">
        <v>-0.75949100000000003</v>
      </c>
      <c r="V2125">
        <v>-0.18332379999999901</v>
      </c>
      <c r="W2125">
        <v>-1.0119889999999999E-2</v>
      </c>
      <c r="X2125">
        <v>0.98300049999999894</v>
      </c>
      <c r="Y2125">
        <v>-0.29277999999999998</v>
      </c>
      <c r="Z2125">
        <v>7.7726420000000004E-2</v>
      </c>
      <c r="AA2125">
        <v>0.95301539999999996</v>
      </c>
      <c r="AB2125">
        <v>25</v>
      </c>
      <c r="AC2125">
        <v>8.8417999999999708</v>
      </c>
      <c r="AD2125">
        <v>-1.112436379432</v>
      </c>
      <c r="AE2125">
        <v>-2.2365999999999802</v>
      </c>
      <c r="AF2125">
        <v>-2.73630066808499</v>
      </c>
      <c r="AG2125">
        <v>-1.112436379432</v>
      </c>
      <c r="AH2125">
        <v>8.5598828327066006</v>
      </c>
      <c r="AI2125">
        <v>97.056653658086205</v>
      </c>
      <c r="AJ2125">
        <v>107.727293502813</v>
      </c>
      <c r="AK2125">
        <v>9.0551891285666404</v>
      </c>
    </row>
    <row r="2126" spans="1:37" x14ac:dyDescent="0.2">
      <c r="A2126" t="str">
        <f>"20200111160153206"</f>
        <v>20200111160153206</v>
      </c>
      <c r="B2126" t="str">
        <f>"1578729713203915"</f>
        <v>1578729713203915</v>
      </c>
      <c r="C2126" t="s">
        <v>37</v>
      </c>
      <c r="D2126">
        <v>5.4526589999999997</v>
      </c>
      <c r="E2126">
        <v>0.45540130000000001</v>
      </c>
      <c r="F2126" t="s">
        <v>54</v>
      </c>
      <c r="G2126">
        <v>-473.27300000000002</v>
      </c>
      <c r="H2126" s="1">
        <v>4.6425830000000004E-6</v>
      </c>
      <c r="I2126">
        <v>217.71860000000001</v>
      </c>
      <c r="J2126">
        <v>-481.95920000000001</v>
      </c>
      <c r="K2126">
        <v>1.1124369999999999</v>
      </c>
      <c r="L2126">
        <v>219.8794</v>
      </c>
      <c r="M2126">
        <v>0.85451900000000003</v>
      </c>
      <c r="N2126">
        <v>0</v>
      </c>
      <c r="O2126">
        <v>-0.51920189999999999</v>
      </c>
      <c r="P2126">
        <v>0.93450949999999899</v>
      </c>
      <c r="Q2126">
        <v>-2.1955889999999999E-2</v>
      </c>
      <c r="R2126">
        <v>-0.35526089999999999</v>
      </c>
      <c r="S2126">
        <v>2.9211119999999999</v>
      </c>
      <c r="T2126">
        <v>-0.36530659999999998</v>
      </c>
      <c r="U2126">
        <v>-0.74766540000000004</v>
      </c>
      <c r="V2126">
        <v>-0.18147149999999901</v>
      </c>
      <c r="W2126">
        <v>-1.06353E-2</v>
      </c>
      <c r="X2126">
        <v>0.98333869999999901</v>
      </c>
      <c r="Y2126">
        <v>-0.28572900000000001</v>
      </c>
      <c r="Z2126">
        <v>7.7689469999999997E-2</v>
      </c>
      <c r="AA2126">
        <v>0.95515609999999995</v>
      </c>
      <c r="AB2126">
        <v>25</v>
      </c>
      <c r="AC2126">
        <v>8.6861999999999799</v>
      </c>
      <c r="AD2126">
        <v>-1.1124323574170001</v>
      </c>
      <c r="AE2126">
        <v>-2.1607999999999898</v>
      </c>
      <c r="AF2126">
        <v>-2.6232308401236502</v>
      </c>
      <c r="AG2126">
        <v>-1.1124323574170001</v>
      </c>
      <c r="AH2126">
        <v>8.41540016047988</v>
      </c>
      <c r="AI2126">
        <v>97.192751182892096</v>
      </c>
      <c r="AJ2126">
        <v>107.313191109729</v>
      </c>
      <c r="AK2126">
        <v>8.8846950229824397</v>
      </c>
    </row>
    <row r="2127" spans="1:37" x14ac:dyDescent="0.2">
      <c r="A2127" t="str">
        <f>"20200111160153231"</f>
        <v>20200111160153231</v>
      </c>
      <c r="B2127" t="str">
        <f>"1578729713223435"</f>
        <v>1578729713223435</v>
      </c>
      <c r="C2127" t="s">
        <v>37</v>
      </c>
      <c r="D2127">
        <v>5.3338070000000002</v>
      </c>
      <c r="E2127">
        <v>0.45635690000000001</v>
      </c>
      <c r="F2127" t="s">
        <v>54</v>
      </c>
      <c r="G2127">
        <v>-473.24799999999999</v>
      </c>
      <c r="H2127" s="1">
        <v>4.6529360000000001E-6</v>
      </c>
      <c r="I2127">
        <v>217.70089999999999</v>
      </c>
      <c r="J2127">
        <v>-481.72930000000002</v>
      </c>
      <c r="K2127">
        <v>1.112428</v>
      </c>
      <c r="L2127">
        <v>219.75559999999999</v>
      </c>
      <c r="M2127">
        <v>0.86079749999999999</v>
      </c>
      <c r="N2127">
        <v>0</v>
      </c>
      <c r="O2127">
        <v>-0.50872479999999998</v>
      </c>
      <c r="P2127">
        <v>0.93818080000000004</v>
      </c>
      <c r="Q2127">
        <v>-2.1697419999999999E-2</v>
      </c>
      <c r="R2127">
        <v>-0.34546509999999903</v>
      </c>
      <c r="S2127">
        <v>2.9235530000000001</v>
      </c>
      <c r="T2127">
        <v>-0.373341799999999</v>
      </c>
      <c r="U2127">
        <v>-0.73112489999999997</v>
      </c>
      <c r="V2127">
        <v>-0.17975559999999999</v>
      </c>
      <c r="W2127">
        <v>-1.033742E-2</v>
      </c>
      <c r="X2127">
        <v>0.983657</v>
      </c>
      <c r="Y2127">
        <v>-0.27916770000000002</v>
      </c>
      <c r="Z2127">
        <v>7.7879489999999996E-2</v>
      </c>
      <c r="AA2127">
        <v>0.95707900000000001</v>
      </c>
      <c r="AB2127">
        <v>25</v>
      </c>
      <c r="AC2127">
        <v>8.4812999999999708</v>
      </c>
      <c r="AD2127">
        <v>-1.1124233470639999</v>
      </c>
      <c r="AE2127">
        <v>-2.0546999999999902</v>
      </c>
      <c r="AF2127">
        <v>-2.5055413457610398</v>
      </c>
      <c r="AG2127">
        <v>-1.1124233470639999</v>
      </c>
      <c r="AH2127">
        <v>8.2134388867647097</v>
      </c>
      <c r="AI2127">
        <v>97.381321928415801</v>
      </c>
      <c r="AJ2127">
        <v>106.964529854871</v>
      </c>
      <c r="AK2127">
        <v>8.6588568232203702</v>
      </c>
    </row>
    <row r="2128" spans="1:37" x14ac:dyDescent="0.2">
      <c r="A2128" t="str">
        <f>"20200111160153276"</f>
        <v>20200111160153276</v>
      </c>
      <c r="B2128" t="str">
        <f>"1578729713263450"</f>
        <v>1578729713263450</v>
      </c>
      <c r="C2128" t="s">
        <v>37</v>
      </c>
      <c r="D2128">
        <v>5.6087049999999996</v>
      </c>
      <c r="E2128">
        <v>0.4579048</v>
      </c>
      <c r="F2128" t="s">
        <v>54</v>
      </c>
      <c r="G2128">
        <v>-473.02010000000001</v>
      </c>
      <c r="H2128" s="1">
        <v>4.7519000000000002E-6</v>
      </c>
      <c r="I2128">
        <v>217.65280000000001</v>
      </c>
      <c r="J2128">
        <v>-481.29259999999999</v>
      </c>
      <c r="K2128">
        <v>1.1124069999999999</v>
      </c>
      <c r="L2128">
        <v>219.5309</v>
      </c>
      <c r="M2128">
        <v>0.87228229999999995</v>
      </c>
      <c r="N2128">
        <v>0</v>
      </c>
      <c r="O2128">
        <v>-0.48877079999999901</v>
      </c>
      <c r="P2128">
        <v>0.94518570000000002</v>
      </c>
      <c r="Q2128">
        <v>-2.0112560000000002E-2</v>
      </c>
      <c r="R2128">
        <v>-0.32591350000000002</v>
      </c>
      <c r="S2128">
        <v>2.9286500000000002</v>
      </c>
      <c r="T2128">
        <v>-0.37407489999999999</v>
      </c>
      <c r="U2128">
        <v>-0.7071075</v>
      </c>
      <c r="V2128">
        <v>-0.17757690000000001</v>
      </c>
      <c r="W2128">
        <v>-8.697626E-3</v>
      </c>
      <c r="X2128">
        <v>0.98406849999999901</v>
      </c>
      <c r="Y2128">
        <v>-0.26505200000000001</v>
      </c>
      <c r="Z2128">
        <v>7.4983240000000007E-2</v>
      </c>
      <c r="AA2128">
        <v>0.96131420000000001</v>
      </c>
      <c r="AB2128">
        <v>25</v>
      </c>
      <c r="AC2128">
        <v>8.2724999999999795</v>
      </c>
      <c r="AD2128">
        <v>-1.1124022481</v>
      </c>
      <c r="AE2128">
        <v>-1.8780999999999799</v>
      </c>
      <c r="AF2128">
        <v>-2.3647321579892799</v>
      </c>
      <c r="AG2128">
        <v>-1.1124022481</v>
      </c>
      <c r="AH2128">
        <v>7.99731728479943</v>
      </c>
      <c r="AI2128">
        <v>97.597712525826793</v>
      </c>
      <c r="AJ2128">
        <v>106.47245712357</v>
      </c>
      <c r="AK2128">
        <v>8.4134701933481804</v>
      </c>
    </row>
    <row r="2129" spans="1:37" x14ac:dyDescent="0.2">
      <c r="A2129" t="str">
        <f>"20200111160153298"</f>
        <v>20200111160153298</v>
      </c>
      <c r="B2129" t="str">
        <f>"1578729713293707"</f>
        <v>1578729713293707</v>
      </c>
      <c r="C2129" t="s">
        <v>37</v>
      </c>
      <c r="D2129">
        <v>5.3734000000000002</v>
      </c>
      <c r="E2129">
        <v>0.45947939999999998</v>
      </c>
      <c r="F2129" t="s">
        <v>54</v>
      </c>
      <c r="G2129">
        <v>-472.51510000000002</v>
      </c>
      <c r="H2129" s="1">
        <v>4.9721799999999999E-6</v>
      </c>
      <c r="I2129">
        <v>217.56950000000001</v>
      </c>
      <c r="J2129">
        <v>-481.06229999999999</v>
      </c>
      <c r="K2129">
        <v>1.1123959999999999</v>
      </c>
      <c r="L2129">
        <v>219.41730000000001</v>
      </c>
      <c r="M2129">
        <v>0.87811289999999997</v>
      </c>
      <c r="N2129">
        <v>0</v>
      </c>
      <c r="O2129">
        <v>-0.478216799999999</v>
      </c>
      <c r="P2129">
        <v>0.948785399999999</v>
      </c>
      <c r="Q2129">
        <v>-1.8957370000000001E-2</v>
      </c>
      <c r="R2129">
        <v>-0.31535180000000002</v>
      </c>
      <c r="S2129">
        <v>2.9395449999999999</v>
      </c>
      <c r="T2129">
        <v>-0.37253759999999903</v>
      </c>
      <c r="U2129">
        <v>-0.65686040000000001</v>
      </c>
      <c r="V2129">
        <v>-0.1767194</v>
      </c>
      <c r="W2129">
        <v>-7.5185460000000001E-3</v>
      </c>
      <c r="X2129">
        <v>0.98423249999999995</v>
      </c>
      <c r="Y2129">
        <v>-0.26992070000000001</v>
      </c>
      <c r="Z2129">
        <v>7.3775419999999994E-2</v>
      </c>
      <c r="AA2129">
        <v>0.96005209999999996</v>
      </c>
      <c r="AB2129">
        <v>25</v>
      </c>
      <c r="AC2129">
        <v>8.5471999999999699</v>
      </c>
      <c r="AD2129">
        <v>-1.11239102782</v>
      </c>
      <c r="AE2129">
        <v>-1.8478000000000001</v>
      </c>
      <c r="AF2129">
        <v>-2.4258616593697502</v>
      </c>
      <c r="AG2129">
        <v>-1.11239102782</v>
      </c>
      <c r="AH2129">
        <v>8.2564012166935701</v>
      </c>
      <c r="AI2129">
        <v>97.365584590844406</v>
      </c>
      <c r="AJ2129">
        <v>106.37362481737399</v>
      </c>
      <c r="AK2129">
        <v>8.6770029180699098</v>
      </c>
    </row>
    <row r="2130" spans="1:37" x14ac:dyDescent="0.2">
      <c r="A2130" t="str">
        <f>"20200111160153322"</f>
        <v>20200111160153322</v>
      </c>
      <c r="B2130" t="str">
        <f>"1578729713313226"</f>
        <v>1578729713313226</v>
      </c>
      <c r="C2130" t="s">
        <v>37</v>
      </c>
      <c r="D2130">
        <v>5.3837400000000004</v>
      </c>
      <c r="E2130">
        <v>0.46049489999999998</v>
      </c>
      <c r="F2130" t="s">
        <v>54</v>
      </c>
      <c r="G2130">
        <v>-472.30239999999998</v>
      </c>
      <c r="H2130" s="1">
        <v>5.0645910000000001E-6</v>
      </c>
      <c r="I2130">
        <v>217.52590000000001</v>
      </c>
      <c r="J2130">
        <v>-480.82900000000001</v>
      </c>
      <c r="K2130">
        <v>1.1123879999999999</v>
      </c>
      <c r="L2130">
        <v>219.3058</v>
      </c>
      <c r="M2130">
        <v>0.88385550000000002</v>
      </c>
      <c r="N2130">
        <v>0</v>
      </c>
      <c r="O2130">
        <v>-0.46751789999999999</v>
      </c>
      <c r="P2130">
        <v>0.95226230000000001</v>
      </c>
      <c r="Q2130">
        <v>-1.6865209999999999E-2</v>
      </c>
      <c r="R2130">
        <v>-0.30481469999999999</v>
      </c>
      <c r="S2130">
        <v>2.9432070000000001</v>
      </c>
      <c r="T2130">
        <v>-0.37375159999999902</v>
      </c>
      <c r="U2130">
        <v>-0.63549800000000001</v>
      </c>
      <c r="V2130">
        <v>-0.17573659999999999</v>
      </c>
      <c r="W2130">
        <v>-5.3990610000000001E-3</v>
      </c>
      <c r="X2130">
        <v>0.98442240000000003</v>
      </c>
      <c r="Y2130">
        <v>-0.26520659999999902</v>
      </c>
      <c r="Z2130">
        <v>7.2543099999999999E-2</v>
      </c>
      <c r="AA2130">
        <v>0.9614587</v>
      </c>
      <c r="AB2130">
        <v>25</v>
      </c>
      <c r="AC2130">
        <v>8.5266000000000304</v>
      </c>
      <c r="AD2130">
        <v>-1.112382935409</v>
      </c>
      <c r="AE2130">
        <v>-1.77989999999999</v>
      </c>
      <c r="AF2130">
        <v>-2.3747074028765498</v>
      </c>
      <c r="AG2130">
        <v>-1.112382935409</v>
      </c>
      <c r="AH2130">
        <v>8.2350578250157103</v>
      </c>
      <c r="AI2130">
        <v>97.395099600704</v>
      </c>
      <c r="AJ2130">
        <v>106.085741686821</v>
      </c>
      <c r="AK2130">
        <v>8.6425001258674197</v>
      </c>
    </row>
    <row r="2131" spans="1:37" x14ac:dyDescent="0.2">
      <c r="A2131" t="str">
        <f>"20200111160153342"</f>
        <v>20200111160153342</v>
      </c>
      <c r="B2131" t="str">
        <f>"1578729713333722"</f>
        <v>1578729713333722</v>
      </c>
      <c r="C2131" t="s">
        <v>37</v>
      </c>
      <c r="D2131">
        <v>5.4894660000000002</v>
      </c>
      <c r="E2131">
        <v>0.46128779999999903</v>
      </c>
      <c r="F2131" t="s">
        <v>54</v>
      </c>
      <c r="G2131">
        <v>-471.9744</v>
      </c>
      <c r="H2131" s="1">
        <v>5.207756E-6</v>
      </c>
      <c r="I2131">
        <v>217.4734</v>
      </c>
      <c r="J2131">
        <v>-480.62529999999998</v>
      </c>
      <c r="K2131">
        <v>1.1123730000000001</v>
      </c>
      <c r="L2131">
        <v>219.21129999999999</v>
      </c>
      <c r="M2131">
        <v>0.88873919999999995</v>
      </c>
      <c r="N2131">
        <v>0</v>
      </c>
      <c r="O2131">
        <v>-0.45816639999999997</v>
      </c>
      <c r="P2131">
        <v>0.95520559999999999</v>
      </c>
      <c r="Q2131">
        <v>-1.4573590000000001E-2</v>
      </c>
      <c r="R2131">
        <v>-0.29558429999999902</v>
      </c>
      <c r="S2131">
        <v>2.9485169999999998</v>
      </c>
      <c r="T2131">
        <v>-0.37041689999999999</v>
      </c>
      <c r="U2131">
        <v>-0.61019899999999905</v>
      </c>
      <c r="V2131">
        <v>-0.17493880000000001</v>
      </c>
      <c r="W2131">
        <v>-3.084566E-3</v>
      </c>
      <c r="X2131">
        <v>0.98457450000000002</v>
      </c>
      <c r="Y2131">
        <v>-0.263466799999999</v>
      </c>
      <c r="Z2131">
        <v>7.0739109999999994E-2</v>
      </c>
      <c r="AA2131">
        <v>0.96207129999999996</v>
      </c>
      <c r="AB2131">
        <v>25</v>
      </c>
      <c r="AC2131">
        <v>8.6508999999999698</v>
      </c>
      <c r="AD2131">
        <v>-1.1123677922440001</v>
      </c>
      <c r="AE2131">
        <v>-1.73789999999999</v>
      </c>
      <c r="AF2131">
        <v>-2.3814385210909399</v>
      </c>
      <c r="AG2131">
        <v>-1.1123677922440001</v>
      </c>
      <c r="AH2131">
        <v>8.3528535303390399</v>
      </c>
      <c r="AI2131">
        <v>97.298077385461298</v>
      </c>
      <c r="AJ2131">
        <v>105.913104566795</v>
      </c>
      <c r="AK2131">
        <v>8.7566416869856507</v>
      </c>
    </row>
    <row r="2132" spans="1:37" x14ac:dyDescent="0.2">
      <c r="A2132" t="str">
        <f>"20200111160153386"</f>
        <v>20200111160153386</v>
      </c>
      <c r="B2132" t="str">
        <f>"1578729713384005"</f>
        <v>1578729713384005</v>
      </c>
      <c r="C2132" t="s">
        <v>37</v>
      </c>
      <c r="D2132">
        <v>5.3652620000000004</v>
      </c>
      <c r="E2132">
        <v>0.46244249999999998</v>
      </c>
      <c r="F2132" t="s">
        <v>54</v>
      </c>
      <c r="G2132">
        <v>-471.63229999999999</v>
      </c>
      <c r="H2132" s="1">
        <v>5.3572960000000002E-6</v>
      </c>
      <c r="I2132">
        <v>217.42320000000001</v>
      </c>
      <c r="J2132">
        <v>-480.18740000000003</v>
      </c>
      <c r="K2132">
        <v>1.1123459999999901</v>
      </c>
      <c r="L2132">
        <v>219.01669999999999</v>
      </c>
      <c r="M2132">
        <v>0.89882770000000001</v>
      </c>
      <c r="N2132">
        <v>0</v>
      </c>
      <c r="O2132">
        <v>-0.438044499999999</v>
      </c>
      <c r="P2132">
        <v>0.96106589999999903</v>
      </c>
      <c r="Q2132">
        <v>-1.1636489999999999E-2</v>
      </c>
      <c r="R2132">
        <v>-0.27607490000000001</v>
      </c>
      <c r="S2132">
        <v>2.9533689999999999</v>
      </c>
      <c r="T2132">
        <v>-0.3653091</v>
      </c>
      <c r="U2132">
        <v>-0.58723449999999999</v>
      </c>
      <c r="V2132">
        <v>-0.1728942</v>
      </c>
      <c r="W2132" s="1">
        <v>-9.2492900000000003E-5</v>
      </c>
      <c r="X2132">
        <v>0.98494040000000005</v>
      </c>
      <c r="Y2132">
        <v>-0.24960959999999999</v>
      </c>
      <c r="Z2132">
        <v>6.6709439999999995E-2</v>
      </c>
      <c r="AA2132">
        <v>0.96604599999999996</v>
      </c>
      <c r="AB2132">
        <v>25</v>
      </c>
      <c r="AC2132">
        <v>8.5551000000000297</v>
      </c>
      <c r="AD2132">
        <v>-1.1123406427039999</v>
      </c>
      <c r="AE2132">
        <v>-1.5934999999999699</v>
      </c>
      <c r="AF2132">
        <v>-2.2782703407703302</v>
      </c>
      <c r="AG2132">
        <v>-1.1123406427039999</v>
      </c>
      <c r="AH2132">
        <v>8.2536786666869695</v>
      </c>
      <c r="AI2132">
        <v>97.401884517829998</v>
      </c>
      <c r="AJ2132">
        <v>105.431150092373</v>
      </c>
      <c r="AK2132">
        <v>8.6342937744767791</v>
      </c>
    </row>
    <row r="2133" spans="1:37" x14ac:dyDescent="0.2">
      <c r="A2133" t="str">
        <f>"20200111160153410"</f>
        <v>20200111160153410</v>
      </c>
      <c r="B2133" t="str">
        <f>"1578729713403526"</f>
        <v>1578729713403526</v>
      </c>
      <c r="C2133" t="s">
        <v>37</v>
      </c>
      <c r="D2133">
        <v>5.7821860000000003</v>
      </c>
      <c r="E2133">
        <v>0.4620996</v>
      </c>
      <c r="F2133" t="s">
        <v>54</v>
      </c>
      <c r="G2133">
        <v>-470.97930000000002</v>
      </c>
      <c r="H2133" s="1">
        <v>5.6436059999999901E-6</v>
      </c>
      <c r="I2133">
        <v>217.34899999999999</v>
      </c>
      <c r="J2133">
        <v>-479.95170000000002</v>
      </c>
      <c r="K2133">
        <v>1.112317</v>
      </c>
      <c r="L2133">
        <v>218.91669999999999</v>
      </c>
      <c r="M2133">
        <v>0.90403089999999997</v>
      </c>
      <c r="N2133">
        <v>0</v>
      </c>
      <c r="O2133">
        <v>-0.4272031</v>
      </c>
      <c r="P2133">
        <v>0.963935399999999</v>
      </c>
      <c r="Q2133">
        <v>-1.1628960000000001E-2</v>
      </c>
      <c r="R2133">
        <v>-0.26588229999999902</v>
      </c>
      <c r="S2133">
        <v>2.9630740000000002</v>
      </c>
      <c r="T2133">
        <v>-0.3579388</v>
      </c>
      <c r="U2133">
        <v>-0.53666689999999995</v>
      </c>
      <c r="V2133">
        <v>-0.17147899999999999</v>
      </c>
      <c r="W2133" s="1">
        <v>-4.9404570000000003E-5</v>
      </c>
      <c r="X2133">
        <v>0.98518779999999995</v>
      </c>
      <c r="Y2133">
        <v>-0.25471820000000001</v>
      </c>
      <c r="Z2133">
        <v>6.4456029999999997E-2</v>
      </c>
      <c r="AA2133">
        <v>0.96486479999999997</v>
      </c>
      <c r="AB2133">
        <v>25</v>
      </c>
      <c r="AC2133">
        <v>8.9723999999999897</v>
      </c>
      <c r="AD2133">
        <v>-1.1123113563939999</v>
      </c>
      <c r="AE2133">
        <v>-1.5676999999999699</v>
      </c>
      <c r="AF2133">
        <v>-2.38055833753352</v>
      </c>
      <c r="AG2133">
        <v>-1.1123113563939999</v>
      </c>
      <c r="AH2133">
        <v>8.6529987555687295</v>
      </c>
      <c r="AI2133">
        <v>97.065292656027395</v>
      </c>
      <c r="AJ2133">
        <v>105.382306556456</v>
      </c>
      <c r="AK2133">
        <v>9.0431566400144501</v>
      </c>
    </row>
    <row r="2134" spans="1:37" x14ac:dyDescent="0.2">
      <c r="A2134" t="str">
        <f>"20200111160153432"</f>
        <v>20200111160153432</v>
      </c>
      <c r="B2134" t="str">
        <f>"1578729713424023"</f>
        <v>1578729713424023</v>
      </c>
      <c r="C2134" t="s">
        <v>37</v>
      </c>
      <c r="D2134">
        <v>5.1130329999999997</v>
      </c>
      <c r="E2134">
        <v>0.41707269999999902</v>
      </c>
      <c r="F2134" t="s">
        <v>54</v>
      </c>
      <c r="G2134">
        <v>-470.71129999999999</v>
      </c>
      <c r="H2134" s="1">
        <v>5.7626300000000001E-6</v>
      </c>
      <c r="I2134">
        <v>217.35299999999901</v>
      </c>
      <c r="J2134">
        <v>-479.72149999999999</v>
      </c>
      <c r="K2134">
        <v>1.1122780000000001</v>
      </c>
      <c r="L2134">
        <v>218.82259999999999</v>
      </c>
      <c r="M2134">
        <v>0.90895249999999905</v>
      </c>
      <c r="N2134">
        <v>0</v>
      </c>
      <c r="O2134">
        <v>-0.41662890000000002</v>
      </c>
      <c r="P2134">
        <v>0.96645369999999997</v>
      </c>
      <c r="Q2134">
        <v>-1.2310379999999999E-2</v>
      </c>
      <c r="R2134">
        <v>-0.25654589999999999</v>
      </c>
      <c r="S2134">
        <v>2.9692989999999999</v>
      </c>
      <c r="T2134">
        <v>-0.35743059999999899</v>
      </c>
      <c r="U2134">
        <v>-0.50250240000000002</v>
      </c>
      <c r="V2134">
        <v>-0.16950090000000001</v>
      </c>
      <c r="W2134">
        <v>-6.8215889999999996E-4</v>
      </c>
      <c r="X2134">
        <v>0.98552980000000001</v>
      </c>
      <c r="Y2134">
        <v>-0.25465729999999998</v>
      </c>
      <c r="Z2134">
        <v>6.3183520000000007E-2</v>
      </c>
      <c r="AA2134">
        <v>0.96496499999999996</v>
      </c>
      <c r="AB2134">
        <v>25</v>
      </c>
      <c r="AC2134">
        <v>9.0101999999999904</v>
      </c>
      <c r="AD2134">
        <v>-1.11227223737</v>
      </c>
      <c r="AE2134">
        <v>-1.46960000000001</v>
      </c>
      <c r="AF2134">
        <v>-2.3830126356131802</v>
      </c>
      <c r="AG2134">
        <v>-1.11227223737</v>
      </c>
      <c r="AH2134">
        <v>8.6743531245951395</v>
      </c>
      <c r="AI2134">
        <v>97.048532453777298</v>
      </c>
      <c r="AJ2134">
        <v>105.361300571157</v>
      </c>
      <c r="AK2134">
        <v>9.06423195211209</v>
      </c>
    </row>
    <row r="2135" spans="1:37" x14ac:dyDescent="0.2">
      <c r="A2135" t="str">
        <f>"20200111160153454"</f>
        <v>20200111160153454</v>
      </c>
      <c r="B2135" t="str">
        <f>"1578729713443542"</f>
        <v>1578729713443542</v>
      </c>
      <c r="C2135" t="s">
        <v>37</v>
      </c>
      <c r="D2135">
        <v>5.0111140000000001</v>
      </c>
      <c r="E2135">
        <v>0.42370609999999997</v>
      </c>
      <c r="F2135" t="s">
        <v>67</v>
      </c>
      <c r="G2135">
        <v>-168.4152</v>
      </c>
      <c r="H2135">
        <v>13.151809999999999</v>
      </c>
      <c r="I2135">
        <v>205.3897</v>
      </c>
      <c r="J2135">
        <v>-479.50560000000002</v>
      </c>
      <c r="K2135">
        <v>1.112233</v>
      </c>
      <c r="L2135">
        <v>218.7371</v>
      </c>
      <c r="M2135">
        <v>0.91343019999999997</v>
      </c>
      <c r="N2135">
        <v>0</v>
      </c>
      <c r="O2135">
        <v>-0.40671869999999999</v>
      </c>
      <c r="P2135">
        <v>0.96859589999999995</v>
      </c>
      <c r="Q2135">
        <v>-1.33802E-2</v>
      </c>
      <c r="R2135">
        <v>-0.24828059999999999</v>
      </c>
      <c r="S2135">
        <v>3.0704959999999999</v>
      </c>
      <c r="T2135">
        <v>0.11874939999999901</v>
      </c>
      <c r="U2135">
        <v>-0.1324921</v>
      </c>
      <c r="V2135">
        <v>-0.16717489999999999</v>
      </c>
      <c r="W2135">
        <v>-1.6961400000000001E-3</v>
      </c>
      <c r="X2135">
        <v>0.98592579999999996</v>
      </c>
      <c r="Y2135">
        <v>-0.36644329999999897</v>
      </c>
      <c r="Z2135">
        <v>-2.240872E-2</v>
      </c>
      <c r="AA2135">
        <v>0.93017050000000001</v>
      </c>
      <c r="AB2135">
        <v>25</v>
      </c>
      <c r="AC2135">
        <v>311.09039999999999</v>
      </c>
      <c r="AD2135">
        <v>12.039577</v>
      </c>
      <c r="AE2135">
        <v>-13.347399999999899</v>
      </c>
      <c r="AF2135">
        <v>-114.176541671275</v>
      </c>
      <c r="AG2135">
        <v>12.039577</v>
      </c>
      <c r="AH2135">
        <v>289.18826634173098</v>
      </c>
      <c r="AI2135">
        <v>87.782417699547594</v>
      </c>
      <c r="AJ2135">
        <v>111.544966153928</v>
      </c>
      <c r="AK2135">
        <v>311.14480145438301</v>
      </c>
    </row>
    <row r="2136" spans="1:37" x14ac:dyDescent="0.2">
      <c r="A2136" t="str">
        <f>"20200111160153475"</f>
        <v>20200111160153475</v>
      </c>
      <c r="B2136" t="str">
        <f>"1578729713473798"</f>
        <v>1578729713473798</v>
      </c>
      <c r="C2136" t="s">
        <v>37</v>
      </c>
      <c r="D2136">
        <v>4.9499529999999998</v>
      </c>
      <c r="E2136">
        <v>0.42670979999999997</v>
      </c>
      <c r="F2136" t="s">
        <v>67</v>
      </c>
      <c r="G2136">
        <v>-168.4118</v>
      </c>
      <c r="H2136">
        <v>0.41381839999999998</v>
      </c>
      <c r="I2136">
        <v>202.86539999999999</v>
      </c>
      <c r="J2136">
        <v>-479.28379999999999</v>
      </c>
      <c r="K2136">
        <v>1.1121799999999999</v>
      </c>
      <c r="L2136">
        <v>218.65199999999999</v>
      </c>
      <c r="M2136">
        <v>0.91788910000000001</v>
      </c>
      <c r="N2136">
        <v>0</v>
      </c>
      <c r="O2136">
        <v>-0.39655370000000001</v>
      </c>
      <c r="P2136">
        <v>0.97071679999999905</v>
      </c>
      <c r="Q2136">
        <v>-1.460328E-2</v>
      </c>
      <c r="R2136">
        <v>-0.23978360000000001</v>
      </c>
      <c r="S2136">
        <v>3.05722</v>
      </c>
      <c r="T2136">
        <v>-6.863236E-3</v>
      </c>
      <c r="U2136">
        <v>-0.15597529999999901</v>
      </c>
      <c r="V2136">
        <v>-0.164840299999999</v>
      </c>
      <c r="W2136">
        <v>-2.8624709999999901E-3</v>
      </c>
      <c r="X2136">
        <v>0.98631610000000003</v>
      </c>
      <c r="Y2136">
        <v>-0.34930739999999999</v>
      </c>
      <c r="Z2136">
        <v>1.2603289999999999E-3</v>
      </c>
      <c r="AA2136">
        <v>0.93700729999999999</v>
      </c>
      <c r="AB2136">
        <v>25</v>
      </c>
      <c r="AC2136">
        <v>310.87200000000001</v>
      </c>
      <c r="AD2136">
        <v>-0.69836159999999903</v>
      </c>
      <c r="AE2136">
        <v>-15.7866</v>
      </c>
      <c r="AF2136">
        <v>-108.798773834942</v>
      </c>
      <c r="AG2136">
        <v>-0.69836159999999903</v>
      </c>
      <c r="AH2136">
        <v>291.63756363865201</v>
      </c>
      <c r="AI2136">
        <v>90.128547483773303</v>
      </c>
      <c r="AJ2136">
        <v>110.458613282969</v>
      </c>
      <c r="AK2136">
        <v>311.27179348922698</v>
      </c>
    </row>
    <row r="2137" spans="1:37" x14ac:dyDescent="0.2">
      <c r="A2137" t="str">
        <f>"20200111160153521"</f>
        <v>20200111160153521</v>
      </c>
      <c r="B2137" t="str">
        <f>"1578729713513344"</f>
        <v>1578729713513344</v>
      </c>
      <c r="C2137" t="s">
        <v>37</v>
      </c>
      <c r="D2137">
        <v>4.9856089999999904</v>
      </c>
      <c r="E2137">
        <v>0.43168440000000002</v>
      </c>
      <c r="F2137" t="s">
        <v>60</v>
      </c>
      <c r="G2137">
        <v>-435.80340000000001</v>
      </c>
      <c r="H2137" s="1">
        <v>4.6260339999999999E-6</v>
      </c>
      <c r="I2137">
        <v>216.49809999999999</v>
      </c>
      <c r="J2137">
        <v>-478.82810000000001</v>
      </c>
      <c r="K2137">
        <v>1.112077</v>
      </c>
      <c r="L2137">
        <v>218.48570000000001</v>
      </c>
      <c r="M2137">
        <v>0.92660989999999999</v>
      </c>
      <c r="N2137">
        <v>0</v>
      </c>
      <c r="O2137">
        <v>-0.37572549999999999</v>
      </c>
      <c r="P2137">
        <v>0.97477429999999998</v>
      </c>
      <c r="Q2137">
        <v>-1.889822E-2</v>
      </c>
      <c r="R2137">
        <v>-0.2223917</v>
      </c>
      <c r="S2137">
        <v>3.0519099999999999</v>
      </c>
      <c r="T2137">
        <v>-7.8064079999999994E-2</v>
      </c>
      <c r="U2137">
        <v>-0.15118409999999999</v>
      </c>
      <c r="V2137">
        <v>-0.16009300000000001</v>
      </c>
      <c r="W2137">
        <v>-7.0425710000000001E-3</v>
      </c>
      <c r="X2137">
        <v>0.98707679999999998</v>
      </c>
      <c r="Y2137">
        <v>-0.32923219999999997</v>
      </c>
      <c r="Z2137">
        <v>1.3606750000000001E-2</v>
      </c>
      <c r="AA2137">
        <v>0.94415090000000002</v>
      </c>
      <c r="AB2137">
        <v>25</v>
      </c>
      <c r="AC2137">
        <v>43.024700000000003</v>
      </c>
      <c r="AD2137">
        <v>-1.1120723739659999</v>
      </c>
      <c r="AE2137">
        <v>-1.98760000000001</v>
      </c>
      <c r="AF2137">
        <v>-14.3158109957216</v>
      </c>
      <c r="AG2137">
        <v>-1.1120723739659999</v>
      </c>
      <c r="AH2137">
        <v>40.591402792269001</v>
      </c>
      <c r="AI2137">
        <v>91.480020484299999</v>
      </c>
      <c r="AJ2137">
        <v>109.42677102534699</v>
      </c>
      <c r="AK2137">
        <v>43.056255411663301</v>
      </c>
    </row>
    <row r="2138" spans="1:37" x14ac:dyDescent="0.2">
      <c r="A2138" t="str">
        <f>"20200111160153542"</f>
        <v>20200111160153542</v>
      </c>
      <c r="B2138" t="str">
        <f>"1578729713533841"</f>
        <v>1578729713533841</v>
      </c>
      <c r="C2138" t="s">
        <v>37</v>
      </c>
      <c r="D2138">
        <v>5.0361539999999998</v>
      </c>
      <c r="E2138">
        <v>0.43425219999999998</v>
      </c>
      <c r="F2138" t="s">
        <v>57</v>
      </c>
      <c r="G2138">
        <v>-454.41719999999998</v>
      </c>
      <c r="H2138" s="1">
        <v>6.9193519999999904E-7</v>
      </c>
      <c r="I2138">
        <v>217.4051</v>
      </c>
      <c r="J2138">
        <v>-478.6046</v>
      </c>
      <c r="K2138">
        <v>1.112036</v>
      </c>
      <c r="L2138">
        <v>218.4084</v>
      </c>
      <c r="M2138">
        <v>0.9306721</v>
      </c>
      <c r="N2138">
        <v>0</v>
      </c>
      <c r="O2138">
        <v>-0.36554829999999999</v>
      </c>
      <c r="P2138">
        <v>0.97674300000000003</v>
      </c>
      <c r="Q2138">
        <v>-1.987848E-2</v>
      </c>
      <c r="R2138">
        <v>-0.21349090000000001</v>
      </c>
      <c r="S2138">
        <v>3.0441889999999998</v>
      </c>
      <c r="T2138">
        <v>-0.138683</v>
      </c>
      <c r="U2138">
        <v>-0.13476559999999899</v>
      </c>
      <c r="V2138">
        <v>-0.15825500000000001</v>
      </c>
      <c r="W2138">
        <v>-7.9775239999999997E-3</v>
      </c>
      <c r="X2138">
        <v>0.98736610000000002</v>
      </c>
      <c r="Y2138">
        <v>-0.32336979999999999</v>
      </c>
      <c r="Z2138">
        <v>2.36648E-2</v>
      </c>
      <c r="AA2138">
        <v>0.9459767</v>
      </c>
      <c r="AB2138">
        <v>25</v>
      </c>
      <c r="AC2138">
        <v>24.1874</v>
      </c>
      <c r="AD2138">
        <v>-1.1120353080648</v>
      </c>
      <c r="AE2138">
        <v>-1.0032999999999901</v>
      </c>
      <c r="AF2138">
        <v>-7.8921514262725001</v>
      </c>
      <c r="AG2138">
        <v>-1.1120353080648</v>
      </c>
      <c r="AH2138">
        <v>22.831676172608599</v>
      </c>
      <c r="AI2138">
        <v>92.635649719169905</v>
      </c>
      <c r="AJ2138">
        <v>109.06856623113801</v>
      </c>
      <c r="AK2138">
        <v>24.182806154630999</v>
      </c>
    </row>
    <row r="2139" spans="1:37" x14ac:dyDescent="0.2">
      <c r="A2139" t="str">
        <f>"20200111160153565"</f>
        <v>20200111160153565</v>
      </c>
      <c r="B2139" t="str">
        <f>"1578729713553360"</f>
        <v>1578729713553360</v>
      </c>
      <c r="C2139" t="s">
        <v>37</v>
      </c>
      <c r="D2139">
        <v>5.1397890000000004</v>
      </c>
      <c r="E2139">
        <v>0.43618630000000003</v>
      </c>
      <c r="F2139" t="s">
        <v>57</v>
      </c>
      <c r="G2139">
        <v>-457.29899999999998</v>
      </c>
      <c r="H2139" s="1">
        <v>2.2204310000000002E-6</v>
      </c>
      <c r="I2139">
        <v>217.52029999999999</v>
      </c>
      <c r="J2139">
        <v>-478.37040000000002</v>
      </c>
      <c r="K2139">
        <v>1.1119920000000001</v>
      </c>
      <c r="L2139">
        <v>218.33019999999999</v>
      </c>
      <c r="M2139">
        <v>0.93478309999999998</v>
      </c>
      <c r="N2139">
        <v>0</v>
      </c>
      <c r="O2139">
        <v>-0.35490349999999998</v>
      </c>
      <c r="P2139">
        <v>0.97868569999999999</v>
      </c>
      <c r="Q2139">
        <v>-1.9460970000000001E-2</v>
      </c>
      <c r="R2139">
        <v>-0.2044395</v>
      </c>
      <c r="S2139">
        <v>3.0404969999999998</v>
      </c>
      <c r="T2139">
        <v>-0.158696799999999</v>
      </c>
      <c r="U2139">
        <v>-0.1267395</v>
      </c>
      <c r="V2139">
        <v>-0.1561399</v>
      </c>
      <c r="W2139">
        <v>-7.5091530000000002E-3</v>
      </c>
      <c r="X2139">
        <v>0.98770639999999998</v>
      </c>
      <c r="Y2139">
        <v>-0.3148089</v>
      </c>
      <c r="Z2139">
        <v>2.636631E-2</v>
      </c>
      <c r="AA2139">
        <v>0.94878879999999999</v>
      </c>
      <c r="AB2139">
        <v>25</v>
      </c>
      <c r="AC2139">
        <v>21.071399999999901</v>
      </c>
      <c r="AD2139">
        <v>-1.1119897795689999</v>
      </c>
      <c r="AE2139">
        <v>-0.80989999999999895</v>
      </c>
      <c r="AF2139">
        <v>-6.7033450582462804</v>
      </c>
      <c r="AG2139">
        <v>-1.1119897795689999</v>
      </c>
      <c r="AH2139">
        <v>19.931438382447499</v>
      </c>
      <c r="AI2139">
        <v>93.026991345072105</v>
      </c>
      <c r="AJ2139">
        <v>108.588831197085</v>
      </c>
      <c r="AK2139">
        <v>21.0578629550361</v>
      </c>
    </row>
    <row r="2140" spans="1:37" x14ac:dyDescent="0.2">
      <c r="A2140" t="str">
        <f>"20200111160153589"</f>
        <v>20200111160153589</v>
      </c>
      <c r="B2140" t="str">
        <f>"1578729713584125"</f>
        <v>1578729713584125</v>
      </c>
      <c r="C2140" t="s">
        <v>37</v>
      </c>
      <c r="D2140">
        <v>4.9199310000000001</v>
      </c>
      <c r="E2140">
        <v>0.45606590000000002</v>
      </c>
      <c r="F2140" t="s">
        <v>57</v>
      </c>
      <c r="G2140">
        <v>-458.30689999999998</v>
      </c>
      <c r="H2140" s="1">
        <v>2.7540600000000002E-6</v>
      </c>
      <c r="I2140">
        <v>217.58269999999999</v>
      </c>
      <c r="J2140">
        <v>-478.13130000000001</v>
      </c>
      <c r="K2140">
        <v>1.1119509999999999</v>
      </c>
      <c r="L2140">
        <v>218.25319999999999</v>
      </c>
      <c r="M2140">
        <v>0.93882520000000003</v>
      </c>
      <c r="N2140">
        <v>0</v>
      </c>
      <c r="O2140">
        <v>-0.34406909999999902</v>
      </c>
      <c r="P2140">
        <v>0.98068739999999999</v>
      </c>
      <c r="Q2140">
        <v>-1.931863E-2</v>
      </c>
      <c r="R2140">
        <v>-0.1946251</v>
      </c>
      <c r="S2140">
        <v>3.03832999999999</v>
      </c>
      <c r="T2140">
        <v>-0.16839460000000001</v>
      </c>
      <c r="U2140">
        <v>-0.113189699999999</v>
      </c>
      <c r="V2140">
        <v>-0.1546158</v>
      </c>
      <c r="W2140">
        <v>-7.3282099999999999E-3</v>
      </c>
      <c r="X2140">
        <v>0.98794749999999998</v>
      </c>
      <c r="Y2140">
        <v>-0.30793500000000001</v>
      </c>
      <c r="Z2140">
        <v>2.7243719999999999E-2</v>
      </c>
      <c r="AA2140">
        <v>0.95101729999999995</v>
      </c>
      <c r="AB2140">
        <v>25</v>
      </c>
      <c r="AC2140">
        <v>19.824400000000001</v>
      </c>
      <c r="AD2140">
        <v>-1.1119482459399901</v>
      </c>
      <c r="AE2140">
        <v>-0.67050000000000398</v>
      </c>
      <c r="AF2140">
        <v>-6.1727759721702098</v>
      </c>
      <c r="AG2140">
        <v>-1.1119482459399901</v>
      </c>
      <c r="AH2140">
        <v>18.785419673641201</v>
      </c>
      <c r="AI2140">
        <v>93.218580384270695</v>
      </c>
      <c r="AJ2140">
        <v>108.19021232</v>
      </c>
      <c r="AK2140">
        <v>19.804837399460698</v>
      </c>
    </row>
    <row r="2141" spans="1:37" x14ac:dyDescent="0.2">
      <c r="A2141" t="str">
        <f>"20200111160153632"</f>
        <v>20200111160153632</v>
      </c>
      <c r="B2141" t="str">
        <f>"1578729713624143"</f>
        <v>1578729713624143</v>
      </c>
      <c r="C2141" t="s">
        <v>37</v>
      </c>
      <c r="D2141">
        <v>4.9655500000000004</v>
      </c>
      <c r="E2141">
        <v>0.457796599999999</v>
      </c>
      <c r="F2141" t="s">
        <v>57</v>
      </c>
      <c r="G2141">
        <v>-465.08589999999998</v>
      </c>
      <c r="H2141" s="1">
        <v>1.055579E-6</v>
      </c>
      <c r="I2141">
        <v>217.2261</v>
      </c>
      <c r="J2141">
        <v>-477.68239999999997</v>
      </c>
      <c r="K2141">
        <v>1.1118479999999999</v>
      </c>
      <c r="L2141">
        <v>218.1172</v>
      </c>
      <c r="M2141">
        <v>0.94599069999999996</v>
      </c>
      <c r="N2141">
        <v>0</v>
      </c>
      <c r="O2141">
        <v>-0.32385029999999998</v>
      </c>
      <c r="P2141">
        <v>0.98387939999999996</v>
      </c>
      <c r="Q2141">
        <v>-1.866435E-2</v>
      </c>
      <c r="R2141">
        <v>-0.17785709999999999</v>
      </c>
      <c r="S2141">
        <v>3.00705</v>
      </c>
      <c r="T2141">
        <v>-0.25631199999999998</v>
      </c>
      <c r="U2141">
        <v>-0.2367554</v>
      </c>
      <c r="V2141">
        <v>-0.1503023</v>
      </c>
      <c r="W2141">
        <v>-6.5728280000000002E-3</v>
      </c>
      <c r="X2141">
        <v>0.98861829999999995</v>
      </c>
      <c r="Y2141">
        <v>-0.2466169</v>
      </c>
      <c r="Z2141">
        <v>3.7521609999999997E-2</v>
      </c>
      <c r="AA2141">
        <v>0.96838639999999998</v>
      </c>
      <c r="AB2141">
        <v>25</v>
      </c>
      <c r="AC2141">
        <v>12.596499999999899</v>
      </c>
      <c r="AD2141">
        <v>-1.111846944421</v>
      </c>
      <c r="AE2141">
        <v>-0.89109999999999401</v>
      </c>
      <c r="AF2141">
        <v>-3.2118693307458299</v>
      </c>
      <c r="AG2141">
        <v>-1.111846944421</v>
      </c>
      <c r="AH2141">
        <v>12.1122175926181</v>
      </c>
      <c r="AI2141">
        <v>95.070510212230701</v>
      </c>
      <c r="AJ2141">
        <v>104.85164865778199</v>
      </c>
      <c r="AK2141">
        <v>12.5800684909316</v>
      </c>
    </row>
    <row r="2142" spans="1:37" x14ac:dyDescent="0.2">
      <c r="A2142" t="str">
        <f>"20200111160153676"</f>
        <v>20200111160153676</v>
      </c>
      <c r="B2142" t="str">
        <f>"1578729713673917"</f>
        <v>1578729713673917</v>
      </c>
      <c r="C2142" t="s">
        <v>37</v>
      </c>
      <c r="D2142">
        <v>4.8031300000000003</v>
      </c>
      <c r="E2142">
        <v>0.4608313</v>
      </c>
      <c r="F2142" t="s">
        <v>57</v>
      </c>
      <c r="G2142">
        <v>-464.41980000000001</v>
      </c>
      <c r="H2142" s="1">
        <v>7.004791E-7</v>
      </c>
      <c r="I2142">
        <v>217.2413</v>
      </c>
      <c r="J2142">
        <v>-477.22840000000002</v>
      </c>
      <c r="K2142">
        <v>1.1117569999999899</v>
      </c>
      <c r="L2142">
        <v>217.99010000000001</v>
      </c>
      <c r="M2142">
        <v>0.95270759999999899</v>
      </c>
      <c r="N2142">
        <v>0</v>
      </c>
      <c r="O2142">
        <v>-0.30352309999999999</v>
      </c>
      <c r="P2142">
        <v>0.98654439999999999</v>
      </c>
      <c r="Q2142">
        <v>-1.8242729999999999E-2</v>
      </c>
      <c r="R2142">
        <v>-0.16247300000000001</v>
      </c>
      <c r="S2142">
        <v>3.0084230000000001</v>
      </c>
      <c r="T2142">
        <v>-0.25220629999999999</v>
      </c>
      <c r="U2142">
        <v>-0.19868469999999999</v>
      </c>
      <c r="V2142">
        <v>-0.14458209999999999</v>
      </c>
      <c r="W2142">
        <v>-6.0264990000000003E-3</v>
      </c>
      <c r="X2142">
        <v>0.98947450000000003</v>
      </c>
      <c r="Y2142">
        <v>-0.23824999999999999</v>
      </c>
      <c r="Z2142">
        <v>3.4964370000000002E-2</v>
      </c>
      <c r="AA2142">
        <v>0.9705743</v>
      </c>
      <c r="AB2142">
        <v>24</v>
      </c>
      <c r="AC2142">
        <v>12.8086</v>
      </c>
      <c r="AD2142">
        <v>-1.1117562995208901</v>
      </c>
      <c r="AE2142">
        <v>-0.74880000000001701</v>
      </c>
      <c r="AF2142">
        <v>-3.1510125273564702</v>
      </c>
      <c r="AG2142">
        <v>-1.1117562995208901</v>
      </c>
      <c r="AH2142">
        <v>12.3388660557716</v>
      </c>
      <c r="AI2142">
        <v>94.989288309067007</v>
      </c>
      <c r="AJ2142">
        <v>104.325613443292</v>
      </c>
      <c r="AK2142">
        <v>12.7832897784316</v>
      </c>
    </row>
    <row r="2143" spans="1:37" x14ac:dyDescent="0.2">
      <c r="A2143" t="str">
        <f>"20200111160153702"</f>
        <v>20200111160153702</v>
      </c>
      <c r="B2143" t="str">
        <f>"1578729713693946"</f>
        <v>1578729713693946</v>
      </c>
      <c r="C2143" t="s">
        <v>37</v>
      </c>
      <c r="D2143">
        <v>4.8162399999999996</v>
      </c>
      <c r="E2143">
        <v>0.46158859999999902</v>
      </c>
      <c r="F2143" t="s">
        <v>57</v>
      </c>
      <c r="G2143">
        <v>-463.76389999999998</v>
      </c>
      <c r="H2143" s="1">
        <v>3.5301099999999998E-7</v>
      </c>
      <c r="I2143">
        <v>217.2047</v>
      </c>
      <c r="J2143">
        <v>-476.95209999999997</v>
      </c>
      <c r="K2143">
        <v>1.111693</v>
      </c>
      <c r="L2143">
        <v>217.9177</v>
      </c>
      <c r="M2143">
        <v>0.95653779999999999</v>
      </c>
      <c r="N2143">
        <v>0</v>
      </c>
      <c r="O2143">
        <v>-0.29122819999999999</v>
      </c>
      <c r="P2143">
        <v>0.98811949999999904</v>
      </c>
      <c r="Q2143">
        <v>-1.720443E-2</v>
      </c>
      <c r="R2143">
        <v>-0.1527221</v>
      </c>
      <c r="S2143">
        <v>3.0074160000000001</v>
      </c>
      <c r="T2143">
        <v>-0.24832019999999999</v>
      </c>
      <c r="U2143">
        <v>-0.17543029999999901</v>
      </c>
      <c r="V2143">
        <v>-0.14163539999999999</v>
      </c>
      <c r="W2143">
        <v>-4.9232909999999998E-3</v>
      </c>
      <c r="X2143">
        <v>0.98990669999999903</v>
      </c>
      <c r="Y2143">
        <v>-0.23330770000000001</v>
      </c>
      <c r="Z2143">
        <v>3.3278799999999997E-2</v>
      </c>
      <c r="AA2143">
        <v>0.97183330000000001</v>
      </c>
      <c r="AB2143">
        <v>24</v>
      </c>
      <c r="AC2143">
        <v>13.188199999999901</v>
      </c>
      <c r="AD2143">
        <v>-1.1116926469890001</v>
      </c>
      <c r="AE2143">
        <v>-0.71299999999999297</v>
      </c>
      <c r="AF2143">
        <v>-3.13688989598251</v>
      </c>
      <c r="AG2143">
        <v>-1.1116926469890001</v>
      </c>
      <c r="AH2143">
        <v>12.733860791342201</v>
      </c>
      <c r="AI2143">
        <v>94.845260626958606</v>
      </c>
      <c r="AJ2143">
        <v>103.83883695591901</v>
      </c>
      <c r="AK2143">
        <v>13.1615785304867</v>
      </c>
    </row>
    <row r="2144" spans="1:37" x14ac:dyDescent="0.2">
      <c r="A2144" t="str">
        <f>"20200111160153745"</f>
        <v>20200111160153745</v>
      </c>
      <c r="B2144" t="str">
        <f>"1578729713743723"</f>
        <v>1578729713743723</v>
      </c>
      <c r="C2144" t="s">
        <v>37</v>
      </c>
      <c r="D2144">
        <v>4.8751790000000002</v>
      </c>
      <c r="E2144">
        <v>0.46437339999999999</v>
      </c>
      <c r="F2144" t="s">
        <v>57</v>
      </c>
      <c r="G2144">
        <v>-463.38630000000001</v>
      </c>
      <c r="H2144" s="1">
        <v>1.507827E-7</v>
      </c>
      <c r="I2144">
        <v>217.2345</v>
      </c>
      <c r="J2144">
        <v>-476.51179999999999</v>
      </c>
      <c r="K2144">
        <v>1.111534</v>
      </c>
      <c r="L2144">
        <v>217.8098</v>
      </c>
      <c r="M2144">
        <v>0.96221979999999996</v>
      </c>
      <c r="N2144">
        <v>0</v>
      </c>
      <c r="O2144">
        <v>-0.27186850000000001</v>
      </c>
      <c r="P2144">
        <v>0.99014899999999995</v>
      </c>
      <c r="Q2144">
        <v>-1.5249520000000001E-2</v>
      </c>
      <c r="R2144">
        <v>-0.13918449999999999</v>
      </c>
      <c r="S2144">
        <v>3.008362</v>
      </c>
      <c r="T2144">
        <v>-0.24652869999999999</v>
      </c>
      <c r="U2144">
        <v>-0.15150449999999999</v>
      </c>
      <c r="V2144">
        <v>-0.13525039999999999</v>
      </c>
      <c r="W2144">
        <v>-2.8251399999999999E-3</v>
      </c>
      <c r="X2144">
        <v>0.9908074</v>
      </c>
      <c r="Y2144">
        <v>-0.2215251</v>
      </c>
      <c r="Z2144">
        <v>3.103448E-2</v>
      </c>
      <c r="AA2144">
        <v>0.97466070000000005</v>
      </c>
      <c r="AB2144">
        <v>24</v>
      </c>
      <c r="AC2144">
        <v>13.125499999999899</v>
      </c>
      <c r="AD2144">
        <v>-1.1115338492172999</v>
      </c>
      <c r="AE2144">
        <v>-0.57529999999999804</v>
      </c>
      <c r="AF2144">
        <v>-2.9937488170763502</v>
      </c>
      <c r="AG2144">
        <v>-1.1115338492172999</v>
      </c>
      <c r="AH2144">
        <v>12.6965527995328</v>
      </c>
      <c r="AI2144">
        <v>94.870375337915405</v>
      </c>
      <c r="AJ2144">
        <v>103.267560843827</v>
      </c>
      <c r="AK2144">
        <v>13.092001087268001</v>
      </c>
    </row>
    <row r="2145" spans="1:37" x14ac:dyDescent="0.2">
      <c r="A2145" t="str">
        <f>"20200111160153769"</f>
        <v>20200111160153769</v>
      </c>
      <c r="B2145" t="str">
        <f>"1578729713763241"</f>
        <v>1578729713763241</v>
      </c>
      <c r="C2145" t="s">
        <v>37</v>
      </c>
      <c r="D2145">
        <v>4.8928149999999997</v>
      </c>
      <c r="E2145">
        <v>0.46501690000000001</v>
      </c>
      <c r="F2145" t="s">
        <v>57</v>
      </c>
      <c r="G2145">
        <v>-462.72210000000001</v>
      </c>
      <c r="H2145" s="1">
        <v>-2.0130529999999999E-7</v>
      </c>
      <c r="I2145">
        <v>217.20330000000001</v>
      </c>
      <c r="J2145">
        <v>-476.274</v>
      </c>
      <c r="K2145">
        <v>1.1114109999999999</v>
      </c>
      <c r="L2145">
        <v>217.7551</v>
      </c>
      <c r="M2145">
        <v>0.96506579999999997</v>
      </c>
      <c r="N2145">
        <v>0</v>
      </c>
      <c r="O2145">
        <v>-0.26158710000000002</v>
      </c>
      <c r="P2145">
        <v>0.99117440000000001</v>
      </c>
      <c r="Q2145">
        <v>-1.5735320000000001E-2</v>
      </c>
      <c r="R2145">
        <v>-0.1316282</v>
      </c>
      <c r="S2145">
        <v>3.0074770000000002</v>
      </c>
      <c r="T2145">
        <v>-0.24242129999999901</v>
      </c>
      <c r="U2145">
        <v>-0.1322632</v>
      </c>
      <c r="V2145">
        <v>-0.13222729999999999</v>
      </c>
      <c r="W2145">
        <v>-3.2389209999999901E-3</v>
      </c>
      <c r="X2145">
        <v>0.99121419999999905</v>
      </c>
      <c r="Y2145">
        <v>-0.2174266</v>
      </c>
      <c r="Z2145">
        <v>2.957131E-2</v>
      </c>
      <c r="AA2145">
        <v>0.97562859999999996</v>
      </c>
      <c r="AB2145">
        <v>24</v>
      </c>
      <c r="AC2145">
        <v>13.5518999999999</v>
      </c>
      <c r="AD2145">
        <v>-1.1114112013052999</v>
      </c>
      <c r="AE2145">
        <v>-0.55179999999998497</v>
      </c>
      <c r="AF2145">
        <v>-2.9927152971084499</v>
      </c>
      <c r="AG2145">
        <v>-1.1114112013052999</v>
      </c>
      <c r="AH2145">
        <v>13.136069588562201</v>
      </c>
      <c r="AI2145">
        <v>94.715868278100899</v>
      </c>
      <c r="AJ2145">
        <v>102.83431074150501</v>
      </c>
      <c r="AK2145">
        <v>13.518428308922701</v>
      </c>
    </row>
    <row r="2146" spans="1:37" x14ac:dyDescent="0.2">
      <c r="A2146" t="str">
        <f>"20200111160153813"</f>
        <v>20200111160153813</v>
      </c>
      <c r="B2146" t="str">
        <f>"1578729713803765"</f>
        <v>1578729713803765</v>
      </c>
      <c r="C2146" t="s">
        <v>37</v>
      </c>
      <c r="D2146">
        <v>4.9496929999999999</v>
      </c>
      <c r="E2146">
        <v>0.46623949999999997</v>
      </c>
      <c r="F2146" t="s">
        <v>57</v>
      </c>
      <c r="G2146">
        <v>-462.5607</v>
      </c>
      <c r="H2146" s="1">
        <v>-2.8851669999999999E-7</v>
      </c>
      <c r="I2146">
        <v>217.23310000000001</v>
      </c>
      <c r="J2146">
        <v>-475.81799999999998</v>
      </c>
      <c r="K2146">
        <v>1.111054</v>
      </c>
      <c r="L2146">
        <v>217.65729999999999</v>
      </c>
      <c r="M2146">
        <v>0.97003019999999995</v>
      </c>
      <c r="N2146">
        <v>0</v>
      </c>
      <c r="O2146">
        <v>-0.2425351</v>
      </c>
      <c r="P2146">
        <v>0.99284159999999899</v>
      </c>
      <c r="Q2146">
        <v>-1.6797070000000001E-2</v>
      </c>
      <c r="R2146">
        <v>-0.118254199999999</v>
      </c>
      <c r="S2146">
        <v>3.0075989999999999</v>
      </c>
      <c r="T2146">
        <v>-0.243754</v>
      </c>
      <c r="U2146">
        <v>-0.11450199999999899</v>
      </c>
      <c r="V2146">
        <v>-0.126053</v>
      </c>
      <c r="W2146">
        <v>-4.1367490000000003E-3</v>
      </c>
      <c r="X2146">
        <v>0.99201489999999903</v>
      </c>
      <c r="Y2146">
        <v>-0.20403199999999999</v>
      </c>
      <c r="Z2146">
        <v>2.7699419999999999E-2</v>
      </c>
      <c r="AA2146">
        <v>0.9785722</v>
      </c>
      <c r="AB2146">
        <v>24</v>
      </c>
      <c r="AC2146">
        <v>13.257300000000001</v>
      </c>
      <c r="AD2146">
        <v>-1.1110542885167001</v>
      </c>
      <c r="AE2146">
        <v>-0.42419999999998398</v>
      </c>
      <c r="AF2146">
        <v>-2.78464140245873</v>
      </c>
      <c r="AG2146">
        <v>-1.1110542885167001</v>
      </c>
      <c r="AH2146">
        <v>12.8739497070205</v>
      </c>
      <c r="AI2146">
        <v>94.821590247960799</v>
      </c>
      <c r="AJ2146">
        <v>102.20508056264499</v>
      </c>
      <c r="AK2146">
        <v>13.218443570678501</v>
      </c>
    </row>
    <row r="2147" spans="1:37" x14ac:dyDescent="0.2">
      <c r="A2147" t="str">
        <f>"20200111160153835"</f>
        <v>20200111160153835</v>
      </c>
      <c r="B2147" t="str">
        <f>"1578729713834020"</f>
        <v>1578729713834020</v>
      </c>
      <c r="C2147" t="s">
        <v>37</v>
      </c>
      <c r="D2147">
        <v>5.1292949999999999</v>
      </c>
      <c r="E2147">
        <v>0.46736299999999997</v>
      </c>
      <c r="F2147" t="s">
        <v>57</v>
      </c>
      <c r="G2147">
        <v>-462.15609999999998</v>
      </c>
      <c r="H2147" s="1">
        <v>-5.0569070000000002E-7</v>
      </c>
      <c r="I2147">
        <v>217.2766</v>
      </c>
      <c r="J2147">
        <v>-475.56540000000001</v>
      </c>
      <c r="K2147">
        <v>1.1108169999999999</v>
      </c>
      <c r="L2147">
        <v>217.60669999999999</v>
      </c>
      <c r="M2147">
        <v>0.9725068</v>
      </c>
      <c r="N2147">
        <v>0</v>
      </c>
      <c r="O2147">
        <v>-0.23240769999999999</v>
      </c>
      <c r="P2147">
        <v>0.9936815</v>
      </c>
      <c r="Q2147">
        <v>-1.7076919999999999E-2</v>
      </c>
      <c r="R2147">
        <v>-0.1109309</v>
      </c>
      <c r="S2147">
        <v>3.0075379999999998</v>
      </c>
      <c r="T2147">
        <v>-0.2445891</v>
      </c>
      <c r="U2147">
        <v>-8.381653E-2</v>
      </c>
      <c r="V2147">
        <v>-0.1230197</v>
      </c>
      <c r="W2147">
        <v>-4.3349189999999996E-3</v>
      </c>
      <c r="X2147">
        <v>0.99239469999999996</v>
      </c>
      <c r="Y2147">
        <v>-0.20382149999999999</v>
      </c>
      <c r="Z2147">
        <v>2.699416E-2</v>
      </c>
      <c r="AA2147">
        <v>0.97863579999999994</v>
      </c>
      <c r="AB2147">
        <v>24</v>
      </c>
      <c r="AC2147">
        <v>13.4093</v>
      </c>
      <c r="AD2147">
        <v>-1.1108175056906999</v>
      </c>
      <c r="AE2147">
        <v>-0.33009999999998701</v>
      </c>
      <c r="AF2147">
        <v>-2.7766607923153299</v>
      </c>
      <c r="AG2147">
        <v>-1.1108175056906999</v>
      </c>
      <c r="AH2147">
        <v>13.0294195352065</v>
      </c>
      <c r="AI2147">
        <v>94.766422403384198</v>
      </c>
      <c r="AJ2147">
        <v>102.030172312454</v>
      </c>
      <c r="AK2147">
        <v>13.3682285330163</v>
      </c>
    </row>
    <row r="2148" spans="1:37" x14ac:dyDescent="0.2">
      <c r="A2148" t="str">
        <f>"20200111160153879"</f>
        <v>20200111160153879</v>
      </c>
      <c r="B2148" t="str">
        <f>"1578729713874036"</f>
        <v>1578729713874036</v>
      </c>
      <c r="C2148" t="s">
        <v>37</v>
      </c>
      <c r="D2148">
        <v>5.0747239999999998</v>
      </c>
      <c r="E2148">
        <v>0.46923679999999901</v>
      </c>
      <c r="F2148" t="s">
        <v>57</v>
      </c>
      <c r="G2148">
        <v>-461.99209999999999</v>
      </c>
      <c r="H2148" s="1">
        <v>-5.9344769999999897E-7</v>
      </c>
      <c r="I2148">
        <v>217.28729999999999</v>
      </c>
      <c r="J2148">
        <v>-475.12630000000001</v>
      </c>
      <c r="K2148">
        <v>1.110385</v>
      </c>
      <c r="L2148">
        <v>217.524</v>
      </c>
      <c r="M2148">
        <v>0.97637189999999996</v>
      </c>
      <c r="N2148">
        <v>0</v>
      </c>
      <c r="O2148">
        <v>-0.21559899999999901</v>
      </c>
      <c r="P2148">
        <v>0.99488569999999998</v>
      </c>
      <c r="Q2148">
        <v>-1.6983939999999999E-2</v>
      </c>
      <c r="R2148">
        <v>-9.9569599999999994E-2</v>
      </c>
      <c r="S2148">
        <v>3.0069270000000001</v>
      </c>
      <c r="T2148">
        <v>-0.24608279999999999</v>
      </c>
      <c r="U2148">
        <v>-7.0754999999999998E-2</v>
      </c>
      <c r="V2148">
        <v>-0.117245499999999</v>
      </c>
      <c r="W2148">
        <v>-4.0968070000000001E-3</v>
      </c>
      <c r="X2148">
        <v>0.99309449999999999</v>
      </c>
      <c r="Y2148">
        <v>-0.19124260000000001</v>
      </c>
      <c r="Z2148">
        <v>2.530961E-2</v>
      </c>
      <c r="AA2148">
        <v>0.98121639999999999</v>
      </c>
      <c r="AB2148">
        <v>24</v>
      </c>
      <c r="AC2148">
        <v>13.1342</v>
      </c>
      <c r="AD2148">
        <v>-1.1103855934477</v>
      </c>
      <c r="AE2148">
        <v>-0.23670000000001301</v>
      </c>
      <c r="AF2148">
        <v>-2.5824413262004402</v>
      </c>
      <c r="AG2148">
        <v>-1.1103855934477</v>
      </c>
      <c r="AH2148">
        <v>12.784932525951101</v>
      </c>
      <c r="AI2148">
        <v>94.865958513029099</v>
      </c>
      <c r="AJ2148">
        <v>101.41957880839701</v>
      </c>
      <c r="AK2148">
        <v>13.090319288028301</v>
      </c>
    </row>
    <row r="2149" spans="1:37" x14ac:dyDescent="0.2">
      <c r="A2149" t="str">
        <f>"20200111160153899"</f>
        <v>20200111160153899</v>
      </c>
      <c r="B2149" t="str">
        <f>"1578729713894063"</f>
        <v>1578729713894063</v>
      </c>
      <c r="C2149" t="s">
        <v>37</v>
      </c>
      <c r="D2149">
        <v>5.1162099999999997</v>
      </c>
      <c r="E2149">
        <v>0.47000599999999998</v>
      </c>
      <c r="F2149" t="s">
        <v>57</v>
      </c>
      <c r="G2149">
        <v>-461.60660000000001</v>
      </c>
      <c r="H2149" s="1">
        <v>-7.9888880000000002E-7</v>
      </c>
      <c r="I2149">
        <v>217.29390000000001</v>
      </c>
      <c r="J2149">
        <v>-474.89490000000001</v>
      </c>
      <c r="K2149">
        <v>1.1100969999999999</v>
      </c>
      <c r="L2149">
        <v>217.483</v>
      </c>
      <c r="M2149">
        <v>0.97816270000000005</v>
      </c>
      <c r="N2149">
        <v>0</v>
      </c>
      <c r="O2149">
        <v>-0.2073265</v>
      </c>
      <c r="P2149">
        <v>0.99544299999999997</v>
      </c>
      <c r="Q2149">
        <v>-1.7782180000000002E-2</v>
      </c>
      <c r="R2149">
        <v>-9.3687309999999996E-2</v>
      </c>
      <c r="S2149">
        <v>3.0061040000000001</v>
      </c>
      <c r="T2149">
        <v>-0.24689410000000001</v>
      </c>
      <c r="U2149">
        <v>-5.1162720000000002E-2</v>
      </c>
      <c r="V2149">
        <v>-0.1146981</v>
      </c>
      <c r="W2149">
        <v>-4.824063E-3</v>
      </c>
      <c r="X2149">
        <v>0.99338869999999901</v>
      </c>
      <c r="Y2149">
        <v>-0.18934479999999901</v>
      </c>
      <c r="Z2149">
        <v>2.466078E-2</v>
      </c>
      <c r="AA2149">
        <v>0.9816009</v>
      </c>
      <c r="AB2149">
        <v>24</v>
      </c>
      <c r="AC2149">
        <v>13.2882999999999</v>
      </c>
      <c r="AD2149">
        <v>-1.1100977988887999</v>
      </c>
      <c r="AE2149">
        <v>-0.18909999999999599</v>
      </c>
      <c r="AF2149">
        <v>-2.5525105295308799</v>
      </c>
      <c r="AG2149">
        <v>-1.1100977988887999</v>
      </c>
      <c r="AH2149">
        <v>12.948370120537399</v>
      </c>
      <c r="AI2149">
        <v>94.808051520975695</v>
      </c>
      <c r="AJ2149">
        <v>101.15172412314899</v>
      </c>
      <c r="AK2149">
        <v>13.244165353274999</v>
      </c>
    </row>
    <row r="2150" spans="1:37" x14ac:dyDescent="0.2">
      <c r="A2150" t="str">
        <f>"20200111160153922"</f>
        <v>20200111160153922</v>
      </c>
      <c r="B2150" t="str">
        <f>"1578729713913584"</f>
        <v>1578729713913584</v>
      </c>
      <c r="C2150" t="s">
        <v>37</v>
      </c>
      <c r="D2150">
        <v>5.1306649999999996</v>
      </c>
      <c r="E2150">
        <v>0.47055089999999999</v>
      </c>
      <c r="F2150" t="s">
        <v>57</v>
      </c>
      <c r="G2150">
        <v>-461.65820000000002</v>
      </c>
      <c r="H2150" s="1">
        <v>-7.7199979999999999E-7</v>
      </c>
      <c r="I2150">
        <v>217.30760000000001</v>
      </c>
      <c r="J2150">
        <v>-474.66750000000002</v>
      </c>
      <c r="K2150">
        <v>1.1097709999999901</v>
      </c>
      <c r="L2150">
        <v>217.4442</v>
      </c>
      <c r="M2150">
        <v>0.9797614</v>
      </c>
      <c r="N2150">
        <v>0</v>
      </c>
      <c r="O2150">
        <v>-0.19963939999999999</v>
      </c>
      <c r="P2150">
        <v>0.99594539999999998</v>
      </c>
      <c r="Q2150">
        <v>-1.8829729999999999E-2</v>
      </c>
      <c r="R2150">
        <v>-8.7969409999999998E-2</v>
      </c>
      <c r="S2150">
        <v>3.0055239999999999</v>
      </c>
      <c r="T2150">
        <v>-0.25205949999999999</v>
      </c>
      <c r="U2150">
        <v>-3.9825439999999997E-2</v>
      </c>
      <c r="V2150">
        <v>-0.11258789999999901</v>
      </c>
      <c r="W2150">
        <v>-5.80461E-3</v>
      </c>
      <c r="X2150">
        <v>0.99362479999999997</v>
      </c>
      <c r="Y2150">
        <v>-0.18531700000000001</v>
      </c>
      <c r="Z2150">
        <v>2.4380789999999999E-2</v>
      </c>
      <c r="AA2150">
        <v>0.98237629999999998</v>
      </c>
      <c r="AB2150">
        <v>24</v>
      </c>
      <c r="AC2150">
        <v>13.0092999999999</v>
      </c>
      <c r="AD2150">
        <v>-1.1097717719997999</v>
      </c>
      <c r="AE2150">
        <v>-0.13659999999998701</v>
      </c>
      <c r="AF2150">
        <v>-2.44579783523867</v>
      </c>
      <c r="AG2150">
        <v>-1.1097717719997999</v>
      </c>
      <c r="AH2150">
        <v>12.682352232329199</v>
      </c>
      <c r="AI2150">
        <v>94.9109071669006</v>
      </c>
      <c r="AJ2150">
        <v>100.915514888771</v>
      </c>
      <c r="AK2150">
        <v>12.963625209857501</v>
      </c>
    </row>
    <row r="2151" spans="1:37" x14ac:dyDescent="0.2">
      <c r="A2151" t="str">
        <f>"20200111160153970"</f>
        <v>20200111160153970</v>
      </c>
      <c r="B2151" t="str">
        <f>"1578729713963358"</f>
        <v>1578729713963358</v>
      </c>
      <c r="C2151" t="s">
        <v>37</v>
      </c>
      <c r="D2151">
        <v>5.1807099999999897</v>
      </c>
      <c r="E2151">
        <v>0.4722751</v>
      </c>
      <c r="F2151" t="s">
        <v>57</v>
      </c>
      <c r="G2151">
        <v>-461.61799999999999</v>
      </c>
      <c r="H2151" s="1">
        <v>-7.9419419999999998E-7</v>
      </c>
      <c r="I2151">
        <v>217.3262</v>
      </c>
      <c r="J2151">
        <v>-474.18889999999999</v>
      </c>
      <c r="K2151">
        <v>1.1088480000000001</v>
      </c>
      <c r="L2151">
        <v>217.36619999999999</v>
      </c>
      <c r="M2151">
        <v>0.98257139999999998</v>
      </c>
      <c r="N2151">
        <v>0</v>
      </c>
      <c r="O2151">
        <v>-0.1853244</v>
      </c>
      <c r="P2151">
        <v>0.99675729999999996</v>
      </c>
      <c r="Q2151">
        <v>-2.047856E-2</v>
      </c>
      <c r="R2151">
        <v>-7.781921E-2</v>
      </c>
      <c r="S2151">
        <v>3.0050050000000001</v>
      </c>
      <c r="T2151">
        <v>-0.25555679999999997</v>
      </c>
      <c r="U2151">
        <v>-2.716064E-2</v>
      </c>
      <c r="V2151">
        <v>-0.1082008</v>
      </c>
      <c r="W2151">
        <v>-7.2757519999999999E-3</v>
      </c>
      <c r="X2151">
        <v>0.99410239999999905</v>
      </c>
      <c r="Y2151">
        <v>-0.1751598</v>
      </c>
      <c r="Z2151">
        <v>2.3095999999999998E-2</v>
      </c>
      <c r="AA2151">
        <v>0.98426909999999901</v>
      </c>
      <c r="AB2151">
        <v>24</v>
      </c>
      <c r="AC2151">
        <v>12.5708999999999</v>
      </c>
      <c r="AD2151">
        <v>-1.10884879419419</v>
      </c>
      <c r="AE2151">
        <v>-3.9999999999992E-2</v>
      </c>
      <c r="AF2151">
        <v>-2.2729455842320898</v>
      </c>
      <c r="AG2151">
        <v>-1.10884879419419</v>
      </c>
      <c r="AH2151">
        <v>12.265078820192301</v>
      </c>
      <c r="AI2151">
        <v>95.079866532030707</v>
      </c>
      <c r="AJ2151">
        <v>100.49886003050401</v>
      </c>
      <c r="AK2151">
        <v>12.523098088843501</v>
      </c>
    </row>
    <row r="2152" spans="1:37" x14ac:dyDescent="0.2">
      <c r="A2152" t="str">
        <f>"20200111160153992"</f>
        <v>20200111160153992</v>
      </c>
      <c r="B2152" t="str">
        <f>"1578729713983855"</f>
        <v>1578729713983855</v>
      </c>
      <c r="C2152" t="s">
        <v>37</v>
      </c>
      <c r="D2152">
        <v>5.3261180000000001</v>
      </c>
      <c r="E2152">
        <v>0.47294369999999902</v>
      </c>
      <c r="F2152" t="s">
        <v>57</v>
      </c>
      <c r="G2152">
        <v>-461.5763</v>
      </c>
      <c r="H2152" s="1">
        <v>-8.1631710000000001E-7</v>
      </c>
      <c r="I2152">
        <v>217.32429999999999</v>
      </c>
      <c r="J2152">
        <v>-473.93520000000001</v>
      </c>
      <c r="K2152">
        <v>1.108328</v>
      </c>
      <c r="L2152">
        <v>217.32640000000001</v>
      </c>
      <c r="M2152">
        <v>0.98377619999999899</v>
      </c>
      <c r="N2152">
        <v>0</v>
      </c>
      <c r="O2152">
        <v>-0.17882409999999899</v>
      </c>
      <c r="P2152">
        <v>0.99717029999999995</v>
      </c>
      <c r="Q2152">
        <v>-2.0411740000000001E-2</v>
      </c>
      <c r="R2152">
        <v>-7.2351170000000006E-2</v>
      </c>
      <c r="S2152">
        <v>3.003571</v>
      </c>
      <c r="T2152">
        <v>-0.26406160000000001</v>
      </c>
      <c r="U2152">
        <v>-9.9639889999999995E-3</v>
      </c>
      <c r="V2152">
        <v>-0.1070897</v>
      </c>
      <c r="W2152">
        <v>-7.1282580000000002E-3</v>
      </c>
      <c r="X2152">
        <v>0.99422379999999999</v>
      </c>
      <c r="Y2152">
        <v>-0.17422170000000001</v>
      </c>
      <c r="Z2152">
        <v>2.3271420000000001E-2</v>
      </c>
      <c r="AA2152">
        <v>0.98443139999999996</v>
      </c>
      <c r="AB2152">
        <v>24</v>
      </c>
      <c r="AC2152">
        <v>12.3589</v>
      </c>
      <c r="AD2152">
        <v>-1.1083288163170999</v>
      </c>
      <c r="AE2152">
        <v>-2.1000000000128598E-3</v>
      </c>
      <c r="AF2152">
        <v>-2.1906135994097999</v>
      </c>
      <c r="AG2152">
        <v>-1.1083288163170999</v>
      </c>
      <c r="AH2152">
        <v>12.063008026214099</v>
      </c>
      <c r="AI2152">
        <v>95.1654873255723</v>
      </c>
      <c r="AJ2152">
        <v>100.292613363344</v>
      </c>
      <c r="AK2152">
        <v>12.3102942023131</v>
      </c>
    </row>
    <row r="2153" spans="1:37" x14ac:dyDescent="0.2">
      <c r="A2153" t="str">
        <f>"20200111160154014"</f>
        <v>20200111160154014</v>
      </c>
      <c r="B2153" t="str">
        <f>"1578729714003374"</f>
        <v>1578729714003374</v>
      </c>
      <c r="C2153" t="s">
        <v>37</v>
      </c>
      <c r="D2153">
        <v>5.2115</v>
      </c>
      <c r="E2153">
        <v>0.47364790000000001</v>
      </c>
      <c r="F2153" t="s">
        <v>57</v>
      </c>
      <c r="G2153">
        <v>-461.40260000000001</v>
      </c>
      <c r="H2153" s="1">
        <v>-9.0904309999999996E-7</v>
      </c>
      <c r="I2153">
        <v>217.3304</v>
      </c>
      <c r="J2153">
        <v>-473.70330000000001</v>
      </c>
      <c r="K2153">
        <v>1.1078479999999999</v>
      </c>
      <c r="L2153">
        <v>217.29069999999999</v>
      </c>
      <c r="M2153">
        <v>0.98470290000000005</v>
      </c>
      <c r="N2153">
        <v>0</v>
      </c>
      <c r="O2153">
        <v>-0.1736531</v>
      </c>
      <c r="P2153">
        <v>0.9975195</v>
      </c>
      <c r="Q2153">
        <v>-1.9298059999999999E-2</v>
      </c>
      <c r="R2153">
        <v>-6.7695039999999998E-2</v>
      </c>
      <c r="S2153">
        <v>3.0031430000000001</v>
      </c>
      <c r="T2153">
        <v>-0.26558480000000001</v>
      </c>
      <c r="U2153">
        <v>9.6130369999999996E-4</v>
      </c>
      <c r="V2153">
        <v>-0.1065287</v>
      </c>
      <c r="W2153">
        <v>-5.9413449999999998E-3</v>
      </c>
      <c r="X2153">
        <v>0.99429190000000001</v>
      </c>
      <c r="Y2153">
        <v>-0.17263970000000001</v>
      </c>
      <c r="Z2153">
        <v>2.2888970000000002E-2</v>
      </c>
      <c r="AA2153">
        <v>0.98471909999999896</v>
      </c>
      <c r="AB2153">
        <v>24</v>
      </c>
      <c r="AC2153">
        <v>12.300700000000001</v>
      </c>
      <c r="AD2153">
        <v>-1.1078489090430901</v>
      </c>
      <c r="AE2153">
        <v>3.9700000000010498E-2</v>
      </c>
      <c r="AF2153">
        <v>-2.15786679717819</v>
      </c>
      <c r="AG2153">
        <v>-1.1078489090430901</v>
      </c>
      <c r="AH2153">
        <v>12.0094669089672</v>
      </c>
      <c r="AI2153">
        <v>95.187886655074394</v>
      </c>
      <c r="AJ2153">
        <v>100.186240208687</v>
      </c>
      <c r="AK2153">
        <v>12.251979993340299</v>
      </c>
    </row>
    <row r="2154" spans="1:37" x14ac:dyDescent="0.2">
      <c r="A2154" t="str">
        <f>"20200111160154035"</f>
        <v>20200111160154035</v>
      </c>
      <c r="B2154" t="str">
        <f>"1578729714033631"</f>
        <v>1578729714033631</v>
      </c>
      <c r="C2154" t="s">
        <v>37</v>
      </c>
      <c r="D2154">
        <v>5.1989869999999998</v>
      </c>
      <c r="E2154">
        <v>0.49354799999999899</v>
      </c>
      <c r="F2154" t="s">
        <v>57</v>
      </c>
      <c r="G2154">
        <v>-461.10230000000001</v>
      </c>
      <c r="H2154" s="1">
        <v>-1.0687700000000001E-6</v>
      </c>
      <c r="I2154">
        <v>217.32900000000001</v>
      </c>
      <c r="J2154">
        <v>-473.4778</v>
      </c>
      <c r="K2154">
        <v>1.1074059999999999</v>
      </c>
      <c r="L2154">
        <v>217.25640000000001</v>
      </c>
      <c r="M2154">
        <v>0.98546540000000005</v>
      </c>
      <c r="N2154">
        <v>0</v>
      </c>
      <c r="O2154">
        <v>-0.1692776</v>
      </c>
      <c r="P2154">
        <v>0.99775959999999997</v>
      </c>
      <c r="Q2154">
        <v>-1.813188E-2</v>
      </c>
      <c r="R2154">
        <v>-6.4398259999999999E-2</v>
      </c>
      <c r="S2154">
        <v>3.0029599999999999</v>
      </c>
      <c r="T2154">
        <v>-0.2640131</v>
      </c>
      <c r="U2154">
        <v>9.1400149999999996E-3</v>
      </c>
      <c r="V2154">
        <v>-0.1054161</v>
      </c>
      <c r="W2154">
        <v>-4.7046500000000003E-3</v>
      </c>
      <c r="X2154">
        <v>0.99441710000000005</v>
      </c>
      <c r="Y2154">
        <v>-0.17098569999999999</v>
      </c>
      <c r="Z2154">
        <v>2.2304000000000001E-2</v>
      </c>
      <c r="AA2154">
        <v>0.98502099999999904</v>
      </c>
      <c r="AB2154">
        <v>24</v>
      </c>
      <c r="AC2154">
        <v>12.375499999999899</v>
      </c>
      <c r="AD2154">
        <v>-1.1074070687699999</v>
      </c>
      <c r="AE2154">
        <v>7.2599999999994197E-2</v>
      </c>
      <c r="AF2154">
        <v>-2.1494488891712802</v>
      </c>
      <c r="AG2154">
        <v>-1.1074070687699999</v>
      </c>
      <c r="AH2154">
        <v>12.087786675902599</v>
      </c>
      <c r="AI2154">
        <v>95.154061895146697</v>
      </c>
      <c r="AJ2154">
        <v>100.082936865189</v>
      </c>
      <c r="AK2154">
        <v>12.327248990153899</v>
      </c>
    </row>
    <row r="2155" spans="1:37" x14ac:dyDescent="0.2">
      <c r="A2155" t="str">
        <f>"20200111160154057"</f>
        <v>20200111160154057</v>
      </c>
      <c r="B2155" t="str">
        <f>"1578729714054128"</f>
        <v>1578729714054128</v>
      </c>
      <c r="C2155" t="s">
        <v>37</v>
      </c>
      <c r="D2155">
        <v>5.13835</v>
      </c>
      <c r="E2155">
        <v>0.4942994</v>
      </c>
      <c r="F2155" t="s">
        <v>57</v>
      </c>
      <c r="G2155">
        <v>-462.34210000000002</v>
      </c>
      <c r="H2155" s="1">
        <v>-3.8326200000000001E-7</v>
      </c>
      <c r="I2155">
        <v>216.74</v>
      </c>
      <c r="J2155">
        <v>-473.26179999999999</v>
      </c>
      <c r="K2155">
        <v>1.1069959999999901</v>
      </c>
      <c r="L2155">
        <v>217.22389999999999</v>
      </c>
      <c r="M2155">
        <v>0.98607579999999995</v>
      </c>
      <c r="N2155">
        <v>0</v>
      </c>
      <c r="O2155">
        <v>-0.16568869999999999</v>
      </c>
      <c r="P2155">
        <v>0.99794499999999997</v>
      </c>
      <c r="Q2155">
        <v>-1.6235550000000001E-2</v>
      </c>
      <c r="R2155">
        <v>-6.1985100000000001E-2</v>
      </c>
      <c r="S2155">
        <v>2.9923709999999999</v>
      </c>
      <c r="T2155">
        <v>-0.29757990000000001</v>
      </c>
      <c r="U2155">
        <v>-0.1387787</v>
      </c>
      <c r="V2155">
        <v>-0.10422190000000001</v>
      </c>
      <c r="W2155">
        <v>-2.7434959999999898E-3</v>
      </c>
      <c r="X2155">
        <v>0.9945503</v>
      </c>
      <c r="Y2155">
        <v>-0.11845</v>
      </c>
      <c r="Z2155">
        <v>2.2228520000000002E-2</v>
      </c>
      <c r="AA2155">
        <v>0.99271119999999902</v>
      </c>
      <c r="AB2155">
        <v>24</v>
      </c>
      <c r="AC2155">
        <v>10.919699999999899</v>
      </c>
      <c r="AD2155">
        <v>-1.10699638326199</v>
      </c>
      <c r="AE2155">
        <v>-0.48389999999997702</v>
      </c>
      <c r="AF2155">
        <v>-1.31871718964199</v>
      </c>
      <c r="AG2155">
        <v>-1.10699638326199</v>
      </c>
      <c r="AH2155">
        <v>10.7387759569159</v>
      </c>
      <c r="AI2155">
        <v>95.841916427143801</v>
      </c>
      <c r="AJ2155">
        <v>97.000847813887205</v>
      </c>
      <c r="AK2155">
        <v>10.8759259408865</v>
      </c>
    </row>
    <row r="2156" spans="1:37" x14ac:dyDescent="0.2">
      <c r="A2156" t="str">
        <f>"20200111160154082"</f>
        <v>20200111160154082</v>
      </c>
      <c r="B2156" t="str">
        <f>"1578729714073648"</f>
        <v>1578729714073648</v>
      </c>
      <c r="C2156" t="s">
        <v>37</v>
      </c>
      <c r="D2156">
        <v>5.2014760000000004</v>
      </c>
      <c r="E2156">
        <v>0.4950097</v>
      </c>
      <c r="F2156" t="s">
        <v>57</v>
      </c>
      <c r="G2156">
        <v>-462.20299999999997</v>
      </c>
      <c r="H2156" s="1">
        <v>-4.5631970000000002E-7</v>
      </c>
      <c r="I2156">
        <v>216.7182</v>
      </c>
      <c r="J2156">
        <v>-472.99860000000001</v>
      </c>
      <c r="K2156">
        <v>1.1064849999999999</v>
      </c>
      <c r="L2156">
        <v>217.18450000000001</v>
      </c>
      <c r="M2156">
        <v>0.98666699999999996</v>
      </c>
      <c r="N2156">
        <v>0</v>
      </c>
      <c r="O2156">
        <v>-0.1621377</v>
      </c>
      <c r="P2156">
        <v>0.99812239999999997</v>
      </c>
      <c r="Q2156">
        <v>-1.3529930000000001E-2</v>
      </c>
      <c r="R2156">
        <v>-5.974086E-2</v>
      </c>
      <c r="S2156">
        <v>2.9928279999999998</v>
      </c>
      <c r="T2156">
        <v>-0.29958489999999999</v>
      </c>
      <c r="U2156">
        <v>-0.1368713</v>
      </c>
      <c r="V2156">
        <v>-0.10290050000000001</v>
      </c>
      <c r="W2156" s="1">
        <v>4.2125839999999998E-5</v>
      </c>
      <c r="X2156">
        <v>0.99469169999999996</v>
      </c>
      <c r="Y2156">
        <v>-0.1155269</v>
      </c>
      <c r="Z2156">
        <v>2.1878709999999999E-2</v>
      </c>
      <c r="AA2156">
        <v>0.99306340000000004</v>
      </c>
      <c r="AB2156">
        <v>24</v>
      </c>
      <c r="AC2156">
        <v>10.795599999999901</v>
      </c>
      <c r="AD2156">
        <v>-1.1064854563197</v>
      </c>
      <c r="AE2156">
        <v>-0.46630000000001798</v>
      </c>
      <c r="AF2156">
        <v>-1.27702945277437</v>
      </c>
      <c r="AG2156">
        <v>-1.1064854563197</v>
      </c>
      <c r="AH2156">
        <v>10.6170133124436</v>
      </c>
      <c r="AI2156">
        <v>95.907505047994505</v>
      </c>
      <c r="AJ2156">
        <v>96.858668251115105</v>
      </c>
      <c r="AK2156">
        <v>10.750631886773199</v>
      </c>
    </row>
    <row r="2157" spans="1:37" x14ac:dyDescent="0.2">
      <c r="A2157" t="str">
        <f>"20200111160154128"</f>
        <v>20200111160154128</v>
      </c>
      <c r="B2157" t="str">
        <f>"1578729714123422"</f>
        <v>1578729714123422</v>
      </c>
      <c r="C2157" t="s">
        <v>37</v>
      </c>
      <c r="D2157">
        <v>3.9227370000000001</v>
      </c>
      <c r="E2157">
        <v>0.4950097</v>
      </c>
      <c r="F2157" t="s">
        <v>57</v>
      </c>
      <c r="G2157">
        <v>-461.80959999999999</v>
      </c>
      <c r="H2157" s="1">
        <v>-6.6390169999999898E-7</v>
      </c>
      <c r="I2157">
        <v>216.67760000000001</v>
      </c>
      <c r="J2157">
        <v>-472.51350000000002</v>
      </c>
      <c r="K2157">
        <v>1.105456</v>
      </c>
      <c r="L2157">
        <v>217.11150000000001</v>
      </c>
      <c r="M2157">
        <v>0.98734889999999997</v>
      </c>
      <c r="N2157">
        <v>0</v>
      </c>
      <c r="O2157">
        <v>-0.15794049999999901</v>
      </c>
      <c r="P2157">
        <v>0.99818639999999903</v>
      </c>
      <c r="Q2157">
        <v>-1.1053E-2</v>
      </c>
      <c r="R2157">
        <v>-5.9175890000000002E-2</v>
      </c>
      <c r="S2157">
        <v>2.9935</v>
      </c>
      <c r="T2157">
        <v>-0.29602840000000002</v>
      </c>
      <c r="U2157">
        <v>-0.13562009999999999</v>
      </c>
      <c r="V2157">
        <v>-9.9243029999999996E-2</v>
      </c>
      <c r="W2157">
        <v>2.6958590000000001E-3</v>
      </c>
      <c r="X2157">
        <v>0.99505949999999999</v>
      </c>
      <c r="Y2157">
        <v>-0.11179799999999999</v>
      </c>
      <c r="Z2157">
        <v>2.1022849999999999E-2</v>
      </c>
      <c r="AA2157">
        <v>0.99350859999999996</v>
      </c>
      <c r="AB2157">
        <v>24</v>
      </c>
      <c r="AC2157">
        <v>10.703900000000001</v>
      </c>
      <c r="AD2157">
        <v>-1.1054566639016901</v>
      </c>
      <c r="AE2157">
        <v>-0.43389999999999401</v>
      </c>
      <c r="AF2157">
        <v>-1.24899310172999</v>
      </c>
      <c r="AG2157">
        <v>-1.1054566639016901</v>
      </c>
      <c r="AH2157">
        <v>10.525976587041701</v>
      </c>
      <c r="AI2157">
        <v>95.953861721753398</v>
      </c>
      <c r="AJ2157">
        <v>96.766971507945996</v>
      </c>
      <c r="AK2157">
        <v>10.657307413924199</v>
      </c>
    </row>
    <row r="2158" spans="1:37" x14ac:dyDescent="0.2">
      <c r="A2158" t="str">
        <f>"20200111160154171"</f>
        <v>20200111160154171</v>
      </c>
      <c r="B2158" t="str">
        <f>"1578729714163439"</f>
        <v>1578729714163439</v>
      </c>
      <c r="C2158" t="s">
        <v>37</v>
      </c>
      <c r="D2158">
        <v>5.2706520000000001</v>
      </c>
      <c r="E2158">
        <v>0.61519380000000001</v>
      </c>
      <c r="F2158" t="s">
        <v>57</v>
      </c>
      <c r="G2158">
        <v>-461.04020000000003</v>
      </c>
      <c r="H2158" s="1">
        <v>-1.0699760000000001E-6</v>
      </c>
      <c r="I2158">
        <v>216.6002</v>
      </c>
      <c r="J2158">
        <v>-472.0659</v>
      </c>
      <c r="K2158">
        <v>1.1044799999999999</v>
      </c>
      <c r="L2158">
        <v>217.04220000000001</v>
      </c>
      <c r="M2158">
        <v>0.98751339999999999</v>
      </c>
      <c r="N2158">
        <v>0</v>
      </c>
      <c r="O2158">
        <v>-0.15691379999999999</v>
      </c>
      <c r="P2158">
        <v>0.99796319999999905</v>
      </c>
      <c r="Q2158">
        <v>-1.3270840000000001E-2</v>
      </c>
      <c r="R2158">
        <v>-6.2399740000000002E-2</v>
      </c>
      <c r="S2158">
        <v>2.9943240000000002</v>
      </c>
      <c r="T2158">
        <v>-0.2885025</v>
      </c>
      <c r="U2158">
        <v>-0.1334381</v>
      </c>
      <c r="V2158">
        <v>-9.4983040000000005E-2</v>
      </c>
      <c r="W2158">
        <v>6.6262899999999997E-4</v>
      </c>
      <c r="X2158">
        <v>0.99547870000000005</v>
      </c>
      <c r="Y2158">
        <v>-0.111571499999999</v>
      </c>
      <c r="Z2158">
        <v>2.03774E-2</v>
      </c>
      <c r="AA2158">
        <v>0.99354739999999997</v>
      </c>
      <c r="AB2158">
        <v>24</v>
      </c>
      <c r="AC2158">
        <v>11.025699999999899</v>
      </c>
      <c r="AD2158">
        <v>-1.1044810699759999</v>
      </c>
      <c r="AE2158">
        <v>-0.442000000000007</v>
      </c>
      <c r="AF2158">
        <v>-1.2808971392970201</v>
      </c>
      <c r="AG2158">
        <v>-1.1044810699759999</v>
      </c>
      <c r="AH2158">
        <v>10.8497534920606</v>
      </c>
      <c r="AI2158">
        <v>95.772745135349595</v>
      </c>
      <c r="AJ2158">
        <v>96.733043528761897</v>
      </c>
      <c r="AK2158">
        <v>10.9807889859462</v>
      </c>
    </row>
    <row r="2159" spans="1:37" x14ac:dyDescent="0.2">
      <c r="A2159" t="str">
        <f>"20200111160154213"</f>
        <v>20200111160154213</v>
      </c>
      <c r="B2159" t="str">
        <f>"1578729714203455"</f>
        <v>1578729714203455</v>
      </c>
      <c r="C2159" t="s">
        <v>37</v>
      </c>
      <c r="D2159">
        <v>5.2445079999999997</v>
      </c>
      <c r="E2159">
        <v>0.45512950000000002</v>
      </c>
      <c r="F2159" t="s">
        <v>68</v>
      </c>
      <c r="G2159">
        <v>-168.87180000000001</v>
      </c>
      <c r="H2159">
        <v>40.853290000000001</v>
      </c>
      <c r="I2159">
        <v>102.6348</v>
      </c>
      <c r="J2159">
        <v>-471.62029999999999</v>
      </c>
      <c r="K2159">
        <v>1.1037699999999999</v>
      </c>
      <c r="L2159">
        <v>216.97059999999999</v>
      </c>
      <c r="M2159">
        <v>0.98732160000000002</v>
      </c>
      <c r="N2159">
        <v>0</v>
      </c>
      <c r="O2159">
        <v>-0.15811979999999901</v>
      </c>
      <c r="P2159">
        <v>0.99764019999999998</v>
      </c>
      <c r="Q2159">
        <v>-8.7679209999999997E-3</v>
      </c>
      <c r="R2159">
        <v>-6.8099220000000002E-2</v>
      </c>
      <c r="S2159">
        <v>2.94180299999999</v>
      </c>
      <c r="T2159">
        <v>0.38567109999999999</v>
      </c>
      <c r="U2159">
        <v>-1.1100620000000001</v>
      </c>
      <c r="V2159">
        <v>-9.0509350000000002E-2</v>
      </c>
      <c r="W2159">
        <v>5.2922169999999897E-3</v>
      </c>
      <c r="X2159">
        <v>0.99588159999999903</v>
      </c>
      <c r="Y2159">
        <v>0.200328799999999</v>
      </c>
      <c r="Z2159">
        <v>-7.1140229999999997E-3</v>
      </c>
      <c r="AA2159">
        <v>0.97970290000000004</v>
      </c>
      <c r="AB2159">
        <v>24</v>
      </c>
      <c r="AC2159">
        <v>302.74849999999998</v>
      </c>
      <c r="AD2159">
        <v>39.749519999999997</v>
      </c>
      <c r="AE2159">
        <v>-114.33580000000001</v>
      </c>
      <c r="AF2159">
        <v>64.055596011589202</v>
      </c>
      <c r="AG2159">
        <v>39.749519999999997</v>
      </c>
      <c r="AH2159">
        <v>312.30795977666298</v>
      </c>
      <c r="AI2159">
        <v>82.892970708487098</v>
      </c>
      <c r="AJ2159">
        <v>78.409158225115206</v>
      </c>
      <c r="AK2159">
        <v>321.277769944471</v>
      </c>
    </row>
    <row r="2160" spans="1:37" x14ac:dyDescent="0.2">
      <c r="A2160" t="str">
        <f>"20200111160154235"</f>
        <v>20200111160154235</v>
      </c>
      <c r="B2160" t="str">
        <f>"1578729714223951"</f>
        <v>1578729714223951</v>
      </c>
      <c r="C2160" t="s">
        <v>37</v>
      </c>
      <c r="D2160">
        <v>5.3053800000000004</v>
      </c>
      <c r="E2160">
        <v>0.45120640000000001</v>
      </c>
      <c r="F2160" t="s">
        <v>57</v>
      </c>
      <c r="G2160">
        <v>-456.93380000000002</v>
      </c>
      <c r="H2160" s="1">
        <v>2.017004E-6</v>
      </c>
      <c r="I2160">
        <v>217.72880000000001</v>
      </c>
      <c r="J2160">
        <v>-471.39019999999999</v>
      </c>
      <c r="K2160">
        <v>1.103513</v>
      </c>
      <c r="L2160">
        <v>216.9324</v>
      </c>
      <c r="M2160">
        <v>0.98710689999999901</v>
      </c>
      <c r="N2160">
        <v>0</v>
      </c>
      <c r="O2160">
        <v>-0.1594566</v>
      </c>
      <c r="P2160">
        <v>0.99736789999999997</v>
      </c>
      <c r="Q2160">
        <v>-4.3082909999999997E-3</v>
      </c>
      <c r="R2160">
        <v>-7.2380420000000001E-2</v>
      </c>
      <c r="S2160">
        <v>3.0157780000000001</v>
      </c>
      <c r="T2160">
        <v>-0.2266521</v>
      </c>
      <c r="U2160">
        <v>0.1557007</v>
      </c>
      <c r="V2160">
        <v>-8.7572689999999995E-2</v>
      </c>
      <c r="W2160">
        <v>9.7872299999999992E-3</v>
      </c>
      <c r="X2160">
        <v>0.99611000000000005</v>
      </c>
      <c r="Y2160">
        <v>-0.20912410000000001</v>
      </c>
      <c r="Z2160">
        <v>1.9776269999999999E-2</v>
      </c>
      <c r="AA2160">
        <v>0.97768909999999998</v>
      </c>
      <c r="AB2160">
        <v>24</v>
      </c>
      <c r="AC2160">
        <v>14.456399999999901</v>
      </c>
      <c r="AD2160">
        <v>-1.1035109829959999</v>
      </c>
      <c r="AE2160">
        <v>0.79640000000000499</v>
      </c>
      <c r="AF2160">
        <v>-3.0737435306847898</v>
      </c>
      <c r="AG2160">
        <v>-1.1035109829959999</v>
      </c>
      <c r="AH2160">
        <v>14.0626967794294</v>
      </c>
      <c r="AI2160">
        <v>94.383773583071203</v>
      </c>
      <c r="AJ2160">
        <v>102.32947754277301</v>
      </c>
      <c r="AK2160">
        <v>14.4369344561854</v>
      </c>
    </row>
    <row r="2161" spans="1:37" x14ac:dyDescent="0.2">
      <c r="A2161" t="str">
        <f>"20200111160154259"</f>
        <v>20200111160154259</v>
      </c>
      <c r="B2161" t="str">
        <f>"1578729714253231"</f>
        <v>1578729714253231</v>
      </c>
      <c r="C2161" t="s">
        <v>37</v>
      </c>
      <c r="D2161">
        <v>5.1548319999999999</v>
      </c>
      <c r="E2161">
        <v>0.44598649999999901</v>
      </c>
      <c r="F2161" t="s">
        <v>57</v>
      </c>
      <c r="G2161">
        <v>-454.76870000000002</v>
      </c>
      <c r="H2161" s="1">
        <v>8.5771159999999905E-7</v>
      </c>
      <c r="I2161">
        <v>217.89150000000001</v>
      </c>
      <c r="J2161">
        <v>-471.14179999999999</v>
      </c>
      <c r="K2161">
        <v>1.1032740000000001</v>
      </c>
      <c r="L2161">
        <v>216.8905</v>
      </c>
      <c r="M2161">
        <v>0.98679470000000002</v>
      </c>
      <c r="N2161">
        <v>0</v>
      </c>
      <c r="O2161">
        <v>-0.16137850000000001</v>
      </c>
      <c r="P2161">
        <v>0.99698279999999995</v>
      </c>
      <c r="Q2161">
        <v>-4.9784220000000004E-4</v>
      </c>
      <c r="R2161">
        <v>-7.7620939999999999E-2</v>
      </c>
      <c r="S2161">
        <v>3.0196529999999999</v>
      </c>
      <c r="T2161">
        <v>-0.20047709999999999</v>
      </c>
      <c r="U2161">
        <v>0.17422489999999999</v>
      </c>
      <c r="V2161">
        <v>-8.4260180000000004E-2</v>
      </c>
      <c r="W2161">
        <v>1.362932E-2</v>
      </c>
      <c r="X2161">
        <v>0.99635059999999998</v>
      </c>
      <c r="Y2161">
        <v>-0.217142</v>
      </c>
      <c r="Z2161">
        <v>1.7865789999999999E-2</v>
      </c>
      <c r="AA2161">
        <v>0.97597649999999903</v>
      </c>
      <c r="AB2161">
        <v>24</v>
      </c>
      <c r="AC2161">
        <v>16.373099999999901</v>
      </c>
      <c r="AD2161">
        <v>-1.1032731422883999</v>
      </c>
      <c r="AE2161">
        <v>1.0009999999999999</v>
      </c>
      <c r="AF2161">
        <v>-3.61405001605881</v>
      </c>
      <c r="AG2161">
        <v>-1.1032731422883999</v>
      </c>
      <c r="AH2161">
        <v>15.9248561468135</v>
      </c>
      <c r="AI2161">
        <v>93.865140571797397</v>
      </c>
      <c r="AJ2161">
        <v>102.786353352361</v>
      </c>
      <c r="AK2161">
        <v>16.367028210453299</v>
      </c>
    </row>
    <row r="2162" spans="1:37" x14ac:dyDescent="0.2">
      <c r="A2162" t="str">
        <f>"20200111160154303"</f>
        <v>20200111160154303</v>
      </c>
      <c r="B2162" t="str">
        <f>"1578729714293247"</f>
        <v>1578729714293247</v>
      </c>
      <c r="C2162" t="s">
        <v>37</v>
      </c>
      <c r="D2162">
        <v>5.3598679999999996</v>
      </c>
      <c r="E2162">
        <v>0.44305439999999902</v>
      </c>
      <c r="F2162" t="s">
        <v>57</v>
      </c>
      <c r="G2162">
        <v>-452.53280000000001</v>
      </c>
      <c r="H2162" s="1">
        <v>-3.422403E-7</v>
      </c>
      <c r="I2162">
        <v>218.12280000000001</v>
      </c>
      <c r="J2162">
        <v>-470.68619999999999</v>
      </c>
      <c r="K2162">
        <v>1.102792</v>
      </c>
      <c r="L2162">
        <v>216.81059999999999</v>
      </c>
      <c r="M2162">
        <v>0.98602199999999995</v>
      </c>
      <c r="N2162">
        <v>0</v>
      </c>
      <c r="O2162">
        <v>-0.16603519999999999</v>
      </c>
      <c r="P2162">
        <v>0.99598099999999901</v>
      </c>
      <c r="Q2162">
        <v>2.2331500000000002E-3</v>
      </c>
      <c r="R2162">
        <v>-8.9537560000000002E-2</v>
      </c>
      <c r="S2162">
        <v>3.0246279999999999</v>
      </c>
      <c r="T2162">
        <v>-0.17932149999999999</v>
      </c>
      <c r="U2162">
        <v>0.20030209999999901</v>
      </c>
      <c r="V2162">
        <v>-7.7016199999999896E-2</v>
      </c>
      <c r="W2162">
        <v>1.642851E-2</v>
      </c>
      <c r="X2162">
        <v>0.99689450000000002</v>
      </c>
      <c r="Y2162">
        <v>-0.23015740000000001</v>
      </c>
      <c r="Z2162">
        <v>1.6613739999999998E-2</v>
      </c>
      <c r="AA2162">
        <v>0.97301159999999998</v>
      </c>
      <c r="AB2162">
        <v>24</v>
      </c>
      <c r="AC2162">
        <v>18.153399999999898</v>
      </c>
      <c r="AD2162">
        <v>-1.1027923422403001</v>
      </c>
      <c r="AE2162">
        <v>1.31220000000001</v>
      </c>
      <c r="AF2162">
        <v>-4.2926180240685898</v>
      </c>
      <c r="AG2162">
        <v>-1.1027923422403001</v>
      </c>
      <c r="AH2162">
        <v>17.618804100781901</v>
      </c>
      <c r="AI2162">
        <v>93.480035795116606</v>
      </c>
      <c r="AJ2162">
        <v>103.692683646918</v>
      </c>
      <c r="AK2162">
        <v>18.167690507942702</v>
      </c>
    </row>
    <row r="2163" spans="1:37" x14ac:dyDescent="0.2">
      <c r="A2163" t="str">
        <f>"20200111160154324"</f>
        <v>20200111160154324</v>
      </c>
      <c r="B2163" t="str">
        <f>"1578729714313743"</f>
        <v>1578729714313743</v>
      </c>
      <c r="C2163" t="s">
        <v>37</v>
      </c>
      <c r="D2163">
        <v>5.3039610000000001</v>
      </c>
      <c r="E2163">
        <v>0.44267410000000001</v>
      </c>
      <c r="F2163" t="s">
        <v>57</v>
      </c>
      <c r="G2163">
        <v>-450.9221</v>
      </c>
      <c r="H2163" s="1">
        <v>-1.195722E-6</v>
      </c>
      <c r="I2163">
        <v>218.03960000000001</v>
      </c>
      <c r="J2163">
        <v>-470.4606</v>
      </c>
      <c r="K2163">
        <v>1.10256</v>
      </c>
      <c r="L2163">
        <v>216.76949999999999</v>
      </c>
      <c r="M2163">
        <v>0.98555439999999905</v>
      </c>
      <c r="N2163">
        <v>0</v>
      </c>
      <c r="O2163">
        <v>-0.168789299999999</v>
      </c>
      <c r="P2163">
        <v>0.99535739999999995</v>
      </c>
      <c r="Q2163">
        <v>3.084313E-3</v>
      </c>
      <c r="R2163">
        <v>-9.6199320000000005E-2</v>
      </c>
      <c r="S2163">
        <v>3.029388</v>
      </c>
      <c r="T2163">
        <v>-0.16903360000000001</v>
      </c>
      <c r="U2163">
        <v>0.188369799999999</v>
      </c>
      <c r="V2163">
        <v>-7.3116150000000005E-2</v>
      </c>
      <c r="W2163">
        <v>1.7305290000000001E-2</v>
      </c>
      <c r="X2163">
        <v>0.99717330000000004</v>
      </c>
      <c r="Y2163">
        <v>-0.22903419999999999</v>
      </c>
      <c r="Z2163">
        <v>1.5759680000000002E-2</v>
      </c>
      <c r="AA2163">
        <v>0.97329080000000001</v>
      </c>
      <c r="AB2163">
        <v>24</v>
      </c>
      <c r="AC2163">
        <v>19.538499999999999</v>
      </c>
      <c r="AD2163">
        <v>-1.1025611957220001</v>
      </c>
      <c r="AE2163">
        <v>1.27010000000001</v>
      </c>
      <c r="AF2163">
        <v>-4.5356982483437802</v>
      </c>
      <c r="AG2163">
        <v>-1.1025611957220001</v>
      </c>
      <c r="AH2163">
        <v>18.9835141860456</v>
      </c>
      <c r="AI2163">
        <v>93.233196453757898</v>
      </c>
      <c r="AJ2163">
        <v>103.43765802959101</v>
      </c>
      <c r="AK2163">
        <v>19.548964439123999</v>
      </c>
    </row>
    <row r="2164" spans="1:37" x14ac:dyDescent="0.2">
      <c r="A2164" t="str">
        <f>"20200111160154391"</f>
        <v>20200111160154391</v>
      </c>
      <c r="B2164" t="str">
        <f>"1578729714384015"</f>
        <v>1578729714384015</v>
      </c>
      <c r="C2164" t="s">
        <v>37</v>
      </c>
      <c r="D2164">
        <v>5.2097720000000001</v>
      </c>
      <c r="E2164">
        <v>0.44025159999999902</v>
      </c>
      <c r="F2164" t="s">
        <v>57</v>
      </c>
      <c r="G2164">
        <v>-450.52870000000001</v>
      </c>
      <c r="H2164" s="1">
        <v>-1.3989619999999899E-6</v>
      </c>
      <c r="I2164">
        <v>217.899</v>
      </c>
      <c r="J2164">
        <v>-469.7672</v>
      </c>
      <c r="K2164">
        <v>1.102042</v>
      </c>
      <c r="L2164">
        <v>216.63650000000001</v>
      </c>
      <c r="M2164">
        <v>0.983734</v>
      </c>
      <c r="N2164">
        <v>0</v>
      </c>
      <c r="O2164">
        <v>-0.1790938</v>
      </c>
      <c r="P2164">
        <v>0.99313600000000002</v>
      </c>
      <c r="Q2164">
        <v>4.6778559999999898E-3</v>
      </c>
      <c r="R2164">
        <v>-0.11687349999999901</v>
      </c>
      <c r="S2164">
        <v>3.0311279999999998</v>
      </c>
      <c r="T2164">
        <v>-0.1676704</v>
      </c>
      <c r="U2164">
        <v>0.17176820000000001</v>
      </c>
      <c r="V2164">
        <v>-6.2780059999999999E-2</v>
      </c>
      <c r="W2164">
        <v>1.893485E-2</v>
      </c>
      <c r="X2164">
        <v>0.997847699999999</v>
      </c>
      <c r="Y2164">
        <v>-0.2338578</v>
      </c>
      <c r="Z2164">
        <v>1.6322420000000001E-2</v>
      </c>
      <c r="AA2164">
        <v>0.97213379999999905</v>
      </c>
      <c r="AB2164">
        <v>23</v>
      </c>
      <c r="AC2164">
        <v>19.238499999999899</v>
      </c>
      <c r="AD2164">
        <v>-1.102043398962</v>
      </c>
      <c r="AE2164">
        <v>1.26249999999998</v>
      </c>
      <c r="AF2164">
        <v>-4.6726453246564104</v>
      </c>
      <c r="AG2164">
        <v>-1.102043398962</v>
      </c>
      <c r="AH2164">
        <v>18.640360179205299</v>
      </c>
      <c r="AI2164">
        <v>93.282148616592195</v>
      </c>
      <c r="AJ2164">
        <v>104.072559376188</v>
      </c>
      <c r="AK2164">
        <v>19.248665969197202</v>
      </c>
    </row>
    <row r="2165" spans="1:37" x14ac:dyDescent="0.2">
      <c r="A2165" t="str">
        <f>"20200111160154415"</f>
        <v>20200111160154415</v>
      </c>
      <c r="B2165" t="str">
        <f>"1578729714403535"</f>
        <v>1578729714403535</v>
      </c>
      <c r="C2165" t="s">
        <v>37</v>
      </c>
      <c r="D2165">
        <v>5.2515919999999996</v>
      </c>
      <c r="E2165">
        <v>0.4389883</v>
      </c>
      <c r="F2165" t="s">
        <v>57</v>
      </c>
      <c r="G2165">
        <v>-449.06939999999997</v>
      </c>
      <c r="H2165" s="1">
        <v>3.1627350000000001E-6</v>
      </c>
      <c r="I2165">
        <v>217.51609999999999</v>
      </c>
      <c r="J2165">
        <v>-469.52420000000001</v>
      </c>
      <c r="K2165">
        <v>1.101936</v>
      </c>
      <c r="L2165">
        <v>216.5874</v>
      </c>
      <c r="M2165">
        <v>0.98297540000000005</v>
      </c>
      <c r="N2165">
        <v>0</v>
      </c>
      <c r="O2165">
        <v>-0.18321199999999899</v>
      </c>
      <c r="P2165">
        <v>0.99246449999999997</v>
      </c>
      <c r="Q2165">
        <v>2.8743599999999998E-3</v>
      </c>
      <c r="R2165">
        <v>-0.12249929999999901</v>
      </c>
      <c r="S2165">
        <v>3.0366819999999999</v>
      </c>
      <c r="T2165">
        <v>-0.16168569999999999</v>
      </c>
      <c r="U2165">
        <v>0.12904360000000001</v>
      </c>
      <c r="V2165">
        <v>-6.1312680000000001E-2</v>
      </c>
      <c r="W2165">
        <v>1.7141759999999999E-2</v>
      </c>
      <c r="X2165">
        <v>0.99797139999999995</v>
      </c>
      <c r="Y2165">
        <v>-0.22422719999999999</v>
      </c>
      <c r="Z2165">
        <v>1.5674980000000002E-2</v>
      </c>
      <c r="AA2165">
        <v>0.97441080000000002</v>
      </c>
      <c r="AB2165">
        <v>23</v>
      </c>
      <c r="AC2165">
        <v>20.454799999999999</v>
      </c>
      <c r="AD2165">
        <v>-1.1019328372649999</v>
      </c>
      <c r="AE2165">
        <v>0.92869999999999198</v>
      </c>
      <c r="AF2165">
        <v>-4.6474434025554601</v>
      </c>
      <c r="AG2165">
        <v>-1.1019328372649999</v>
      </c>
      <c r="AH2165">
        <v>19.880759394711902</v>
      </c>
      <c r="AI2165">
        <v>93.089371718988005</v>
      </c>
      <c r="AJ2165">
        <v>103.157524033553</v>
      </c>
      <c r="AK2165">
        <v>20.446456423258901</v>
      </c>
    </row>
    <row r="2166" spans="1:37" x14ac:dyDescent="0.2">
      <c r="A2166" t="str">
        <f>"20200111160154435"</f>
        <v>20200111160154435</v>
      </c>
      <c r="B2166" t="str">
        <f>"1578729714424031"</f>
        <v>1578729714424031</v>
      </c>
      <c r="C2166" t="s">
        <v>37</v>
      </c>
      <c r="D2166">
        <v>5.1480259999999998</v>
      </c>
      <c r="E2166">
        <v>0.43763289999999999</v>
      </c>
      <c r="F2166" t="s">
        <v>57</v>
      </c>
      <c r="G2166">
        <v>-449.22899999999998</v>
      </c>
      <c r="H2166" s="1">
        <v>3.25284499999999E-6</v>
      </c>
      <c r="I2166">
        <v>217.398</v>
      </c>
      <c r="J2166">
        <v>-469.31259999999997</v>
      </c>
      <c r="K2166">
        <v>1.101836</v>
      </c>
      <c r="L2166">
        <v>216.5436</v>
      </c>
      <c r="M2166">
        <v>0.98226859999999905</v>
      </c>
      <c r="N2166">
        <v>0</v>
      </c>
      <c r="O2166">
        <v>-0.186964299999999</v>
      </c>
      <c r="P2166">
        <v>0.99180440000000003</v>
      </c>
      <c r="Q2166">
        <v>-1.3269899999999999E-3</v>
      </c>
      <c r="R2166">
        <v>-0.12775980000000001</v>
      </c>
      <c r="S2166">
        <v>3.0382389999999999</v>
      </c>
      <c r="T2166">
        <v>-0.1649622</v>
      </c>
      <c r="U2166">
        <v>0.12135309999999901</v>
      </c>
      <c r="V2166">
        <v>-5.9857380000000002E-2</v>
      </c>
      <c r="W2166">
        <v>1.2946549999999999E-2</v>
      </c>
      <c r="X2166">
        <v>0.99812299999999998</v>
      </c>
      <c r="Y2166">
        <v>-0.22543449999999901</v>
      </c>
      <c r="Z2166">
        <v>1.621819E-2</v>
      </c>
      <c r="AA2166">
        <v>0.97412339999999997</v>
      </c>
      <c r="AB2166">
        <v>23</v>
      </c>
      <c r="AC2166">
        <v>20.083599999999901</v>
      </c>
      <c r="AD2166">
        <v>-1.101832747155</v>
      </c>
      <c r="AE2166">
        <v>0.85439999999999805</v>
      </c>
      <c r="AF2166">
        <v>-4.5808464701890896</v>
      </c>
      <c r="AG2166">
        <v>-1.101832747155</v>
      </c>
      <c r="AH2166">
        <v>19.511013862302899</v>
      </c>
      <c r="AI2166">
        <v>93.146806010276407</v>
      </c>
      <c r="AJ2166">
        <v>103.212746147198</v>
      </c>
      <c r="AK2166">
        <v>20.071817349734999</v>
      </c>
    </row>
    <row r="2167" spans="1:37" x14ac:dyDescent="0.2">
      <c r="A2167" t="str">
        <f>"20200111160154461"</f>
        <v>20200111160154461</v>
      </c>
      <c r="B2167" t="str">
        <f>"1578729714453311"</f>
        <v>1578729714453311</v>
      </c>
      <c r="C2167" t="s">
        <v>37</v>
      </c>
      <c r="D2167">
        <v>5.1772689999999999</v>
      </c>
      <c r="E2167">
        <v>0.41789679999999901</v>
      </c>
      <c r="F2167" t="s">
        <v>57</v>
      </c>
      <c r="G2167">
        <v>-450.40539999999999</v>
      </c>
      <c r="H2167" s="1">
        <v>-1.4367730000000001E-6</v>
      </c>
      <c r="I2167">
        <v>217.26390000000001</v>
      </c>
      <c r="J2167">
        <v>-469.05810000000002</v>
      </c>
      <c r="K2167">
        <v>1.1017170000000001</v>
      </c>
      <c r="L2167">
        <v>216.4896</v>
      </c>
      <c r="M2167">
        <v>0.98135559999999999</v>
      </c>
      <c r="N2167">
        <v>0</v>
      </c>
      <c r="O2167">
        <v>-0.19169749999999999</v>
      </c>
      <c r="P2167">
        <v>0.99109099999999895</v>
      </c>
      <c r="Q2167">
        <v>-5.4476480000000002E-3</v>
      </c>
      <c r="R2167">
        <v>-0.13307449999999901</v>
      </c>
      <c r="S2167">
        <v>3.0394589999999999</v>
      </c>
      <c r="T2167">
        <v>-0.1771277</v>
      </c>
      <c r="U2167">
        <v>0.115799</v>
      </c>
      <c r="V2167">
        <v>-5.9341720000000001E-2</v>
      </c>
      <c r="W2167">
        <v>8.8426549999999996E-3</v>
      </c>
      <c r="X2167">
        <v>0.99819859999999905</v>
      </c>
      <c r="Y2167">
        <v>-0.22823209999999999</v>
      </c>
      <c r="Z2167">
        <v>1.775906E-2</v>
      </c>
      <c r="AA2167">
        <v>0.9734448</v>
      </c>
      <c r="AB2167">
        <v>23</v>
      </c>
      <c r="AC2167">
        <v>18.652699999999999</v>
      </c>
      <c r="AD2167">
        <v>-1.101718436773</v>
      </c>
      <c r="AE2167">
        <v>0.77430000000000998</v>
      </c>
      <c r="AF2167">
        <v>-4.3209103645207403</v>
      </c>
      <c r="AG2167">
        <v>-1.101718436773</v>
      </c>
      <c r="AH2167">
        <v>18.095235486145299</v>
      </c>
      <c r="AI2167">
        <v>93.389070741895793</v>
      </c>
      <c r="AJ2167">
        <v>103.43001068767001</v>
      </c>
      <c r="AK2167">
        <v>18.636566131967601</v>
      </c>
    </row>
    <row r="2168" spans="1:37" x14ac:dyDescent="0.2">
      <c r="A2168" t="str">
        <f>"20200111160154481"</f>
        <v>20200111160154481</v>
      </c>
      <c r="B2168" t="str">
        <f>"1578729714473807"</f>
        <v>1578729714473807</v>
      </c>
      <c r="C2168" t="s">
        <v>37</v>
      </c>
      <c r="D2168">
        <v>4.9822300000000004</v>
      </c>
      <c r="E2168">
        <v>0.4149776</v>
      </c>
      <c r="F2168" t="s">
        <v>57</v>
      </c>
      <c r="G2168">
        <v>-448.00940000000003</v>
      </c>
      <c r="H2168" s="1">
        <v>2.566939E-6</v>
      </c>
      <c r="I2168">
        <v>218.24180000000001</v>
      </c>
      <c r="J2168">
        <v>-468.84300000000002</v>
      </c>
      <c r="K2168">
        <v>1.101623</v>
      </c>
      <c r="L2168">
        <v>216.4427</v>
      </c>
      <c r="M2168">
        <v>0.98053219999999996</v>
      </c>
      <c r="N2168">
        <v>0</v>
      </c>
      <c r="O2168">
        <v>-0.1958655</v>
      </c>
      <c r="P2168">
        <v>0.99050499999999997</v>
      </c>
      <c r="Q2168">
        <v>-8.3471859999999995E-3</v>
      </c>
      <c r="R2168">
        <v>-0.13722400000000001</v>
      </c>
      <c r="S2168">
        <v>3.06030299999999</v>
      </c>
      <c r="T2168">
        <v>-0.16017960000000001</v>
      </c>
      <c r="U2168">
        <v>0.25476070000000001</v>
      </c>
      <c r="V2168">
        <v>-5.9417240000000003E-2</v>
      </c>
      <c r="W2168">
        <v>5.9640700000000001E-3</v>
      </c>
      <c r="X2168">
        <v>0.99821539999999997</v>
      </c>
      <c r="Y2168">
        <v>-0.27592050000000001</v>
      </c>
      <c r="Z2168">
        <v>1.7402580000000001E-2</v>
      </c>
      <c r="AA2168">
        <v>0.96102289999999901</v>
      </c>
      <c r="AB2168">
        <v>23</v>
      </c>
      <c r="AC2168">
        <v>20.833599999999901</v>
      </c>
      <c r="AD2168">
        <v>-1.101620433061</v>
      </c>
      <c r="AE2168">
        <v>1.7991000000000099</v>
      </c>
      <c r="AF2168">
        <v>-5.8290466551195603</v>
      </c>
      <c r="AG2168">
        <v>-1.101620433061</v>
      </c>
      <c r="AH2168">
        <v>20.022007802884001</v>
      </c>
      <c r="AI2168">
        <v>93.023967245167995</v>
      </c>
      <c r="AJ2168">
        <v>106.231966852661</v>
      </c>
      <c r="AK2168">
        <v>20.88234060025</v>
      </c>
    </row>
    <row r="2169" spans="1:37" x14ac:dyDescent="0.2">
      <c r="A2169" t="str">
        <f>"20200111160154504"</f>
        <v>20200111160154504</v>
      </c>
      <c r="B2169" t="str">
        <f>"1578729714493328"</f>
        <v>1578729714493328</v>
      </c>
      <c r="C2169" t="s">
        <v>37</v>
      </c>
      <c r="D2169">
        <v>5.0209799999999998</v>
      </c>
      <c r="E2169">
        <v>0.4143984</v>
      </c>
      <c r="F2169" t="s">
        <v>57</v>
      </c>
      <c r="G2169">
        <v>-449.94760000000002</v>
      </c>
      <c r="H2169" s="1">
        <v>3.6054889999999999E-6</v>
      </c>
      <c r="I2169">
        <v>218.07839999999999</v>
      </c>
      <c r="J2169">
        <v>-468.61950000000002</v>
      </c>
      <c r="K2169">
        <v>1.1015280000000001</v>
      </c>
      <c r="L2169">
        <v>216.39279999999999</v>
      </c>
      <c r="M2169">
        <v>0.97962739999999904</v>
      </c>
      <c r="N2169">
        <v>0</v>
      </c>
      <c r="O2169">
        <v>-0.20034160000000001</v>
      </c>
      <c r="P2169">
        <v>0.99010849999999995</v>
      </c>
      <c r="Q2169">
        <v>-9.6552419999999996E-3</v>
      </c>
      <c r="R2169">
        <v>-0.13997200000000001</v>
      </c>
      <c r="S2169">
        <v>3.063965</v>
      </c>
      <c r="T2169">
        <v>-0.1786317</v>
      </c>
      <c r="U2169">
        <v>0.26524350000000002</v>
      </c>
      <c r="V2169">
        <v>-6.1212019999999999E-2</v>
      </c>
      <c r="W2169">
        <v>4.689978E-3</v>
      </c>
      <c r="X2169">
        <v>0.99811380000000005</v>
      </c>
      <c r="Y2169">
        <v>-0.2832964</v>
      </c>
      <c r="Z2169">
        <v>1.9851000000000001E-2</v>
      </c>
      <c r="AA2169">
        <v>0.95882690000000004</v>
      </c>
      <c r="AB2169">
        <v>23</v>
      </c>
      <c r="AC2169">
        <v>18.671899999999901</v>
      </c>
      <c r="AD2169">
        <v>-1.101524394511</v>
      </c>
      <c r="AE2169">
        <v>1.68559999999999</v>
      </c>
      <c r="AF2169">
        <v>-5.3739880835193397</v>
      </c>
      <c r="AG2169">
        <v>-1.101524394511</v>
      </c>
      <c r="AH2169">
        <v>17.8937739294105</v>
      </c>
      <c r="AI2169">
        <v>93.374115737858205</v>
      </c>
      <c r="AJ2169">
        <v>106.716445050366</v>
      </c>
      <c r="AK2169">
        <v>18.715775414082199</v>
      </c>
    </row>
    <row r="2170" spans="1:37" x14ac:dyDescent="0.2">
      <c r="A2170" t="str">
        <f>"20200111160154525"</f>
        <v>20200111160154525</v>
      </c>
      <c r="B2170" t="str">
        <f>"1578729714513823"</f>
        <v>1578729714513823</v>
      </c>
      <c r="C2170" t="s">
        <v>37</v>
      </c>
      <c r="D2170">
        <v>5.0307180000000002</v>
      </c>
      <c r="E2170">
        <v>0.41400119999999901</v>
      </c>
      <c r="F2170" t="s">
        <v>57</v>
      </c>
      <c r="G2170">
        <v>-450.08850000000001</v>
      </c>
      <c r="H2170" s="1">
        <v>-1.6363059999999899E-6</v>
      </c>
      <c r="I2170">
        <v>217.97030000000001</v>
      </c>
      <c r="J2170">
        <v>-468.40219999999999</v>
      </c>
      <c r="K2170">
        <v>1.101448</v>
      </c>
      <c r="L2170">
        <v>216.34299999999999</v>
      </c>
      <c r="M2170">
        <v>0.97869930000000005</v>
      </c>
      <c r="N2170">
        <v>0</v>
      </c>
      <c r="O2170">
        <v>-0.20482600000000001</v>
      </c>
      <c r="P2170">
        <v>0.98974740000000005</v>
      </c>
      <c r="Q2170">
        <v>-7.857256E-3</v>
      </c>
      <c r="R2170">
        <v>-0.14261209999999999</v>
      </c>
      <c r="S2170">
        <v>3.06509399999999</v>
      </c>
      <c r="T2170">
        <v>-0.18219669999999999</v>
      </c>
      <c r="U2170">
        <v>0.26092529999999903</v>
      </c>
      <c r="V2170">
        <v>-6.3109299999999993E-2</v>
      </c>
      <c r="W2170">
        <v>6.5200509999999998E-3</v>
      </c>
      <c r="X2170">
        <v>0.99798529999999996</v>
      </c>
      <c r="Y2170">
        <v>-0.28626960000000001</v>
      </c>
      <c r="Z2170">
        <v>2.0590770000000001E-2</v>
      </c>
      <c r="AA2170">
        <v>0.9579278</v>
      </c>
      <c r="AB2170">
        <v>23</v>
      </c>
      <c r="AC2170">
        <v>18.313699999999901</v>
      </c>
      <c r="AD2170">
        <v>-1.101449636306</v>
      </c>
      <c r="AE2170">
        <v>1.62730000000001</v>
      </c>
      <c r="AF2170">
        <v>-5.3251661822120102</v>
      </c>
      <c r="AG2170">
        <v>-1.101449636306</v>
      </c>
      <c r="AH2170">
        <v>17.5290882637034</v>
      </c>
      <c r="AI2170">
        <v>93.440620711366293</v>
      </c>
      <c r="AJ2170">
        <v>106.898270285786</v>
      </c>
      <c r="AK2170">
        <v>18.353188320458099</v>
      </c>
    </row>
    <row r="2171" spans="1:37" x14ac:dyDescent="0.2">
      <c r="A2171" t="str">
        <f>"20200111160154548"</f>
        <v>20200111160154548</v>
      </c>
      <c r="B2171" t="str">
        <f>"1578729714544079"</f>
        <v>1578729714544079</v>
      </c>
      <c r="C2171" t="s">
        <v>37</v>
      </c>
      <c r="D2171">
        <v>5.0251349999999997</v>
      </c>
      <c r="E2171">
        <v>0.4129854</v>
      </c>
      <c r="F2171" t="s">
        <v>57</v>
      </c>
      <c r="G2171">
        <v>-449.61270000000002</v>
      </c>
      <c r="H2171" s="1">
        <v>3.4346359999999998E-6</v>
      </c>
      <c r="I2171">
        <v>217.91040000000001</v>
      </c>
      <c r="J2171">
        <v>-468.15800000000002</v>
      </c>
      <c r="K2171">
        <v>1.1014010000000001</v>
      </c>
      <c r="L2171">
        <v>216.28569999999999</v>
      </c>
      <c r="M2171">
        <v>0.97760329999999995</v>
      </c>
      <c r="N2171">
        <v>0</v>
      </c>
      <c r="O2171">
        <v>-0.20999519999999999</v>
      </c>
      <c r="P2171">
        <v>0.98931709999999995</v>
      </c>
      <c r="Q2171">
        <v>-3.4673640000000001E-3</v>
      </c>
      <c r="R2171">
        <v>-0.14573929999999999</v>
      </c>
      <c r="S2171">
        <v>3.0664980000000002</v>
      </c>
      <c r="T2171">
        <v>-0.17975869999999999</v>
      </c>
      <c r="U2171">
        <v>0.25579829999999998</v>
      </c>
      <c r="V2171">
        <v>-6.5199549999999995E-2</v>
      </c>
      <c r="W2171">
        <v>1.094064E-2</v>
      </c>
      <c r="X2171">
        <v>0.99781229999999999</v>
      </c>
      <c r="Y2171">
        <v>-0.28971140000000001</v>
      </c>
      <c r="Z2171">
        <v>2.0706490000000001E-2</v>
      </c>
      <c r="AA2171">
        <v>0.95689000000000002</v>
      </c>
      <c r="AB2171">
        <v>23</v>
      </c>
      <c r="AC2171">
        <v>18.545300000000001</v>
      </c>
      <c r="AD2171">
        <v>-1.101397565364</v>
      </c>
      <c r="AE2171">
        <v>1.62470000000001</v>
      </c>
      <c r="AF2171">
        <v>-5.46414152574937</v>
      </c>
      <c r="AG2171">
        <v>-1.101397565364</v>
      </c>
      <c r="AH2171">
        <v>17.7284371963237</v>
      </c>
      <c r="AI2171">
        <v>93.397665628736604</v>
      </c>
      <c r="AJ2171">
        <v>107.129998069197</v>
      </c>
      <c r="AK2171">
        <v>18.5840631895827</v>
      </c>
    </row>
    <row r="2172" spans="1:37" x14ac:dyDescent="0.2">
      <c r="A2172" t="str">
        <f>"20200111160154572"</f>
        <v>20200111160154572</v>
      </c>
      <c r="B2172" t="str">
        <f>"1578729714563599"</f>
        <v>1578729714563599</v>
      </c>
      <c r="C2172" t="s">
        <v>37</v>
      </c>
      <c r="D2172">
        <v>5.6399850000000002</v>
      </c>
      <c r="E2172">
        <v>0.4670396</v>
      </c>
      <c r="F2172" t="s">
        <v>57</v>
      </c>
      <c r="G2172">
        <v>-447.68029999999999</v>
      </c>
      <c r="H2172" s="1">
        <v>2.403249E-6</v>
      </c>
      <c r="I2172">
        <v>217.9802</v>
      </c>
      <c r="J2172">
        <v>-467.92610000000002</v>
      </c>
      <c r="K2172">
        <v>1.101389</v>
      </c>
      <c r="L2172">
        <v>216.22980000000001</v>
      </c>
      <c r="M2172">
        <v>0.97651369999999904</v>
      </c>
      <c r="N2172">
        <v>0</v>
      </c>
      <c r="O2172">
        <v>-0.215005</v>
      </c>
      <c r="P2172">
        <v>0.98883909999999997</v>
      </c>
      <c r="Q2172">
        <v>2.5376579999999998E-4</v>
      </c>
      <c r="R2172">
        <v>-0.1489876</v>
      </c>
      <c r="S2172">
        <v>3.0692750000000002</v>
      </c>
      <c r="T2172">
        <v>-0.16508220000000001</v>
      </c>
      <c r="U2172">
        <v>0.2539825</v>
      </c>
      <c r="V2172">
        <v>-6.7009020000000002E-2</v>
      </c>
      <c r="W2172">
        <v>1.4682550000000001E-2</v>
      </c>
      <c r="X2172">
        <v>0.99764430000000004</v>
      </c>
      <c r="Y2172">
        <v>-0.29410199999999997</v>
      </c>
      <c r="Z2172">
        <v>1.938465E-2</v>
      </c>
      <c r="AA2172">
        <v>0.95557739999999902</v>
      </c>
      <c r="AB2172">
        <v>23</v>
      </c>
      <c r="AC2172">
        <v>20.245799999999999</v>
      </c>
      <c r="AD2172">
        <v>-1.1013865967509999</v>
      </c>
      <c r="AE2172">
        <v>1.75039999999998</v>
      </c>
      <c r="AF2172">
        <v>-6.0450681692146899</v>
      </c>
      <c r="AG2172">
        <v>-1.1013865967509999</v>
      </c>
      <c r="AH2172">
        <v>19.339028207437501</v>
      </c>
      <c r="AI2172">
        <v>93.111408439633905</v>
      </c>
      <c r="AJ2172">
        <v>107.358402105691</v>
      </c>
      <c r="AK2172">
        <v>20.291720321698101</v>
      </c>
    </row>
    <row r="2173" spans="1:37" x14ac:dyDescent="0.2">
      <c r="A2173" t="str">
        <f>"20200111160154595"</f>
        <v>20200111160154595</v>
      </c>
      <c r="B2173" t="str">
        <f>"1578729714583628"</f>
        <v>1578729714583628</v>
      </c>
      <c r="C2173" t="s">
        <v>37</v>
      </c>
      <c r="D2173">
        <v>5.3838359999999996</v>
      </c>
      <c r="E2173">
        <v>0.51153749999999998</v>
      </c>
      <c r="F2173" t="s">
        <v>57</v>
      </c>
      <c r="G2173">
        <v>-453.18799999999999</v>
      </c>
      <c r="H2173" s="1">
        <v>1.2778779999999999E-7</v>
      </c>
      <c r="I2173">
        <v>215.34710000000001</v>
      </c>
      <c r="J2173">
        <v>-467.69549999999998</v>
      </c>
      <c r="K2173">
        <v>1.101397</v>
      </c>
      <c r="L2173">
        <v>216.1729</v>
      </c>
      <c r="M2173">
        <v>0.97539339999999997</v>
      </c>
      <c r="N2173">
        <v>0</v>
      </c>
      <c r="O2173">
        <v>-0.22003149999999999</v>
      </c>
      <c r="P2173">
        <v>0.98826930000000002</v>
      </c>
      <c r="Q2173">
        <v>1.036407E-3</v>
      </c>
      <c r="R2173">
        <v>-0.15271889999999999</v>
      </c>
      <c r="S2173">
        <v>3.0067439999999999</v>
      </c>
      <c r="T2173">
        <v>-0.22469710000000001</v>
      </c>
      <c r="U2173">
        <v>-0.1800842</v>
      </c>
      <c r="V2173">
        <v>-6.83758E-2</v>
      </c>
      <c r="W2173">
        <v>1.5475910000000001E-2</v>
      </c>
      <c r="X2173">
        <v>0.99753959999999997</v>
      </c>
      <c r="Y2173">
        <v>-0.16029260000000001</v>
      </c>
      <c r="Z2173">
        <v>2.2254179999999998E-2</v>
      </c>
      <c r="AA2173">
        <v>0.98681859999999999</v>
      </c>
      <c r="AB2173">
        <v>23</v>
      </c>
      <c r="AC2173">
        <v>14.507499999999901</v>
      </c>
      <c r="AD2173">
        <v>-1.1013968722122001</v>
      </c>
      <c r="AE2173">
        <v>-0.82579999999998599</v>
      </c>
      <c r="AF2173">
        <v>-2.3732240687182999</v>
      </c>
      <c r="AG2173">
        <v>-1.1013968722122001</v>
      </c>
      <c r="AH2173">
        <v>14.2517335075317</v>
      </c>
      <c r="AI2173">
        <v>94.3593346043981</v>
      </c>
      <c r="AJ2173">
        <v>99.454245130383697</v>
      </c>
      <c r="AK2173">
        <v>14.4898990859206</v>
      </c>
    </row>
    <row r="2174" spans="1:37" x14ac:dyDescent="0.2">
      <c r="A2174" t="str">
        <f>"20200111160154619"</f>
        <v>20200111160154619</v>
      </c>
      <c r="B2174" t="str">
        <f>"1578729714613883"</f>
        <v>1578729714613883</v>
      </c>
      <c r="C2174" t="s">
        <v>37</v>
      </c>
      <c r="D2174">
        <v>4.3566949999999904</v>
      </c>
      <c r="E2174">
        <v>0.48094549999999903</v>
      </c>
      <c r="F2174" t="s">
        <v>57</v>
      </c>
      <c r="G2174">
        <v>-453.87049999999999</v>
      </c>
      <c r="H2174" s="1">
        <v>5.6580009999999999E-7</v>
      </c>
      <c r="I2174">
        <v>213.63509999999999</v>
      </c>
      <c r="J2174">
        <v>-467.4522</v>
      </c>
      <c r="K2174">
        <v>1.1014280000000001</v>
      </c>
      <c r="L2174">
        <v>216.11150000000001</v>
      </c>
      <c r="M2174">
        <v>0.97417999999999905</v>
      </c>
      <c r="N2174">
        <v>0</v>
      </c>
      <c r="O2174">
        <v>-0.22534270000000001</v>
      </c>
      <c r="P2174">
        <v>0.98776969999999997</v>
      </c>
      <c r="Q2174">
        <v>6.6791850000000005E-4</v>
      </c>
      <c r="R2174">
        <v>-0.15591920000000001</v>
      </c>
      <c r="S2174">
        <v>2.952118</v>
      </c>
      <c r="T2174">
        <v>-0.23518629999999999</v>
      </c>
      <c r="U2174">
        <v>-0.54190059999999995</v>
      </c>
      <c r="V2174">
        <v>-7.0583580000000007E-2</v>
      </c>
      <c r="W2174">
        <v>1.5119280000000001E-2</v>
      </c>
      <c r="X2174">
        <v>0.99739129999999998</v>
      </c>
      <c r="Y2174">
        <v>-4.494774E-2</v>
      </c>
      <c r="Z2174">
        <v>1.934466E-2</v>
      </c>
      <c r="AA2174">
        <v>0.99880199999999997</v>
      </c>
      <c r="AB2174">
        <v>23</v>
      </c>
      <c r="AC2174">
        <v>13.5817</v>
      </c>
      <c r="AD2174">
        <v>-1.1014274341999</v>
      </c>
      <c r="AE2174">
        <v>-2.4764000000000101</v>
      </c>
      <c r="AF2174">
        <v>-0.64404113109996297</v>
      </c>
      <c r="AG2174">
        <v>-1.1014274341999</v>
      </c>
      <c r="AH2174">
        <v>13.703175839238</v>
      </c>
      <c r="AI2174">
        <v>94.590368515432303</v>
      </c>
      <c r="AJ2174">
        <v>92.690887455617002</v>
      </c>
      <c r="AK2174">
        <v>13.7624474368635</v>
      </c>
    </row>
    <row r="2175" spans="1:37" x14ac:dyDescent="0.2">
      <c r="A2175" t="str">
        <f>"20200111160154641"</f>
        <v>20200111160154641</v>
      </c>
      <c r="B2175" t="str">
        <f>"1578729714633405"</f>
        <v>1578729714633405</v>
      </c>
      <c r="C2175" t="s">
        <v>37</v>
      </c>
      <c r="D2175">
        <v>4.3046139999999999</v>
      </c>
      <c r="E2175">
        <v>0.46916210000000003</v>
      </c>
      <c r="F2175" t="s">
        <v>60</v>
      </c>
      <c r="G2175">
        <v>-421.28590000000003</v>
      </c>
      <c r="H2175" s="1">
        <v>4.0321169999999997E-6</v>
      </c>
      <c r="I2175">
        <v>211.23480000000001</v>
      </c>
      <c r="J2175">
        <v>-467.22469999999998</v>
      </c>
      <c r="K2175">
        <v>1.10148</v>
      </c>
      <c r="L2175">
        <v>216.05279999999999</v>
      </c>
      <c r="M2175">
        <v>0.97302649999999902</v>
      </c>
      <c r="N2175">
        <v>0</v>
      </c>
      <c r="O2175">
        <v>-0.23027249999999999</v>
      </c>
      <c r="P2175">
        <v>0.98741039999999902</v>
      </c>
      <c r="Q2175">
        <v>1.1186289999999899E-3</v>
      </c>
      <c r="R2175">
        <v>-0.15817539999999999</v>
      </c>
      <c r="S2175">
        <v>2.9873959999999999</v>
      </c>
      <c r="T2175">
        <v>-7.127261E-2</v>
      </c>
      <c r="U2175">
        <v>-0.31556699999999999</v>
      </c>
      <c r="V2175">
        <v>-7.3353130000000002E-2</v>
      </c>
      <c r="W2175">
        <v>1.5579849999999999E-2</v>
      </c>
      <c r="X2175">
        <v>0.99718430000000002</v>
      </c>
      <c r="Y2175">
        <v>-0.126697</v>
      </c>
      <c r="Z2175">
        <v>6.93143199999999E-3</v>
      </c>
      <c r="AA2175">
        <v>0.9919173</v>
      </c>
      <c r="AB2175">
        <v>23</v>
      </c>
      <c r="AC2175">
        <v>45.938799999999901</v>
      </c>
      <c r="AD2175">
        <v>-1.101475967883</v>
      </c>
      <c r="AE2175">
        <v>-4.8179999999999801</v>
      </c>
      <c r="AF2175">
        <v>-5.8876241587246003</v>
      </c>
      <c r="AG2175">
        <v>-1.101475967883</v>
      </c>
      <c r="AH2175">
        <v>45.787530188245597</v>
      </c>
      <c r="AI2175">
        <v>91.366806482141598</v>
      </c>
      <c r="AJ2175">
        <v>97.327214178680606</v>
      </c>
      <c r="AK2175">
        <v>46.177649228622798</v>
      </c>
    </row>
    <row r="2176" spans="1:37" x14ac:dyDescent="0.2">
      <c r="A2176" t="str">
        <f>"20200111160154681"</f>
        <v>20200111160154681</v>
      </c>
      <c r="B2176" t="str">
        <f>"1578729714673420"</f>
        <v>1578729714673420</v>
      </c>
      <c r="C2176" t="s">
        <v>37</v>
      </c>
      <c r="D2176">
        <v>4.304087</v>
      </c>
      <c r="E2176">
        <v>0.4597888</v>
      </c>
      <c r="F2176" t="s">
        <v>69</v>
      </c>
      <c r="G2176">
        <v>-242.44649999999999</v>
      </c>
      <c r="H2176">
        <v>0.71302509999999997</v>
      </c>
      <c r="I2176">
        <v>198.71250000000001</v>
      </c>
      <c r="J2176">
        <v>-466.83109999999999</v>
      </c>
      <c r="K2176">
        <v>1.101621</v>
      </c>
      <c r="L2176">
        <v>215.9487</v>
      </c>
      <c r="M2176">
        <v>0.97102140000000003</v>
      </c>
      <c r="N2176">
        <v>0</v>
      </c>
      <c r="O2176">
        <v>-0.2385871</v>
      </c>
      <c r="P2176">
        <v>0.98655890000000002</v>
      </c>
      <c r="Q2176">
        <v>5.4491030000000003E-3</v>
      </c>
      <c r="R2176">
        <v>-0.1633165</v>
      </c>
      <c r="S2176">
        <v>3.00116</v>
      </c>
      <c r="T2176">
        <v>-5.186558E-3</v>
      </c>
      <c r="U2176">
        <v>-0.23152159999999999</v>
      </c>
      <c r="V2176">
        <v>-7.6658169999999998E-2</v>
      </c>
      <c r="W2176">
        <v>1.990074E-2</v>
      </c>
      <c r="X2176">
        <v>0.99685879999999905</v>
      </c>
      <c r="Y2176">
        <v>-0.16320889999999999</v>
      </c>
      <c r="Z2176">
        <v>5.4861030000000004E-4</v>
      </c>
      <c r="AA2176">
        <v>0.98659140000000001</v>
      </c>
      <c r="AB2176">
        <v>23</v>
      </c>
      <c r="AC2176">
        <v>224.38460000000001</v>
      </c>
      <c r="AD2176">
        <v>-0.38859589999999999</v>
      </c>
      <c r="AE2176">
        <v>-17.236199999999901</v>
      </c>
      <c r="AF2176">
        <v>-36.802005501714603</v>
      </c>
      <c r="AG2176">
        <v>-0.38859589999999999</v>
      </c>
      <c r="AH2176">
        <v>222.015417677366</v>
      </c>
      <c r="AI2176">
        <v>90.098935266254898</v>
      </c>
      <c r="AJ2176">
        <v>99.411953940631307</v>
      </c>
      <c r="AK2176">
        <v>225.045293890312</v>
      </c>
    </row>
    <row r="2177" spans="1:37" x14ac:dyDescent="0.2">
      <c r="A2177" t="str">
        <f>"20200111160154727"</f>
        <v>20200111160154727</v>
      </c>
      <c r="B2177" t="str">
        <f>"1578729714723704"</f>
        <v>1578729714723704</v>
      </c>
      <c r="C2177" t="s">
        <v>37</v>
      </c>
      <c r="D2177">
        <v>5.3613</v>
      </c>
      <c r="E2177">
        <v>0.47410530000000001</v>
      </c>
      <c r="F2177" t="s">
        <v>67</v>
      </c>
      <c r="G2177">
        <v>-168.4152</v>
      </c>
      <c r="H2177">
        <v>6.3020370000000003</v>
      </c>
      <c r="I2177">
        <v>198.67349999999999</v>
      </c>
      <c r="J2177">
        <v>-466.37810000000002</v>
      </c>
      <c r="K2177">
        <v>1.1018749999999999</v>
      </c>
      <c r="L2177">
        <v>215.82490000000001</v>
      </c>
      <c r="M2177">
        <v>0.9687538</v>
      </c>
      <c r="N2177">
        <v>0</v>
      </c>
      <c r="O2177">
        <v>-0.24763470000000001</v>
      </c>
      <c r="P2177">
        <v>0.98541250000000002</v>
      </c>
      <c r="Q2177">
        <v>1.0061499999999999E-2</v>
      </c>
      <c r="R2177">
        <v>-0.1698857</v>
      </c>
      <c r="S2177">
        <v>3.0117189999999998</v>
      </c>
      <c r="T2177">
        <v>5.2484749999999997E-2</v>
      </c>
      <c r="U2177">
        <v>-0.1743469</v>
      </c>
      <c r="V2177">
        <v>-7.9286560000000006E-2</v>
      </c>
      <c r="W2177">
        <v>2.446628E-2</v>
      </c>
      <c r="X2177">
        <v>0.99655159999999998</v>
      </c>
      <c r="Y2177">
        <v>-0.19118669999999999</v>
      </c>
      <c r="Z2177">
        <v>-5.9345359999999998E-3</v>
      </c>
      <c r="AA2177">
        <v>0.98153570000000001</v>
      </c>
      <c r="AB2177">
        <v>23</v>
      </c>
      <c r="AC2177">
        <v>297.96289999999999</v>
      </c>
      <c r="AD2177">
        <v>5.2001619999999997</v>
      </c>
      <c r="AE2177">
        <v>-17.151399999999999</v>
      </c>
      <c r="AF2177">
        <v>-57.158638700101797</v>
      </c>
      <c r="AG2177">
        <v>5.2001619999999997</v>
      </c>
      <c r="AH2177">
        <v>292.83936137176698</v>
      </c>
      <c r="AI2177">
        <v>89.001502780342094</v>
      </c>
      <c r="AJ2177">
        <v>101.044568587298</v>
      </c>
      <c r="AK2177">
        <v>298.41086312582399</v>
      </c>
    </row>
    <row r="2178" spans="1:37" x14ac:dyDescent="0.2">
      <c r="A2178" t="str">
        <f>"20200111160154750"</f>
        <v>20200111160154750</v>
      </c>
      <c r="B2178" t="str">
        <f>"1578729714743223"</f>
        <v>1578729714743223</v>
      </c>
      <c r="C2178" t="s">
        <v>37</v>
      </c>
      <c r="D2178">
        <v>6.0692740000000001</v>
      </c>
      <c r="E2178">
        <v>0.47634959999999998</v>
      </c>
      <c r="F2178" t="s">
        <v>57</v>
      </c>
      <c r="G2178">
        <v>-376.97770000000003</v>
      </c>
      <c r="H2178">
        <v>8.0000879999999996E-2</v>
      </c>
      <c r="I2178">
        <v>206.71099999999899</v>
      </c>
      <c r="J2178">
        <v>-466.14150000000001</v>
      </c>
      <c r="K2178">
        <v>1.102042</v>
      </c>
      <c r="L2178">
        <v>215.75880000000001</v>
      </c>
      <c r="M2178">
        <v>0.96761330000000001</v>
      </c>
      <c r="N2178">
        <v>0</v>
      </c>
      <c r="O2178">
        <v>-0.25205479999999902</v>
      </c>
      <c r="P2178">
        <v>0.98476549999999996</v>
      </c>
      <c r="Q2178">
        <v>1.2457330000000001E-2</v>
      </c>
      <c r="R2178">
        <v>-0.17344129999999899</v>
      </c>
      <c r="S2178">
        <v>2.9921880000000001</v>
      </c>
      <c r="T2178">
        <v>-3.4201620000000002E-2</v>
      </c>
      <c r="U2178">
        <v>-0.30503849999999999</v>
      </c>
      <c r="V2178">
        <v>-8.0226850000000002E-2</v>
      </c>
      <c r="W2178">
        <v>2.6823940000000001E-2</v>
      </c>
      <c r="X2178">
        <v>0.99641559999999996</v>
      </c>
      <c r="Y2178">
        <v>-0.15260950000000001</v>
      </c>
      <c r="Z2178">
        <v>3.7109769999999999E-3</v>
      </c>
      <c r="AA2178">
        <v>0.98827960000000004</v>
      </c>
      <c r="AB2178">
        <v>23</v>
      </c>
      <c r="AC2178">
        <v>89.163799999999895</v>
      </c>
      <c r="AD2178">
        <v>-1.0220411199999999</v>
      </c>
      <c r="AE2178">
        <v>-9.04780000000002</v>
      </c>
      <c r="AF2178">
        <v>-13.718931298570499</v>
      </c>
      <c r="AG2178">
        <v>-1.0220411199999999</v>
      </c>
      <c r="AH2178">
        <v>88.553645383298004</v>
      </c>
      <c r="AI2178">
        <v>90.653454805690302</v>
      </c>
      <c r="AJ2178">
        <v>98.806383530058596</v>
      </c>
      <c r="AK2178">
        <v>89.615856603040797</v>
      </c>
    </row>
    <row r="2179" spans="1:37" x14ac:dyDescent="0.2">
      <c r="A2179" t="str">
        <f>"20200111160154774"</f>
        <v>20200111160154774</v>
      </c>
      <c r="B2179" t="str">
        <f>"1578729714763719"</f>
        <v>1578729714763719</v>
      </c>
      <c r="C2179" t="s">
        <v>37</v>
      </c>
      <c r="D2179">
        <v>4.1856010000000001</v>
      </c>
      <c r="E2179">
        <v>0.61225600000000002</v>
      </c>
      <c r="F2179" t="s">
        <v>57</v>
      </c>
      <c r="G2179">
        <v>-396.11309999999997</v>
      </c>
      <c r="H2179">
        <v>8.0001130000000004E-2</v>
      </c>
      <c r="I2179">
        <v>207.95249999999999</v>
      </c>
      <c r="J2179">
        <v>-465.91300000000001</v>
      </c>
      <c r="K2179">
        <v>1.102263</v>
      </c>
      <c r="L2179">
        <v>215.69409999999999</v>
      </c>
      <c r="M2179">
        <v>0.96657899999999997</v>
      </c>
      <c r="N2179">
        <v>0</v>
      </c>
      <c r="O2179">
        <v>-0.25599309999999997</v>
      </c>
      <c r="P2179">
        <v>0.98413430000000002</v>
      </c>
      <c r="Q2179">
        <v>1.4926460000000001E-2</v>
      </c>
      <c r="R2179">
        <v>-0.17679710000000001</v>
      </c>
      <c r="S2179">
        <v>2.9882810000000002</v>
      </c>
      <c r="T2179">
        <v>-4.3612959999999999E-2</v>
      </c>
      <c r="U2179">
        <v>-0.33311459999999998</v>
      </c>
      <c r="V2179">
        <v>-8.0877959999999999E-2</v>
      </c>
      <c r="W2179">
        <v>2.9241039999999999E-2</v>
      </c>
      <c r="X2179">
        <v>0.99629500000000004</v>
      </c>
      <c r="Y2179">
        <v>-0.14730499999999999</v>
      </c>
      <c r="Z2179">
        <v>4.7516090000000004E-3</v>
      </c>
      <c r="AA2179">
        <v>0.98907969999999901</v>
      </c>
      <c r="AB2179">
        <v>23</v>
      </c>
      <c r="AC2179">
        <v>69.799899999999994</v>
      </c>
      <c r="AD2179">
        <v>-1.0222618699999999</v>
      </c>
      <c r="AE2179">
        <v>-7.7416</v>
      </c>
      <c r="AF2179">
        <v>-10.3842246115509</v>
      </c>
      <c r="AG2179">
        <v>-1.0222618699999999</v>
      </c>
      <c r="AH2179">
        <v>69.440887920709102</v>
      </c>
      <c r="AI2179">
        <v>90.834135143942106</v>
      </c>
      <c r="AJ2179">
        <v>98.505015402728503</v>
      </c>
      <c r="AK2179">
        <v>70.220467495812699</v>
      </c>
    </row>
    <row r="2180" spans="1:37" x14ac:dyDescent="0.2">
      <c r="A2180" t="str">
        <f>"20200111160154816"</f>
        <v>20200111160154816</v>
      </c>
      <c r="B2180" t="str">
        <f>"1578729714814002"</f>
        <v>1578729714814002</v>
      </c>
      <c r="C2180" t="s">
        <v>37</v>
      </c>
      <c r="D2180">
        <v>4.6410879999999999</v>
      </c>
      <c r="E2180">
        <v>0.61226669999999905</v>
      </c>
      <c r="F2180" t="s">
        <v>70</v>
      </c>
      <c r="G2180">
        <v>-233.3314</v>
      </c>
      <c r="H2180">
        <v>40.078209999999999</v>
      </c>
      <c r="I2180">
        <v>97.150030000000001</v>
      </c>
      <c r="J2180">
        <v>-465.49110000000002</v>
      </c>
      <c r="K2180">
        <v>1.1027149999999999</v>
      </c>
      <c r="L2180">
        <v>215.57320000000001</v>
      </c>
      <c r="M2180">
        <v>0.96485350000000003</v>
      </c>
      <c r="N2180">
        <v>0</v>
      </c>
      <c r="O2180">
        <v>-0.26242349999999998</v>
      </c>
      <c r="P2180">
        <v>0.98340609999999995</v>
      </c>
      <c r="Q2180">
        <v>1.75225E-2</v>
      </c>
      <c r="R2180">
        <v>-0.18057019999999999</v>
      </c>
      <c r="S2180">
        <v>2.7861630000000002</v>
      </c>
      <c r="T2180">
        <v>0.466904599999999</v>
      </c>
      <c r="U2180">
        <v>-1.4200740000000001</v>
      </c>
      <c r="V2180">
        <v>-8.3699380000000004E-2</v>
      </c>
      <c r="W2180">
        <v>3.1729920000000002E-2</v>
      </c>
      <c r="X2180">
        <v>0.99598569999999997</v>
      </c>
      <c r="Y2180">
        <v>0.20492469999999999</v>
      </c>
      <c r="Z2180">
        <v>-2.4122230000000001E-2</v>
      </c>
      <c r="AA2180">
        <v>0.97848049999999998</v>
      </c>
      <c r="AB2180">
        <v>23</v>
      </c>
      <c r="AC2180">
        <v>232.15969999999999</v>
      </c>
      <c r="AD2180">
        <v>38.975495000000002</v>
      </c>
      <c r="AE2180">
        <v>-118.42317</v>
      </c>
      <c r="AF2180">
        <v>52.175057542311897</v>
      </c>
      <c r="AG2180">
        <v>38.975495000000002</v>
      </c>
      <c r="AH2180">
        <v>249.520992605636</v>
      </c>
      <c r="AI2180">
        <v>81.307109912073599</v>
      </c>
      <c r="AJ2180">
        <v>78.1895700329394</v>
      </c>
      <c r="AK2180">
        <v>257.87991699808703</v>
      </c>
    </row>
    <row r="2181" spans="1:37" x14ac:dyDescent="0.2">
      <c r="A2181" t="str">
        <f>"20200111160155018"</f>
        <v>20200111160155018</v>
      </c>
      <c r="B2181" t="str">
        <f>"1578729715014121"</f>
        <v>1578729715014121</v>
      </c>
      <c r="C2181" t="s">
        <v>37</v>
      </c>
      <c r="D2181">
        <v>5.6034600000000001</v>
      </c>
      <c r="E2181">
        <v>0.46902109999999902</v>
      </c>
      <c r="F2181" t="s">
        <v>71</v>
      </c>
      <c r="G2181">
        <v>-256.82029999999997</v>
      </c>
      <c r="H2181">
        <v>31.5685</v>
      </c>
      <c r="I2181">
        <v>108.25960000000001</v>
      </c>
      <c r="J2181">
        <v>-463.53739999999999</v>
      </c>
      <c r="K2181">
        <v>1.1051690000000001</v>
      </c>
      <c r="L2181">
        <v>215.00989999999999</v>
      </c>
      <c r="M2181">
        <v>0.96197849999999996</v>
      </c>
      <c r="N2181">
        <v>0</v>
      </c>
      <c r="O2181">
        <v>-0.27278000000000002</v>
      </c>
      <c r="P2181">
        <v>0.98382479999999894</v>
      </c>
      <c r="Q2181">
        <v>1.353992E-2</v>
      </c>
      <c r="R2181">
        <v>-0.17862139999999899</v>
      </c>
      <c r="S2181">
        <v>2.7807919999999999</v>
      </c>
      <c r="T2181">
        <v>0.40599380000000002</v>
      </c>
      <c r="U2181">
        <v>-1.4300839999999999</v>
      </c>
      <c r="V2181">
        <v>-9.6576549999999997E-2</v>
      </c>
      <c r="W2181">
        <v>2.7099939999999999E-2</v>
      </c>
      <c r="X2181">
        <v>0.99495659999999897</v>
      </c>
      <c r="Y2181">
        <v>0.1979504</v>
      </c>
      <c r="Z2181">
        <v>-2.2830530000000002E-2</v>
      </c>
      <c r="AA2181">
        <v>0.97994609999999904</v>
      </c>
      <c r="AB2181">
        <v>22</v>
      </c>
      <c r="AC2181">
        <v>206.71709999999999</v>
      </c>
      <c r="AD2181">
        <v>30.463331</v>
      </c>
      <c r="AE2181">
        <v>-106.750299999999</v>
      </c>
      <c r="AF2181">
        <v>45.527008076372098</v>
      </c>
      <c r="AG2181">
        <v>30.463331</v>
      </c>
      <c r="AH2181">
        <v>224.155108085227</v>
      </c>
      <c r="AI2181">
        <v>82.413783343732007</v>
      </c>
      <c r="AJ2181">
        <v>78.519112877752804</v>
      </c>
      <c r="AK2181">
        <v>230.75145824176599</v>
      </c>
    </row>
    <row r="2182" spans="1:37" x14ac:dyDescent="0.2">
      <c r="A2182" t="str">
        <f>"20200111160155041"</f>
        <v>20200111160155041</v>
      </c>
      <c r="B2182" t="str">
        <f>"1578729715033640"</f>
        <v>1578729715033640</v>
      </c>
      <c r="C2182" t="s">
        <v>37</v>
      </c>
      <c r="D2182">
        <v>5.4821039999999996</v>
      </c>
      <c r="E2182">
        <v>0.45181779999999999</v>
      </c>
      <c r="F2182" t="s">
        <v>57</v>
      </c>
      <c r="G2182">
        <v>-450.26240000000001</v>
      </c>
      <c r="H2182" s="1">
        <v>-1.3588109999999999E-6</v>
      </c>
      <c r="I2182">
        <v>213.73910000000001</v>
      </c>
      <c r="J2182">
        <v>-463.30790000000002</v>
      </c>
      <c r="K2182">
        <v>1.105345</v>
      </c>
      <c r="L2182">
        <v>214.94550000000001</v>
      </c>
      <c r="M2182">
        <v>0.96221209999999902</v>
      </c>
      <c r="N2182">
        <v>0</v>
      </c>
      <c r="O2182">
        <v>-0.2719549</v>
      </c>
      <c r="P2182">
        <v>0.98381549999999995</v>
      </c>
      <c r="Q2182">
        <v>1.525499E-2</v>
      </c>
      <c r="R2182">
        <v>-0.1785342</v>
      </c>
      <c r="S2182">
        <v>3.00061</v>
      </c>
      <c r="T2182">
        <v>-0.24980649999999999</v>
      </c>
      <c r="U2182">
        <v>-0.28726199999999902</v>
      </c>
      <c r="V2182">
        <v>-9.5818180000000003E-2</v>
      </c>
      <c r="W2182">
        <v>2.8768209999999999E-2</v>
      </c>
      <c r="X2182">
        <v>0.99498310000000001</v>
      </c>
      <c r="Y2182">
        <v>-0.17752329999999999</v>
      </c>
      <c r="Z2182">
        <v>2.9623010000000002E-2</v>
      </c>
      <c r="AA2182">
        <v>0.98367070000000001</v>
      </c>
      <c r="AB2182">
        <v>22</v>
      </c>
      <c r="AC2182">
        <v>13.045500000000001</v>
      </c>
      <c r="AD2182">
        <v>-1.105346358811</v>
      </c>
      <c r="AE2182">
        <v>-1.2063999999999999</v>
      </c>
      <c r="AF2182">
        <v>-2.3703271335520899</v>
      </c>
      <c r="AG2182">
        <v>-1.105346358811</v>
      </c>
      <c r="AH2182">
        <v>12.790789074842101</v>
      </c>
      <c r="AI2182">
        <v>94.856794330080405</v>
      </c>
      <c r="AJ2182">
        <v>100.49867697801901</v>
      </c>
      <c r="AK2182">
        <v>13.0554404923805</v>
      </c>
    </row>
    <row r="2183" spans="1:37" x14ac:dyDescent="0.2">
      <c r="A2183" t="str">
        <f>"20200111160155062"</f>
        <v>20200111160155062</v>
      </c>
      <c r="B2183" t="str">
        <f>"1578729715054137"</f>
        <v>1578729715054137</v>
      </c>
      <c r="C2183" t="s">
        <v>37</v>
      </c>
      <c r="D2183">
        <v>5.4056350000000002</v>
      </c>
      <c r="E2183">
        <v>0.44530340000000002</v>
      </c>
      <c r="F2183" t="s">
        <v>57</v>
      </c>
      <c r="G2183">
        <v>-447.4676</v>
      </c>
      <c r="H2183" s="1">
        <v>2.45737599999999E-6</v>
      </c>
      <c r="I2183">
        <v>214.15209999999999</v>
      </c>
      <c r="J2183">
        <v>-463.10239999999999</v>
      </c>
      <c r="K2183">
        <v>1.105542</v>
      </c>
      <c r="L2183">
        <v>214.88839999999999</v>
      </c>
      <c r="M2183">
        <v>0.96250979999999997</v>
      </c>
      <c r="N2183">
        <v>0</v>
      </c>
      <c r="O2183">
        <v>-0.27090029999999998</v>
      </c>
      <c r="P2183">
        <v>0.98326589999999903</v>
      </c>
      <c r="Q2183">
        <v>1.8047520000000001E-2</v>
      </c>
      <c r="R2183">
        <v>-0.18128179999999999</v>
      </c>
      <c r="S2183">
        <v>3.0251459999999999</v>
      </c>
      <c r="T2183">
        <v>-0.211095899999999</v>
      </c>
      <c r="U2183">
        <v>-0.15151979999999901</v>
      </c>
      <c r="V2183">
        <v>-9.1952580000000006E-2</v>
      </c>
      <c r="W2183">
        <v>3.1524509999999999E-2</v>
      </c>
      <c r="X2183">
        <v>0.99526419999999904</v>
      </c>
      <c r="Y2183">
        <v>-0.22125610000000001</v>
      </c>
      <c r="Z2183">
        <v>2.6364209999999999E-2</v>
      </c>
      <c r="AA2183">
        <v>0.97485929999999998</v>
      </c>
      <c r="AB2183">
        <v>22</v>
      </c>
      <c r="AC2183">
        <v>15.634799999999901</v>
      </c>
      <c r="AD2183">
        <v>-1.105539542624</v>
      </c>
      <c r="AE2183">
        <v>-0.73629999999999995</v>
      </c>
      <c r="AF2183">
        <v>-3.5095985392082598</v>
      </c>
      <c r="AG2183">
        <v>-1.105539542624</v>
      </c>
      <c r="AH2183">
        <v>15.1738446999306</v>
      </c>
      <c r="AI2183">
        <v>94.060288808727094</v>
      </c>
      <c r="AJ2183">
        <v>103.02308614330499</v>
      </c>
      <c r="AK2183">
        <v>15.613617856356299</v>
      </c>
    </row>
    <row r="2184" spans="1:37" x14ac:dyDescent="0.2">
      <c r="A2184" t="str">
        <f>"20200111160155106"</f>
        <v>20200111160155106</v>
      </c>
      <c r="B2184" t="str">
        <f>"1578729715103912"</f>
        <v>1578729715103912</v>
      </c>
      <c r="C2184" t="s">
        <v>37</v>
      </c>
      <c r="D2184">
        <v>5.3990729999999996</v>
      </c>
      <c r="E2184">
        <v>0.437301</v>
      </c>
      <c r="F2184" t="s">
        <v>57</v>
      </c>
      <c r="G2184">
        <v>-445.29930000000002</v>
      </c>
      <c r="H2184" s="1">
        <v>1.2986429999999899E-6</v>
      </c>
      <c r="I2184">
        <v>214.2637</v>
      </c>
      <c r="J2184">
        <v>-462.6823</v>
      </c>
      <c r="K2184">
        <v>1.1060479999999999</v>
      </c>
      <c r="L2184">
        <v>214.77359999999999</v>
      </c>
      <c r="M2184">
        <v>0.96335099999999996</v>
      </c>
      <c r="N2184">
        <v>0</v>
      </c>
      <c r="O2184">
        <v>-0.26789299999999999</v>
      </c>
      <c r="P2184">
        <v>0.98053289999999904</v>
      </c>
      <c r="Q2184">
        <v>2.6397299999999999E-2</v>
      </c>
      <c r="R2184">
        <v>-0.19457260000000001</v>
      </c>
      <c r="S2184">
        <v>3.0348820000000001</v>
      </c>
      <c r="T2184">
        <v>-0.1884605</v>
      </c>
      <c r="U2184">
        <v>-0.10649110000000001</v>
      </c>
      <c r="V2184">
        <v>-7.5367310000000007E-2</v>
      </c>
      <c r="W2184">
        <v>3.9836660000000003E-2</v>
      </c>
      <c r="X2184">
        <v>0.99635980000000002</v>
      </c>
      <c r="Y2184">
        <v>-0.2330161</v>
      </c>
      <c r="Z2184">
        <v>2.3667589999999999E-2</v>
      </c>
      <c r="AA2184">
        <v>0.97218479999999996</v>
      </c>
      <c r="AB2184">
        <v>22</v>
      </c>
      <c r="AC2184">
        <v>17.3829999999999</v>
      </c>
      <c r="AD2184">
        <v>-1.1060467013569999</v>
      </c>
      <c r="AE2184">
        <v>-0.50989999999998703</v>
      </c>
      <c r="AF2184">
        <v>-4.1491797202595802</v>
      </c>
      <c r="AG2184">
        <v>-1.1060467013569999</v>
      </c>
      <c r="AH2184">
        <v>16.816095914070299</v>
      </c>
      <c r="AI2184">
        <v>93.6538315154652</v>
      </c>
      <c r="AJ2184">
        <v>103.860235746383</v>
      </c>
      <c r="AK2184">
        <v>17.3556939777068</v>
      </c>
    </row>
    <row r="2185" spans="1:37" x14ac:dyDescent="0.2">
      <c r="A2185" t="str">
        <f>"20200111160155133"</f>
        <v>20200111160155133</v>
      </c>
      <c r="B2185" t="str">
        <f>"1578729715123433"</f>
        <v>1578729715123433</v>
      </c>
      <c r="C2185" t="s">
        <v>37</v>
      </c>
      <c r="D2185">
        <v>5.2889339999999896</v>
      </c>
      <c r="E2185">
        <v>0.43384780000000001</v>
      </c>
      <c r="F2185" t="s">
        <v>57</v>
      </c>
      <c r="G2185">
        <v>-440.78719999999998</v>
      </c>
      <c r="H2185" s="1">
        <v>-1.099199E-6</v>
      </c>
      <c r="I2185">
        <v>214.18899999999999</v>
      </c>
      <c r="J2185">
        <v>-462.43509999999998</v>
      </c>
      <c r="K2185">
        <v>1.106301</v>
      </c>
      <c r="L2185">
        <v>214.70760000000001</v>
      </c>
      <c r="M2185">
        <v>0.96398510000000004</v>
      </c>
      <c r="N2185">
        <v>0</v>
      </c>
      <c r="O2185">
        <v>-0.26560240000000002</v>
      </c>
      <c r="P2185">
        <v>0.97895460000000001</v>
      </c>
      <c r="Q2185">
        <v>2.83092E-2</v>
      </c>
      <c r="R2185">
        <v>-0.20210539999999999</v>
      </c>
      <c r="S2185">
        <v>3.0475159999999999</v>
      </c>
      <c r="T2185">
        <v>-0.1539481</v>
      </c>
      <c r="U2185">
        <v>-8.1375119999999995E-2</v>
      </c>
      <c r="V2185">
        <v>-6.5347219999999998E-2</v>
      </c>
      <c r="W2185">
        <v>4.1752900000000003E-2</v>
      </c>
      <c r="X2185">
        <v>0.99698869999999895</v>
      </c>
      <c r="Y2185">
        <v>-0.23916319999999999</v>
      </c>
      <c r="Z2185">
        <v>1.9308789999999999E-2</v>
      </c>
      <c r="AA2185">
        <v>0.97078739999999997</v>
      </c>
      <c r="AB2185">
        <v>22</v>
      </c>
      <c r="AC2185">
        <v>21.6479</v>
      </c>
      <c r="AD2185">
        <v>-1.106302099199</v>
      </c>
      <c r="AE2185">
        <v>-0.51859999999999196</v>
      </c>
      <c r="AF2185">
        <v>-5.2366368673898398</v>
      </c>
      <c r="AG2185">
        <v>-1.106302099199</v>
      </c>
      <c r="AH2185">
        <v>20.953278896748699</v>
      </c>
      <c r="AI2185">
        <v>92.932302082514198</v>
      </c>
      <c r="AJ2185">
        <v>104.03191237933</v>
      </c>
      <c r="AK2185">
        <v>21.626052957961001</v>
      </c>
    </row>
    <row r="2186" spans="1:37" x14ac:dyDescent="0.2">
      <c r="A2186" t="str">
        <f>"20200111160155173"</f>
        <v>20200111160155173</v>
      </c>
      <c r="B2186" t="str">
        <f>"1578729715163448"</f>
        <v>1578729715163448</v>
      </c>
      <c r="C2186" t="s">
        <v>37</v>
      </c>
      <c r="D2186">
        <v>5.2620820000000004</v>
      </c>
      <c r="E2186">
        <v>0.42928249999999901</v>
      </c>
      <c r="F2186" t="s">
        <v>60</v>
      </c>
      <c r="G2186">
        <v>-439.60070000000002</v>
      </c>
      <c r="H2186" s="1">
        <v>6.5169529999999901E-6</v>
      </c>
      <c r="I2186">
        <v>214.13059999999999</v>
      </c>
      <c r="J2186">
        <v>-462.04480000000001</v>
      </c>
      <c r="K2186">
        <v>1.1065449999999999</v>
      </c>
      <c r="L2186">
        <v>214.60570000000001</v>
      </c>
      <c r="M2186">
        <v>0.96520269999999997</v>
      </c>
      <c r="N2186">
        <v>0</v>
      </c>
      <c r="O2186">
        <v>-0.26114280000000001</v>
      </c>
      <c r="P2186">
        <v>0.97542439999999997</v>
      </c>
      <c r="Q2186">
        <v>1.8688299999999901E-2</v>
      </c>
      <c r="R2186">
        <v>-0.219541399999999</v>
      </c>
      <c r="S2186">
        <v>3.052826</v>
      </c>
      <c r="T2186">
        <v>-0.14790490000000001</v>
      </c>
      <c r="U2186">
        <v>-7.7133179999999996E-2</v>
      </c>
      <c r="V2186">
        <v>-4.2968779999999998E-2</v>
      </c>
      <c r="W2186">
        <v>3.2210320000000001E-2</v>
      </c>
      <c r="X2186">
        <v>0.99855699999999903</v>
      </c>
      <c r="Y2186">
        <v>-0.236126</v>
      </c>
      <c r="Z2186">
        <v>1.8237349999999999E-2</v>
      </c>
      <c r="AA2186">
        <v>0.97155130000000001</v>
      </c>
      <c r="AB2186">
        <v>22</v>
      </c>
      <c r="AC2186">
        <v>22.444099999999899</v>
      </c>
      <c r="AD2186">
        <v>-1.106538483047</v>
      </c>
      <c r="AE2186">
        <v>-0.475100000000026</v>
      </c>
      <c r="AF2186">
        <v>-5.3899603012126098</v>
      </c>
      <c r="AG2186">
        <v>-1.106538483047</v>
      </c>
      <c r="AH2186">
        <v>21.7364144630981</v>
      </c>
      <c r="AI2186">
        <v>92.828723526695498</v>
      </c>
      <c r="AJ2186">
        <v>103.92667697189</v>
      </c>
      <c r="AK2186">
        <v>22.422038559745001</v>
      </c>
    </row>
    <row r="2187" spans="1:37" x14ac:dyDescent="0.2">
      <c r="A2187" t="str">
        <f>"20200111160155196"</f>
        <v>20200111160155196</v>
      </c>
      <c r="B2187" t="str">
        <f>"1578729715193705"</f>
        <v>1578729715193705</v>
      </c>
      <c r="C2187" t="s">
        <v>37</v>
      </c>
      <c r="D2187">
        <v>5.466577</v>
      </c>
      <c r="E2187">
        <v>0.41663929999999999</v>
      </c>
      <c r="F2187" t="s">
        <v>57</v>
      </c>
      <c r="G2187">
        <v>-444.23930000000001</v>
      </c>
      <c r="H2187" s="1">
        <v>7.4369609999999895E-7</v>
      </c>
      <c r="I2187">
        <v>214.05439999999999</v>
      </c>
      <c r="J2187">
        <v>-461.81970000000001</v>
      </c>
      <c r="K2187">
        <v>1.1066290000000001</v>
      </c>
      <c r="L2187">
        <v>214.54839999999999</v>
      </c>
      <c r="M2187">
        <v>0.96599969999999902</v>
      </c>
      <c r="N2187">
        <v>0</v>
      </c>
      <c r="O2187">
        <v>-0.25817889999999999</v>
      </c>
      <c r="P2187">
        <v>0.97390089999999996</v>
      </c>
      <c r="Q2187">
        <v>1.136526E-2</v>
      </c>
      <c r="R2187">
        <v>-0.22668949999999999</v>
      </c>
      <c r="S2187">
        <v>3.0578919999999998</v>
      </c>
      <c r="T2187">
        <v>-0.1900356</v>
      </c>
      <c r="U2187">
        <v>-9.4680790000000001E-2</v>
      </c>
      <c r="V2187">
        <v>-3.2578129999999997E-2</v>
      </c>
      <c r="W2187">
        <v>2.4935820000000001E-2</v>
      </c>
      <c r="X2187">
        <v>0.99915810000000005</v>
      </c>
      <c r="Y2187">
        <v>-0.22725589999999901</v>
      </c>
      <c r="Z2187">
        <v>2.292572E-2</v>
      </c>
      <c r="AA2187">
        <v>0.97356520000000002</v>
      </c>
      <c r="AB2187">
        <v>22</v>
      </c>
      <c r="AC2187">
        <v>17.580399999999901</v>
      </c>
      <c r="AD2187">
        <v>-1.1066282563038901</v>
      </c>
      <c r="AE2187">
        <v>-0.493999999999999</v>
      </c>
      <c r="AF2187">
        <v>-4.0460478543424196</v>
      </c>
      <c r="AG2187">
        <v>-1.1066282563038901</v>
      </c>
      <c r="AH2187">
        <v>17.0443308404097</v>
      </c>
      <c r="AI2187">
        <v>93.614627903826204</v>
      </c>
      <c r="AJ2187">
        <v>103.353915460796</v>
      </c>
      <c r="AK2187">
        <v>17.5529012739952</v>
      </c>
    </row>
    <row r="2188" spans="1:37" x14ac:dyDescent="0.2">
      <c r="A2188" t="str">
        <f>"20200111160155220"</f>
        <v>20200111160155220</v>
      </c>
      <c r="B2188" t="str">
        <f>"1578729715214200"</f>
        <v>1578729715214200</v>
      </c>
      <c r="C2188" t="s">
        <v>37</v>
      </c>
      <c r="D2188">
        <v>5.2946589999999896</v>
      </c>
      <c r="E2188">
        <v>0.412296</v>
      </c>
      <c r="F2188" t="s">
        <v>57</v>
      </c>
      <c r="G2188">
        <v>-451.11709999999999</v>
      </c>
      <c r="H2188" s="1">
        <v>-9.3761600000000005E-7</v>
      </c>
      <c r="I2188">
        <v>214.50899999999999</v>
      </c>
      <c r="J2188">
        <v>-461.60039999999998</v>
      </c>
      <c r="K2188">
        <v>1.1066910000000001</v>
      </c>
      <c r="L2188">
        <v>214.49340000000001</v>
      </c>
      <c r="M2188">
        <v>0.96681719999999904</v>
      </c>
      <c r="N2188">
        <v>0</v>
      </c>
      <c r="O2188">
        <v>-0.25509949999999998</v>
      </c>
      <c r="P2188">
        <v>0.97299190000000002</v>
      </c>
      <c r="Q2188">
        <v>5.498569E-3</v>
      </c>
      <c r="R2188">
        <v>-0.2307737</v>
      </c>
      <c r="S2188">
        <v>3.0814819999999998</v>
      </c>
      <c r="T2188">
        <v>-0.31861970000000001</v>
      </c>
      <c r="U2188">
        <v>-1.133728E-2</v>
      </c>
      <c r="V2188">
        <v>-2.519006E-2</v>
      </c>
      <c r="W2188">
        <v>1.9106000000000001E-2</v>
      </c>
      <c r="X2188">
        <v>0.9995001</v>
      </c>
      <c r="Y2188">
        <v>-0.24890090000000001</v>
      </c>
      <c r="Z2188">
        <v>3.891783E-2</v>
      </c>
      <c r="AA2188">
        <v>0.96774669999999896</v>
      </c>
      <c r="AB2188">
        <v>22</v>
      </c>
      <c r="AC2188">
        <v>10.4832999999999</v>
      </c>
      <c r="AD2188">
        <v>-1.106691937616</v>
      </c>
      <c r="AE2188">
        <v>1.5600000000006199E-2</v>
      </c>
      <c r="AF2188">
        <v>-2.6599769433038198</v>
      </c>
      <c r="AG2188">
        <v>-1.106691937616</v>
      </c>
      <c r="AH2188">
        <v>10.020736429880399</v>
      </c>
      <c r="AI2188">
        <v>96.092880698121405</v>
      </c>
      <c r="AJ2188">
        <v>104.866168550751</v>
      </c>
      <c r="AK2188">
        <v>10.426667875252599</v>
      </c>
    </row>
    <row r="2189" spans="1:37" x14ac:dyDescent="0.2">
      <c r="A2189" t="str">
        <f>"20200111160155243"</f>
        <v>20200111160155243</v>
      </c>
      <c r="B2189" t="str">
        <f>"1578729715233720"</f>
        <v>1578729715233720</v>
      </c>
      <c r="C2189" t="s">
        <v>37</v>
      </c>
      <c r="D2189">
        <v>5.2625449999999896</v>
      </c>
      <c r="E2189">
        <v>0.41001689999999902</v>
      </c>
      <c r="F2189" t="s">
        <v>57</v>
      </c>
      <c r="G2189">
        <v>-450.59109999999998</v>
      </c>
      <c r="H2189" s="1">
        <v>-1.2182329999999999E-6</v>
      </c>
      <c r="I2189">
        <v>214.52510000000001</v>
      </c>
      <c r="J2189">
        <v>-461.36849999999998</v>
      </c>
      <c r="K2189">
        <v>1.1067769999999999</v>
      </c>
      <c r="L2189">
        <v>214.43639999999999</v>
      </c>
      <c r="M2189">
        <v>0.9677268</v>
      </c>
      <c r="N2189">
        <v>0</v>
      </c>
      <c r="O2189">
        <v>-0.251627299999999</v>
      </c>
      <c r="P2189">
        <v>0.97273009999999904</v>
      </c>
      <c r="Q2189">
        <v>1.4047160000000001E-3</v>
      </c>
      <c r="R2189">
        <v>-0.23193629999999901</v>
      </c>
      <c r="S2189">
        <v>3.0871279999999999</v>
      </c>
      <c r="T2189">
        <v>-0.31032939999999998</v>
      </c>
      <c r="U2189">
        <v>8.8958739999999998E-3</v>
      </c>
      <c r="V2189">
        <v>-2.0394240000000001E-2</v>
      </c>
      <c r="W2189">
        <v>1.503727E-2</v>
      </c>
      <c r="X2189">
        <v>0.99967890000000004</v>
      </c>
      <c r="Y2189">
        <v>-0.25192129999999902</v>
      </c>
      <c r="Z2189">
        <v>3.7658860000000002E-2</v>
      </c>
      <c r="AA2189">
        <v>0.96701469999999901</v>
      </c>
      <c r="AB2189">
        <v>22</v>
      </c>
      <c r="AC2189">
        <v>10.7774</v>
      </c>
      <c r="AD2189">
        <v>-1.1067782182329999</v>
      </c>
      <c r="AE2189">
        <v>8.8700000000017099E-2</v>
      </c>
      <c r="AF2189">
        <v>-2.7687911532426499</v>
      </c>
      <c r="AG2189">
        <v>-1.1067782182329999</v>
      </c>
      <c r="AH2189">
        <v>10.2996268493592</v>
      </c>
      <c r="AI2189">
        <v>95.924594316847603</v>
      </c>
      <c r="AJ2189">
        <v>105.04677708330399</v>
      </c>
      <c r="AK2189">
        <v>10.7225685220786</v>
      </c>
    </row>
    <row r="2190" spans="1:37" x14ac:dyDescent="0.2">
      <c r="A2190" t="str">
        <f>"20200111160155286"</f>
        <v>20200111160155286</v>
      </c>
      <c r="B2190" t="str">
        <f>"1578729715273737"</f>
        <v>1578729715273737</v>
      </c>
      <c r="C2190" t="s">
        <v>37</v>
      </c>
      <c r="D2190">
        <v>5.2177020000000001</v>
      </c>
      <c r="E2190">
        <v>0.40704079999999998</v>
      </c>
      <c r="F2190" t="s">
        <v>57</v>
      </c>
      <c r="G2190">
        <v>-450.41079999999999</v>
      </c>
      <c r="H2190" s="1">
        <v>-1.313776E-6</v>
      </c>
      <c r="I2190">
        <v>214.5154</v>
      </c>
      <c r="J2190">
        <v>-460.96800000000002</v>
      </c>
      <c r="K2190">
        <v>1.107002</v>
      </c>
      <c r="L2190">
        <v>214.3408</v>
      </c>
      <c r="M2190">
        <v>0.96941129999999998</v>
      </c>
      <c r="N2190">
        <v>0</v>
      </c>
      <c r="O2190">
        <v>-0.24505689999999999</v>
      </c>
      <c r="P2190">
        <v>0.97332629999999998</v>
      </c>
      <c r="Q2190">
        <v>1.701616E-3</v>
      </c>
      <c r="R2190">
        <v>-0.22941990000000001</v>
      </c>
      <c r="S2190">
        <v>3.0898439999999998</v>
      </c>
      <c r="T2190">
        <v>-0.31208740000000001</v>
      </c>
      <c r="U2190">
        <v>2.2293090000000002E-2</v>
      </c>
      <c r="V2190">
        <v>-1.6207760000000002E-2</v>
      </c>
      <c r="W2190">
        <v>1.536101E-2</v>
      </c>
      <c r="X2190">
        <v>0.99975059999999905</v>
      </c>
      <c r="Y2190">
        <v>-0.24956999999999999</v>
      </c>
      <c r="Z2190">
        <v>3.7076459999999999E-2</v>
      </c>
      <c r="AA2190">
        <v>0.96764669999999897</v>
      </c>
      <c r="AB2190">
        <v>22</v>
      </c>
      <c r="AC2190">
        <v>10.5572</v>
      </c>
      <c r="AD2190">
        <v>-1.107003313776</v>
      </c>
      <c r="AE2190">
        <v>0.17459999999999801</v>
      </c>
      <c r="AF2190">
        <v>-2.7266624132136501</v>
      </c>
      <c r="AG2190">
        <v>-1.107003313776</v>
      </c>
      <c r="AH2190">
        <v>10.081626023155099</v>
      </c>
      <c r="AI2190">
        <v>96.050518680748993</v>
      </c>
      <c r="AJ2190">
        <v>105.134062535189</v>
      </c>
      <c r="AK2190">
        <v>10.502348666993599</v>
      </c>
    </row>
    <row r="2191" spans="1:37" x14ac:dyDescent="0.2">
      <c r="A2191" t="str">
        <f>"20200111160155306"</f>
        <v>20200111160155306</v>
      </c>
      <c r="B2191" t="str">
        <f>"1578729715303993"</f>
        <v>1578729715303993</v>
      </c>
      <c r="C2191" t="s">
        <v>37</v>
      </c>
      <c r="D2191">
        <v>5.2687200000000001</v>
      </c>
      <c r="E2191">
        <v>0.40549469999999999</v>
      </c>
      <c r="F2191" t="s">
        <v>57</v>
      </c>
      <c r="G2191">
        <v>-449.00040000000001</v>
      </c>
      <c r="H2191" s="1">
        <v>3.2558949999999899E-6</v>
      </c>
      <c r="I2191">
        <v>214.5446</v>
      </c>
      <c r="J2191">
        <v>-460.77190000000002</v>
      </c>
      <c r="K2191">
        <v>1.1071260000000001</v>
      </c>
      <c r="L2191">
        <v>214.2953</v>
      </c>
      <c r="M2191">
        <v>0.970280699999999</v>
      </c>
      <c r="N2191">
        <v>0</v>
      </c>
      <c r="O2191">
        <v>-0.2415902</v>
      </c>
      <c r="P2191">
        <v>0.97436579999999995</v>
      </c>
      <c r="Q2191">
        <v>3.3733140000000001E-3</v>
      </c>
      <c r="R2191">
        <v>-0.22494449999999999</v>
      </c>
      <c r="S2191">
        <v>3.0951840000000002</v>
      </c>
      <c r="T2191">
        <v>-0.28630299999999997</v>
      </c>
      <c r="U2191">
        <v>5.2719120000000001E-2</v>
      </c>
      <c r="V2191">
        <v>-1.7242239999999999E-2</v>
      </c>
      <c r="W2191">
        <v>1.7029720000000002E-2</v>
      </c>
      <c r="X2191">
        <v>0.99970630000000005</v>
      </c>
      <c r="Y2191">
        <v>-0.25599339999999998</v>
      </c>
      <c r="Z2191">
        <v>3.395691E-2</v>
      </c>
      <c r="AA2191">
        <v>0.96608189999999905</v>
      </c>
      <c r="AB2191">
        <v>22</v>
      </c>
      <c r="AC2191">
        <v>11.7715</v>
      </c>
      <c r="AD2191">
        <v>-1.107122744105</v>
      </c>
      <c r="AE2191">
        <v>0.24930000000000499</v>
      </c>
      <c r="AF2191">
        <v>-3.05901575708643</v>
      </c>
      <c r="AG2191">
        <v>-1.107122744105</v>
      </c>
      <c r="AH2191">
        <v>11.262924881178</v>
      </c>
      <c r="AI2191">
        <v>95.418943044182299</v>
      </c>
      <c r="AJ2191">
        <v>105.195010413514</v>
      </c>
      <c r="AK2191">
        <v>11.7233431687244</v>
      </c>
    </row>
    <row r="2192" spans="1:37" x14ac:dyDescent="0.2">
      <c r="A2192" t="str">
        <f>"20200111160155331"</f>
        <v>20200111160155331</v>
      </c>
      <c r="B2192" t="str">
        <f>"1578729715323512"</f>
        <v>1578729715323512</v>
      </c>
      <c r="C2192" t="s">
        <v>37</v>
      </c>
      <c r="D2192">
        <v>5.2877640000000001</v>
      </c>
      <c r="E2192">
        <v>0.40484379999999998</v>
      </c>
      <c r="F2192" t="s">
        <v>57</v>
      </c>
      <c r="G2192">
        <v>-448.27429999999998</v>
      </c>
      <c r="H2192" s="1">
        <v>2.866491E-6</v>
      </c>
      <c r="I2192">
        <v>214.61369999999999</v>
      </c>
      <c r="J2192">
        <v>-460.5367</v>
      </c>
      <c r="K2192">
        <v>1.107273</v>
      </c>
      <c r="L2192">
        <v>214.2422</v>
      </c>
      <c r="M2192">
        <v>0.97136309999999904</v>
      </c>
      <c r="N2192">
        <v>0</v>
      </c>
      <c r="O2192">
        <v>-0.23720050000000001</v>
      </c>
      <c r="P2192">
        <v>0.97574159999999899</v>
      </c>
      <c r="Q2192">
        <v>4.618647E-3</v>
      </c>
      <c r="R2192">
        <v>-0.2188764</v>
      </c>
      <c r="S2192">
        <v>3.0981139999999998</v>
      </c>
      <c r="T2192">
        <v>-0.27445170000000002</v>
      </c>
      <c r="U2192">
        <v>7.8918459999999996E-2</v>
      </c>
      <c r="V2192">
        <v>-1.8955530000000002E-2</v>
      </c>
      <c r="W2192">
        <v>1.8267869999999999E-2</v>
      </c>
      <c r="X2192">
        <v>0.99965339999999903</v>
      </c>
      <c r="Y2192">
        <v>-0.25994879999999998</v>
      </c>
      <c r="Z2192">
        <v>3.2323730000000002E-2</v>
      </c>
      <c r="AA2192">
        <v>0.96508119999999997</v>
      </c>
      <c r="AB2192">
        <v>22</v>
      </c>
      <c r="AC2192">
        <v>12.2624</v>
      </c>
      <c r="AD2192">
        <v>-1.1072701335090001</v>
      </c>
      <c r="AE2192">
        <v>0.371499999999997</v>
      </c>
      <c r="AF2192">
        <v>-3.24339735063222</v>
      </c>
      <c r="AG2192">
        <v>-1.1072701335090001</v>
      </c>
      <c r="AH2192">
        <v>11.728699255888101</v>
      </c>
      <c r="AI2192">
        <v>95.199130998335704</v>
      </c>
      <c r="AJ2192">
        <v>105.457991438362</v>
      </c>
      <c r="AK2192">
        <v>12.219167719518399</v>
      </c>
    </row>
    <row r="2193" spans="1:37" x14ac:dyDescent="0.2">
      <c r="A2193" t="str">
        <f>"20200111160155375"</f>
        <v>20200111160155375</v>
      </c>
      <c r="B2193" t="str">
        <f>"1578729715364505"</f>
        <v>1578729715364505</v>
      </c>
      <c r="C2193" t="s">
        <v>37</v>
      </c>
      <c r="D2193">
        <v>5.2346820000000003</v>
      </c>
      <c r="E2193">
        <v>0.4041073</v>
      </c>
      <c r="F2193" t="s">
        <v>57</v>
      </c>
      <c r="G2193">
        <v>-447.66329999999999</v>
      </c>
      <c r="H2193" s="1">
        <v>2.5388740000000001E-6</v>
      </c>
      <c r="I2193">
        <v>214.67089999999999</v>
      </c>
      <c r="J2193">
        <v>-460.1191</v>
      </c>
      <c r="K2193">
        <v>1.107505</v>
      </c>
      <c r="L2193">
        <v>214.1514</v>
      </c>
      <c r="M2193">
        <v>0.97339039999999999</v>
      </c>
      <c r="N2193">
        <v>0</v>
      </c>
      <c r="O2193">
        <v>-0.22873779999999899</v>
      </c>
      <c r="P2193">
        <v>0.97880449999999997</v>
      </c>
      <c r="Q2193">
        <v>7.9110819999999998E-3</v>
      </c>
      <c r="R2193">
        <v>-0.20464389999999999</v>
      </c>
      <c r="S2193">
        <v>3.0989990000000001</v>
      </c>
      <c r="T2193">
        <v>-0.26655229999999902</v>
      </c>
      <c r="U2193">
        <v>0.1031952</v>
      </c>
      <c r="V2193">
        <v>-2.484188E-2</v>
      </c>
      <c r="W2193">
        <v>2.1526880000000002E-2</v>
      </c>
      <c r="X2193">
        <v>0.9994596</v>
      </c>
      <c r="Y2193">
        <v>-0.25923950000000001</v>
      </c>
      <c r="Z2193">
        <v>3.0646329999999999E-2</v>
      </c>
      <c r="AA2193">
        <v>0.96532669999999998</v>
      </c>
      <c r="AB2193">
        <v>22</v>
      </c>
      <c r="AC2193">
        <v>12.4558</v>
      </c>
      <c r="AD2193">
        <v>-1.107502461126</v>
      </c>
      <c r="AE2193">
        <v>0.51949999999999297</v>
      </c>
      <c r="AF2193">
        <v>-3.3288361676745999</v>
      </c>
      <c r="AG2193">
        <v>-1.107502461126</v>
      </c>
      <c r="AH2193">
        <v>11.912652853893899</v>
      </c>
      <c r="AI2193">
        <v>95.1165326260721</v>
      </c>
      <c r="AJ2193">
        <v>105.61233055159801</v>
      </c>
      <c r="AK2193">
        <v>12.4184946732688</v>
      </c>
    </row>
    <row r="2194" spans="1:37" x14ac:dyDescent="0.2">
      <c r="A2194" t="str">
        <f>"20200111160155397"</f>
        <v>20200111160155397</v>
      </c>
      <c r="B2194" t="str">
        <f>"1578729715393785"</f>
        <v>1578729715393785</v>
      </c>
      <c r="C2194" t="s">
        <v>37</v>
      </c>
      <c r="D2194">
        <v>5.2617580000000004</v>
      </c>
      <c r="E2194">
        <v>0.40443620000000002</v>
      </c>
      <c r="F2194" t="s">
        <v>57</v>
      </c>
      <c r="G2194">
        <v>-446.42180000000002</v>
      </c>
      <c r="H2194" s="1">
        <v>1.8711349999999899E-6</v>
      </c>
      <c r="I2194">
        <v>214.8323</v>
      </c>
      <c r="J2194">
        <v>-459.9051</v>
      </c>
      <c r="K2194">
        <v>1.1075950000000001</v>
      </c>
      <c r="L2194">
        <v>214.10679999999999</v>
      </c>
      <c r="M2194">
        <v>0.97445899999999996</v>
      </c>
      <c r="N2194">
        <v>0</v>
      </c>
      <c r="O2194">
        <v>-0.2241409</v>
      </c>
      <c r="P2194">
        <v>0.98033300000000001</v>
      </c>
      <c r="Q2194">
        <v>9.9084299999999993E-3</v>
      </c>
      <c r="R2194">
        <v>-0.197102</v>
      </c>
      <c r="S2194">
        <v>3.0992130000000002</v>
      </c>
      <c r="T2194">
        <v>-0.25058789999999997</v>
      </c>
      <c r="U2194">
        <v>0.15405269999999999</v>
      </c>
      <c r="V2194">
        <v>-2.7834390000000001E-2</v>
      </c>
      <c r="W2194">
        <v>2.350621E-2</v>
      </c>
      <c r="X2194">
        <v>0.99933609999999995</v>
      </c>
      <c r="Y2194">
        <v>-0.27066220000000002</v>
      </c>
      <c r="Z2194">
        <v>2.8910269999999998E-2</v>
      </c>
      <c r="AA2194">
        <v>0.96224019999999999</v>
      </c>
      <c r="AB2194">
        <v>22</v>
      </c>
      <c r="AC2194">
        <v>13.4832999999999</v>
      </c>
      <c r="AD2194">
        <v>-1.1075931288650001</v>
      </c>
      <c r="AE2194">
        <v>0.72550000000001003</v>
      </c>
      <c r="AF2194">
        <v>-3.7045584843336101</v>
      </c>
      <c r="AG2194">
        <v>-1.1075931288650001</v>
      </c>
      <c r="AH2194">
        <v>12.890810396999299</v>
      </c>
      <c r="AI2194">
        <v>94.720705926819406</v>
      </c>
      <c r="AJ2194">
        <v>106.033581819513</v>
      </c>
      <c r="AK2194">
        <v>13.4582134324859</v>
      </c>
    </row>
    <row r="2195" spans="1:37" x14ac:dyDescent="0.2">
      <c r="A2195" t="str">
        <f>"20200111160155420"</f>
        <v>20200111160155420</v>
      </c>
      <c r="B2195" t="str">
        <f>"1578729715414280"</f>
        <v>1578729715414280</v>
      </c>
      <c r="C2195" t="s">
        <v>37</v>
      </c>
      <c r="D2195">
        <v>5.2730059999999996</v>
      </c>
      <c r="E2195">
        <v>0.40461269999999999</v>
      </c>
      <c r="F2195" t="s">
        <v>57</v>
      </c>
      <c r="G2195">
        <v>-445.88400000000001</v>
      </c>
      <c r="H2195" s="1">
        <v>1.5819259999999999E-6</v>
      </c>
      <c r="I2195">
        <v>214.9016</v>
      </c>
      <c r="J2195">
        <v>-459.69349999999997</v>
      </c>
      <c r="K2195">
        <v>1.107674</v>
      </c>
      <c r="L2195">
        <v>214.06379999999999</v>
      </c>
      <c r="M2195">
        <v>0.97552700000000003</v>
      </c>
      <c r="N2195">
        <v>0</v>
      </c>
      <c r="O2195">
        <v>-0.21944610000000001</v>
      </c>
      <c r="P2195">
        <v>0.98170259999999998</v>
      </c>
      <c r="Q2195">
        <v>1.162375E-2</v>
      </c>
      <c r="R2195">
        <v>-0.19006629999999899</v>
      </c>
      <c r="S2195">
        <v>3.0979919999999899</v>
      </c>
      <c r="T2195">
        <v>-0.2447252</v>
      </c>
      <c r="U2195">
        <v>0.1756287</v>
      </c>
      <c r="V2195">
        <v>-3.0201849999999999E-2</v>
      </c>
      <c r="W2195">
        <v>2.520706E-2</v>
      </c>
      <c r="X2195">
        <v>0.9992259</v>
      </c>
      <c r="Y2195">
        <v>-0.27281050000000001</v>
      </c>
      <c r="Z2195">
        <v>2.7965960000000002E-2</v>
      </c>
      <c r="AA2195">
        <v>0.96166119999999899</v>
      </c>
      <c r="AB2195">
        <v>22</v>
      </c>
      <c r="AC2195">
        <v>13.8094999999999</v>
      </c>
      <c r="AD2195">
        <v>-1.1076724180740001</v>
      </c>
      <c r="AE2195">
        <v>0.83780000000001498</v>
      </c>
      <c r="AF2195">
        <v>-3.8235939703772801</v>
      </c>
      <c r="AG2195">
        <v>-1.1076724180740001</v>
      </c>
      <c r="AH2195">
        <v>13.204311665029801</v>
      </c>
      <c r="AI2195">
        <v>94.606764366639396</v>
      </c>
      <c r="AJ2195">
        <v>106.149516309123</v>
      </c>
      <c r="AK2195">
        <v>13.791325374426799</v>
      </c>
    </row>
    <row r="2196" spans="1:37" x14ac:dyDescent="0.2">
      <c r="A2196" t="str">
        <f>"20200111160155441"</f>
        <v>20200111160155441</v>
      </c>
      <c r="B2196" t="str">
        <f>"1578729715433800"</f>
        <v>1578729715433800</v>
      </c>
      <c r="C2196" t="s">
        <v>37</v>
      </c>
      <c r="D2196">
        <v>5.6182400000000001</v>
      </c>
      <c r="E2196">
        <v>0.40472520000000001</v>
      </c>
      <c r="F2196" t="s">
        <v>57</v>
      </c>
      <c r="G2196">
        <v>-445.34</v>
      </c>
      <c r="H2196" s="1">
        <v>1.2892380000000001E-6</v>
      </c>
      <c r="I2196">
        <v>214.97470000000001</v>
      </c>
      <c r="J2196">
        <v>-459.48439999999999</v>
      </c>
      <c r="K2196">
        <v>1.107761</v>
      </c>
      <c r="L2196">
        <v>214.02260000000001</v>
      </c>
      <c r="M2196">
        <v>0.97659580000000001</v>
      </c>
      <c r="N2196">
        <v>0</v>
      </c>
      <c r="O2196">
        <v>-0.2146391</v>
      </c>
      <c r="P2196">
        <v>0.98286260000000003</v>
      </c>
      <c r="Q2196">
        <v>1.335852E-2</v>
      </c>
      <c r="R2196">
        <v>-0.18385509999999999</v>
      </c>
      <c r="S2196">
        <v>3.096832</v>
      </c>
      <c r="T2196">
        <v>-0.23898639999999999</v>
      </c>
      <c r="U2196">
        <v>0.19653319999999999</v>
      </c>
      <c r="V2196">
        <v>-3.1612170000000002E-2</v>
      </c>
      <c r="W2196">
        <v>2.6933100000000001E-2</v>
      </c>
      <c r="X2196">
        <v>0.99913730000000001</v>
      </c>
      <c r="Y2196">
        <v>-0.27464099999999902</v>
      </c>
      <c r="Z2196">
        <v>2.7025859999999999E-2</v>
      </c>
      <c r="AA2196">
        <v>0.96116699999999999</v>
      </c>
      <c r="AB2196">
        <v>22</v>
      </c>
      <c r="AC2196">
        <v>14.144399999999999</v>
      </c>
      <c r="AD2196">
        <v>-1.1077597107620001</v>
      </c>
      <c r="AE2196">
        <v>0.95210000000000095</v>
      </c>
      <c r="AF2196">
        <v>-3.9420659754501002</v>
      </c>
      <c r="AG2196">
        <v>-1.1077597107620001</v>
      </c>
      <c r="AH2196">
        <v>13.5277010440242</v>
      </c>
      <c r="AI2196">
        <v>94.495244980139802</v>
      </c>
      <c r="AJ2196">
        <v>106.246489233606</v>
      </c>
      <c r="AK2196">
        <v>14.1338498388827</v>
      </c>
    </row>
    <row r="2197" spans="1:37" x14ac:dyDescent="0.2">
      <c r="A2197" t="str">
        <f>"20200111160155465"</f>
        <v>20200111160155465</v>
      </c>
      <c r="B2197" t="str">
        <f>"1578729715453321"</f>
        <v>1578729715453321</v>
      </c>
      <c r="C2197" t="s">
        <v>37</v>
      </c>
      <c r="D2197">
        <v>5.4215980000000004</v>
      </c>
      <c r="E2197">
        <v>0.40494980000000003</v>
      </c>
      <c r="F2197" t="s">
        <v>57</v>
      </c>
      <c r="G2197">
        <v>-444.78910000000002</v>
      </c>
      <c r="H2197" s="1">
        <v>9.9301829999999996E-7</v>
      </c>
      <c r="I2197">
        <v>215.0446</v>
      </c>
      <c r="J2197">
        <v>-459.26530000000002</v>
      </c>
      <c r="K2197">
        <v>1.1078539999999999</v>
      </c>
      <c r="L2197">
        <v>213.98070000000001</v>
      </c>
      <c r="M2197">
        <v>0.97772870000000001</v>
      </c>
      <c r="N2197">
        <v>0</v>
      </c>
      <c r="O2197">
        <v>-0.20941650000000001</v>
      </c>
      <c r="P2197">
        <v>0.98410309999999901</v>
      </c>
      <c r="Q2197">
        <v>1.371328E-2</v>
      </c>
      <c r="R2197">
        <v>-0.1770668</v>
      </c>
      <c r="S2197">
        <v>3.0957340000000002</v>
      </c>
      <c r="T2197">
        <v>-0.23336209999999999</v>
      </c>
      <c r="U2197">
        <v>0.215316799999999</v>
      </c>
      <c r="V2197">
        <v>-3.3176869999999997E-2</v>
      </c>
      <c r="W2197">
        <v>2.727868E-2</v>
      </c>
      <c r="X2197">
        <v>0.99907710000000005</v>
      </c>
      <c r="Y2197">
        <v>-0.27541070000000001</v>
      </c>
      <c r="Z2197">
        <v>2.6040020000000001E-2</v>
      </c>
      <c r="AA2197">
        <v>0.96097389999999905</v>
      </c>
      <c r="AB2197">
        <v>22</v>
      </c>
      <c r="AC2197">
        <v>14.4762</v>
      </c>
      <c r="AD2197">
        <v>-1.1078530069817001</v>
      </c>
      <c r="AE2197">
        <v>1.0638999999999801</v>
      </c>
      <c r="AF2197">
        <v>-4.0485662858023304</v>
      </c>
      <c r="AG2197">
        <v>-1.1078530069817001</v>
      </c>
      <c r="AH2197">
        <v>13.851641326402699</v>
      </c>
      <c r="AI2197">
        <v>94.3898740242944</v>
      </c>
      <c r="AJ2197">
        <v>106.29261830784399</v>
      </c>
      <c r="AK2197">
        <v>14.473637921784601</v>
      </c>
    </row>
    <row r="2198" spans="1:37" x14ac:dyDescent="0.2">
      <c r="A2198" t="str">
        <f>"20200111160155509"</f>
        <v>20200111160155509</v>
      </c>
      <c r="B2198" t="str">
        <f>"1578729715504072"</f>
        <v>1578729715504072</v>
      </c>
      <c r="C2198" t="s">
        <v>37</v>
      </c>
      <c r="D2198">
        <v>5.2478530000000001</v>
      </c>
      <c r="E2198">
        <v>0.39172319999999999</v>
      </c>
      <c r="F2198" t="s">
        <v>57</v>
      </c>
      <c r="G2198">
        <v>-444.5403</v>
      </c>
      <c r="H2198" s="1">
        <v>8.5822330000000002E-7</v>
      </c>
      <c r="I2198">
        <v>215.0985</v>
      </c>
      <c r="J2198">
        <v>-458.84989999999999</v>
      </c>
      <c r="K2198">
        <v>1.108042</v>
      </c>
      <c r="L2198">
        <v>213.90520000000001</v>
      </c>
      <c r="M2198">
        <v>0.97988980000000003</v>
      </c>
      <c r="N2198">
        <v>0</v>
      </c>
      <c r="O2198">
        <v>-0.1990585</v>
      </c>
      <c r="P2198">
        <v>0.98664789999999902</v>
      </c>
      <c r="Q2198">
        <v>1.4687779999999999E-2</v>
      </c>
      <c r="R2198">
        <v>-0.16220519999999999</v>
      </c>
      <c r="S2198">
        <v>3.0939030000000001</v>
      </c>
      <c r="T2198">
        <v>-0.23277220000000001</v>
      </c>
      <c r="U2198">
        <v>0.23487849999999999</v>
      </c>
      <c r="V2198">
        <v>-3.7691309999999999E-2</v>
      </c>
      <c r="W2198">
        <v>2.8222460000000001E-2</v>
      </c>
      <c r="X2198">
        <v>0.99889079999999997</v>
      </c>
      <c r="Y2198">
        <v>-0.27136869999999902</v>
      </c>
      <c r="Z2198">
        <v>2.5067200000000001E-2</v>
      </c>
      <c r="AA2198">
        <v>0.96214900000000003</v>
      </c>
      <c r="AB2198">
        <v>22</v>
      </c>
      <c r="AC2198">
        <v>14.3095999999999</v>
      </c>
      <c r="AD2198">
        <v>-1.1080411417767</v>
      </c>
      <c r="AE2198">
        <v>1.19329999999999</v>
      </c>
      <c r="AF2198">
        <v>-3.9943506943887801</v>
      </c>
      <c r="AG2198">
        <v>-1.1080411417767</v>
      </c>
      <c r="AH2198">
        <v>13.7040150500201</v>
      </c>
      <c r="AI2198">
        <v>94.4386866943629</v>
      </c>
      <c r="AJ2198">
        <v>106.249979058585</v>
      </c>
      <c r="AK2198">
        <v>14.317214154045899</v>
      </c>
    </row>
    <row r="2199" spans="1:37" x14ac:dyDescent="0.2">
      <c r="A2199" t="str">
        <f>"20200111160155553"</f>
        <v>20200111160155553</v>
      </c>
      <c r="B2199" t="str">
        <f>"1578729715544088"</f>
        <v>1578729715544088</v>
      </c>
      <c r="C2199" t="s">
        <v>37</v>
      </c>
      <c r="D2199">
        <v>5.8589219999999997</v>
      </c>
      <c r="E2199">
        <v>0.39774080000000001</v>
      </c>
      <c r="F2199" t="s">
        <v>72</v>
      </c>
      <c r="G2199">
        <v>-326.50490000000002</v>
      </c>
      <c r="H2199">
        <v>4.0579470000000004</v>
      </c>
      <c r="I2199">
        <v>229.5128</v>
      </c>
      <c r="J2199">
        <v>-458.426999999999</v>
      </c>
      <c r="K2199">
        <v>1.108134</v>
      </c>
      <c r="L2199">
        <v>213.834</v>
      </c>
      <c r="M2199">
        <v>0.98206719999999903</v>
      </c>
      <c r="N2199">
        <v>0</v>
      </c>
      <c r="O2199">
        <v>-0.1880213</v>
      </c>
      <c r="P2199">
        <v>0.98897330000000006</v>
      </c>
      <c r="Q2199">
        <v>1.5247480000000001E-2</v>
      </c>
      <c r="R2199">
        <v>-0.14730860000000001</v>
      </c>
      <c r="S2199">
        <v>3.0997309999999998</v>
      </c>
      <c r="T2199">
        <v>6.9093699999999994E-2</v>
      </c>
      <c r="U2199">
        <v>0.36555479999999901</v>
      </c>
      <c r="V2199">
        <v>-4.1527040000000001E-2</v>
      </c>
      <c r="W2199">
        <v>2.8756299999999999E-2</v>
      </c>
      <c r="X2199">
        <v>0.99872340000000004</v>
      </c>
      <c r="Y2199">
        <v>-0.30165530000000002</v>
      </c>
      <c r="Z2199">
        <v>-7.5192200000000001E-3</v>
      </c>
      <c r="AA2199">
        <v>0.9533874</v>
      </c>
      <c r="AB2199">
        <v>22</v>
      </c>
      <c r="AC2199">
        <v>131.92209999999901</v>
      </c>
      <c r="AD2199">
        <v>2.9498129999999998</v>
      </c>
      <c r="AE2199">
        <v>15.678799999999899</v>
      </c>
      <c r="AF2199">
        <v>-40.185847667508902</v>
      </c>
      <c r="AG2199">
        <v>2.9498129999999998</v>
      </c>
      <c r="AH2199">
        <v>126.558180110934</v>
      </c>
      <c r="AI2199">
        <v>88.727386757625794</v>
      </c>
      <c r="AJ2199">
        <v>107.616134320882</v>
      </c>
      <c r="AK2199">
        <v>132.817832772873</v>
      </c>
    </row>
    <row r="2200" spans="1:37" x14ac:dyDescent="0.2">
      <c r="A2200" t="str">
        <f>"20200111160155575"</f>
        <v>20200111160155575</v>
      </c>
      <c r="B2200" t="str">
        <f>"1578729715563609"</f>
        <v>1578729715563609</v>
      </c>
      <c r="C2200" t="s">
        <v>37</v>
      </c>
      <c r="D2200">
        <v>5.3120919999999998</v>
      </c>
      <c r="E2200">
        <v>0.40117589999999997</v>
      </c>
      <c r="F2200" t="s">
        <v>72</v>
      </c>
      <c r="G2200">
        <v>-327.25569999999999</v>
      </c>
      <c r="H2200">
        <v>1.024179</v>
      </c>
      <c r="I2200">
        <v>229.5138</v>
      </c>
      <c r="J2200">
        <v>-458.22179999999997</v>
      </c>
      <c r="K2200">
        <v>1.108133</v>
      </c>
      <c r="L2200">
        <v>213.8013</v>
      </c>
      <c r="M2200">
        <v>0.98309869999999899</v>
      </c>
      <c r="N2200">
        <v>0</v>
      </c>
      <c r="O2200">
        <v>-0.18254979999999901</v>
      </c>
      <c r="P2200">
        <v>0.99004910000000002</v>
      </c>
      <c r="Q2200">
        <v>1.511241E-2</v>
      </c>
      <c r="R2200">
        <v>-0.1399096</v>
      </c>
      <c r="S2200">
        <v>3.08847</v>
      </c>
      <c r="T2200">
        <v>-1.9748209999999999E-3</v>
      </c>
      <c r="U2200">
        <v>0.36918640000000003</v>
      </c>
      <c r="V2200">
        <v>-4.34335E-2</v>
      </c>
      <c r="W2200">
        <v>2.8608539999999998E-2</v>
      </c>
      <c r="X2200">
        <v>0.99864660000000005</v>
      </c>
      <c r="Y2200">
        <v>-0.29797390000000001</v>
      </c>
      <c r="Z2200">
        <v>2.1107459999999999E-4</v>
      </c>
      <c r="AA2200">
        <v>0.95457400000000003</v>
      </c>
      <c r="AB2200">
        <v>22</v>
      </c>
      <c r="AC2200">
        <v>130.96609999999899</v>
      </c>
      <c r="AD2200">
        <v>-8.3953999999999807E-2</v>
      </c>
      <c r="AE2200">
        <v>15.7125</v>
      </c>
      <c r="AF2200">
        <v>-39.358546511766001</v>
      </c>
      <c r="AG2200">
        <v>-8.3953999999999807E-2</v>
      </c>
      <c r="AH2200">
        <v>125.896357077563</v>
      </c>
      <c r="AI2200">
        <v>90.036467162609696</v>
      </c>
      <c r="AJ2200">
        <v>107.36063122826501</v>
      </c>
      <c r="AK2200">
        <v>131.905249922792</v>
      </c>
    </row>
    <row r="2201" spans="1:37" x14ac:dyDescent="0.2">
      <c r="A2201" t="str">
        <f>"20200111160155597"</f>
        <v>20200111160155597</v>
      </c>
      <c r="B2201" t="str">
        <f>"1578729715593865"</f>
        <v>1578729715593865</v>
      </c>
      <c r="C2201" t="s">
        <v>37</v>
      </c>
      <c r="D2201">
        <v>5.3550379999999898</v>
      </c>
      <c r="E2201">
        <v>0.40399420000000003</v>
      </c>
      <c r="F2201" t="s">
        <v>57</v>
      </c>
      <c r="G2201">
        <v>-383.12299999999999</v>
      </c>
      <c r="H2201">
        <v>8.0000569999999993E-2</v>
      </c>
      <c r="I2201">
        <v>222.7465</v>
      </c>
      <c r="J2201">
        <v>-458.01639999999998</v>
      </c>
      <c r="K2201">
        <v>1.1081209999999999</v>
      </c>
      <c r="L2201">
        <v>213.76990000000001</v>
      </c>
      <c r="M2201">
        <v>0.98410599999999904</v>
      </c>
      <c r="N2201">
        <v>0</v>
      </c>
      <c r="O2201">
        <v>-0.17703859999999999</v>
      </c>
      <c r="P2201">
        <v>0.99104169999999903</v>
      </c>
      <c r="Q2201">
        <v>1.394598E-2</v>
      </c>
      <c r="R2201">
        <v>-0.1328231</v>
      </c>
      <c r="S2201">
        <v>3.082703</v>
      </c>
      <c r="T2201">
        <v>-4.220343E-2</v>
      </c>
      <c r="U2201">
        <v>0.3671875</v>
      </c>
      <c r="V2201">
        <v>-4.4975880000000003E-2</v>
      </c>
      <c r="W2201">
        <v>2.7434070000000001E-2</v>
      </c>
      <c r="X2201">
        <v>0.99861129999999998</v>
      </c>
      <c r="Y2201">
        <v>-0.29217690000000002</v>
      </c>
      <c r="Z2201">
        <v>4.4049470000000002E-3</v>
      </c>
      <c r="AA2201">
        <v>0.95635409999999899</v>
      </c>
      <c r="AB2201">
        <v>22</v>
      </c>
      <c r="AC2201">
        <v>74.8933999999999</v>
      </c>
      <c r="AD2201">
        <v>-1.02812043</v>
      </c>
      <c r="AE2201">
        <v>8.9765999999999906</v>
      </c>
      <c r="AF2201">
        <v>-22.0909736030791</v>
      </c>
      <c r="AG2201">
        <v>-1.02812043</v>
      </c>
      <c r="AH2201">
        <v>72.107392978395694</v>
      </c>
      <c r="AI2201">
        <v>90.781051195324693</v>
      </c>
      <c r="AJ2201">
        <v>107.03308018598599</v>
      </c>
      <c r="AK2201">
        <v>75.422438759903002</v>
      </c>
    </row>
    <row r="2202" spans="1:37" x14ac:dyDescent="0.2">
      <c r="A2202" t="str">
        <f>"20200111160155642"</f>
        <v>20200111160155642</v>
      </c>
      <c r="B2202" t="str">
        <f>"1578729715633880"</f>
        <v>1578729715633880</v>
      </c>
      <c r="C2202" t="s">
        <v>37</v>
      </c>
      <c r="D2202">
        <v>5.4365059999999996</v>
      </c>
      <c r="E2202">
        <v>0.40866399999999897</v>
      </c>
      <c r="F2202" t="s">
        <v>60</v>
      </c>
      <c r="G2202">
        <v>-416.07979999999998</v>
      </c>
      <c r="H2202" s="1">
        <v>2.9186790000000002E-6</v>
      </c>
      <c r="I2202">
        <v>218.79750000000001</v>
      </c>
      <c r="J2202">
        <v>-457.59870000000001</v>
      </c>
      <c r="K2202">
        <v>1.1080649999999901</v>
      </c>
      <c r="L2202">
        <v>213.70939999999999</v>
      </c>
      <c r="M2202">
        <v>0.98605589999999999</v>
      </c>
      <c r="N2202">
        <v>0</v>
      </c>
      <c r="O2202">
        <v>-0.16583499999999901</v>
      </c>
      <c r="P2202">
        <v>0.99284139999999999</v>
      </c>
      <c r="Q2202">
        <v>1.242385E-2</v>
      </c>
      <c r="R2202">
        <v>-0.11879239999999899</v>
      </c>
      <c r="S2202">
        <v>3.0776979999999998</v>
      </c>
      <c r="T2202">
        <v>-8.1324099999999996E-2</v>
      </c>
      <c r="U2202">
        <v>0.36897279999999999</v>
      </c>
      <c r="V2202">
        <v>-4.7731379999999997E-2</v>
      </c>
      <c r="W2202">
        <v>2.5896820000000001E-2</v>
      </c>
      <c r="X2202">
        <v>0.99852439999999998</v>
      </c>
      <c r="Y2202">
        <v>-0.2819025</v>
      </c>
      <c r="Z2202">
        <v>8.0721690000000006E-3</v>
      </c>
      <c r="AA2202">
        <v>0.95940910000000001</v>
      </c>
      <c r="AB2202">
        <v>22</v>
      </c>
      <c r="AC2202">
        <v>41.518900000000002</v>
      </c>
      <c r="AD2202">
        <v>-1.10806208132099</v>
      </c>
      <c r="AE2202">
        <v>5.0881000000000203</v>
      </c>
      <c r="AF2202">
        <v>-11.895236567428601</v>
      </c>
      <c r="AG2202">
        <v>-1.10806208132099</v>
      </c>
      <c r="AH2202">
        <v>40.071912170099999</v>
      </c>
      <c r="AI2202">
        <v>91.518472422881501</v>
      </c>
      <c r="AJ2202">
        <v>106.533376192578</v>
      </c>
      <c r="AK2202">
        <v>41.814860989119197</v>
      </c>
    </row>
    <row r="2203" spans="1:37" x14ac:dyDescent="0.2">
      <c r="A2203" t="str">
        <f>"20200111160155664"</f>
        <v>20200111160155664</v>
      </c>
      <c r="B2203" t="str">
        <f>"1578729715653401"</f>
        <v>1578729715653401</v>
      </c>
      <c r="C2203" t="s">
        <v>37</v>
      </c>
      <c r="D2203">
        <v>6.1648959999999997</v>
      </c>
      <c r="E2203">
        <v>0.4093289</v>
      </c>
      <c r="F2203" t="s">
        <v>60</v>
      </c>
      <c r="G2203">
        <v>-428.27460000000002</v>
      </c>
      <c r="H2203" s="1">
        <v>2.2614719999999999E-6</v>
      </c>
      <c r="I2203">
        <v>217.3083</v>
      </c>
      <c r="J2203">
        <v>-457.38229999999999</v>
      </c>
      <c r="K2203">
        <v>1.108031</v>
      </c>
      <c r="L2203">
        <v>213.68</v>
      </c>
      <c r="M2203">
        <v>0.98700949999999998</v>
      </c>
      <c r="N2203">
        <v>0</v>
      </c>
      <c r="O2203">
        <v>-0.16006049999999999</v>
      </c>
      <c r="P2203">
        <v>0.99359489999999995</v>
      </c>
      <c r="Q2203">
        <v>1.3073599999999999E-2</v>
      </c>
      <c r="R2203">
        <v>-0.11224199999999999</v>
      </c>
      <c r="S2203">
        <v>3.0681759999999998</v>
      </c>
      <c r="T2203">
        <v>-0.1159366</v>
      </c>
      <c r="U2203">
        <v>0.37655640000000001</v>
      </c>
      <c r="V2203">
        <v>-4.847427E-2</v>
      </c>
      <c r="W2203">
        <v>2.6543190000000001E-2</v>
      </c>
      <c r="X2203">
        <v>0.99847169999999896</v>
      </c>
      <c r="Y2203">
        <v>-0.27881929999999999</v>
      </c>
      <c r="Z2203">
        <v>1.1265590000000001E-2</v>
      </c>
      <c r="AA2203">
        <v>0.96027750000000001</v>
      </c>
      <c r="AB2203">
        <v>22</v>
      </c>
      <c r="AC2203">
        <v>29.107699999999902</v>
      </c>
      <c r="AD2203">
        <v>-1.1080287385279901</v>
      </c>
      <c r="AE2203">
        <v>3.6282999999999901</v>
      </c>
      <c r="AF2203">
        <v>-8.2292122224873001</v>
      </c>
      <c r="AG2203">
        <v>-1.1080287385279901</v>
      </c>
      <c r="AH2203">
        <v>28.1114321321167</v>
      </c>
      <c r="AI2203">
        <v>92.166356544601399</v>
      </c>
      <c r="AJ2203">
        <v>106.316623329688</v>
      </c>
      <c r="AK2203">
        <v>29.312118279079399</v>
      </c>
    </row>
    <row r="2204" spans="1:37" x14ac:dyDescent="0.2">
      <c r="A2204" t="str">
        <f>"20200111160155687"</f>
        <v>20200111160155687</v>
      </c>
      <c r="B2204" t="str">
        <f>"1578729715683656"</f>
        <v>1578729715683656</v>
      </c>
      <c r="C2204" t="s">
        <v>37</v>
      </c>
      <c r="D2204">
        <v>5.4536249999999997</v>
      </c>
      <c r="E2204">
        <v>0.41151840000000001</v>
      </c>
      <c r="F2204" t="s">
        <v>60</v>
      </c>
      <c r="G2204">
        <v>-421.0949</v>
      </c>
      <c r="H2204" s="1">
        <v>3.4484989999999999E-6</v>
      </c>
      <c r="I2204">
        <v>218.29820000000001</v>
      </c>
      <c r="J2204">
        <v>-457.17079999999999</v>
      </c>
      <c r="K2204">
        <v>1.1080019999999999</v>
      </c>
      <c r="L2204">
        <v>213.6525</v>
      </c>
      <c r="M2204">
        <v>0.987904</v>
      </c>
      <c r="N2204">
        <v>0</v>
      </c>
      <c r="O2204">
        <v>-0.1544441</v>
      </c>
      <c r="P2204">
        <v>0.99427459999999901</v>
      </c>
      <c r="Q2204">
        <v>1.361133E-2</v>
      </c>
      <c r="R2204">
        <v>-0.105985199999999</v>
      </c>
      <c r="S2204">
        <v>3.0646059999999999</v>
      </c>
      <c r="T2204">
        <v>-9.3577149999999998E-2</v>
      </c>
      <c r="U2204">
        <v>0.39002989999999998</v>
      </c>
      <c r="V2204">
        <v>-4.9082019999999997E-2</v>
      </c>
      <c r="W2204">
        <v>2.7078479999999999E-2</v>
      </c>
      <c r="X2204">
        <v>0.99842759999999997</v>
      </c>
      <c r="Y2204">
        <v>-0.2777599</v>
      </c>
      <c r="Z2204">
        <v>8.9163839999999994E-3</v>
      </c>
      <c r="AA2204">
        <v>0.96060909999999999</v>
      </c>
      <c r="AB2204">
        <v>22</v>
      </c>
      <c r="AC2204">
        <v>36.075899999999898</v>
      </c>
      <c r="AD2204">
        <v>-1.107998551501</v>
      </c>
      <c r="AE2204">
        <v>4.6456999999999997</v>
      </c>
      <c r="AF2204">
        <v>-10.1527739713211</v>
      </c>
      <c r="AG2204">
        <v>-1.107998551501</v>
      </c>
      <c r="AH2204">
        <v>34.8930130774445</v>
      </c>
      <c r="AI2204">
        <v>91.7463909088533</v>
      </c>
      <c r="AJ2204">
        <v>106.223341478148</v>
      </c>
      <c r="AK2204">
        <v>36.356964143415198</v>
      </c>
    </row>
    <row r="2205" spans="1:37" x14ac:dyDescent="0.2">
      <c r="A2205" t="str">
        <f>"20200111160155710"</f>
        <v>20200111160155710</v>
      </c>
      <c r="B2205" t="str">
        <f>"1578729715704152"</f>
        <v>1578729715704152</v>
      </c>
      <c r="C2205" t="s">
        <v>37</v>
      </c>
      <c r="D2205">
        <v>5.4251719999999999</v>
      </c>
      <c r="E2205">
        <v>0.41397</v>
      </c>
      <c r="F2205" t="s">
        <v>60</v>
      </c>
      <c r="G2205">
        <v>-416.70690000000002</v>
      </c>
      <c r="H2205" s="1">
        <v>3.027536E-6</v>
      </c>
      <c r="I2205">
        <v>218.82470000000001</v>
      </c>
      <c r="J2205">
        <v>-456.9511</v>
      </c>
      <c r="K2205">
        <v>1.1079829999999999</v>
      </c>
      <c r="L2205">
        <v>213.6251</v>
      </c>
      <c r="M2205">
        <v>0.98879619999999901</v>
      </c>
      <c r="N2205">
        <v>0</v>
      </c>
      <c r="O2205">
        <v>-0.14862600000000001</v>
      </c>
      <c r="P2205">
        <v>0.99484869999999903</v>
      </c>
      <c r="Q2205">
        <v>1.3921950000000001E-2</v>
      </c>
      <c r="R2205">
        <v>-0.10041169999999899</v>
      </c>
      <c r="S2205">
        <v>3.06012</v>
      </c>
      <c r="T2205">
        <v>-8.3793399999999907E-2</v>
      </c>
      <c r="U2205">
        <v>0.39115909999999998</v>
      </c>
      <c r="V2205">
        <v>-4.879928E-2</v>
      </c>
      <c r="W2205">
        <v>2.739308E-2</v>
      </c>
      <c r="X2205">
        <v>0.99843289999999996</v>
      </c>
      <c r="Y2205">
        <v>-0.27266950000000001</v>
      </c>
      <c r="Z2205">
        <v>7.7685530000000001E-3</v>
      </c>
      <c r="AA2205">
        <v>0.96207640000000005</v>
      </c>
      <c r="AB2205">
        <v>21</v>
      </c>
      <c r="AC2205">
        <v>40.2441999999999</v>
      </c>
      <c r="AD2205">
        <v>-1.107979972464</v>
      </c>
      <c r="AE2205">
        <v>5.1996000000000002</v>
      </c>
      <c r="AF2205">
        <v>-11.1154623202985</v>
      </c>
      <c r="AG2205">
        <v>-1.107979972464</v>
      </c>
      <c r="AH2205">
        <v>38.9951981010054</v>
      </c>
      <c r="AI2205">
        <v>91.565207585838095</v>
      </c>
      <c r="AJ2205">
        <v>105.910039902836</v>
      </c>
      <c r="AK2205">
        <v>40.5636117369991</v>
      </c>
    </row>
    <row r="2206" spans="1:37" x14ac:dyDescent="0.2">
      <c r="A2206" t="str">
        <f>"20200111160155732"</f>
        <v>20200111160155732</v>
      </c>
      <c r="B2206" t="str">
        <f>"1578729715723674"</f>
        <v>1578729715723674</v>
      </c>
      <c r="C2206" t="s">
        <v>37</v>
      </c>
      <c r="D2206">
        <v>5.3798430000000002</v>
      </c>
      <c r="E2206">
        <v>0.4162459</v>
      </c>
      <c r="F2206" t="s">
        <v>60</v>
      </c>
      <c r="G2206">
        <v>-421.26330000000002</v>
      </c>
      <c r="H2206" s="1">
        <v>3.4296900000000001E-6</v>
      </c>
      <c r="I2206">
        <v>218.17169999999999</v>
      </c>
      <c r="J2206">
        <v>-456.74509999999998</v>
      </c>
      <c r="K2206">
        <v>1.1079639999999999</v>
      </c>
      <c r="L2206">
        <v>213.60069999999999</v>
      </c>
      <c r="M2206">
        <v>0.98959830000000004</v>
      </c>
      <c r="N2206">
        <v>0</v>
      </c>
      <c r="O2206">
        <v>-0.14318729999999999</v>
      </c>
      <c r="P2206">
        <v>0.99536250000000004</v>
      </c>
      <c r="Q2206">
        <v>1.38116E-2</v>
      </c>
      <c r="R2206">
        <v>-9.5198939999999996E-2</v>
      </c>
      <c r="S2206">
        <v>3.0561829999999999</v>
      </c>
      <c r="T2206">
        <v>-9.4883560000000006E-2</v>
      </c>
      <c r="U2206">
        <v>0.3893585</v>
      </c>
      <c r="V2206">
        <v>-4.8538520000000002E-2</v>
      </c>
      <c r="W2206">
        <v>2.7286299999999999E-2</v>
      </c>
      <c r="X2206">
        <v>0.99844859999999902</v>
      </c>
      <c r="Y2206">
        <v>-0.26693420000000001</v>
      </c>
      <c r="Z2206">
        <v>8.5515809999999904E-3</v>
      </c>
      <c r="AA2206">
        <v>0.9636768</v>
      </c>
      <c r="AB2206">
        <v>21</v>
      </c>
      <c r="AC2206">
        <v>35.4817999999999</v>
      </c>
      <c r="AD2206">
        <v>-1.1079605703099999</v>
      </c>
      <c r="AE2206">
        <v>4.57099999999999</v>
      </c>
      <c r="AF2206">
        <v>-9.5957181962006395</v>
      </c>
      <c r="AG2206">
        <v>-1.1079605703099999</v>
      </c>
      <c r="AH2206">
        <v>34.428516364857003</v>
      </c>
      <c r="AI2206">
        <v>91.775596695918395</v>
      </c>
      <c r="AJ2206">
        <v>105.573911439195</v>
      </c>
      <c r="AK2206">
        <v>35.757909941878403</v>
      </c>
    </row>
    <row r="2207" spans="1:37" x14ac:dyDescent="0.2">
      <c r="A2207" t="str">
        <f>"20200111160155779"</f>
        <v>20200111160155779</v>
      </c>
      <c r="B2207" t="str">
        <f>"1578729715773449"</f>
        <v>1578729715773449</v>
      </c>
      <c r="C2207" t="s">
        <v>37</v>
      </c>
      <c r="D2207">
        <v>5.9763129999999904</v>
      </c>
      <c r="E2207">
        <v>0.44900230000000002</v>
      </c>
      <c r="F2207" t="s">
        <v>60</v>
      </c>
      <c r="G2207">
        <v>-424.2353</v>
      </c>
      <c r="H2207" s="1">
        <v>2.9410969999999998E-6</v>
      </c>
      <c r="I2207">
        <v>217.7303</v>
      </c>
      <c r="J2207">
        <v>-456.3229</v>
      </c>
      <c r="K2207">
        <v>1.1079299999999901</v>
      </c>
      <c r="L2207">
        <v>213.55430000000001</v>
      </c>
      <c r="M2207">
        <v>0.99114570000000002</v>
      </c>
      <c r="N2207">
        <v>0</v>
      </c>
      <c r="O2207">
        <v>-0.1320527</v>
      </c>
      <c r="P2207">
        <v>0.99627880000000002</v>
      </c>
      <c r="Q2207">
        <v>1.3743099999999999E-2</v>
      </c>
      <c r="R2207">
        <v>-8.5086640000000005E-2</v>
      </c>
      <c r="S2207">
        <v>3.05246</v>
      </c>
      <c r="T2207">
        <v>-0.10403030000000001</v>
      </c>
      <c r="U2207">
        <v>0.38774109999999901</v>
      </c>
      <c r="V2207">
        <v>-4.744831E-2</v>
      </c>
      <c r="W2207">
        <v>2.72272E-2</v>
      </c>
      <c r="X2207">
        <v>0.99850260000000002</v>
      </c>
      <c r="Y2207">
        <v>-0.25569999999999998</v>
      </c>
      <c r="Z2207">
        <v>8.8196860000000002E-3</v>
      </c>
      <c r="AA2207">
        <v>0.96671589999999996</v>
      </c>
      <c r="AB2207">
        <v>21</v>
      </c>
      <c r="AC2207">
        <v>32.087600000000002</v>
      </c>
      <c r="AD2207">
        <v>-1.1079270589029999</v>
      </c>
      <c r="AE2207">
        <v>4.1759999999999797</v>
      </c>
      <c r="AF2207">
        <v>-8.3672748030697299</v>
      </c>
      <c r="AG2207">
        <v>-1.1079270589029999</v>
      </c>
      <c r="AH2207">
        <v>31.218441149534101</v>
      </c>
      <c r="AI2207">
        <v>91.963307275971403</v>
      </c>
      <c r="AJ2207">
        <v>105.003970424923</v>
      </c>
      <c r="AK2207">
        <v>32.339292784550203</v>
      </c>
    </row>
    <row r="2208" spans="1:37" x14ac:dyDescent="0.2">
      <c r="A2208" t="str">
        <f>"20200111160155798"</f>
        <v>20200111160155798</v>
      </c>
      <c r="B2208" t="str">
        <f>"1578729715793945"</f>
        <v>1578729715793945</v>
      </c>
      <c r="C2208" t="s">
        <v>37</v>
      </c>
      <c r="D2208">
        <v>5.6077859999999999</v>
      </c>
      <c r="E2208">
        <v>0.44986399999999999</v>
      </c>
      <c r="F2208" t="s">
        <v>57</v>
      </c>
      <c r="G2208">
        <v>-444.2056</v>
      </c>
      <c r="H2208" s="1">
        <v>7.1842159999999998E-7</v>
      </c>
      <c r="I2208">
        <v>214.2227</v>
      </c>
      <c r="J2208">
        <v>-456.12049999999999</v>
      </c>
      <c r="K2208">
        <v>1.1079139999999901</v>
      </c>
      <c r="L2208">
        <v>213.53370000000001</v>
      </c>
      <c r="M2208">
        <v>0.99184229999999995</v>
      </c>
      <c r="N2208">
        <v>0</v>
      </c>
      <c r="O2208">
        <v>-0.1267144</v>
      </c>
      <c r="P2208">
        <v>0.99665329999999996</v>
      </c>
      <c r="Q2208">
        <v>1.3699289999999999E-2</v>
      </c>
      <c r="R2208">
        <v>-8.0588359999999998E-2</v>
      </c>
      <c r="S2208">
        <v>3.0292659999999998</v>
      </c>
      <c r="T2208">
        <v>-0.27697739999999998</v>
      </c>
      <c r="U2208">
        <v>0.167099</v>
      </c>
      <c r="V2208">
        <v>-4.6577979999999998E-2</v>
      </c>
      <c r="W2208">
        <v>2.7190019999999999E-2</v>
      </c>
      <c r="X2208">
        <v>0.99854449999999995</v>
      </c>
      <c r="Y2208">
        <v>-0.17989269999999999</v>
      </c>
      <c r="Z2208">
        <v>1.9741729999999999E-2</v>
      </c>
      <c r="AA2208">
        <v>0.98348809999999998</v>
      </c>
      <c r="AB2208">
        <v>21</v>
      </c>
      <c r="AC2208">
        <v>11.9148999999999</v>
      </c>
      <c r="AD2208">
        <v>-1.1079132815783901</v>
      </c>
      <c r="AE2208">
        <v>0.68899999999999195</v>
      </c>
      <c r="AF2208">
        <v>-2.1746397257304602</v>
      </c>
      <c r="AG2208">
        <v>-1.1079132815783901</v>
      </c>
      <c r="AH2208">
        <v>11.631291151676599</v>
      </c>
      <c r="AI2208">
        <v>95.349032945265293</v>
      </c>
      <c r="AJ2208">
        <v>100.590018209768</v>
      </c>
      <c r="AK2208">
        <v>11.884589333725099</v>
      </c>
    </row>
    <row r="2209" spans="1:37" x14ac:dyDescent="0.2">
      <c r="A2209" t="str">
        <f>"20200111160155820"</f>
        <v>20200111160155820</v>
      </c>
      <c r="B2209" t="str">
        <f>"1578729715813465"</f>
        <v>1578729715813465</v>
      </c>
      <c r="C2209" t="s">
        <v>37</v>
      </c>
      <c r="D2209">
        <v>5.4156810000000002</v>
      </c>
      <c r="E2209">
        <v>0.45259449999999901</v>
      </c>
      <c r="F2209" t="s">
        <v>57</v>
      </c>
      <c r="G2209">
        <v>-444.27109999999999</v>
      </c>
      <c r="H2209" s="1">
        <v>7.5363180000000002E-7</v>
      </c>
      <c r="I2209">
        <v>214.21520000000001</v>
      </c>
      <c r="J2209">
        <v>-455.91719999999998</v>
      </c>
      <c r="K2209">
        <v>1.1078950000000001</v>
      </c>
      <c r="L2209">
        <v>213.51419999999999</v>
      </c>
      <c r="M2209">
        <v>0.99251350000000005</v>
      </c>
      <c r="N2209">
        <v>0</v>
      </c>
      <c r="O2209">
        <v>-0.121346</v>
      </c>
      <c r="P2209">
        <v>0.99703889999999995</v>
      </c>
      <c r="Q2209">
        <v>1.3667489999999999E-2</v>
      </c>
      <c r="R2209">
        <v>-7.5677649999999999E-2</v>
      </c>
      <c r="S2209">
        <v>3.0280459999999998</v>
      </c>
      <c r="T2209">
        <v>-0.28312129999999902</v>
      </c>
      <c r="U2209">
        <v>0.17414859999999999</v>
      </c>
      <c r="V2209">
        <v>-4.6093299999999997E-2</v>
      </c>
      <c r="W2209">
        <v>2.7161419999999999E-2</v>
      </c>
      <c r="X2209">
        <v>0.99856780000000001</v>
      </c>
      <c r="Y2209">
        <v>-0.17685339999999999</v>
      </c>
      <c r="Z2209">
        <v>1.9544869999999999E-2</v>
      </c>
      <c r="AA2209">
        <v>0.98404309999999995</v>
      </c>
      <c r="AB2209">
        <v>21</v>
      </c>
      <c r="AC2209">
        <v>11.646099999999899</v>
      </c>
      <c r="AD2209">
        <v>-1.10789424636819</v>
      </c>
      <c r="AE2209">
        <v>0.70100000000002105</v>
      </c>
      <c r="AF2209">
        <v>-2.0903137254277602</v>
      </c>
      <c r="AG2209">
        <v>-1.10789424636819</v>
      </c>
      <c r="AH2209">
        <v>11.372404499151701</v>
      </c>
      <c r="AI2209">
        <v>95.473055801573906</v>
      </c>
      <c r="AJ2209">
        <v>100.415044803341</v>
      </c>
      <c r="AK2209">
        <v>11.615869542318899</v>
      </c>
    </row>
    <row r="2210" spans="1:37" x14ac:dyDescent="0.2">
      <c r="A2210" t="str">
        <f>"20200111160155843"</f>
        <v>20200111160155843</v>
      </c>
      <c r="B2210" t="str">
        <f>"1578729715833960"</f>
        <v>1578729715833960</v>
      </c>
      <c r="C2210" t="s">
        <v>37</v>
      </c>
      <c r="D2210">
        <v>5.5972189999999999</v>
      </c>
      <c r="E2210">
        <v>0.45305079999999998</v>
      </c>
      <c r="F2210" t="s">
        <v>60</v>
      </c>
      <c r="G2210">
        <v>-433.45609999999999</v>
      </c>
      <c r="H2210" s="1">
        <v>3.7418649999999998E-6</v>
      </c>
      <c r="I2210">
        <v>214.70529999999999</v>
      </c>
      <c r="J2210">
        <v>-455.702</v>
      </c>
      <c r="K2210">
        <v>1.1078840000000001</v>
      </c>
      <c r="L2210">
        <v>213.49459999999999</v>
      </c>
      <c r="M2210">
        <v>0.99319219999999897</v>
      </c>
      <c r="N2210">
        <v>0</v>
      </c>
      <c r="O2210">
        <v>-0.1156589</v>
      </c>
      <c r="P2210">
        <v>0.99743869999999901</v>
      </c>
      <c r="Q2210">
        <v>1.337056E-2</v>
      </c>
      <c r="R2210">
        <v>-7.0266869999999995E-2</v>
      </c>
      <c r="S2210">
        <v>3.0231319999999999</v>
      </c>
      <c r="T2210">
        <v>-0.1491161</v>
      </c>
      <c r="U2210">
        <v>0.1603241</v>
      </c>
      <c r="V2210">
        <v>-4.5788929999999999E-2</v>
      </c>
      <c r="W2210">
        <v>2.686589E-2</v>
      </c>
      <c r="X2210">
        <v>0.99858979999999997</v>
      </c>
      <c r="Y2210">
        <v>-0.16776659999999999</v>
      </c>
      <c r="Z2210">
        <v>9.8248680000000005E-3</v>
      </c>
      <c r="AA2210">
        <v>0.98577780000000004</v>
      </c>
      <c r="AB2210">
        <v>21</v>
      </c>
      <c r="AC2210">
        <v>22.245899999999999</v>
      </c>
      <c r="AD2210">
        <v>-1.107880258135</v>
      </c>
      <c r="AE2210">
        <v>1.2107000000000001</v>
      </c>
      <c r="AF2210">
        <v>-3.7664432015656701</v>
      </c>
      <c r="AG2210">
        <v>-1.107880258135</v>
      </c>
      <c r="AH2210">
        <v>21.9023753332302</v>
      </c>
      <c r="AI2210">
        <v>92.853885277477005</v>
      </c>
      <c r="AJ2210">
        <v>99.757436644236407</v>
      </c>
      <c r="AK2210">
        <v>22.251461486713101</v>
      </c>
    </row>
    <row r="2211" spans="1:37" x14ac:dyDescent="0.2">
      <c r="A2211" t="str">
        <f>"20200111160155865"</f>
        <v>20200111160155865</v>
      </c>
      <c r="B2211" t="str">
        <f>"1578729715853481"</f>
        <v>1578729715853481</v>
      </c>
      <c r="C2211" t="s">
        <v>37</v>
      </c>
      <c r="D2211">
        <v>5.7632979999999998</v>
      </c>
      <c r="E2211">
        <v>0.4540825</v>
      </c>
      <c r="F2211" t="s">
        <v>57</v>
      </c>
      <c r="G2211">
        <v>-444.03930000000003</v>
      </c>
      <c r="H2211" s="1">
        <v>6.3149540000000005E-7</v>
      </c>
      <c r="I2211">
        <v>214.1875</v>
      </c>
      <c r="J2211">
        <v>-455.50049999999999</v>
      </c>
      <c r="K2211">
        <v>1.1078669999999999</v>
      </c>
      <c r="L2211">
        <v>213.47749999999999</v>
      </c>
      <c r="M2211">
        <v>0.99379839999999997</v>
      </c>
      <c r="N2211">
        <v>0</v>
      </c>
      <c r="O2211">
        <v>-0.110330199999999</v>
      </c>
      <c r="P2211">
        <v>0.99779119999999999</v>
      </c>
      <c r="Q2211">
        <v>1.2206689999999999E-2</v>
      </c>
      <c r="R2211">
        <v>-6.5299330000000003E-2</v>
      </c>
      <c r="S2211">
        <v>3.0242</v>
      </c>
      <c r="T2211">
        <v>-0.28728219999999999</v>
      </c>
      <c r="U2211">
        <v>0.1796722</v>
      </c>
      <c r="V2211">
        <v>-4.5397E-2</v>
      </c>
      <c r="W2211">
        <v>2.570472E-2</v>
      </c>
      <c r="X2211">
        <v>0.99863829999999998</v>
      </c>
      <c r="Y2211">
        <v>-0.16784289999999999</v>
      </c>
      <c r="Z2211">
        <v>1.8388789999999999E-2</v>
      </c>
      <c r="AA2211">
        <v>0.98564229999999997</v>
      </c>
      <c r="AB2211">
        <v>21</v>
      </c>
      <c r="AC2211">
        <v>11.4611999999999</v>
      </c>
      <c r="AD2211">
        <v>-1.1078663685046</v>
      </c>
      <c r="AE2211">
        <v>0.71000000000000696</v>
      </c>
      <c r="AF2211">
        <v>-1.95213226999012</v>
      </c>
      <c r="AG2211">
        <v>-1.1078663685046</v>
      </c>
      <c r="AH2211">
        <v>11.2085459101461</v>
      </c>
      <c r="AI2211">
        <v>95.561664870732002</v>
      </c>
      <c r="AJ2211">
        <v>99.879798099186203</v>
      </c>
      <c r="AK2211">
        <v>11.4310843628176</v>
      </c>
    </row>
    <row r="2212" spans="1:37" x14ac:dyDescent="0.2">
      <c r="A2212" t="str">
        <f>"20200111160155910"</f>
        <v>20200111160155910</v>
      </c>
      <c r="B2212" t="str">
        <f>"1578729715904233"</f>
        <v>1578729715904233</v>
      </c>
      <c r="C2212" t="s">
        <v>37</v>
      </c>
      <c r="D2212">
        <v>5.5934879999999998</v>
      </c>
      <c r="E2212">
        <v>0.45493689999999998</v>
      </c>
      <c r="F2212" t="s">
        <v>57</v>
      </c>
      <c r="G2212">
        <v>-443.81659999999999</v>
      </c>
      <c r="H2212" s="1">
        <v>5.1248930000000001E-7</v>
      </c>
      <c r="I2212">
        <v>214.1987</v>
      </c>
      <c r="J2212">
        <v>-455.08240000000001</v>
      </c>
      <c r="K2212">
        <v>1.1078399999999999</v>
      </c>
      <c r="L2212">
        <v>213.4453</v>
      </c>
      <c r="M2212">
        <v>0.99496509999999905</v>
      </c>
      <c r="N2212">
        <v>0</v>
      </c>
      <c r="O2212">
        <v>-9.9259120000000006E-2</v>
      </c>
      <c r="P2212">
        <v>0.99840969999999996</v>
      </c>
      <c r="Q2212">
        <v>9.2258419999999997E-3</v>
      </c>
      <c r="R2212">
        <v>-5.561663E-2</v>
      </c>
      <c r="S2212">
        <v>3.0223689999999999</v>
      </c>
      <c r="T2212">
        <v>-0.28658109999999998</v>
      </c>
      <c r="U2212">
        <v>0.186554</v>
      </c>
      <c r="V2212">
        <v>-4.3945360000000003E-2</v>
      </c>
      <c r="W2212">
        <v>2.2732990000000002E-2</v>
      </c>
      <c r="X2212">
        <v>0.99877519999999997</v>
      </c>
      <c r="Y2212">
        <v>-0.15922720000000001</v>
      </c>
      <c r="Z2212">
        <v>1.690322E-2</v>
      </c>
      <c r="AA2212">
        <v>0.98709729999999996</v>
      </c>
      <c r="AB2212">
        <v>21</v>
      </c>
      <c r="AC2212">
        <v>11.2658</v>
      </c>
      <c r="AD2212">
        <v>-1.1078394875106901</v>
      </c>
      <c r="AE2212">
        <v>0.75339999999999896</v>
      </c>
      <c r="AF2212">
        <v>-1.8502075345768401</v>
      </c>
      <c r="AG2212">
        <v>-1.1078394875106901</v>
      </c>
      <c r="AH2212">
        <v>11.0291873224902</v>
      </c>
      <c r="AI2212">
        <v>95.657373010397393</v>
      </c>
      <c r="AJ2212">
        <v>99.523014468630194</v>
      </c>
      <c r="AK2212">
        <v>11.238040276029899</v>
      </c>
    </row>
    <row r="2213" spans="1:37" x14ac:dyDescent="0.2">
      <c r="A2213" t="str">
        <f>"20200111160155932"</f>
        <v>20200111160155932</v>
      </c>
      <c r="B2213" t="str">
        <f>"1578729715923752"</f>
        <v>1578729715923752</v>
      </c>
      <c r="C2213" t="s">
        <v>37</v>
      </c>
      <c r="D2213">
        <v>5.6028099999999998</v>
      </c>
      <c r="E2213">
        <v>0.45555950000000001</v>
      </c>
      <c r="F2213" t="s">
        <v>57</v>
      </c>
      <c r="G2213">
        <v>-443.53590000000003</v>
      </c>
      <c r="H2213" s="1">
        <v>3.6090779999999998E-7</v>
      </c>
      <c r="I2213">
        <v>214.24870000000001</v>
      </c>
      <c r="J2213">
        <v>-454.86900000000003</v>
      </c>
      <c r="K2213">
        <v>1.1078269999999999</v>
      </c>
      <c r="L2213">
        <v>213.4308</v>
      </c>
      <c r="M2213">
        <v>0.99551319999999999</v>
      </c>
      <c r="N2213">
        <v>0</v>
      </c>
      <c r="O2213">
        <v>-9.3604400000000004E-2</v>
      </c>
      <c r="P2213">
        <v>0.99866109999999897</v>
      </c>
      <c r="Q2213">
        <v>8.9560579999999994E-3</v>
      </c>
      <c r="R2213">
        <v>-5.0953930000000001E-2</v>
      </c>
      <c r="S2213">
        <v>3.0191349999999999</v>
      </c>
      <c r="T2213">
        <v>-0.28967369999999998</v>
      </c>
      <c r="U2213">
        <v>0.2100677</v>
      </c>
      <c r="V2213">
        <v>-4.2932129999999999E-2</v>
      </c>
      <c r="W2213">
        <v>2.2469840000000001E-2</v>
      </c>
      <c r="X2213">
        <v>0.99882530000000003</v>
      </c>
      <c r="Y2213">
        <v>-0.16132769999999999</v>
      </c>
      <c r="Z2213">
        <v>1.666028E-2</v>
      </c>
      <c r="AA2213">
        <v>0.98676030000000003</v>
      </c>
      <c r="AB2213">
        <v>21</v>
      </c>
      <c r="AC2213">
        <v>11.3331</v>
      </c>
      <c r="AD2213">
        <v>-1.1078266390922</v>
      </c>
      <c r="AE2213">
        <v>0.81790000000000795</v>
      </c>
      <c r="AF2213">
        <v>-1.85758016583551</v>
      </c>
      <c r="AG2213">
        <v>-1.1078266390922</v>
      </c>
      <c r="AH2213">
        <v>11.101239245473099</v>
      </c>
      <c r="AI2213">
        <v>95.621211837520704</v>
      </c>
      <c r="AJ2213">
        <v>99.499346448076395</v>
      </c>
      <c r="AK2213">
        <v>11.309968908888299</v>
      </c>
    </row>
    <row r="2214" spans="1:37" x14ac:dyDescent="0.2">
      <c r="A2214" t="str">
        <f>"20200111160155955"</f>
        <v>20200111160155955</v>
      </c>
      <c r="B2214" t="str">
        <f>"1578729715944249"</f>
        <v>1578729715944249</v>
      </c>
      <c r="C2214" t="s">
        <v>37</v>
      </c>
      <c r="D2214">
        <v>5.73055</v>
      </c>
      <c r="E2214">
        <v>0.45630789999999999</v>
      </c>
      <c r="F2214" t="s">
        <v>57</v>
      </c>
      <c r="G2214">
        <v>-443.2713</v>
      </c>
      <c r="H2214" s="1">
        <v>2.1893629999999899E-7</v>
      </c>
      <c r="I2214">
        <v>214.27549999999999</v>
      </c>
      <c r="J2214">
        <v>-454.65879999999999</v>
      </c>
      <c r="K2214">
        <v>1.107823</v>
      </c>
      <c r="L2214">
        <v>213.4177</v>
      </c>
      <c r="M2214">
        <v>0.99602159999999995</v>
      </c>
      <c r="N2214">
        <v>0</v>
      </c>
      <c r="O2214">
        <v>-8.802931E-2</v>
      </c>
      <c r="P2214">
        <v>0.99890000000000001</v>
      </c>
      <c r="Q2214">
        <v>8.7117849999999997E-3</v>
      </c>
      <c r="R2214">
        <v>-4.6080400000000001E-2</v>
      </c>
      <c r="S2214">
        <v>3.017792</v>
      </c>
      <c r="T2214">
        <v>-0.28826209999999902</v>
      </c>
      <c r="U2214">
        <v>0.2197723</v>
      </c>
      <c r="V2214">
        <v>-4.2211730000000003E-2</v>
      </c>
      <c r="W2214">
        <v>2.2229570000000001E-2</v>
      </c>
      <c r="X2214">
        <v>0.99886140000000001</v>
      </c>
      <c r="Y2214">
        <v>-0.1590367</v>
      </c>
      <c r="Z2214">
        <v>1.594632E-2</v>
      </c>
      <c r="AA2214">
        <v>0.98714389999999996</v>
      </c>
      <c r="AB2214">
        <v>21</v>
      </c>
      <c r="AC2214">
        <v>11.3874999999999</v>
      </c>
      <c r="AD2214">
        <v>-1.1078227810637</v>
      </c>
      <c r="AE2214">
        <v>0.85779999999999701</v>
      </c>
      <c r="AF2214">
        <v>-1.83968628750466</v>
      </c>
      <c r="AG2214">
        <v>-1.1078227810637</v>
      </c>
      <c r="AH2214">
        <v>11.162715078526199</v>
      </c>
      <c r="AI2214">
        <v>95.592698599225599</v>
      </c>
      <c r="AJ2214">
        <v>99.358583294051897</v>
      </c>
      <c r="AK2214">
        <v>11.367406250989401</v>
      </c>
    </row>
    <row r="2215" spans="1:37" x14ac:dyDescent="0.2">
      <c r="A2215" t="str">
        <f>"20200111160155977"</f>
        <v>20200111160155977</v>
      </c>
      <c r="B2215" t="str">
        <f>"1578729715973529"</f>
        <v>1578729715973529</v>
      </c>
      <c r="C2215" t="s">
        <v>37</v>
      </c>
      <c r="D2215">
        <v>5.6208220000000004</v>
      </c>
      <c r="E2215">
        <v>0.45716599999999902</v>
      </c>
      <c r="F2215" t="s">
        <v>57</v>
      </c>
      <c r="G2215">
        <v>-442.97120000000001</v>
      </c>
      <c r="H2215" s="1">
        <v>5.7958189999999897E-8</v>
      </c>
      <c r="I2215">
        <v>214.30420000000001</v>
      </c>
      <c r="J2215">
        <v>-454.45850000000002</v>
      </c>
      <c r="K2215">
        <v>1.1078250000000001</v>
      </c>
      <c r="L2215">
        <v>213.40629999999999</v>
      </c>
      <c r="M2215">
        <v>0.99647680000000005</v>
      </c>
      <c r="N2215">
        <v>0</v>
      </c>
      <c r="O2215">
        <v>-8.2718260000000002E-2</v>
      </c>
      <c r="P2215">
        <v>0.99911419999999995</v>
      </c>
      <c r="Q2215">
        <v>9.1317989999999995E-3</v>
      </c>
      <c r="R2215">
        <v>-4.1081189999999997E-2</v>
      </c>
      <c r="S2215">
        <v>3.016327</v>
      </c>
      <c r="T2215">
        <v>-0.2859061</v>
      </c>
      <c r="U2215">
        <v>0.22877500000000001</v>
      </c>
      <c r="V2215">
        <v>-4.1886979999999997E-2</v>
      </c>
      <c r="W2215">
        <v>2.2650509999999999E-2</v>
      </c>
      <c r="X2215">
        <v>0.99886549999999996</v>
      </c>
      <c r="Y2215">
        <v>-0.15679000000000001</v>
      </c>
      <c r="Z2215">
        <v>1.5215599999999999E-2</v>
      </c>
      <c r="AA2215">
        <v>0.98751469999999897</v>
      </c>
      <c r="AB2215">
        <v>21</v>
      </c>
      <c r="AC2215">
        <v>11.487299999999999</v>
      </c>
      <c r="AD2215">
        <v>-1.10782494204181</v>
      </c>
      <c r="AE2215">
        <v>0.89790000000002101</v>
      </c>
      <c r="AF2215">
        <v>-1.82822269612123</v>
      </c>
      <c r="AG2215">
        <v>-1.10782494204181</v>
      </c>
      <c r="AH2215">
        <v>11.269470061885899</v>
      </c>
      <c r="AI2215">
        <v>95.542322468164798</v>
      </c>
      <c r="AJ2215">
        <v>99.214697653687097</v>
      </c>
      <c r="AK2215">
        <v>11.4704241335953</v>
      </c>
    </row>
    <row r="2216" spans="1:37" x14ac:dyDescent="0.2">
      <c r="A2216" t="str">
        <f>"20200111160155999"</f>
        <v>20200111160155999</v>
      </c>
      <c r="B2216" t="str">
        <f>"1578729715994024"</f>
        <v>1578729715994024</v>
      </c>
      <c r="C2216" t="s">
        <v>37</v>
      </c>
      <c r="D2216">
        <v>5.6616019999999896</v>
      </c>
      <c r="E2216">
        <v>0.45790360000000002</v>
      </c>
      <c r="F2216" t="s">
        <v>57</v>
      </c>
      <c r="G2216">
        <v>-442.74470000000002</v>
      </c>
      <c r="H2216" s="1">
        <v>-6.3586800000000001E-8</v>
      </c>
      <c r="I2216">
        <v>214.32730000000001</v>
      </c>
      <c r="J2216">
        <v>-454.2407</v>
      </c>
      <c r="K2216">
        <v>1.1078209999999999</v>
      </c>
      <c r="L2216">
        <v>213.39510000000001</v>
      </c>
      <c r="M2216">
        <v>0.99693920000000003</v>
      </c>
      <c r="N2216">
        <v>0</v>
      </c>
      <c r="O2216">
        <v>-7.6943639999999994E-2</v>
      </c>
      <c r="P2216">
        <v>0.99930269999999999</v>
      </c>
      <c r="Q2216">
        <v>9.1962439999999993E-3</v>
      </c>
      <c r="R2216">
        <v>-3.6184939999999999E-2</v>
      </c>
      <c r="S2216">
        <v>3.0150450000000002</v>
      </c>
      <c r="T2216">
        <v>-0.28514489999999998</v>
      </c>
      <c r="U2216">
        <v>0.23706050000000001</v>
      </c>
      <c r="V2216">
        <v>-4.0994320000000001E-2</v>
      </c>
      <c r="W2216">
        <v>2.2720110000000002E-2</v>
      </c>
      <c r="X2216">
        <v>0.99890100000000004</v>
      </c>
      <c r="Y2216">
        <v>-0.15384129999999999</v>
      </c>
      <c r="Z2216">
        <v>1.449772E-2</v>
      </c>
      <c r="AA2216">
        <v>0.98798920000000001</v>
      </c>
      <c r="AB2216">
        <v>21</v>
      </c>
      <c r="AC2216">
        <v>11.495999999999899</v>
      </c>
      <c r="AD2216">
        <v>-1.1078210635868</v>
      </c>
      <c r="AE2216">
        <v>0.93219999999999403</v>
      </c>
      <c r="AF2216">
        <v>-1.79748185162767</v>
      </c>
      <c r="AG2216">
        <v>-1.1078210635868</v>
      </c>
      <c r="AH2216">
        <v>11.2860573701996</v>
      </c>
      <c r="AI2216">
        <v>95.536761635075806</v>
      </c>
      <c r="AJ2216">
        <v>99.049250223905602</v>
      </c>
      <c r="AK2216">
        <v>11.4818682921941</v>
      </c>
    </row>
    <row r="2217" spans="1:37" x14ac:dyDescent="0.2">
      <c r="A2217" t="str">
        <f>"20200111160156043"</f>
        <v>20200111160156043</v>
      </c>
      <c r="B2217" t="str">
        <f>"1578729716034040"</f>
        <v>1578729716034040</v>
      </c>
      <c r="C2217" t="s">
        <v>37</v>
      </c>
      <c r="D2217">
        <v>5.3906559999999999</v>
      </c>
      <c r="E2217">
        <v>0.40036569999999999</v>
      </c>
      <c r="F2217" t="s">
        <v>57</v>
      </c>
      <c r="G2217">
        <v>-442.49979999999999</v>
      </c>
      <c r="H2217" s="1">
        <v>-1.9510239999999999E-7</v>
      </c>
      <c r="I2217">
        <v>214.35499999999999</v>
      </c>
      <c r="J2217">
        <v>-453.84089999999998</v>
      </c>
      <c r="K2217">
        <v>1.1077999999999999</v>
      </c>
      <c r="L2217">
        <v>213.37780000000001</v>
      </c>
      <c r="M2217">
        <v>0.99769889999999894</v>
      </c>
      <c r="N2217">
        <v>0</v>
      </c>
      <c r="O2217">
        <v>-6.637303E-2</v>
      </c>
      <c r="P2217">
        <v>0.99956909999999899</v>
      </c>
      <c r="Q2217">
        <v>1.0531550000000001E-2</v>
      </c>
      <c r="R2217">
        <v>-2.740186E-2</v>
      </c>
      <c r="S2217">
        <v>3.0136409999999998</v>
      </c>
      <c r="T2217">
        <v>-0.28435519999999997</v>
      </c>
      <c r="U2217">
        <v>0.2463989</v>
      </c>
      <c r="V2217">
        <v>-3.9192079999999997E-2</v>
      </c>
      <c r="W2217">
        <v>2.406633E-2</v>
      </c>
      <c r="X2217">
        <v>0.99894179999999999</v>
      </c>
      <c r="Y2217">
        <v>-0.14652779999999899</v>
      </c>
      <c r="Z2217">
        <v>1.312601E-2</v>
      </c>
      <c r="AA2217">
        <v>0.98911949999999904</v>
      </c>
      <c r="AB2217">
        <v>21</v>
      </c>
      <c r="AC2217">
        <v>11.3410999999999</v>
      </c>
      <c r="AD2217">
        <v>-1.1078001951023999</v>
      </c>
      <c r="AE2217">
        <v>0.97719999999998197</v>
      </c>
      <c r="AF2217">
        <v>-1.71164882385391</v>
      </c>
      <c r="AG2217">
        <v>-1.1078001951023999</v>
      </c>
      <c r="AH2217">
        <v>11.145659200244999</v>
      </c>
      <c r="AI2217">
        <v>95.610805260415603</v>
      </c>
      <c r="AJ2217">
        <v>98.730754931494502</v>
      </c>
      <c r="AK2217">
        <v>11.330608190934599</v>
      </c>
    </row>
    <row r="2218" spans="1:37" x14ac:dyDescent="0.2">
      <c r="A2218" t="str">
        <f>"20200111160156401"</f>
        <v>20200111160156401</v>
      </c>
      <c r="B2218" t="str">
        <f>"1578729716393891"</f>
        <v>1578729716393891</v>
      </c>
      <c r="C2218" t="s">
        <v>37</v>
      </c>
      <c r="D2218">
        <v>8.8867499999999993</v>
      </c>
      <c r="E2218">
        <v>0.56475419999999998</v>
      </c>
      <c r="F2218" t="s">
        <v>73</v>
      </c>
      <c r="G2218">
        <v>-371.64409999999998</v>
      </c>
      <c r="H2218">
        <v>3.3705579999999999</v>
      </c>
      <c r="I2218">
        <v>232.7122</v>
      </c>
      <c r="J2218">
        <v>-450.54770000000002</v>
      </c>
      <c r="K2218">
        <v>1.1045929999999999</v>
      </c>
      <c r="L2218">
        <v>213.3357</v>
      </c>
      <c r="M2218">
        <v>0.99983259999999996</v>
      </c>
      <c r="N2218">
        <v>0</v>
      </c>
      <c r="O2218">
        <v>-1.224883E-2</v>
      </c>
      <c r="P2218">
        <v>0.99929619999999997</v>
      </c>
      <c r="Q2218">
        <v>5.151208E-3</v>
      </c>
      <c r="R2218">
        <v>3.7155769999999998E-2</v>
      </c>
      <c r="S2218">
        <v>3.0198969999999998</v>
      </c>
      <c r="T2218">
        <v>8.3135959999999995E-2</v>
      </c>
      <c r="U2218">
        <v>0.71034240000000004</v>
      </c>
      <c r="V2218">
        <v>-4.9391869999999997E-2</v>
      </c>
      <c r="W2218">
        <v>1.8741290000000001E-2</v>
      </c>
      <c r="X2218">
        <v>0.99860360000000004</v>
      </c>
      <c r="Y2218">
        <v>-0.24078809999999901</v>
      </c>
      <c r="Z2218">
        <v>-3.6019070000000001E-3</v>
      </c>
      <c r="AA2218">
        <v>0.97057099999999996</v>
      </c>
      <c r="AB2218">
        <v>21</v>
      </c>
      <c r="AC2218">
        <v>78.903599999999997</v>
      </c>
      <c r="AD2218">
        <v>2.265965</v>
      </c>
      <c r="AE2218">
        <v>19.3765</v>
      </c>
      <c r="AF2218">
        <v>-20.3258022679512</v>
      </c>
      <c r="AG2218">
        <v>2.265965</v>
      </c>
      <c r="AH2218">
        <v>78.599181812840996</v>
      </c>
      <c r="AI2218">
        <v>88.401220996346794</v>
      </c>
      <c r="AJ2218">
        <v>104.499092442303</v>
      </c>
      <c r="AK2218">
        <v>81.216403619374205</v>
      </c>
    </row>
    <row r="2219" spans="1:37" x14ac:dyDescent="0.2">
      <c r="A2219" t="str">
        <f>"20200111160156470"</f>
        <v>20200111160156470</v>
      </c>
      <c r="B2219" t="str">
        <f>"1578729716464162"</f>
        <v>1578729716464162</v>
      </c>
      <c r="C2219" t="s">
        <v>37</v>
      </c>
      <c r="D2219">
        <v>5.4902860000000002</v>
      </c>
      <c r="E2219">
        <v>0.56469429999999998</v>
      </c>
      <c r="F2219" t="s">
        <v>42</v>
      </c>
      <c r="G2219">
        <v>-449.77879999999999</v>
      </c>
      <c r="H2219">
        <v>0.99320520000000001</v>
      </c>
      <c r="I2219">
        <v>213.23650000000001</v>
      </c>
      <c r="J2219">
        <v>-449.9194</v>
      </c>
      <c r="K2219">
        <v>1.104106</v>
      </c>
      <c r="L2219">
        <v>213.32820000000001</v>
      </c>
      <c r="M2219">
        <v>0.99982760000000004</v>
      </c>
      <c r="N2219">
        <v>0</v>
      </c>
      <c r="O2219">
        <v>-1.268765E-2</v>
      </c>
      <c r="P2219">
        <v>0.99910200000000005</v>
      </c>
      <c r="Q2219">
        <v>7.5478539999999997E-3</v>
      </c>
      <c r="R2219">
        <v>4.1696450000000003E-2</v>
      </c>
      <c r="S2219">
        <v>3.0188290000000002</v>
      </c>
      <c r="T2219">
        <v>-0.4374285</v>
      </c>
      <c r="U2219">
        <v>-0.38772579999999901</v>
      </c>
      <c r="V2219">
        <v>-5.4342219999999997E-2</v>
      </c>
      <c r="W2219">
        <v>2.1170769999999998E-2</v>
      </c>
      <c r="X2219">
        <v>0.99829789999999996</v>
      </c>
      <c r="Y2219">
        <v>0.1137557</v>
      </c>
      <c r="Z2219">
        <v>-6.3444829999999997E-3</v>
      </c>
      <c r="AA2219">
        <v>0.9934885</v>
      </c>
      <c r="AB2219">
        <v>20</v>
      </c>
      <c r="AC2219">
        <v>0.140600000000006</v>
      </c>
      <c r="AD2219">
        <v>-0.11090079999999999</v>
      </c>
      <c r="AE2219">
        <v>-9.1700000000003001E-2</v>
      </c>
      <c r="AF2219">
        <v>6.2589223086067805E-2</v>
      </c>
      <c r="AG2219">
        <v>-0.11090079999999999</v>
      </c>
      <c r="AH2219">
        <v>9.8679835508802702E-2</v>
      </c>
      <c r="AI2219">
        <v>133.50243136748799</v>
      </c>
      <c r="AJ2219">
        <v>57.614450113216897</v>
      </c>
      <c r="AK2219">
        <v>0.16110278775738701</v>
      </c>
    </row>
    <row r="2220" spans="1:37" x14ac:dyDescent="0.2">
      <c r="A2220" t="str">
        <f>"20200111160156493"</f>
        <v>20200111160156493</v>
      </c>
      <c r="B2220" t="str">
        <f>"1578729716483682"</f>
        <v>1578729716483682</v>
      </c>
      <c r="C2220" t="s">
        <v>37</v>
      </c>
      <c r="D2220">
        <v>5.6695310000000001</v>
      </c>
      <c r="E2220">
        <v>0.5658995</v>
      </c>
      <c r="F2220" t="s">
        <v>42</v>
      </c>
      <c r="G2220">
        <v>-449.05259999999998</v>
      </c>
      <c r="H2220">
        <v>0.98509429999999998</v>
      </c>
      <c r="I2220">
        <v>213.22099999999901</v>
      </c>
      <c r="J2220">
        <v>-449.71280000000002</v>
      </c>
      <c r="K2220">
        <v>1.1040639999999999</v>
      </c>
      <c r="L2220">
        <v>213.32499999999999</v>
      </c>
      <c r="M2220">
        <v>0.99982090000000001</v>
      </c>
      <c r="N2220">
        <v>0</v>
      </c>
      <c r="O2220">
        <v>-1.320789E-2</v>
      </c>
      <c r="P2220">
        <v>0.99909409999999899</v>
      </c>
      <c r="Q2220">
        <v>9.4091669999999995E-3</v>
      </c>
      <c r="R2220">
        <v>4.1508280000000002E-2</v>
      </c>
      <c r="S2220">
        <v>3.0213320000000001</v>
      </c>
      <c r="T2220">
        <v>-0.41497410000000001</v>
      </c>
      <c r="U2220">
        <v>-0.37217709999999998</v>
      </c>
      <c r="V2220">
        <v>-5.4668429999999997E-2</v>
      </c>
      <c r="W2220">
        <v>2.3029979999999999E-2</v>
      </c>
      <c r="X2220">
        <v>0.99823890000000004</v>
      </c>
      <c r="Y2220">
        <v>0.1082596</v>
      </c>
      <c r="Z2220">
        <v>-5.57375199999999E-3</v>
      </c>
      <c r="AA2220">
        <v>0.99410699999999996</v>
      </c>
      <c r="AB2220">
        <v>20</v>
      </c>
      <c r="AC2220">
        <v>0.66020000000003098</v>
      </c>
      <c r="AD2220">
        <v>-0.118969699999999</v>
      </c>
      <c r="AE2220">
        <v>-0.104000000000013</v>
      </c>
      <c r="AF2220">
        <v>9.2344199157704698E-2</v>
      </c>
      <c r="AG2220">
        <v>-0.118969699999999</v>
      </c>
      <c r="AH2220">
        <v>0.64119871554301999</v>
      </c>
      <c r="AI2220">
        <v>100.40629253309601</v>
      </c>
      <c r="AJ2220">
        <v>81.804722570748794</v>
      </c>
      <c r="AK2220">
        <v>0.65864788274933805</v>
      </c>
    </row>
    <row r="2221" spans="1:37" x14ac:dyDescent="0.2">
      <c r="A2221" t="str">
        <f>"20200111160156513"</f>
        <v>20200111160156513</v>
      </c>
      <c r="B2221" t="str">
        <f>"1578729716504180"</f>
        <v>1578729716504180</v>
      </c>
      <c r="C2221" t="s">
        <v>37</v>
      </c>
      <c r="D2221">
        <v>5.4714260000000001</v>
      </c>
      <c r="E2221">
        <v>0.5676949</v>
      </c>
      <c r="F2221" t="s">
        <v>42</v>
      </c>
      <c r="G2221">
        <v>-448.86130000000003</v>
      </c>
      <c r="H2221">
        <v>1.0041009999999999</v>
      </c>
      <c r="I2221">
        <v>213.2165</v>
      </c>
      <c r="J2221">
        <v>-449.52499999999998</v>
      </c>
      <c r="K2221">
        <v>1.1040540000000001</v>
      </c>
      <c r="L2221">
        <v>213.3219</v>
      </c>
      <c r="M2221">
        <v>0.99981339999999996</v>
      </c>
      <c r="N2221">
        <v>0</v>
      </c>
      <c r="O2221">
        <v>-1.377399E-2</v>
      </c>
      <c r="P2221">
        <v>0.99913689999999999</v>
      </c>
      <c r="Q2221">
        <v>9.9790019999999903E-3</v>
      </c>
      <c r="R2221">
        <v>4.0327630000000003E-2</v>
      </c>
      <c r="S2221">
        <v>3.0220639999999999</v>
      </c>
      <c r="T2221">
        <v>-0.35480390000000001</v>
      </c>
      <c r="U2221">
        <v>-0.38378909999999899</v>
      </c>
      <c r="V2221">
        <v>-5.4052709999999997E-2</v>
      </c>
      <c r="W2221">
        <v>2.3594400000000001E-2</v>
      </c>
      <c r="X2221">
        <v>0.99825929999999996</v>
      </c>
      <c r="Y2221">
        <v>0.1116451</v>
      </c>
      <c r="Z2221">
        <v>-4.9005539999999997E-3</v>
      </c>
      <c r="AA2221">
        <v>0.99373609999999901</v>
      </c>
      <c r="AB2221">
        <v>20</v>
      </c>
      <c r="AC2221">
        <v>0.663699999999948</v>
      </c>
      <c r="AD2221">
        <v>-9.9952999999999903E-2</v>
      </c>
      <c r="AE2221">
        <v>-0.10540000000000301</v>
      </c>
      <c r="AF2221">
        <v>9.4164230010681402E-2</v>
      </c>
      <c r="AG2221">
        <v>-9.9952999999999903E-2</v>
      </c>
      <c r="AH2221">
        <v>0.65069405967211102</v>
      </c>
      <c r="AI2221">
        <v>98.644270127502807</v>
      </c>
      <c r="AJ2221">
        <v>81.765689330667897</v>
      </c>
      <c r="AK2221">
        <v>0.66502651354293896</v>
      </c>
    </row>
    <row r="2222" spans="1:37" x14ac:dyDescent="0.2">
      <c r="A2222" t="str">
        <f>"20200111160156534"</f>
        <v>20200111160156534</v>
      </c>
      <c r="B2222" t="str">
        <f>"1578729716523698"</f>
        <v>1578729716523698</v>
      </c>
      <c r="C2222" t="s">
        <v>37</v>
      </c>
      <c r="D2222">
        <v>5.4162309999999998</v>
      </c>
      <c r="E2222">
        <v>0.56870169999999998</v>
      </c>
      <c r="F2222" t="s">
        <v>42</v>
      </c>
      <c r="G2222">
        <v>-448.67500000000001</v>
      </c>
      <c r="H2222">
        <v>1.0133350000000001</v>
      </c>
      <c r="I2222">
        <v>213.2081</v>
      </c>
      <c r="J2222">
        <v>-449.33460000000002</v>
      </c>
      <c r="K2222">
        <v>1.104077</v>
      </c>
      <c r="L2222">
        <v>213.3186</v>
      </c>
      <c r="M2222">
        <v>0.99980480000000005</v>
      </c>
      <c r="N2222">
        <v>0</v>
      </c>
      <c r="O2222">
        <v>-1.4391060000000001E-2</v>
      </c>
      <c r="P2222">
        <v>0.99920299999999995</v>
      </c>
      <c r="Q2222">
        <v>9.6579359999999902E-3</v>
      </c>
      <c r="R2222">
        <v>3.873849E-2</v>
      </c>
      <c r="S2222">
        <v>3.0220639999999999</v>
      </c>
      <c r="T2222">
        <v>-0.32267209999999902</v>
      </c>
      <c r="U2222">
        <v>-0.40271000000000001</v>
      </c>
      <c r="V2222">
        <v>-5.3082039999999997E-2</v>
      </c>
      <c r="W2222">
        <v>2.326547E-2</v>
      </c>
      <c r="X2222">
        <v>0.99831909999999902</v>
      </c>
      <c r="Y2222">
        <v>0.117234899999999</v>
      </c>
      <c r="Z2222">
        <v>-4.6884780000000003E-3</v>
      </c>
      <c r="AA2222">
        <v>0.99309309999999995</v>
      </c>
      <c r="AB2222">
        <v>20</v>
      </c>
      <c r="AC2222">
        <v>0.65960000000001096</v>
      </c>
      <c r="AD2222">
        <v>-9.0741999999999795E-2</v>
      </c>
      <c r="AE2222">
        <v>-0.110500000000001</v>
      </c>
      <c r="AF2222">
        <v>9.9169707017395706E-2</v>
      </c>
      <c r="AG2222">
        <v>-9.0741999999999795E-2</v>
      </c>
      <c r="AH2222">
        <v>0.64917131590378196</v>
      </c>
      <c r="AI2222">
        <v>97.867213914874796</v>
      </c>
      <c r="AJ2222">
        <v>81.314442687762195</v>
      </c>
      <c r="AK2222">
        <v>0.66294203271942498</v>
      </c>
    </row>
    <row r="2223" spans="1:37" x14ac:dyDescent="0.2">
      <c r="A2223" t="str">
        <f>"20200111160156558"</f>
        <v>20200111160156558</v>
      </c>
      <c r="B2223" t="str">
        <f>"1578729716553955"</f>
        <v>1578729716553955</v>
      </c>
      <c r="C2223" t="s">
        <v>37</v>
      </c>
      <c r="D2223">
        <v>5.5550930000000003</v>
      </c>
      <c r="E2223">
        <v>0.56961729999999999</v>
      </c>
      <c r="F2223" t="s">
        <v>42</v>
      </c>
      <c r="G2223">
        <v>-448.49119999999999</v>
      </c>
      <c r="H2223">
        <v>1.018059</v>
      </c>
      <c r="I2223">
        <v>213.20249999999999</v>
      </c>
      <c r="J2223">
        <v>-449.11770000000001</v>
      </c>
      <c r="K2223">
        <v>1.1041110000000001</v>
      </c>
      <c r="L2223">
        <v>213.31460000000001</v>
      </c>
      <c r="M2223">
        <v>0.99979439999999997</v>
      </c>
      <c r="N2223">
        <v>0</v>
      </c>
      <c r="O2223">
        <v>-1.509245E-2</v>
      </c>
      <c r="P2223">
        <v>0.99932119999999902</v>
      </c>
      <c r="Q2223">
        <v>9.7414370000000004E-3</v>
      </c>
      <c r="R2223">
        <v>3.5528629999999999E-2</v>
      </c>
      <c r="S2223">
        <v>3.0214840000000001</v>
      </c>
      <c r="T2223">
        <v>-0.3081508</v>
      </c>
      <c r="U2223">
        <v>-0.41595459999999901</v>
      </c>
      <c r="V2223">
        <v>-5.0576410000000002E-2</v>
      </c>
      <c r="W2223">
        <v>2.333793E-2</v>
      </c>
      <c r="X2223">
        <v>0.99844750000000004</v>
      </c>
      <c r="Y2223">
        <v>0.1208728</v>
      </c>
      <c r="Z2223">
        <v>-4.5913250000000003E-3</v>
      </c>
      <c r="AA2223">
        <v>0.99265740000000002</v>
      </c>
      <c r="AB2223">
        <v>20</v>
      </c>
      <c r="AC2223">
        <v>0.62650000000002104</v>
      </c>
      <c r="AD2223">
        <v>-8.6052000000000003E-2</v>
      </c>
      <c r="AE2223">
        <v>-0.112100000000026</v>
      </c>
      <c r="AF2223">
        <v>0.10078845720313701</v>
      </c>
      <c r="AG2223">
        <v>-8.6052000000000003E-2</v>
      </c>
      <c r="AH2223">
        <v>0.61684429121670303</v>
      </c>
      <c r="AI2223">
        <v>97.839078891574204</v>
      </c>
      <c r="AJ2223">
        <v>80.7202341945097</v>
      </c>
      <c r="AK2223">
        <v>0.63092007371459102</v>
      </c>
    </row>
    <row r="2224" spans="1:37" x14ac:dyDescent="0.2">
      <c r="A2224" t="str">
        <f>"20200111160156581"</f>
        <v>20200111160156581</v>
      </c>
      <c r="B2224" t="str">
        <f>"1578729716573476"</f>
        <v>1578729716573476</v>
      </c>
      <c r="C2224" t="s">
        <v>37</v>
      </c>
      <c r="D2224">
        <v>5.4076139999999997</v>
      </c>
      <c r="E2224">
        <v>0.56996849999999999</v>
      </c>
      <c r="F2224" t="s">
        <v>42</v>
      </c>
      <c r="G2224">
        <v>-448.30630000000002</v>
      </c>
      <c r="H2224">
        <v>1.0255000000000001</v>
      </c>
      <c r="I2224">
        <v>213.1979</v>
      </c>
      <c r="J2224">
        <v>-448.91399999999999</v>
      </c>
      <c r="K2224">
        <v>1.10415</v>
      </c>
      <c r="L2224">
        <v>213.3108</v>
      </c>
      <c r="M2224">
        <v>0.99978480000000003</v>
      </c>
      <c r="N2224">
        <v>0</v>
      </c>
      <c r="O2224">
        <v>-1.572136E-2</v>
      </c>
      <c r="P2224">
        <v>0.99944149999999998</v>
      </c>
      <c r="Q2224">
        <v>1.079456E-2</v>
      </c>
      <c r="R2224">
        <v>3.1627620000000002E-2</v>
      </c>
      <c r="S2224">
        <v>3.0202640000000001</v>
      </c>
      <c r="T2224">
        <v>-0.2926359</v>
      </c>
      <c r="U2224">
        <v>-0.43339539999999999</v>
      </c>
      <c r="V2224">
        <v>-4.7306569999999999E-2</v>
      </c>
      <c r="W2224">
        <v>2.437953E-2</v>
      </c>
      <c r="X2224">
        <v>0.99858279999999999</v>
      </c>
      <c r="Y2224">
        <v>0.1259545</v>
      </c>
      <c r="Z2224">
        <v>-4.54518299999999E-3</v>
      </c>
      <c r="AA2224">
        <v>0.99202559999999995</v>
      </c>
      <c r="AB2224">
        <v>20</v>
      </c>
      <c r="AC2224">
        <v>0.60769999999996505</v>
      </c>
      <c r="AD2224">
        <v>-7.8649999999999803E-2</v>
      </c>
      <c r="AE2224">
        <v>-0.112899999999996</v>
      </c>
      <c r="AF2224">
        <v>0.101684886553137</v>
      </c>
      <c r="AG2224">
        <v>-7.8649999999999803E-2</v>
      </c>
      <c r="AH2224">
        <v>0.59969021233627195</v>
      </c>
      <c r="AI2224">
        <v>97.367770500022502</v>
      </c>
      <c r="AJ2224">
        <v>80.376327162941905</v>
      </c>
      <c r="AK2224">
        <v>0.61331394034804598</v>
      </c>
    </row>
    <row r="2225" spans="1:37" x14ac:dyDescent="0.2">
      <c r="A2225" t="str">
        <f>"20200111160156602"</f>
        <v>20200111160156602</v>
      </c>
      <c r="B2225" t="str">
        <f>"1578729716593970"</f>
        <v>1578729716593970</v>
      </c>
      <c r="C2225" t="s">
        <v>37</v>
      </c>
      <c r="D2225">
        <v>5.4533740000000002</v>
      </c>
      <c r="E2225">
        <v>0.57006990000000002</v>
      </c>
      <c r="F2225" t="s">
        <v>42</v>
      </c>
      <c r="G2225">
        <v>-448.12310000000002</v>
      </c>
      <c r="H2225">
        <v>1.029933</v>
      </c>
      <c r="I2225">
        <v>213.19329999999999</v>
      </c>
      <c r="J2225">
        <v>-448.72219999999999</v>
      </c>
      <c r="K2225">
        <v>1.1042019999999999</v>
      </c>
      <c r="L2225">
        <v>213.30699999999999</v>
      </c>
      <c r="M2225">
        <v>0.99977590000000005</v>
      </c>
      <c r="N2225">
        <v>0</v>
      </c>
      <c r="O2225">
        <v>-1.6278319999999999E-2</v>
      </c>
      <c r="P2225">
        <v>0.99954969999999999</v>
      </c>
      <c r="Q2225">
        <v>1.28572999999999E-2</v>
      </c>
      <c r="R2225">
        <v>2.71179E-2</v>
      </c>
      <c r="S2225">
        <v>3.0188599999999899</v>
      </c>
      <c r="T2225">
        <v>-0.28344419999999998</v>
      </c>
      <c r="U2225">
        <v>-0.44813540000000002</v>
      </c>
      <c r="V2225">
        <v>-4.335609E-2</v>
      </c>
      <c r="W2225">
        <v>2.6430220000000001E-2</v>
      </c>
      <c r="X2225">
        <v>0.99870999999999999</v>
      </c>
      <c r="Y2225">
        <v>0.13022339999999999</v>
      </c>
      <c r="Z2225">
        <v>-4.5505579999999997E-3</v>
      </c>
      <c r="AA2225">
        <v>0.99147419999999997</v>
      </c>
      <c r="AB2225">
        <v>20</v>
      </c>
      <c r="AC2225">
        <v>0.59909999999996399</v>
      </c>
      <c r="AD2225">
        <v>-7.4269000000000099E-2</v>
      </c>
      <c r="AE2225">
        <v>-0.11370000000002201</v>
      </c>
      <c r="AF2225">
        <v>0.102412541521053</v>
      </c>
      <c r="AG2225">
        <v>-7.4269000000000099E-2</v>
      </c>
      <c r="AH2225">
        <v>0.59208875935016603</v>
      </c>
      <c r="AI2225">
        <v>97.046038238779602</v>
      </c>
      <c r="AJ2225">
        <v>80.186746298166298</v>
      </c>
      <c r="AK2225">
        <v>0.60545298080909704</v>
      </c>
    </row>
    <row r="2226" spans="1:37" x14ac:dyDescent="0.2">
      <c r="A2226" t="str">
        <f>"20200111160156625"</f>
        <v>20200111160156625</v>
      </c>
      <c r="B2226" t="str">
        <f>"1578729716613491"</f>
        <v>1578729716613491</v>
      </c>
      <c r="C2226" t="s">
        <v>37</v>
      </c>
      <c r="D2226">
        <v>5.638998</v>
      </c>
      <c r="E2226">
        <v>0.56934659999999904</v>
      </c>
      <c r="F2226" t="s">
        <v>42</v>
      </c>
      <c r="G2226">
        <v>-447.94069999999999</v>
      </c>
      <c r="H2226">
        <v>1.0333749999999999</v>
      </c>
      <c r="I2226">
        <v>213.18680000000001</v>
      </c>
      <c r="J2226">
        <v>-448.5197</v>
      </c>
      <c r="K2226">
        <v>1.104257</v>
      </c>
      <c r="L2226">
        <v>213.303</v>
      </c>
      <c r="M2226">
        <v>0.99976679999999996</v>
      </c>
      <c r="N2226">
        <v>0</v>
      </c>
      <c r="O2226">
        <v>-1.6825570000000001E-2</v>
      </c>
      <c r="P2226">
        <v>0.99963550000000001</v>
      </c>
      <c r="Q2226">
        <v>1.430317E-2</v>
      </c>
      <c r="R2226">
        <v>2.2899909999999999E-2</v>
      </c>
      <c r="S2226">
        <v>3.0174259999999999</v>
      </c>
      <c r="T2226">
        <v>-0.27356959999999902</v>
      </c>
      <c r="U2226">
        <v>-0.46263119999999902</v>
      </c>
      <c r="V2226">
        <v>-3.9688790000000002E-2</v>
      </c>
      <c r="W2226">
        <v>2.78644999999999E-2</v>
      </c>
      <c r="X2226">
        <v>0.99882349999999998</v>
      </c>
      <c r="Y2226">
        <v>0.13442379999999901</v>
      </c>
      <c r="Z2226">
        <v>-4.5329189999999998E-3</v>
      </c>
      <c r="AA2226">
        <v>0.99091359999999995</v>
      </c>
      <c r="AB2226">
        <v>20</v>
      </c>
      <c r="AC2226">
        <v>0.57900000000000695</v>
      </c>
      <c r="AD2226">
        <v>-7.0882000000000098E-2</v>
      </c>
      <c r="AE2226">
        <v>-0.116199999999992</v>
      </c>
      <c r="AF2226">
        <v>0.104928965100996</v>
      </c>
      <c r="AG2226">
        <v>-7.0882000000000098E-2</v>
      </c>
      <c r="AH2226">
        <v>0.57262368852714096</v>
      </c>
      <c r="AI2226">
        <v>96.942010196018103</v>
      </c>
      <c r="AJ2226">
        <v>79.616180410930397</v>
      </c>
      <c r="AK2226">
        <v>0.58645735932256304</v>
      </c>
    </row>
    <row r="2227" spans="1:37" x14ac:dyDescent="0.2">
      <c r="A2227" t="str">
        <f>"20200111160156646"</f>
        <v>20200111160156646</v>
      </c>
      <c r="B2227" t="str">
        <f>"1578729716643748"</f>
        <v>1578729716643748</v>
      </c>
      <c r="C2227" t="s">
        <v>37</v>
      </c>
      <c r="D2227">
        <v>5.5026299999999999</v>
      </c>
      <c r="E2227">
        <v>0.56936049999999905</v>
      </c>
      <c r="F2227" t="s">
        <v>42</v>
      </c>
      <c r="G2227">
        <v>-447.75790000000001</v>
      </c>
      <c r="H2227">
        <v>1.038</v>
      </c>
      <c r="I2227">
        <v>213.1841</v>
      </c>
      <c r="J2227">
        <v>-448.32479999999998</v>
      </c>
      <c r="K2227">
        <v>1.1043129999999901</v>
      </c>
      <c r="L2227">
        <v>213.29900000000001</v>
      </c>
      <c r="M2227">
        <v>0.99975879999999995</v>
      </c>
      <c r="N2227">
        <v>0</v>
      </c>
      <c r="O2227">
        <v>-1.7304569999999998E-2</v>
      </c>
      <c r="P2227">
        <v>0.99971499999999902</v>
      </c>
      <c r="Q2227">
        <v>1.3793130000000001E-2</v>
      </c>
      <c r="R2227">
        <v>1.9497790000000001E-2</v>
      </c>
      <c r="S2227">
        <v>3.0155939999999899</v>
      </c>
      <c r="T2227">
        <v>-0.26230619999999999</v>
      </c>
      <c r="U2227">
        <v>-0.46995540000000002</v>
      </c>
      <c r="V2227">
        <v>-3.6771480000000002E-2</v>
      </c>
      <c r="W2227">
        <v>2.7343989999999999E-2</v>
      </c>
      <c r="X2227">
        <v>0.99894950000000005</v>
      </c>
      <c r="Y2227">
        <v>0.1364214</v>
      </c>
      <c r="Z2227">
        <v>-4.3936899999999996E-3</v>
      </c>
      <c r="AA2227">
        <v>0.9906412</v>
      </c>
      <c r="AB2227">
        <v>20</v>
      </c>
      <c r="AC2227">
        <v>0.56689999999997498</v>
      </c>
      <c r="AD2227">
        <v>-6.6312999999999803E-2</v>
      </c>
      <c r="AE2227">
        <v>-0.114900000000005</v>
      </c>
      <c r="AF2227">
        <v>0.103708869950906</v>
      </c>
      <c r="AG2227">
        <v>-6.6312999999999803E-2</v>
      </c>
      <c r="AH2227">
        <v>0.56142467083262404</v>
      </c>
      <c r="AI2227">
        <v>96.625245879738003</v>
      </c>
      <c r="AJ2227">
        <v>79.534047368843005</v>
      </c>
      <c r="AK2227">
        <v>0.57476134586018701</v>
      </c>
    </row>
    <row r="2228" spans="1:37" x14ac:dyDescent="0.2">
      <c r="A2228" t="str">
        <f>"20200111160156671"</f>
        <v>20200111160156671</v>
      </c>
      <c r="B2228" t="str">
        <f>"1578729716664243"</f>
        <v>1578729716664243</v>
      </c>
      <c r="C2228" t="s">
        <v>37</v>
      </c>
      <c r="D2228">
        <v>5.5151649999999997</v>
      </c>
      <c r="E2228">
        <v>0.56933310000000004</v>
      </c>
      <c r="F2228" t="s">
        <v>42</v>
      </c>
      <c r="G2228">
        <v>-447.577</v>
      </c>
      <c r="H2228">
        <v>1.0394410000000001</v>
      </c>
      <c r="I2228">
        <v>213.17959999999999</v>
      </c>
      <c r="J2228">
        <v>-448.10570000000001</v>
      </c>
      <c r="K2228">
        <v>1.1043860000000001</v>
      </c>
      <c r="L2228">
        <v>213.2946</v>
      </c>
      <c r="M2228">
        <v>0.99975059999999905</v>
      </c>
      <c r="N2228">
        <v>0</v>
      </c>
      <c r="O2228">
        <v>-1.7779820000000002E-2</v>
      </c>
      <c r="P2228">
        <v>0.99975759999999902</v>
      </c>
      <c r="Q2228">
        <v>1.412631E-2</v>
      </c>
      <c r="R2228">
        <v>1.6896359999999999E-2</v>
      </c>
      <c r="S2228">
        <v>3.0137939999999999</v>
      </c>
      <c r="T2228">
        <v>-0.261515</v>
      </c>
      <c r="U2228">
        <v>-0.48062129999999997</v>
      </c>
      <c r="V2228">
        <v>-3.4650439999999998E-2</v>
      </c>
      <c r="W2228">
        <v>2.7666679999999999E-2</v>
      </c>
      <c r="X2228">
        <v>0.99901649999999997</v>
      </c>
      <c r="Y2228">
        <v>0.13945389999999999</v>
      </c>
      <c r="Z2228">
        <v>-4.4715040000000003E-3</v>
      </c>
      <c r="AA2228">
        <v>0.9902185</v>
      </c>
      <c r="AB2228">
        <v>20</v>
      </c>
      <c r="AC2228">
        <v>0.52870000000001405</v>
      </c>
      <c r="AD2228">
        <v>-6.4945000000000003E-2</v>
      </c>
      <c r="AE2228">
        <v>-0.115000000000009</v>
      </c>
      <c r="AF2228">
        <v>0.104081192072009</v>
      </c>
      <c r="AG2228">
        <v>-6.4945000000000003E-2</v>
      </c>
      <c r="AH2228">
        <v>0.52312422867786801</v>
      </c>
      <c r="AI2228">
        <v>96.942259280560606</v>
      </c>
      <c r="AJ2228">
        <v>78.747333076074696</v>
      </c>
      <c r="AK2228">
        <v>0.53731713745044996</v>
      </c>
    </row>
    <row r="2229" spans="1:37" x14ac:dyDescent="0.2">
      <c r="A2229" t="str">
        <f>"20200111160156692"</f>
        <v>20200111160156692</v>
      </c>
      <c r="B2229" t="str">
        <f>"1578729716683763"</f>
        <v>1578729716683763</v>
      </c>
      <c r="C2229" t="s">
        <v>37</v>
      </c>
      <c r="D2229">
        <v>4.8965209999999999</v>
      </c>
      <c r="E2229">
        <v>0.56933310000000004</v>
      </c>
      <c r="F2229" t="s">
        <v>42</v>
      </c>
      <c r="G2229">
        <v>-447.22269999999997</v>
      </c>
      <c r="H2229">
        <v>1.0284120000000001</v>
      </c>
      <c r="I2229">
        <v>213.15099999999899</v>
      </c>
      <c r="J2229">
        <v>-447.91449999999998</v>
      </c>
      <c r="K2229">
        <v>1.1044479999999901</v>
      </c>
      <c r="L2229">
        <v>213.29069999999999</v>
      </c>
      <c r="M2229">
        <v>0.99974419999999897</v>
      </c>
      <c r="N2229">
        <v>0</v>
      </c>
      <c r="O2229">
        <v>-1.8134870000000001E-2</v>
      </c>
      <c r="P2229">
        <v>0.99976860000000001</v>
      </c>
      <c r="Q2229">
        <v>1.475748E-2</v>
      </c>
      <c r="R2229">
        <v>1.5666280000000001E-2</v>
      </c>
      <c r="S2229">
        <v>3.0126949999999999</v>
      </c>
      <c r="T2229">
        <v>-0.2592933</v>
      </c>
      <c r="U2229">
        <v>-0.48866270000000001</v>
      </c>
      <c r="V2229">
        <v>-3.377952E-2</v>
      </c>
      <c r="W2229">
        <v>2.8289189999999999E-2</v>
      </c>
      <c r="X2229">
        <v>0.9990289</v>
      </c>
      <c r="Y2229">
        <v>0.1417349</v>
      </c>
      <c r="Z2229">
        <v>-4.5013889999999997E-3</v>
      </c>
      <c r="AA2229">
        <v>0.98989439999999995</v>
      </c>
      <c r="AB2229">
        <v>20</v>
      </c>
      <c r="AC2229">
        <v>0.69179999999999997</v>
      </c>
      <c r="AD2229">
        <v>-7.6035999999999701E-2</v>
      </c>
      <c r="AE2229">
        <v>-0.13970000000000399</v>
      </c>
      <c r="AF2229">
        <v>0.125671506930736</v>
      </c>
      <c r="AG2229">
        <v>-7.6035999999999701E-2</v>
      </c>
      <c r="AH2229">
        <v>0.686254545364406</v>
      </c>
      <c r="AI2229">
        <v>96.219897957195201</v>
      </c>
      <c r="AJ2229">
        <v>79.622598716733293</v>
      </c>
      <c r="AK2229">
        <v>0.70179776430503804</v>
      </c>
    </row>
    <row r="2230" spans="1:37" x14ac:dyDescent="0.2">
      <c r="A2230" t="str">
        <f>"20200111160156714"</f>
        <v>20200111160156714</v>
      </c>
      <c r="B2230" t="str">
        <f>"1578729716704258"</f>
        <v>1578729716704258</v>
      </c>
      <c r="C2230" t="s">
        <v>37</v>
      </c>
      <c r="D2230">
        <v>5.4206589999999997</v>
      </c>
      <c r="E2230">
        <v>0.50608679999999995</v>
      </c>
      <c r="F2230" t="s">
        <v>42</v>
      </c>
      <c r="G2230">
        <v>-447.04239999999999</v>
      </c>
      <c r="H2230">
        <v>1.0301480000000001</v>
      </c>
      <c r="I2230">
        <v>213.14779999999999</v>
      </c>
      <c r="J2230">
        <v>-447.71879999999999</v>
      </c>
      <c r="K2230">
        <v>1.104495</v>
      </c>
      <c r="L2230">
        <v>213.2867</v>
      </c>
      <c r="M2230">
        <v>0.99973849999999997</v>
      </c>
      <c r="N2230">
        <v>0</v>
      </c>
      <c r="O2230">
        <v>-1.8451209999999999E-2</v>
      </c>
      <c r="P2230">
        <v>0.99976129999999996</v>
      </c>
      <c r="Q2230">
        <v>1.5555060000000001E-2</v>
      </c>
      <c r="R2230">
        <v>1.5351460000000001E-2</v>
      </c>
      <c r="S2230">
        <v>3.0122070000000001</v>
      </c>
      <c r="T2230">
        <v>-0.25674330000000001</v>
      </c>
      <c r="U2230">
        <v>-0.49270629999999999</v>
      </c>
      <c r="V2230">
        <v>-3.3783519999999997E-2</v>
      </c>
      <c r="W2230">
        <v>2.9079460000000001E-2</v>
      </c>
      <c r="X2230">
        <v>0.99900599999999995</v>
      </c>
      <c r="Y2230">
        <v>0.14274770000000001</v>
      </c>
      <c r="Z2230">
        <v>-4.4736039999999999E-3</v>
      </c>
      <c r="AA2230">
        <v>0.98974899999999999</v>
      </c>
      <c r="AB2230">
        <v>20</v>
      </c>
      <c r="AC2230">
        <v>0.676400000000001</v>
      </c>
      <c r="AD2230">
        <v>-7.4346999999999899E-2</v>
      </c>
      <c r="AE2230">
        <v>-0.13890000000000599</v>
      </c>
      <c r="AF2230">
        <v>0.12494635734465299</v>
      </c>
      <c r="AG2230">
        <v>-7.4346999999999899E-2</v>
      </c>
      <c r="AH2230">
        <v>0.67106849860435402</v>
      </c>
      <c r="AI2230">
        <v>96.215991369392796</v>
      </c>
      <c r="AJ2230">
        <v>79.452860870371694</v>
      </c>
      <c r="AK2230">
        <v>0.68663818597701098</v>
      </c>
    </row>
    <row r="2231" spans="1:37" x14ac:dyDescent="0.2">
      <c r="A2231" t="str">
        <f>"20200111160156737"</f>
        <v>20200111160156737</v>
      </c>
      <c r="B2231" t="str">
        <f>"1578729716733539"</f>
        <v>1578729716733539</v>
      </c>
      <c r="C2231" t="s">
        <v>37</v>
      </c>
      <c r="D2231">
        <v>5.2755869999999998</v>
      </c>
      <c r="E2231">
        <v>0.50312599999999996</v>
      </c>
      <c r="F2231" t="s">
        <v>42</v>
      </c>
      <c r="G2231">
        <v>-446.88380000000001</v>
      </c>
      <c r="H2231">
        <v>0.98041049999999996</v>
      </c>
      <c r="I2231">
        <v>213.2921</v>
      </c>
      <c r="J2231">
        <v>-447.50799999999998</v>
      </c>
      <c r="K2231">
        <v>1.104535</v>
      </c>
      <c r="L2231">
        <v>213.2824</v>
      </c>
      <c r="M2231">
        <v>0.99973299999999998</v>
      </c>
      <c r="N2231">
        <v>0</v>
      </c>
      <c r="O2231">
        <v>-1.874265E-2</v>
      </c>
      <c r="P2231">
        <v>0.99973539999999905</v>
      </c>
      <c r="Q2231">
        <v>1.671255E-2</v>
      </c>
      <c r="R2231">
        <v>1.5812110000000001E-2</v>
      </c>
      <c r="S2231">
        <v>3.007355</v>
      </c>
      <c r="T2231">
        <v>-0.44696170000000002</v>
      </c>
      <c r="U2231">
        <v>2.0019530000000001E-2</v>
      </c>
      <c r="V2231">
        <v>-3.4537360000000003E-2</v>
      </c>
      <c r="W2231">
        <v>3.0229559999999999E-2</v>
      </c>
      <c r="X2231">
        <v>0.99894609999999995</v>
      </c>
      <c r="Y2231">
        <v>-2.4919899999999998E-2</v>
      </c>
      <c r="Z2231">
        <v>4.6122139999999999E-3</v>
      </c>
      <c r="AA2231">
        <v>0.99967879999999998</v>
      </c>
      <c r="AB2231">
        <v>20</v>
      </c>
      <c r="AC2231">
        <v>0.62420000000002995</v>
      </c>
      <c r="AD2231">
        <v>-0.1241245</v>
      </c>
      <c r="AE2231">
        <v>9.7000000000093695E-3</v>
      </c>
      <c r="AF2231">
        <v>-2.0584744394950099E-2</v>
      </c>
      <c r="AG2231">
        <v>-0.1241245</v>
      </c>
      <c r="AH2231">
        <v>0.60018138644656804</v>
      </c>
      <c r="AI2231">
        <v>101.67802623098601</v>
      </c>
      <c r="AJ2231">
        <v>91.964334233671295</v>
      </c>
      <c r="AK2231">
        <v>0.61322778788879195</v>
      </c>
    </row>
    <row r="2232" spans="1:37" x14ac:dyDescent="0.2">
      <c r="A2232" t="str">
        <f>"20200111160156759"</f>
        <v>20200111160156759</v>
      </c>
      <c r="B2232" t="str">
        <f>"1578729716754036"</f>
        <v>1578729716754036</v>
      </c>
      <c r="C2232" t="s">
        <v>37</v>
      </c>
      <c r="D2232">
        <v>5.270041</v>
      </c>
      <c r="E2232">
        <v>0.50234279999999998</v>
      </c>
      <c r="F2232" t="s">
        <v>42</v>
      </c>
      <c r="G2232">
        <v>-446.68400000000003</v>
      </c>
      <c r="H2232">
        <v>1.0207820000000001</v>
      </c>
      <c r="I2232">
        <v>213.29310000000001</v>
      </c>
      <c r="J2232">
        <v>-447.30930000000001</v>
      </c>
      <c r="K2232">
        <v>1.1045639999999901</v>
      </c>
      <c r="L2232">
        <v>213.2784</v>
      </c>
      <c r="M2232">
        <v>0.99972879999999997</v>
      </c>
      <c r="N2232">
        <v>0</v>
      </c>
      <c r="O2232">
        <v>-1.8971450000000001E-2</v>
      </c>
      <c r="P2232">
        <v>0.99971049999999995</v>
      </c>
      <c r="Q2232">
        <v>1.6486190000000001E-2</v>
      </c>
      <c r="R2232">
        <v>1.7531769999999999E-2</v>
      </c>
      <c r="S2232">
        <v>3.00528</v>
      </c>
      <c r="T2232">
        <v>-0.30555019999999999</v>
      </c>
      <c r="U2232">
        <v>3.8696290000000001E-2</v>
      </c>
      <c r="V2232">
        <v>-3.648767E-2</v>
      </c>
      <c r="W2232">
        <v>2.9996970000000001E-2</v>
      </c>
      <c r="X2232">
        <v>0.99888379999999999</v>
      </c>
      <c r="Y2232">
        <v>-3.1583729999999997E-2</v>
      </c>
      <c r="Z2232">
        <v>3.5253419999999999E-3</v>
      </c>
      <c r="AA2232">
        <v>0.99949489999999996</v>
      </c>
      <c r="AB2232">
        <v>20</v>
      </c>
      <c r="AC2232">
        <v>0.62529999999998098</v>
      </c>
      <c r="AD2232">
        <v>-8.3781999999999801E-2</v>
      </c>
      <c r="AE2232">
        <v>1.47000000000048E-2</v>
      </c>
      <c r="AF2232">
        <v>-2.6093106309394799E-2</v>
      </c>
      <c r="AG2232">
        <v>-8.3781999999999801E-2</v>
      </c>
      <c r="AH2232">
        <v>0.61389370536163801</v>
      </c>
      <c r="AI2232">
        <v>97.764583589064799</v>
      </c>
      <c r="AJ2232">
        <v>92.433850545958705</v>
      </c>
      <c r="AK2232">
        <v>0.62013365914415197</v>
      </c>
    </row>
    <row r="2233" spans="1:37" x14ac:dyDescent="0.2">
      <c r="A2233" t="str">
        <f>"20200111160156803"</f>
        <v>20200111160156803</v>
      </c>
      <c r="B2233" t="str">
        <f>"1578729716793769"</f>
        <v>1578729716793769</v>
      </c>
      <c r="C2233" t="s">
        <v>37</v>
      </c>
      <c r="D2233">
        <v>5.221921</v>
      </c>
      <c r="E2233">
        <v>0.50179189999999996</v>
      </c>
      <c r="F2233" t="s">
        <v>42</v>
      </c>
      <c r="G2233">
        <v>-446.50069999999999</v>
      </c>
      <c r="H2233">
        <v>1.025568</v>
      </c>
      <c r="I2233">
        <v>213.29140000000001</v>
      </c>
      <c r="J2233">
        <v>-446.91899999999998</v>
      </c>
      <c r="K2233">
        <v>1.1046149999999999</v>
      </c>
      <c r="L2233">
        <v>213.2705</v>
      </c>
      <c r="M2233">
        <v>0.99972329999999998</v>
      </c>
      <c r="N2233">
        <v>0</v>
      </c>
      <c r="O2233">
        <v>-1.9266729999999999E-2</v>
      </c>
      <c r="P2233">
        <v>0.99966069999999996</v>
      </c>
      <c r="Q2233">
        <v>1.489509E-2</v>
      </c>
      <c r="R2233">
        <v>2.1378979999999999E-2</v>
      </c>
      <c r="S2233">
        <v>3.0048520000000001</v>
      </c>
      <c r="T2233">
        <v>-0.29359839999999998</v>
      </c>
      <c r="U2233">
        <v>4.9591059999999999E-2</v>
      </c>
      <c r="V2233">
        <v>-4.0633099999999998E-2</v>
      </c>
      <c r="W2233">
        <v>2.839357E-2</v>
      </c>
      <c r="X2233">
        <v>0.99877059999999995</v>
      </c>
      <c r="Y2233">
        <v>-3.5503449999999999E-2</v>
      </c>
      <c r="Z2233">
        <v>3.6083249999999999E-3</v>
      </c>
      <c r="AA2233">
        <v>0.99936309999999995</v>
      </c>
      <c r="AB2233">
        <v>20</v>
      </c>
      <c r="AC2233">
        <v>0.41830000000004403</v>
      </c>
      <c r="AD2233">
        <v>-7.9046999999999798E-2</v>
      </c>
      <c r="AE2233">
        <v>2.09000000000116E-2</v>
      </c>
      <c r="AF2233">
        <v>-2.7960144599435001E-2</v>
      </c>
      <c r="AG2233">
        <v>-7.9046999999999798E-2</v>
      </c>
      <c r="AH2233">
        <v>0.403448198617394</v>
      </c>
      <c r="AI2233">
        <v>101.05957945188599</v>
      </c>
      <c r="AJ2233">
        <v>93.964426925362403</v>
      </c>
      <c r="AK2233">
        <v>0.41206874045799902</v>
      </c>
    </row>
    <row r="2234" spans="1:37" x14ac:dyDescent="0.2">
      <c r="A2234" t="str">
        <f>"20200111160156824"</f>
        <v>20200111160156824</v>
      </c>
      <c r="B2234" t="str">
        <f>"1578729716813289"</f>
        <v>1578729716813289</v>
      </c>
      <c r="C2234" t="s">
        <v>37</v>
      </c>
      <c r="D2234">
        <v>5.1804410000000001</v>
      </c>
      <c r="E2234">
        <v>0.50174379999999996</v>
      </c>
      <c r="F2234" t="s">
        <v>60</v>
      </c>
      <c r="G2234">
        <v>-435.40379999999999</v>
      </c>
      <c r="H2234" s="1">
        <v>4.7088380000000003E-6</v>
      </c>
      <c r="I2234">
        <v>213.5241</v>
      </c>
      <c r="J2234">
        <v>-446.73110000000003</v>
      </c>
      <c r="K2234">
        <v>1.104662</v>
      </c>
      <c r="L2234">
        <v>213.26669999999999</v>
      </c>
      <c r="M2234">
        <v>0.99972190000000005</v>
      </c>
      <c r="N2234">
        <v>0</v>
      </c>
      <c r="O2234">
        <v>-1.9329229999999999E-2</v>
      </c>
      <c r="P2234">
        <v>0.99963630000000003</v>
      </c>
      <c r="Q2234">
        <v>1.460562E-2</v>
      </c>
      <c r="R2234">
        <v>2.2670329999999999E-2</v>
      </c>
      <c r="S2234">
        <v>3.0039060000000002</v>
      </c>
      <c r="T2234">
        <v>-0.28815359999999901</v>
      </c>
      <c r="U2234">
        <v>6.6162109999999996E-2</v>
      </c>
      <c r="V2234">
        <v>-4.1988820000000003E-2</v>
      </c>
      <c r="W2234">
        <v>2.80971E-2</v>
      </c>
      <c r="X2234">
        <v>0.99872289999999997</v>
      </c>
      <c r="Y2234">
        <v>-4.1065079999999997E-2</v>
      </c>
      <c r="Z2234">
        <v>3.8147579999999901E-3</v>
      </c>
      <c r="AA2234">
        <v>0.99914919999999996</v>
      </c>
      <c r="AB2234">
        <v>20</v>
      </c>
      <c r="AC2234">
        <v>11.327299999999999</v>
      </c>
      <c r="AD2234">
        <v>-1.1046572911620001</v>
      </c>
      <c r="AE2234">
        <v>0.257400000000018</v>
      </c>
      <c r="AF2234">
        <v>-0.471834812661312</v>
      </c>
      <c r="AG2234">
        <v>-1.1046572911620001</v>
      </c>
      <c r="AH2234">
        <v>11.213615771158601</v>
      </c>
      <c r="AI2234">
        <v>95.621133591713203</v>
      </c>
      <c r="AJ2234">
        <v>92.409410710086107</v>
      </c>
      <c r="AK2234">
        <v>11.277769038446101</v>
      </c>
    </row>
    <row r="2235" spans="1:37" x14ac:dyDescent="0.2">
      <c r="A2235" t="str">
        <f>"20200111160156850"</f>
        <v>20200111160156850</v>
      </c>
      <c r="B2235" t="str">
        <f>"1578729716843545"</f>
        <v>1578729716843545</v>
      </c>
      <c r="C2235" t="s">
        <v>37</v>
      </c>
      <c r="D2235">
        <v>5.230721</v>
      </c>
      <c r="E2235">
        <v>0.50154019999999999</v>
      </c>
      <c r="F2235" t="s">
        <v>60</v>
      </c>
      <c r="G2235">
        <v>-435.14609999999999</v>
      </c>
      <c r="H2235" s="1">
        <v>4.5932369999999999E-6</v>
      </c>
      <c r="I2235">
        <v>213.53899999999999</v>
      </c>
      <c r="J2235">
        <v>-446.50909999999999</v>
      </c>
      <c r="K2235">
        <v>1.1047340000000001</v>
      </c>
      <c r="L2235">
        <v>213.26240000000001</v>
      </c>
      <c r="M2235">
        <v>0.99972220000000001</v>
      </c>
      <c r="N2235">
        <v>0</v>
      </c>
      <c r="O2235">
        <v>-1.9326880000000001E-2</v>
      </c>
      <c r="P2235">
        <v>0.99959089999999995</v>
      </c>
      <c r="Q2235">
        <v>1.565277E-2</v>
      </c>
      <c r="R2235">
        <v>2.3942979999999999E-2</v>
      </c>
      <c r="S2235">
        <v>3.0036320000000001</v>
      </c>
      <c r="T2235">
        <v>-0.28640129999999903</v>
      </c>
      <c r="U2235">
        <v>7.0587159999999996E-2</v>
      </c>
      <c r="V2235">
        <v>-4.3261889999999997E-2</v>
      </c>
      <c r="W2235">
        <v>2.913427E-2</v>
      </c>
      <c r="X2235">
        <v>0.9986389</v>
      </c>
      <c r="Y2235">
        <v>-4.253258E-2</v>
      </c>
      <c r="Z2235">
        <v>3.8615259999999901E-3</v>
      </c>
      <c r="AA2235">
        <v>0.99908759999999996</v>
      </c>
      <c r="AB2235">
        <v>20</v>
      </c>
      <c r="AC2235">
        <v>11.363</v>
      </c>
      <c r="AD2235">
        <v>-1.104729406763</v>
      </c>
      <c r="AE2235">
        <v>0.27660000000000201</v>
      </c>
      <c r="AF2235">
        <v>-0.491536377994648</v>
      </c>
      <c r="AG2235">
        <v>-1.104729406763</v>
      </c>
      <c r="AH2235">
        <v>11.2492653090539</v>
      </c>
      <c r="AI2235">
        <v>95.603411289083795</v>
      </c>
      <c r="AJ2235">
        <v>92.501946241054199</v>
      </c>
      <c r="AK2235">
        <v>11.314062270755899</v>
      </c>
    </row>
    <row r="2236" spans="1:37" x14ac:dyDescent="0.2">
      <c r="A2236" t="str">
        <f>"20200111160156871"</f>
        <v>20200111160156871</v>
      </c>
      <c r="B2236" t="str">
        <f>"1578729716864041"</f>
        <v>1578729716864041</v>
      </c>
      <c r="C2236" t="s">
        <v>37</v>
      </c>
      <c r="D2236">
        <v>5.2911419999999998</v>
      </c>
      <c r="E2236">
        <v>0.50128349999999999</v>
      </c>
      <c r="F2236" t="s">
        <v>42</v>
      </c>
      <c r="G2236">
        <v>-445.61070000000001</v>
      </c>
      <c r="H2236">
        <v>1.0201389999999999</v>
      </c>
      <c r="I2236">
        <v>213.28530000000001</v>
      </c>
      <c r="J2236">
        <v>-446.31389999999999</v>
      </c>
      <c r="K2236">
        <v>1.1048089999999999</v>
      </c>
      <c r="L2236">
        <v>213.2587</v>
      </c>
      <c r="M2236">
        <v>0.99972459999999996</v>
      </c>
      <c r="N2236">
        <v>0</v>
      </c>
      <c r="O2236">
        <v>-1.9205710000000001E-2</v>
      </c>
      <c r="P2236">
        <v>0.99955179999999999</v>
      </c>
      <c r="Q2236">
        <v>1.6018709999999999E-2</v>
      </c>
      <c r="R2236">
        <v>2.5295890000000001E-2</v>
      </c>
      <c r="S2236">
        <v>3.0038450000000001</v>
      </c>
      <c r="T2236">
        <v>-0.28293699999999999</v>
      </c>
      <c r="U2236">
        <v>7.7270510000000001E-2</v>
      </c>
      <c r="V2236">
        <v>-4.4497099999999998E-2</v>
      </c>
      <c r="W2236">
        <v>2.9490309999999999E-2</v>
      </c>
      <c r="X2236">
        <v>0.99857410000000002</v>
      </c>
      <c r="Y2236">
        <v>-4.4629340000000003E-2</v>
      </c>
      <c r="Z2236">
        <v>3.9017869999999999E-3</v>
      </c>
      <c r="AA2236">
        <v>0.998995999999999</v>
      </c>
      <c r="AB2236">
        <v>20</v>
      </c>
      <c r="AC2236">
        <v>0.70319999999998095</v>
      </c>
      <c r="AD2236">
        <v>-8.4669999999999995E-2</v>
      </c>
      <c r="AE2236">
        <v>2.66000000000019E-2</v>
      </c>
      <c r="AF2236">
        <v>-3.95295052791588E-2</v>
      </c>
      <c r="AG2236">
        <v>-8.4669999999999995E-2</v>
      </c>
      <c r="AH2236">
        <v>0.69253350516969803</v>
      </c>
      <c r="AI2236">
        <v>96.959242666702394</v>
      </c>
      <c r="AJ2236">
        <v>93.266872850014195</v>
      </c>
      <c r="AK2236">
        <v>0.69880916312698904</v>
      </c>
    </row>
    <row r="2237" spans="1:37" x14ac:dyDescent="0.2">
      <c r="A2237" t="str">
        <f>"20200111160156892"</f>
        <v>20200111160156892</v>
      </c>
      <c r="B2237" t="str">
        <f>"1578729716883561"</f>
        <v>1578729716883561</v>
      </c>
      <c r="C2237" t="s">
        <v>37</v>
      </c>
      <c r="D2237">
        <v>5.1829650000000003</v>
      </c>
      <c r="E2237">
        <v>0.50126499999999996</v>
      </c>
      <c r="F2237" t="s">
        <v>60</v>
      </c>
      <c r="G2237">
        <v>-434.42649999999998</v>
      </c>
      <c r="H2237" s="1">
        <v>4.2694379999999999E-6</v>
      </c>
      <c r="I2237">
        <v>213.59280000000001</v>
      </c>
      <c r="J2237">
        <v>-446.12729999999999</v>
      </c>
      <c r="K2237">
        <v>1.1048719999999901</v>
      </c>
      <c r="L2237">
        <v>213.25530000000001</v>
      </c>
      <c r="M2237">
        <v>0.99972850000000002</v>
      </c>
      <c r="N2237">
        <v>0</v>
      </c>
      <c r="O2237">
        <v>-1.8994779999999999E-2</v>
      </c>
      <c r="P2237">
        <v>0.99952849999999904</v>
      </c>
      <c r="Q2237">
        <v>1.545121E-2</v>
      </c>
      <c r="R2237">
        <v>2.6535409999999999E-2</v>
      </c>
      <c r="S2237">
        <v>3.0036930000000002</v>
      </c>
      <c r="T2237">
        <v>-0.27915999999999902</v>
      </c>
      <c r="U2237">
        <v>8.4426879999999996E-2</v>
      </c>
      <c r="V2237">
        <v>-4.5529670000000001E-2</v>
      </c>
      <c r="W2237">
        <v>2.8913109999999999E-2</v>
      </c>
      <c r="X2237">
        <v>0.99854449999999995</v>
      </c>
      <c r="Y2237">
        <v>-4.6797199999999997E-2</v>
      </c>
      <c r="Z2237">
        <v>3.9309509999999898E-3</v>
      </c>
      <c r="AA2237">
        <v>0.99889669999999897</v>
      </c>
      <c r="AB2237">
        <v>20</v>
      </c>
      <c r="AC2237">
        <v>11.700799999999999</v>
      </c>
      <c r="AD2237">
        <v>-1.1048677305619901</v>
      </c>
      <c r="AE2237">
        <v>0.33750000000000502</v>
      </c>
      <c r="AF2237">
        <v>-0.55477101434439902</v>
      </c>
      <c r="AG2237">
        <v>-1.1048677305619901</v>
      </c>
      <c r="AH2237">
        <v>11.589030752918999</v>
      </c>
      <c r="AI2237">
        <v>95.439777140729802</v>
      </c>
      <c r="AJ2237">
        <v>92.740677088384302</v>
      </c>
      <c r="AK2237">
        <v>11.6547903186843</v>
      </c>
    </row>
    <row r="2238" spans="1:37" x14ac:dyDescent="0.2">
      <c r="A2238" t="str">
        <f>"20200111160156914"</f>
        <v>20200111160156914</v>
      </c>
      <c r="B2238" t="str">
        <f>"1578729716904057"</f>
        <v>1578729716904057</v>
      </c>
      <c r="C2238" t="s">
        <v>37</v>
      </c>
      <c r="D2238">
        <v>5.1935779999999996</v>
      </c>
      <c r="E2238">
        <v>0.50148859999999995</v>
      </c>
      <c r="F2238" t="s">
        <v>60</v>
      </c>
      <c r="G2238">
        <v>-434.23239999999998</v>
      </c>
      <c r="H2238" s="1">
        <v>4.1818520000000001E-6</v>
      </c>
      <c r="I2238">
        <v>213.60980000000001</v>
      </c>
      <c r="J2238">
        <v>-445.92829999999998</v>
      </c>
      <c r="K2238">
        <v>1.104949</v>
      </c>
      <c r="L2238">
        <v>213.2518</v>
      </c>
      <c r="M2238">
        <v>0.99973519999999905</v>
      </c>
      <c r="N2238">
        <v>0</v>
      </c>
      <c r="O2238">
        <v>-1.8642519999999999E-2</v>
      </c>
      <c r="P2238">
        <v>0.99951480000000004</v>
      </c>
      <c r="Q2238">
        <v>1.565776E-2</v>
      </c>
      <c r="R2238">
        <v>2.6929419999999999E-2</v>
      </c>
      <c r="S2238">
        <v>3.0033259999999999</v>
      </c>
      <c r="T2238">
        <v>-0.2789642</v>
      </c>
      <c r="U2238">
        <v>8.950806E-2</v>
      </c>
      <c r="V2238">
        <v>-4.5577029999999998E-2</v>
      </c>
      <c r="W2238">
        <v>2.910948E-2</v>
      </c>
      <c r="X2238">
        <v>0.9985366</v>
      </c>
      <c r="Y2238">
        <v>-4.8133280000000001E-2</v>
      </c>
      <c r="Z2238">
        <v>3.9578520000000004E-3</v>
      </c>
      <c r="AA2238">
        <v>0.99883310000000003</v>
      </c>
      <c r="AB2238">
        <v>20</v>
      </c>
      <c r="AC2238">
        <v>11.6958999999999</v>
      </c>
      <c r="AD2238">
        <v>-1.1049448181479999</v>
      </c>
      <c r="AE2238">
        <v>0.35800000000000398</v>
      </c>
      <c r="AF2238">
        <v>-0.57090801463144503</v>
      </c>
      <c r="AG2238">
        <v>-1.1049448181479999</v>
      </c>
      <c r="AH2238">
        <v>11.5839015122458</v>
      </c>
      <c r="AI2238">
        <v>95.442178014843506</v>
      </c>
      <c r="AJ2238">
        <v>92.821516898119796</v>
      </c>
      <c r="AK2238">
        <v>11.6504769540879</v>
      </c>
    </row>
    <row r="2239" spans="1:37" x14ac:dyDescent="0.2">
      <c r="A2239" t="str">
        <f>"20200111160156938"</f>
        <v>20200111160156938</v>
      </c>
      <c r="B2239" t="str">
        <f>"1578729716933337"</f>
        <v>1578729716933337</v>
      </c>
      <c r="C2239" t="s">
        <v>37</v>
      </c>
      <c r="D2239">
        <v>5.1193589999999896</v>
      </c>
      <c r="E2239">
        <v>0.50157859999999999</v>
      </c>
      <c r="F2239" t="s">
        <v>60</v>
      </c>
      <c r="G2239">
        <v>-433.97480000000002</v>
      </c>
      <c r="H2239" s="1">
        <v>4.067661E-6</v>
      </c>
      <c r="I2239">
        <v>213.60929999999999</v>
      </c>
      <c r="J2239">
        <v>-445.72649999999999</v>
      </c>
      <c r="K2239">
        <v>1.1050359999999999</v>
      </c>
      <c r="L2239">
        <v>213.24860000000001</v>
      </c>
      <c r="M2239">
        <v>0.99974470000000004</v>
      </c>
      <c r="N2239">
        <v>0</v>
      </c>
      <c r="O2239">
        <v>-1.812925E-2</v>
      </c>
      <c r="P2239">
        <v>0.99950830000000002</v>
      </c>
      <c r="Q2239">
        <v>1.730042E-2</v>
      </c>
      <c r="R2239">
        <v>2.6151250000000001E-2</v>
      </c>
      <c r="S2239">
        <v>3.0033569999999998</v>
      </c>
      <c r="T2239">
        <v>-0.2776189</v>
      </c>
      <c r="U2239">
        <v>8.9813229999999994E-2</v>
      </c>
      <c r="V2239">
        <v>-4.4293539999999999E-2</v>
      </c>
      <c r="W2239">
        <v>3.0741919999999999E-2</v>
      </c>
      <c r="X2239">
        <v>0.99854549999999997</v>
      </c>
      <c r="Y2239">
        <v>-4.7728260000000002E-2</v>
      </c>
      <c r="Z2239">
        <v>3.8727869999999999E-3</v>
      </c>
      <c r="AA2239">
        <v>0.99885279999999999</v>
      </c>
      <c r="AB2239">
        <v>20</v>
      </c>
      <c r="AC2239">
        <v>11.7516999999999</v>
      </c>
      <c r="AD2239">
        <v>-1.1050319323390001</v>
      </c>
      <c r="AE2239">
        <v>0.36069999999997998</v>
      </c>
      <c r="AF2239">
        <v>-0.56868602854818595</v>
      </c>
      <c r="AG2239">
        <v>-1.1050319323390001</v>
      </c>
      <c r="AH2239">
        <v>11.640401435802399</v>
      </c>
      <c r="AI2239">
        <v>95.416458151100798</v>
      </c>
      <c r="AJ2239">
        <v>92.796933049942496</v>
      </c>
      <c r="AK2239">
        <v>11.7065556402037</v>
      </c>
    </row>
    <row r="2240" spans="1:37" x14ac:dyDescent="0.2">
      <c r="A2240" t="str">
        <f>"20200111160156959"</f>
        <v>20200111160156959</v>
      </c>
      <c r="B2240" t="str">
        <f>"1578729716953832"</f>
        <v>1578729716953832</v>
      </c>
      <c r="C2240" t="s">
        <v>37</v>
      </c>
      <c r="D2240">
        <v>5.180714</v>
      </c>
      <c r="E2240">
        <v>0.50174470000000004</v>
      </c>
      <c r="F2240" t="s">
        <v>60</v>
      </c>
      <c r="G2240">
        <v>-433.44420000000002</v>
      </c>
      <c r="H2240" s="1">
        <v>3.8325860000000004E-6</v>
      </c>
      <c r="I2240">
        <v>213.60679999999999</v>
      </c>
      <c r="J2240">
        <v>-445.53899999999999</v>
      </c>
      <c r="K2240">
        <v>1.105138</v>
      </c>
      <c r="L2240">
        <v>213.2458</v>
      </c>
      <c r="M2240">
        <v>0.99975590000000003</v>
      </c>
      <c r="N2240">
        <v>0</v>
      </c>
      <c r="O2240">
        <v>-1.750028E-2</v>
      </c>
      <c r="P2240">
        <v>0.99949330000000003</v>
      </c>
      <c r="Q2240">
        <v>2.013701E-2</v>
      </c>
      <c r="R2240">
        <v>2.4655509999999999E-2</v>
      </c>
      <c r="S2240">
        <v>3.0038450000000001</v>
      </c>
      <c r="T2240">
        <v>-0.27025339999999998</v>
      </c>
      <c r="U2240">
        <v>8.7600709999999998E-2</v>
      </c>
      <c r="V2240">
        <v>-4.2179800000000003E-2</v>
      </c>
      <c r="W2240">
        <v>3.3570009999999997E-2</v>
      </c>
      <c r="X2240">
        <v>0.99854589999999999</v>
      </c>
      <c r="Y2240">
        <v>-4.6382599999999899E-2</v>
      </c>
      <c r="Z2240">
        <v>3.6530199999999999E-3</v>
      </c>
      <c r="AA2240">
        <v>0.99891700000000005</v>
      </c>
      <c r="AB2240">
        <v>20</v>
      </c>
      <c r="AC2240">
        <v>12.0947999999999</v>
      </c>
      <c r="AD2240">
        <v>-1.1051341674140001</v>
      </c>
      <c r="AE2240">
        <v>0.36099999999999</v>
      </c>
      <c r="AF2240">
        <v>-0.56788927618961504</v>
      </c>
      <c r="AG2240">
        <v>-1.1051341674140001</v>
      </c>
      <c r="AH2240">
        <v>11.9866422914294</v>
      </c>
      <c r="AI2240">
        <v>95.261746695882707</v>
      </c>
      <c r="AJ2240">
        <v>92.712464958819197</v>
      </c>
      <c r="AK2240">
        <v>12.0508677355899</v>
      </c>
    </row>
    <row r="2241" spans="1:37" x14ac:dyDescent="0.2">
      <c r="A2241" t="str">
        <f>"20200111160156982"</f>
        <v>20200111160156982</v>
      </c>
      <c r="B2241" t="str">
        <f>"1578729716973353"</f>
        <v>1578729716973353</v>
      </c>
      <c r="C2241" t="s">
        <v>37</v>
      </c>
      <c r="D2241">
        <v>5.1166460000000002</v>
      </c>
      <c r="E2241">
        <v>0.50185590000000002</v>
      </c>
      <c r="F2241" t="s">
        <v>60</v>
      </c>
      <c r="G2241">
        <v>-432.84140000000002</v>
      </c>
      <c r="H2241" s="1">
        <v>3.56653399999999E-6</v>
      </c>
      <c r="I2241">
        <v>213.5926</v>
      </c>
      <c r="J2241">
        <v>-445.33890000000002</v>
      </c>
      <c r="K2241">
        <v>1.1052679999999999</v>
      </c>
      <c r="L2241">
        <v>213.2432</v>
      </c>
      <c r="M2241">
        <v>0.99977019999999905</v>
      </c>
      <c r="N2241">
        <v>0</v>
      </c>
      <c r="O2241">
        <v>-1.6658909999999999E-2</v>
      </c>
      <c r="P2241">
        <v>0.99948689999999996</v>
      </c>
      <c r="Q2241">
        <v>2.2773709999999999E-2</v>
      </c>
      <c r="R2241">
        <v>2.252287E-2</v>
      </c>
      <c r="S2241">
        <v>3.0047609999999998</v>
      </c>
      <c r="T2241">
        <v>-0.2615191</v>
      </c>
      <c r="U2241">
        <v>8.2046510000000003E-2</v>
      </c>
      <c r="V2241">
        <v>-3.9219169999999998E-2</v>
      </c>
      <c r="W2241">
        <v>3.6199120000000001E-2</v>
      </c>
      <c r="X2241">
        <v>0.99857469999999904</v>
      </c>
      <c r="Y2241">
        <v>-4.3717659999999998E-2</v>
      </c>
      <c r="Z2241">
        <v>3.345607E-3</v>
      </c>
      <c r="AA2241">
        <v>0.99903829999999905</v>
      </c>
      <c r="AB2241">
        <v>20</v>
      </c>
      <c r="AC2241">
        <v>12.4975</v>
      </c>
      <c r="AD2241">
        <v>-1.105264433466</v>
      </c>
      <c r="AE2241">
        <v>0.34940000000000199</v>
      </c>
      <c r="AF2241">
        <v>-0.55324142524714404</v>
      </c>
      <c r="AG2241">
        <v>-1.105264433466</v>
      </c>
      <c r="AH2241">
        <v>12.3930883090443</v>
      </c>
      <c r="AI2241">
        <v>95.091336162992903</v>
      </c>
      <c r="AJ2241">
        <v>92.556051127960004</v>
      </c>
      <c r="AK2241">
        <v>12.4545703811197</v>
      </c>
    </row>
    <row r="2242" spans="1:37" x14ac:dyDescent="0.2">
      <c r="A2242" t="str">
        <f>"20200111160157005"</f>
        <v>20200111160157005</v>
      </c>
      <c r="B2242" t="str">
        <f>"1578729716993382"</f>
        <v>1578729716993382</v>
      </c>
      <c r="C2242" t="s">
        <v>37</v>
      </c>
      <c r="D2242">
        <v>5.096978</v>
      </c>
      <c r="E2242">
        <v>0.50193920000000003</v>
      </c>
      <c r="F2242" t="s">
        <v>60</v>
      </c>
      <c r="G2242">
        <v>-432.23450000000003</v>
      </c>
      <c r="H2242" s="1">
        <v>3.2995159999999999E-6</v>
      </c>
      <c r="I2242">
        <v>213.5684</v>
      </c>
      <c r="J2242">
        <v>-445.1361</v>
      </c>
      <c r="K2242">
        <v>1.105399</v>
      </c>
      <c r="L2242">
        <v>213.24099999999899</v>
      </c>
      <c r="M2242">
        <v>0.99978690000000003</v>
      </c>
      <c r="N2242">
        <v>0</v>
      </c>
      <c r="O2242">
        <v>-1.5623369999999999E-2</v>
      </c>
      <c r="P2242">
        <v>0.99947359999999896</v>
      </c>
      <c r="Q2242">
        <v>2.517382E-2</v>
      </c>
      <c r="R2242">
        <v>2.0469089999999999E-2</v>
      </c>
      <c r="S2242">
        <v>3.005646</v>
      </c>
      <c r="T2242">
        <v>-0.25350529999999999</v>
      </c>
      <c r="U2242">
        <v>7.4569700000000003E-2</v>
      </c>
      <c r="V2242">
        <v>-3.6145009999999998E-2</v>
      </c>
      <c r="W2242">
        <v>3.8593549999999997E-2</v>
      </c>
      <c r="X2242">
        <v>0.99860110000000002</v>
      </c>
      <c r="Y2242">
        <v>-4.0221020000000003E-2</v>
      </c>
      <c r="Z2242">
        <v>3.00824599999999E-3</v>
      </c>
      <c r="AA2242">
        <v>0.99918629999999997</v>
      </c>
      <c r="AB2242">
        <v>20</v>
      </c>
      <c r="AC2242">
        <v>12.901599999999901</v>
      </c>
      <c r="AD2242">
        <v>-1.105395700484</v>
      </c>
      <c r="AE2242">
        <v>0.32740000000001102</v>
      </c>
      <c r="AF2242">
        <v>-0.52509269065405695</v>
      </c>
      <c r="AG2242">
        <v>-1.105395700484</v>
      </c>
      <c r="AH2242">
        <v>12.8009993038154</v>
      </c>
      <c r="AI2242">
        <v>94.931252774900898</v>
      </c>
      <c r="AJ2242">
        <v>92.348936766029297</v>
      </c>
      <c r="AK2242">
        <v>12.859362548925599</v>
      </c>
    </row>
    <row r="2243" spans="1:37" x14ac:dyDescent="0.2">
      <c r="A2243" t="str">
        <f>"20200111160157027"</f>
        <v>20200111160157027</v>
      </c>
      <c r="B2243" t="str">
        <f>"1578729717023638"</f>
        <v>1578729717023638</v>
      </c>
      <c r="C2243" t="s">
        <v>37</v>
      </c>
      <c r="D2243">
        <v>5.0702389999999999</v>
      </c>
      <c r="E2243">
        <v>0.50199970000000005</v>
      </c>
      <c r="F2243" t="s">
        <v>60</v>
      </c>
      <c r="G2243">
        <v>-431.58940000000001</v>
      </c>
      <c r="H2243" s="1">
        <v>3.015556E-6</v>
      </c>
      <c r="I2243">
        <v>213.54419999999999</v>
      </c>
      <c r="J2243">
        <v>-444.94330000000002</v>
      </c>
      <c r="K2243">
        <v>1.1055029999999999</v>
      </c>
      <c r="L2243">
        <v>213.23929999999999</v>
      </c>
      <c r="M2243">
        <v>0.99980440000000004</v>
      </c>
      <c r="N2243">
        <v>0</v>
      </c>
      <c r="O2243">
        <v>-1.446853E-2</v>
      </c>
      <c r="P2243">
        <v>0.99949969999999999</v>
      </c>
      <c r="Q2243">
        <v>2.5634819999999999E-2</v>
      </c>
      <c r="R2243">
        <v>1.8531590000000001E-2</v>
      </c>
      <c r="S2243">
        <v>3.00637799999999</v>
      </c>
      <c r="T2243">
        <v>-0.24531700000000001</v>
      </c>
      <c r="U2243">
        <v>6.7291260000000006E-2</v>
      </c>
      <c r="V2243">
        <v>-3.3063910000000002E-2</v>
      </c>
      <c r="W2243">
        <v>3.9052870000000003E-2</v>
      </c>
      <c r="X2243">
        <v>0.99868989999999902</v>
      </c>
      <c r="Y2243">
        <v>-3.6671210000000003E-2</v>
      </c>
      <c r="Z2243">
        <v>2.6721290000000001E-3</v>
      </c>
      <c r="AA2243">
        <v>0.99932379999999998</v>
      </c>
      <c r="AB2243">
        <v>20</v>
      </c>
      <c r="AC2243">
        <v>13.353899999999999</v>
      </c>
      <c r="AD2243">
        <v>-1.1054999844440001</v>
      </c>
      <c r="AE2243">
        <v>0.304900000000003</v>
      </c>
      <c r="AF2243">
        <v>-0.494708319530347</v>
      </c>
      <c r="AG2243">
        <v>-1.1054999844440001</v>
      </c>
      <c r="AH2243">
        <v>13.257280977625699</v>
      </c>
      <c r="AI2243">
        <v>94.763460044635707</v>
      </c>
      <c r="AJ2243">
        <v>92.137056107986595</v>
      </c>
      <c r="AK2243">
        <v>13.3124890781828</v>
      </c>
    </row>
    <row r="2244" spans="1:37" x14ac:dyDescent="0.2">
      <c r="A2244" t="str">
        <f>"20200111160157049"</f>
        <v>20200111160157049</v>
      </c>
      <c r="B2244" t="str">
        <f>"1578729717044133"</f>
        <v>1578729717044133</v>
      </c>
      <c r="C2244" t="s">
        <v>37</v>
      </c>
      <c r="D2244">
        <v>5.1176059999999897</v>
      </c>
      <c r="E2244">
        <v>0.5020251</v>
      </c>
      <c r="F2244" t="s">
        <v>60</v>
      </c>
      <c r="G2244">
        <v>-431.28410000000002</v>
      </c>
      <c r="H2244" s="1">
        <v>2.8828780000000002E-6</v>
      </c>
      <c r="I2244">
        <v>213.51320000000001</v>
      </c>
      <c r="J2244">
        <v>-444.74959999999999</v>
      </c>
      <c r="K2244">
        <v>1.10558</v>
      </c>
      <c r="L2244">
        <v>213.238</v>
      </c>
      <c r="M2244">
        <v>0.9998224</v>
      </c>
      <c r="N2244">
        <v>0</v>
      </c>
      <c r="O2244">
        <v>-1.315711E-2</v>
      </c>
      <c r="P2244">
        <v>0.99950819999999996</v>
      </c>
      <c r="Q2244">
        <v>2.5247740000000001E-2</v>
      </c>
      <c r="R2244">
        <v>1.8596089999999999E-2</v>
      </c>
      <c r="S2244">
        <v>3.006653</v>
      </c>
      <c r="T2244">
        <v>-0.24334220000000001</v>
      </c>
      <c r="U2244">
        <v>6.0287479999999997E-2</v>
      </c>
      <c r="V2244">
        <v>-3.18243E-2</v>
      </c>
      <c r="W2244">
        <v>3.8662630000000003E-2</v>
      </c>
      <c r="X2244">
        <v>0.99874540000000001</v>
      </c>
      <c r="Y2244">
        <v>-3.3050209999999997E-2</v>
      </c>
      <c r="Z2244">
        <v>2.398266E-3</v>
      </c>
      <c r="AA2244">
        <v>0.99945079999999997</v>
      </c>
      <c r="AB2244">
        <v>20</v>
      </c>
      <c r="AC2244">
        <v>13.465499999999899</v>
      </c>
      <c r="AD2244">
        <v>-1.1055771171219999</v>
      </c>
      <c r="AE2244">
        <v>0.27520000000001199</v>
      </c>
      <c r="AF2244">
        <v>-0.44933162795040699</v>
      </c>
      <c r="AG2244">
        <v>-1.1055771171219999</v>
      </c>
      <c r="AH2244">
        <v>13.370617543062499</v>
      </c>
      <c r="AI2244">
        <v>94.724211803572004</v>
      </c>
      <c r="AJ2244">
        <v>91.924751842958202</v>
      </c>
      <c r="AK2244">
        <v>13.4237704523219</v>
      </c>
    </row>
    <row r="2245" spans="1:37" x14ac:dyDescent="0.2">
      <c r="A2245" t="str">
        <f>"20200111160157071"</f>
        <v>20200111160157071</v>
      </c>
      <c r="B2245" t="str">
        <f>"1578729717063654"</f>
        <v>1578729717063654</v>
      </c>
      <c r="C2245" t="s">
        <v>37</v>
      </c>
      <c r="D2245">
        <v>5.133737</v>
      </c>
      <c r="E2245">
        <v>0.50186850000000005</v>
      </c>
      <c r="F2245" t="s">
        <v>60</v>
      </c>
      <c r="G2245">
        <v>-431.16750000000002</v>
      </c>
      <c r="H2245" s="1">
        <v>2.831741E-6</v>
      </c>
      <c r="I2245">
        <v>213.50649999999999</v>
      </c>
      <c r="J2245">
        <v>-444.5557</v>
      </c>
      <c r="K2245">
        <v>1.1056250000000001</v>
      </c>
      <c r="L2245">
        <v>213.2371</v>
      </c>
      <c r="M2245">
        <v>0.99984050000000002</v>
      </c>
      <c r="N2245">
        <v>0</v>
      </c>
      <c r="O2245">
        <v>-1.171349E-2</v>
      </c>
      <c r="P2245">
        <v>0.99948189999999903</v>
      </c>
      <c r="Q2245">
        <v>2.4746979999999998E-2</v>
      </c>
      <c r="R2245">
        <v>2.0589389999999999E-2</v>
      </c>
      <c r="S2245">
        <v>3.0065309999999998</v>
      </c>
      <c r="T2245">
        <v>-0.24473010000000001</v>
      </c>
      <c r="U2245">
        <v>5.9448239999999999E-2</v>
      </c>
      <c r="V2245">
        <v>-3.2379270000000002E-2</v>
      </c>
      <c r="W2245">
        <v>3.8156610000000001E-2</v>
      </c>
      <c r="X2245">
        <v>0.9987471</v>
      </c>
      <c r="Y2245">
        <v>-3.1337740000000003E-2</v>
      </c>
      <c r="Z2245">
        <v>2.225112E-3</v>
      </c>
      <c r="AA2245">
        <v>0.99950640000000002</v>
      </c>
      <c r="AB2245">
        <v>20</v>
      </c>
      <c r="AC2245">
        <v>13.3881999999999</v>
      </c>
      <c r="AD2245">
        <v>-1.1056221682589999</v>
      </c>
      <c r="AE2245">
        <v>0.26939999999998998</v>
      </c>
      <c r="AF2245">
        <v>-0.42333245856861101</v>
      </c>
      <c r="AG2245">
        <v>-1.1056221682589999</v>
      </c>
      <c r="AH2245">
        <v>13.2935036192327</v>
      </c>
      <c r="AI2245">
        <v>94.751956248212906</v>
      </c>
      <c r="AJ2245">
        <v>91.823971299671101</v>
      </c>
      <c r="AK2245">
        <v>13.3461173838677</v>
      </c>
    </row>
    <row r="2246" spans="1:37" x14ac:dyDescent="0.2">
      <c r="A2246" t="str">
        <f>"20200111160157094"</f>
        <v>20200111160157094</v>
      </c>
      <c r="B2246" t="str">
        <f>"1578729717084150"</f>
        <v>1578729717084150</v>
      </c>
      <c r="C2246" t="s">
        <v>37</v>
      </c>
      <c r="D2246">
        <v>5.1453449999999998</v>
      </c>
      <c r="E2246">
        <v>0.50174249999999998</v>
      </c>
      <c r="F2246" t="s">
        <v>60</v>
      </c>
      <c r="G2246">
        <v>-431.04390000000001</v>
      </c>
      <c r="H2246" s="1">
        <v>2.77455E-6</v>
      </c>
      <c r="I2246">
        <v>213.53370000000001</v>
      </c>
      <c r="J2246">
        <v>-444.35309999999998</v>
      </c>
      <c r="K2246">
        <v>1.105645</v>
      </c>
      <c r="L2246">
        <v>213.23660000000001</v>
      </c>
      <c r="M2246">
        <v>0.99985780000000002</v>
      </c>
      <c r="N2246">
        <v>0</v>
      </c>
      <c r="O2246">
        <v>-1.01186E-2</v>
      </c>
      <c r="P2246">
        <v>0.9994421</v>
      </c>
      <c r="Q2246">
        <v>2.3691549999999999E-2</v>
      </c>
      <c r="R2246">
        <v>2.354415E-2</v>
      </c>
      <c r="S2246">
        <v>3.0062869999999999</v>
      </c>
      <c r="T2246">
        <v>-0.24599279999999901</v>
      </c>
      <c r="U2246">
        <v>6.5994259999999999E-2</v>
      </c>
      <c r="V2246">
        <v>-3.3739779999999997E-2</v>
      </c>
      <c r="W2246">
        <v>3.7094500000000002E-2</v>
      </c>
      <c r="X2246">
        <v>0.99874200000000002</v>
      </c>
      <c r="Y2246">
        <v>-3.1922310000000002E-2</v>
      </c>
      <c r="Z2246">
        <v>2.1302779999999898E-3</v>
      </c>
      <c r="AA2246">
        <v>0.99948809999999999</v>
      </c>
      <c r="AB2246">
        <v>20</v>
      </c>
      <c r="AC2246">
        <v>13.309199999999899</v>
      </c>
      <c r="AD2246">
        <v>-1.10564222545</v>
      </c>
      <c r="AE2246">
        <v>0.29709999999999998</v>
      </c>
      <c r="AF2246">
        <v>-0.428809682434944</v>
      </c>
      <c r="AG2246">
        <v>-1.10564222545</v>
      </c>
      <c r="AH2246">
        <v>13.2143623238172</v>
      </c>
      <c r="AI2246">
        <v>94.780278228837901</v>
      </c>
      <c r="AJ2246">
        <v>91.858611560707303</v>
      </c>
      <c r="AK2246">
        <v>13.2674675088944</v>
      </c>
    </row>
    <row r="2247" spans="1:37" x14ac:dyDescent="0.2">
      <c r="A2247" t="str">
        <f>"20200111160157115"</f>
        <v>20200111160157115</v>
      </c>
      <c r="B2247" t="str">
        <f>"1578729717104177"</f>
        <v>1578729717104177</v>
      </c>
      <c r="C2247" t="s">
        <v>37</v>
      </c>
      <c r="D2247">
        <v>5.2226869999999996</v>
      </c>
      <c r="E2247">
        <v>0.50161250000000002</v>
      </c>
      <c r="F2247" t="s">
        <v>60</v>
      </c>
      <c r="G2247">
        <v>-431.01409999999998</v>
      </c>
      <c r="H2247" s="1">
        <v>2.757973E-6</v>
      </c>
      <c r="I2247">
        <v>213.57230000000001</v>
      </c>
      <c r="J2247">
        <v>-444.166</v>
      </c>
      <c r="K2247">
        <v>1.105631</v>
      </c>
      <c r="L2247">
        <v>213.2364</v>
      </c>
      <c r="M2247">
        <v>0.99987190000000004</v>
      </c>
      <c r="N2247">
        <v>0</v>
      </c>
      <c r="O2247">
        <v>-8.6096349999999992E-3</v>
      </c>
      <c r="P2247">
        <v>0.99940899999999999</v>
      </c>
      <c r="Q2247">
        <v>2.1791149999999999E-2</v>
      </c>
      <c r="R2247">
        <v>2.6591650000000001E-2</v>
      </c>
      <c r="S2247">
        <v>3.0057680000000002</v>
      </c>
      <c r="T2247">
        <v>-0.24914220000000001</v>
      </c>
      <c r="U2247">
        <v>7.5653079999999998E-2</v>
      </c>
      <c r="V2247">
        <v>-3.5275180000000003E-2</v>
      </c>
      <c r="W2247">
        <v>3.5190300000000001E-2</v>
      </c>
      <c r="X2247">
        <v>0.99875789999999998</v>
      </c>
      <c r="Y2247">
        <v>-3.3623340000000002E-2</v>
      </c>
      <c r="Z2247">
        <v>2.1032619999999998E-3</v>
      </c>
      <c r="AA2247">
        <v>0.9994324</v>
      </c>
      <c r="AB2247">
        <v>20</v>
      </c>
      <c r="AC2247">
        <v>13.151899999999999</v>
      </c>
      <c r="AD2247">
        <v>-1.1056282420270001</v>
      </c>
      <c r="AE2247">
        <v>0.33590000000000902</v>
      </c>
      <c r="AF2247">
        <v>-0.44598117639115697</v>
      </c>
      <c r="AG2247">
        <v>-1.1056282420270001</v>
      </c>
      <c r="AH2247">
        <v>13.0563101106102</v>
      </c>
      <c r="AI2247">
        <v>94.837538042580505</v>
      </c>
      <c r="AJ2247">
        <v>91.956364978448406</v>
      </c>
      <c r="AK2247">
        <v>13.110627243716699</v>
      </c>
    </row>
    <row r="2248" spans="1:37" x14ac:dyDescent="0.2">
      <c r="A2248" t="str">
        <f>"20200111160157159"</f>
        <v>20200111160157159</v>
      </c>
      <c r="B2248" t="str">
        <f>"1578729717153953"</f>
        <v>1578729717153953</v>
      </c>
      <c r="C2248" t="s">
        <v>37</v>
      </c>
      <c r="D2248">
        <v>5.1515699999999898</v>
      </c>
      <c r="E2248">
        <v>0.50154290000000001</v>
      </c>
      <c r="F2248" t="s">
        <v>60</v>
      </c>
      <c r="G2248">
        <v>-431.14010000000002</v>
      </c>
      <c r="H2248" s="1">
        <v>2.8106790000000001E-6</v>
      </c>
      <c r="I2248">
        <v>213.60849999999999</v>
      </c>
      <c r="J2248">
        <v>-443.78859999999997</v>
      </c>
      <c r="K2248">
        <v>1.1055469999999901</v>
      </c>
      <c r="L2248">
        <v>213.23699999999999</v>
      </c>
      <c r="M2248">
        <v>0.99989349999999999</v>
      </c>
      <c r="N2248">
        <v>0</v>
      </c>
      <c r="O2248">
        <v>-5.5689919999999896E-3</v>
      </c>
      <c r="P2248">
        <v>0.99924869999999899</v>
      </c>
      <c r="Q2248">
        <v>1.5771429999999999E-2</v>
      </c>
      <c r="R2248">
        <v>3.5405539999999999E-2</v>
      </c>
      <c r="S2248">
        <v>3.0050659999999998</v>
      </c>
      <c r="T2248">
        <v>-0.25506780000000001</v>
      </c>
      <c r="U2248">
        <v>8.5830690000000001E-2</v>
      </c>
      <c r="V2248">
        <v>-4.1033189999999997E-2</v>
      </c>
      <c r="W2248">
        <v>2.9157619999999999E-2</v>
      </c>
      <c r="X2248">
        <v>0.99873230000000002</v>
      </c>
      <c r="Y2248">
        <v>-3.3975060000000001E-2</v>
      </c>
      <c r="Z2248">
        <v>1.910808E-3</v>
      </c>
      <c r="AA2248">
        <v>0.99942089999999995</v>
      </c>
      <c r="AB2248">
        <v>20</v>
      </c>
      <c r="AC2248">
        <v>12.648499999999901</v>
      </c>
      <c r="AD2248">
        <v>-1.1055441893209901</v>
      </c>
      <c r="AE2248">
        <v>0.371499999999997</v>
      </c>
      <c r="AF2248">
        <v>-0.43859223486052001</v>
      </c>
      <c r="AG2248">
        <v>-1.1055441893209901</v>
      </c>
      <c r="AH2248">
        <v>12.550436302016699</v>
      </c>
      <c r="AI2248">
        <v>95.031027615607996</v>
      </c>
      <c r="AJ2248">
        <v>92.001465214727503</v>
      </c>
      <c r="AK2248">
        <v>12.6066665885158</v>
      </c>
    </row>
    <row r="2249" spans="1:37" x14ac:dyDescent="0.2">
      <c r="A2249" t="str">
        <f>"20200111160157182"</f>
        <v>20200111160157182</v>
      </c>
      <c r="B2249" t="str">
        <f>"1578729717174450"</f>
        <v>1578729717174450</v>
      </c>
      <c r="C2249" t="s">
        <v>37</v>
      </c>
      <c r="D2249">
        <v>5.7240719999999996</v>
      </c>
      <c r="E2249">
        <v>0.50156769999999995</v>
      </c>
      <c r="F2249" t="s">
        <v>60</v>
      </c>
      <c r="G2249">
        <v>-431.64420000000001</v>
      </c>
      <c r="H2249" s="1">
        <v>3.02649999999999E-6</v>
      </c>
      <c r="I2249">
        <v>213.69669999999999</v>
      </c>
      <c r="J2249">
        <v>-443.58640000000003</v>
      </c>
      <c r="K2249">
        <v>1.105502</v>
      </c>
      <c r="L2249">
        <v>213.23779999999999</v>
      </c>
      <c r="M2249">
        <v>0.99990109999999999</v>
      </c>
      <c r="N2249">
        <v>0</v>
      </c>
      <c r="O2249">
        <v>-3.9782949999999997E-3</v>
      </c>
      <c r="P2249">
        <v>0.99909939999999997</v>
      </c>
      <c r="Q2249">
        <v>1.4004519999999999E-2</v>
      </c>
      <c r="R2249">
        <v>4.0050330000000002E-2</v>
      </c>
      <c r="S2249">
        <v>3.0025629999999999</v>
      </c>
      <c r="T2249">
        <v>-0.27333239999999998</v>
      </c>
      <c r="U2249">
        <v>0.113632199999999</v>
      </c>
      <c r="V2249">
        <v>-4.4082139999999999E-2</v>
      </c>
      <c r="W2249">
        <v>2.7384019999999999E-2</v>
      </c>
      <c r="X2249">
        <v>0.99865249999999905</v>
      </c>
      <c r="Y2249">
        <v>-4.160527E-2</v>
      </c>
      <c r="Z2249">
        <v>2.2504669999999999E-3</v>
      </c>
      <c r="AA2249">
        <v>0.99913159999999901</v>
      </c>
      <c r="AB2249">
        <v>19</v>
      </c>
      <c r="AC2249">
        <v>11.9422</v>
      </c>
      <c r="AD2249">
        <v>-1.1054989735</v>
      </c>
      <c r="AE2249">
        <v>0.45889999999999898</v>
      </c>
      <c r="AF2249">
        <v>-0.50211383922586705</v>
      </c>
      <c r="AG2249">
        <v>-1.1054989735</v>
      </c>
      <c r="AH2249">
        <v>11.838976892386601</v>
      </c>
      <c r="AI2249">
        <v>95.329927256640005</v>
      </c>
      <c r="AJ2249">
        <v>92.428569043942105</v>
      </c>
      <c r="AK2249">
        <v>11.901076428055401</v>
      </c>
    </row>
    <row r="2250" spans="1:37" x14ac:dyDescent="0.2">
      <c r="A2250" t="str">
        <f>"20200111160157204"</f>
        <v>20200111160157204</v>
      </c>
      <c r="B2250" t="str">
        <f>"1578729717193499"</f>
        <v>1578729717193499</v>
      </c>
      <c r="C2250" t="s">
        <v>37</v>
      </c>
      <c r="D2250">
        <v>5.1674559999999996</v>
      </c>
      <c r="E2250">
        <v>0.50162629999999997</v>
      </c>
      <c r="F2250" t="s">
        <v>60</v>
      </c>
      <c r="G2250">
        <v>-431.67059999999998</v>
      </c>
      <c r="H2250" s="1">
        <v>3.0339380000000001E-6</v>
      </c>
      <c r="I2250">
        <v>213.74549999999999</v>
      </c>
      <c r="J2250">
        <v>-443.40100000000001</v>
      </c>
      <c r="K2250">
        <v>1.1054759999999999</v>
      </c>
      <c r="L2250">
        <v>213.2388</v>
      </c>
      <c r="M2250">
        <v>0.99990579999999996</v>
      </c>
      <c r="N2250">
        <v>0</v>
      </c>
      <c r="O2250">
        <v>-2.5475129999999999E-3</v>
      </c>
      <c r="P2250">
        <v>0.99891719999999895</v>
      </c>
      <c r="Q2250">
        <v>1.422674E-2</v>
      </c>
      <c r="R2250">
        <v>4.4294609999999998E-2</v>
      </c>
      <c r="S2250">
        <v>3.0014949999999998</v>
      </c>
      <c r="T2250">
        <v>-0.27846609999999899</v>
      </c>
      <c r="U2250">
        <v>0.12788389999999999</v>
      </c>
      <c r="V2250">
        <v>-4.6895050000000001E-2</v>
      </c>
      <c r="W2250">
        <v>2.7599470000000001E-2</v>
      </c>
      <c r="X2250">
        <v>0.99851849999999998</v>
      </c>
      <c r="Y2250">
        <v>-4.4909980000000002E-2</v>
      </c>
      <c r="Z2250">
        <v>2.3136390000000001E-3</v>
      </c>
      <c r="AA2250">
        <v>0.99898829999999905</v>
      </c>
      <c r="AB2250">
        <v>19</v>
      </c>
      <c r="AC2250">
        <v>11.730399999999999</v>
      </c>
      <c r="AD2250">
        <v>-1.105472966062</v>
      </c>
      <c r="AE2250">
        <v>0.50669999999999504</v>
      </c>
      <c r="AF2250">
        <v>-0.53186958856016298</v>
      </c>
      <c r="AG2250">
        <v>-1.105472966062</v>
      </c>
      <c r="AH2250">
        <v>11.6260106035812</v>
      </c>
      <c r="AI2250">
        <v>95.426064967594698</v>
      </c>
      <c r="AJ2250">
        <v>92.619355061209006</v>
      </c>
      <c r="AK2250">
        <v>11.6905550891526</v>
      </c>
    </row>
    <row r="2251" spans="1:37" x14ac:dyDescent="0.2">
      <c r="A2251" t="str">
        <f>"20200111160157229"</f>
        <v>20200111160157229</v>
      </c>
      <c r="B2251" t="str">
        <f>"1578729717223755"</f>
        <v>1578729717223755</v>
      </c>
      <c r="C2251" t="s">
        <v>37</v>
      </c>
      <c r="D2251">
        <v>5.1161070000000004</v>
      </c>
      <c r="E2251">
        <v>0.50186889999999995</v>
      </c>
      <c r="F2251" t="s">
        <v>60</v>
      </c>
      <c r="G2251">
        <v>-431.44540000000001</v>
      </c>
      <c r="H2251" s="1">
        <v>2.9294720000000001E-6</v>
      </c>
      <c r="I2251">
        <v>213.79830000000001</v>
      </c>
      <c r="J2251">
        <v>-443.19170000000003</v>
      </c>
      <c r="K2251">
        <v>1.1054600000000001</v>
      </c>
      <c r="L2251">
        <v>213.24019999999999</v>
      </c>
      <c r="M2251">
        <v>0.99990869999999998</v>
      </c>
      <c r="N2251">
        <v>0</v>
      </c>
      <c r="O2251">
        <v>-9.4772360000000002E-4</v>
      </c>
      <c r="P2251">
        <v>0.99874879999999999</v>
      </c>
      <c r="Q2251">
        <v>1.4914749999999999E-2</v>
      </c>
      <c r="R2251">
        <v>4.7731389999999999E-2</v>
      </c>
      <c r="S2251">
        <v>3.001007</v>
      </c>
      <c r="T2251">
        <v>-0.2774875</v>
      </c>
      <c r="U2251">
        <v>0.14044189999999901</v>
      </c>
      <c r="V2251">
        <v>-4.8733800000000001E-2</v>
      </c>
      <c r="W2251">
        <v>2.8283470000000002E-2</v>
      </c>
      <c r="X2251">
        <v>0.9984113</v>
      </c>
      <c r="Y2251">
        <v>-4.7487679999999997E-2</v>
      </c>
      <c r="Z2251">
        <v>2.2770120000000001E-3</v>
      </c>
      <c r="AA2251">
        <v>0.99886919999999901</v>
      </c>
      <c r="AB2251">
        <v>19</v>
      </c>
      <c r="AC2251">
        <v>11.7463</v>
      </c>
      <c r="AD2251">
        <v>-1.105457070528</v>
      </c>
      <c r="AE2251">
        <v>0.55810000000002402</v>
      </c>
      <c r="AF2251">
        <v>-0.56424678715441401</v>
      </c>
      <c r="AG2251">
        <v>-1.105457070528</v>
      </c>
      <c r="AH2251">
        <v>11.642878245090399</v>
      </c>
      <c r="AI2251">
        <v>95.417486177670597</v>
      </c>
      <c r="AJ2251">
        <v>92.774544633952701</v>
      </c>
      <c r="AK2251">
        <v>11.708843820018901</v>
      </c>
    </row>
    <row r="2252" spans="1:37" x14ac:dyDescent="0.2">
      <c r="A2252" t="str">
        <f>"20200111160157249"</f>
        <v>20200111160157249</v>
      </c>
      <c r="B2252" t="str">
        <f>"1578729717244251"</f>
        <v>1578729717244251</v>
      </c>
      <c r="C2252" t="s">
        <v>37</v>
      </c>
      <c r="D2252">
        <v>5.0819679999999998</v>
      </c>
      <c r="E2252">
        <v>0.50206549999999905</v>
      </c>
      <c r="F2252" t="s">
        <v>60</v>
      </c>
      <c r="G2252">
        <v>-431.13380000000001</v>
      </c>
      <c r="H2252" s="1">
        <v>2.7875859999999998E-6</v>
      </c>
      <c r="I2252">
        <v>213.8407</v>
      </c>
      <c r="J2252">
        <v>-443.01139999999998</v>
      </c>
      <c r="K2252">
        <v>1.105467</v>
      </c>
      <c r="L2252">
        <v>213.24170000000001</v>
      </c>
      <c r="M2252">
        <v>0.99990919999999905</v>
      </c>
      <c r="N2252">
        <v>0</v>
      </c>
      <c r="O2252">
        <v>4.4182339999999899E-4</v>
      </c>
      <c r="P2252">
        <v>0.99862580000000001</v>
      </c>
      <c r="Q2252">
        <v>1.555074E-2</v>
      </c>
      <c r="R2252">
        <v>5.0050459999999998E-2</v>
      </c>
      <c r="S2252">
        <v>3.000702</v>
      </c>
      <c r="T2252">
        <v>-0.27510050000000003</v>
      </c>
      <c r="U2252">
        <v>0.14944460000000001</v>
      </c>
      <c r="V2252">
        <v>-4.966599E-2</v>
      </c>
      <c r="W2252">
        <v>2.8915489999999999E-2</v>
      </c>
      <c r="X2252">
        <v>0.99834719999999999</v>
      </c>
      <c r="Y2252">
        <v>-4.90967E-2</v>
      </c>
      <c r="Z2252">
        <v>2.2040699999999998E-3</v>
      </c>
      <c r="AA2252">
        <v>0.998791599999999</v>
      </c>
      <c r="AB2252">
        <v>19</v>
      </c>
      <c r="AC2252">
        <v>11.8775999999999</v>
      </c>
      <c r="AD2252">
        <v>-1.1054642124139999</v>
      </c>
      <c r="AE2252">
        <v>0.59899999999998899</v>
      </c>
      <c r="AF2252">
        <v>-0.588665417756152</v>
      </c>
      <c r="AG2252">
        <v>-1.1054642124139999</v>
      </c>
      <c r="AH2252">
        <v>11.776114349649999</v>
      </c>
      <c r="AI2252">
        <v>95.356186304209004</v>
      </c>
      <c r="AJ2252">
        <v>92.861724310457106</v>
      </c>
      <c r="AK2252">
        <v>11.8425270645679</v>
      </c>
    </row>
    <row r="2253" spans="1:37" x14ac:dyDescent="0.2">
      <c r="A2253" t="str">
        <f>"20200111160157272"</f>
        <v>20200111160157272</v>
      </c>
      <c r="B2253" t="str">
        <f>"1578729717263772"</f>
        <v>1578729717263772</v>
      </c>
      <c r="C2253" t="s">
        <v>37</v>
      </c>
      <c r="D2253">
        <v>5.1138000000000003</v>
      </c>
      <c r="E2253">
        <v>0.50223099999999998</v>
      </c>
      <c r="F2253" t="s">
        <v>60</v>
      </c>
      <c r="G2253">
        <v>-430.86989999999997</v>
      </c>
      <c r="H2253" s="1">
        <v>2.6679049999999998E-6</v>
      </c>
      <c r="I2253">
        <v>213.87110000000001</v>
      </c>
      <c r="J2253">
        <v>-442.81380000000001</v>
      </c>
      <c r="K2253">
        <v>1.105494</v>
      </c>
      <c r="L2253">
        <v>213.24369999999999</v>
      </c>
      <c r="M2253">
        <v>0.9999072</v>
      </c>
      <c r="N2253">
        <v>0</v>
      </c>
      <c r="O2253">
        <v>2.016037E-3</v>
      </c>
      <c r="P2253">
        <v>0.99854509999999996</v>
      </c>
      <c r="Q2253">
        <v>1.518857E-2</v>
      </c>
      <c r="R2253">
        <v>5.1741040000000002E-2</v>
      </c>
      <c r="S2253">
        <v>3.0005799999999998</v>
      </c>
      <c r="T2253">
        <v>-0.273198</v>
      </c>
      <c r="U2253">
        <v>0.15556339999999999</v>
      </c>
      <c r="V2253">
        <v>-4.9785059999999999E-2</v>
      </c>
      <c r="W2253">
        <v>2.8548480000000001E-2</v>
      </c>
      <c r="X2253">
        <v>0.99835189999999996</v>
      </c>
      <c r="Y2253">
        <v>-4.9565129999999999E-2</v>
      </c>
      <c r="Z2253">
        <v>2.0671840000000001E-3</v>
      </c>
      <c r="AA2253">
        <v>0.99876869999999995</v>
      </c>
      <c r="AB2253">
        <v>19</v>
      </c>
      <c r="AC2253">
        <v>11.943899999999999</v>
      </c>
      <c r="AD2253">
        <v>-1.1054913320949999</v>
      </c>
      <c r="AE2253">
        <v>0.62740000000002205</v>
      </c>
      <c r="AF2253">
        <v>-0.59820658318666797</v>
      </c>
      <c r="AG2253">
        <v>-1.1054913320949999</v>
      </c>
      <c r="AH2253">
        <v>11.843955165449801</v>
      </c>
      <c r="AI2253">
        <v>95.325675687084498</v>
      </c>
      <c r="AJ2253">
        <v>92.891400019608596</v>
      </c>
      <c r="AK2253">
        <v>11.910467503951701</v>
      </c>
    </row>
    <row r="2254" spans="1:37" x14ac:dyDescent="0.2">
      <c r="A2254" t="str">
        <f>"20200111160157294"</f>
        <v>20200111160157294</v>
      </c>
      <c r="B2254" t="str">
        <f>"1578729717284268"</f>
        <v>1578729717284268</v>
      </c>
      <c r="C2254" t="s">
        <v>37</v>
      </c>
      <c r="D2254">
        <v>6.9319449999999998</v>
      </c>
      <c r="E2254">
        <v>0.50234209999999901</v>
      </c>
      <c r="F2254" t="s">
        <v>60</v>
      </c>
      <c r="G2254">
        <v>-430.71089999999998</v>
      </c>
      <c r="H2254" s="1">
        <v>2.59595899999999E-6</v>
      </c>
      <c r="I2254">
        <v>213.88759999999999</v>
      </c>
      <c r="J2254">
        <v>-442.62419999999997</v>
      </c>
      <c r="K2254">
        <v>1.105532</v>
      </c>
      <c r="L2254">
        <v>213.24590000000001</v>
      </c>
      <c r="M2254">
        <v>0.99990270000000003</v>
      </c>
      <c r="N2254">
        <v>0</v>
      </c>
      <c r="O2254">
        <v>3.5825399999999999E-3</v>
      </c>
      <c r="P2254">
        <v>0.99848099999999995</v>
      </c>
      <c r="Q2254">
        <v>1.540152E-2</v>
      </c>
      <c r="R2254">
        <v>5.2903520000000002E-2</v>
      </c>
      <c r="S2254">
        <v>3.0002439999999999</v>
      </c>
      <c r="T2254">
        <v>-0.27404699999999999</v>
      </c>
      <c r="U2254">
        <v>0.15962219999999999</v>
      </c>
      <c r="V2254">
        <v>-4.9386300000000001E-2</v>
      </c>
      <c r="W2254">
        <v>2.8757720000000001E-2</v>
      </c>
      <c r="X2254">
        <v>0.99836559999999896</v>
      </c>
      <c r="Y2254">
        <v>-4.9359760000000003E-2</v>
      </c>
      <c r="Z2254">
        <v>1.92169E-3</v>
      </c>
      <c r="AA2254">
        <v>0.99877919999999998</v>
      </c>
      <c r="AB2254">
        <v>19</v>
      </c>
      <c r="AC2254">
        <v>11.9132999999999</v>
      </c>
      <c r="AD2254">
        <v>-1.105529404041</v>
      </c>
      <c r="AE2254">
        <v>0.64169999999998595</v>
      </c>
      <c r="AF2254">
        <v>-0.59391247475137399</v>
      </c>
      <c r="AG2254">
        <v>-1.105529404041</v>
      </c>
      <c r="AH2254">
        <v>11.8140805778232</v>
      </c>
      <c r="AI2254">
        <v>95.339310852134403</v>
      </c>
      <c r="AJ2254">
        <v>92.877926492214797</v>
      </c>
      <c r="AK2254">
        <v>11.8805482697628</v>
      </c>
    </row>
    <row r="2255" spans="1:37" x14ac:dyDescent="0.2">
      <c r="A2255" t="str">
        <f>"20200111160157316"</f>
        <v>20200111160157316</v>
      </c>
      <c r="B2255" t="str">
        <f>"1578729717314055"</f>
        <v>1578729717314055</v>
      </c>
      <c r="C2255" t="s">
        <v>37</v>
      </c>
      <c r="D2255">
        <v>5.0742260000000003</v>
      </c>
      <c r="E2255">
        <v>0.50267399999999995</v>
      </c>
      <c r="F2255" t="s">
        <v>60</v>
      </c>
      <c r="G2255">
        <v>-430.51199999999898</v>
      </c>
      <c r="H2255" s="1">
        <v>2.5063379999999998E-6</v>
      </c>
      <c r="I2255">
        <v>213.90360000000001</v>
      </c>
      <c r="J2255">
        <v>-442.43189999999998</v>
      </c>
      <c r="K2255">
        <v>1.1055740000000001</v>
      </c>
      <c r="L2255">
        <v>213.24860000000001</v>
      </c>
      <c r="M2255">
        <v>0.9998956</v>
      </c>
      <c r="N2255">
        <v>0</v>
      </c>
      <c r="O2255">
        <v>5.2512169999999999E-3</v>
      </c>
      <c r="P2255">
        <v>0.99842980000000003</v>
      </c>
      <c r="Q2255">
        <v>1.555724E-2</v>
      </c>
      <c r="R2255">
        <v>5.3818890000000001E-2</v>
      </c>
      <c r="S2255">
        <v>3.0001530000000001</v>
      </c>
      <c r="T2255">
        <v>-0.27383609999999903</v>
      </c>
      <c r="U2255">
        <v>0.16290279999999999</v>
      </c>
      <c r="V2255">
        <v>-4.8638189999999998E-2</v>
      </c>
      <c r="W2255">
        <v>2.8909770000000001E-2</v>
      </c>
      <c r="X2255">
        <v>0.99839800000000001</v>
      </c>
      <c r="Y2255">
        <v>-4.879315E-2</v>
      </c>
      <c r="Z2255">
        <v>1.74255E-3</v>
      </c>
      <c r="AA2255">
        <v>0.99880740000000001</v>
      </c>
      <c r="AB2255">
        <v>19</v>
      </c>
      <c r="AC2255">
        <v>11.9199</v>
      </c>
      <c r="AD2255">
        <v>-1.105571493662</v>
      </c>
      <c r="AE2255">
        <v>0.65500000000000103</v>
      </c>
      <c r="AF2255">
        <v>-0.58735377006258305</v>
      </c>
      <c r="AG2255">
        <v>-1.105571493662</v>
      </c>
      <c r="AH2255">
        <v>11.821783858351701</v>
      </c>
      <c r="AI2255">
        <v>95.336209127043702</v>
      </c>
      <c r="AJ2255">
        <v>92.844345887628506</v>
      </c>
      <c r="AK2255">
        <v>11.8878865393471</v>
      </c>
    </row>
    <row r="2256" spans="1:37" x14ac:dyDescent="0.2">
      <c r="A2256" t="str">
        <f>"20200111160157338"</f>
        <v>20200111160157338</v>
      </c>
      <c r="B2256" t="str">
        <f>"1578729717333575"</f>
        <v>1578729717333575</v>
      </c>
      <c r="C2256" t="s">
        <v>37</v>
      </c>
      <c r="D2256">
        <v>5.1501849999999996</v>
      </c>
      <c r="E2256">
        <v>0.50261909999999999</v>
      </c>
      <c r="F2256" t="s">
        <v>60</v>
      </c>
      <c r="G2256">
        <v>-430.32089999999999</v>
      </c>
      <c r="H2256" s="1">
        <v>2.4211910000000002E-6</v>
      </c>
      <c r="I2256">
        <v>213.90819999999999</v>
      </c>
      <c r="J2256">
        <v>-442.24470000000002</v>
      </c>
      <c r="K2256">
        <v>1.1056239999999999</v>
      </c>
      <c r="L2256">
        <v>213.2516</v>
      </c>
      <c r="M2256">
        <v>0.99988500000000002</v>
      </c>
      <c r="N2256">
        <v>0</v>
      </c>
      <c r="O2256">
        <v>6.9745149999999997E-3</v>
      </c>
      <c r="P2256">
        <v>0.99842450000000005</v>
      </c>
      <c r="Q2256">
        <v>1.516936E-2</v>
      </c>
      <c r="R2256">
        <v>5.4024199999999897E-2</v>
      </c>
      <c r="S2256">
        <v>3.0001530000000001</v>
      </c>
      <c r="T2256">
        <v>-0.2738737</v>
      </c>
      <c r="U2256">
        <v>0.16340639999999901</v>
      </c>
      <c r="V2256">
        <v>-4.712475E-2</v>
      </c>
      <c r="W2256">
        <v>2.852083E-2</v>
      </c>
      <c r="X2256">
        <v>0.99848179999999997</v>
      </c>
      <c r="Y2256">
        <v>-4.7252299999999997E-2</v>
      </c>
      <c r="Z2256">
        <v>1.5157770000000001E-3</v>
      </c>
      <c r="AA2256">
        <v>0.99888180000000004</v>
      </c>
      <c r="AB2256">
        <v>19</v>
      </c>
      <c r="AC2256">
        <v>11.9238</v>
      </c>
      <c r="AD2256">
        <v>-1.105621578809</v>
      </c>
      <c r="AE2256">
        <v>0.65659999999999696</v>
      </c>
      <c r="AF2256">
        <v>-0.56854038622901004</v>
      </c>
      <c r="AG2256">
        <v>-1.105621578809</v>
      </c>
      <c r="AH2256">
        <v>11.8267143564569</v>
      </c>
      <c r="AI2256">
        <v>95.334654323356006</v>
      </c>
      <c r="AJ2256">
        <v>92.752235752639805</v>
      </c>
      <c r="AK2256">
        <v>11.8918799907973</v>
      </c>
    </row>
    <row r="2257" spans="1:37" x14ac:dyDescent="0.2">
      <c r="A2257" t="str">
        <f>"20200111160157360"</f>
        <v>20200111160157360</v>
      </c>
      <c r="B2257" t="str">
        <f>"1578729717354071"</f>
        <v>1578729717354071</v>
      </c>
      <c r="C2257" t="s">
        <v>37</v>
      </c>
      <c r="D2257">
        <v>5.1536439999999999</v>
      </c>
      <c r="E2257">
        <v>0.50260459999999996</v>
      </c>
      <c r="F2257" t="s">
        <v>60</v>
      </c>
      <c r="G2257">
        <v>-430.10270000000003</v>
      </c>
      <c r="H2257" s="1">
        <v>2.323527E-6</v>
      </c>
      <c r="I2257">
        <v>213.91839999999999</v>
      </c>
      <c r="J2257">
        <v>-442.05720000000002</v>
      </c>
      <c r="K2257">
        <v>1.105675</v>
      </c>
      <c r="L2257">
        <v>213.255</v>
      </c>
      <c r="M2257">
        <v>0.99987039999999905</v>
      </c>
      <c r="N2257">
        <v>0</v>
      </c>
      <c r="O2257">
        <v>8.8077280000000008E-3</v>
      </c>
      <c r="P2257">
        <v>0.99843979999999999</v>
      </c>
      <c r="Q2257">
        <v>1.3700260000000001E-2</v>
      </c>
      <c r="R2257">
        <v>5.4132100000000002E-2</v>
      </c>
      <c r="S2257">
        <v>2.9999689999999899</v>
      </c>
      <c r="T2257">
        <v>-0.27316960000000001</v>
      </c>
      <c r="U2257">
        <v>0.16474910000000001</v>
      </c>
      <c r="V2257">
        <v>-4.5402049999999999E-2</v>
      </c>
      <c r="W2257">
        <v>2.7051309999999999E-2</v>
      </c>
      <c r="X2257">
        <v>0.998602399999999</v>
      </c>
      <c r="Y2257">
        <v>-4.5884010000000003E-2</v>
      </c>
      <c r="Z2257">
        <v>1.283396E-3</v>
      </c>
      <c r="AA2257">
        <v>0.998945999999999</v>
      </c>
      <c r="AB2257">
        <v>19</v>
      </c>
      <c r="AC2257">
        <v>11.9544999999999</v>
      </c>
      <c r="AD2257">
        <v>-1.105672676473</v>
      </c>
      <c r="AE2257">
        <v>0.66339999999999499</v>
      </c>
      <c r="AF2257">
        <v>-0.55335363227535805</v>
      </c>
      <c r="AG2257">
        <v>-1.105672676473</v>
      </c>
      <c r="AH2257">
        <v>11.8587465965979</v>
      </c>
      <c r="AI2257">
        <v>95.320924554926293</v>
      </c>
      <c r="AJ2257">
        <v>92.671601643936398</v>
      </c>
      <c r="AK2257">
        <v>11.923027432333299</v>
      </c>
    </row>
    <row r="2258" spans="1:37" x14ac:dyDescent="0.2">
      <c r="A2258" t="str">
        <f>"20200111160157383"</f>
        <v>20200111160157383</v>
      </c>
      <c r="B2258" t="str">
        <f>"1578729717373590"</f>
        <v>1578729717373590</v>
      </c>
      <c r="C2258" t="s">
        <v>37</v>
      </c>
      <c r="D2258">
        <v>5.0917839999999996</v>
      </c>
      <c r="E2258">
        <v>0.50261129999999998</v>
      </c>
      <c r="F2258" t="s">
        <v>60</v>
      </c>
      <c r="G2258">
        <v>-430.05759999999998</v>
      </c>
      <c r="H2258" s="1">
        <v>2.3037289999999998E-6</v>
      </c>
      <c r="I2258">
        <v>213.91650000000001</v>
      </c>
      <c r="J2258">
        <v>-441.86520000000002</v>
      </c>
      <c r="K2258">
        <v>1.1057269999999999</v>
      </c>
      <c r="L2258">
        <v>213.25899999999999</v>
      </c>
      <c r="M2258">
        <v>0.99985089999999999</v>
      </c>
      <c r="N2258">
        <v>0</v>
      </c>
      <c r="O2258">
        <v>1.0790259999999999E-2</v>
      </c>
      <c r="P2258">
        <v>0.998422899999999</v>
      </c>
      <c r="Q2258">
        <v>1.2355359999999999E-2</v>
      </c>
      <c r="R2258">
        <v>5.4760839999999998E-2</v>
      </c>
      <c r="S2258">
        <v>2.99951199999999</v>
      </c>
      <c r="T2258">
        <v>-0.27638370000000001</v>
      </c>
      <c r="U2258">
        <v>0.16535949999999999</v>
      </c>
      <c r="V2258">
        <v>-4.4050300000000001E-2</v>
      </c>
      <c r="W2258">
        <v>2.5705189999999999E-2</v>
      </c>
      <c r="X2258">
        <v>0.99869850000000004</v>
      </c>
      <c r="Y2258">
        <v>-4.4126369999999998E-2</v>
      </c>
      <c r="Z2258">
        <v>1.035741E-3</v>
      </c>
      <c r="AA2258">
        <v>0.99902539999999995</v>
      </c>
      <c r="AB2258">
        <v>19</v>
      </c>
      <c r="AC2258">
        <v>11.807600000000001</v>
      </c>
      <c r="AD2258">
        <v>-1.1057246962709999</v>
      </c>
      <c r="AE2258">
        <v>0.65749999999999797</v>
      </c>
      <c r="AF2258">
        <v>-0.52544942046874599</v>
      </c>
      <c r="AG2258">
        <v>-1.1057246962709999</v>
      </c>
      <c r="AH2258">
        <v>11.711621097609999</v>
      </c>
      <c r="AI2258">
        <v>95.388068398895598</v>
      </c>
      <c r="AJ2258">
        <v>92.568889297699002</v>
      </c>
      <c r="AK2258">
        <v>11.7754317513795</v>
      </c>
    </row>
    <row r="2259" spans="1:37" x14ac:dyDescent="0.2">
      <c r="A2259" t="str">
        <f>"20200111160157406"</f>
        <v>20200111160157406</v>
      </c>
      <c r="B2259" t="str">
        <f>"1578729717393618"</f>
        <v>1578729717393618</v>
      </c>
      <c r="C2259" t="s">
        <v>37</v>
      </c>
      <c r="D2259">
        <v>5.241161</v>
      </c>
      <c r="E2259">
        <v>0.50263939999999996</v>
      </c>
      <c r="F2259" t="s">
        <v>60</v>
      </c>
      <c r="G2259">
        <v>-430.0068</v>
      </c>
      <c r="H2259" s="1">
        <v>2.2808510000000002E-6</v>
      </c>
      <c r="I2259">
        <v>213.92009999999999</v>
      </c>
      <c r="J2259">
        <v>-441.67140000000001</v>
      </c>
      <c r="K2259">
        <v>1.1057709999999901</v>
      </c>
      <c r="L2259">
        <v>213.26349999999999</v>
      </c>
      <c r="M2259">
        <v>0.999826199999999</v>
      </c>
      <c r="N2259">
        <v>0</v>
      </c>
      <c r="O2259">
        <v>1.287992E-2</v>
      </c>
      <c r="P2259">
        <v>0.99842589999999998</v>
      </c>
      <c r="Q2259">
        <v>1.07846E-2</v>
      </c>
      <c r="R2259">
        <v>5.5041199999999901E-2</v>
      </c>
      <c r="S2259">
        <v>2.99902299999999</v>
      </c>
      <c r="T2259">
        <v>-0.27964079999999902</v>
      </c>
      <c r="U2259">
        <v>0.16719059999999999</v>
      </c>
      <c r="V2259">
        <v>-4.2241790000000001E-2</v>
      </c>
      <c r="W2259">
        <v>2.4135940000000002E-2</v>
      </c>
      <c r="X2259">
        <v>0.99881580000000003</v>
      </c>
      <c r="Y2259">
        <v>-4.2667370000000003E-2</v>
      </c>
      <c r="Z2259">
        <v>7.8597289999999902E-4</v>
      </c>
      <c r="AA2259">
        <v>0.99908899999999901</v>
      </c>
      <c r="AB2259">
        <v>19</v>
      </c>
      <c r="AC2259">
        <v>11.6646</v>
      </c>
      <c r="AD2259">
        <v>-1.10576871914899</v>
      </c>
      <c r="AE2259">
        <v>0.65659999999999696</v>
      </c>
      <c r="AF2259">
        <v>-0.50179761745527396</v>
      </c>
      <c r="AG2259">
        <v>-1.10576871914899</v>
      </c>
      <c r="AH2259">
        <v>11.5684587829195</v>
      </c>
      <c r="AI2259">
        <v>95.454918712425496</v>
      </c>
      <c r="AJ2259">
        <v>92.483725346592294</v>
      </c>
      <c r="AK2259">
        <v>11.6320146114609</v>
      </c>
    </row>
    <row r="2260" spans="1:37" x14ac:dyDescent="0.2">
      <c r="A2260" t="str">
        <f>"20200111160157428"</f>
        <v>20200111160157428</v>
      </c>
      <c r="B2260" t="str">
        <f>"1578729717423873"</f>
        <v>1578729717423873</v>
      </c>
      <c r="C2260" t="s">
        <v>37</v>
      </c>
      <c r="D2260">
        <v>5.1120739999999998</v>
      </c>
      <c r="E2260">
        <v>0.50268009999999996</v>
      </c>
      <c r="F2260" t="s">
        <v>60</v>
      </c>
      <c r="G2260">
        <v>-429.97809999999998</v>
      </c>
      <c r="H2260" s="1">
        <v>2.2684810000000001E-6</v>
      </c>
      <c r="I2260">
        <v>213.916</v>
      </c>
      <c r="J2260">
        <v>-441.47750000000002</v>
      </c>
      <c r="K2260">
        <v>1.105799</v>
      </c>
      <c r="L2260">
        <v>213.26849999999999</v>
      </c>
      <c r="M2260">
        <v>0.99979619999999902</v>
      </c>
      <c r="N2260">
        <v>0</v>
      </c>
      <c r="O2260">
        <v>1.5033619999999999E-2</v>
      </c>
      <c r="P2260">
        <v>0.99843930000000003</v>
      </c>
      <c r="Q2260">
        <v>7.7554549999999996E-3</v>
      </c>
      <c r="R2260">
        <v>5.5309410000000003E-2</v>
      </c>
      <c r="S2260">
        <v>2.9985659999999998</v>
      </c>
      <c r="T2260">
        <v>-0.28355730000000001</v>
      </c>
      <c r="U2260">
        <v>0.16731260000000001</v>
      </c>
      <c r="V2260">
        <v>-4.0350810000000001E-2</v>
      </c>
      <c r="W2260">
        <v>2.1110219999999999E-2</v>
      </c>
      <c r="X2260">
        <v>0.99896249999999998</v>
      </c>
      <c r="Y2260">
        <v>-4.0579369999999997E-2</v>
      </c>
      <c r="Z2260">
        <v>4.9560670000000002E-4</v>
      </c>
      <c r="AA2260">
        <v>0.99917619999999896</v>
      </c>
      <c r="AB2260">
        <v>19</v>
      </c>
      <c r="AC2260">
        <v>11.4994</v>
      </c>
      <c r="AD2260">
        <v>-1.105796731519</v>
      </c>
      <c r="AE2260">
        <v>0.64750000000000696</v>
      </c>
      <c r="AF2260">
        <v>-0.47019932172137002</v>
      </c>
      <c r="AG2260">
        <v>-1.105796731519</v>
      </c>
      <c r="AH2260">
        <v>11.402727726133801</v>
      </c>
      <c r="AI2260">
        <v>95.534350195966994</v>
      </c>
      <c r="AJ2260">
        <v>92.361293121561104</v>
      </c>
      <c r="AK2260">
        <v>11.465865576131799</v>
      </c>
    </row>
    <row r="2261" spans="1:37" x14ac:dyDescent="0.2">
      <c r="A2261" t="str">
        <f>"20200111160157451"</f>
        <v>20200111160157451</v>
      </c>
      <c r="B2261" t="str">
        <f>"1578729717444370"</f>
        <v>1578729717444370</v>
      </c>
      <c r="C2261" t="s">
        <v>37</v>
      </c>
      <c r="D2261">
        <v>5.1228030000000002</v>
      </c>
      <c r="E2261">
        <v>0.50271319999999997</v>
      </c>
      <c r="F2261" t="s">
        <v>60</v>
      </c>
      <c r="G2261">
        <v>-430.09530000000001</v>
      </c>
      <c r="H2261" s="1">
        <v>2.3215959999999998E-6</v>
      </c>
      <c r="I2261">
        <v>213.9032</v>
      </c>
      <c r="J2261">
        <v>-441.28809999999999</v>
      </c>
      <c r="K2261">
        <v>1.1057920000000001</v>
      </c>
      <c r="L2261">
        <v>213.2739</v>
      </c>
      <c r="M2261">
        <v>0.99976160000000003</v>
      </c>
      <c r="N2261">
        <v>0</v>
      </c>
      <c r="O2261">
        <v>1.7178329999999999E-2</v>
      </c>
      <c r="P2261">
        <v>0.99838479999999996</v>
      </c>
      <c r="Q2261">
        <v>4.6398709999999899E-3</v>
      </c>
      <c r="R2261">
        <v>5.6627190000000001E-2</v>
      </c>
      <c r="S2261">
        <v>2.997681</v>
      </c>
      <c r="T2261">
        <v>-0.2912283</v>
      </c>
      <c r="U2261">
        <v>0.16716</v>
      </c>
      <c r="V2261">
        <v>-3.9518169999999998E-2</v>
      </c>
      <c r="W2261">
        <v>1.7996599999999901E-2</v>
      </c>
      <c r="X2261">
        <v>0.99905679999999997</v>
      </c>
      <c r="Y2261">
        <v>-3.8415520000000002E-2</v>
      </c>
      <c r="Z2261">
        <v>1.9665660000000001E-4</v>
      </c>
      <c r="AA2261">
        <v>0.99926190000000004</v>
      </c>
      <c r="AB2261">
        <v>19</v>
      </c>
      <c r="AC2261">
        <v>11.192799999999901</v>
      </c>
      <c r="AD2261">
        <v>-1.105789678404</v>
      </c>
      <c r="AE2261">
        <v>0.62929999999999997</v>
      </c>
      <c r="AF2261">
        <v>-0.43270597262237298</v>
      </c>
      <c r="AG2261">
        <v>-1.105789678404</v>
      </c>
      <c r="AH2261">
        <v>11.094018575893701</v>
      </c>
      <c r="AI2261">
        <v>95.687825571959195</v>
      </c>
      <c r="AJ2261">
        <v>92.233605916151802</v>
      </c>
      <c r="AK2261">
        <v>11.1573856003046</v>
      </c>
    </row>
    <row r="2262" spans="1:37" x14ac:dyDescent="0.2">
      <c r="A2262" t="str">
        <f>"20200111160157475"</f>
        <v>20200111160157475</v>
      </c>
      <c r="B2262" t="str">
        <f>"1578729717463890"</f>
        <v>1578729717463890</v>
      </c>
      <c r="C2262" t="s">
        <v>37</v>
      </c>
      <c r="D2262">
        <v>5.1558279999999996</v>
      </c>
      <c r="E2262">
        <v>0.50277190000000005</v>
      </c>
      <c r="F2262" t="s">
        <v>42</v>
      </c>
      <c r="G2262">
        <v>-440.41699999999997</v>
      </c>
      <c r="H2262">
        <v>1.018419</v>
      </c>
      <c r="I2262">
        <v>213.32320000000001</v>
      </c>
      <c r="J2262">
        <v>-441.07929999999999</v>
      </c>
      <c r="K2262">
        <v>1.1057669999999999</v>
      </c>
      <c r="L2262">
        <v>213.28030000000001</v>
      </c>
      <c r="M2262">
        <v>0.999718</v>
      </c>
      <c r="N2262">
        <v>0</v>
      </c>
      <c r="O2262">
        <v>1.955575E-2</v>
      </c>
      <c r="P2262">
        <v>0.99831369999999897</v>
      </c>
      <c r="Q2262">
        <v>1.763854E-3</v>
      </c>
      <c r="R2262">
        <v>5.8024729999999997E-2</v>
      </c>
      <c r="S2262">
        <v>2.9965820000000001</v>
      </c>
      <c r="T2262">
        <v>-0.30088890000000001</v>
      </c>
      <c r="U2262">
        <v>0.1706696</v>
      </c>
      <c r="V2262">
        <v>-3.8531490000000002E-2</v>
      </c>
      <c r="W2262">
        <v>1.512405E-2</v>
      </c>
      <c r="X2262">
        <v>0.99914289999999994</v>
      </c>
      <c r="Y2262">
        <v>-3.7237230000000003E-2</v>
      </c>
      <c r="Z2262" s="1">
        <v>-9.3598729999999896E-5</v>
      </c>
      <c r="AA2262">
        <v>0.99930640000000004</v>
      </c>
      <c r="AB2262">
        <v>19</v>
      </c>
      <c r="AC2262">
        <v>0.66230000000001599</v>
      </c>
      <c r="AD2262">
        <v>-8.7347999999999898E-2</v>
      </c>
      <c r="AE2262">
        <v>4.2900000000002998E-2</v>
      </c>
      <c r="AF2262">
        <v>-2.94290985448094E-2</v>
      </c>
      <c r="AG2262">
        <v>-8.7347999999999898E-2</v>
      </c>
      <c r="AH2262">
        <v>0.651723703095063</v>
      </c>
      <c r="AI2262">
        <v>97.625961007590305</v>
      </c>
      <c r="AJ2262">
        <v>92.585479827099604</v>
      </c>
      <c r="AK2262">
        <v>0.65820933609384602</v>
      </c>
    </row>
    <row r="2263" spans="1:37" x14ac:dyDescent="0.2">
      <c r="A2263" t="str">
        <f>"20200111160157497"</f>
        <v>20200111160157497</v>
      </c>
      <c r="B2263" t="str">
        <f>"1578729717493677"</f>
        <v>1578729717493677</v>
      </c>
      <c r="C2263" t="s">
        <v>37</v>
      </c>
      <c r="D2263">
        <v>5.1708559999999997</v>
      </c>
      <c r="E2263">
        <v>0.50260199999999999</v>
      </c>
      <c r="F2263" t="s">
        <v>42</v>
      </c>
      <c r="G2263">
        <v>-440.24689999999998</v>
      </c>
      <c r="H2263">
        <v>1.019881</v>
      </c>
      <c r="I2263">
        <v>213.32830000000001</v>
      </c>
      <c r="J2263">
        <v>-440.89769999999999</v>
      </c>
      <c r="K2263">
        <v>1.1057319999999999</v>
      </c>
      <c r="L2263">
        <v>213.28630000000001</v>
      </c>
      <c r="M2263">
        <v>0.99967549999999905</v>
      </c>
      <c r="N2263">
        <v>0</v>
      </c>
      <c r="O2263">
        <v>2.1615229999999999E-2</v>
      </c>
      <c r="P2263">
        <v>0.99819259999999999</v>
      </c>
      <c r="Q2263" s="1">
        <v>7.6048080000000007E-5</v>
      </c>
      <c r="R2263">
        <v>6.0097650000000002E-2</v>
      </c>
      <c r="S2263">
        <v>2.9954529999999999</v>
      </c>
      <c r="T2263">
        <v>-0.30978869999999997</v>
      </c>
      <c r="U2263">
        <v>0.1749115</v>
      </c>
      <c r="V2263">
        <v>-3.8542890000000003E-2</v>
      </c>
      <c r="W2263">
        <v>1.3436689999999999E-2</v>
      </c>
      <c r="X2263">
        <v>0.99916659999999902</v>
      </c>
      <c r="Y2263">
        <v>-3.6619260000000001E-2</v>
      </c>
      <c r="Z2263">
        <v>-3.4038849999999899E-4</v>
      </c>
      <c r="AA2263">
        <v>0.99932919999999903</v>
      </c>
      <c r="AB2263">
        <v>19</v>
      </c>
      <c r="AC2263">
        <v>0.65080000000000304</v>
      </c>
      <c r="AD2263">
        <v>-8.58509999999999E-2</v>
      </c>
      <c r="AE2263">
        <v>4.2000000000001501E-2</v>
      </c>
      <c r="AF2263">
        <v>-2.74460838832459E-2</v>
      </c>
      <c r="AG2263">
        <v>-8.58509999999999E-2</v>
      </c>
      <c r="AH2263">
        <v>0.64045692898224704</v>
      </c>
      <c r="AI2263">
        <v>97.627868085735898</v>
      </c>
      <c r="AJ2263">
        <v>92.453846810899293</v>
      </c>
      <c r="AK2263">
        <v>0.64676793334464</v>
      </c>
    </row>
    <row r="2264" spans="1:37" x14ac:dyDescent="0.2">
      <c r="A2264" t="str">
        <f>"20200111160157521"</f>
        <v>20200111160157521</v>
      </c>
      <c r="B2264" t="str">
        <f>"1578729717514173"</f>
        <v>1578729717514173</v>
      </c>
      <c r="C2264" t="s">
        <v>37</v>
      </c>
      <c r="D2264">
        <v>5.2572279999999996</v>
      </c>
      <c r="E2264">
        <v>0.50238769999999999</v>
      </c>
      <c r="F2264" t="s">
        <v>42</v>
      </c>
      <c r="G2264">
        <v>-440.07769999999999</v>
      </c>
      <c r="H2264">
        <v>1.0199499999999999</v>
      </c>
      <c r="I2264">
        <v>213.33609999999999</v>
      </c>
      <c r="J2264">
        <v>-440.69080000000002</v>
      </c>
      <c r="K2264">
        <v>1.105691</v>
      </c>
      <c r="L2264">
        <v>213.2936</v>
      </c>
      <c r="M2264">
        <v>0.99962320000000005</v>
      </c>
      <c r="N2264">
        <v>0</v>
      </c>
      <c r="O2264">
        <v>2.3922369999999998E-2</v>
      </c>
      <c r="P2264">
        <v>0.99801740000000005</v>
      </c>
      <c r="Q2264">
        <v>-1.290385E-3</v>
      </c>
      <c r="R2264">
        <v>6.2929460000000007E-2</v>
      </c>
      <c r="S2264">
        <v>2.9944459999999999</v>
      </c>
      <c r="T2264">
        <v>-0.31357009999999902</v>
      </c>
      <c r="U2264">
        <v>0.18292239999999901</v>
      </c>
      <c r="V2264">
        <v>-3.906718E-2</v>
      </c>
      <c r="W2264">
        <v>1.2069710000000001E-2</v>
      </c>
      <c r="X2264">
        <v>0.99916369999999899</v>
      </c>
      <c r="Y2264">
        <v>-3.7004839999999997E-2</v>
      </c>
      <c r="Z2264">
        <v>-5.6508429999999998E-4</v>
      </c>
      <c r="AA2264">
        <v>0.99931489999999901</v>
      </c>
      <c r="AB2264">
        <v>19</v>
      </c>
      <c r="AC2264">
        <v>0.61310000000003095</v>
      </c>
      <c r="AD2264">
        <v>-8.5740999999999998E-2</v>
      </c>
      <c r="AE2264">
        <v>4.2499999999989699E-2</v>
      </c>
      <c r="AF2264">
        <v>-2.7288556198268001E-2</v>
      </c>
      <c r="AG2264">
        <v>-8.5740999999999998E-2</v>
      </c>
      <c r="AH2264">
        <v>0.60221968692870398</v>
      </c>
      <c r="AI2264">
        <v>98.094829653822899</v>
      </c>
      <c r="AJ2264">
        <v>92.594485580349698</v>
      </c>
      <c r="AK2264">
        <v>0.60890453743168305</v>
      </c>
    </row>
    <row r="2265" spans="1:37" x14ac:dyDescent="0.2">
      <c r="A2265" t="str">
        <f>"20200111160157542"</f>
        <v>20200111160157542</v>
      </c>
      <c r="B2265" t="str">
        <f>"1578729717533693"</f>
        <v>1578729717533693</v>
      </c>
      <c r="C2265" t="s">
        <v>37</v>
      </c>
      <c r="D2265">
        <v>5.0439790000000002</v>
      </c>
      <c r="E2265">
        <v>0.50224789999999997</v>
      </c>
      <c r="F2265" t="s">
        <v>42</v>
      </c>
      <c r="G2265">
        <v>-439.90629999999999</v>
      </c>
      <c r="H2265">
        <v>1.022834</v>
      </c>
      <c r="I2265">
        <v>213.3441</v>
      </c>
      <c r="J2265">
        <v>-440.51459999999997</v>
      </c>
      <c r="K2265">
        <v>1.105648</v>
      </c>
      <c r="L2265">
        <v>213.30009999999999</v>
      </c>
      <c r="M2265">
        <v>0.99957569999999996</v>
      </c>
      <c r="N2265">
        <v>0</v>
      </c>
      <c r="O2265">
        <v>2.58298E-2</v>
      </c>
      <c r="P2265">
        <v>0.99786369999999902</v>
      </c>
      <c r="Q2265">
        <v>-3.0023269999999999E-3</v>
      </c>
      <c r="R2265">
        <v>6.5262260000000002E-2</v>
      </c>
      <c r="S2265">
        <v>2.9933169999999998</v>
      </c>
      <c r="T2265">
        <v>-0.31646869999999999</v>
      </c>
      <c r="U2265">
        <v>0.19351199999999999</v>
      </c>
      <c r="V2265">
        <v>-3.9490530000000003E-2</v>
      </c>
      <c r="W2265">
        <v>1.03575E-2</v>
      </c>
      <c r="X2265">
        <v>0.99916629999999995</v>
      </c>
      <c r="Y2265">
        <v>-3.8642389999999999E-2</v>
      </c>
      <c r="Z2265">
        <v>-6.8495489999999997E-4</v>
      </c>
      <c r="AA2265">
        <v>0.9992529</v>
      </c>
      <c r="AB2265">
        <v>19</v>
      </c>
      <c r="AC2265">
        <v>0.60829999999998496</v>
      </c>
      <c r="AD2265">
        <v>-8.2813999999999902E-2</v>
      </c>
      <c r="AE2265">
        <v>4.40000000000111E-2</v>
      </c>
      <c r="AF2265">
        <v>-2.7759800082054701E-2</v>
      </c>
      <c r="AG2265">
        <v>-8.2813999999999902E-2</v>
      </c>
      <c r="AH2265">
        <v>0.59820414235592001</v>
      </c>
      <c r="AI2265">
        <v>97.873432125256898</v>
      </c>
      <c r="AJ2265">
        <v>92.656917674702896</v>
      </c>
      <c r="AK2265">
        <v>0.60454690556513302</v>
      </c>
    </row>
    <row r="2266" spans="1:37" x14ac:dyDescent="0.2">
      <c r="A2266" t="str">
        <f>"20200111160157561"</f>
        <v>20200111160157561</v>
      </c>
      <c r="B2266" t="str">
        <f>"1578729717554190"</f>
        <v>1578729717554190</v>
      </c>
      <c r="C2266" t="s">
        <v>37</v>
      </c>
      <c r="D2266">
        <v>5.1883889999999999</v>
      </c>
      <c r="E2266">
        <v>0.5021023</v>
      </c>
      <c r="F2266" t="s">
        <v>42</v>
      </c>
      <c r="G2266">
        <v>-439.738</v>
      </c>
      <c r="H2266">
        <v>1.0224489999999999</v>
      </c>
      <c r="I2266">
        <v>213.35230000000001</v>
      </c>
      <c r="J2266">
        <v>-440.34899999999999</v>
      </c>
      <c r="K2266">
        <v>1.1055950000000001</v>
      </c>
      <c r="L2266">
        <v>213.3064</v>
      </c>
      <c r="M2266">
        <v>0.99952940000000001</v>
      </c>
      <c r="N2266">
        <v>0</v>
      </c>
      <c r="O2266">
        <v>2.7560350000000001E-2</v>
      </c>
      <c r="P2266">
        <v>0.99773120000000004</v>
      </c>
      <c r="Q2266">
        <v>-3.6848599999999999E-3</v>
      </c>
      <c r="R2266">
        <v>6.7222390000000007E-2</v>
      </c>
      <c r="S2266">
        <v>2.9923099999999998</v>
      </c>
      <c r="T2266">
        <v>-0.32069559999999903</v>
      </c>
      <c r="U2266">
        <v>0.20166020000000001</v>
      </c>
      <c r="V2266">
        <v>-3.9720440000000003E-2</v>
      </c>
      <c r="W2266">
        <v>9.6751779999999996E-3</v>
      </c>
      <c r="X2266">
        <v>0.99916399999999905</v>
      </c>
      <c r="Y2266">
        <v>-3.9645390000000003E-2</v>
      </c>
      <c r="Z2266">
        <v>-8.2527990000000003E-4</v>
      </c>
      <c r="AA2266">
        <v>0.99921349999999998</v>
      </c>
      <c r="AB2266">
        <v>19</v>
      </c>
      <c r="AC2266">
        <v>0.61099999999993304</v>
      </c>
      <c r="AD2266">
        <v>-8.3146000000000095E-2</v>
      </c>
      <c r="AE2266">
        <v>4.5900000000017302E-2</v>
      </c>
      <c r="AF2266">
        <v>-2.85165463595199E-2</v>
      </c>
      <c r="AG2266">
        <v>-8.3146000000000095E-2</v>
      </c>
      <c r="AH2266">
        <v>0.60096659276986697</v>
      </c>
      <c r="AI2266">
        <v>97.868339125354197</v>
      </c>
      <c r="AJ2266">
        <v>92.716711945575994</v>
      </c>
      <c r="AK2266">
        <v>0.60736092758564697</v>
      </c>
    </row>
    <row r="2267" spans="1:37" x14ac:dyDescent="0.2">
      <c r="A2267" t="str">
        <f>"20200111160157585"</f>
        <v>20200111160157585</v>
      </c>
      <c r="B2267" t="str">
        <f>"1578729717573710"</f>
        <v>1578729717573710</v>
      </c>
      <c r="C2267" t="s">
        <v>37</v>
      </c>
      <c r="D2267">
        <v>5.0988319999999998</v>
      </c>
      <c r="E2267">
        <v>0.50206629999999997</v>
      </c>
      <c r="F2267" t="s">
        <v>42</v>
      </c>
      <c r="G2267">
        <v>-439.57</v>
      </c>
      <c r="H2267">
        <v>1.0218739999999999</v>
      </c>
      <c r="I2267">
        <v>213.36060000000001</v>
      </c>
      <c r="J2267">
        <v>-440.15649999999999</v>
      </c>
      <c r="K2267">
        <v>1.1055299999999999</v>
      </c>
      <c r="L2267">
        <v>213.3141</v>
      </c>
      <c r="M2267">
        <v>0.99947459999999899</v>
      </c>
      <c r="N2267">
        <v>0</v>
      </c>
      <c r="O2267">
        <v>2.9485419999999998E-2</v>
      </c>
      <c r="P2267">
        <v>0.99761549999999999</v>
      </c>
      <c r="Q2267">
        <v>-4.429217E-3</v>
      </c>
      <c r="R2267">
        <v>6.8875359999999997E-2</v>
      </c>
      <c r="S2267">
        <v>2.9915769999999999</v>
      </c>
      <c r="T2267">
        <v>-0.32175870000000001</v>
      </c>
      <c r="U2267">
        <v>0.20875549999999901</v>
      </c>
      <c r="V2267">
        <v>-3.9448199999999899E-2</v>
      </c>
      <c r="W2267">
        <v>8.9342039999999994E-3</v>
      </c>
      <c r="X2267">
        <v>0.99918169999999995</v>
      </c>
      <c r="Y2267">
        <v>-4.0104040000000001E-2</v>
      </c>
      <c r="Z2267">
        <v>-1.009607E-3</v>
      </c>
      <c r="AA2267">
        <v>0.99919500000000006</v>
      </c>
      <c r="AB2267">
        <v>19</v>
      </c>
      <c r="AC2267">
        <v>0.58650000000000002</v>
      </c>
      <c r="AD2267">
        <v>-8.3655999999999897E-2</v>
      </c>
      <c r="AE2267">
        <v>4.6500000000008798E-2</v>
      </c>
      <c r="AF2267">
        <v>-2.8606646131228802E-2</v>
      </c>
      <c r="AG2267">
        <v>-8.3655999999999897E-2</v>
      </c>
      <c r="AH2267">
        <v>0.57597119880870695</v>
      </c>
      <c r="AI2267">
        <v>98.254010142362503</v>
      </c>
      <c r="AJ2267">
        <v>92.843361544548102</v>
      </c>
      <c r="AK2267">
        <v>0.58271733147042803</v>
      </c>
    </row>
    <row r="2268" spans="1:37" x14ac:dyDescent="0.2">
      <c r="A2268" t="str">
        <f>"20200111160157608"</f>
        <v>20200111160157608</v>
      </c>
      <c r="B2268" t="str">
        <f>"1578729717603496"</f>
        <v>1578729717603496</v>
      </c>
      <c r="C2268" t="s">
        <v>37</v>
      </c>
      <c r="D2268">
        <v>5.2074220000000002</v>
      </c>
      <c r="E2268">
        <v>0.50187470000000001</v>
      </c>
      <c r="F2268" t="s">
        <v>42</v>
      </c>
      <c r="G2268">
        <v>-439.40019999999998</v>
      </c>
      <c r="H2268">
        <v>1.023927</v>
      </c>
      <c r="I2268">
        <v>213.36799999999999</v>
      </c>
      <c r="J2268">
        <v>-439.95859999999999</v>
      </c>
      <c r="K2268">
        <v>1.1054549999999901</v>
      </c>
      <c r="L2268">
        <v>213.32230000000001</v>
      </c>
      <c r="M2268">
        <v>0.99941749999999996</v>
      </c>
      <c r="N2268">
        <v>0</v>
      </c>
      <c r="O2268">
        <v>3.1362760000000003E-2</v>
      </c>
      <c r="P2268">
        <v>0.99754379999999998</v>
      </c>
      <c r="Q2268">
        <v>-3.9907950000000001E-3</v>
      </c>
      <c r="R2268">
        <v>6.9935499999999998E-2</v>
      </c>
      <c r="S2268">
        <v>2.990936</v>
      </c>
      <c r="T2268">
        <v>-0.32302829999999999</v>
      </c>
      <c r="U2268">
        <v>0.21374509999999999</v>
      </c>
      <c r="V2268">
        <v>-3.863283E-2</v>
      </c>
      <c r="W2268">
        <v>9.3776429999999997E-3</v>
      </c>
      <c r="X2268">
        <v>0.99920949999999997</v>
      </c>
      <c r="Y2268">
        <v>-3.991215E-2</v>
      </c>
      <c r="Z2268">
        <v>-1.225776E-3</v>
      </c>
      <c r="AA2268">
        <v>0.99920239999999905</v>
      </c>
      <c r="AB2268">
        <v>19</v>
      </c>
      <c r="AC2268">
        <v>0.558400000000006</v>
      </c>
      <c r="AD2268">
        <v>-8.1527999999999795E-2</v>
      </c>
      <c r="AE2268">
        <v>4.5699999999982303E-2</v>
      </c>
      <c r="AF2268">
        <v>-2.7578978875829999E-2</v>
      </c>
      <c r="AG2268">
        <v>-8.1527999999999795E-2</v>
      </c>
      <c r="AH2268">
        <v>0.54795569703467994</v>
      </c>
      <c r="AI2268">
        <v>98.452169276832706</v>
      </c>
      <c r="AJ2268">
        <v>92.881303820171297</v>
      </c>
      <c r="AK2268">
        <v>0.55467365249540701</v>
      </c>
    </row>
    <row r="2269" spans="1:37" x14ac:dyDescent="0.2">
      <c r="A2269" t="str">
        <f>"20200111160157629"</f>
        <v>20200111160157629</v>
      </c>
      <c r="B2269" t="str">
        <f>"1578729717623992"</f>
        <v>1578729717623992</v>
      </c>
      <c r="C2269" t="s">
        <v>37</v>
      </c>
      <c r="D2269">
        <v>5.1677669999999898</v>
      </c>
      <c r="E2269">
        <v>0.50183789999999995</v>
      </c>
      <c r="F2269" t="s">
        <v>42</v>
      </c>
      <c r="G2269">
        <v>-439.22739999999999</v>
      </c>
      <c r="H2269">
        <v>1.0271569999999901</v>
      </c>
      <c r="I2269">
        <v>213.37530000000001</v>
      </c>
      <c r="J2269">
        <v>-439.78140000000002</v>
      </c>
      <c r="K2269">
        <v>1.1053899999999901</v>
      </c>
      <c r="L2269">
        <v>213.32980000000001</v>
      </c>
      <c r="M2269">
        <v>0.9993668</v>
      </c>
      <c r="N2269">
        <v>0</v>
      </c>
      <c r="O2269">
        <v>3.2939120000000002E-2</v>
      </c>
      <c r="P2269">
        <v>0.99751000000000001</v>
      </c>
      <c r="Q2269">
        <v>-4.1195270000000004E-3</v>
      </c>
      <c r="R2269">
        <v>7.0405309999999999E-2</v>
      </c>
      <c r="S2269">
        <v>2.9908450000000002</v>
      </c>
      <c r="T2269">
        <v>-0.32056699999999999</v>
      </c>
      <c r="U2269">
        <v>0.21823119999999999</v>
      </c>
      <c r="V2269">
        <v>-3.7525070000000001E-2</v>
      </c>
      <c r="W2269">
        <v>9.2546269999999996E-3</v>
      </c>
      <c r="X2269">
        <v>0.9992529</v>
      </c>
      <c r="Y2269">
        <v>-3.9839359999999997E-2</v>
      </c>
      <c r="Z2269">
        <v>-1.388432E-3</v>
      </c>
      <c r="AA2269">
        <v>0.99920509999999996</v>
      </c>
      <c r="AB2269">
        <v>19</v>
      </c>
      <c r="AC2269">
        <v>0.55400000000003002</v>
      </c>
      <c r="AD2269">
        <v>-7.8232999999999997E-2</v>
      </c>
      <c r="AE2269">
        <v>4.5500000000004003E-2</v>
      </c>
      <c r="AF2269">
        <v>-2.6696575122448499E-2</v>
      </c>
      <c r="AG2269">
        <v>-7.8232999999999997E-2</v>
      </c>
      <c r="AH2269">
        <v>0.544414423039844</v>
      </c>
      <c r="AI2269">
        <v>98.167808029003893</v>
      </c>
      <c r="AJ2269">
        <v>92.807377489456201</v>
      </c>
      <c r="AK2269">
        <v>0.55065431390853103</v>
      </c>
    </row>
    <row r="2270" spans="1:37" x14ac:dyDescent="0.2">
      <c r="A2270" t="str">
        <f>"20200111160157651"</f>
        <v>20200111160157651</v>
      </c>
      <c r="B2270" t="str">
        <f>"1578729717643512"</f>
        <v>1578729717643512</v>
      </c>
      <c r="C2270" t="s">
        <v>37</v>
      </c>
      <c r="D2270">
        <v>5.299277</v>
      </c>
      <c r="E2270">
        <v>0.50170760000000003</v>
      </c>
      <c r="F2270" t="s">
        <v>42</v>
      </c>
      <c r="G2270">
        <v>-438.90539999999999</v>
      </c>
      <c r="H2270">
        <v>1.011668</v>
      </c>
      <c r="I2270">
        <v>213.39400000000001</v>
      </c>
      <c r="J2270">
        <v>-439.59879999999998</v>
      </c>
      <c r="K2270">
        <v>1.105313</v>
      </c>
      <c r="L2270">
        <v>213.33770000000001</v>
      </c>
      <c r="M2270">
        <v>0.99931599999999998</v>
      </c>
      <c r="N2270">
        <v>0</v>
      </c>
      <c r="O2270">
        <v>3.4449970000000003E-2</v>
      </c>
      <c r="P2270">
        <v>0.99743879999999996</v>
      </c>
      <c r="Q2270">
        <v>-4.2588900000000004E-3</v>
      </c>
      <c r="R2270">
        <v>7.1400399999999906E-2</v>
      </c>
      <c r="S2270">
        <v>2.9906009999999998</v>
      </c>
      <c r="T2270">
        <v>-0.32026259999999901</v>
      </c>
      <c r="U2270">
        <v>0.22023009999999901</v>
      </c>
      <c r="V2270">
        <v>-3.7009559999999997E-2</v>
      </c>
      <c r="W2270">
        <v>9.1187319999999992E-3</v>
      </c>
      <c r="X2270">
        <v>0.99927330000000003</v>
      </c>
      <c r="Y2270">
        <v>-3.9012289999999998E-2</v>
      </c>
      <c r="Z2270">
        <v>-1.592254E-3</v>
      </c>
      <c r="AA2270">
        <v>0.9992375</v>
      </c>
      <c r="AB2270">
        <v>19</v>
      </c>
      <c r="AC2270">
        <v>0.69339999999999602</v>
      </c>
      <c r="AD2270">
        <v>-9.3644999999999895E-2</v>
      </c>
      <c r="AE2270">
        <v>5.6299999999993099E-2</v>
      </c>
      <c r="AF2270">
        <v>-3.1800594470546797E-2</v>
      </c>
      <c r="AG2270">
        <v>-9.3644999999999895E-2</v>
      </c>
      <c r="AH2270">
        <v>0.68256034990790204</v>
      </c>
      <c r="AI2270">
        <v>97.803657762789797</v>
      </c>
      <c r="AJ2270">
        <v>92.667490473432295</v>
      </c>
      <c r="AK2270">
        <v>0.68968782438149301</v>
      </c>
    </row>
    <row r="2271" spans="1:37" x14ac:dyDescent="0.2">
      <c r="A2271" t="str">
        <f>"20200111160157673"</f>
        <v>20200111160157673</v>
      </c>
      <c r="B2271" t="str">
        <f>"1578729717664009"</f>
        <v>1578729717664009</v>
      </c>
      <c r="C2271" t="s">
        <v>37</v>
      </c>
      <c r="D2271">
        <v>5.4178290000000002</v>
      </c>
      <c r="E2271">
        <v>0.50163999999999997</v>
      </c>
      <c r="F2271" t="s">
        <v>42</v>
      </c>
      <c r="G2271">
        <v>-438.7371</v>
      </c>
      <c r="H2271">
        <v>1.0132289999999999</v>
      </c>
      <c r="I2271">
        <v>213.40209999999999</v>
      </c>
      <c r="J2271">
        <v>-439.411</v>
      </c>
      <c r="K2271">
        <v>1.105256</v>
      </c>
      <c r="L2271">
        <v>213.34599999999901</v>
      </c>
      <c r="M2271">
        <v>0.99926469999999901</v>
      </c>
      <c r="N2271">
        <v>0</v>
      </c>
      <c r="O2271">
        <v>3.59055E-2</v>
      </c>
      <c r="P2271">
        <v>0.99728099999999997</v>
      </c>
      <c r="Q2271">
        <v>-2.63107599999999E-3</v>
      </c>
      <c r="R2271">
        <v>7.3646580000000003E-2</v>
      </c>
      <c r="S2271">
        <v>2.9902950000000001</v>
      </c>
      <c r="T2271">
        <v>-0.31981920000000003</v>
      </c>
      <c r="U2271">
        <v>0.224639899999999</v>
      </c>
      <c r="V2271">
        <v>-3.7805159999999997E-2</v>
      </c>
      <c r="W2271">
        <v>1.074657E-2</v>
      </c>
      <c r="X2271">
        <v>0.99922730000000004</v>
      </c>
      <c r="Y2271">
        <v>-3.9037919999999997E-2</v>
      </c>
      <c r="Z2271">
        <v>-1.7436029999999901E-3</v>
      </c>
      <c r="AA2271">
        <v>0.99923619999999902</v>
      </c>
      <c r="AB2271">
        <v>19</v>
      </c>
      <c r="AC2271">
        <v>0.67390000000000305</v>
      </c>
      <c r="AD2271">
        <v>-9.2026999999999803E-2</v>
      </c>
      <c r="AE2271">
        <v>5.6100000000014902E-2</v>
      </c>
      <c r="AF2271">
        <v>-3.12855080722503E-2</v>
      </c>
      <c r="AG2271">
        <v>-9.2026999999999803E-2</v>
      </c>
      <c r="AH2271">
        <v>0.66319746590470496</v>
      </c>
      <c r="AI2271">
        <v>97.891398315668994</v>
      </c>
      <c r="AJ2271">
        <v>92.700854214263401</v>
      </c>
      <c r="AK2271">
        <v>0.67028250053746796</v>
      </c>
    </row>
    <row r="2272" spans="1:37" x14ac:dyDescent="0.2">
      <c r="A2272" t="str">
        <f>"20200111160157696"</f>
        <v>20200111160157696</v>
      </c>
      <c r="B2272" t="str">
        <f>"1578729717693795"</f>
        <v>1578729717693795</v>
      </c>
      <c r="C2272" t="s">
        <v>37</v>
      </c>
      <c r="D2272">
        <v>5.2048569999999996</v>
      </c>
      <c r="E2272">
        <v>0.50161149999999999</v>
      </c>
      <c r="F2272" t="s">
        <v>42</v>
      </c>
      <c r="G2272">
        <v>-438.56699999999898</v>
      </c>
      <c r="H2272">
        <v>1.0166569999999999</v>
      </c>
      <c r="I2272">
        <v>213.41099999999901</v>
      </c>
      <c r="J2272">
        <v>-439.22019999999998</v>
      </c>
      <c r="K2272">
        <v>1.1052070000000001</v>
      </c>
      <c r="L2272">
        <v>213.3546</v>
      </c>
      <c r="M2272">
        <v>0.9992143</v>
      </c>
      <c r="N2272">
        <v>0</v>
      </c>
      <c r="O2272">
        <v>3.7287319999999999E-2</v>
      </c>
      <c r="P2272">
        <v>0.99711360000000004</v>
      </c>
      <c r="Q2272">
        <v>-4.535392E-4</v>
      </c>
      <c r="R2272">
        <v>7.5924569999999997E-2</v>
      </c>
      <c r="S2272">
        <v>2.990173</v>
      </c>
      <c r="T2272">
        <v>-0.31434429999999902</v>
      </c>
      <c r="U2272">
        <v>0.23217769999999999</v>
      </c>
      <c r="V2272">
        <v>-3.8708010000000001E-2</v>
      </c>
      <c r="W2272">
        <v>1.292271E-2</v>
      </c>
      <c r="X2272">
        <v>0.99916700000000003</v>
      </c>
      <c r="Y2272">
        <v>-4.0165480000000003E-2</v>
      </c>
      <c r="Z2272">
        <v>-1.79925299999999E-3</v>
      </c>
      <c r="AA2272">
        <v>0.99919139999999995</v>
      </c>
      <c r="AB2272">
        <v>19</v>
      </c>
      <c r="AC2272">
        <v>0.65320000000002598</v>
      </c>
      <c r="AD2272">
        <v>-8.8550000000000101E-2</v>
      </c>
      <c r="AE2272">
        <v>5.6399999999967997E-2</v>
      </c>
      <c r="AF2272">
        <v>-3.1429183082641497E-2</v>
      </c>
      <c r="AG2272">
        <v>-8.8550000000000101E-2</v>
      </c>
      <c r="AH2272">
        <v>0.64311748280424696</v>
      </c>
      <c r="AI2272">
        <v>97.830457491873403</v>
      </c>
      <c r="AJ2272">
        <v>92.797821656788699</v>
      </c>
      <c r="AK2272">
        <v>0.649945376733855</v>
      </c>
    </row>
    <row r="2273" spans="1:37" x14ac:dyDescent="0.2">
      <c r="A2273" t="str">
        <f>"20200111160157766"</f>
        <v>20200111160157766</v>
      </c>
      <c r="B2273" t="str">
        <f>"1578729717764068"</f>
        <v>1578729717764068</v>
      </c>
      <c r="C2273" t="s">
        <v>37</v>
      </c>
      <c r="D2273">
        <v>5.2542099999999996</v>
      </c>
      <c r="E2273">
        <v>0.50191409999999903</v>
      </c>
      <c r="F2273" t="s">
        <v>42</v>
      </c>
      <c r="G2273">
        <v>-438.3965</v>
      </c>
      <c r="H2273">
        <v>1.020756</v>
      </c>
      <c r="I2273">
        <v>213.4204</v>
      </c>
      <c r="J2273">
        <v>-438.64569999999998</v>
      </c>
      <c r="K2273">
        <v>1.10507</v>
      </c>
      <c r="L2273">
        <v>213.38140000000001</v>
      </c>
      <c r="M2273">
        <v>0.99907389999999996</v>
      </c>
      <c r="N2273">
        <v>0</v>
      </c>
      <c r="O2273">
        <v>4.0881279999999999E-2</v>
      </c>
      <c r="P2273">
        <v>0.99663979999999996</v>
      </c>
      <c r="Q2273">
        <v>3.020067E-3</v>
      </c>
      <c r="R2273">
        <v>8.1854720000000006E-2</v>
      </c>
      <c r="S2273">
        <v>2.990326</v>
      </c>
      <c r="T2273">
        <v>-0.30667290000000003</v>
      </c>
      <c r="U2273">
        <v>0.23913570000000001</v>
      </c>
      <c r="V2273">
        <v>-4.1056559999999999E-2</v>
      </c>
      <c r="W2273">
        <v>1.6393709999999999E-2</v>
      </c>
      <c r="X2273">
        <v>0.99902230000000003</v>
      </c>
      <c r="Y2273">
        <v>-3.8904029999999999E-2</v>
      </c>
      <c r="Z2273">
        <v>-2.1862660000000001E-3</v>
      </c>
      <c r="AA2273">
        <v>0.99924059999999904</v>
      </c>
      <c r="AB2273">
        <v>19</v>
      </c>
      <c r="AC2273">
        <v>0.249199999999973</v>
      </c>
      <c r="AD2273">
        <v>-8.4314E-2</v>
      </c>
      <c r="AE2273">
        <v>3.8999999999987198E-2</v>
      </c>
      <c r="AF2273">
        <v>-2.5886405476180999E-2</v>
      </c>
      <c r="AG2273">
        <v>-8.4314E-2</v>
      </c>
      <c r="AH2273">
        <v>0.22540069396898799</v>
      </c>
      <c r="AI2273">
        <v>110.386072748327</v>
      </c>
      <c r="AJ2273">
        <v>96.551497244001297</v>
      </c>
      <c r="AK2273">
        <v>0.242042205877774</v>
      </c>
    </row>
    <row r="2274" spans="1:37" x14ac:dyDescent="0.2">
      <c r="A2274" t="str">
        <f>"20200111160157789"</f>
        <v>20200111160157789</v>
      </c>
      <c r="B2274" t="str">
        <f>"1578729717783587"</f>
        <v>1578729717783587</v>
      </c>
      <c r="C2274" t="s">
        <v>37</v>
      </c>
      <c r="D2274">
        <v>5.4200309999999998</v>
      </c>
      <c r="E2274">
        <v>0.50201340000000005</v>
      </c>
      <c r="F2274" t="s">
        <v>60</v>
      </c>
      <c r="G2274">
        <v>-427.47550000000001</v>
      </c>
      <c r="H2274" s="1">
        <v>2.663463E-6</v>
      </c>
      <c r="I2274">
        <v>214.33160000000001</v>
      </c>
      <c r="J2274">
        <v>-438.45119999999997</v>
      </c>
      <c r="K2274">
        <v>1.105029</v>
      </c>
      <c r="L2274">
        <v>213.39070000000001</v>
      </c>
      <c r="M2274">
        <v>0.99903030000000004</v>
      </c>
      <c r="N2274">
        <v>0</v>
      </c>
      <c r="O2274">
        <v>4.1934579999999999E-2</v>
      </c>
      <c r="P2274">
        <v>0.99648819999999905</v>
      </c>
      <c r="Q2274">
        <v>3.6509340000000002E-3</v>
      </c>
      <c r="R2274">
        <v>8.3653889999999995E-2</v>
      </c>
      <c r="S2274">
        <v>2.9900820000000001</v>
      </c>
      <c r="T2274">
        <v>-0.29580859999999998</v>
      </c>
      <c r="U2274">
        <v>0.25434879999999999</v>
      </c>
      <c r="V2274">
        <v>-4.1805920000000003E-2</v>
      </c>
      <c r="W2274">
        <v>1.7024480000000002E-2</v>
      </c>
      <c r="X2274">
        <v>0.99898069999999894</v>
      </c>
      <c r="Y2274">
        <v>-4.289134E-2</v>
      </c>
      <c r="Z2274">
        <v>-2.0160400000000002E-3</v>
      </c>
      <c r="AA2274">
        <v>0.99907769999999996</v>
      </c>
      <c r="AB2274">
        <v>19</v>
      </c>
      <c r="AC2274">
        <v>10.9756999999999</v>
      </c>
      <c r="AD2274">
        <v>-1.1050263365370001</v>
      </c>
      <c r="AE2274">
        <v>0.94089999999999896</v>
      </c>
      <c r="AF2274">
        <v>-0.47498987839729701</v>
      </c>
      <c r="AG2274">
        <v>-1.1050263365370001</v>
      </c>
      <c r="AH2274">
        <v>10.895865001476899</v>
      </c>
      <c r="AI2274">
        <v>95.785510685971801</v>
      </c>
      <c r="AJ2274">
        <v>92.496148329540702</v>
      </c>
      <c r="AK2274">
        <v>10.962051483159099</v>
      </c>
    </row>
    <row r="2275" spans="1:37" x14ac:dyDescent="0.2">
      <c r="A2275" t="str">
        <f>"20200111160157808"</f>
        <v>20200111160157808</v>
      </c>
      <c r="B2275" t="str">
        <f>"1578729717803615"</f>
        <v>1578729717803615</v>
      </c>
      <c r="C2275" t="s">
        <v>37</v>
      </c>
      <c r="D2275">
        <v>5.3230059999999897</v>
      </c>
      <c r="E2275">
        <v>0.50213180000000002</v>
      </c>
      <c r="F2275" t="s">
        <v>60</v>
      </c>
      <c r="G2275">
        <v>-427.21379999999999</v>
      </c>
      <c r="H2275" s="1">
        <v>2.70717899999999E-6</v>
      </c>
      <c r="I2275">
        <v>214.36259999999999</v>
      </c>
      <c r="J2275">
        <v>-438.28590000000003</v>
      </c>
      <c r="K2275">
        <v>1.1049990000000001</v>
      </c>
      <c r="L2275">
        <v>213.39869999999999</v>
      </c>
      <c r="M2275">
        <v>0.99899519999999997</v>
      </c>
      <c r="N2275">
        <v>0</v>
      </c>
      <c r="O2275">
        <v>4.276079E-2</v>
      </c>
      <c r="P2275">
        <v>0.99641039999999903</v>
      </c>
      <c r="Q2275">
        <v>3.8524789999999998E-3</v>
      </c>
      <c r="R2275">
        <v>8.4568599999999994E-2</v>
      </c>
      <c r="S2275">
        <v>2.9898989999999999</v>
      </c>
      <c r="T2275">
        <v>-0.29400969999999998</v>
      </c>
      <c r="U2275">
        <v>0.25859070000000001</v>
      </c>
      <c r="V2275">
        <v>-4.1895330000000001E-2</v>
      </c>
      <c r="W2275">
        <v>1.7226149999999999E-2</v>
      </c>
      <c r="X2275">
        <v>0.99897349999999996</v>
      </c>
      <c r="Y2275">
        <v>-4.3478530000000001E-2</v>
      </c>
      <c r="Z2275">
        <v>-2.0558410000000001E-3</v>
      </c>
      <c r="AA2275">
        <v>0.99905219999999995</v>
      </c>
      <c r="AB2275">
        <v>19</v>
      </c>
      <c r="AC2275">
        <v>11.072100000000001</v>
      </c>
      <c r="AD2275">
        <v>-1.104996292821</v>
      </c>
      <c r="AE2275">
        <v>0.96389999999999498</v>
      </c>
      <c r="AF2275">
        <v>-0.48473217234423599</v>
      </c>
      <c r="AG2275">
        <v>-1.104996292821</v>
      </c>
      <c r="AH2275">
        <v>10.9945095866491</v>
      </c>
      <c r="AI2275">
        <v>95.733671339161106</v>
      </c>
      <c r="AJ2275">
        <v>92.524453980485404</v>
      </c>
      <c r="AK2275">
        <v>11.0605254457902</v>
      </c>
    </row>
    <row r="2276" spans="1:37" x14ac:dyDescent="0.2">
      <c r="A2276" t="str">
        <f>"20200111160157830"</f>
        <v>20200111160157830</v>
      </c>
      <c r="B2276" t="str">
        <f>"1578729717824111"</f>
        <v>1578729717824111</v>
      </c>
      <c r="C2276" t="s">
        <v>37</v>
      </c>
      <c r="D2276">
        <v>5.3715459999999897</v>
      </c>
      <c r="E2276">
        <v>0.50224020000000003</v>
      </c>
      <c r="F2276" t="s">
        <v>60</v>
      </c>
      <c r="G2276">
        <v>-427.03469999999999</v>
      </c>
      <c r="H2276" s="1">
        <v>2.737684E-6</v>
      </c>
      <c r="I2276">
        <v>214.37710000000001</v>
      </c>
      <c r="J2276">
        <v>-438.11020000000002</v>
      </c>
      <c r="K2276">
        <v>1.104956</v>
      </c>
      <c r="L2276">
        <v>213.40719999999999</v>
      </c>
      <c r="M2276">
        <v>0.99896079999999998</v>
      </c>
      <c r="N2276">
        <v>0</v>
      </c>
      <c r="O2276">
        <v>4.3557899999999997E-2</v>
      </c>
      <c r="P2276">
        <v>0.99632500000000002</v>
      </c>
      <c r="Q2276">
        <v>5.29240099999999E-3</v>
      </c>
      <c r="R2276">
        <v>8.5492589999999993E-2</v>
      </c>
      <c r="S2276">
        <v>2.989868</v>
      </c>
      <c r="T2276">
        <v>-0.29363909999999999</v>
      </c>
      <c r="U2276">
        <v>0.25999450000000002</v>
      </c>
      <c r="V2276">
        <v>-4.2024279999999997E-2</v>
      </c>
      <c r="W2276">
        <v>1.8666439999999999E-2</v>
      </c>
      <c r="X2276">
        <v>0.998942199999999</v>
      </c>
      <c r="Y2276">
        <v>-4.3153169999999998E-2</v>
      </c>
      <c r="Z2276">
        <v>-2.1469710000000001E-3</v>
      </c>
      <c r="AA2276">
        <v>0.99906620000000002</v>
      </c>
      <c r="AB2276">
        <v>19</v>
      </c>
      <c r="AC2276">
        <v>11.0755</v>
      </c>
      <c r="AD2276">
        <v>-1.1049532623160001</v>
      </c>
      <c r="AE2276">
        <v>0.96990000000002397</v>
      </c>
      <c r="AF2276">
        <v>-0.48175188993713602</v>
      </c>
      <c r="AG2276">
        <v>-1.1049532623160001</v>
      </c>
      <c r="AH2276">
        <v>10.998599272227001</v>
      </c>
      <c r="AI2276">
        <v>95.731403590765495</v>
      </c>
      <c r="AJ2276">
        <v>92.508021026489303</v>
      </c>
      <c r="AK2276">
        <v>11.064456269803401</v>
      </c>
    </row>
    <row r="2277" spans="1:37" x14ac:dyDescent="0.2">
      <c r="A2277" t="str">
        <f>"20200111160157853"</f>
        <v>20200111160157853</v>
      </c>
      <c r="B2277" t="str">
        <f>"1578729717843631"</f>
        <v>1578729717843631</v>
      </c>
      <c r="C2277" t="s">
        <v>37</v>
      </c>
      <c r="D2277">
        <v>5.3553680000000004</v>
      </c>
      <c r="E2277">
        <v>0.50227979999999905</v>
      </c>
      <c r="F2277" t="s">
        <v>42</v>
      </c>
      <c r="G2277">
        <v>-437.23270000000002</v>
      </c>
      <c r="H2277">
        <v>1.0200370000000001</v>
      </c>
      <c r="I2277">
        <v>213.4837</v>
      </c>
      <c r="J2277">
        <v>-437.91789999999997</v>
      </c>
      <c r="K2277">
        <v>1.1049100000000001</v>
      </c>
      <c r="L2277">
        <v>213.41659999999999</v>
      </c>
      <c r="M2277">
        <v>0.99892709999999996</v>
      </c>
      <c r="N2277">
        <v>0</v>
      </c>
      <c r="O2277">
        <v>4.4326409999999997E-2</v>
      </c>
      <c r="P2277">
        <v>0.99625969999999997</v>
      </c>
      <c r="Q2277">
        <v>6.7756880000000002E-3</v>
      </c>
      <c r="R2277">
        <v>8.6143510000000006E-2</v>
      </c>
      <c r="S2277">
        <v>2.9901119999999999</v>
      </c>
      <c r="T2277">
        <v>-0.28956120000000002</v>
      </c>
      <c r="U2277">
        <v>0.26190189999999902</v>
      </c>
      <c r="V2277">
        <v>-4.1906840000000001E-2</v>
      </c>
      <c r="W2277">
        <v>2.0151510000000001E-2</v>
      </c>
      <c r="X2277">
        <v>0.99891830000000004</v>
      </c>
      <c r="Y2277">
        <v>-4.3014150000000001E-2</v>
      </c>
      <c r="Z2277">
        <v>-2.1977419999999999E-3</v>
      </c>
      <c r="AA2277">
        <v>0.99907209999999902</v>
      </c>
      <c r="AB2277">
        <v>19</v>
      </c>
      <c r="AC2277">
        <v>0.68519999999995196</v>
      </c>
      <c r="AD2277">
        <v>-8.4872999999999907E-2</v>
      </c>
      <c r="AE2277">
        <v>6.7100000000010596E-2</v>
      </c>
      <c r="AF2277">
        <v>-3.61100814950907E-2</v>
      </c>
      <c r="AG2277">
        <v>-8.4872999999999907E-2</v>
      </c>
      <c r="AH2277">
        <v>0.67720937822381799</v>
      </c>
      <c r="AI2277">
        <v>97.133465555178603</v>
      </c>
      <c r="AJ2277">
        <v>93.052228510355803</v>
      </c>
      <c r="AK2277">
        <v>0.68346170782924798</v>
      </c>
    </row>
    <row r="2278" spans="1:37" x14ac:dyDescent="0.2">
      <c r="A2278" t="str">
        <f>"20200111160157874"</f>
        <v>20200111160157874</v>
      </c>
      <c r="B2278" t="str">
        <f>"1578729717864126"</f>
        <v>1578729717864126</v>
      </c>
      <c r="C2278" t="s">
        <v>37</v>
      </c>
      <c r="D2278">
        <v>5.3924529999999997</v>
      </c>
      <c r="E2278">
        <v>0.50239269999999903</v>
      </c>
      <c r="F2278" t="s">
        <v>42</v>
      </c>
      <c r="G2278">
        <v>-437.0575</v>
      </c>
      <c r="H2278">
        <v>1.0228870000000001</v>
      </c>
      <c r="I2278">
        <v>213.4922</v>
      </c>
      <c r="J2278">
        <v>-437.7405</v>
      </c>
      <c r="K2278">
        <v>1.1048719999999901</v>
      </c>
      <c r="L2278">
        <v>213.42529999999999</v>
      </c>
      <c r="M2278">
        <v>0.99889850000000002</v>
      </c>
      <c r="N2278">
        <v>0</v>
      </c>
      <c r="O2278">
        <v>4.496489E-2</v>
      </c>
      <c r="P2278">
        <v>0.99629619999999997</v>
      </c>
      <c r="Q2278">
        <v>8.1131829999999995E-3</v>
      </c>
      <c r="R2278">
        <v>8.5603040000000005E-2</v>
      </c>
      <c r="S2278">
        <v>2.9904169999999999</v>
      </c>
      <c r="T2278">
        <v>-0.28524919999999998</v>
      </c>
      <c r="U2278">
        <v>0.26345829999999998</v>
      </c>
      <c r="V2278">
        <v>-4.0725829999999998E-2</v>
      </c>
      <c r="W2278">
        <v>2.1491130000000001E-2</v>
      </c>
      <c r="X2278">
        <v>0.99893920000000003</v>
      </c>
      <c r="Y2278">
        <v>-4.2885960000000001E-2</v>
      </c>
      <c r="Z2278">
        <v>-2.2315199999999999E-3</v>
      </c>
      <c r="AA2278">
        <v>0.99907749999999995</v>
      </c>
      <c r="AB2278">
        <v>19</v>
      </c>
      <c r="AC2278">
        <v>0.68299999999999195</v>
      </c>
      <c r="AD2278">
        <v>-8.1984999999999697E-2</v>
      </c>
      <c r="AE2278">
        <v>6.6900000000003901E-2</v>
      </c>
      <c r="AF2278">
        <v>-3.5610314245637702E-2</v>
      </c>
      <c r="AG2278">
        <v>-8.1984999999999697E-2</v>
      </c>
      <c r="AH2278">
        <v>0.67567436047129803</v>
      </c>
      <c r="AI2278">
        <v>96.908841311876401</v>
      </c>
      <c r="AJ2278">
        <v>93.016889317183399</v>
      </c>
      <c r="AK2278">
        <v>0.68156105823614299</v>
      </c>
    </row>
    <row r="2279" spans="1:37" x14ac:dyDescent="0.2">
      <c r="A2279" t="str">
        <f>"20200111160157897"</f>
        <v>20200111160157897</v>
      </c>
      <c r="B2279" t="str">
        <f>"1578729717893914"</f>
        <v>1578729717893914</v>
      </c>
      <c r="C2279" t="s">
        <v>37</v>
      </c>
      <c r="D2279">
        <v>5.475238</v>
      </c>
      <c r="E2279">
        <v>0.50254449999999995</v>
      </c>
      <c r="F2279" t="s">
        <v>60</v>
      </c>
      <c r="G2279">
        <v>-425.99810000000002</v>
      </c>
      <c r="H2279" s="1">
        <v>2.9153380000000001E-6</v>
      </c>
      <c r="I2279">
        <v>214.44810000000001</v>
      </c>
      <c r="J2279">
        <v>-437.54610000000002</v>
      </c>
      <c r="K2279">
        <v>1.104835</v>
      </c>
      <c r="L2279">
        <v>213.4349</v>
      </c>
      <c r="M2279">
        <v>0.99887060000000005</v>
      </c>
      <c r="N2279">
        <v>0</v>
      </c>
      <c r="O2279">
        <v>4.5583970000000001E-2</v>
      </c>
      <c r="P2279">
        <v>0.99635490000000004</v>
      </c>
      <c r="Q2279">
        <v>8.824386E-3</v>
      </c>
      <c r="R2279">
        <v>8.4848110000000004E-2</v>
      </c>
      <c r="S2279">
        <v>2.991028</v>
      </c>
      <c r="T2279">
        <v>-0.28143429999999903</v>
      </c>
      <c r="U2279">
        <v>0.2605133</v>
      </c>
      <c r="V2279">
        <v>-3.9347630000000001E-2</v>
      </c>
      <c r="W2279">
        <v>2.2203830000000001E-2</v>
      </c>
      <c r="X2279">
        <v>0.9989789</v>
      </c>
      <c r="Y2279">
        <v>-4.128217E-2</v>
      </c>
      <c r="Z2279">
        <v>-2.33454E-3</v>
      </c>
      <c r="AA2279">
        <v>0.99914480000000006</v>
      </c>
      <c r="AB2279">
        <v>19</v>
      </c>
      <c r="AC2279">
        <v>11.548</v>
      </c>
      <c r="AD2279">
        <v>-1.1048320846619999</v>
      </c>
      <c r="AE2279">
        <v>1.0132000000000101</v>
      </c>
      <c r="AF2279">
        <v>-0.48132357379559398</v>
      </c>
      <c r="AG2279">
        <v>-1.1048320846619999</v>
      </c>
      <c r="AH2279">
        <v>11.477925018618301</v>
      </c>
      <c r="AI2279">
        <v>95.493389412361196</v>
      </c>
      <c r="AJ2279">
        <v>92.4012755759817</v>
      </c>
      <c r="AK2279">
        <v>11.541017678307799</v>
      </c>
    </row>
    <row r="2280" spans="1:37" x14ac:dyDescent="0.2">
      <c r="A2280" t="str">
        <f>"20200111160157919"</f>
        <v>20200111160157919</v>
      </c>
      <c r="B2280" t="str">
        <f>"1578729717914411"</f>
        <v>1578729717914411</v>
      </c>
      <c r="C2280" t="s">
        <v>37</v>
      </c>
      <c r="D2280">
        <v>5.3910859999999996</v>
      </c>
      <c r="E2280">
        <v>0.50265909999999903</v>
      </c>
      <c r="F2280" t="s">
        <v>60</v>
      </c>
      <c r="G2280">
        <v>-425.73509999999999</v>
      </c>
      <c r="H2280" s="1">
        <v>2.9620190000000001E-6</v>
      </c>
      <c r="I2280">
        <v>214.4478</v>
      </c>
      <c r="J2280">
        <v>-437.37060000000002</v>
      </c>
      <c r="K2280">
        <v>1.104803</v>
      </c>
      <c r="L2280">
        <v>213.4435</v>
      </c>
      <c r="M2280">
        <v>0.99884869999999903</v>
      </c>
      <c r="N2280">
        <v>0</v>
      </c>
      <c r="O2280">
        <v>4.6064189999999998E-2</v>
      </c>
      <c r="P2280">
        <v>0.99643709999999996</v>
      </c>
      <c r="Q2280">
        <v>8.8920459999999903E-3</v>
      </c>
      <c r="R2280">
        <v>8.3870169999999994E-2</v>
      </c>
      <c r="S2280">
        <v>2.991638</v>
      </c>
      <c r="T2280">
        <v>-0.27984520000000002</v>
      </c>
      <c r="U2280">
        <v>0.25657649999999999</v>
      </c>
      <c r="V2280">
        <v>-3.7884670000000002E-2</v>
      </c>
      <c r="W2280">
        <v>2.2261039999999999E-2</v>
      </c>
      <c r="X2280">
        <v>0.99903410000000004</v>
      </c>
      <c r="Y2280">
        <v>-3.9488699999999897E-2</v>
      </c>
      <c r="Z2280">
        <v>-2.4493219999999999E-3</v>
      </c>
      <c r="AA2280">
        <v>0.99921700000000002</v>
      </c>
      <c r="AB2280">
        <v>19</v>
      </c>
      <c r="AC2280">
        <v>11.6355</v>
      </c>
      <c r="AD2280">
        <v>-1.1048000379809999</v>
      </c>
      <c r="AE2280">
        <v>1.0043</v>
      </c>
      <c r="AF2280">
        <v>-0.46306183552614699</v>
      </c>
      <c r="AG2280">
        <v>-1.1048000379809999</v>
      </c>
      <c r="AH2280">
        <v>11.565909756518799</v>
      </c>
      <c r="AI2280">
        <v>95.452116230916104</v>
      </c>
      <c r="AJ2280">
        <v>92.2927142647209</v>
      </c>
      <c r="AK2280">
        <v>11.627780436668999</v>
      </c>
    </row>
    <row r="2281" spans="1:37" x14ac:dyDescent="0.2">
      <c r="A2281" t="str">
        <f>"20200111160157942"</f>
        <v>20200111160157942</v>
      </c>
      <c r="B2281" t="str">
        <f>"1578729717933930"</f>
        <v>1578729717933930</v>
      </c>
      <c r="C2281" t="s">
        <v>37</v>
      </c>
      <c r="D2281">
        <v>5.5210229999999996</v>
      </c>
      <c r="E2281">
        <v>0.51891279999999995</v>
      </c>
      <c r="F2281" t="s">
        <v>60</v>
      </c>
      <c r="G2281">
        <v>-425.57080000000002</v>
      </c>
      <c r="H2281" s="1">
        <v>2.9920220000000001E-6</v>
      </c>
      <c r="I2281">
        <v>214.43799999999999</v>
      </c>
      <c r="J2281">
        <v>-437.1825</v>
      </c>
      <c r="K2281">
        <v>1.104746</v>
      </c>
      <c r="L2281">
        <v>213.4528</v>
      </c>
      <c r="M2281">
        <v>0.99883040000000001</v>
      </c>
      <c r="N2281">
        <v>0</v>
      </c>
      <c r="O2281">
        <v>4.6477730000000002E-2</v>
      </c>
      <c r="P2281">
        <v>0.99650649999999996</v>
      </c>
      <c r="Q2281">
        <v>8.8081900000000005E-3</v>
      </c>
      <c r="R2281">
        <v>8.3052070000000006E-2</v>
      </c>
      <c r="S2281">
        <v>2.9920040000000001</v>
      </c>
      <c r="T2281">
        <v>-0.28013739999999998</v>
      </c>
      <c r="U2281">
        <v>0.25216669999999902</v>
      </c>
      <c r="V2281">
        <v>-3.664808E-2</v>
      </c>
      <c r="W2281">
        <v>2.2127560000000001E-2</v>
      </c>
      <c r="X2281">
        <v>0.99908319999999995</v>
      </c>
      <c r="Y2281">
        <v>-3.7612420000000001E-2</v>
      </c>
      <c r="Z2281">
        <v>-2.5777489999999998E-3</v>
      </c>
      <c r="AA2281">
        <v>0.99928909999999904</v>
      </c>
      <c r="AB2281">
        <v>19</v>
      </c>
      <c r="AC2281">
        <v>11.6116999999999</v>
      </c>
      <c r="AD2281">
        <v>-1.1047430079780001</v>
      </c>
      <c r="AE2281">
        <v>0.98519999999999197</v>
      </c>
      <c r="AF2281">
        <v>-0.440443454625425</v>
      </c>
      <c r="AG2281">
        <v>-1.1047430079780001</v>
      </c>
      <c r="AH2281">
        <v>11.5412220400954</v>
      </c>
      <c r="AI2281">
        <v>95.463825306533394</v>
      </c>
      <c r="AJ2281">
        <v>92.185497407729997</v>
      </c>
      <c r="AK2281">
        <v>11.6023382871377</v>
      </c>
    </row>
    <row r="2282" spans="1:37" x14ac:dyDescent="0.2">
      <c r="A2282" t="str">
        <f>"20200111160157964"</f>
        <v>20200111160157964</v>
      </c>
      <c r="B2282" t="str">
        <f>"1578729717953451"</f>
        <v>1578729717953451</v>
      </c>
      <c r="C2282" t="s">
        <v>37</v>
      </c>
      <c r="D2282">
        <v>5.6606699999999996</v>
      </c>
      <c r="E2282">
        <v>0.53017360000000002</v>
      </c>
      <c r="F2282" t="s">
        <v>42</v>
      </c>
      <c r="G2282">
        <v>-436.3929</v>
      </c>
      <c r="H2282">
        <v>1.043283</v>
      </c>
      <c r="I2282">
        <v>213.48339999999999</v>
      </c>
      <c r="J2282">
        <v>-436.99979999999999</v>
      </c>
      <c r="K2282">
        <v>1.104663</v>
      </c>
      <c r="L2282">
        <v>213.46170000000001</v>
      </c>
      <c r="M2282">
        <v>0.99881790000000004</v>
      </c>
      <c r="N2282">
        <v>0</v>
      </c>
      <c r="O2282">
        <v>4.6773729999999999E-2</v>
      </c>
      <c r="P2282">
        <v>0.9965733</v>
      </c>
      <c r="Q2282">
        <v>8.9311340000000003E-3</v>
      </c>
      <c r="R2282">
        <v>8.2231440000000003E-2</v>
      </c>
      <c r="S2282">
        <v>3.0028380000000001</v>
      </c>
      <c r="T2282">
        <v>-0.233777599999999</v>
      </c>
      <c r="U2282">
        <v>0.1166382</v>
      </c>
      <c r="V2282">
        <v>-3.5526599999999998E-2</v>
      </c>
      <c r="W2282">
        <v>2.214615E-2</v>
      </c>
      <c r="X2282">
        <v>0.99912330000000005</v>
      </c>
      <c r="Y2282">
        <v>7.8069219999999896E-3</v>
      </c>
      <c r="Z2282">
        <v>-3.9363920000000004E-3</v>
      </c>
      <c r="AA2282">
        <v>0.99996180000000001</v>
      </c>
      <c r="AB2282">
        <v>18</v>
      </c>
      <c r="AC2282">
        <v>0.606899999999996</v>
      </c>
      <c r="AD2282">
        <v>-6.13799999999999E-2</v>
      </c>
      <c r="AE2282">
        <v>2.1699999999981401E-2</v>
      </c>
      <c r="AF2282">
        <v>6.6453296631885901E-3</v>
      </c>
      <c r="AG2282">
        <v>-6.13799999999999E-2</v>
      </c>
      <c r="AH2282">
        <v>0.60111000664988501</v>
      </c>
      <c r="AI2282">
        <v>95.829973293199799</v>
      </c>
      <c r="AJ2282">
        <v>89.366615379908893</v>
      </c>
      <c r="AK2282">
        <v>0.60427221092894601</v>
      </c>
    </row>
    <row r="2283" spans="1:37" x14ac:dyDescent="0.2">
      <c r="A2283" t="str">
        <f>"20200111160157987"</f>
        <v>20200111160157987</v>
      </c>
      <c r="B2283" t="str">
        <f>"1578729717983706"</f>
        <v>1578729717983706</v>
      </c>
      <c r="C2283" t="s">
        <v>37</v>
      </c>
      <c r="D2283">
        <v>5.4833910000000001</v>
      </c>
      <c r="E2283">
        <v>0.53736740000000005</v>
      </c>
      <c r="F2283" t="s">
        <v>42</v>
      </c>
      <c r="G2283">
        <v>-436.23099999999999</v>
      </c>
      <c r="H2283">
        <v>1.0434540000000001</v>
      </c>
      <c r="I2283">
        <v>213.4675</v>
      </c>
      <c r="J2283">
        <v>-436.81079999999997</v>
      </c>
      <c r="K2283">
        <v>1.1045609999999999</v>
      </c>
      <c r="L2283">
        <v>213.4709</v>
      </c>
      <c r="M2283">
        <v>0.99881070000000005</v>
      </c>
      <c r="N2283">
        <v>0</v>
      </c>
      <c r="O2283">
        <v>4.6976450000000003E-2</v>
      </c>
      <c r="P2283">
        <v>0.99662770000000001</v>
      </c>
      <c r="Q2283">
        <v>8.6164459999999998E-3</v>
      </c>
      <c r="R2283">
        <v>8.1605280000000002E-2</v>
      </c>
      <c r="S2283">
        <v>3.0104679999999999</v>
      </c>
      <c r="T2283">
        <v>-0.23987809999999901</v>
      </c>
      <c r="U2283">
        <v>2.4566649999999999E-2</v>
      </c>
      <c r="V2283">
        <v>-3.4692250000000001E-2</v>
      </c>
      <c r="W2283">
        <v>2.1665609999999998E-2</v>
      </c>
      <c r="X2283">
        <v>0.99916319999999903</v>
      </c>
      <c r="Y2283">
        <v>3.8556769999999997E-2</v>
      </c>
      <c r="Z2283">
        <v>-5.2699390000000004E-3</v>
      </c>
      <c r="AA2283">
        <v>0.99924249999999903</v>
      </c>
      <c r="AB2283">
        <v>18</v>
      </c>
      <c r="AC2283">
        <v>0.579799999999977</v>
      </c>
      <c r="AD2283">
        <v>-6.1107000000000002E-2</v>
      </c>
      <c r="AE2283">
        <v>-3.3999999999991802E-3</v>
      </c>
      <c r="AF2283">
        <v>3.0298970964630301E-2</v>
      </c>
      <c r="AG2283">
        <v>-6.1107000000000002E-2</v>
      </c>
      <c r="AH2283">
        <v>0.57263954694105201</v>
      </c>
      <c r="AI2283">
        <v>96.082601243844707</v>
      </c>
      <c r="AJ2283">
        <v>86.971243328176399</v>
      </c>
      <c r="AK2283">
        <v>0.57668721488461006</v>
      </c>
    </row>
    <row r="2284" spans="1:37" x14ac:dyDescent="0.2">
      <c r="A2284" t="str">
        <f>"20200111160158009"</f>
        <v>20200111160158009</v>
      </c>
      <c r="B2284" t="str">
        <f>"1578729718003734"</f>
        <v>1578729718003734</v>
      </c>
      <c r="C2284" t="s">
        <v>37</v>
      </c>
      <c r="D2284">
        <v>5.5847959999999999</v>
      </c>
      <c r="E2284">
        <v>0.53995990000000005</v>
      </c>
      <c r="F2284" t="s">
        <v>42</v>
      </c>
      <c r="G2284">
        <v>-436.05930000000001</v>
      </c>
      <c r="H2284">
        <v>1.0509360000000001</v>
      </c>
      <c r="I2284">
        <v>213.4615</v>
      </c>
      <c r="J2284">
        <v>-436.6284</v>
      </c>
      <c r="K2284">
        <v>1.1044529999999999</v>
      </c>
      <c r="L2284">
        <v>213.4796</v>
      </c>
      <c r="M2284">
        <v>0.9988089</v>
      </c>
      <c r="N2284">
        <v>0</v>
      </c>
      <c r="O2284">
        <v>4.707567E-2</v>
      </c>
      <c r="P2284">
        <v>0.9966642</v>
      </c>
      <c r="Q2284">
        <v>1.002171E-2</v>
      </c>
      <c r="R2284">
        <v>8.0996120000000005E-2</v>
      </c>
      <c r="S2284">
        <v>3.0149840000000001</v>
      </c>
      <c r="T2284">
        <v>-0.21517990000000001</v>
      </c>
      <c r="U2284">
        <v>-3.6621090000000002E-2</v>
      </c>
      <c r="V2284">
        <v>-3.3979559999999999E-2</v>
      </c>
      <c r="W2284">
        <v>2.2857410000000002E-2</v>
      </c>
      <c r="X2284">
        <v>0.99916109999999903</v>
      </c>
      <c r="Y2284">
        <v>5.893847E-2</v>
      </c>
      <c r="Z2284">
        <v>-5.4554649999999996E-3</v>
      </c>
      <c r="AA2284">
        <v>0.99824669999999904</v>
      </c>
      <c r="AB2284">
        <v>19</v>
      </c>
      <c r="AC2284">
        <v>0.56909999999999095</v>
      </c>
      <c r="AD2284">
        <v>-5.3517000000000002E-2</v>
      </c>
      <c r="AE2284">
        <v>-1.8100000000003998E-2</v>
      </c>
      <c r="AF2284">
        <v>4.4479954630413099E-2</v>
      </c>
      <c r="AG2284">
        <v>-5.3517000000000002E-2</v>
      </c>
      <c r="AH2284">
        <v>0.56264627967673997</v>
      </c>
      <c r="AI2284">
        <v>95.416634475558794</v>
      </c>
      <c r="AJ2284">
        <v>85.4798877138021</v>
      </c>
      <c r="AK2284">
        <v>0.56693330444330103</v>
      </c>
    </row>
    <row r="2285" spans="1:37" x14ac:dyDescent="0.2">
      <c r="A2285" t="str">
        <f>"20200111160158032"</f>
        <v>20200111160158032</v>
      </c>
      <c r="B2285" t="str">
        <f>"1578729718024229"</f>
        <v>1578729718024229</v>
      </c>
      <c r="C2285" t="s">
        <v>37</v>
      </c>
      <c r="D2285">
        <v>5.5144919999999997</v>
      </c>
      <c r="E2285">
        <v>0.54110369999999997</v>
      </c>
      <c r="F2285" t="s">
        <v>42</v>
      </c>
      <c r="G2285">
        <v>-435.89350000000002</v>
      </c>
      <c r="H2285">
        <v>1.0512680000000001</v>
      </c>
      <c r="I2285">
        <v>213.46469999999999</v>
      </c>
      <c r="J2285">
        <v>-436.4393</v>
      </c>
      <c r="K2285">
        <v>1.1043540000000001</v>
      </c>
      <c r="L2285">
        <v>213.48859999999999</v>
      </c>
      <c r="M2285">
        <v>0.9988129</v>
      </c>
      <c r="N2285">
        <v>0</v>
      </c>
      <c r="O2285">
        <v>4.7067919999999999E-2</v>
      </c>
      <c r="P2285">
        <v>0.99665919999999897</v>
      </c>
      <c r="Q2285">
        <v>1.221528E-2</v>
      </c>
      <c r="R2285">
        <v>8.0754850000000003E-2</v>
      </c>
      <c r="S2285">
        <v>3.016937</v>
      </c>
      <c r="T2285">
        <v>-0.2185945</v>
      </c>
      <c r="U2285">
        <v>-5.833435E-2</v>
      </c>
      <c r="V2285">
        <v>-3.3742189999999998E-2</v>
      </c>
      <c r="W2285">
        <v>2.4766119999999999E-2</v>
      </c>
      <c r="X2285">
        <v>0.99912369999999995</v>
      </c>
      <c r="Y2285">
        <v>6.6076899999999994E-2</v>
      </c>
      <c r="Z2285">
        <v>-5.7957410000000001E-3</v>
      </c>
      <c r="AA2285">
        <v>0.99779769999999901</v>
      </c>
      <c r="AB2285">
        <v>19</v>
      </c>
      <c r="AC2285">
        <v>0.54579999999998496</v>
      </c>
      <c r="AD2285">
        <v>-5.3085999999999897E-2</v>
      </c>
      <c r="AE2285">
        <v>-2.38999999999975E-2</v>
      </c>
      <c r="AF2285">
        <v>4.9101586053002799E-2</v>
      </c>
      <c r="AG2285">
        <v>-5.3085999999999897E-2</v>
      </c>
      <c r="AH2285">
        <v>0.538980954997484</v>
      </c>
      <c r="AI2285">
        <v>95.602056062070901</v>
      </c>
      <c r="AJ2285">
        <v>84.794678260891203</v>
      </c>
      <c r="AK2285">
        <v>0.54381022333064</v>
      </c>
    </row>
    <row r="2286" spans="1:37" x14ac:dyDescent="0.2">
      <c r="A2286" t="str">
        <f>"20200111160158053"</f>
        <v>20200111160158053</v>
      </c>
      <c r="B2286" t="str">
        <f>"1578729718043750"</f>
        <v>1578729718043750</v>
      </c>
      <c r="C2286" t="s">
        <v>37</v>
      </c>
      <c r="D2286">
        <v>5.583113</v>
      </c>
      <c r="E2286">
        <v>0.53903350000000005</v>
      </c>
      <c r="F2286" t="s">
        <v>42</v>
      </c>
      <c r="G2286">
        <v>-435.5684</v>
      </c>
      <c r="H2286">
        <v>1.042135</v>
      </c>
      <c r="I2286">
        <v>213.46870000000001</v>
      </c>
      <c r="J2286">
        <v>-436.25900000000001</v>
      </c>
      <c r="K2286">
        <v>1.1042620000000001</v>
      </c>
      <c r="L2286">
        <v>213.49700000000001</v>
      </c>
      <c r="M2286">
        <v>0.99882219999999999</v>
      </c>
      <c r="N2286">
        <v>0</v>
      </c>
      <c r="O2286">
        <v>4.6960639999999998E-2</v>
      </c>
      <c r="P2286">
        <v>0.99663639999999998</v>
      </c>
      <c r="Q2286">
        <v>1.480005E-2</v>
      </c>
      <c r="R2286">
        <v>8.0605599999999999E-2</v>
      </c>
      <c r="S2286">
        <v>3.0181879999999999</v>
      </c>
      <c r="T2286">
        <v>-0.21573709999999999</v>
      </c>
      <c r="U2286">
        <v>-6.7565920000000002E-2</v>
      </c>
      <c r="V2286">
        <v>-3.3697810000000002E-2</v>
      </c>
      <c r="W2286">
        <v>2.702129E-2</v>
      </c>
      <c r="X2286">
        <v>0.99906669999999997</v>
      </c>
      <c r="Y2286">
        <v>6.9012560000000001E-2</v>
      </c>
      <c r="Z2286">
        <v>-5.8147939999999999E-3</v>
      </c>
      <c r="AA2286">
        <v>0.99759880000000001</v>
      </c>
      <c r="AB2286">
        <v>19</v>
      </c>
      <c r="AC2286">
        <v>0.69060000000001698</v>
      </c>
      <c r="AD2286">
        <v>-6.2127000000000002E-2</v>
      </c>
      <c r="AE2286">
        <v>-2.8300000000001501E-2</v>
      </c>
      <c r="AF2286">
        <v>6.0215699503494903E-2</v>
      </c>
      <c r="AG2286">
        <v>-6.2127000000000002E-2</v>
      </c>
      <c r="AH2286">
        <v>0.68299073730363202</v>
      </c>
      <c r="AI2286">
        <v>95.177528007705206</v>
      </c>
      <c r="AJ2286">
        <v>84.961560285509293</v>
      </c>
      <c r="AK2286">
        <v>0.68844901179263296</v>
      </c>
    </row>
    <row r="2287" spans="1:37" x14ac:dyDescent="0.2">
      <c r="A2287" t="str">
        <f>"20200111160158077"</f>
        <v>20200111160158077</v>
      </c>
      <c r="B2287" t="str">
        <f>"1578729718074005"</f>
        <v>1578729718074005</v>
      </c>
      <c r="C2287" t="s">
        <v>37</v>
      </c>
      <c r="D2287">
        <v>5.5519920000000003</v>
      </c>
      <c r="E2287">
        <v>0.54676469999999999</v>
      </c>
      <c r="F2287" t="s">
        <v>67</v>
      </c>
      <c r="G2287">
        <v>-168.41390000000001</v>
      </c>
      <c r="H2287">
        <v>10.69797</v>
      </c>
      <c r="I2287">
        <v>206.94720000000001</v>
      </c>
      <c r="J2287">
        <v>-436.06220000000002</v>
      </c>
      <c r="K2287">
        <v>1.1041669999999999</v>
      </c>
      <c r="L2287">
        <v>213.50599999999901</v>
      </c>
      <c r="M2287">
        <v>0.99883659999999996</v>
      </c>
      <c r="N2287">
        <v>0</v>
      </c>
      <c r="O2287">
        <v>4.6751639999999997E-2</v>
      </c>
      <c r="P2287">
        <v>0.99659259999999905</v>
      </c>
      <c r="Q2287">
        <v>1.7401119999999999E-2</v>
      </c>
      <c r="R2287">
        <v>8.0625660000000002E-2</v>
      </c>
      <c r="S2287">
        <v>3.0144959999999998</v>
      </c>
      <c r="T2287">
        <v>0.1079739</v>
      </c>
      <c r="U2287">
        <v>-7.3715210000000003E-2</v>
      </c>
      <c r="V2287">
        <v>-3.3925789999999997E-2</v>
      </c>
      <c r="W2287">
        <v>2.9236270000000002E-2</v>
      </c>
      <c r="X2287">
        <v>0.99899660000000001</v>
      </c>
      <c r="Y2287">
        <v>7.1084949999999994E-2</v>
      </c>
      <c r="Z2287">
        <v>2.9461439999999999E-3</v>
      </c>
      <c r="AA2287">
        <v>0.99746590000000002</v>
      </c>
      <c r="AB2287">
        <v>19</v>
      </c>
      <c r="AC2287">
        <v>267.64830000000001</v>
      </c>
      <c r="AD2287">
        <v>9.5938029999999994</v>
      </c>
      <c r="AE2287">
        <v>-6.5587999999999598</v>
      </c>
      <c r="AF2287">
        <v>19.041048305377501</v>
      </c>
      <c r="AG2287">
        <v>9.5938029999999994</v>
      </c>
      <c r="AH2287">
        <v>266.70646912994602</v>
      </c>
      <c r="AI2287">
        <v>87.945105038683707</v>
      </c>
      <c r="AJ2287">
        <v>85.916395293548206</v>
      </c>
      <c r="AK2287">
        <v>267.55736441431299</v>
      </c>
    </row>
    <row r="2288" spans="1:37" x14ac:dyDescent="0.2">
      <c r="A2288" t="str">
        <f>"20200111160158099"</f>
        <v>20200111160158099</v>
      </c>
      <c r="B2288" t="str">
        <f>"1578729718094035"</f>
        <v>1578729718094035</v>
      </c>
      <c r="C2288" t="s">
        <v>37</v>
      </c>
      <c r="D2288">
        <v>5.5266609999999998</v>
      </c>
      <c r="E2288">
        <v>0.54708950000000001</v>
      </c>
      <c r="F2288" t="s">
        <v>42</v>
      </c>
      <c r="G2288">
        <v>-435.23340000000002</v>
      </c>
      <c r="H2288">
        <v>1.042718</v>
      </c>
      <c r="I2288">
        <v>213.4753</v>
      </c>
      <c r="J2288">
        <v>-435.87299999999999</v>
      </c>
      <c r="K2288">
        <v>1.1040779999999999</v>
      </c>
      <c r="L2288">
        <v>213.5146</v>
      </c>
      <c r="M2288">
        <v>0.99885429999999997</v>
      </c>
      <c r="N2288">
        <v>0</v>
      </c>
      <c r="O2288">
        <v>4.6473199999999999E-2</v>
      </c>
      <c r="P2288">
        <v>0.99652070000000004</v>
      </c>
      <c r="Q2288">
        <v>1.8904870000000001E-2</v>
      </c>
      <c r="R2288">
        <v>8.1173930000000005E-2</v>
      </c>
      <c r="S2288">
        <v>3.0231020000000002</v>
      </c>
      <c r="T2288">
        <v>-0.22426260000000001</v>
      </c>
      <c r="U2288">
        <v>-0.11079410000000001</v>
      </c>
      <c r="V2288">
        <v>-3.475255E-2</v>
      </c>
      <c r="W2288">
        <v>3.0342520000000001E-2</v>
      </c>
      <c r="X2288">
        <v>0.99893519999999902</v>
      </c>
      <c r="Y2288">
        <v>8.2675540000000006E-2</v>
      </c>
      <c r="Z2288">
        <v>-6.5029909999999996E-3</v>
      </c>
      <c r="AA2288">
        <v>0.99655530000000003</v>
      </c>
      <c r="AB2288">
        <v>19</v>
      </c>
      <c r="AC2288">
        <v>0.63960000000002903</v>
      </c>
      <c r="AD2288">
        <v>-6.1359999999999998E-2</v>
      </c>
      <c r="AE2288">
        <v>-3.9299999999997198E-2</v>
      </c>
      <c r="AF2288">
        <v>6.83569699441543E-2</v>
      </c>
      <c r="AG2288">
        <v>-6.1359999999999998E-2</v>
      </c>
      <c r="AH2288">
        <v>0.63129405811259798</v>
      </c>
      <c r="AI2288">
        <v>95.519487512703705</v>
      </c>
      <c r="AJ2288">
        <v>83.820049870887999</v>
      </c>
      <c r="AK2288">
        <v>0.63794193524819998</v>
      </c>
    </row>
    <row r="2289" spans="1:37" x14ac:dyDescent="0.2">
      <c r="A2289" t="str">
        <f>"20200111160158123"</f>
        <v>20200111160158123</v>
      </c>
      <c r="B2289" t="str">
        <f>"1578729718114530"</f>
        <v>1578729718114530</v>
      </c>
      <c r="C2289" t="s">
        <v>37</v>
      </c>
      <c r="D2289">
        <v>5.7307610000000002</v>
      </c>
      <c r="E2289">
        <v>0.54694309999999902</v>
      </c>
      <c r="F2289" t="s">
        <v>42</v>
      </c>
      <c r="G2289">
        <v>-435.06459999999998</v>
      </c>
      <c r="H2289">
        <v>1.044222</v>
      </c>
      <c r="I2289">
        <v>213.4847</v>
      </c>
      <c r="J2289">
        <v>-435.6739</v>
      </c>
      <c r="K2289">
        <v>1.1039889999999899</v>
      </c>
      <c r="L2289">
        <v>213.52350000000001</v>
      </c>
      <c r="M2289">
        <v>0.99887630000000005</v>
      </c>
      <c r="N2289">
        <v>0</v>
      </c>
      <c r="O2289">
        <v>4.6109629999999999E-2</v>
      </c>
      <c r="P2289">
        <v>0.99650659999999902</v>
      </c>
      <c r="Q2289">
        <v>1.850887E-2</v>
      </c>
      <c r="R2289">
        <v>8.1438679999999999E-2</v>
      </c>
      <c r="S2289">
        <v>3.0238339999999999</v>
      </c>
      <c r="T2289">
        <v>-0.22391759999999999</v>
      </c>
      <c r="U2289">
        <v>-0.1112976</v>
      </c>
      <c r="V2289">
        <v>-3.5380780000000001E-2</v>
      </c>
      <c r="W2289">
        <v>2.9478399999999998E-2</v>
      </c>
      <c r="X2289">
        <v>0.99893899999999902</v>
      </c>
      <c r="Y2289">
        <v>8.2472260000000006E-2</v>
      </c>
      <c r="Z2289">
        <v>-6.4570309999999898E-3</v>
      </c>
      <c r="AA2289">
        <v>0.99657240000000002</v>
      </c>
      <c r="AB2289">
        <v>19</v>
      </c>
      <c r="AC2289">
        <v>0.60930000000001805</v>
      </c>
      <c r="AD2289">
        <v>-5.9766999999999897E-2</v>
      </c>
      <c r="AE2289">
        <v>-3.8800000000009001E-2</v>
      </c>
      <c r="AF2289">
        <v>6.6220418238016596E-2</v>
      </c>
      <c r="AG2289">
        <v>-5.9766999999999897E-2</v>
      </c>
      <c r="AH2289">
        <v>0.60110231699994299</v>
      </c>
      <c r="AI2289">
        <v>95.644274534496205</v>
      </c>
      <c r="AJ2289">
        <v>83.713362641391896</v>
      </c>
      <c r="AK2289">
        <v>0.60768514346108404</v>
      </c>
    </row>
    <row r="2290" spans="1:37" x14ac:dyDescent="0.2">
      <c r="A2290" t="str">
        <f>"20200111160158410"</f>
        <v>20200111160158410</v>
      </c>
      <c r="B2290" t="str">
        <f>"1578729718403463"</f>
        <v>1578729718403463</v>
      </c>
      <c r="C2290" t="s">
        <v>37</v>
      </c>
      <c r="D2290">
        <v>7.3556350000000004</v>
      </c>
      <c r="E2290">
        <v>0.54774049999999996</v>
      </c>
      <c r="F2290" t="s">
        <v>42</v>
      </c>
      <c r="G2290">
        <v>-432.42779999999999</v>
      </c>
      <c r="H2290">
        <v>1.029774</v>
      </c>
      <c r="I2290">
        <v>213.5797</v>
      </c>
      <c r="J2290">
        <v>-433.13510000000002</v>
      </c>
      <c r="K2290">
        <v>1.103289</v>
      </c>
      <c r="L2290">
        <v>213.62620000000001</v>
      </c>
      <c r="M2290">
        <v>0.99920429999999905</v>
      </c>
      <c r="N2290">
        <v>0</v>
      </c>
      <c r="O2290">
        <v>3.944694E-2</v>
      </c>
      <c r="P2290">
        <v>0.99673409999999996</v>
      </c>
      <c r="Q2290">
        <v>2.3950490000000001E-2</v>
      </c>
      <c r="R2290">
        <v>7.7121560000000006E-2</v>
      </c>
      <c r="S2290">
        <v>3.0255130000000001</v>
      </c>
      <c r="T2290">
        <v>-0.24938730000000001</v>
      </c>
      <c r="U2290">
        <v>-0.13406370000000001</v>
      </c>
      <c r="V2290">
        <v>-3.7709960000000001E-2</v>
      </c>
      <c r="W2290">
        <v>2.9883050000000001E-2</v>
      </c>
      <c r="X2290">
        <v>0.9988418</v>
      </c>
      <c r="Y2290">
        <v>8.322678E-2</v>
      </c>
      <c r="Z2290">
        <v>-6.6672160000000001E-3</v>
      </c>
      <c r="AA2290">
        <v>0.99650839999999996</v>
      </c>
      <c r="AB2290">
        <v>20</v>
      </c>
      <c r="AC2290">
        <v>0.70730000000003201</v>
      </c>
      <c r="AD2290">
        <v>-7.3514999999999997E-2</v>
      </c>
      <c r="AE2290">
        <v>-4.6500000000008798E-2</v>
      </c>
      <c r="AF2290">
        <v>7.3573714340050306E-2</v>
      </c>
      <c r="AG2290">
        <v>-7.3514999999999997E-2</v>
      </c>
      <c r="AH2290">
        <v>0.69741341353373498</v>
      </c>
      <c r="AI2290">
        <v>95.984414239845194</v>
      </c>
      <c r="AJ2290">
        <v>83.977849348878905</v>
      </c>
      <c r="AK2290">
        <v>0.70512624121044298</v>
      </c>
    </row>
    <row r="2291" spans="1:37" x14ac:dyDescent="0.2">
      <c r="A2291" t="str">
        <f>"20200111160158433"</f>
        <v>20200111160158433</v>
      </c>
      <c r="B2291" t="str">
        <f>"1578729718423959"</f>
        <v>1578729718423959</v>
      </c>
      <c r="C2291" t="s">
        <v>37</v>
      </c>
      <c r="D2291">
        <v>4.7409730000000003</v>
      </c>
      <c r="E2291">
        <v>0.54479919999999904</v>
      </c>
      <c r="F2291" t="s">
        <v>42</v>
      </c>
      <c r="G2291">
        <v>-432.23579999999998</v>
      </c>
      <c r="H2291">
        <v>1.0435030000000001</v>
      </c>
      <c r="I2291">
        <v>213.5872</v>
      </c>
      <c r="J2291">
        <v>-432.92360000000002</v>
      </c>
      <c r="K2291">
        <v>1.103229</v>
      </c>
      <c r="L2291">
        <v>213.6336</v>
      </c>
      <c r="M2291">
        <v>0.99923799999999996</v>
      </c>
      <c r="N2291">
        <v>0</v>
      </c>
      <c r="O2291">
        <v>3.8617529999999997E-2</v>
      </c>
      <c r="P2291">
        <v>0.99676039999999999</v>
      </c>
      <c r="Q2291">
        <v>2.593312E-2</v>
      </c>
      <c r="R2291">
        <v>7.6135309999999998E-2</v>
      </c>
      <c r="S2291">
        <v>3.02475</v>
      </c>
      <c r="T2291">
        <v>-0.20112060000000001</v>
      </c>
      <c r="U2291">
        <v>-0.1307373</v>
      </c>
      <c r="V2291">
        <v>-3.7546940000000001E-2</v>
      </c>
      <c r="W2291">
        <v>3.1647469999999997E-2</v>
      </c>
      <c r="X2291">
        <v>0.99879359999999995</v>
      </c>
      <c r="Y2291">
        <v>8.1467360000000003E-2</v>
      </c>
      <c r="Z2291">
        <v>-5.2680189999999997E-3</v>
      </c>
      <c r="AA2291">
        <v>0.996662099999999</v>
      </c>
      <c r="AB2291">
        <v>21</v>
      </c>
      <c r="AC2291">
        <v>0.68780000000003805</v>
      </c>
      <c r="AD2291">
        <v>-5.9725999999999897E-2</v>
      </c>
      <c r="AE2291">
        <v>-4.6400000000005499E-2</v>
      </c>
      <c r="AF2291">
        <v>7.2383612182832499E-2</v>
      </c>
      <c r="AG2291">
        <v>-5.9725999999999897E-2</v>
      </c>
      <c r="AH2291">
        <v>0.68038779838021102</v>
      </c>
      <c r="AI2291">
        <v>94.988687271020297</v>
      </c>
      <c r="AJ2291">
        <v>83.927382760162004</v>
      </c>
      <c r="AK2291">
        <v>0.68682904610485496</v>
      </c>
    </row>
    <row r="2292" spans="1:37" x14ac:dyDescent="0.2">
      <c r="A2292" t="str">
        <f>"20200111160158456"</f>
        <v>20200111160158456</v>
      </c>
      <c r="B2292" t="str">
        <f>"1578729718443479"</f>
        <v>1578729718443479</v>
      </c>
      <c r="C2292" t="s">
        <v>37</v>
      </c>
      <c r="D2292">
        <v>5.55464</v>
      </c>
      <c r="E2292">
        <v>0.54098009999999996</v>
      </c>
      <c r="F2292" t="s">
        <v>42</v>
      </c>
      <c r="G2292">
        <v>-432.04430000000002</v>
      </c>
      <c r="H2292">
        <v>1.0520909999999899</v>
      </c>
      <c r="I2292">
        <v>213.6009</v>
      </c>
      <c r="J2292">
        <v>-432.71550000000002</v>
      </c>
      <c r="K2292">
        <v>1.1031690000000001</v>
      </c>
      <c r="L2292">
        <v>213.64070000000001</v>
      </c>
      <c r="M2292">
        <v>0.99927319999999997</v>
      </c>
      <c r="N2292">
        <v>0</v>
      </c>
      <c r="O2292">
        <v>3.7722640000000002E-2</v>
      </c>
      <c r="P2292">
        <v>0.99685759999999901</v>
      </c>
      <c r="Q2292">
        <v>2.8005410000000001E-2</v>
      </c>
      <c r="R2292">
        <v>7.4098890000000001E-2</v>
      </c>
      <c r="S2292">
        <v>3.0228579999999998</v>
      </c>
      <c r="T2292">
        <v>-0.17581959999999999</v>
      </c>
      <c r="U2292">
        <v>-0.11119080000000001</v>
      </c>
      <c r="V2292">
        <v>-3.6395940000000002E-2</v>
      </c>
      <c r="W2292">
        <v>3.353093E-2</v>
      </c>
      <c r="X2292">
        <v>0.99877479999999996</v>
      </c>
      <c r="Y2292">
        <v>7.4241000000000001E-2</v>
      </c>
      <c r="Z2292">
        <v>-4.3480109999999997E-3</v>
      </c>
      <c r="AA2292">
        <v>0.99723079999999997</v>
      </c>
      <c r="AB2292">
        <v>21</v>
      </c>
      <c r="AC2292">
        <v>0.67119999999999802</v>
      </c>
      <c r="AD2292">
        <v>-5.1078000000000102E-2</v>
      </c>
      <c r="AE2292">
        <v>-3.9800000000013797E-2</v>
      </c>
      <c r="AF2292">
        <v>6.4718010417422395E-2</v>
      </c>
      <c r="AG2292">
        <v>-5.1078000000000102E-2</v>
      </c>
      <c r="AH2292">
        <v>0.66538106199908198</v>
      </c>
      <c r="AI2292">
        <v>94.369165360501199</v>
      </c>
      <c r="AJ2292">
        <v>84.444624704484795</v>
      </c>
      <c r="AK2292">
        <v>0.67046949268659195</v>
      </c>
    </row>
    <row r="2293" spans="1:37" x14ac:dyDescent="0.2">
      <c r="A2293" t="str">
        <f>"20200111160158478"</f>
        <v>20200111160158478</v>
      </c>
      <c r="B2293" t="str">
        <f>"1578729718473735"</f>
        <v>1578729718473735</v>
      </c>
      <c r="C2293" t="s">
        <v>37</v>
      </c>
      <c r="D2293">
        <v>6.3985729999999998</v>
      </c>
      <c r="E2293">
        <v>0.53767109999999996</v>
      </c>
      <c r="F2293" t="s">
        <v>60</v>
      </c>
      <c r="G2293">
        <v>-408.45620000000002</v>
      </c>
      <c r="H2293" s="1">
        <v>5.0015990000000003E-6</v>
      </c>
      <c r="I2293">
        <v>212.92580000000001</v>
      </c>
      <c r="J2293">
        <v>-432.5034</v>
      </c>
      <c r="K2293">
        <v>1.1030949999999999</v>
      </c>
      <c r="L2293">
        <v>213.64760000000001</v>
      </c>
      <c r="M2293">
        <v>0.99931139999999996</v>
      </c>
      <c r="N2293">
        <v>0</v>
      </c>
      <c r="O2293">
        <v>3.6721009999999998E-2</v>
      </c>
      <c r="P2293">
        <v>0.99698159999999902</v>
      </c>
      <c r="Q2293">
        <v>2.879396E-2</v>
      </c>
      <c r="R2293">
        <v>7.2103429999999996E-2</v>
      </c>
      <c r="S2293">
        <v>3.0198969999999998</v>
      </c>
      <c r="T2293">
        <v>-0.13732629999999901</v>
      </c>
      <c r="U2293">
        <v>-8.8989260000000001E-2</v>
      </c>
      <c r="V2293">
        <v>-3.5393609999999999E-2</v>
      </c>
      <c r="W2293">
        <v>3.4151420000000002E-2</v>
      </c>
      <c r="X2293">
        <v>0.998789699999999</v>
      </c>
      <c r="Y2293">
        <v>6.6034469999999998E-2</v>
      </c>
      <c r="Z2293">
        <v>-3.1689079999999998E-3</v>
      </c>
      <c r="AA2293">
        <v>0.99781229999999999</v>
      </c>
      <c r="AB2293">
        <v>21</v>
      </c>
      <c r="AC2293">
        <v>24.047199999999901</v>
      </c>
      <c r="AD2293">
        <v>-1.1030899984010001</v>
      </c>
      <c r="AE2293">
        <v>-0.721800000000001</v>
      </c>
      <c r="AF2293">
        <v>1.6009973052709101</v>
      </c>
      <c r="AG2293">
        <v>-1.1030899984010001</v>
      </c>
      <c r="AH2293">
        <v>23.9541159004444</v>
      </c>
      <c r="AI2293">
        <v>92.630753999199598</v>
      </c>
      <c r="AJ2293">
        <v>86.176266083011797</v>
      </c>
      <c r="AK2293">
        <v>24.032887227463501</v>
      </c>
    </row>
    <row r="2294" spans="1:37" x14ac:dyDescent="0.2">
      <c r="A2294" t="str">
        <f>"20200111160158501"</f>
        <v>20200111160158501</v>
      </c>
      <c r="B2294" t="str">
        <f>"1578729718494232"</f>
        <v>1578729718494232</v>
      </c>
      <c r="C2294" t="s">
        <v>37</v>
      </c>
      <c r="D2294">
        <v>5.6340459999999997</v>
      </c>
      <c r="E2294">
        <v>0.5366206</v>
      </c>
      <c r="F2294" t="s">
        <v>57</v>
      </c>
      <c r="G2294">
        <v>-395.79320000000001</v>
      </c>
      <c r="H2294" s="1">
        <v>1.5460469999999999E-6</v>
      </c>
      <c r="I2294">
        <v>212.77250000000001</v>
      </c>
      <c r="J2294">
        <v>-432.28949999999998</v>
      </c>
      <c r="K2294">
        <v>1.1030199999999999</v>
      </c>
      <c r="L2294">
        <v>213.65430000000001</v>
      </c>
      <c r="M2294">
        <v>0.99935219999999902</v>
      </c>
      <c r="N2294">
        <v>0</v>
      </c>
      <c r="O2294">
        <v>3.5615729999999998E-2</v>
      </c>
      <c r="P2294">
        <v>0.99706249999999996</v>
      </c>
      <c r="Q2294">
        <v>2.8757049999999999E-2</v>
      </c>
      <c r="R2294">
        <v>7.0988389999999998E-2</v>
      </c>
      <c r="S2294">
        <v>3.0169069999999998</v>
      </c>
      <c r="T2294">
        <v>-9.0654020000000002E-2</v>
      </c>
      <c r="U2294">
        <v>-7.191467E-2</v>
      </c>
      <c r="V2294">
        <v>-3.5376209999999998E-2</v>
      </c>
      <c r="W2294">
        <v>3.397128E-2</v>
      </c>
      <c r="X2294">
        <v>0.99879649999999998</v>
      </c>
      <c r="Y2294">
        <v>5.937858E-2</v>
      </c>
      <c r="Z2294">
        <v>-1.9615660000000001E-3</v>
      </c>
      <c r="AA2294">
        <v>0.99823359999999906</v>
      </c>
      <c r="AB2294">
        <v>21</v>
      </c>
      <c r="AC2294">
        <v>36.496299999999898</v>
      </c>
      <c r="AD2294">
        <v>-1.1030184539529999</v>
      </c>
      <c r="AE2294">
        <v>-0.88179999999999803</v>
      </c>
      <c r="AF2294">
        <v>2.1791109845866599</v>
      </c>
      <c r="AG2294">
        <v>-1.1030184539529999</v>
      </c>
      <c r="AH2294">
        <v>36.4085015998674</v>
      </c>
      <c r="AI2294">
        <v>91.732183040501695</v>
      </c>
      <c r="AJ2294">
        <v>86.574835774898702</v>
      </c>
      <c r="AK2294">
        <v>36.490329720906303</v>
      </c>
    </row>
    <row r="2295" spans="1:37" x14ac:dyDescent="0.2">
      <c r="A2295" t="str">
        <f>"20200111160158544"</f>
        <v>20200111160158544</v>
      </c>
      <c r="B2295" t="str">
        <f>"1578729718534247"</f>
        <v>1578729718534247</v>
      </c>
      <c r="C2295" t="s">
        <v>37</v>
      </c>
      <c r="D2295">
        <v>5.1757499999999999</v>
      </c>
      <c r="E2295">
        <v>0.53438430000000003</v>
      </c>
      <c r="F2295" t="s">
        <v>57</v>
      </c>
      <c r="G2295">
        <v>-392.0498</v>
      </c>
      <c r="H2295" s="1">
        <v>-4.4600899999999998E-7</v>
      </c>
      <c r="I2295">
        <v>212.7492</v>
      </c>
      <c r="J2295">
        <v>-431.87020000000001</v>
      </c>
      <c r="K2295">
        <v>1.1028579999999999</v>
      </c>
      <c r="L2295">
        <v>213.66640000000001</v>
      </c>
      <c r="M2295">
        <v>0.99943719999999903</v>
      </c>
      <c r="N2295">
        <v>0</v>
      </c>
      <c r="O2295">
        <v>3.3180929999999997E-2</v>
      </c>
      <c r="P2295">
        <v>0.99722440000000001</v>
      </c>
      <c r="Q2295">
        <v>2.696028E-2</v>
      </c>
      <c r="R2295">
        <v>6.9404380000000002E-2</v>
      </c>
      <c r="S2295">
        <v>3.0160520000000002</v>
      </c>
      <c r="T2295">
        <v>-8.2673670000000005E-2</v>
      </c>
      <c r="U2295">
        <v>-6.7840579999999998E-2</v>
      </c>
      <c r="V2295">
        <v>-3.6214910000000003E-2</v>
      </c>
      <c r="W2295">
        <v>3.1965359999999998E-2</v>
      </c>
      <c r="X2295">
        <v>0.99883259999999996</v>
      </c>
      <c r="Y2295">
        <v>5.5614709999999998E-2</v>
      </c>
      <c r="Z2295">
        <v>-1.6712089999999899E-3</v>
      </c>
      <c r="AA2295">
        <v>0.99845090000000003</v>
      </c>
      <c r="AB2295">
        <v>21</v>
      </c>
      <c r="AC2295">
        <v>39.820399999999999</v>
      </c>
      <c r="AD2295">
        <v>-1.1028584460089901</v>
      </c>
      <c r="AE2295">
        <v>-0.91720000000000801</v>
      </c>
      <c r="AF2295">
        <v>2.23627446370948</v>
      </c>
      <c r="AG2295">
        <v>-1.1028584460089901</v>
      </c>
      <c r="AH2295">
        <v>39.737574027478097</v>
      </c>
      <c r="AI2295">
        <v>91.587242635611005</v>
      </c>
      <c r="AJ2295">
        <v>86.779016164320396</v>
      </c>
      <c r="AK2295">
        <v>39.815725659822803</v>
      </c>
    </row>
    <row r="2296" spans="1:37" x14ac:dyDescent="0.2">
      <c r="A2296" t="str">
        <f>"20200111160158568"</f>
        <v>20200111160158568</v>
      </c>
      <c r="B2296" t="str">
        <f>"1578729718563527"</f>
        <v>1578729718563527</v>
      </c>
      <c r="C2296" t="s">
        <v>37</v>
      </c>
      <c r="D2296">
        <v>5.6068169999999897</v>
      </c>
      <c r="E2296">
        <v>0.53371440000000003</v>
      </c>
      <c r="F2296" t="s">
        <v>57</v>
      </c>
      <c r="G2296">
        <v>-381.91250000000002</v>
      </c>
      <c r="H2296" s="1">
        <v>-4.3657640000000003E-7</v>
      </c>
      <c r="I2296">
        <v>212.72989999999999</v>
      </c>
      <c r="J2296">
        <v>-431.64519999999999</v>
      </c>
      <c r="K2296">
        <v>1.1027769999999999</v>
      </c>
      <c r="L2296">
        <v>213.67230000000001</v>
      </c>
      <c r="M2296">
        <v>0.99948400000000004</v>
      </c>
      <c r="N2296">
        <v>0</v>
      </c>
      <c r="O2296">
        <v>3.1753620000000003E-2</v>
      </c>
      <c r="P2296">
        <v>0.99728609999999895</v>
      </c>
      <c r="Q2296">
        <v>2.628697E-2</v>
      </c>
      <c r="R2296">
        <v>6.8771470000000001E-2</v>
      </c>
      <c r="S2296">
        <v>3.0140689999999899</v>
      </c>
      <c r="T2296">
        <v>-6.6538100000000003E-2</v>
      </c>
      <c r="U2296">
        <v>-5.6503299999999999E-2</v>
      </c>
      <c r="V2296">
        <v>-3.7003540000000001E-2</v>
      </c>
      <c r="W2296">
        <v>3.1213290000000001E-2</v>
      </c>
      <c r="X2296">
        <v>0.99882760000000004</v>
      </c>
      <c r="Y2296">
        <v>5.0462159999999999E-2</v>
      </c>
      <c r="Z2296">
        <v>-1.257693E-3</v>
      </c>
      <c r="AA2296">
        <v>0.99872519999999998</v>
      </c>
      <c r="AB2296">
        <v>21</v>
      </c>
      <c r="AC2296">
        <v>49.732699999999902</v>
      </c>
      <c r="AD2296">
        <v>-1.1027774365764</v>
      </c>
      <c r="AE2296">
        <v>-0.94240000000002</v>
      </c>
      <c r="AF2296">
        <v>2.5198979638591199</v>
      </c>
      <c r="AG2296">
        <v>-1.1027774365764</v>
      </c>
      <c r="AH2296">
        <v>49.653290295756001</v>
      </c>
      <c r="AI2296">
        <v>91.270669800766697</v>
      </c>
      <c r="AJ2296">
        <v>87.094739214947296</v>
      </c>
      <c r="AK2296">
        <v>49.7294202763062</v>
      </c>
    </row>
    <row r="2297" spans="1:37" x14ac:dyDescent="0.2">
      <c r="A2297" t="str">
        <f>"20200111160158590"</f>
        <v>20200111160158590</v>
      </c>
      <c r="B2297" t="str">
        <f>"1578729718584023"</f>
        <v>1578729718584023</v>
      </c>
      <c r="C2297" t="s">
        <v>37</v>
      </c>
      <c r="D2297">
        <v>5.6594329999999999</v>
      </c>
      <c r="E2297">
        <v>0.53336530000000004</v>
      </c>
      <c r="F2297" t="s">
        <v>57</v>
      </c>
      <c r="G2297">
        <v>-380.72919999999999</v>
      </c>
      <c r="H2297" s="1">
        <v>-1.0681589999999999E-6</v>
      </c>
      <c r="I2297">
        <v>212.77289999999999</v>
      </c>
      <c r="J2297">
        <v>-431.42619999999999</v>
      </c>
      <c r="K2297">
        <v>1.1027229999999999</v>
      </c>
      <c r="L2297">
        <v>213.67769999999999</v>
      </c>
      <c r="M2297">
        <v>0.99952929999999995</v>
      </c>
      <c r="N2297">
        <v>0</v>
      </c>
      <c r="O2297">
        <v>3.0304399999999999E-2</v>
      </c>
      <c r="P2297">
        <v>0.99737770000000003</v>
      </c>
      <c r="Q2297">
        <v>2.5204499999999901E-2</v>
      </c>
      <c r="R2297">
        <v>6.784184E-2</v>
      </c>
      <c r="S2297">
        <v>3.0135800000000001</v>
      </c>
      <c r="T2297">
        <v>-6.5270419999999996E-2</v>
      </c>
      <c r="U2297">
        <v>-5.3237920000000001E-2</v>
      </c>
      <c r="V2297">
        <v>-3.7519709999999998E-2</v>
      </c>
      <c r="W2297">
        <v>3.007609E-2</v>
      </c>
      <c r="X2297">
        <v>0.99884319999999904</v>
      </c>
      <c r="Y2297">
        <v>4.7936810000000003E-2</v>
      </c>
      <c r="Z2297">
        <v>-1.1752289999999901E-3</v>
      </c>
      <c r="AA2297">
        <v>0.99884969999999995</v>
      </c>
      <c r="AB2297">
        <v>21</v>
      </c>
      <c r="AC2297">
        <v>50.697000000000003</v>
      </c>
      <c r="AD2297">
        <v>-1.10272406815899</v>
      </c>
      <c r="AE2297">
        <v>-0.90479999999999405</v>
      </c>
      <c r="AF2297">
        <v>2.4395902828736298</v>
      </c>
      <c r="AG2297">
        <v>-1.10272406815899</v>
      </c>
      <c r="AH2297">
        <v>50.622352719402201</v>
      </c>
      <c r="AI2297">
        <v>91.246450134235303</v>
      </c>
      <c r="AJ2297">
        <v>87.240938834686204</v>
      </c>
      <c r="AK2297">
        <v>50.693098109765899</v>
      </c>
    </row>
    <row r="2298" spans="1:37" x14ac:dyDescent="0.2">
      <c r="A2298" t="str">
        <f>"20200111160158612"</f>
        <v>20200111160158612</v>
      </c>
      <c r="B2298" t="str">
        <f>"1578729718603543"</f>
        <v>1578729718603543</v>
      </c>
      <c r="C2298" t="s">
        <v>37</v>
      </c>
      <c r="D2298">
        <v>5.6252459999999997</v>
      </c>
      <c r="E2298">
        <v>0.53300789999999998</v>
      </c>
      <c r="F2298" t="s">
        <v>57</v>
      </c>
      <c r="G2298">
        <v>-389.3623</v>
      </c>
      <c r="H2298" s="1">
        <v>3.5185309999999899E-6</v>
      </c>
      <c r="I2298">
        <v>212.94200000000001</v>
      </c>
      <c r="J2298">
        <v>-431.21030000000002</v>
      </c>
      <c r="K2298">
        <v>1.1026860000000001</v>
      </c>
      <c r="L2298">
        <v>213.68260000000001</v>
      </c>
      <c r="M2298">
        <v>0.99957289999999999</v>
      </c>
      <c r="N2298">
        <v>0</v>
      </c>
      <c r="O2298">
        <v>2.8835960000000001E-2</v>
      </c>
      <c r="P2298">
        <v>0.99752859999999999</v>
      </c>
      <c r="Q2298">
        <v>2.4321079999999998E-2</v>
      </c>
      <c r="R2298">
        <v>6.591851E-2</v>
      </c>
      <c r="S2298">
        <v>3.013458</v>
      </c>
      <c r="T2298">
        <v>-7.8998680000000002E-2</v>
      </c>
      <c r="U2298">
        <v>-5.2703859999999998E-2</v>
      </c>
      <c r="V2298">
        <v>-3.7059660000000001E-2</v>
      </c>
      <c r="W2298">
        <v>2.916477E-2</v>
      </c>
      <c r="X2298">
        <v>0.99888739999999998</v>
      </c>
      <c r="Y2298">
        <v>4.6285630000000001E-2</v>
      </c>
      <c r="Z2298">
        <v>-1.362278E-3</v>
      </c>
      <c r="AA2298">
        <v>0.99892729999999996</v>
      </c>
      <c r="AB2298">
        <v>22</v>
      </c>
      <c r="AC2298">
        <v>41.847999999999999</v>
      </c>
      <c r="AD2298">
        <v>-1.1026824814689999</v>
      </c>
      <c r="AE2298">
        <v>-0.74060000000000004</v>
      </c>
      <c r="AF2298">
        <v>1.94568237502533</v>
      </c>
      <c r="AG2298">
        <v>-1.1026824814689999</v>
      </c>
      <c r="AH2298">
        <v>41.780242036795499</v>
      </c>
      <c r="AI2298">
        <v>91.510188457990296</v>
      </c>
      <c r="AJ2298">
        <v>87.333694140615506</v>
      </c>
      <c r="AK2298">
        <v>41.840055129177799</v>
      </c>
    </row>
    <row r="2299" spans="1:37" x14ac:dyDescent="0.2">
      <c r="A2299" t="str">
        <f>"20200111160158634"</f>
        <v>20200111160158634</v>
      </c>
      <c r="B2299" t="str">
        <f>"1578729718624039"</f>
        <v>1578729718624039</v>
      </c>
      <c r="C2299" t="s">
        <v>37</v>
      </c>
      <c r="D2299">
        <v>6.2251029999999998</v>
      </c>
      <c r="E2299">
        <v>0.53226130000000005</v>
      </c>
      <c r="F2299" t="s">
        <v>57</v>
      </c>
      <c r="G2299">
        <v>-394.44260000000003</v>
      </c>
      <c r="H2299" s="1">
        <v>8.273223E-7</v>
      </c>
      <c r="I2299">
        <v>213.0112</v>
      </c>
      <c r="J2299">
        <v>-430.99160000000001</v>
      </c>
      <c r="K2299">
        <v>1.1026639999999901</v>
      </c>
      <c r="L2299">
        <v>213.68719999999999</v>
      </c>
      <c r="M2299">
        <v>0.99961529999999998</v>
      </c>
      <c r="N2299">
        <v>0</v>
      </c>
      <c r="O2299">
        <v>2.7327089999999998E-2</v>
      </c>
      <c r="P2299">
        <v>0.99774280000000004</v>
      </c>
      <c r="Q2299">
        <v>2.283133E-2</v>
      </c>
      <c r="R2299">
        <v>6.3152269999999996E-2</v>
      </c>
      <c r="S2299">
        <v>3.0132750000000001</v>
      </c>
      <c r="T2299">
        <v>-9.0369820000000003E-2</v>
      </c>
      <c r="U2299">
        <v>-5.502319E-2</v>
      </c>
      <c r="V2299">
        <v>-3.579943E-2</v>
      </c>
      <c r="W2299">
        <v>2.766478E-2</v>
      </c>
      <c r="X2299">
        <v>0.99897599999999998</v>
      </c>
      <c r="Y2299">
        <v>4.5540490000000003E-2</v>
      </c>
      <c r="Z2299">
        <v>-1.50196799999999E-3</v>
      </c>
      <c r="AA2299">
        <v>0.9989614</v>
      </c>
      <c r="AB2299">
        <v>22</v>
      </c>
      <c r="AC2299">
        <v>36.5489999999999</v>
      </c>
      <c r="AD2299">
        <v>-1.1026631726776901</v>
      </c>
      <c r="AE2299">
        <v>-0.67599999999998694</v>
      </c>
      <c r="AF2299">
        <v>1.67301432934463</v>
      </c>
      <c r="AG2299">
        <v>-1.1026631726776901</v>
      </c>
      <c r="AH2299">
        <v>36.483681047555599</v>
      </c>
      <c r="AI2299">
        <v>91.729333693277994</v>
      </c>
      <c r="AJ2299">
        <v>87.374454762339298</v>
      </c>
      <c r="AK2299">
        <v>36.538662069078804</v>
      </c>
    </row>
    <row r="2300" spans="1:37" x14ac:dyDescent="0.2">
      <c r="A2300" t="str">
        <f>"20200111160158657"</f>
        <v>20200111160158657</v>
      </c>
      <c r="B2300" t="str">
        <f>"1578729718654294"</f>
        <v>1578729718654294</v>
      </c>
      <c r="C2300" t="s">
        <v>37</v>
      </c>
      <c r="D2300">
        <v>5.6797629999999897</v>
      </c>
      <c r="E2300">
        <v>0.53174650000000001</v>
      </c>
      <c r="F2300" t="s">
        <v>57</v>
      </c>
      <c r="G2300">
        <v>-398.11470000000003</v>
      </c>
      <c r="H2300" s="1">
        <v>2.7814530000000002E-6</v>
      </c>
      <c r="I2300">
        <v>213.0651</v>
      </c>
      <c r="J2300">
        <v>-430.76639999999998</v>
      </c>
      <c r="K2300">
        <v>1.102654</v>
      </c>
      <c r="L2300">
        <v>213.6917</v>
      </c>
      <c r="M2300">
        <v>0.99965659999999901</v>
      </c>
      <c r="N2300">
        <v>0</v>
      </c>
      <c r="O2300">
        <v>2.5769520000000001E-2</v>
      </c>
      <c r="P2300">
        <v>0.99795290000000003</v>
      </c>
      <c r="Q2300">
        <v>2.0491229999999999E-2</v>
      </c>
      <c r="R2300">
        <v>6.0584020000000002E-2</v>
      </c>
      <c r="S2300">
        <v>3.0126650000000001</v>
      </c>
      <c r="T2300">
        <v>-0.10104199999999899</v>
      </c>
      <c r="U2300">
        <v>-5.7006840000000003E-2</v>
      </c>
      <c r="V2300">
        <v>-3.4788359999999997E-2</v>
      </c>
      <c r="W2300">
        <v>2.5327659999999998E-2</v>
      </c>
      <c r="X2300">
        <v>0.99907369999999995</v>
      </c>
      <c r="Y2300">
        <v>4.463835E-2</v>
      </c>
      <c r="Z2300">
        <v>-1.6122439999999899E-3</v>
      </c>
      <c r="AA2300">
        <v>0.9990019</v>
      </c>
      <c r="AB2300">
        <v>22</v>
      </c>
      <c r="AC2300">
        <v>32.651699999999899</v>
      </c>
      <c r="AD2300">
        <v>-1.1026512185470001</v>
      </c>
      <c r="AE2300">
        <v>-0.62659999999999605</v>
      </c>
      <c r="AF2300">
        <v>1.46614864908139</v>
      </c>
      <c r="AG2300">
        <v>-1.1026512185470001</v>
      </c>
      <c r="AH2300">
        <v>32.587559298439899</v>
      </c>
      <c r="AI2300">
        <v>91.935996327279895</v>
      </c>
      <c r="AJ2300">
        <v>87.423939686410804</v>
      </c>
      <c r="AK2300">
        <v>32.639155206596598</v>
      </c>
    </row>
    <row r="2301" spans="1:37" x14ac:dyDescent="0.2">
      <c r="A2301" t="str">
        <f>"20200111160158680"</f>
        <v>20200111160158680</v>
      </c>
      <c r="B2301" t="str">
        <f>"1578729718673815"</f>
        <v>1578729718673815</v>
      </c>
      <c r="C2301" t="s">
        <v>37</v>
      </c>
      <c r="D2301">
        <v>5.4445889999999997</v>
      </c>
      <c r="E2301">
        <v>0.53109130000000004</v>
      </c>
      <c r="F2301" t="s">
        <v>60</v>
      </c>
      <c r="G2301">
        <v>-402.00850000000003</v>
      </c>
      <c r="H2301" s="1">
        <v>7.8212659999999995E-6</v>
      </c>
      <c r="I2301">
        <v>213.1174</v>
      </c>
      <c r="J2301">
        <v>-430.53620000000001</v>
      </c>
      <c r="K2301">
        <v>1.102652</v>
      </c>
      <c r="L2301">
        <v>213.69579999999999</v>
      </c>
      <c r="M2301">
        <v>0.99969589999999997</v>
      </c>
      <c r="N2301">
        <v>0</v>
      </c>
      <c r="O2301">
        <v>2.41929E-2</v>
      </c>
      <c r="P2301">
        <v>0.99812869999999998</v>
      </c>
      <c r="Q2301">
        <v>1.9080570000000002E-2</v>
      </c>
      <c r="R2301">
        <v>5.8097599999999999E-2</v>
      </c>
      <c r="S2301">
        <v>3.0122070000000001</v>
      </c>
      <c r="T2301">
        <v>-0.1154956</v>
      </c>
      <c r="U2301">
        <v>-6.0150149999999999E-2</v>
      </c>
      <c r="V2301">
        <v>-3.3877690000000002E-2</v>
      </c>
      <c r="W2301">
        <v>2.3935720000000001E-2</v>
      </c>
      <c r="X2301">
        <v>0.99913929999999995</v>
      </c>
      <c r="Y2301">
        <v>4.4097169999999998E-2</v>
      </c>
      <c r="Z2301">
        <v>-1.772186E-3</v>
      </c>
      <c r="AA2301">
        <v>0.99902569999999902</v>
      </c>
      <c r="AB2301">
        <v>22</v>
      </c>
      <c r="AC2301">
        <v>28.5276999999999</v>
      </c>
      <c r="AD2301">
        <v>-1.102644178734</v>
      </c>
      <c r="AE2301">
        <v>-0.57839999999998704</v>
      </c>
      <c r="AF2301">
        <v>1.2665150309888</v>
      </c>
      <c r="AG2301">
        <v>-1.102644178734</v>
      </c>
      <c r="AH2301">
        <v>28.4628519521283</v>
      </c>
      <c r="AI2301">
        <v>92.216324736908007</v>
      </c>
      <c r="AJ2301">
        <v>87.452183305014302</v>
      </c>
      <c r="AK2301">
        <v>28.5123451465745</v>
      </c>
    </row>
    <row r="2302" spans="1:37" x14ac:dyDescent="0.2">
      <c r="A2302" t="str">
        <f>"20200111160158701"</f>
        <v>20200111160158701</v>
      </c>
      <c r="B2302" t="str">
        <f>"1578729718694311"</f>
        <v>1578729718694311</v>
      </c>
      <c r="C2302" t="s">
        <v>37</v>
      </c>
      <c r="D2302">
        <v>6.3599430000000003</v>
      </c>
      <c r="E2302">
        <v>0.53061840000000005</v>
      </c>
      <c r="F2302" t="s">
        <v>57</v>
      </c>
      <c r="G2302">
        <v>-399.856999999999</v>
      </c>
      <c r="H2302" s="1">
        <v>3.7086279999999999E-6</v>
      </c>
      <c r="I2302">
        <v>213.05070000000001</v>
      </c>
      <c r="J2302">
        <v>-430.32650000000001</v>
      </c>
      <c r="K2302">
        <v>1.1026559999999901</v>
      </c>
      <c r="L2302">
        <v>213.69929999999999</v>
      </c>
      <c r="M2302">
        <v>0.99972879999999997</v>
      </c>
      <c r="N2302">
        <v>0</v>
      </c>
      <c r="O2302">
        <v>2.2782980000000001E-2</v>
      </c>
      <c r="P2302">
        <v>0.99823130000000004</v>
      </c>
      <c r="Q2302">
        <v>1.810376E-2</v>
      </c>
      <c r="R2302">
        <v>5.6624769999999998E-2</v>
      </c>
      <c r="S2302">
        <v>3.0114139999999998</v>
      </c>
      <c r="T2302">
        <v>-0.108234199999999</v>
      </c>
      <c r="U2302">
        <v>-6.3323969999999993E-2</v>
      </c>
      <c r="V2302">
        <v>-3.3814599999999903E-2</v>
      </c>
      <c r="W2302">
        <v>2.2996610000000001E-2</v>
      </c>
      <c r="X2302">
        <v>0.99916349999999998</v>
      </c>
      <c r="Y2302">
        <v>4.3753149999999998E-2</v>
      </c>
      <c r="Z2302">
        <v>-1.6044329999999999E-3</v>
      </c>
      <c r="AA2302">
        <v>0.99904110000000002</v>
      </c>
      <c r="AB2302">
        <v>22</v>
      </c>
      <c r="AC2302">
        <v>30.4695</v>
      </c>
      <c r="AD2302">
        <v>-1.1026522913719901</v>
      </c>
      <c r="AE2302">
        <v>-0.64859999999998696</v>
      </c>
      <c r="AF2302">
        <v>1.3408704847811601</v>
      </c>
      <c r="AG2302">
        <v>-1.1026522913719901</v>
      </c>
      <c r="AH2302">
        <v>30.407010060259601</v>
      </c>
      <c r="AI2302">
        <v>92.074797701924098</v>
      </c>
      <c r="AJ2302">
        <v>87.475040155860597</v>
      </c>
      <c r="AK2302">
        <v>30.456526994018098</v>
      </c>
    </row>
    <row r="2303" spans="1:37" x14ac:dyDescent="0.2">
      <c r="A2303" t="str">
        <f>"20200111160158724"</f>
        <v>20200111160158724</v>
      </c>
      <c r="B2303" t="str">
        <f>"1578729718713831"</f>
        <v>1578729718713831</v>
      </c>
      <c r="C2303" t="s">
        <v>37</v>
      </c>
      <c r="D2303">
        <v>5.681629</v>
      </c>
      <c r="E2303">
        <v>0.52923730000000002</v>
      </c>
      <c r="F2303" t="s">
        <v>57</v>
      </c>
      <c r="G2303">
        <v>-398.4033</v>
      </c>
      <c r="H2303" s="1">
        <v>2.9350339999999999E-6</v>
      </c>
      <c r="I2303">
        <v>213.0147</v>
      </c>
      <c r="J2303">
        <v>-430.09809999999999</v>
      </c>
      <c r="K2303">
        <v>1.102678</v>
      </c>
      <c r="L2303">
        <v>213.7029</v>
      </c>
      <c r="M2303">
        <v>0.99976160000000003</v>
      </c>
      <c r="N2303">
        <v>0</v>
      </c>
      <c r="O2303">
        <v>2.1281270000000001E-2</v>
      </c>
      <c r="P2303">
        <v>0.99831829999999999</v>
      </c>
      <c r="Q2303">
        <v>1.8091550000000001E-2</v>
      </c>
      <c r="R2303">
        <v>5.5076750000000001E-2</v>
      </c>
      <c r="S2303">
        <v>3.01086399999999</v>
      </c>
      <c r="T2303">
        <v>-0.103997699999999</v>
      </c>
      <c r="U2303">
        <v>-6.4575199999999999E-2</v>
      </c>
      <c r="V2303">
        <v>-3.3766909999999997E-2</v>
      </c>
      <c r="W2303">
        <v>2.3050950000000001E-2</v>
      </c>
      <c r="X2303">
        <v>0.99916389999999999</v>
      </c>
      <c r="Y2303">
        <v>4.2676110000000003E-2</v>
      </c>
      <c r="Z2303">
        <v>-1.4715069999999999E-3</v>
      </c>
      <c r="AA2303">
        <v>0.99908790000000003</v>
      </c>
      <c r="AB2303">
        <v>22</v>
      </c>
      <c r="AC2303">
        <v>31.694799999999901</v>
      </c>
      <c r="AD2303">
        <v>-1.102675064966</v>
      </c>
      <c r="AE2303">
        <v>-0.68819999999999404</v>
      </c>
      <c r="AF2303">
        <v>1.36091134506682</v>
      </c>
      <c r="AG2303">
        <v>-1.102675064966</v>
      </c>
      <c r="AH2303">
        <v>31.634704168885701</v>
      </c>
      <c r="AI2303">
        <v>91.994478875175602</v>
      </c>
      <c r="AJ2303">
        <v>87.536679108205107</v>
      </c>
      <c r="AK2303">
        <v>31.683157668403901</v>
      </c>
    </row>
    <row r="2304" spans="1:37" x14ac:dyDescent="0.2">
      <c r="A2304" t="str">
        <f>"20200111160158748"</f>
        <v>20200111160158748</v>
      </c>
      <c r="B2304" t="str">
        <f>"1578729718744087"</f>
        <v>1578729718744087</v>
      </c>
      <c r="C2304" t="s">
        <v>37</v>
      </c>
      <c r="D2304">
        <v>5.5180540000000002</v>
      </c>
      <c r="E2304">
        <v>0.52805409999999997</v>
      </c>
      <c r="F2304" t="s">
        <v>57</v>
      </c>
      <c r="G2304">
        <v>-395.59339999999997</v>
      </c>
      <c r="H2304" s="1">
        <v>1.4397299999999999E-6</v>
      </c>
      <c r="I2304">
        <v>213.02930000000001</v>
      </c>
      <c r="J2304">
        <v>-429.84710000000001</v>
      </c>
      <c r="K2304">
        <v>1.1027129999999901</v>
      </c>
      <c r="L2304">
        <v>213.7064</v>
      </c>
      <c r="M2304">
        <v>0.99979409999999902</v>
      </c>
      <c r="N2304">
        <v>0</v>
      </c>
      <c r="O2304">
        <v>1.967325E-2</v>
      </c>
      <c r="P2304">
        <v>0.99842520000000001</v>
      </c>
      <c r="Q2304">
        <v>1.8825290000000001E-2</v>
      </c>
      <c r="R2304">
        <v>5.2850479999999998E-2</v>
      </c>
      <c r="S2304">
        <v>3.01004</v>
      </c>
      <c r="T2304">
        <v>-9.6192840000000002E-2</v>
      </c>
      <c r="U2304">
        <v>-5.8761599999999997E-2</v>
      </c>
      <c r="V2304">
        <v>-3.314545E-2</v>
      </c>
      <c r="W2304">
        <v>2.388328E-2</v>
      </c>
      <c r="X2304">
        <v>0.99916510000000003</v>
      </c>
      <c r="Y2304">
        <v>3.9154090000000003E-2</v>
      </c>
      <c r="Z2304">
        <v>-1.2539019999999899E-3</v>
      </c>
      <c r="AA2304">
        <v>0.99923240000000002</v>
      </c>
      <c r="AB2304">
        <v>22</v>
      </c>
      <c r="AC2304">
        <v>34.253700000000002</v>
      </c>
      <c r="AD2304">
        <v>-1.10271156026999</v>
      </c>
      <c r="AE2304">
        <v>-0.67709999999999504</v>
      </c>
      <c r="AF2304">
        <v>1.3494609105499</v>
      </c>
      <c r="AG2304">
        <v>-1.10271156026999</v>
      </c>
      <c r="AH2304">
        <v>34.198321766310201</v>
      </c>
      <c r="AI2304">
        <v>91.845405031577101</v>
      </c>
      <c r="AJ2304">
        <v>87.740289057402606</v>
      </c>
      <c r="AK2304">
        <v>34.2426959973414</v>
      </c>
    </row>
    <row r="2305" spans="1:37" x14ac:dyDescent="0.2">
      <c r="A2305" t="str">
        <f>"20200111160158793"</f>
        <v>20200111160158793</v>
      </c>
      <c r="B2305" t="str">
        <f>"1578729718784104"</f>
        <v>1578729718784104</v>
      </c>
      <c r="C2305" t="s">
        <v>37</v>
      </c>
      <c r="D2305">
        <v>5.6526959999999997</v>
      </c>
      <c r="E2305">
        <v>0.5259682</v>
      </c>
      <c r="F2305" t="s">
        <v>57</v>
      </c>
      <c r="G2305">
        <v>-394.31900000000002</v>
      </c>
      <c r="H2305" s="1">
        <v>7.6158590000000004E-7</v>
      </c>
      <c r="I2305">
        <v>213.0453</v>
      </c>
      <c r="J2305">
        <v>-429.40289999999999</v>
      </c>
      <c r="K2305">
        <v>1.1027769999999999</v>
      </c>
      <c r="L2305">
        <v>213.71170000000001</v>
      </c>
      <c r="M2305">
        <v>0.99984300000000004</v>
      </c>
      <c r="N2305">
        <v>0</v>
      </c>
      <c r="O2305">
        <v>1.693805E-2</v>
      </c>
      <c r="P2305">
        <v>0.99853809999999998</v>
      </c>
      <c r="Q2305">
        <v>2.0723729999999999E-2</v>
      </c>
      <c r="R2305">
        <v>4.9926270000000002E-2</v>
      </c>
      <c r="S2305">
        <v>3.0094910000000001</v>
      </c>
      <c r="T2305">
        <v>-9.3407870000000004E-2</v>
      </c>
      <c r="U2305">
        <v>-5.5999760000000003E-2</v>
      </c>
      <c r="V2305">
        <v>-3.2950750000000001E-2</v>
      </c>
      <c r="W2305">
        <v>2.600121E-2</v>
      </c>
      <c r="X2305">
        <v>0.99911870000000003</v>
      </c>
      <c r="Y2305">
        <v>3.5511929999999997E-2</v>
      </c>
      <c r="Z2305">
        <v>-1.076481E-3</v>
      </c>
      <c r="AA2305">
        <v>0.9993687</v>
      </c>
      <c r="AB2305">
        <v>23</v>
      </c>
      <c r="AC2305">
        <v>35.0838999999999</v>
      </c>
      <c r="AD2305">
        <v>-1.1027762384141</v>
      </c>
      <c r="AE2305">
        <v>-0.66640000000000998</v>
      </c>
      <c r="AF2305">
        <v>1.2593215273649001</v>
      </c>
      <c r="AG2305">
        <v>-1.1027762384141</v>
      </c>
      <c r="AH2305">
        <v>35.032978821979398</v>
      </c>
      <c r="AI2305">
        <v>91.801811514761496</v>
      </c>
      <c r="AJ2305">
        <v>87.941289699730405</v>
      </c>
      <c r="AK2305">
        <v>35.072947000253002</v>
      </c>
    </row>
    <row r="2306" spans="1:37" x14ac:dyDescent="0.2">
      <c r="A2306" t="str">
        <f>"20200111160158814"</f>
        <v>20200111160158814</v>
      </c>
      <c r="B2306" t="str">
        <f>"1578729718803623"</f>
        <v>1578729718803623</v>
      </c>
      <c r="C2306" t="s">
        <v>37</v>
      </c>
      <c r="D2306">
        <v>5.6469629999999897</v>
      </c>
      <c r="E2306">
        <v>0.5250551</v>
      </c>
      <c r="F2306" t="s">
        <v>57</v>
      </c>
      <c r="G2306">
        <v>-396.3349</v>
      </c>
      <c r="H2306" s="1">
        <v>1.834333E-6</v>
      </c>
      <c r="I2306">
        <v>213.19220000000001</v>
      </c>
      <c r="J2306">
        <v>-429.17939999999999</v>
      </c>
      <c r="K2306">
        <v>1.1027929999999999</v>
      </c>
      <c r="L2306">
        <v>213.714</v>
      </c>
      <c r="M2306">
        <v>0.99986430000000004</v>
      </c>
      <c r="N2306">
        <v>0</v>
      </c>
      <c r="O2306">
        <v>1.5599709999999999E-2</v>
      </c>
      <c r="P2306">
        <v>0.99857580000000001</v>
      </c>
      <c r="Q2306">
        <v>2.0256730000000001E-2</v>
      </c>
      <c r="R2306">
        <v>4.9360330000000001E-2</v>
      </c>
      <c r="S2306">
        <v>3.0088499999999998</v>
      </c>
      <c r="T2306">
        <v>-0.1003414</v>
      </c>
      <c r="U2306">
        <v>-4.7271729999999998E-2</v>
      </c>
      <c r="V2306">
        <v>-3.3723320000000001E-2</v>
      </c>
      <c r="W2306">
        <v>2.5650369999999999E-2</v>
      </c>
      <c r="X2306">
        <v>0.99910200000000005</v>
      </c>
      <c r="Y2306">
        <v>3.127899E-2</v>
      </c>
      <c r="Z2306">
        <v>-1.041443E-3</v>
      </c>
      <c r="AA2306">
        <v>0.99951019999999902</v>
      </c>
      <c r="AB2306">
        <v>23</v>
      </c>
      <c r="AC2306">
        <v>32.844499999999897</v>
      </c>
      <c r="AD2306">
        <v>-1.102791165667</v>
      </c>
      <c r="AE2306">
        <v>-0.52180000000001303</v>
      </c>
      <c r="AF2306">
        <v>1.03294415789281</v>
      </c>
      <c r="AG2306">
        <v>-1.102791165667</v>
      </c>
      <c r="AH2306">
        <v>32.7954004554893</v>
      </c>
      <c r="AI2306">
        <v>91.924971095782396</v>
      </c>
      <c r="AJ2306">
        <v>88.195973189726203</v>
      </c>
      <c r="AK2306">
        <v>32.830190572464097</v>
      </c>
    </row>
    <row r="2307" spans="1:37" x14ac:dyDescent="0.2">
      <c r="A2307" t="str">
        <f>"20200111160158834"</f>
        <v>20200111160158834</v>
      </c>
      <c r="B2307" t="str">
        <f>"1578729718824119"</f>
        <v>1578729718824119</v>
      </c>
      <c r="C2307" t="s">
        <v>37</v>
      </c>
      <c r="D2307">
        <v>6.1308870000000004</v>
      </c>
      <c r="E2307">
        <v>0.52416409999999902</v>
      </c>
      <c r="F2307" t="s">
        <v>57</v>
      </c>
      <c r="G2307">
        <v>-398.61590000000001</v>
      </c>
      <c r="H2307" s="1">
        <v>3.0481509999999899E-6</v>
      </c>
      <c r="I2307">
        <v>213.29759999999999</v>
      </c>
      <c r="J2307">
        <v>-428.96120000000002</v>
      </c>
      <c r="K2307">
        <v>1.1028</v>
      </c>
      <c r="L2307">
        <v>213.7159</v>
      </c>
      <c r="M2307">
        <v>0.99988290000000002</v>
      </c>
      <c r="N2307">
        <v>0</v>
      </c>
      <c r="O2307">
        <v>1.43076E-2</v>
      </c>
      <c r="P2307">
        <v>0.99859569999999998</v>
      </c>
      <c r="Q2307">
        <v>1.8339939999999999E-2</v>
      </c>
      <c r="R2307">
        <v>4.9706500000000001E-2</v>
      </c>
      <c r="S2307">
        <v>3.0085139999999999</v>
      </c>
      <c r="T2307">
        <v>-0.10855289999999999</v>
      </c>
      <c r="U2307">
        <v>-4.0985109999999998E-2</v>
      </c>
      <c r="V2307">
        <v>-3.5364180000000002E-2</v>
      </c>
      <c r="W2307">
        <v>2.3843240000000002E-2</v>
      </c>
      <c r="X2307">
        <v>0.99908999999999903</v>
      </c>
      <c r="Y2307">
        <v>2.7899409999999999E-2</v>
      </c>
      <c r="Z2307">
        <v>-1.0192059999999999E-3</v>
      </c>
      <c r="AA2307">
        <v>0.99961019999999901</v>
      </c>
      <c r="AB2307">
        <v>23</v>
      </c>
      <c r="AC2307">
        <v>30.345300000000002</v>
      </c>
      <c r="AD2307">
        <v>-1.102796951849</v>
      </c>
      <c r="AE2307">
        <v>-0.41830000000001599</v>
      </c>
      <c r="AF2307">
        <v>0.85130787657293305</v>
      </c>
      <c r="AG2307">
        <v>-1.102796951849</v>
      </c>
      <c r="AH2307">
        <v>30.296203868781799</v>
      </c>
      <c r="AI2307">
        <v>92.083852788502497</v>
      </c>
      <c r="AJ2307">
        <v>88.390441355226699</v>
      </c>
      <c r="AK2307">
        <v>30.328218791688201</v>
      </c>
    </row>
    <row r="2308" spans="1:37" x14ac:dyDescent="0.2">
      <c r="A2308" t="str">
        <f>"20200111160158858"</f>
        <v>20200111160158858</v>
      </c>
      <c r="B2308" t="str">
        <f>"1578729718854375"</f>
        <v>1578729718854375</v>
      </c>
      <c r="C2308" t="s">
        <v>37</v>
      </c>
      <c r="D2308">
        <v>5.6245760000000002</v>
      </c>
      <c r="E2308">
        <v>0.52307389999999998</v>
      </c>
      <c r="F2308" t="s">
        <v>60</v>
      </c>
      <c r="G2308">
        <v>-400.0591</v>
      </c>
      <c r="H2308" s="1">
        <v>8.6272180000000002E-6</v>
      </c>
      <c r="I2308">
        <v>213.4008</v>
      </c>
      <c r="J2308">
        <v>-428.72750000000002</v>
      </c>
      <c r="K2308">
        <v>1.102808</v>
      </c>
      <c r="L2308">
        <v>213.71770000000001</v>
      </c>
      <c r="M2308">
        <v>0.99990109999999999</v>
      </c>
      <c r="N2308">
        <v>0</v>
      </c>
      <c r="O2308">
        <v>1.293557E-2</v>
      </c>
      <c r="P2308">
        <v>0.99858159999999896</v>
      </c>
      <c r="Q2308">
        <v>1.7066689999999999E-2</v>
      </c>
      <c r="R2308">
        <v>5.0433869999999999E-2</v>
      </c>
      <c r="S2308">
        <v>3.0079349999999998</v>
      </c>
      <c r="T2308">
        <v>-0.114770699999999</v>
      </c>
      <c r="U2308">
        <v>-3.2791140000000003E-2</v>
      </c>
      <c r="V2308">
        <v>-3.7465100000000001E-2</v>
      </c>
      <c r="W2308">
        <v>2.2686749999999999E-2</v>
      </c>
      <c r="X2308">
        <v>0.99904040000000005</v>
      </c>
      <c r="Y2308">
        <v>2.3808260000000001E-2</v>
      </c>
      <c r="Z2308">
        <v>-9.4741659999999996E-4</v>
      </c>
      <c r="AA2308">
        <v>0.9997161</v>
      </c>
      <c r="AB2308">
        <v>23</v>
      </c>
      <c r="AC2308">
        <v>28.668399999999998</v>
      </c>
      <c r="AD2308">
        <v>-1.102799372782</v>
      </c>
      <c r="AE2308">
        <v>-0.31690000000000301</v>
      </c>
      <c r="AF2308">
        <v>0.68670520543942704</v>
      </c>
      <c r="AG2308">
        <v>-1.102799372782</v>
      </c>
      <c r="AH2308">
        <v>28.6195575571587</v>
      </c>
      <c r="AI2308">
        <v>92.206056146597504</v>
      </c>
      <c r="AJ2308">
        <v>88.625493707186607</v>
      </c>
      <c r="AK2308">
        <v>28.649027998577999</v>
      </c>
    </row>
    <row r="2309" spans="1:37" x14ac:dyDescent="0.2">
      <c r="A2309" t="str">
        <f>"20200111160158880"</f>
        <v>20200111160158880</v>
      </c>
      <c r="B2309" t="str">
        <f>"1578729718873895"</f>
        <v>1578729718873895</v>
      </c>
      <c r="C2309" t="s">
        <v>37</v>
      </c>
      <c r="D2309">
        <v>5.5752579999999998</v>
      </c>
      <c r="E2309">
        <v>0.52249999999999996</v>
      </c>
      <c r="F2309" t="s">
        <v>57</v>
      </c>
      <c r="G2309">
        <v>-398.88369999999998</v>
      </c>
      <c r="H2309" s="1">
        <v>3.1906939999999899E-6</v>
      </c>
      <c r="I2309">
        <v>213.4933</v>
      </c>
      <c r="J2309">
        <v>-428.49270000000001</v>
      </c>
      <c r="K2309">
        <v>1.102824</v>
      </c>
      <c r="L2309">
        <v>213.7192</v>
      </c>
      <c r="M2309">
        <v>0.9999171</v>
      </c>
      <c r="N2309">
        <v>0</v>
      </c>
      <c r="O2309">
        <v>1.156475E-2</v>
      </c>
      <c r="P2309">
        <v>0.99857569999999996</v>
      </c>
      <c r="Q2309">
        <v>1.8369590000000002E-2</v>
      </c>
      <c r="R2309">
        <v>5.00904E-2</v>
      </c>
      <c r="S2309">
        <v>3.0072939999999999</v>
      </c>
      <c r="T2309">
        <v>-0.1111272</v>
      </c>
      <c r="U2309">
        <v>-2.261353E-2</v>
      </c>
      <c r="V2309">
        <v>-3.848849E-2</v>
      </c>
      <c r="W2309">
        <v>2.4106849999999999E-2</v>
      </c>
      <c r="X2309">
        <v>0.99896819999999897</v>
      </c>
      <c r="Y2309">
        <v>1.9062550000000001E-2</v>
      </c>
      <c r="Z2309">
        <v>-7.7927970000000004E-4</v>
      </c>
      <c r="AA2309">
        <v>0.99981799999999998</v>
      </c>
      <c r="AB2309">
        <v>23</v>
      </c>
      <c r="AC2309">
        <v>29.609000000000002</v>
      </c>
      <c r="AD2309">
        <v>-1.1028208093059999</v>
      </c>
      <c r="AE2309">
        <v>-0.22589999999999499</v>
      </c>
      <c r="AF2309">
        <v>0.56752379730311397</v>
      </c>
      <c r="AG2309">
        <v>-1.1028208093059999</v>
      </c>
      <c r="AH2309">
        <v>29.563397184726501</v>
      </c>
      <c r="AI2309">
        <v>92.135954441942005</v>
      </c>
      <c r="AJ2309">
        <v>88.900237185212305</v>
      </c>
      <c r="AK2309">
        <v>29.589402665478701</v>
      </c>
    </row>
    <row r="2310" spans="1:37" x14ac:dyDescent="0.2">
      <c r="A2310" t="str">
        <f>"20200111160158903"</f>
        <v>20200111160158903</v>
      </c>
      <c r="B2310" t="str">
        <f>"1578729718894391"</f>
        <v>1578729718894391</v>
      </c>
      <c r="C2310" t="s">
        <v>37</v>
      </c>
      <c r="D2310">
        <v>5.5943269999999998</v>
      </c>
      <c r="E2310">
        <v>0.52201439999999999</v>
      </c>
      <c r="F2310" t="s">
        <v>57</v>
      </c>
      <c r="G2310">
        <v>-397.9101</v>
      </c>
      <c r="H2310" s="1">
        <v>2.6725900000000002E-6</v>
      </c>
      <c r="I2310">
        <v>213.52340000000001</v>
      </c>
      <c r="J2310">
        <v>-428.25470000000001</v>
      </c>
      <c r="K2310">
        <v>1.102849</v>
      </c>
      <c r="L2310">
        <v>213.72040000000001</v>
      </c>
      <c r="M2310">
        <v>0.99993159999999903</v>
      </c>
      <c r="N2310">
        <v>0</v>
      </c>
      <c r="O2310">
        <v>1.017817E-2</v>
      </c>
      <c r="P2310">
        <v>0.99861489999999997</v>
      </c>
      <c r="Q2310">
        <v>1.822199E-2</v>
      </c>
      <c r="R2310">
        <v>4.9359979999999998E-2</v>
      </c>
      <c r="S2310">
        <v>3.0072329999999998</v>
      </c>
      <c r="T2310">
        <v>-0.1084422</v>
      </c>
      <c r="U2310">
        <v>-1.9256590000000001E-2</v>
      </c>
      <c r="V2310">
        <v>-3.9143009999999999E-2</v>
      </c>
      <c r="W2310">
        <v>2.4076819999999999E-2</v>
      </c>
      <c r="X2310">
        <v>0.99894349999999998</v>
      </c>
      <c r="Y2310">
        <v>1.6563709999999999E-2</v>
      </c>
      <c r="Z2310">
        <v>-6.6545820000000002E-4</v>
      </c>
      <c r="AA2310">
        <v>0.99986260000000005</v>
      </c>
      <c r="AB2310">
        <v>23</v>
      </c>
      <c r="AC2310">
        <v>30.3446</v>
      </c>
      <c r="AD2310">
        <v>-1.10284632741</v>
      </c>
      <c r="AE2310">
        <v>-0.19700000000000201</v>
      </c>
      <c r="AF2310">
        <v>0.50518015967255903</v>
      </c>
      <c r="AG2310">
        <v>-1.10284632741</v>
      </c>
      <c r="AH2310">
        <v>30.301000348638201</v>
      </c>
      <c r="AI2310">
        <v>92.084148748082001</v>
      </c>
      <c r="AJ2310">
        <v>89.044849696126604</v>
      </c>
      <c r="AK2310">
        <v>30.325271625226701</v>
      </c>
    </row>
    <row r="2311" spans="1:37" x14ac:dyDescent="0.2">
      <c r="A2311" t="str">
        <f>"20200111160158924"</f>
        <v>20200111160158924</v>
      </c>
      <c r="B2311" t="str">
        <f>"1578729718913911"</f>
        <v>1578729718913911</v>
      </c>
      <c r="C2311" t="s">
        <v>37</v>
      </c>
      <c r="D2311">
        <v>5.5949720000000003</v>
      </c>
      <c r="E2311">
        <v>0.52153369999999999</v>
      </c>
      <c r="F2311" t="s">
        <v>57</v>
      </c>
      <c r="G2311">
        <v>-399.20440000000002</v>
      </c>
      <c r="H2311" s="1">
        <v>3.3613610000000001E-6</v>
      </c>
      <c r="I2311">
        <v>213.55119999999999</v>
      </c>
      <c r="J2311">
        <v>-428.02699999999999</v>
      </c>
      <c r="K2311">
        <v>1.1028709999999999</v>
      </c>
      <c r="L2311">
        <v>213.72130000000001</v>
      </c>
      <c r="M2311">
        <v>0.99994359999999904</v>
      </c>
      <c r="N2311">
        <v>0</v>
      </c>
      <c r="O2311">
        <v>8.8507080000000005E-3</v>
      </c>
      <c r="P2311">
        <v>0.99868860000000004</v>
      </c>
      <c r="Q2311">
        <v>1.5849189999999999E-2</v>
      </c>
      <c r="R2311">
        <v>4.8682749999999997E-2</v>
      </c>
      <c r="S2311">
        <v>3.0071110000000001</v>
      </c>
      <c r="T2311">
        <v>-0.1141601</v>
      </c>
      <c r="U2311">
        <v>-1.7517089999999999E-2</v>
      </c>
      <c r="V2311">
        <v>-3.9795740000000003E-2</v>
      </c>
      <c r="W2311">
        <v>2.1816729999999999E-2</v>
      </c>
      <c r="X2311">
        <v>0.99896960000000001</v>
      </c>
      <c r="Y2311">
        <v>1.465867E-2</v>
      </c>
      <c r="Z2311">
        <v>-6.1402729999999995E-4</v>
      </c>
      <c r="AA2311">
        <v>0.99989240000000001</v>
      </c>
      <c r="AB2311">
        <v>23</v>
      </c>
      <c r="AC2311">
        <v>28.822599999999898</v>
      </c>
      <c r="AD2311">
        <v>-1.1028676386389999</v>
      </c>
      <c r="AE2311">
        <v>-0.17010000000001901</v>
      </c>
      <c r="AF2311">
        <v>0.42457653457692601</v>
      </c>
      <c r="AG2311">
        <v>-1.1028676386389999</v>
      </c>
      <c r="AH2311">
        <v>28.777832396355699</v>
      </c>
      <c r="AI2311">
        <v>92.1944629478769</v>
      </c>
      <c r="AJ2311">
        <v>89.1547424985813</v>
      </c>
      <c r="AK2311">
        <v>28.802087071856601</v>
      </c>
    </row>
    <row r="2312" spans="1:37" x14ac:dyDescent="0.2">
      <c r="A2312" t="str">
        <f>"20200111160158948"</f>
        <v>20200111160158948</v>
      </c>
      <c r="B2312" t="str">
        <f>"1578729718944166"</f>
        <v>1578729718944166</v>
      </c>
      <c r="C2312" t="s">
        <v>37</v>
      </c>
      <c r="D2312">
        <v>4.6654949999999999</v>
      </c>
      <c r="E2312">
        <v>0.5208526</v>
      </c>
      <c r="F2312" t="s">
        <v>60</v>
      </c>
      <c r="G2312">
        <v>-401.91419999999999</v>
      </c>
      <c r="H2312" s="1">
        <v>7.7669149999999995E-6</v>
      </c>
      <c r="I2312">
        <v>213.5831</v>
      </c>
      <c r="J2312">
        <v>-427.78030000000001</v>
      </c>
      <c r="K2312">
        <v>1.102881</v>
      </c>
      <c r="L2312">
        <v>213.72190000000001</v>
      </c>
      <c r="M2312">
        <v>0.99995460000000003</v>
      </c>
      <c r="N2312">
        <v>0</v>
      </c>
      <c r="O2312">
        <v>7.4129080000000002E-3</v>
      </c>
      <c r="P2312">
        <v>0.99871559999999904</v>
      </c>
      <c r="Q2312">
        <v>1.4995059999999999E-2</v>
      </c>
      <c r="R2312">
        <v>4.8401670000000001E-2</v>
      </c>
      <c r="S2312">
        <v>3.0067439999999999</v>
      </c>
      <c r="T2312">
        <v>-0.1269884</v>
      </c>
      <c r="U2312">
        <v>-1.5914919999999999E-2</v>
      </c>
      <c r="V2312">
        <v>-4.095244E-2</v>
      </c>
      <c r="W2312">
        <v>2.1088289999999999E-2</v>
      </c>
      <c r="X2312">
        <v>0.99893849999999995</v>
      </c>
      <c r="Y2312">
        <v>1.268787E-2</v>
      </c>
      <c r="Z2312">
        <v>-5.8075580000000002E-4</v>
      </c>
      <c r="AA2312">
        <v>0.99991939999999901</v>
      </c>
      <c r="AB2312">
        <v>23</v>
      </c>
      <c r="AC2312">
        <v>25.866099999999999</v>
      </c>
      <c r="AD2312">
        <v>-1.102873233085</v>
      </c>
      <c r="AE2312">
        <v>-0.138800000000003</v>
      </c>
      <c r="AF2312">
        <v>0.329942830135594</v>
      </c>
      <c r="AG2312">
        <v>-1.102873233085</v>
      </c>
      <c r="AH2312">
        <v>25.817426114909601</v>
      </c>
      <c r="AI2312">
        <v>92.445884259992198</v>
      </c>
      <c r="AJ2312">
        <v>89.267808398733905</v>
      </c>
      <c r="AK2312">
        <v>25.8430780449665</v>
      </c>
    </row>
    <row r="2313" spans="1:37" x14ac:dyDescent="0.2">
      <c r="A2313" t="str">
        <f>"20200111160158969"</f>
        <v>20200111160158969</v>
      </c>
      <c r="B2313" t="str">
        <f>"1578729718963687"</f>
        <v>1578729718963687</v>
      </c>
      <c r="C2313" t="s">
        <v>37</v>
      </c>
      <c r="D2313">
        <v>5.527768</v>
      </c>
      <c r="E2313">
        <v>0.5205379</v>
      </c>
      <c r="F2313" t="s">
        <v>60</v>
      </c>
      <c r="G2313">
        <v>-403.06119999999999</v>
      </c>
      <c r="H2313" s="1">
        <v>7.2490369999999999E-6</v>
      </c>
      <c r="I2313">
        <v>213.6275</v>
      </c>
      <c r="J2313">
        <v>-427.5616</v>
      </c>
      <c r="K2313">
        <v>1.102894</v>
      </c>
      <c r="L2313">
        <v>213.72210000000001</v>
      </c>
      <c r="M2313">
        <v>0.99996240000000003</v>
      </c>
      <c r="N2313">
        <v>0</v>
      </c>
      <c r="O2313">
        <v>6.144254E-3</v>
      </c>
      <c r="P2313">
        <v>0.99871049999999995</v>
      </c>
      <c r="Q2313">
        <v>1.610485E-2</v>
      </c>
      <c r="R2313">
        <v>4.8147910000000002E-2</v>
      </c>
      <c r="S2313">
        <v>3.0064389999999999</v>
      </c>
      <c r="T2313">
        <v>-0.13413629999999899</v>
      </c>
      <c r="U2313">
        <v>-1.147461E-2</v>
      </c>
      <c r="V2313">
        <v>-4.1963029999999998E-2</v>
      </c>
      <c r="W2313">
        <v>2.231729E-2</v>
      </c>
      <c r="X2313">
        <v>0.99886989999999998</v>
      </c>
      <c r="Y2313">
        <v>9.9448969999999994E-3</v>
      </c>
      <c r="Z2313">
        <v>-4.9574269999999999E-4</v>
      </c>
      <c r="AA2313">
        <v>0.99995040000000002</v>
      </c>
      <c r="AB2313">
        <v>23</v>
      </c>
      <c r="AC2313">
        <v>24.500399999999999</v>
      </c>
      <c r="AD2313">
        <v>-1.102886750963</v>
      </c>
      <c r="AE2313">
        <v>-9.4600000000014006E-2</v>
      </c>
      <c r="AF2313">
        <v>0.244641989508217</v>
      </c>
      <c r="AG2313">
        <v>-1.102886750963</v>
      </c>
      <c r="AH2313">
        <v>24.449812995904299</v>
      </c>
      <c r="AI2313">
        <v>92.582628859891699</v>
      </c>
      <c r="AJ2313">
        <v>89.426724215061299</v>
      </c>
      <c r="AK2313">
        <v>24.475897622419701</v>
      </c>
    </row>
    <row r="2314" spans="1:37" x14ac:dyDescent="0.2">
      <c r="A2314" t="str">
        <f>"20200111160158992"</f>
        <v>20200111160158992</v>
      </c>
      <c r="B2314" t="str">
        <f>"1578729718984184"</f>
        <v>1578729718984184</v>
      </c>
      <c r="C2314" t="s">
        <v>37</v>
      </c>
      <c r="D2314">
        <v>5.5274650000000003</v>
      </c>
      <c r="E2314">
        <v>0.52023409999999903</v>
      </c>
      <c r="F2314" t="s">
        <v>60</v>
      </c>
      <c r="G2314">
        <v>-403.18060000000003</v>
      </c>
      <c r="H2314" s="1">
        <v>7.1931419999999997E-6</v>
      </c>
      <c r="I2314">
        <v>213.64179999999999</v>
      </c>
      <c r="J2314">
        <v>-427.31029999999998</v>
      </c>
      <c r="K2314">
        <v>1.102919</v>
      </c>
      <c r="L2314">
        <v>213.72210000000001</v>
      </c>
      <c r="M2314">
        <v>0.999969199999999</v>
      </c>
      <c r="N2314">
        <v>0</v>
      </c>
      <c r="O2314">
        <v>4.7134689999999996E-3</v>
      </c>
      <c r="P2314">
        <v>0.99868119999999905</v>
      </c>
      <c r="Q2314">
        <v>2.0054840000000001E-2</v>
      </c>
      <c r="R2314">
        <v>4.7261839999999999E-2</v>
      </c>
      <c r="S2314">
        <v>3.006561</v>
      </c>
      <c r="T2314">
        <v>-0.1360035</v>
      </c>
      <c r="U2314">
        <v>-9.9029540000000003E-3</v>
      </c>
      <c r="V2314">
        <v>-4.2498429999999997E-2</v>
      </c>
      <c r="W2314">
        <v>2.6406860000000001E-2</v>
      </c>
      <c r="X2314">
        <v>0.99874750000000001</v>
      </c>
      <c r="Y2314">
        <v>7.9942699999999995E-3</v>
      </c>
      <c r="Z2314">
        <v>-3.9383069999999998E-4</v>
      </c>
      <c r="AA2314">
        <v>0.99996799999999997</v>
      </c>
      <c r="AB2314">
        <v>23</v>
      </c>
      <c r="AC2314">
        <v>24.1296999999999</v>
      </c>
      <c r="AD2314">
        <v>-1.1029118068579999</v>
      </c>
      <c r="AE2314">
        <v>-8.0300000000022395E-2</v>
      </c>
      <c r="AF2314">
        <v>0.193631412380458</v>
      </c>
      <c r="AG2314">
        <v>-1.1029118068579999</v>
      </c>
      <c r="AH2314">
        <v>24.0787489467771</v>
      </c>
      <c r="AI2314">
        <v>92.622479070531497</v>
      </c>
      <c r="AJ2314">
        <v>89.539260797994999</v>
      </c>
      <c r="AK2314">
        <v>24.104772523703399</v>
      </c>
    </row>
    <row r="2315" spans="1:37" x14ac:dyDescent="0.2">
      <c r="A2315" t="str">
        <f>"20200111160159015"</f>
        <v>20200111160159015</v>
      </c>
      <c r="B2315" t="str">
        <f>"1578729719003703"</f>
        <v>1578729719003703</v>
      </c>
      <c r="C2315" t="s">
        <v>37</v>
      </c>
      <c r="D2315">
        <v>5.5016239999999996</v>
      </c>
      <c r="E2315">
        <v>0.5198007</v>
      </c>
      <c r="F2315" t="s">
        <v>60</v>
      </c>
      <c r="G2315">
        <v>-401.64890000000003</v>
      </c>
      <c r="H2315" s="1">
        <v>7.8736170000000001E-6</v>
      </c>
      <c r="I2315">
        <v>213.636</v>
      </c>
      <c r="J2315">
        <v>-427.07369999999997</v>
      </c>
      <c r="K2315">
        <v>1.102962</v>
      </c>
      <c r="L2315">
        <v>213.7217</v>
      </c>
      <c r="M2315">
        <v>0.99997380000000002</v>
      </c>
      <c r="N2315">
        <v>0</v>
      </c>
      <c r="O2315">
        <v>3.4058650000000001E-3</v>
      </c>
      <c r="P2315">
        <v>0.99862989999999996</v>
      </c>
      <c r="Q2315">
        <v>2.394607E-2</v>
      </c>
      <c r="R2315">
        <v>4.6531709999999997E-2</v>
      </c>
      <c r="S2315">
        <v>3.0069889999999999</v>
      </c>
      <c r="T2315">
        <v>-0.1292384</v>
      </c>
      <c r="U2315">
        <v>-1.0086060000000001E-2</v>
      </c>
      <c r="V2315">
        <v>-4.3067849999999998E-2</v>
      </c>
      <c r="W2315">
        <v>3.0427829999999999E-2</v>
      </c>
      <c r="X2315">
        <v>0.99860869999999902</v>
      </c>
      <c r="Y2315">
        <v>6.7507069999999999E-3</v>
      </c>
      <c r="Z2315">
        <v>-2.9131989999999999E-4</v>
      </c>
      <c r="AA2315">
        <v>0.99997719999999901</v>
      </c>
      <c r="AB2315">
        <v>24</v>
      </c>
      <c r="AC2315">
        <v>25.424799999999902</v>
      </c>
      <c r="AD2315">
        <v>-1.1029541263830001</v>
      </c>
      <c r="AE2315">
        <v>-8.5700000000002705E-2</v>
      </c>
      <c r="AF2315">
        <v>0.17197107478493001</v>
      </c>
      <c r="AG2315">
        <v>-1.1029541263830001</v>
      </c>
      <c r="AH2315">
        <v>25.3766045933782</v>
      </c>
      <c r="AI2315">
        <v>92.488647365876503</v>
      </c>
      <c r="AJ2315">
        <v>89.611726386918804</v>
      </c>
      <c r="AK2315">
        <v>25.401144512484699</v>
      </c>
    </row>
    <row r="2316" spans="1:37" x14ac:dyDescent="0.2">
      <c r="A2316" t="str">
        <f>"20200111160159059"</f>
        <v>20200111160159059</v>
      </c>
      <c r="B2316" t="str">
        <f>"1578729719053479"</f>
        <v>1578729719053479</v>
      </c>
      <c r="C2316" t="s">
        <v>37</v>
      </c>
      <c r="D2316">
        <v>5.4610269999999996</v>
      </c>
      <c r="E2316">
        <v>0.49463970000000002</v>
      </c>
      <c r="F2316" t="s">
        <v>57</v>
      </c>
      <c r="G2316">
        <v>-399.93340000000001</v>
      </c>
      <c r="H2316" s="1">
        <v>3.7492769999999998E-6</v>
      </c>
      <c r="I2316">
        <v>213.64400000000001</v>
      </c>
      <c r="J2316">
        <v>-426.60250000000002</v>
      </c>
      <c r="K2316">
        <v>1.103057</v>
      </c>
      <c r="L2316">
        <v>213.72030000000001</v>
      </c>
      <c r="M2316">
        <v>0.99997749999999996</v>
      </c>
      <c r="N2316">
        <v>0</v>
      </c>
      <c r="O2316">
        <v>9.6682279999999897E-4</v>
      </c>
      <c r="P2316">
        <v>0.99849599999999905</v>
      </c>
      <c r="Q2316">
        <v>2.7327850000000001E-2</v>
      </c>
      <c r="R2316">
        <v>4.7530959999999997E-2</v>
      </c>
      <c r="S2316">
        <v>3.0074160000000001</v>
      </c>
      <c r="T2316">
        <v>-0.1222188</v>
      </c>
      <c r="U2316">
        <v>-8.6059569999999991E-3</v>
      </c>
      <c r="V2316">
        <v>-4.6501550000000003E-2</v>
      </c>
      <c r="W2316">
        <v>3.4045140000000002E-2</v>
      </c>
      <c r="X2316">
        <v>0.9983379</v>
      </c>
      <c r="Y2316">
        <v>3.824451E-3</v>
      </c>
      <c r="Z2316">
        <v>-1.169545E-4</v>
      </c>
      <c r="AA2316">
        <v>0.99999269999999996</v>
      </c>
      <c r="AB2316">
        <v>24</v>
      </c>
      <c r="AC2316">
        <v>26.6691</v>
      </c>
      <c r="AD2316">
        <v>-1.103053250723</v>
      </c>
      <c r="AE2316">
        <v>-7.6300000000003296E-2</v>
      </c>
      <c r="AF2316">
        <v>0.10191048857903701</v>
      </c>
      <c r="AG2316">
        <v>-1.103053250723</v>
      </c>
      <c r="AH2316">
        <v>26.623469119125598</v>
      </c>
      <c r="AI2316">
        <v>92.372482255660202</v>
      </c>
      <c r="AJ2316">
        <v>89.780681760923599</v>
      </c>
      <c r="AK2316">
        <v>26.6465048394466</v>
      </c>
    </row>
    <row r="2317" spans="1:37" x14ac:dyDescent="0.2">
      <c r="A2317" t="str">
        <f>"20200111160159081"</f>
        <v>20200111160159081</v>
      </c>
      <c r="B2317" t="str">
        <f>"1578729719073975"</f>
        <v>1578729719073975</v>
      </c>
      <c r="C2317" t="s">
        <v>37</v>
      </c>
      <c r="D2317">
        <v>5.4723199999999999</v>
      </c>
      <c r="E2317">
        <v>0.4886876</v>
      </c>
      <c r="F2317" t="s">
        <v>60</v>
      </c>
      <c r="G2317">
        <v>-412.82420000000002</v>
      </c>
      <c r="H2317" s="1">
        <v>2.7045620000000001E-6</v>
      </c>
      <c r="I2317">
        <v>214.64109999999999</v>
      </c>
      <c r="J2317">
        <v>-426.35849999999999</v>
      </c>
      <c r="K2317">
        <v>1.1031389999999901</v>
      </c>
      <c r="L2317">
        <v>213.7192</v>
      </c>
      <c r="M2317">
        <v>0.99997719999999901</v>
      </c>
      <c r="N2317">
        <v>0</v>
      </c>
      <c r="O2317">
        <v>-1.6134680000000001E-4</v>
      </c>
      <c r="P2317">
        <v>0.99837219999999904</v>
      </c>
      <c r="Q2317">
        <v>3.0106150000000002E-2</v>
      </c>
      <c r="R2317">
        <v>4.8443420000000001E-2</v>
      </c>
      <c r="S2317">
        <v>3.0015259999999899</v>
      </c>
      <c r="T2317">
        <v>-0.24029490000000001</v>
      </c>
      <c r="U2317">
        <v>0.20059199999999999</v>
      </c>
      <c r="V2317">
        <v>-4.8540130000000001E-2</v>
      </c>
      <c r="W2317">
        <v>3.6932479999999997E-2</v>
      </c>
      <c r="X2317">
        <v>0.99813819999999998</v>
      </c>
      <c r="Y2317">
        <v>-6.6629519999999998E-2</v>
      </c>
      <c r="Z2317">
        <v>2.6727690000000002E-3</v>
      </c>
      <c r="AA2317">
        <v>0.99777420000000006</v>
      </c>
      <c r="AB2317">
        <v>24</v>
      </c>
      <c r="AC2317">
        <v>13.534299999999901</v>
      </c>
      <c r="AD2317">
        <v>-1.103136295438</v>
      </c>
      <c r="AE2317">
        <v>0.92189999999999295</v>
      </c>
      <c r="AF2317">
        <v>-0.91801324162018605</v>
      </c>
      <c r="AG2317">
        <v>-1.103136295438</v>
      </c>
      <c r="AH2317">
        <v>13.4452422199482</v>
      </c>
      <c r="AI2317">
        <v>94.679570952188996</v>
      </c>
      <c r="AJ2317">
        <v>93.905974748956197</v>
      </c>
      <c r="AK2317">
        <v>13.521619590536501</v>
      </c>
    </row>
    <row r="2318" spans="1:37" x14ac:dyDescent="0.2">
      <c r="A2318" t="str">
        <f>"20200111160159103"</f>
        <v>20200111160159103</v>
      </c>
      <c r="B2318" t="str">
        <f>"1578729719093495"</f>
        <v>1578729719093495</v>
      </c>
      <c r="C2318" t="s">
        <v>37</v>
      </c>
      <c r="D2318">
        <v>5.4463330000000001</v>
      </c>
      <c r="E2318">
        <v>0.48966969999999999</v>
      </c>
      <c r="F2318" t="s">
        <v>60</v>
      </c>
      <c r="G2318">
        <v>-403.21440000000001</v>
      </c>
      <c r="H2318" s="1">
        <v>6.7693489999999996E-6</v>
      </c>
      <c r="I2318">
        <v>215.62020000000001</v>
      </c>
      <c r="J2318">
        <v>-426.12580000000003</v>
      </c>
      <c r="K2318">
        <v>1.103254</v>
      </c>
      <c r="L2318">
        <v>213.71809999999999</v>
      </c>
      <c r="M2318">
        <v>0.99997599999999998</v>
      </c>
      <c r="N2318">
        <v>0</v>
      </c>
      <c r="O2318">
        <v>-1.107118E-3</v>
      </c>
      <c r="P2318">
        <v>0.99820569999999897</v>
      </c>
      <c r="Q2318">
        <v>3.4747880000000002E-2</v>
      </c>
      <c r="R2318">
        <v>4.8766999999999998E-2</v>
      </c>
      <c r="S2318">
        <v>2.9972840000000001</v>
      </c>
      <c r="T2318">
        <v>-0.14286199999999999</v>
      </c>
      <c r="U2318">
        <v>0.2461853</v>
      </c>
      <c r="V2318">
        <v>-4.9807320000000002E-2</v>
      </c>
      <c r="W2318">
        <v>4.1665710000000002E-2</v>
      </c>
      <c r="X2318">
        <v>0.99788940000000004</v>
      </c>
      <c r="Y2318">
        <v>-8.2869139999999994E-2</v>
      </c>
      <c r="Z2318">
        <v>2.02315E-3</v>
      </c>
      <c r="AA2318">
        <v>0.99655839999999996</v>
      </c>
      <c r="AB2318">
        <v>24</v>
      </c>
      <c r="AC2318">
        <v>22.9114</v>
      </c>
      <c r="AD2318">
        <v>-1.1032472306509999</v>
      </c>
      <c r="AE2318">
        <v>1.9021000000000099</v>
      </c>
      <c r="AF2318">
        <v>-1.9230366493815201</v>
      </c>
      <c r="AG2318">
        <v>-1.1032472306509999</v>
      </c>
      <c r="AH2318">
        <v>22.856645388574702</v>
      </c>
      <c r="AI2318">
        <v>92.753700641030207</v>
      </c>
      <c r="AJ2318">
        <v>94.809236050753597</v>
      </c>
      <c r="AK2318">
        <v>22.963916539341799</v>
      </c>
    </row>
    <row r="2319" spans="1:37" x14ac:dyDescent="0.2">
      <c r="A2319" t="str">
        <f>"20200111160159126"</f>
        <v>20200111160159126</v>
      </c>
      <c r="B2319" t="str">
        <f>"1578729719123751"</f>
        <v>1578729719123751</v>
      </c>
      <c r="C2319" t="s">
        <v>37</v>
      </c>
      <c r="D2319">
        <v>5.4004129999999897</v>
      </c>
      <c r="E2319">
        <v>0.49073139999999998</v>
      </c>
      <c r="F2319" t="s">
        <v>60</v>
      </c>
      <c r="G2319">
        <v>-404.24599999999998</v>
      </c>
      <c r="H2319" s="1">
        <v>6.3429440000000002E-6</v>
      </c>
      <c r="I2319">
        <v>215.4699</v>
      </c>
      <c r="J2319">
        <v>-425.87909999999999</v>
      </c>
      <c r="K2319">
        <v>1.1034029999999999</v>
      </c>
      <c r="L2319">
        <v>213.71680000000001</v>
      </c>
      <c r="M2319">
        <v>0.99997409999999998</v>
      </c>
      <c r="N2319">
        <v>0</v>
      </c>
      <c r="O2319">
        <v>-1.9188429999999999E-3</v>
      </c>
      <c r="P2319">
        <v>0.99797150000000001</v>
      </c>
      <c r="Q2319">
        <v>4.1430990000000001E-2</v>
      </c>
      <c r="R2319">
        <v>4.833581E-2</v>
      </c>
      <c r="S2319">
        <v>2.998901</v>
      </c>
      <c r="T2319">
        <v>-0.15121379999999901</v>
      </c>
      <c r="U2319">
        <v>0.2401123</v>
      </c>
      <c r="V2319">
        <v>-5.018976E-2</v>
      </c>
      <c r="W2319">
        <v>4.842991E-2</v>
      </c>
      <c r="X2319">
        <v>0.99756480000000003</v>
      </c>
      <c r="Y2319">
        <v>-8.1618510000000005E-2</v>
      </c>
      <c r="Z2319">
        <v>2.1496850000000001E-3</v>
      </c>
      <c r="AA2319">
        <v>0.99666129999999997</v>
      </c>
      <c r="AB2319">
        <v>24</v>
      </c>
      <c r="AC2319">
        <v>21.633099999999999</v>
      </c>
      <c r="AD2319">
        <v>-1.1033966570560001</v>
      </c>
      <c r="AE2319">
        <v>1.7530999999999799</v>
      </c>
      <c r="AF2319">
        <v>-1.78998201557298</v>
      </c>
      <c r="AG2319">
        <v>-1.1033966570560001</v>
      </c>
      <c r="AH2319">
        <v>21.573937487584999</v>
      </c>
      <c r="AI2319">
        <v>92.917826769259904</v>
      </c>
      <c r="AJ2319">
        <v>94.742947184786203</v>
      </c>
      <c r="AK2319">
        <v>21.6761689077453</v>
      </c>
    </row>
    <row r="2320" spans="1:37" x14ac:dyDescent="0.2">
      <c r="A2320" t="str">
        <f>"20200111160159149"</f>
        <v>20200111160159149</v>
      </c>
      <c r="B2320" t="str">
        <f>"1578729719144247"</f>
        <v>1578729719144247</v>
      </c>
      <c r="C2320" t="s">
        <v>37</v>
      </c>
      <c r="D2320">
        <v>5.4916559999999999</v>
      </c>
      <c r="E2320">
        <v>0.490952</v>
      </c>
      <c r="F2320" t="s">
        <v>60</v>
      </c>
      <c r="G2320">
        <v>-404.64690000000002</v>
      </c>
      <c r="H2320" s="1">
        <v>6.1882740000000002E-6</v>
      </c>
      <c r="I2320">
        <v>215.35810000000001</v>
      </c>
      <c r="J2320">
        <v>-425.63119999999998</v>
      </c>
      <c r="K2320">
        <v>1.1035729999999999</v>
      </c>
      <c r="L2320">
        <v>213.71549999999999</v>
      </c>
      <c r="M2320">
        <v>0.99997199999999997</v>
      </c>
      <c r="N2320">
        <v>0</v>
      </c>
      <c r="O2320">
        <v>-2.5220360000000001E-3</v>
      </c>
      <c r="P2320">
        <v>0.99771650000000001</v>
      </c>
      <c r="Q2320">
        <v>4.9065749999999998E-2</v>
      </c>
      <c r="R2320">
        <v>4.6414770000000001E-2</v>
      </c>
      <c r="S2320">
        <v>3.0013429999999999</v>
      </c>
      <c r="T2320">
        <v>-0.1559741</v>
      </c>
      <c r="U2320">
        <v>0.23200989999999999</v>
      </c>
      <c r="V2320">
        <v>-4.887996E-2</v>
      </c>
      <c r="W2320">
        <v>5.6130279999999998E-2</v>
      </c>
      <c r="X2320">
        <v>0.99722619999999895</v>
      </c>
      <c r="Y2320">
        <v>-7.9476450000000004E-2</v>
      </c>
      <c r="Z2320">
        <v>2.1914500000000002E-3</v>
      </c>
      <c r="AA2320">
        <v>0.99683429999999995</v>
      </c>
      <c r="AB2320">
        <v>24</v>
      </c>
      <c r="AC2320">
        <v>20.984299999999902</v>
      </c>
      <c r="AD2320">
        <v>-1.103566811726</v>
      </c>
      <c r="AE2320">
        <v>1.6426000000000101</v>
      </c>
      <c r="AF2320">
        <v>-1.6908712520597899</v>
      </c>
      <c r="AG2320">
        <v>-1.103566811726</v>
      </c>
      <c r="AH2320">
        <v>20.9225768680373</v>
      </c>
      <c r="AI2320">
        <v>93.009489448349797</v>
      </c>
      <c r="AJ2320">
        <v>94.620353269920997</v>
      </c>
      <c r="AK2320">
        <v>21.019779449316601</v>
      </c>
    </row>
    <row r="2321" spans="1:37" x14ac:dyDescent="0.2">
      <c r="A2321" t="str">
        <f>"20200111160159192"</f>
        <v>20200111160159192</v>
      </c>
      <c r="B2321" t="str">
        <f>"1578729719184263"</f>
        <v>1578729719184263</v>
      </c>
      <c r="C2321" t="s">
        <v>37</v>
      </c>
      <c r="D2321">
        <v>5.3821300000000001</v>
      </c>
      <c r="E2321">
        <v>0.49151889999999998</v>
      </c>
      <c r="F2321" t="s">
        <v>60</v>
      </c>
      <c r="G2321">
        <v>-402.06060000000002</v>
      </c>
      <c r="H2321" s="1">
        <v>7.3085899999999898E-6</v>
      </c>
      <c r="I2321">
        <v>215.48679999999999</v>
      </c>
      <c r="J2321">
        <v>-425.16649999999998</v>
      </c>
      <c r="K2321">
        <v>1.103842</v>
      </c>
      <c r="L2321">
        <v>213.71350000000001</v>
      </c>
      <c r="M2321">
        <v>0.99996960000000001</v>
      </c>
      <c r="N2321">
        <v>0</v>
      </c>
      <c r="O2321">
        <v>-3.0961309999999998E-3</v>
      </c>
      <c r="P2321">
        <v>0.99762589999999995</v>
      </c>
      <c r="Q2321">
        <v>5.4986800000000002E-2</v>
      </c>
      <c r="R2321">
        <v>4.1467610000000002E-2</v>
      </c>
      <c r="S2321">
        <v>3.0033259999999999</v>
      </c>
      <c r="T2321">
        <v>-0.1406144</v>
      </c>
      <c r="U2321">
        <v>0.2256927</v>
      </c>
      <c r="V2321">
        <v>-4.453878E-2</v>
      </c>
      <c r="W2321">
        <v>6.2155040000000002E-2</v>
      </c>
      <c r="X2321">
        <v>0.99707219999999996</v>
      </c>
      <c r="Y2321">
        <v>-7.7935169999999998E-2</v>
      </c>
      <c r="Z2321">
        <v>1.965568E-3</v>
      </c>
      <c r="AA2321">
        <v>0.99695650000000002</v>
      </c>
      <c r="AB2321">
        <v>24</v>
      </c>
      <c r="AC2321">
        <v>23.105899999999899</v>
      </c>
      <c r="AD2321">
        <v>-1.1038346914099999</v>
      </c>
      <c r="AE2321">
        <v>1.7732999999999699</v>
      </c>
      <c r="AF2321">
        <v>-1.8406559952055299</v>
      </c>
      <c r="AG2321">
        <v>-1.1038346914099999</v>
      </c>
      <c r="AH2321">
        <v>23.048005547104701</v>
      </c>
      <c r="AI2321">
        <v>92.733273887948997</v>
      </c>
      <c r="AJ2321">
        <v>94.566055192561905</v>
      </c>
      <c r="AK2321">
        <v>23.147721814857199</v>
      </c>
    </row>
    <row r="2322" spans="1:37" x14ac:dyDescent="0.2">
      <c r="A2322" t="str">
        <f>"20200111160159216"</f>
        <v>20200111160159216</v>
      </c>
      <c r="B2322" t="str">
        <f>"1578729719203783"</f>
        <v>1578729719203783</v>
      </c>
      <c r="C2322" t="s">
        <v>37</v>
      </c>
      <c r="D2322">
        <v>5.3543629999999904</v>
      </c>
      <c r="E2322">
        <v>0.49128059999999901</v>
      </c>
      <c r="F2322" t="s">
        <v>60</v>
      </c>
      <c r="G2322">
        <v>-401.59820000000002</v>
      </c>
      <c r="H2322" s="1">
        <v>7.5421429999999901E-6</v>
      </c>
      <c r="I2322">
        <v>215.34889999999999</v>
      </c>
      <c r="J2322">
        <v>-424.90969999999999</v>
      </c>
      <c r="K2322">
        <v>1.1039330000000001</v>
      </c>
      <c r="L2322">
        <v>213.71250000000001</v>
      </c>
      <c r="M2322">
        <v>0.99996890000000005</v>
      </c>
      <c r="N2322">
        <v>0</v>
      </c>
      <c r="O2322">
        <v>-3.1722529999999999E-3</v>
      </c>
      <c r="P2322">
        <v>0.99771609999999999</v>
      </c>
      <c r="Q2322">
        <v>5.4055430000000002E-2</v>
      </c>
      <c r="R2322">
        <v>4.0510749999999998E-2</v>
      </c>
      <c r="S2322">
        <v>3.0062259999999998</v>
      </c>
      <c r="T2322">
        <v>-0.14079829999999999</v>
      </c>
      <c r="U2322">
        <v>0.20860290000000001</v>
      </c>
      <c r="V2322">
        <v>-4.3673469999999999E-2</v>
      </c>
      <c r="W2322">
        <v>6.1276009999999999E-2</v>
      </c>
      <c r="X2322">
        <v>0.99716489999999902</v>
      </c>
      <c r="Y2322">
        <v>-7.2305880000000003E-2</v>
      </c>
      <c r="Z2322">
        <v>1.8386100000000001E-3</v>
      </c>
      <c r="AA2322">
        <v>0.99738079999999996</v>
      </c>
      <c r="AB2322">
        <v>24</v>
      </c>
      <c r="AC2322">
        <v>23.311499999999899</v>
      </c>
      <c r="AD2322">
        <v>-1.1039254578569999</v>
      </c>
      <c r="AE2322">
        <v>1.6363999999999801</v>
      </c>
      <c r="AF2322">
        <v>-1.7065354708547</v>
      </c>
      <c r="AG2322">
        <v>-1.1039254578569999</v>
      </c>
      <c r="AH2322">
        <v>23.2542986404099</v>
      </c>
      <c r="AI2322">
        <v>92.710620104774193</v>
      </c>
      <c r="AJ2322">
        <v>94.197173211995207</v>
      </c>
      <c r="AK2322">
        <v>23.3429501131961</v>
      </c>
    </row>
    <row r="2323" spans="1:37" x14ac:dyDescent="0.2">
      <c r="A2323" t="str">
        <f>"20200111160159237"</f>
        <v>20200111160159237</v>
      </c>
      <c r="B2323" t="str">
        <f>"1578729719234038"</f>
        <v>1578729719234038</v>
      </c>
      <c r="C2323" t="s">
        <v>37</v>
      </c>
      <c r="D2323">
        <v>5.3768690000000001</v>
      </c>
      <c r="E2323">
        <v>0.49099389999999998</v>
      </c>
      <c r="F2323" t="s">
        <v>57</v>
      </c>
      <c r="G2323">
        <v>-397.46010000000001</v>
      </c>
      <c r="H2323" s="1">
        <v>2.4331219999999998E-6</v>
      </c>
      <c r="I2323">
        <v>215.59520000000001</v>
      </c>
      <c r="J2323">
        <v>-424.66219999999998</v>
      </c>
      <c r="K2323">
        <v>1.1039889999999899</v>
      </c>
      <c r="L2323">
        <v>213.71170000000001</v>
      </c>
      <c r="M2323">
        <v>0.99996849999999904</v>
      </c>
      <c r="N2323">
        <v>0</v>
      </c>
      <c r="O2323">
        <v>-3.141067E-3</v>
      </c>
      <c r="P2323">
        <v>0.99779869999999904</v>
      </c>
      <c r="Q2323">
        <v>5.244497E-2</v>
      </c>
      <c r="R2323">
        <v>4.0589510000000002E-2</v>
      </c>
      <c r="S2323">
        <v>3.0050659999999998</v>
      </c>
      <c r="T2323">
        <v>-0.1208539</v>
      </c>
      <c r="U2323">
        <v>0.20610049999999999</v>
      </c>
      <c r="V2323">
        <v>-4.3729440000000001E-2</v>
      </c>
      <c r="W2323">
        <v>5.9713410000000001E-2</v>
      </c>
      <c r="X2323">
        <v>0.99725719999999995</v>
      </c>
      <c r="Y2323">
        <v>-7.1496989999999996E-2</v>
      </c>
      <c r="Z2323">
        <v>1.5615529999999901E-3</v>
      </c>
      <c r="AA2323">
        <v>0.99743959999999998</v>
      </c>
      <c r="AB2323">
        <v>24</v>
      </c>
      <c r="AC2323">
        <v>27.202099999999898</v>
      </c>
      <c r="AD2323">
        <v>-1.10398656687799</v>
      </c>
      <c r="AE2323">
        <v>1.88349999999999</v>
      </c>
      <c r="AF2323">
        <v>-1.96571429677985</v>
      </c>
      <c r="AG2323">
        <v>-1.10398656687799</v>
      </c>
      <c r="AH2323">
        <v>27.151541243577299</v>
      </c>
      <c r="AI2323">
        <v>92.3223026848448</v>
      </c>
      <c r="AJ2323">
        <v>94.140868902874502</v>
      </c>
      <c r="AK2323">
        <v>27.244981389938498</v>
      </c>
    </row>
    <row r="2324" spans="1:37" x14ac:dyDescent="0.2">
      <c r="A2324" t="str">
        <f>"20200111160159259"</f>
        <v>20200111160159259</v>
      </c>
      <c r="B2324" t="str">
        <f>"1578729719253559"</f>
        <v>1578729719253559</v>
      </c>
      <c r="C2324" t="s">
        <v>37</v>
      </c>
      <c r="D2324">
        <v>5.3938220000000001</v>
      </c>
      <c r="E2324">
        <v>0.4909443</v>
      </c>
      <c r="F2324" t="s">
        <v>57</v>
      </c>
      <c r="G2324">
        <v>-397.9169</v>
      </c>
      <c r="H2324" s="1">
        <v>2.6761849999999899E-6</v>
      </c>
      <c r="I2324">
        <v>215.56379999999999</v>
      </c>
      <c r="J2324">
        <v>-424.42660000000001</v>
      </c>
      <c r="K2324">
        <v>1.1040299999999901</v>
      </c>
      <c r="L2324">
        <v>213.71109999999999</v>
      </c>
      <c r="M2324">
        <v>0.99996849999999904</v>
      </c>
      <c r="N2324">
        <v>0</v>
      </c>
      <c r="O2324">
        <v>-3.0311240000000001E-3</v>
      </c>
      <c r="P2324">
        <v>0.99783120000000003</v>
      </c>
      <c r="Q2324">
        <v>5.1189119999999998E-2</v>
      </c>
      <c r="R2324">
        <v>4.1384009999999999E-2</v>
      </c>
      <c r="S2324">
        <v>3.0046689999999998</v>
      </c>
      <c r="T2324">
        <v>-0.1240261</v>
      </c>
      <c r="U2324">
        <v>0.2080688</v>
      </c>
      <c r="V2324">
        <v>-4.4419769999999997E-2</v>
      </c>
      <c r="W2324">
        <v>5.8498639999999998E-2</v>
      </c>
      <c r="X2324">
        <v>0.99729880000000004</v>
      </c>
      <c r="Y2324">
        <v>-7.2043090000000004E-2</v>
      </c>
      <c r="Z2324">
        <v>1.609404E-3</v>
      </c>
      <c r="AA2324">
        <v>0.99740019999999996</v>
      </c>
      <c r="AB2324">
        <v>25</v>
      </c>
      <c r="AC2324">
        <v>26.509699999999999</v>
      </c>
      <c r="AD2324">
        <v>-1.10402732381499</v>
      </c>
      <c r="AE2324">
        <v>1.85269999999999</v>
      </c>
      <c r="AF2324">
        <v>-1.9297171989200099</v>
      </c>
      <c r="AG2324">
        <v>-1.10402732381499</v>
      </c>
      <c r="AH2324">
        <v>26.458295995743999</v>
      </c>
      <c r="AI2324">
        <v>92.383076664801393</v>
      </c>
      <c r="AJ2324">
        <v>94.1714412832048</v>
      </c>
      <c r="AK2324">
        <v>26.551536900864001</v>
      </c>
    </row>
    <row r="2325" spans="1:37" x14ac:dyDescent="0.2">
      <c r="A2325" t="str">
        <f>"20200111160159281"</f>
        <v>20200111160159281</v>
      </c>
      <c r="B2325" t="str">
        <f>"1578729719274056"</f>
        <v>1578729719274056</v>
      </c>
      <c r="C2325" t="s">
        <v>37</v>
      </c>
      <c r="D2325">
        <v>5.3930870000000004</v>
      </c>
      <c r="E2325">
        <v>0.49088909999999902</v>
      </c>
      <c r="F2325" t="s">
        <v>57</v>
      </c>
      <c r="G2325">
        <v>-399.93049999999999</v>
      </c>
      <c r="H2325" s="1">
        <v>3.7477429999999998E-6</v>
      </c>
      <c r="I2325">
        <v>215.42740000000001</v>
      </c>
      <c r="J2325">
        <v>-424.17610000000002</v>
      </c>
      <c r="K2325">
        <v>1.1040859999999999</v>
      </c>
      <c r="L2325">
        <v>213.71039999999999</v>
      </c>
      <c r="M2325">
        <v>0.99996879999999999</v>
      </c>
      <c r="N2325">
        <v>0</v>
      </c>
      <c r="O2325">
        <v>-2.8427389999999999E-3</v>
      </c>
      <c r="P2325">
        <v>0.99774799999999997</v>
      </c>
      <c r="Q2325">
        <v>5.131935E-2</v>
      </c>
      <c r="R2325">
        <v>4.3188369999999997E-2</v>
      </c>
      <c r="S2325">
        <v>3.0047000000000001</v>
      </c>
      <c r="T2325">
        <v>-0.1354206</v>
      </c>
      <c r="U2325">
        <v>0.2105255</v>
      </c>
      <c r="V2325">
        <v>-4.6040400000000002E-2</v>
      </c>
      <c r="W2325">
        <v>5.8666679999999999E-2</v>
      </c>
      <c r="X2325">
        <v>0.99721539999999997</v>
      </c>
      <c r="Y2325">
        <v>-7.2653369999999995E-2</v>
      </c>
      <c r="Z2325">
        <v>1.7623039999999999E-3</v>
      </c>
      <c r="AA2325">
        <v>0.99735569999999896</v>
      </c>
      <c r="AB2325">
        <v>25</v>
      </c>
      <c r="AC2325">
        <v>24.2456</v>
      </c>
      <c r="AD2325">
        <v>-1.104082252257</v>
      </c>
      <c r="AE2325">
        <v>1.7170000000000101</v>
      </c>
      <c r="AF2325">
        <v>-1.7822415303389301</v>
      </c>
      <c r="AG2325">
        <v>-1.104082252257</v>
      </c>
      <c r="AH2325">
        <v>24.1907079898882</v>
      </c>
      <c r="AI2325">
        <v>92.606155621419603</v>
      </c>
      <c r="AJ2325">
        <v>94.213632727141103</v>
      </c>
      <c r="AK2325">
        <v>24.281386606704601</v>
      </c>
    </row>
    <row r="2326" spans="1:37" x14ac:dyDescent="0.2">
      <c r="A2326" t="str">
        <f>"20200111160159304"</f>
        <v>20200111160159304</v>
      </c>
      <c r="B2326" t="str">
        <f>"1578729719293575"</f>
        <v>1578729719293575</v>
      </c>
      <c r="C2326" t="s">
        <v>37</v>
      </c>
      <c r="D2326">
        <v>5.4948259999999998</v>
      </c>
      <c r="E2326">
        <v>0.490871</v>
      </c>
      <c r="F2326" t="s">
        <v>60</v>
      </c>
      <c r="G2326">
        <v>-400.74400000000003</v>
      </c>
      <c r="H2326" s="1">
        <v>7.9112040000000007E-6</v>
      </c>
      <c r="I2326">
        <v>215.39599999999999</v>
      </c>
      <c r="J2326">
        <v>-423.92689999999999</v>
      </c>
      <c r="K2326">
        <v>1.1041559999999999</v>
      </c>
      <c r="L2326">
        <v>213.7099</v>
      </c>
      <c r="M2326">
        <v>0.999969199999999</v>
      </c>
      <c r="N2326">
        <v>0</v>
      </c>
      <c r="O2326">
        <v>-2.600293E-3</v>
      </c>
      <c r="P2326">
        <v>0.99745399999999995</v>
      </c>
      <c r="Q2326">
        <v>5.4729239999999998E-2</v>
      </c>
      <c r="R2326">
        <v>4.5720610000000002E-2</v>
      </c>
      <c r="S2326">
        <v>3.0046689999999998</v>
      </c>
      <c r="T2326">
        <v>-0.1415749</v>
      </c>
      <c r="U2326">
        <v>0.21614069999999999</v>
      </c>
      <c r="V2326">
        <v>-4.8336900000000002E-2</v>
      </c>
      <c r="W2326">
        <v>6.210603E-2</v>
      </c>
      <c r="X2326">
        <v>0.99689839999999996</v>
      </c>
      <c r="Y2326">
        <v>-7.4258149999999995E-2</v>
      </c>
      <c r="Z2326">
        <v>1.868539E-3</v>
      </c>
      <c r="AA2326">
        <v>0.99723729999999999</v>
      </c>
      <c r="AB2326">
        <v>25</v>
      </c>
      <c r="AC2326">
        <v>23.182899999999901</v>
      </c>
      <c r="AD2326">
        <v>-1.104148088796</v>
      </c>
      <c r="AE2326">
        <v>1.6860999999999799</v>
      </c>
      <c r="AF2326">
        <v>-1.74244652172422</v>
      </c>
      <c r="AG2326">
        <v>-1.104148088796</v>
      </c>
      <c r="AH2326">
        <v>23.1262536486614</v>
      </c>
      <c r="AI2326">
        <v>92.725760121479794</v>
      </c>
      <c r="AJ2326">
        <v>94.308806688593506</v>
      </c>
      <c r="AK2326">
        <v>23.218072071239799</v>
      </c>
    </row>
    <row r="2327" spans="1:37" x14ac:dyDescent="0.2">
      <c r="A2327" t="str">
        <f>"20200111160159326"</f>
        <v>20200111160159326</v>
      </c>
      <c r="B2327" t="str">
        <f>"1578729719314070"</f>
        <v>1578729719314070</v>
      </c>
      <c r="C2327" t="s">
        <v>37</v>
      </c>
      <c r="D2327">
        <v>5.4047599999999996</v>
      </c>
      <c r="E2327">
        <v>0.49082979999999998</v>
      </c>
      <c r="F2327" t="s">
        <v>57</v>
      </c>
      <c r="G2327">
        <v>-399.77859999999998</v>
      </c>
      <c r="H2327" s="1">
        <v>3.6668830000000002E-6</v>
      </c>
      <c r="I2327">
        <v>215.51339999999999</v>
      </c>
      <c r="J2327">
        <v>-423.67910000000001</v>
      </c>
      <c r="K2327">
        <v>1.1042289999999999</v>
      </c>
      <c r="L2327">
        <v>213.70949999999999</v>
      </c>
      <c r="M2327">
        <v>0.99996960000000001</v>
      </c>
      <c r="N2327">
        <v>0</v>
      </c>
      <c r="O2327">
        <v>-2.3170310000000002E-3</v>
      </c>
      <c r="P2327">
        <v>0.99699950000000004</v>
      </c>
      <c r="Q2327">
        <v>6.0401990000000003E-2</v>
      </c>
      <c r="R2327">
        <v>4.841372E-2</v>
      </c>
      <c r="S2327">
        <v>3.0049130000000002</v>
      </c>
      <c r="T2327">
        <v>-0.13739589999999999</v>
      </c>
      <c r="U2327">
        <v>0.2244263</v>
      </c>
      <c r="V2327">
        <v>-5.0756000000000003E-2</v>
      </c>
      <c r="W2327">
        <v>6.7802169999999995E-2</v>
      </c>
      <c r="X2327">
        <v>0.99640689999999998</v>
      </c>
      <c r="Y2327">
        <v>-7.6707360000000002E-2</v>
      </c>
      <c r="Z2327">
        <v>1.8560709999999999E-3</v>
      </c>
      <c r="AA2327">
        <v>0.99705189999999999</v>
      </c>
      <c r="AB2327">
        <v>25</v>
      </c>
      <c r="AC2327">
        <v>23.900500000000001</v>
      </c>
      <c r="AD2327">
        <v>-1.104225333117</v>
      </c>
      <c r="AE2327">
        <v>1.8038999999999901</v>
      </c>
      <c r="AF2327">
        <v>-1.8553370586917299</v>
      </c>
      <c r="AG2327">
        <v>-1.104225333117</v>
      </c>
      <c r="AH2327">
        <v>23.845645189772199</v>
      </c>
      <c r="AI2327">
        <v>92.643336087846293</v>
      </c>
      <c r="AJ2327">
        <v>94.448998798842496</v>
      </c>
      <c r="AK2327">
        <v>23.943190758630202</v>
      </c>
    </row>
    <row r="2328" spans="1:37" x14ac:dyDescent="0.2">
      <c r="A2328" t="str">
        <f>"20200111160159351"</f>
        <v>20200111160159351</v>
      </c>
      <c r="B2328" t="str">
        <f>"1578729719344327"</f>
        <v>1578729719344327</v>
      </c>
      <c r="C2328" t="s">
        <v>37</v>
      </c>
      <c r="D2328">
        <v>5.4388569999999996</v>
      </c>
      <c r="E2328">
        <v>0.49081720000000001</v>
      </c>
      <c r="F2328" t="s">
        <v>57</v>
      </c>
      <c r="G2328">
        <v>-397.33179999999999</v>
      </c>
      <c r="H2328" s="1">
        <v>2.3648019999999998E-6</v>
      </c>
      <c r="I2328">
        <v>215.75540000000001</v>
      </c>
      <c r="J2328">
        <v>-423.41739999999999</v>
      </c>
      <c r="K2328">
        <v>1.1042959999999999</v>
      </c>
      <c r="L2328">
        <v>213.70930000000001</v>
      </c>
      <c r="M2328">
        <v>0.99997000000000003</v>
      </c>
      <c r="N2328">
        <v>0</v>
      </c>
      <c r="O2328">
        <v>-1.9765519999999999E-3</v>
      </c>
      <c r="P2328">
        <v>0.99651329999999905</v>
      </c>
      <c r="Q2328">
        <v>6.5909399999999896E-2</v>
      </c>
      <c r="R2328">
        <v>5.1157130000000002E-2</v>
      </c>
      <c r="S2328">
        <v>3.0053099999999899</v>
      </c>
      <c r="T2328">
        <v>-0.1259537</v>
      </c>
      <c r="U2328">
        <v>0.23336789999999999</v>
      </c>
      <c r="V2328">
        <v>-5.316953E-2</v>
      </c>
      <c r="W2328">
        <v>7.3330160000000005E-2</v>
      </c>
      <c r="X2328">
        <v>0.99588940000000004</v>
      </c>
      <c r="Y2328">
        <v>-7.9318390000000003E-2</v>
      </c>
      <c r="Z2328">
        <v>1.741591E-3</v>
      </c>
      <c r="AA2328">
        <v>0.99684779999999995</v>
      </c>
      <c r="AB2328">
        <v>25</v>
      </c>
      <c r="AC2328">
        <v>26.085599999999999</v>
      </c>
      <c r="AD2328">
        <v>-1.1042936351979999</v>
      </c>
      <c r="AE2328">
        <v>2.0460999999999898</v>
      </c>
      <c r="AF2328">
        <v>-2.0939273679799002</v>
      </c>
      <c r="AG2328">
        <v>-1.1042936351979999</v>
      </c>
      <c r="AH2328">
        <v>26.0351318920432</v>
      </c>
      <c r="AI2328">
        <v>92.420966369976497</v>
      </c>
      <c r="AJ2328">
        <v>94.598229745141097</v>
      </c>
      <c r="AK2328">
        <v>26.142534094674101</v>
      </c>
    </row>
    <row r="2329" spans="1:37" x14ac:dyDescent="0.2">
      <c r="A2329" t="str">
        <f>"20200111160159371"</f>
        <v>20200111160159371</v>
      </c>
      <c r="B2329" t="str">
        <f>"1578729719363847"</f>
        <v>1578729719363847</v>
      </c>
      <c r="C2329" t="s">
        <v>37</v>
      </c>
      <c r="D2329">
        <v>5.4492929999999999</v>
      </c>
      <c r="E2329">
        <v>0.49087799999999998</v>
      </c>
      <c r="F2329" t="s">
        <v>57</v>
      </c>
      <c r="G2329">
        <v>-395.27940000000001</v>
      </c>
      <c r="H2329" s="1">
        <v>1.2726370000000001E-6</v>
      </c>
      <c r="I2329">
        <v>215.97579999999999</v>
      </c>
      <c r="J2329">
        <v>-423.17959999999999</v>
      </c>
      <c r="K2329">
        <v>1.1043369999999999</v>
      </c>
      <c r="L2329">
        <v>213.70920000000001</v>
      </c>
      <c r="M2329">
        <v>0.99997049999999998</v>
      </c>
      <c r="N2329">
        <v>0</v>
      </c>
      <c r="O2329">
        <v>-1.6342729999999899E-3</v>
      </c>
      <c r="P2329">
        <v>0.99606289999999997</v>
      </c>
      <c r="Q2329">
        <v>7.0228460000000006E-2</v>
      </c>
      <c r="R2329">
        <v>5.4101620000000003E-2</v>
      </c>
      <c r="S2329">
        <v>3.0058289999999999</v>
      </c>
      <c r="T2329">
        <v>-0.117965899999999</v>
      </c>
      <c r="U2329">
        <v>0.24212649999999999</v>
      </c>
      <c r="V2329">
        <v>-5.5780370000000003E-2</v>
      </c>
      <c r="W2329">
        <v>7.7666020000000002E-2</v>
      </c>
      <c r="X2329">
        <v>0.99541780000000002</v>
      </c>
      <c r="Y2329">
        <v>-8.1857319999999997E-2</v>
      </c>
      <c r="Z2329">
        <v>1.6670770000000001E-3</v>
      </c>
      <c r="AA2329">
        <v>0.99664259999999905</v>
      </c>
      <c r="AB2329">
        <v>25</v>
      </c>
      <c r="AC2329">
        <v>27.900199999999899</v>
      </c>
      <c r="AD2329">
        <v>-1.1043357273629999</v>
      </c>
      <c r="AE2329">
        <v>2.26659999999998</v>
      </c>
      <c r="AF2329">
        <v>-2.3086016144196799</v>
      </c>
      <c r="AG2329">
        <v>-1.1043357273629999</v>
      </c>
      <c r="AH2329">
        <v>27.853106865773299</v>
      </c>
      <c r="AI2329">
        <v>92.262755158109897</v>
      </c>
      <c r="AJ2329">
        <v>94.738123862174305</v>
      </c>
      <c r="AK2329">
        <v>27.970426541063301</v>
      </c>
    </row>
    <row r="2330" spans="1:37" x14ac:dyDescent="0.2">
      <c r="A2330" t="str">
        <f>"20200111160159393"</f>
        <v>20200111160159393</v>
      </c>
      <c r="B2330" t="str">
        <f>"1578729719384343"</f>
        <v>1578729719384343</v>
      </c>
      <c r="C2330" t="s">
        <v>37</v>
      </c>
      <c r="D2330">
        <v>5.4373899999999997</v>
      </c>
      <c r="E2330">
        <v>0.49099480000000001</v>
      </c>
      <c r="F2330" t="s">
        <v>57</v>
      </c>
      <c r="G2330">
        <v>-393.05110000000002</v>
      </c>
      <c r="H2330" s="1">
        <v>8.6834160000000007E-8</v>
      </c>
      <c r="I2330">
        <v>216.22219999999999</v>
      </c>
      <c r="J2330">
        <v>-422.93979999999999</v>
      </c>
      <c r="K2330">
        <v>1.1043540000000001</v>
      </c>
      <c r="L2330">
        <v>213.70920000000001</v>
      </c>
      <c r="M2330">
        <v>0.9999709</v>
      </c>
      <c r="N2330">
        <v>0</v>
      </c>
      <c r="O2330">
        <v>-1.2656339999999901E-3</v>
      </c>
      <c r="P2330">
        <v>0.99582299999999901</v>
      </c>
      <c r="Q2330">
        <v>7.1776129999999994E-2</v>
      </c>
      <c r="R2330">
        <v>5.6432860000000001E-2</v>
      </c>
      <c r="S2330">
        <v>3.0060119999999899</v>
      </c>
      <c r="T2330">
        <v>-0.1101829</v>
      </c>
      <c r="U2330">
        <v>0.25073240000000002</v>
      </c>
      <c r="V2330">
        <v>-5.7748149999999998E-2</v>
      </c>
      <c r="W2330">
        <v>7.9230460000000003E-2</v>
      </c>
      <c r="X2330">
        <v>0.99518220000000002</v>
      </c>
      <c r="Y2330">
        <v>-8.4325810000000001E-2</v>
      </c>
      <c r="Z2330">
        <v>1.5885489999999901E-3</v>
      </c>
      <c r="AA2330">
        <v>0.99643700000000002</v>
      </c>
      <c r="AB2330">
        <v>25</v>
      </c>
      <c r="AC2330">
        <v>29.888699999999901</v>
      </c>
      <c r="AD2330">
        <v>-1.10435391316584</v>
      </c>
      <c r="AE2330">
        <v>2.5129999999999701</v>
      </c>
      <c r="AF2330">
        <v>-2.5473739002124098</v>
      </c>
      <c r="AG2330">
        <v>-1.10435391316584</v>
      </c>
      <c r="AH2330">
        <v>29.845036418363399</v>
      </c>
      <c r="AI2330">
        <v>92.1114748031397</v>
      </c>
      <c r="AJ2330">
        <v>94.878562674635702</v>
      </c>
      <c r="AK2330">
        <v>29.973903819263299</v>
      </c>
    </row>
    <row r="2331" spans="1:37" x14ac:dyDescent="0.2">
      <c r="A2331" t="str">
        <f>"20200111160159415"</f>
        <v>20200111160159415</v>
      </c>
      <c r="B2331" t="str">
        <f>"1578729719404839"</f>
        <v>1578729719404839</v>
      </c>
      <c r="C2331" t="s">
        <v>37</v>
      </c>
      <c r="D2331">
        <v>5.4287739999999998</v>
      </c>
      <c r="E2331">
        <v>0.49122299999999902</v>
      </c>
      <c r="F2331" t="s">
        <v>57</v>
      </c>
      <c r="G2331">
        <v>-393.03660000000002</v>
      </c>
      <c r="H2331" s="1">
        <v>7.9118989999999999E-8</v>
      </c>
      <c r="I2331">
        <v>216.26150000000001</v>
      </c>
      <c r="J2331">
        <v>-422.6832</v>
      </c>
      <c r="K2331">
        <v>1.104358</v>
      </c>
      <c r="L2331">
        <v>213.70939999999999</v>
      </c>
      <c r="M2331">
        <v>0.99997130000000001</v>
      </c>
      <c r="N2331">
        <v>0</v>
      </c>
      <c r="O2331">
        <v>-8.5417659999999999E-4</v>
      </c>
      <c r="P2331">
        <v>0.99568780000000001</v>
      </c>
      <c r="Q2331">
        <v>7.112773E-2</v>
      </c>
      <c r="R2331">
        <v>5.9555440000000001E-2</v>
      </c>
      <c r="S2331">
        <v>3.00607299999999</v>
      </c>
      <c r="T2331">
        <v>-0.111017</v>
      </c>
      <c r="U2331">
        <v>0.25657649999999999</v>
      </c>
      <c r="V2331">
        <v>-6.0460590000000002E-2</v>
      </c>
      <c r="W2331">
        <v>7.8601099999999993E-2</v>
      </c>
      <c r="X2331">
        <v>0.99507109999999999</v>
      </c>
      <c r="Y2331">
        <v>-8.5835919999999996E-2</v>
      </c>
      <c r="Z2331">
        <v>1.6130649999999999E-3</v>
      </c>
      <c r="AA2331">
        <v>0.99630799999999997</v>
      </c>
      <c r="AB2331">
        <v>25</v>
      </c>
      <c r="AC2331">
        <v>29.6465999999999</v>
      </c>
      <c r="AD2331">
        <v>-1.1043579208810099</v>
      </c>
      <c r="AE2331">
        <v>2.5521000000000198</v>
      </c>
      <c r="AF2331">
        <v>-2.57387793145252</v>
      </c>
      <c r="AG2331">
        <v>-1.1043579208810099</v>
      </c>
      <c r="AH2331">
        <v>29.603632817379498</v>
      </c>
      <c r="AI2331">
        <v>92.128395436691406</v>
      </c>
      <c r="AJ2331">
        <v>94.969066471803998</v>
      </c>
      <c r="AK2331">
        <v>29.735829062086999</v>
      </c>
    </row>
    <row r="2332" spans="1:37" x14ac:dyDescent="0.2">
      <c r="A2332" t="str">
        <f>"20200111160159438"</f>
        <v>20200111160159438</v>
      </c>
      <c r="B2332" t="str">
        <f>"1578729719434119"</f>
        <v>1578729719434119</v>
      </c>
      <c r="C2332" t="s">
        <v>37</v>
      </c>
      <c r="D2332">
        <v>5.4685739999999896</v>
      </c>
      <c r="E2332">
        <v>0.49147970000000002</v>
      </c>
      <c r="F2332" t="s">
        <v>57</v>
      </c>
      <c r="G2332">
        <v>-394.83569999999997</v>
      </c>
      <c r="H2332" s="1">
        <v>1.0365430000000001E-6</v>
      </c>
      <c r="I2332">
        <v>216.15559999999999</v>
      </c>
      <c r="J2332">
        <v>-422.43470000000002</v>
      </c>
      <c r="K2332">
        <v>1.104344</v>
      </c>
      <c r="L2332">
        <v>213.70959999999999</v>
      </c>
      <c r="M2332">
        <v>0.99997130000000001</v>
      </c>
      <c r="N2332">
        <v>0</v>
      </c>
      <c r="O2332">
        <v>-4.488556E-4</v>
      </c>
      <c r="P2332">
        <v>0.99568780000000001</v>
      </c>
      <c r="Q2332">
        <v>6.8403030000000004E-2</v>
      </c>
      <c r="R2332">
        <v>6.266621E-2</v>
      </c>
      <c r="S2332">
        <v>3.0057070000000001</v>
      </c>
      <c r="T2332">
        <v>-0.119198499999999</v>
      </c>
      <c r="U2332">
        <v>0.2640381</v>
      </c>
      <c r="V2332">
        <v>-6.3165390000000002E-2</v>
      </c>
      <c r="W2332">
        <v>7.5894080000000003E-2</v>
      </c>
      <c r="X2332">
        <v>0.99511319999999903</v>
      </c>
      <c r="Y2332">
        <v>-8.7886829999999999E-2</v>
      </c>
      <c r="Z2332">
        <v>1.7564129999999901E-3</v>
      </c>
      <c r="AA2332">
        <v>0.99612889999999998</v>
      </c>
      <c r="AB2332">
        <v>25</v>
      </c>
      <c r="AC2332">
        <v>27.599</v>
      </c>
      <c r="AD2332">
        <v>-1.1043429634569999</v>
      </c>
      <c r="AE2332">
        <v>2.44599999999999</v>
      </c>
      <c r="AF2332">
        <v>-2.4544887938017999</v>
      </c>
      <c r="AG2332">
        <v>-1.1043429634569999</v>
      </c>
      <c r="AH2332">
        <v>27.554125917409099</v>
      </c>
      <c r="AI2332">
        <v>92.286089038741807</v>
      </c>
      <c r="AJ2332">
        <v>95.090404148391102</v>
      </c>
      <c r="AK2332">
        <v>27.685265823037899</v>
      </c>
    </row>
    <row r="2333" spans="1:37" x14ac:dyDescent="0.2">
      <c r="A2333" t="str">
        <f>"20200111160159459"</f>
        <v>20200111160159459</v>
      </c>
      <c r="B2333" t="str">
        <f>"1578729719453639"</f>
        <v>1578729719453639</v>
      </c>
      <c r="C2333" t="s">
        <v>37</v>
      </c>
      <c r="D2333">
        <v>5.5857830000000002</v>
      </c>
      <c r="E2333">
        <v>0.4916528</v>
      </c>
      <c r="F2333" t="s">
        <v>57</v>
      </c>
      <c r="G2333">
        <v>-398.1148</v>
      </c>
      <c r="H2333" s="1">
        <v>2.7814959999999999E-6</v>
      </c>
      <c r="I2333">
        <v>215.90270000000001</v>
      </c>
      <c r="J2333">
        <v>-422.18709999999999</v>
      </c>
      <c r="K2333">
        <v>1.1043259999999999</v>
      </c>
      <c r="L2333">
        <v>213.7099</v>
      </c>
      <c r="M2333">
        <v>0.99997130000000001</v>
      </c>
      <c r="N2333">
        <v>0</v>
      </c>
      <c r="O2333" s="1">
        <v>-4.7008039999999997E-5</v>
      </c>
      <c r="P2333">
        <v>0.99568919999999905</v>
      </c>
      <c r="Q2333">
        <v>6.5914E-2</v>
      </c>
      <c r="R2333">
        <v>6.5259780000000003E-2</v>
      </c>
      <c r="S2333">
        <v>3.0053099999999899</v>
      </c>
      <c r="T2333">
        <v>-0.13646820000000001</v>
      </c>
      <c r="U2333">
        <v>0.27101140000000001</v>
      </c>
      <c r="V2333">
        <v>-6.5355849999999993E-2</v>
      </c>
      <c r="W2333">
        <v>7.3422420000000002E-2</v>
      </c>
      <c r="X2333">
        <v>0.99515719999999996</v>
      </c>
      <c r="Y2333">
        <v>-8.9768089999999995E-2</v>
      </c>
      <c r="Z2333">
        <v>2.035102E-3</v>
      </c>
      <c r="AA2333">
        <v>0.99596059999999997</v>
      </c>
      <c r="AB2333">
        <v>25</v>
      </c>
      <c r="AC2333">
        <v>24.072299999999899</v>
      </c>
      <c r="AD2333">
        <v>-1.1043232185039999</v>
      </c>
      <c r="AE2333">
        <v>2.1928000000000001</v>
      </c>
      <c r="AF2333">
        <v>-2.1893619397099702</v>
      </c>
      <c r="AG2333">
        <v>-1.1043232185039999</v>
      </c>
      <c r="AH2333">
        <v>24.022057550779699</v>
      </c>
      <c r="AI2333">
        <v>92.621254683367496</v>
      </c>
      <c r="AJ2333">
        <v>95.207530471421407</v>
      </c>
      <c r="AK2333">
        <v>24.146885605538301</v>
      </c>
    </row>
    <row r="2334" spans="1:37" x14ac:dyDescent="0.2">
      <c r="A2334" t="str">
        <f>"20200111160159483"</f>
        <v>20200111160159483</v>
      </c>
      <c r="B2334" t="str">
        <f>"1578729719474135"</f>
        <v>1578729719474135</v>
      </c>
      <c r="C2334" t="s">
        <v>37</v>
      </c>
      <c r="D2334">
        <v>5.4574239999999996</v>
      </c>
      <c r="E2334">
        <v>0.4919309</v>
      </c>
      <c r="F2334" t="s">
        <v>60</v>
      </c>
      <c r="G2334">
        <v>-399.99799999999999</v>
      </c>
      <c r="H2334" s="1">
        <v>8.1672019999999907E-6</v>
      </c>
      <c r="I2334">
        <v>215.75819999999999</v>
      </c>
      <c r="J2334">
        <v>-421.91800000000001</v>
      </c>
      <c r="K2334">
        <v>1.104309</v>
      </c>
      <c r="L2334">
        <v>213.71039999999999</v>
      </c>
      <c r="M2334">
        <v>0.99997119999999995</v>
      </c>
      <c r="N2334">
        <v>0</v>
      </c>
      <c r="O2334">
        <v>3.8189890000000002E-4</v>
      </c>
      <c r="P2334">
        <v>0.99578750000000005</v>
      </c>
      <c r="Q2334">
        <v>6.3150199999999906E-2</v>
      </c>
      <c r="R2334">
        <v>6.6479739999999996E-2</v>
      </c>
      <c r="S2334">
        <v>3.0046689999999998</v>
      </c>
      <c r="T2334">
        <v>-0.1495377</v>
      </c>
      <c r="U2334">
        <v>0.27735900000000002</v>
      </c>
      <c r="V2334">
        <v>-6.6145770000000007E-2</v>
      </c>
      <c r="W2334">
        <v>7.0677260000000006E-2</v>
      </c>
      <c r="X2334">
        <v>0.99530370000000001</v>
      </c>
      <c r="Y2334">
        <v>-9.1426499999999994E-2</v>
      </c>
      <c r="Z2334">
        <v>2.2499009999999999E-3</v>
      </c>
      <c r="AA2334">
        <v>0.99580930000000001</v>
      </c>
      <c r="AB2334">
        <v>25</v>
      </c>
      <c r="AC2334">
        <v>21.919999999999899</v>
      </c>
      <c r="AD2334">
        <v>-1.104300832798</v>
      </c>
      <c r="AE2334">
        <v>2.0477999999999899</v>
      </c>
      <c r="AF2334">
        <v>-2.0343099544053298</v>
      </c>
      <c r="AG2334">
        <v>-1.104300832798</v>
      </c>
      <c r="AH2334">
        <v>21.865765050407202</v>
      </c>
      <c r="AI2334">
        <v>92.878778158780605</v>
      </c>
      <c r="AJ2334">
        <v>95.3152868352431</v>
      </c>
      <c r="AK2334">
        <v>21.9879416626368</v>
      </c>
    </row>
    <row r="2335" spans="1:37" x14ac:dyDescent="0.2">
      <c r="A2335" t="str">
        <f>"20200111160159503"</f>
        <v>20200111160159503</v>
      </c>
      <c r="B2335" t="str">
        <f>"1578729719493655"</f>
        <v>1578729719493655</v>
      </c>
      <c r="C2335" t="s">
        <v>37</v>
      </c>
      <c r="D2335">
        <v>5.6009729999999998</v>
      </c>
      <c r="E2335">
        <v>0.49213390000000001</v>
      </c>
      <c r="F2335" t="s">
        <v>60</v>
      </c>
      <c r="G2335">
        <v>-401.5813</v>
      </c>
      <c r="H2335" s="1">
        <v>7.4979099999999997E-6</v>
      </c>
      <c r="I2335">
        <v>215.5992</v>
      </c>
      <c r="J2335">
        <v>-421.67669999999998</v>
      </c>
      <c r="K2335">
        <v>1.1042920000000001</v>
      </c>
      <c r="L2335">
        <v>213.71090000000001</v>
      </c>
      <c r="M2335">
        <v>0.99997080000000005</v>
      </c>
      <c r="N2335">
        <v>0</v>
      </c>
      <c r="O2335">
        <v>7.5814899999999995E-4</v>
      </c>
      <c r="P2335">
        <v>0.99587829999999999</v>
      </c>
      <c r="Q2335">
        <v>6.1356590000000003E-2</v>
      </c>
      <c r="R2335">
        <v>6.6799639999999993E-2</v>
      </c>
      <c r="S2335">
        <v>3.0044559999999998</v>
      </c>
      <c r="T2335">
        <v>-0.16314489999999901</v>
      </c>
      <c r="U2335">
        <v>0.27903749999999999</v>
      </c>
      <c r="V2335">
        <v>-6.6088530000000006E-2</v>
      </c>
      <c r="W2335">
        <v>6.8898719999999997E-2</v>
      </c>
      <c r="X2335">
        <v>0.99543219999999999</v>
      </c>
      <c r="Y2335">
        <v>-9.1588950000000002E-2</v>
      </c>
      <c r="Z2335">
        <v>2.4384810000000002E-3</v>
      </c>
      <c r="AA2335">
        <v>0.99579390000000001</v>
      </c>
      <c r="AB2335">
        <v>25</v>
      </c>
      <c r="AC2335">
        <v>20.095399999999898</v>
      </c>
      <c r="AD2335">
        <v>-1.1042845020899901</v>
      </c>
      <c r="AE2335">
        <v>1.8882999999999801</v>
      </c>
      <c r="AF2335">
        <v>-1.86747379342843</v>
      </c>
      <c r="AG2335">
        <v>-1.1042845020899901</v>
      </c>
      <c r="AH2335">
        <v>20.0368495057721</v>
      </c>
      <c r="AI2335">
        <v>93.140947597411397</v>
      </c>
      <c r="AJ2335">
        <v>95.324697074414104</v>
      </c>
      <c r="AK2335">
        <v>20.1539634004743</v>
      </c>
    </row>
    <row r="2336" spans="1:37" x14ac:dyDescent="0.2">
      <c r="A2336" t="str">
        <f>"20200111160159529"</f>
        <v>20200111160159529</v>
      </c>
      <c r="B2336" t="str">
        <f>"1578729719524417"</f>
        <v>1578729719524417</v>
      </c>
      <c r="C2336" t="s">
        <v>37</v>
      </c>
      <c r="D2336">
        <v>5.4375900000000001</v>
      </c>
      <c r="E2336">
        <v>0.49262650000000002</v>
      </c>
      <c r="F2336" t="s">
        <v>60</v>
      </c>
      <c r="G2336">
        <v>-402.5847</v>
      </c>
      <c r="H2336" s="1">
        <v>7.0766049999999996E-6</v>
      </c>
      <c r="I2336">
        <v>215.4846</v>
      </c>
      <c r="J2336">
        <v>-421.39659999999998</v>
      </c>
      <c r="K2336">
        <v>1.104277</v>
      </c>
      <c r="L2336">
        <v>213.7116</v>
      </c>
      <c r="M2336">
        <v>0.99997029999999998</v>
      </c>
      <c r="N2336">
        <v>0</v>
      </c>
      <c r="O2336">
        <v>1.186917E-3</v>
      </c>
      <c r="P2336">
        <v>0.99605069999999996</v>
      </c>
      <c r="Q2336">
        <v>5.9747670000000003E-2</v>
      </c>
      <c r="R2336">
        <v>6.5677970000000002E-2</v>
      </c>
      <c r="S2336">
        <v>3.0043950000000001</v>
      </c>
      <c r="T2336">
        <v>-0.17377529999999999</v>
      </c>
      <c r="U2336">
        <v>0.27911379999999902</v>
      </c>
      <c r="V2336">
        <v>-6.4538590000000007E-2</v>
      </c>
      <c r="W2336">
        <v>6.7308350000000003E-2</v>
      </c>
      <c r="X2336">
        <v>0.99564269999999999</v>
      </c>
      <c r="Y2336">
        <v>-9.1172470000000005E-2</v>
      </c>
      <c r="Z2336">
        <v>2.5604289999999999E-3</v>
      </c>
      <c r="AA2336">
        <v>0.99583180000000004</v>
      </c>
      <c r="AB2336">
        <v>25</v>
      </c>
      <c r="AC2336">
        <v>18.811899999999898</v>
      </c>
      <c r="AD2336">
        <v>-1.104269923395</v>
      </c>
      <c r="AE2336">
        <v>1.7729999999999899</v>
      </c>
      <c r="AF2336">
        <v>-1.74471101456671</v>
      </c>
      <c r="AG2336">
        <v>-1.104269923395</v>
      </c>
      <c r="AH2336">
        <v>18.749952205906599</v>
      </c>
      <c r="AI2336">
        <v>93.356050919045799</v>
      </c>
      <c r="AJ2336">
        <v>95.316149560933098</v>
      </c>
      <c r="AK2336">
        <v>18.863301309999901</v>
      </c>
    </row>
    <row r="2337" spans="1:37" x14ac:dyDescent="0.2">
      <c r="A2337" t="str">
        <f>"20200111160159551"</f>
        <v>20200111160159551</v>
      </c>
      <c r="B2337" t="str">
        <f>"1578729719543938"</f>
        <v>1578729719543938</v>
      </c>
      <c r="C2337" t="s">
        <v>37</v>
      </c>
      <c r="D2337">
        <v>5.3876089999999897</v>
      </c>
      <c r="E2337">
        <v>0.49277089999999901</v>
      </c>
      <c r="F2337" t="s">
        <v>60</v>
      </c>
      <c r="G2337">
        <v>-403.46600000000001</v>
      </c>
      <c r="H2337" s="1">
        <v>6.7166729999999999E-6</v>
      </c>
      <c r="I2337">
        <v>215.33519999999999</v>
      </c>
      <c r="J2337">
        <v>-421.13889999999998</v>
      </c>
      <c r="K2337">
        <v>1.1042620000000001</v>
      </c>
      <c r="L2337">
        <v>213.7123</v>
      </c>
      <c r="M2337">
        <v>0.99996949999999996</v>
      </c>
      <c r="N2337">
        <v>0</v>
      </c>
      <c r="O2337">
        <v>1.57601299999999E-3</v>
      </c>
      <c r="P2337">
        <v>0.99629049999999997</v>
      </c>
      <c r="Q2337">
        <v>5.7537699999999997E-2</v>
      </c>
      <c r="R2337">
        <v>6.399022E-2</v>
      </c>
      <c r="S2337">
        <v>3.0050659999999998</v>
      </c>
      <c r="T2337">
        <v>-0.18506900000000001</v>
      </c>
      <c r="U2337">
        <v>0.27211000000000002</v>
      </c>
      <c r="V2337">
        <v>-6.2460990000000001E-2</v>
      </c>
      <c r="W2337">
        <v>6.5114480000000002E-2</v>
      </c>
      <c r="X2337">
        <v>0.99592099999999995</v>
      </c>
      <c r="Y2337">
        <v>-8.8448479999999996E-2</v>
      </c>
      <c r="Z2337">
        <v>2.6186909999999998E-3</v>
      </c>
      <c r="AA2337">
        <v>0.99607730000000005</v>
      </c>
      <c r="AB2337">
        <v>26</v>
      </c>
      <c r="AC2337">
        <v>17.672899999999899</v>
      </c>
      <c r="AD2337">
        <v>-1.1042552833270001</v>
      </c>
      <c r="AE2337">
        <v>1.62289999999998</v>
      </c>
      <c r="AF2337">
        <v>-1.58889309024199</v>
      </c>
      <c r="AG2337">
        <v>-1.1042552833270001</v>
      </c>
      <c r="AH2337">
        <v>17.607269741364501</v>
      </c>
      <c r="AI2337">
        <v>93.574169118376801</v>
      </c>
      <c r="AJ2337">
        <v>95.156446947985401</v>
      </c>
      <c r="AK2337">
        <v>17.713269284018299</v>
      </c>
    </row>
    <row r="2338" spans="1:37" x14ac:dyDescent="0.2">
      <c r="A2338" t="str">
        <f>"20200111160159572"</f>
        <v>20200111160159572</v>
      </c>
      <c r="B2338" t="str">
        <f>"1578729719564435"</f>
        <v>1578729719564435</v>
      </c>
      <c r="C2338" t="s">
        <v>37</v>
      </c>
      <c r="D2338">
        <v>5.3812689999999996</v>
      </c>
      <c r="E2338">
        <v>0.49288509999999902</v>
      </c>
      <c r="F2338" t="s">
        <v>60</v>
      </c>
      <c r="G2338">
        <v>-404.08409999999998</v>
      </c>
      <c r="H2338" s="1">
        <v>6.4662049999999902E-6</v>
      </c>
      <c r="I2338">
        <v>215.2209</v>
      </c>
      <c r="J2338">
        <v>-420.8972</v>
      </c>
      <c r="K2338">
        <v>1.1042449999999999</v>
      </c>
      <c r="L2338">
        <v>213.7131</v>
      </c>
      <c r="M2338">
        <v>0.99996890000000005</v>
      </c>
      <c r="N2338">
        <v>0</v>
      </c>
      <c r="O2338">
        <v>1.938775E-3</v>
      </c>
      <c r="P2338">
        <v>0.99659599999999904</v>
      </c>
      <c r="Q2338">
        <v>5.5195470000000003E-2</v>
      </c>
      <c r="R2338">
        <v>6.1238960000000002E-2</v>
      </c>
      <c r="S2338">
        <v>3.0053709999999998</v>
      </c>
      <c r="T2338">
        <v>-0.1945904</v>
      </c>
      <c r="U2338">
        <v>0.26583859999999998</v>
      </c>
      <c r="V2338">
        <v>-5.934619E-2</v>
      </c>
      <c r="W2338">
        <v>6.2788469999999999E-2</v>
      </c>
      <c r="X2338">
        <v>0.99626079999999995</v>
      </c>
      <c r="Y2338">
        <v>-8.6004399999999995E-2</v>
      </c>
      <c r="Z2338">
        <v>2.6508159999999998E-3</v>
      </c>
      <c r="AA2338">
        <v>0.99629120000000004</v>
      </c>
      <c r="AB2338">
        <v>26</v>
      </c>
      <c r="AC2338">
        <v>16.813099999999999</v>
      </c>
      <c r="AD2338">
        <v>-1.104238533795</v>
      </c>
      <c r="AE2338">
        <v>1.5078</v>
      </c>
      <c r="AF2338">
        <v>-1.46891378223277</v>
      </c>
      <c r="AG2338">
        <v>-1.104238533795</v>
      </c>
      <c r="AH2338">
        <v>16.7443412372232</v>
      </c>
      <c r="AI2338">
        <v>93.758626064338699</v>
      </c>
      <c r="AJ2338">
        <v>95.013493795996098</v>
      </c>
      <c r="AK2338">
        <v>16.844880940740499</v>
      </c>
    </row>
    <row r="2339" spans="1:37" x14ac:dyDescent="0.2">
      <c r="A2339" t="str">
        <f>"20200111160159594"</f>
        <v>20200111160159594</v>
      </c>
      <c r="B2339" t="str">
        <f>"1578729719583954"</f>
        <v>1578729719583954</v>
      </c>
      <c r="C2339" t="s">
        <v>37</v>
      </c>
      <c r="D2339">
        <v>5.3587449999999999</v>
      </c>
      <c r="E2339">
        <v>0.49299499999999902</v>
      </c>
      <c r="F2339" t="s">
        <v>60</v>
      </c>
      <c r="G2339">
        <v>-404.61419999999998</v>
      </c>
      <c r="H2339" s="1">
        <v>6.2554549999999999E-6</v>
      </c>
      <c r="I2339">
        <v>215.10319999999999</v>
      </c>
      <c r="J2339">
        <v>-420.64499999999998</v>
      </c>
      <c r="K2339">
        <v>1.1042369999999999</v>
      </c>
      <c r="L2339">
        <v>213.714</v>
      </c>
      <c r="M2339">
        <v>0.99996799999999997</v>
      </c>
      <c r="N2339">
        <v>0</v>
      </c>
      <c r="O2339">
        <v>2.3171559999999999E-3</v>
      </c>
      <c r="P2339">
        <v>0.99687510000000001</v>
      </c>
      <c r="Q2339">
        <v>5.2632190000000002E-2</v>
      </c>
      <c r="R2339">
        <v>5.8909070000000001E-2</v>
      </c>
      <c r="S2339">
        <v>3.005798</v>
      </c>
      <c r="T2339">
        <v>-0.2038391</v>
      </c>
      <c r="U2339">
        <v>0.25660709999999998</v>
      </c>
      <c r="V2339">
        <v>-5.6636619999999999E-2</v>
      </c>
      <c r="W2339">
        <v>6.024032E-2</v>
      </c>
      <c r="X2339">
        <v>0.99657580000000001</v>
      </c>
      <c r="Y2339">
        <v>-8.2569260000000005E-2</v>
      </c>
      <c r="Z2339">
        <v>2.6347839999999998E-3</v>
      </c>
      <c r="AA2339">
        <v>0.99658189999999902</v>
      </c>
      <c r="AB2339">
        <v>26</v>
      </c>
      <c r="AC2339">
        <v>16.030799999999999</v>
      </c>
      <c r="AD2339">
        <v>-1.1042307445449999</v>
      </c>
      <c r="AE2339">
        <v>1.38919999999995</v>
      </c>
      <c r="AF2339">
        <v>-1.34571190174848</v>
      </c>
      <c r="AG2339">
        <v>-1.1042307445449999</v>
      </c>
      <c r="AH2339">
        <v>15.9588205329977</v>
      </c>
      <c r="AI2339">
        <v>93.944176454549407</v>
      </c>
      <c r="AJ2339">
        <v>94.820007752635206</v>
      </c>
      <c r="AK2339">
        <v>16.0534799611839</v>
      </c>
    </row>
    <row r="2340" spans="1:37" x14ac:dyDescent="0.2">
      <c r="A2340" t="str">
        <f>"20200111160159617"</f>
        <v>20200111160159617</v>
      </c>
      <c r="B2340" t="str">
        <f>"1578729719613741"</f>
        <v>1578729719613741</v>
      </c>
      <c r="C2340" t="s">
        <v>37</v>
      </c>
      <c r="D2340">
        <v>6.1033949999999999</v>
      </c>
      <c r="E2340">
        <v>0.49303760000000002</v>
      </c>
      <c r="F2340" t="s">
        <v>60</v>
      </c>
      <c r="G2340">
        <v>-405.08479999999997</v>
      </c>
      <c r="H2340" s="1">
        <v>6.0681489999999901E-6</v>
      </c>
      <c r="I2340">
        <v>214.99959999999999</v>
      </c>
      <c r="J2340">
        <v>-420.37889999999999</v>
      </c>
      <c r="K2340">
        <v>1.104244</v>
      </c>
      <c r="L2340">
        <v>213.71510000000001</v>
      </c>
      <c r="M2340">
        <v>0.99996689999999999</v>
      </c>
      <c r="N2340">
        <v>0</v>
      </c>
      <c r="O2340">
        <v>2.7168169999999998E-3</v>
      </c>
      <c r="P2340">
        <v>0.99705549999999998</v>
      </c>
      <c r="Q2340">
        <v>5.1511840000000003E-2</v>
      </c>
      <c r="R2340">
        <v>5.6805120000000001E-2</v>
      </c>
      <c r="S2340">
        <v>3.0059809999999998</v>
      </c>
      <c r="T2340">
        <v>-0.2133206</v>
      </c>
      <c r="U2340">
        <v>0.24835209999999999</v>
      </c>
      <c r="V2340">
        <v>-5.4132850000000003E-2</v>
      </c>
      <c r="W2340">
        <v>5.913413E-2</v>
      </c>
      <c r="X2340">
        <v>0.99678120000000003</v>
      </c>
      <c r="Y2340">
        <v>-7.9439159999999995E-2</v>
      </c>
      <c r="Z2340">
        <v>2.6181729999999901E-3</v>
      </c>
      <c r="AA2340">
        <v>0.99683630000000001</v>
      </c>
      <c r="AB2340">
        <v>26</v>
      </c>
      <c r="AC2340">
        <v>15.2941</v>
      </c>
      <c r="AD2340">
        <v>-1.1042379318510001</v>
      </c>
      <c r="AE2340">
        <v>1.28449999999998</v>
      </c>
      <c r="AF2340">
        <v>-1.23654197476989</v>
      </c>
      <c r="AG2340">
        <v>-1.1042379318510001</v>
      </c>
      <c r="AH2340">
        <v>15.2187555865249</v>
      </c>
      <c r="AI2340">
        <v>94.136393880747306</v>
      </c>
      <c r="AJ2340">
        <v>94.645146059894202</v>
      </c>
      <c r="AK2340">
        <v>15.308785029122699</v>
      </c>
    </row>
    <row r="2341" spans="1:37" x14ac:dyDescent="0.2">
      <c r="A2341" t="str">
        <f>"20200111160159639"</f>
        <v>20200111160159639</v>
      </c>
      <c r="B2341" t="str">
        <f>"1578729719634237"</f>
        <v>1578729719634237</v>
      </c>
      <c r="C2341" t="s">
        <v>37</v>
      </c>
      <c r="D2341">
        <v>5.8575359999999996</v>
      </c>
      <c r="E2341">
        <v>0.49382619999999999</v>
      </c>
      <c r="F2341" t="s">
        <v>60</v>
      </c>
      <c r="G2341">
        <v>-405.13529999999997</v>
      </c>
      <c r="H2341" s="1">
        <v>6.0575540000000002E-6</v>
      </c>
      <c r="I2341">
        <v>214.9425</v>
      </c>
      <c r="J2341">
        <v>-420.13330000000002</v>
      </c>
      <c r="K2341">
        <v>1.10425</v>
      </c>
      <c r="L2341">
        <v>213.71610000000001</v>
      </c>
      <c r="M2341">
        <v>0.99996580000000002</v>
      </c>
      <c r="N2341">
        <v>0</v>
      </c>
      <c r="O2341">
        <v>3.0860879999999999E-3</v>
      </c>
      <c r="P2341">
        <v>0.99707730000000006</v>
      </c>
      <c r="Q2341">
        <v>5.2204979999999998E-2</v>
      </c>
      <c r="R2341">
        <v>5.578313E-2</v>
      </c>
      <c r="S2341">
        <v>3.006348</v>
      </c>
      <c r="T2341">
        <v>-0.2177781</v>
      </c>
      <c r="U2341">
        <v>0.24208070000000001</v>
      </c>
      <c r="V2341">
        <v>-5.2742700000000003E-2</v>
      </c>
      <c r="W2341">
        <v>5.983811E-2</v>
      </c>
      <c r="X2341">
        <v>0.99681369999999903</v>
      </c>
      <c r="Y2341">
        <v>-7.6994380000000001E-2</v>
      </c>
      <c r="Z2341">
        <v>2.557681E-3</v>
      </c>
      <c r="AA2341">
        <v>0.99702819999999903</v>
      </c>
      <c r="AB2341">
        <v>26</v>
      </c>
      <c r="AC2341">
        <v>14.997999999999999</v>
      </c>
      <c r="AD2341">
        <v>-1.104243942446</v>
      </c>
      <c r="AE2341">
        <v>1.22639999999998</v>
      </c>
      <c r="AF2341">
        <v>-1.1737870473821701</v>
      </c>
      <c r="AG2341">
        <v>-1.104243942446</v>
      </c>
      <c r="AH2341">
        <v>14.9213649845139</v>
      </c>
      <c r="AI2341">
        <v>94.219426331391702</v>
      </c>
      <c r="AJ2341">
        <v>94.497901669243703</v>
      </c>
      <c r="AK2341">
        <v>15.008139915329499</v>
      </c>
    </row>
    <row r="2342" spans="1:37" x14ac:dyDescent="0.2">
      <c r="A2342" t="str">
        <f>"20200111160159661"</f>
        <v>20200111160159661</v>
      </c>
      <c r="B2342" t="str">
        <f>"1578729719653759"</f>
        <v>1578729719653759</v>
      </c>
      <c r="C2342" t="s">
        <v>37</v>
      </c>
      <c r="D2342">
        <v>5.3268620000000002</v>
      </c>
      <c r="E2342">
        <v>0.49311169999999999</v>
      </c>
      <c r="F2342" t="s">
        <v>57</v>
      </c>
      <c r="G2342">
        <v>-370.46469999999999</v>
      </c>
      <c r="H2342" s="1">
        <v>-1.289489E-6</v>
      </c>
      <c r="I2342">
        <v>217.465</v>
      </c>
      <c r="J2342">
        <v>-419.87130000000002</v>
      </c>
      <c r="K2342">
        <v>1.1042620000000001</v>
      </c>
      <c r="L2342">
        <v>213.7174</v>
      </c>
      <c r="M2342">
        <v>0.99996439999999998</v>
      </c>
      <c r="N2342">
        <v>0</v>
      </c>
      <c r="O2342">
        <v>3.4805750000000001E-3</v>
      </c>
      <c r="P2342">
        <v>0.99695429999999996</v>
      </c>
      <c r="Q2342">
        <v>5.4778800000000002E-2</v>
      </c>
      <c r="R2342">
        <v>5.5511619999999998E-2</v>
      </c>
      <c r="S2342">
        <v>2.9996640000000001</v>
      </c>
      <c r="T2342">
        <v>-6.6689730000000003E-2</v>
      </c>
      <c r="U2342">
        <v>0.2264099</v>
      </c>
      <c r="V2342">
        <v>-5.2080399999999999E-2</v>
      </c>
      <c r="W2342">
        <v>6.24206E-2</v>
      </c>
      <c r="X2342">
        <v>0.99669019999999997</v>
      </c>
      <c r="Y2342">
        <v>-7.1776290000000006E-2</v>
      </c>
      <c r="Z2342">
        <v>7.1938669999999896E-4</v>
      </c>
      <c r="AA2342">
        <v>0.99742050000000004</v>
      </c>
      <c r="AB2342">
        <v>26</v>
      </c>
      <c r="AC2342">
        <v>49.406599999999997</v>
      </c>
      <c r="AD2342">
        <v>-1.1042632894890001</v>
      </c>
      <c r="AE2342">
        <v>3.7475999999999998</v>
      </c>
      <c r="AF2342">
        <v>-3.57383376073206</v>
      </c>
      <c r="AG2342">
        <v>-1.1042632894890001</v>
      </c>
      <c r="AH2342">
        <v>49.394811089057001</v>
      </c>
      <c r="AI2342">
        <v>91.277344982294295</v>
      </c>
      <c r="AJ2342">
        <v>94.138276826341396</v>
      </c>
      <c r="AK2342">
        <v>49.536239741077303</v>
      </c>
    </row>
    <row r="2343" spans="1:37" x14ac:dyDescent="0.2">
      <c r="A2343" t="str">
        <f>"20200111160159683"</f>
        <v>20200111160159683</v>
      </c>
      <c r="B2343" t="str">
        <f>"1578729719674253"</f>
        <v>1578729719674253</v>
      </c>
      <c r="C2343" t="s">
        <v>37</v>
      </c>
      <c r="D2343">
        <v>5.668056</v>
      </c>
      <c r="E2343">
        <v>0.49062600000000001</v>
      </c>
      <c r="F2343" t="s">
        <v>57</v>
      </c>
      <c r="G2343">
        <v>-342.04660000000001</v>
      </c>
      <c r="H2343">
        <v>8.0000619999999995E-2</v>
      </c>
      <c r="I2343">
        <v>219.70509999999999</v>
      </c>
      <c r="J2343">
        <v>-419.6096</v>
      </c>
      <c r="K2343">
        <v>1.104276</v>
      </c>
      <c r="L2343">
        <v>213.71870000000001</v>
      </c>
      <c r="M2343">
        <v>0.99996280000000004</v>
      </c>
      <c r="N2343">
        <v>0</v>
      </c>
      <c r="O2343">
        <v>3.874827E-3</v>
      </c>
      <c r="P2343">
        <v>0.99674189999999996</v>
      </c>
      <c r="Q2343">
        <v>5.6918740000000002E-2</v>
      </c>
      <c r="R2343">
        <v>5.7148959999999999E-2</v>
      </c>
      <c r="S2343">
        <v>2.9984739999999999</v>
      </c>
      <c r="T2343">
        <v>-3.9463280000000003E-2</v>
      </c>
      <c r="U2343">
        <v>0.2306976</v>
      </c>
      <c r="V2343">
        <v>-5.3326789999999999E-2</v>
      </c>
      <c r="W2343">
        <v>6.4567739999999998E-2</v>
      </c>
      <c r="X2343">
        <v>0.99648740000000002</v>
      </c>
      <c r="Y2343">
        <v>-7.2841600000000006E-2</v>
      </c>
      <c r="Z2343">
        <v>4.2769150000000002E-4</v>
      </c>
      <c r="AA2343">
        <v>0.99734339999999999</v>
      </c>
      <c r="AB2343">
        <v>26</v>
      </c>
      <c r="AC2343">
        <v>77.562999999999903</v>
      </c>
      <c r="AD2343">
        <v>-1.02427538</v>
      </c>
      <c r="AE2343">
        <v>5.9863999999999704</v>
      </c>
      <c r="AF2343">
        <v>-5.6848174147885304</v>
      </c>
      <c r="AG2343">
        <v>-1.02427538</v>
      </c>
      <c r="AH2343">
        <v>77.572166853311401</v>
      </c>
      <c r="AI2343">
        <v>90.754475695676405</v>
      </c>
      <c r="AJ2343">
        <v>94.191385072966597</v>
      </c>
      <c r="AK2343">
        <v>77.786935660247906</v>
      </c>
    </row>
    <row r="2344" spans="1:37" x14ac:dyDescent="0.2">
      <c r="A2344" t="str">
        <f>"20200111160159705"</f>
        <v>20200111160159705</v>
      </c>
      <c r="B2344" t="str">
        <f>"1578729719704039"</f>
        <v>1578729719704039</v>
      </c>
      <c r="C2344" t="s">
        <v>37</v>
      </c>
      <c r="D2344">
        <v>5.3983160000000003</v>
      </c>
      <c r="E2344">
        <v>0.48995119999999998</v>
      </c>
      <c r="F2344" t="s">
        <v>57</v>
      </c>
      <c r="G2344">
        <v>-381.85579999999999</v>
      </c>
      <c r="H2344" s="1">
        <v>-6.5213040000000003E-7</v>
      </c>
      <c r="I2344">
        <v>216.97049999999999</v>
      </c>
      <c r="J2344">
        <v>-419.34379999999999</v>
      </c>
      <c r="K2344">
        <v>1.104277</v>
      </c>
      <c r="L2344">
        <v>213.72020000000001</v>
      </c>
      <c r="M2344">
        <v>0.99996109999999905</v>
      </c>
      <c r="N2344">
        <v>0</v>
      </c>
      <c r="O2344">
        <v>4.275699E-3</v>
      </c>
      <c r="P2344">
        <v>0.99654100000000001</v>
      </c>
      <c r="Q2344">
        <v>5.7362150000000001E-2</v>
      </c>
      <c r="R2344">
        <v>6.0131259999999999E-2</v>
      </c>
      <c r="S2344">
        <v>2.9999689999999899</v>
      </c>
      <c r="T2344">
        <v>-8.7747220000000001E-2</v>
      </c>
      <c r="U2344">
        <v>0.25839229999999902</v>
      </c>
      <c r="V2344">
        <v>-5.5910799999999997E-2</v>
      </c>
      <c r="W2344">
        <v>6.5017409999999998E-2</v>
      </c>
      <c r="X2344">
        <v>0.996316599999999</v>
      </c>
      <c r="Y2344">
        <v>-8.1520300000000004E-2</v>
      </c>
      <c r="Z2344">
        <v>1.064951E-3</v>
      </c>
      <c r="AA2344">
        <v>0.99667109999999903</v>
      </c>
      <c r="AB2344">
        <v>26</v>
      </c>
      <c r="AC2344">
        <v>37.488</v>
      </c>
      <c r="AD2344">
        <v>-1.1042776521303901</v>
      </c>
      <c r="AE2344">
        <v>3.2502999999999802</v>
      </c>
      <c r="AF2344">
        <v>-3.0873192193946899</v>
      </c>
      <c r="AG2344">
        <v>-1.1042776521303901</v>
      </c>
      <c r="AH2344">
        <v>37.469285326478001</v>
      </c>
      <c r="AI2344">
        <v>91.682408327093498</v>
      </c>
      <c r="AJ2344">
        <v>94.7103026836769</v>
      </c>
      <c r="AK2344">
        <v>37.612475483175203</v>
      </c>
    </row>
    <row r="2345" spans="1:37" x14ac:dyDescent="0.2">
      <c r="A2345" t="str">
        <f>"20200111160159728"</f>
        <v>20200111160159728</v>
      </c>
      <c r="B2345" t="str">
        <f>"1578729719723560"</f>
        <v>1578729719723560</v>
      </c>
      <c r="C2345" t="s">
        <v>37</v>
      </c>
      <c r="D2345">
        <v>5.2698369999999999</v>
      </c>
      <c r="E2345">
        <v>0.49050630000000001</v>
      </c>
      <c r="F2345" t="s">
        <v>57</v>
      </c>
      <c r="G2345">
        <v>-371.34300000000002</v>
      </c>
      <c r="H2345" s="1">
        <v>-8.2211489999999998E-7</v>
      </c>
      <c r="I2345">
        <v>218.07669999999999</v>
      </c>
      <c r="J2345">
        <v>-419.08589999999998</v>
      </c>
      <c r="K2345">
        <v>1.1042749999999999</v>
      </c>
      <c r="L2345">
        <v>213.7217</v>
      </c>
      <c r="M2345">
        <v>0.9999593</v>
      </c>
      <c r="N2345">
        <v>0</v>
      </c>
      <c r="O2345">
        <v>4.6645949999999997E-3</v>
      </c>
      <c r="P2345">
        <v>0.996361099999999</v>
      </c>
      <c r="Q2345">
        <v>5.7050759999999999E-2</v>
      </c>
      <c r="R2345">
        <v>6.3326480000000004E-2</v>
      </c>
      <c r="S2345">
        <v>2.9979550000000001</v>
      </c>
      <c r="T2345">
        <v>-6.8969130000000003E-2</v>
      </c>
      <c r="U2345">
        <v>0.27209470000000002</v>
      </c>
      <c r="V2345">
        <v>-5.8719479999999998E-2</v>
      </c>
      <c r="W2345">
        <v>6.4710970000000007E-2</v>
      </c>
      <c r="X2345">
        <v>0.99617489999999997</v>
      </c>
      <c r="Y2345">
        <v>-8.5720710000000006E-2</v>
      </c>
      <c r="Z2345">
        <v>8.7679390000000004E-4</v>
      </c>
      <c r="AA2345">
        <v>0.99631879999999995</v>
      </c>
      <c r="AB2345">
        <v>26</v>
      </c>
      <c r="AC2345">
        <v>47.742899999999899</v>
      </c>
      <c r="AD2345">
        <v>-1.1042758221148901</v>
      </c>
      <c r="AE2345">
        <v>4.3549999999999898</v>
      </c>
      <c r="AF2345">
        <v>-4.1300534209038302</v>
      </c>
      <c r="AG2345">
        <v>-1.1042758221148901</v>
      </c>
      <c r="AH2345">
        <v>47.737367685595203</v>
      </c>
      <c r="AI2345">
        <v>91.320217706563199</v>
      </c>
      <c r="AJ2345">
        <v>94.944697877781493</v>
      </c>
      <c r="AK2345">
        <v>47.928415787511</v>
      </c>
    </row>
    <row r="2346" spans="1:37" x14ac:dyDescent="0.2">
      <c r="A2346" t="str">
        <f>"20200111160159752"</f>
        <v>20200111160159752</v>
      </c>
      <c r="B2346" t="str">
        <f>"1578729719744057"</f>
        <v>1578729719744057</v>
      </c>
      <c r="C2346" t="s">
        <v>37</v>
      </c>
      <c r="D2346">
        <v>5.260459</v>
      </c>
      <c r="E2346">
        <v>0.49122470000000001</v>
      </c>
      <c r="F2346" t="s">
        <v>57</v>
      </c>
      <c r="G2346">
        <v>-385.48110000000003</v>
      </c>
      <c r="H2346" s="1">
        <v>1.2826129999999999E-6</v>
      </c>
      <c r="I2346">
        <v>216.84360000000001</v>
      </c>
      <c r="J2346">
        <v>-418.79849999999999</v>
      </c>
      <c r="K2346">
        <v>1.104274</v>
      </c>
      <c r="L2346">
        <v>213.7236</v>
      </c>
      <c r="M2346">
        <v>0.99995719999999999</v>
      </c>
      <c r="N2346">
        <v>0</v>
      </c>
      <c r="O2346">
        <v>5.0975990000000004E-3</v>
      </c>
      <c r="P2346">
        <v>0.99614789999999998</v>
      </c>
      <c r="Q2346">
        <v>5.6501879999999997E-2</v>
      </c>
      <c r="R2346">
        <v>6.7060599999999998E-2</v>
      </c>
      <c r="S2346">
        <v>2.9989319999999999</v>
      </c>
      <c r="T2346">
        <v>-9.8546620000000001E-2</v>
      </c>
      <c r="U2346">
        <v>0.27859499999999998</v>
      </c>
      <c r="V2346">
        <v>-6.202266E-2</v>
      </c>
      <c r="W2346">
        <v>6.4168030000000001E-2</v>
      </c>
      <c r="X2346">
        <v>0.9960099</v>
      </c>
      <c r="Y2346">
        <v>-8.7378659999999997E-2</v>
      </c>
      <c r="Z2346">
        <v>1.2650879999999999E-3</v>
      </c>
      <c r="AA2346">
        <v>0.99617440000000002</v>
      </c>
      <c r="AB2346">
        <v>26</v>
      </c>
      <c r="AC2346">
        <v>33.3173999999999</v>
      </c>
      <c r="AD2346">
        <v>-1.1042727173869999</v>
      </c>
      <c r="AE2346">
        <v>3.12</v>
      </c>
      <c r="AF2346">
        <v>-2.9469065398143601</v>
      </c>
      <c r="AG2346">
        <v>-1.1042727173869999</v>
      </c>
      <c r="AH2346">
        <v>33.2966128324598</v>
      </c>
      <c r="AI2346">
        <v>91.892111387538705</v>
      </c>
      <c r="AJ2346">
        <v>95.057766956591607</v>
      </c>
      <c r="AK2346">
        <v>33.445001158670799</v>
      </c>
    </row>
    <row r="2347" spans="1:37" x14ac:dyDescent="0.2">
      <c r="A2347" t="str">
        <f>"20200111160159796"</f>
        <v>20200111160159796</v>
      </c>
      <c r="B2347" t="str">
        <f>"1578729719784072"</f>
        <v>1578729719784072</v>
      </c>
      <c r="C2347" t="s">
        <v>37</v>
      </c>
      <c r="D2347">
        <v>5.2214780000000003</v>
      </c>
      <c r="E2347">
        <v>0.49208980000000002</v>
      </c>
      <c r="F2347" t="s">
        <v>57</v>
      </c>
      <c r="G2347">
        <v>-391.34469999999999</v>
      </c>
      <c r="H2347" s="1">
        <v>-8.2123130000000001E-7</v>
      </c>
      <c r="I2347">
        <v>216.33160000000001</v>
      </c>
      <c r="J2347">
        <v>-418.2894</v>
      </c>
      <c r="K2347">
        <v>1.1042609999999999</v>
      </c>
      <c r="L2347">
        <v>213.72710000000001</v>
      </c>
      <c r="M2347">
        <v>0.99995290000000003</v>
      </c>
      <c r="N2347">
        <v>0</v>
      </c>
      <c r="O2347">
        <v>5.8645490000000002E-3</v>
      </c>
      <c r="P2347">
        <v>0.99578489999999997</v>
      </c>
      <c r="Q2347">
        <v>5.4085950000000001E-2</v>
      </c>
      <c r="R2347">
        <v>7.4076970000000006E-2</v>
      </c>
      <c r="S2347">
        <v>2.9992070000000002</v>
      </c>
      <c r="T2347">
        <v>-0.1206371</v>
      </c>
      <c r="U2347">
        <v>0.284912099999999</v>
      </c>
      <c r="V2347">
        <v>-6.8275760000000005E-2</v>
      </c>
      <c r="W2347">
        <v>6.176098E-2</v>
      </c>
      <c r="X2347">
        <v>0.995753</v>
      </c>
      <c r="Y2347">
        <v>-8.866367E-2</v>
      </c>
      <c r="Z2347">
        <v>1.5431850000000001E-3</v>
      </c>
      <c r="AA2347">
        <v>0.99606039999999996</v>
      </c>
      <c r="AB2347">
        <v>26</v>
      </c>
      <c r="AC2347">
        <v>26.944700000000001</v>
      </c>
      <c r="AD2347">
        <v>-1.1042618212313</v>
      </c>
      <c r="AE2347">
        <v>2.6044999999999998</v>
      </c>
      <c r="AF2347">
        <v>-2.4423678215431499</v>
      </c>
      <c r="AG2347">
        <v>-1.1042618212313</v>
      </c>
      <c r="AH2347">
        <v>26.914724654637599</v>
      </c>
      <c r="AI2347">
        <v>92.339819906532099</v>
      </c>
      <c r="AJ2347">
        <v>95.185085394240005</v>
      </c>
      <c r="AK2347">
        <v>27.047864203675999</v>
      </c>
    </row>
    <row r="2348" spans="1:37" x14ac:dyDescent="0.2">
      <c r="A2348" t="str">
        <f>"20200111160159816"</f>
        <v>20200111160159816</v>
      </c>
      <c r="B2348" t="str">
        <f>"1578729719813861"</f>
        <v>1578729719813861</v>
      </c>
      <c r="C2348" t="s">
        <v>37</v>
      </c>
      <c r="D2348">
        <v>5.2530299999999999</v>
      </c>
      <c r="E2348">
        <v>0.49303329999999901</v>
      </c>
      <c r="F2348" t="s">
        <v>57</v>
      </c>
      <c r="G2348">
        <v>-396.81869999999998</v>
      </c>
      <c r="H2348" s="1">
        <v>2.0917580000000001E-6</v>
      </c>
      <c r="I2348">
        <v>215.8733</v>
      </c>
      <c r="J2348">
        <v>-418.03550000000001</v>
      </c>
      <c r="K2348">
        <v>1.104252</v>
      </c>
      <c r="L2348">
        <v>213.72900000000001</v>
      </c>
      <c r="M2348">
        <v>0.99995049999999996</v>
      </c>
      <c r="N2348">
        <v>0</v>
      </c>
      <c r="O2348">
        <v>6.2468940000000002E-3</v>
      </c>
      <c r="P2348">
        <v>0.99573650000000002</v>
      </c>
      <c r="Q2348">
        <v>5.1380469999999998E-2</v>
      </c>
      <c r="R2348">
        <v>7.6609070000000001E-2</v>
      </c>
      <c r="S2348">
        <v>2.9987789999999999</v>
      </c>
      <c r="T2348">
        <v>-0.15422949999999999</v>
      </c>
      <c r="U2348">
        <v>0.29975889999999999</v>
      </c>
      <c r="V2348">
        <v>-7.0425669999999996E-2</v>
      </c>
      <c r="W2348">
        <v>5.906177E-2</v>
      </c>
      <c r="X2348">
        <v>0.99576699999999996</v>
      </c>
      <c r="Y2348">
        <v>-9.3132889999999996E-2</v>
      </c>
      <c r="Z2348">
        <v>2.0671719999999999E-3</v>
      </c>
      <c r="AA2348">
        <v>0.99565149999999902</v>
      </c>
      <c r="AB2348">
        <v>26</v>
      </c>
      <c r="AC2348">
        <v>21.216799999999999</v>
      </c>
      <c r="AD2348">
        <v>-1.1042499082420001</v>
      </c>
      <c r="AE2348">
        <v>2.1442999999999799</v>
      </c>
      <c r="AF2348">
        <v>-2.0063352971867801</v>
      </c>
      <c r="AG2348">
        <v>-1.1042499082420001</v>
      </c>
      <c r="AH2348">
        <v>21.173008325917699</v>
      </c>
      <c r="AI2348">
        <v>92.972189590145305</v>
      </c>
      <c r="AJ2348">
        <v>95.413133314260804</v>
      </c>
      <c r="AK2348">
        <v>21.296502782240399</v>
      </c>
    </row>
    <row r="2349" spans="1:37" x14ac:dyDescent="0.2">
      <c r="A2349" t="str">
        <f>"20200111160159841"</f>
        <v>20200111160159841</v>
      </c>
      <c r="B2349" t="str">
        <f>"1578729719834356"</f>
        <v>1578729719834356</v>
      </c>
      <c r="C2349" t="s">
        <v>37</v>
      </c>
      <c r="D2349">
        <v>5.2559490000000002</v>
      </c>
      <c r="E2349">
        <v>0.4930254</v>
      </c>
      <c r="F2349" t="s">
        <v>57</v>
      </c>
      <c r="G2349">
        <v>-399.05770000000001</v>
      </c>
      <c r="H2349" s="1">
        <v>3.2832810000000001E-6</v>
      </c>
      <c r="I2349">
        <v>215.62809999999999</v>
      </c>
      <c r="J2349">
        <v>-417.75279999999998</v>
      </c>
      <c r="K2349">
        <v>1.1042319999999901</v>
      </c>
      <c r="L2349">
        <v>213.7312</v>
      </c>
      <c r="M2349">
        <v>0.999947699999999</v>
      </c>
      <c r="N2349">
        <v>0</v>
      </c>
      <c r="O2349">
        <v>6.6722119999999899E-3</v>
      </c>
      <c r="P2349">
        <v>0.99581219999999904</v>
      </c>
      <c r="Q2349">
        <v>4.7518299999999999E-2</v>
      </c>
      <c r="R2349">
        <v>7.8103480000000003E-2</v>
      </c>
      <c r="S2349">
        <v>2.9987490000000001</v>
      </c>
      <c r="T2349">
        <v>-0.17448649999999999</v>
      </c>
      <c r="U2349">
        <v>0.30007929999999999</v>
      </c>
      <c r="V2349">
        <v>-7.1493630000000002E-2</v>
      </c>
      <c r="W2349">
        <v>5.5207609999999997E-2</v>
      </c>
      <c r="X2349">
        <v>0.99591200000000002</v>
      </c>
      <c r="Y2349">
        <v>-9.2785220000000002E-2</v>
      </c>
      <c r="Z2349">
        <v>2.3035199999999999E-3</v>
      </c>
      <c r="AA2349">
        <v>0.99568349999999906</v>
      </c>
      <c r="AB2349">
        <v>27</v>
      </c>
      <c r="AC2349">
        <v>18.695099999999901</v>
      </c>
      <c r="AD2349">
        <v>-1.1042287167189999</v>
      </c>
      <c r="AE2349">
        <v>1.89689999999998</v>
      </c>
      <c r="AF2349">
        <v>-1.76601804775891</v>
      </c>
      <c r="AG2349">
        <v>-1.1042287167189999</v>
      </c>
      <c r="AH2349">
        <v>18.642963962565901</v>
      </c>
      <c r="AI2349">
        <v>93.374615069515698</v>
      </c>
      <c r="AJ2349">
        <v>95.411389453931804</v>
      </c>
      <c r="AK2349">
        <v>18.758951093101299</v>
      </c>
    </row>
    <row r="2350" spans="1:37" x14ac:dyDescent="0.2">
      <c r="A2350" t="str">
        <f>"20200111160159862"</f>
        <v>20200111160159862</v>
      </c>
      <c r="B2350" t="str">
        <f>"1578729719853876"</f>
        <v>1578729719853876</v>
      </c>
      <c r="C2350" t="s">
        <v>37</v>
      </c>
      <c r="D2350">
        <v>5.1871450000000001</v>
      </c>
      <c r="E2350">
        <v>0.49370599999999998</v>
      </c>
      <c r="F2350" t="s">
        <v>60</v>
      </c>
      <c r="G2350">
        <v>-400.2758</v>
      </c>
      <c r="H2350" s="1">
        <v>8.0956299999999996E-6</v>
      </c>
      <c r="I2350">
        <v>215.50829999999999</v>
      </c>
      <c r="J2350">
        <v>-417.49430000000001</v>
      </c>
      <c r="K2350">
        <v>1.1042209999999999</v>
      </c>
      <c r="L2350">
        <v>213.73330000000001</v>
      </c>
      <c r="M2350">
        <v>0.99994490000000003</v>
      </c>
      <c r="N2350">
        <v>0</v>
      </c>
      <c r="O2350">
        <v>7.0609139999999997E-3</v>
      </c>
      <c r="P2350">
        <v>0.99591019999999897</v>
      </c>
      <c r="Q2350">
        <v>4.4020160000000003E-2</v>
      </c>
      <c r="R2350">
        <v>7.8901170000000007E-2</v>
      </c>
      <c r="S2350">
        <v>2.9977719999999999</v>
      </c>
      <c r="T2350">
        <v>-0.18940370000000001</v>
      </c>
      <c r="U2350">
        <v>0.30482480000000001</v>
      </c>
      <c r="V2350">
        <v>-7.1901209999999993E-2</v>
      </c>
      <c r="W2350">
        <v>5.1723110000000003E-2</v>
      </c>
      <c r="X2350">
        <v>0.99606969999999995</v>
      </c>
      <c r="Y2350">
        <v>-9.3963249999999998E-2</v>
      </c>
      <c r="Z2350">
        <v>2.5133059999999999E-3</v>
      </c>
      <c r="AA2350">
        <v>0.99557249999999997</v>
      </c>
      <c r="AB2350">
        <v>27</v>
      </c>
      <c r="AC2350">
        <v>17.218499999999999</v>
      </c>
      <c r="AD2350">
        <v>-1.10421290437</v>
      </c>
      <c r="AE2350">
        <v>1.7749999999999699</v>
      </c>
      <c r="AF2350">
        <v>-1.6466728586871699</v>
      </c>
      <c r="AG2350">
        <v>-1.10421290437</v>
      </c>
      <c r="AH2350">
        <v>17.1607712003687</v>
      </c>
      <c r="AI2350">
        <v>93.664844645221507</v>
      </c>
      <c r="AJ2350">
        <v>95.481072251909495</v>
      </c>
      <c r="AK2350">
        <v>17.274920718576901</v>
      </c>
    </row>
    <row r="2351" spans="1:37" x14ac:dyDescent="0.2">
      <c r="A2351" t="str">
        <f>"20200111160159885"</f>
        <v>20200111160159885</v>
      </c>
      <c r="B2351" t="str">
        <f>"1578729719874372"</f>
        <v>1578729719874372</v>
      </c>
      <c r="C2351" t="s">
        <v>37</v>
      </c>
      <c r="D2351">
        <v>5.2460199999999997</v>
      </c>
      <c r="E2351">
        <v>0.49441099999999999</v>
      </c>
      <c r="F2351" t="s">
        <v>60</v>
      </c>
      <c r="G2351">
        <v>-401.42599999999999</v>
      </c>
      <c r="H2351" s="1">
        <v>7.61742499999999E-6</v>
      </c>
      <c r="I2351">
        <v>215.35419999999999</v>
      </c>
      <c r="J2351">
        <v>-417.22199999999998</v>
      </c>
      <c r="K2351">
        <v>1.1042209999999999</v>
      </c>
      <c r="L2351">
        <v>213.73570000000001</v>
      </c>
      <c r="M2351">
        <v>0.99994159999999899</v>
      </c>
      <c r="N2351">
        <v>0</v>
      </c>
      <c r="O2351">
        <v>7.4698050000000004E-3</v>
      </c>
      <c r="P2351">
        <v>0.99606649999999997</v>
      </c>
      <c r="Q2351">
        <v>4.0329980000000001E-2</v>
      </c>
      <c r="R2351">
        <v>7.890055E-2</v>
      </c>
      <c r="S2351">
        <v>2.9974669999999999</v>
      </c>
      <c r="T2351">
        <v>-0.20598520000000001</v>
      </c>
      <c r="U2351">
        <v>0.30236819999999998</v>
      </c>
      <c r="V2351">
        <v>-7.1489189999999994E-2</v>
      </c>
      <c r="W2351">
        <v>4.8068420000000001E-2</v>
      </c>
      <c r="X2351">
        <v>0.99628249999999996</v>
      </c>
      <c r="Y2351">
        <v>-9.2731079999999994E-2</v>
      </c>
      <c r="Z2351">
        <v>2.6630600000000001E-3</v>
      </c>
      <c r="AA2351">
        <v>0.99568760000000001</v>
      </c>
      <c r="AB2351">
        <v>27</v>
      </c>
      <c r="AC2351">
        <v>15.7959999999999</v>
      </c>
      <c r="AD2351">
        <v>-1.10421338257499</v>
      </c>
      <c r="AE2351">
        <v>1.6184999999999801</v>
      </c>
      <c r="AF2351">
        <v>-1.4932370792524701</v>
      </c>
      <c r="AG2351">
        <v>-1.10421338257499</v>
      </c>
      <c r="AH2351">
        <v>15.7315734279029</v>
      </c>
      <c r="AI2351">
        <v>93.997149861708607</v>
      </c>
      <c r="AJ2351">
        <v>95.422255828639905</v>
      </c>
      <c r="AK2351">
        <v>15.8408158466227</v>
      </c>
    </row>
    <row r="2352" spans="1:37" x14ac:dyDescent="0.2">
      <c r="A2352" t="str">
        <f>"20200111160159907"</f>
        <v>20200111160159907</v>
      </c>
      <c r="B2352" t="str">
        <f>"1578729719904159"</f>
        <v>1578729719904159</v>
      </c>
      <c r="C2352" t="s">
        <v>37</v>
      </c>
      <c r="D2352">
        <v>5.2576429999999998</v>
      </c>
      <c r="E2352">
        <v>0.49516270000000001</v>
      </c>
      <c r="F2352" t="s">
        <v>60</v>
      </c>
      <c r="G2352">
        <v>-402.31549999999999</v>
      </c>
      <c r="H2352" s="1">
        <v>7.2522619999999901E-6</v>
      </c>
      <c r="I2352">
        <v>215.2124</v>
      </c>
      <c r="J2352">
        <v>-416.95769999999999</v>
      </c>
      <c r="K2352">
        <v>1.104233</v>
      </c>
      <c r="L2352">
        <v>213.7381</v>
      </c>
      <c r="M2352">
        <v>0.99993799999999899</v>
      </c>
      <c r="N2352">
        <v>0</v>
      </c>
      <c r="O2352">
        <v>7.8667440000000002E-3</v>
      </c>
      <c r="P2352">
        <v>0.99619480000000005</v>
      </c>
      <c r="Q2352">
        <v>3.8104260000000001E-2</v>
      </c>
      <c r="R2352">
        <v>7.8383469999999997E-2</v>
      </c>
      <c r="S2352">
        <v>2.9973450000000001</v>
      </c>
      <c r="T2352">
        <v>-0.22203049999999999</v>
      </c>
      <c r="U2352">
        <v>0.29693599999999998</v>
      </c>
      <c r="V2352">
        <v>-7.0574670000000006E-2</v>
      </c>
      <c r="W2352">
        <v>4.591978E-2</v>
      </c>
      <c r="X2352">
        <v>0.99644900000000003</v>
      </c>
      <c r="Y2352">
        <v>-9.0527819999999995E-2</v>
      </c>
      <c r="Z2352">
        <v>2.7597469999999999E-3</v>
      </c>
      <c r="AA2352">
        <v>0.9958901</v>
      </c>
      <c r="AB2352">
        <v>27</v>
      </c>
      <c r="AC2352">
        <v>14.642200000000001</v>
      </c>
      <c r="AD2352">
        <v>-1.104225747738</v>
      </c>
      <c r="AE2352">
        <v>1.47429999999999</v>
      </c>
      <c r="AF2352">
        <v>-1.3514554236113001</v>
      </c>
      <c r="AG2352">
        <v>-1.104225747738</v>
      </c>
      <c r="AH2352">
        <v>14.571306115854901</v>
      </c>
      <c r="AI2352">
        <v>94.315189261447301</v>
      </c>
      <c r="AJ2352">
        <v>95.298893687132605</v>
      </c>
      <c r="AK2352">
        <v>14.6754457576567</v>
      </c>
    </row>
    <row r="2353" spans="1:37" x14ac:dyDescent="0.2">
      <c r="A2353" t="str">
        <f>"20200111160159929"</f>
        <v>20200111160159929</v>
      </c>
      <c r="B2353" t="str">
        <f>"1578729719923678"</f>
        <v>1578729719923678</v>
      </c>
      <c r="C2353" t="s">
        <v>37</v>
      </c>
      <c r="D2353">
        <v>5.2891899999999996</v>
      </c>
      <c r="E2353">
        <v>0.495389999999999</v>
      </c>
      <c r="F2353" t="s">
        <v>60</v>
      </c>
      <c r="G2353">
        <v>-402.74149999999997</v>
      </c>
      <c r="H2353" s="1">
        <v>7.0839759999999996E-6</v>
      </c>
      <c r="I2353">
        <v>215.11259999999999</v>
      </c>
      <c r="J2353">
        <v>-416.69389999999999</v>
      </c>
      <c r="K2353">
        <v>1.104263</v>
      </c>
      <c r="L2353">
        <v>213.7405</v>
      </c>
      <c r="M2353">
        <v>0.99993379999999998</v>
      </c>
      <c r="N2353">
        <v>0</v>
      </c>
      <c r="O2353">
        <v>8.2616240000000004E-3</v>
      </c>
      <c r="P2353">
        <v>0.99630010000000002</v>
      </c>
      <c r="Q2353">
        <v>3.7529510000000002E-2</v>
      </c>
      <c r="R2353">
        <v>7.7315659999999994E-2</v>
      </c>
      <c r="S2353">
        <v>2.997528</v>
      </c>
      <c r="T2353">
        <v>-0.23282889999999901</v>
      </c>
      <c r="U2353">
        <v>0.28982540000000001</v>
      </c>
      <c r="V2353">
        <v>-6.9112030000000005E-2</v>
      </c>
      <c r="W2353">
        <v>4.5494409999999999E-2</v>
      </c>
      <c r="X2353">
        <v>0.99657099999999899</v>
      </c>
      <c r="Y2353">
        <v>-8.7775290000000006E-2</v>
      </c>
      <c r="Z2353">
        <v>2.75669E-3</v>
      </c>
      <c r="AA2353">
        <v>0.99613649999999998</v>
      </c>
      <c r="AB2353">
        <v>27</v>
      </c>
      <c r="AC2353">
        <v>13.952400000000001</v>
      </c>
      <c r="AD2353">
        <v>-1.104255916024</v>
      </c>
      <c r="AE2353">
        <v>1.3720999999999799</v>
      </c>
      <c r="AF2353">
        <v>-1.2490311806858201</v>
      </c>
      <c r="AG2353">
        <v>-1.104255916024</v>
      </c>
      <c r="AH2353">
        <v>13.8771679869838</v>
      </c>
      <c r="AI2353">
        <v>94.531402719113999</v>
      </c>
      <c r="AJ2353">
        <v>95.143117033149295</v>
      </c>
      <c r="AK2353">
        <v>13.9769542947442</v>
      </c>
    </row>
    <row r="2354" spans="1:37" x14ac:dyDescent="0.2">
      <c r="A2354" t="str">
        <f>"20200111160159952"</f>
        <v>20200111160159952</v>
      </c>
      <c r="B2354" t="str">
        <f>"1578729719944174"</f>
        <v>1578729719944174</v>
      </c>
      <c r="C2354" t="s">
        <v>37</v>
      </c>
      <c r="D2354">
        <v>5.2973819999999998</v>
      </c>
      <c r="E2354">
        <v>0.49554619999999999</v>
      </c>
      <c r="F2354" t="s">
        <v>60</v>
      </c>
      <c r="G2354">
        <v>-402.60050000000001</v>
      </c>
      <c r="H2354" s="1">
        <v>7.1530769999999998E-6</v>
      </c>
      <c r="I2354">
        <v>215.08070000000001</v>
      </c>
      <c r="J2354">
        <v>-416.4169</v>
      </c>
      <c r="K2354">
        <v>1.10433</v>
      </c>
      <c r="L2354">
        <v>213.7433</v>
      </c>
      <c r="M2354">
        <v>0.99992780000000003</v>
      </c>
      <c r="N2354">
        <v>0</v>
      </c>
      <c r="O2354">
        <v>8.6762019999999992E-3</v>
      </c>
      <c r="P2354">
        <v>0.99643649999999995</v>
      </c>
      <c r="Q2354">
        <v>3.6706699999999898E-2</v>
      </c>
      <c r="R2354">
        <v>7.5941069999999999E-2</v>
      </c>
      <c r="S2354">
        <v>2.9978639999999999</v>
      </c>
      <c r="T2354">
        <v>-0.23489090000000001</v>
      </c>
      <c r="U2354">
        <v>0.2850647</v>
      </c>
      <c r="V2354">
        <v>-6.7322999999999994E-2</v>
      </c>
      <c r="W2354">
        <v>4.4955189999999999E-2</v>
      </c>
      <c r="X2354">
        <v>0.99671790000000005</v>
      </c>
      <c r="Y2354">
        <v>-8.5787009999999997E-2</v>
      </c>
      <c r="Z2354">
        <v>2.670974E-3</v>
      </c>
      <c r="AA2354">
        <v>0.99630989999999997</v>
      </c>
      <c r="AB2354">
        <v>27</v>
      </c>
      <c r="AC2354">
        <v>13.8163999999999</v>
      </c>
      <c r="AD2354">
        <v>-1.104322846923</v>
      </c>
      <c r="AE2354">
        <v>1.3373999999999999</v>
      </c>
      <c r="AF2354">
        <v>-1.2098144245951601</v>
      </c>
      <c r="AG2354">
        <v>-1.104322846923</v>
      </c>
      <c r="AH2354">
        <v>13.740516769561999</v>
      </c>
      <c r="AI2354">
        <v>94.577342405776093</v>
      </c>
      <c r="AJ2354">
        <v>95.031758790428498</v>
      </c>
      <c r="AK2354">
        <v>13.837809833453001</v>
      </c>
    </row>
    <row r="2355" spans="1:37" x14ac:dyDescent="0.2">
      <c r="A2355" t="str">
        <f>"20200111160159974"</f>
        <v>20200111160159974</v>
      </c>
      <c r="B2355" t="str">
        <f>"1578729719963695"</f>
        <v>1578729719963695</v>
      </c>
      <c r="C2355" t="s">
        <v>37</v>
      </c>
      <c r="D2355">
        <v>6.0307559999999896</v>
      </c>
      <c r="E2355">
        <v>0.49577959999999899</v>
      </c>
      <c r="F2355" t="s">
        <v>60</v>
      </c>
      <c r="G2355">
        <v>-402.42129999999997</v>
      </c>
      <c r="H2355" s="1">
        <v>7.2390069999999996E-6</v>
      </c>
      <c r="I2355">
        <v>215.04949999999999</v>
      </c>
      <c r="J2355">
        <v>-416.15179999999998</v>
      </c>
      <c r="K2355">
        <v>1.1044119999999999</v>
      </c>
      <c r="L2355">
        <v>213.74599999999899</v>
      </c>
      <c r="M2355">
        <v>0.99992119999999995</v>
      </c>
      <c r="N2355">
        <v>0</v>
      </c>
      <c r="O2355">
        <v>9.0674859999999996E-3</v>
      </c>
      <c r="P2355">
        <v>0.99659319999999896</v>
      </c>
      <c r="Q2355">
        <v>3.5979379999999998E-2</v>
      </c>
      <c r="R2355">
        <v>7.4215779999999995E-2</v>
      </c>
      <c r="S2355">
        <v>2.998138</v>
      </c>
      <c r="T2355">
        <v>-0.23656679999999899</v>
      </c>
      <c r="U2355">
        <v>0.27983089999999999</v>
      </c>
      <c r="V2355">
        <v>-6.5206539999999993E-2</v>
      </c>
      <c r="W2355">
        <v>4.4603629999999998E-2</v>
      </c>
      <c r="X2355">
        <v>0.9968745</v>
      </c>
      <c r="Y2355">
        <v>-8.3668779999999998E-2</v>
      </c>
      <c r="Z2355">
        <v>2.5759300000000001E-3</v>
      </c>
      <c r="AA2355">
        <v>0.99649030000000005</v>
      </c>
      <c r="AB2355">
        <v>27</v>
      </c>
      <c r="AC2355">
        <v>13.730499999999999</v>
      </c>
      <c r="AD2355">
        <v>-1.1044047609929999</v>
      </c>
      <c r="AE2355">
        <v>1.3035000000000101</v>
      </c>
      <c r="AF2355">
        <v>-1.17142950185954</v>
      </c>
      <c r="AG2355">
        <v>-1.1044047609929999</v>
      </c>
      <c r="AH2355">
        <v>13.654205897256301</v>
      </c>
      <c r="AI2355">
        <v>94.607384960904199</v>
      </c>
      <c r="AJ2355">
        <v>94.903545430815299</v>
      </c>
      <c r="AK2355">
        <v>13.748792515657501</v>
      </c>
    </row>
    <row r="2356" spans="1:37" x14ac:dyDescent="0.2">
      <c r="A2356" t="str">
        <f>"20200111160159998"</f>
        <v>20200111160159998</v>
      </c>
      <c r="B2356" t="str">
        <f>"1578729719993951"</f>
        <v>1578729719993951</v>
      </c>
      <c r="C2356" t="s">
        <v>37</v>
      </c>
      <c r="D2356">
        <v>5.3515730000000001</v>
      </c>
      <c r="E2356">
        <v>0.49570550000000002</v>
      </c>
      <c r="F2356" t="s">
        <v>60</v>
      </c>
      <c r="G2356">
        <v>-402.05549999999999</v>
      </c>
      <c r="H2356" s="1">
        <v>7.4052239999999997E-6</v>
      </c>
      <c r="I2356">
        <v>215.03</v>
      </c>
      <c r="J2356">
        <v>-415.87130000000002</v>
      </c>
      <c r="K2356">
        <v>1.1044879999999999</v>
      </c>
      <c r="L2356">
        <v>213.749</v>
      </c>
      <c r="M2356">
        <v>0.9999133</v>
      </c>
      <c r="N2356">
        <v>0</v>
      </c>
      <c r="O2356">
        <v>9.4809519999999904E-3</v>
      </c>
      <c r="P2356">
        <v>0.99681010000000003</v>
      </c>
      <c r="Q2356">
        <v>3.4210619999999997E-2</v>
      </c>
      <c r="R2356">
        <v>7.2108220000000001E-2</v>
      </c>
      <c r="S2356">
        <v>2.9984130000000002</v>
      </c>
      <c r="T2356">
        <v>-0.23491779999999901</v>
      </c>
      <c r="U2356">
        <v>0.2731171</v>
      </c>
      <c r="V2356">
        <v>-6.2683970000000006E-2</v>
      </c>
      <c r="W2356">
        <v>4.3285499999999998E-2</v>
      </c>
      <c r="X2356">
        <v>0.99709429999999999</v>
      </c>
      <c r="Y2356">
        <v>-8.1047889999999997E-2</v>
      </c>
      <c r="Z2356">
        <v>2.42348E-3</v>
      </c>
      <c r="AA2356">
        <v>0.99670729999999996</v>
      </c>
      <c r="AB2356">
        <v>27</v>
      </c>
      <c r="AC2356">
        <v>13.815799999999999</v>
      </c>
      <c r="AD2356">
        <v>-1.1044805947759999</v>
      </c>
      <c r="AE2356">
        <v>1.2809999999999699</v>
      </c>
      <c r="AF2356">
        <v>-1.14270928701991</v>
      </c>
      <c r="AG2356">
        <v>-1.1044805947759999</v>
      </c>
      <c r="AH2356">
        <v>13.740260044127499</v>
      </c>
      <c r="AI2356">
        <v>94.579970421266196</v>
      </c>
      <c r="AJ2356">
        <v>94.754065604595695</v>
      </c>
      <c r="AK2356">
        <v>13.8318620575513</v>
      </c>
    </row>
    <row r="2357" spans="1:37" x14ac:dyDescent="0.2">
      <c r="A2357" t="str">
        <f>"20200111160200022"</f>
        <v>20200111160200022</v>
      </c>
      <c r="B2357" t="str">
        <f>"1578729720013981"</f>
        <v>1578729720013981</v>
      </c>
      <c r="C2357" t="s">
        <v>37</v>
      </c>
      <c r="D2357">
        <v>5.4647050000000004</v>
      </c>
      <c r="E2357">
        <v>0.49548750000000003</v>
      </c>
      <c r="F2357" t="s">
        <v>60</v>
      </c>
      <c r="G2357">
        <v>-401.91399999999999</v>
      </c>
      <c r="H2357" s="1">
        <v>7.4750509999999999E-6</v>
      </c>
      <c r="I2357">
        <v>214.99590000000001</v>
      </c>
      <c r="J2357">
        <v>-415.57479999999998</v>
      </c>
      <c r="K2357">
        <v>1.104568</v>
      </c>
      <c r="L2357">
        <v>213.75229999999999</v>
      </c>
      <c r="M2357">
        <v>0.99990429999999997</v>
      </c>
      <c r="N2357">
        <v>0</v>
      </c>
      <c r="O2357">
        <v>9.9201879999999999E-3</v>
      </c>
      <c r="P2357">
        <v>0.99698129999999996</v>
      </c>
      <c r="Q2357">
        <v>3.2662919999999998E-2</v>
      </c>
      <c r="R2357">
        <v>7.0438570000000006E-2</v>
      </c>
      <c r="S2357">
        <v>2.9983520000000001</v>
      </c>
      <c r="T2357">
        <v>-0.2372667</v>
      </c>
      <c r="U2357">
        <v>0.26786799999999999</v>
      </c>
      <c r="V2357">
        <v>-6.0573599999999998E-2</v>
      </c>
      <c r="W2357">
        <v>4.2256469999999997E-2</v>
      </c>
      <c r="X2357">
        <v>0.99726890000000001</v>
      </c>
      <c r="Y2357">
        <v>-7.8884529999999994E-2</v>
      </c>
      <c r="Z2357">
        <v>2.3279519999999999E-3</v>
      </c>
      <c r="AA2357">
        <v>0.99688109999999996</v>
      </c>
      <c r="AB2357">
        <v>27</v>
      </c>
      <c r="AC2357">
        <v>13.660799999999901</v>
      </c>
      <c r="AD2357">
        <v>-1.104560524949</v>
      </c>
      <c r="AE2357">
        <v>1.24360000000001</v>
      </c>
      <c r="AF2357">
        <v>-1.10087672002927</v>
      </c>
      <c r="AG2357">
        <v>-1.104560524949</v>
      </c>
      <c r="AH2357">
        <v>13.584384015411301</v>
      </c>
      <c r="AI2357">
        <v>94.633429792080307</v>
      </c>
      <c r="AJ2357">
        <v>94.633117642305905</v>
      </c>
      <c r="AK2357">
        <v>13.673604959341899</v>
      </c>
    </row>
    <row r="2358" spans="1:37" x14ac:dyDescent="0.2">
      <c r="A2358" t="str">
        <f>"20200111160200044"</f>
        <v>20200111160200044</v>
      </c>
      <c r="B2358" t="str">
        <f>"1578729720034477"</f>
        <v>1578729720034477</v>
      </c>
      <c r="C2358" t="s">
        <v>37</v>
      </c>
      <c r="D2358">
        <v>5.3314320000000004</v>
      </c>
      <c r="E2358">
        <v>0.49534109999999998</v>
      </c>
      <c r="F2358" t="s">
        <v>60</v>
      </c>
      <c r="G2358">
        <v>-401.76139999999998</v>
      </c>
      <c r="H2358" s="1">
        <v>7.5474699999999998E-6</v>
      </c>
      <c r="I2358">
        <v>214.97290000000001</v>
      </c>
      <c r="J2358">
        <v>-415.3134</v>
      </c>
      <c r="K2358">
        <v>1.104625</v>
      </c>
      <c r="L2358">
        <v>213.75530000000001</v>
      </c>
      <c r="M2358">
        <v>0.9998958</v>
      </c>
      <c r="N2358">
        <v>0</v>
      </c>
      <c r="O2358">
        <v>1.031049E-2</v>
      </c>
      <c r="P2358">
        <v>0.99708999999999903</v>
      </c>
      <c r="Q2358">
        <v>3.2023049999999997E-2</v>
      </c>
      <c r="R2358">
        <v>6.9183919999999996E-2</v>
      </c>
      <c r="S2358">
        <v>2.9982599999999899</v>
      </c>
      <c r="T2358">
        <v>-0.2397504</v>
      </c>
      <c r="U2358">
        <v>0.26492309999999902</v>
      </c>
      <c r="V2358">
        <v>-5.892766E-2</v>
      </c>
      <c r="W2358">
        <v>4.2079239999999997E-2</v>
      </c>
      <c r="X2358">
        <v>0.99737500000000001</v>
      </c>
      <c r="Y2358">
        <v>-7.7527499999999999E-2</v>
      </c>
      <c r="Z2358">
        <v>2.2672550000000001E-3</v>
      </c>
      <c r="AA2358">
        <v>0.99698759999999997</v>
      </c>
      <c r="AB2358">
        <v>27</v>
      </c>
      <c r="AC2358">
        <v>13.552</v>
      </c>
      <c r="AD2358">
        <v>-1.1046174525299901</v>
      </c>
      <c r="AE2358">
        <v>1.2176</v>
      </c>
      <c r="AF2358">
        <v>-1.0707435317010701</v>
      </c>
      <c r="AG2358">
        <v>-1.1046174525299901</v>
      </c>
      <c r="AH2358">
        <v>13.475025696379401</v>
      </c>
      <c r="AI2358">
        <v>94.6716923170288</v>
      </c>
      <c r="AJ2358">
        <v>94.543252990117907</v>
      </c>
      <c r="AK2358">
        <v>13.5625583480846</v>
      </c>
    </row>
    <row r="2359" spans="1:37" x14ac:dyDescent="0.2">
      <c r="A2359" t="str">
        <f>"20200111160200086"</f>
        <v>20200111160200086</v>
      </c>
      <c r="B2359" t="str">
        <f>"1578729720084253"</f>
        <v>1578729720084253</v>
      </c>
      <c r="C2359" t="s">
        <v>37</v>
      </c>
      <c r="D2359">
        <v>5.3834739999999996</v>
      </c>
      <c r="E2359">
        <v>0.49576819999999999</v>
      </c>
      <c r="F2359" t="s">
        <v>60</v>
      </c>
      <c r="G2359">
        <v>-401.50900000000001</v>
      </c>
      <c r="H2359" s="1">
        <v>7.661538E-6</v>
      </c>
      <c r="I2359">
        <v>214.96260000000001</v>
      </c>
      <c r="J2359">
        <v>-414.81689999999998</v>
      </c>
      <c r="K2359">
        <v>1.1047149999999999</v>
      </c>
      <c r="L2359">
        <v>213.76140000000001</v>
      </c>
      <c r="M2359">
        <v>0.99987939999999997</v>
      </c>
      <c r="N2359">
        <v>0</v>
      </c>
      <c r="O2359">
        <v>1.1049130000000001E-2</v>
      </c>
      <c r="P2359">
        <v>0.9971546</v>
      </c>
      <c r="Q2359">
        <v>3.1586000000000003E-2</v>
      </c>
      <c r="R2359">
        <v>6.8447320000000006E-2</v>
      </c>
      <c r="S2359">
        <v>2.998291</v>
      </c>
      <c r="T2359">
        <v>-0.239921299999999</v>
      </c>
      <c r="U2359">
        <v>0.26220700000000002</v>
      </c>
      <c r="V2359">
        <v>-5.7452879999999998E-2</v>
      </c>
      <c r="W2359">
        <v>4.2439890000000001E-2</v>
      </c>
      <c r="X2359">
        <v>0.99744580000000005</v>
      </c>
      <c r="Y2359">
        <v>-7.5900889999999999E-2</v>
      </c>
      <c r="Z2359">
        <v>2.1451840000000001E-3</v>
      </c>
      <c r="AA2359">
        <v>0.99711299999999903</v>
      </c>
      <c r="AB2359">
        <v>27</v>
      </c>
      <c r="AC2359">
        <v>13.307899999999901</v>
      </c>
      <c r="AD2359">
        <v>-1.1047073384620001</v>
      </c>
      <c r="AE2359">
        <v>1.2012</v>
      </c>
      <c r="AF2359">
        <v>-1.0469212715759399</v>
      </c>
      <c r="AG2359">
        <v>-1.1047073384620001</v>
      </c>
      <c r="AH2359">
        <v>13.229931275868701</v>
      </c>
      <c r="AI2359">
        <v>94.758353211392503</v>
      </c>
      <c r="AJ2359">
        <v>94.524545934959605</v>
      </c>
      <c r="AK2359">
        <v>13.3171882924564</v>
      </c>
    </row>
    <row r="2360" spans="1:37" x14ac:dyDescent="0.2">
      <c r="A2360" t="str">
        <f>"20200111160200109"</f>
        <v>20200111160200109</v>
      </c>
      <c r="B2360" t="str">
        <f>"1578729720104280"</f>
        <v>1578729720104280</v>
      </c>
      <c r="C2360" t="s">
        <v>37</v>
      </c>
      <c r="D2360">
        <v>5.4712110000000003</v>
      </c>
      <c r="E2360">
        <v>0.49591350000000001</v>
      </c>
      <c r="F2360" t="s">
        <v>60</v>
      </c>
      <c r="G2360">
        <v>-401.23950000000002</v>
      </c>
      <c r="H2360" s="1">
        <v>7.7887730000000002E-6</v>
      </c>
      <c r="I2360">
        <v>214.92519999999999</v>
      </c>
      <c r="J2360">
        <v>-414.5453</v>
      </c>
      <c r="K2360">
        <v>1.1047389999999999</v>
      </c>
      <c r="L2360">
        <v>213.76480000000001</v>
      </c>
      <c r="M2360">
        <v>0.9998707</v>
      </c>
      <c r="N2360">
        <v>0</v>
      </c>
      <c r="O2360">
        <v>1.144859E-2</v>
      </c>
      <c r="P2360">
        <v>0.99709150000000002</v>
      </c>
      <c r="Q2360">
        <v>3.10517999999999E-2</v>
      </c>
      <c r="R2360">
        <v>6.9602319999999995E-2</v>
      </c>
      <c r="S2360">
        <v>2.9986570000000001</v>
      </c>
      <c r="T2360">
        <v>-0.243980899999999</v>
      </c>
      <c r="U2360">
        <v>0.25703429999999999</v>
      </c>
      <c r="V2360">
        <v>-5.8209950000000003E-2</v>
      </c>
      <c r="W2360">
        <v>4.228792E-2</v>
      </c>
      <c r="X2360">
        <v>0.99740830000000003</v>
      </c>
      <c r="Y2360">
        <v>-7.3785770000000001E-2</v>
      </c>
      <c r="Z2360">
        <v>2.0631249999999999E-3</v>
      </c>
      <c r="AA2360">
        <v>0.99727199999999905</v>
      </c>
      <c r="AB2360">
        <v>27</v>
      </c>
      <c r="AC2360">
        <v>13.3057999999999</v>
      </c>
      <c r="AD2360">
        <v>-1.104731211227</v>
      </c>
      <c r="AE2360">
        <v>1.1603999999999799</v>
      </c>
      <c r="AF2360">
        <v>-1.0011324987008901</v>
      </c>
      <c r="AG2360">
        <v>-1.104731211227</v>
      </c>
      <c r="AH2360">
        <v>13.227718435166301</v>
      </c>
      <c r="AI2360">
        <v>94.760505129195593</v>
      </c>
      <c r="AJ2360">
        <v>94.328147659197896</v>
      </c>
      <c r="AK2360">
        <v>13.3114699537298</v>
      </c>
    </row>
    <row r="2361" spans="1:37" x14ac:dyDescent="0.2">
      <c r="A2361" t="str">
        <f>"20200111160200131"</f>
        <v>20200111160200131</v>
      </c>
      <c r="B2361" t="str">
        <f>"1578729720123799"</f>
        <v>1578729720123799</v>
      </c>
      <c r="C2361" t="s">
        <v>37</v>
      </c>
      <c r="D2361">
        <v>5.3691040000000001</v>
      </c>
      <c r="E2361">
        <v>0.49605290000000002</v>
      </c>
      <c r="F2361" t="s">
        <v>60</v>
      </c>
      <c r="G2361">
        <v>-401.13569999999999</v>
      </c>
      <c r="H2361" s="1">
        <v>7.8349759999999997E-6</v>
      </c>
      <c r="I2361">
        <v>214.92420000000001</v>
      </c>
      <c r="J2361">
        <v>-414.27589999999998</v>
      </c>
      <c r="K2361">
        <v>1.1047579999999999</v>
      </c>
      <c r="L2361">
        <v>213.76840000000001</v>
      </c>
      <c r="M2361">
        <v>0.99986219999999904</v>
      </c>
      <c r="N2361">
        <v>0</v>
      </c>
      <c r="O2361">
        <v>1.184373E-2</v>
      </c>
      <c r="P2361">
        <v>0.99705509999999997</v>
      </c>
      <c r="Q2361">
        <v>3.000245E-2</v>
      </c>
      <c r="R2361">
        <v>7.0577199999999896E-2</v>
      </c>
      <c r="S2361">
        <v>2.9983520000000001</v>
      </c>
      <c r="T2361">
        <v>-0.24701629999999999</v>
      </c>
      <c r="U2361">
        <v>0.25923160000000001</v>
      </c>
      <c r="V2361">
        <v>-5.8790019999999998E-2</v>
      </c>
      <c r="W2361">
        <v>4.1578999999999998E-2</v>
      </c>
      <c r="X2361">
        <v>0.99740409999999902</v>
      </c>
      <c r="Y2361">
        <v>-7.4120770000000002E-2</v>
      </c>
      <c r="Z2361">
        <v>2.0701700000000001E-3</v>
      </c>
      <c r="AA2361">
        <v>0.99724709999999905</v>
      </c>
      <c r="AB2361">
        <v>27</v>
      </c>
      <c r="AC2361">
        <v>13.140199999999901</v>
      </c>
      <c r="AD2361">
        <v>-1.1047501650239999</v>
      </c>
      <c r="AE2361">
        <v>1.1557999999999899</v>
      </c>
      <c r="AF2361">
        <v>-0.99311353115170398</v>
      </c>
      <c r="AG2361">
        <v>-1.1047501650239999</v>
      </c>
      <c r="AH2361">
        <v>13.061353417848199</v>
      </c>
      <c r="AI2361">
        <v>94.820812257689695</v>
      </c>
      <c r="AJ2361">
        <v>94.3480899405766</v>
      </c>
      <c r="AK2361">
        <v>13.145558204915201</v>
      </c>
    </row>
    <row r="2362" spans="1:37" x14ac:dyDescent="0.2">
      <c r="A2362" t="str">
        <f>"20200111160200154"</f>
        <v>20200111160200154</v>
      </c>
      <c r="B2362" t="str">
        <f>"1578729720144295"</f>
        <v>1578729720144295</v>
      </c>
      <c r="C2362" t="s">
        <v>37</v>
      </c>
      <c r="D2362">
        <v>6.4882169999999997</v>
      </c>
      <c r="E2362">
        <v>0.49612250000000002</v>
      </c>
      <c r="F2362" t="s">
        <v>60</v>
      </c>
      <c r="G2362">
        <v>-401.1105</v>
      </c>
      <c r="H2362" s="1">
        <v>7.847922E-6</v>
      </c>
      <c r="I2362">
        <v>214.91579999999999</v>
      </c>
      <c r="J2362">
        <v>-414.01029999999997</v>
      </c>
      <c r="K2362">
        <v>1.104773</v>
      </c>
      <c r="L2362">
        <v>213.77199999999999</v>
      </c>
      <c r="M2362">
        <v>0.99985400000000002</v>
      </c>
      <c r="N2362">
        <v>0</v>
      </c>
      <c r="O2362">
        <v>1.2234979999999999E-2</v>
      </c>
      <c r="P2362">
        <v>0.99703199999999903</v>
      </c>
      <c r="Q2362">
        <v>2.9168650000000001E-2</v>
      </c>
      <c r="R2362">
        <v>7.1249430000000002E-2</v>
      </c>
      <c r="S2362">
        <v>2.9979550000000001</v>
      </c>
      <c r="T2362">
        <v>-0.25156679999999998</v>
      </c>
      <c r="U2362">
        <v>0.26127620000000001</v>
      </c>
      <c r="V2362">
        <v>-5.907192E-2</v>
      </c>
      <c r="W2362">
        <v>4.1044919999999999E-2</v>
      </c>
      <c r="X2362">
        <v>0.99740960000000001</v>
      </c>
      <c r="Y2362">
        <v>-7.4409429999999999E-2</v>
      </c>
      <c r="Z2362">
        <v>2.087752E-3</v>
      </c>
      <c r="AA2362">
        <v>0.99722559999999905</v>
      </c>
      <c r="AB2362">
        <v>27</v>
      </c>
      <c r="AC2362">
        <v>12.8997999999999</v>
      </c>
      <c r="AD2362">
        <v>-1.104765152078</v>
      </c>
      <c r="AE2362">
        <v>1.14379999999997</v>
      </c>
      <c r="AF2362">
        <v>-0.97875163747107696</v>
      </c>
      <c r="AG2362">
        <v>-1.104765152078</v>
      </c>
      <c r="AH2362">
        <v>12.8195374931061</v>
      </c>
      <c r="AI2362">
        <v>94.911256986797596</v>
      </c>
      <c r="AJ2362">
        <v>94.365973092449394</v>
      </c>
      <c r="AK2362">
        <v>12.904224205517</v>
      </c>
    </row>
    <row r="2363" spans="1:37" x14ac:dyDescent="0.2">
      <c r="A2363" t="str">
        <f>"20200111160200175"</f>
        <v>20200111160200175</v>
      </c>
      <c r="B2363" t="str">
        <f>"1578729720163815"</f>
        <v>1578729720163815</v>
      </c>
      <c r="C2363" t="s">
        <v>37</v>
      </c>
      <c r="D2363">
        <v>5.5059760000000004</v>
      </c>
      <c r="E2363">
        <v>0.49359700000000001</v>
      </c>
      <c r="F2363" t="s">
        <v>60</v>
      </c>
      <c r="G2363">
        <v>-401.0136</v>
      </c>
      <c r="H2363" s="1">
        <v>7.8919849999999905E-6</v>
      </c>
      <c r="I2363">
        <v>214.91050000000001</v>
      </c>
      <c r="J2363">
        <v>-413.75130000000001</v>
      </c>
      <c r="K2363">
        <v>1.104786</v>
      </c>
      <c r="L2363">
        <v>213.7756</v>
      </c>
      <c r="M2363">
        <v>0.99984599999999901</v>
      </c>
      <c r="N2363">
        <v>0</v>
      </c>
      <c r="O2363">
        <v>1.2618249999999999E-2</v>
      </c>
      <c r="P2363">
        <v>0.99696759999999995</v>
      </c>
      <c r="Q2363">
        <v>2.9330189999999999E-2</v>
      </c>
      <c r="R2363">
        <v>7.2080729999999996E-2</v>
      </c>
      <c r="S2363">
        <v>2.9975890000000001</v>
      </c>
      <c r="T2363">
        <v>-0.2548048</v>
      </c>
      <c r="U2363">
        <v>0.2625885</v>
      </c>
      <c r="V2363">
        <v>-5.9521289999999998E-2</v>
      </c>
      <c r="W2363">
        <v>4.146466E-2</v>
      </c>
      <c r="X2363">
        <v>0.99736550000000002</v>
      </c>
      <c r="Y2363">
        <v>-7.4466450000000003E-2</v>
      </c>
      <c r="Z2363">
        <v>2.084706E-3</v>
      </c>
      <c r="AA2363">
        <v>0.99722140000000004</v>
      </c>
      <c r="AB2363">
        <v>27</v>
      </c>
      <c r="AC2363">
        <v>12.7377</v>
      </c>
      <c r="AD2363">
        <v>-1.1047781080150001</v>
      </c>
      <c r="AE2363">
        <v>1.13490000000001</v>
      </c>
      <c r="AF2363">
        <v>-0.96685421830241902</v>
      </c>
      <c r="AG2363">
        <v>-1.1047781080150001</v>
      </c>
      <c r="AH2363">
        <v>12.656546974041801</v>
      </c>
      <c r="AI2363">
        <v>94.974230458085103</v>
      </c>
      <c r="AJ2363">
        <v>94.368433419020903</v>
      </c>
      <c r="AK2363">
        <v>12.741409774963</v>
      </c>
    </row>
    <row r="2364" spans="1:37" x14ac:dyDescent="0.2">
      <c r="A2364" t="str">
        <f>"20200111160200197"</f>
        <v>20200111160200197</v>
      </c>
      <c r="B2364" t="str">
        <f>"1578729720194071"</f>
        <v>1578729720194071</v>
      </c>
      <c r="C2364" t="s">
        <v>37</v>
      </c>
      <c r="D2364">
        <v>5.495018</v>
      </c>
      <c r="E2364">
        <v>0.49403209999999997</v>
      </c>
      <c r="F2364" t="s">
        <v>74</v>
      </c>
      <c r="G2364">
        <v>-157.8382</v>
      </c>
      <c r="H2364">
        <v>2.23774399999999</v>
      </c>
      <c r="I2364">
        <v>236.9888</v>
      </c>
      <c r="J2364">
        <v>-413.48860000000002</v>
      </c>
      <c r="K2364">
        <v>1.1047979999999999</v>
      </c>
      <c r="L2364">
        <v>213.77940000000001</v>
      </c>
      <c r="M2364">
        <v>0.99983820000000001</v>
      </c>
      <c r="N2364">
        <v>0</v>
      </c>
      <c r="O2364">
        <v>1.300778E-2</v>
      </c>
      <c r="P2364">
        <v>0.99694380000000005</v>
      </c>
      <c r="Q2364">
        <v>2.968906E-2</v>
      </c>
      <c r="R2364">
        <v>7.2264949999999994E-2</v>
      </c>
      <c r="S2364">
        <v>2.9891049999999999</v>
      </c>
      <c r="T2364">
        <v>1.3233780000000001E-2</v>
      </c>
      <c r="U2364">
        <v>0.27113340000000002</v>
      </c>
      <c r="V2364">
        <v>-5.9317700000000001E-2</v>
      </c>
      <c r="W2364">
        <v>4.2055429999999998E-2</v>
      </c>
      <c r="X2364">
        <v>0.99735289999999999</v>
      </c>
      <c r="Y2364">
        <v>-7.7372479999999993E-2</v>
      </c>
      <c r="Z2364">
        <v>-1.13459E-4</v>
      </c>
      <c r="AA2364">
        <v>0.99700219999999995</v>
      </c>
      <c r="AB2364">
        <v>27</v>
      </c>
      <c r="AC2364">
        <v>255.65039999999999</v>
      </c>
      <c r="AD2364">
        <v>1.13294599999999</v>
      </c>
      <c r="AE2364">
        <v>23.209399999999899</v>
      </c>
      <c r="AF2364">
        <v>-19.881347941210802</v>
      </c>
      <c r="AG2364">
        <v>1.13294599999999</v>
      </c>
      <c r="AH2364">
        <v>255.92570838875699</v>
      </c>
      <c r="AI2364">
        <v>89.747123423007096</v>
      </c>
      <c r="AJ2364">
        <v>94.442047433724596</v>
      </c>
      <c r="AK2364">
        <v>256.69927887877998</v>
      </c>
    </row>
    <row r="2365" spans="1:37" x14ac:dyDescent="0.2">
      <c r="A2365" t="str">
        <f>"20200111160200219"</f>
        <v>20200111160200219</v>
      </c>
      <c r="B2365" t="str">
        <f>"1578729720213591"</f>
        <v>1578729720213591</v>
      </c>
      <c r="C2365" t="s">
        <v>37</v>
      </c>
      <c r="D2365">
        <v>5.4614929999999999</v>
      </c>
      <c r="E2365">
        <v>0.49868630000000003</v>
      </c>
      <c r="F2365" t="s">
        <v>74</v>
      </c>
      <c r="G2365">
        <v>-157.8382</v>
      </c>
      <c r="H2365">
        <v>3.0541209999999999</v>
      </c>
      <c r="I2365">
        <v>236.68809999999999</v>
      </c>
      <c r="J2365">
        <v>-413.23689999999999</v>
      </c>
      <c r="K2365">
        <v>1.104803</v>
      </c>
      <c r="L2365">
        <v>213.78309999999999</v>
      </c>
      <c r="M2365">
        <v>0.99983080000000002</v>
      </c>
      <c r="N2365">
        <v>0</v>
      </c>
      <c r="O2365">
        <v>1.338083E-2</v>
      </c>
      <c r="P2365">
        <v>0.99693039999999999</v>
      </c>
      <c r="Q2365">
        <v>3.0150759999999999E-2</v>
      </c>
      <c r="R2365">
        <v>7.2257660000000001E-2</v>
      </c>
      <c r="S2365">
        <v>2.9891049999999999</v>
      </c>
      <c r="T2365">
        <v>2.279246E-2</v>
      </c>
      <c r="U2365">
        <v>0.2678528</v>
      </c>
      <c r="V2365">
        <v>-5.8938440000000002E-2</v>
      </c>
      <c r="W2365">
        <v>4.271287E-2</v>
      </c>
      <c r="X2365">
        <v>0.9973474</v>
      </c>
      <c r="Y2365">
        <v>-7.5913789999999995E-2</v>
      </c>
      <c r="Z2365">
        <v>-1.8702890000000001E-4</v>
      </c>
      <c r="AA2365">
        <v>0.99711439999999996</v>
      </c>
      <c r="AB2365">
        <v>27</v>
      </c>
      <c r="AC2365">
        <v>255.39869999999999</v>
      </c>
      <c r="AD2365">
        <v>1.9493180000000001</v>
      </c>
      <c r="AE2365">
        <v>22.905000000000001</v>
      </c>
      <c r="AF2365">
        <v>-19.484104212119799</v>
      </c>
      <c r="AG2365">
        <v>1.9493180000000001</v>
      </c>
      <c r="AH2365">
        <v>255.667568626004</v>
      </c>
      <c r="AI2365">
        <v>89.564424118922702</v>
      </c>
      <c r="AJ2365">
        <v>94.358015615384303</v>
      </c>
      <c r="AK2365">
        <v>256.41633295238103</v>
      </c>
    </row>
    <row r="2366" spans="1:37" x14ac:dyDescent="0.2">
      <c r="A2366" t="str">
        <f>"20200111160200244"</f>
        <v>20200111160200244</v>
      </c>
      <c r="B2366" t="str">
        <f>"1578729720234088"</f>
        <v>1578729720234088</v>
      </c>
      <c r="C2366" t="s">
        <v>37</v>
      </c>
      <c r="D2366">
        <v>5.5197830000000003</v>
      </c>
      <c r="E2366">
        <v>0.49775249999999999</v>
      </c>
      <c r="F2366" t="s">
        <v>60</v>
      </c>
      <c r="G2366">
        <v>-401.30709999999999</v>
      </c>
      <c r="H2366" s="1">
        <v>7.7919669999999905E-6</v>
      </c>
      <c r="I2366">
        <v>214.7647</v>
      </c>
      <c r="J2366">
        <v>-412.94299999999998</v>
      </c>
      <c r="K2366">
        <v>1.1048039999999999</v>
      </c>
      <c r="L2366">
        <v>213.78749999999999</v>
      </c>
      <c r="M2366">
        <v>0.9998224</v>
      </c>
      <c r="N2366">
        <v>0</v>
      </c>
      <c r="O2366">
        <v>1.3815940000000001E-2</v>
      </c>
      <c r="P2366">
        <v>0.99691589999999997</v>
      </c>
      <c r="Q2366">
        <v>3.0714350000000001E-2</v>
      </c>
      <c r="R2366">
        <v>7.2217569999999995E-2</v>
      </c>
      <c r="S2366">
        <v>2.9997859999999998</v>
      </c>
      <c r="T2366">
        <v>-0.27780270000000001</v>
      </c>
      <c r="U2366">
        <v>0.2468262</v>
      </c>
      <c r="V2366">
        <v>-5.8464750000000003E-2</v>
      </c>
      <c r="W2366">
        <v>4.3474619999999999E-2</v>
      </c>
      <c r="X2366">
        <v>0.99734239999999996</v>
      </c>
      <c r="Y2366">
        <v>-6.7995559999999997E-2</v>
      </c>
      <c r="Z2366">
        <v>1.8619800000000001E-3</v>
      </c>
      <c r="AA2366">
        <v>0.99768389999999996</v>
      </c>
      <c r="AB2366">
        <v>26</v>
      </c>
      <c r="AC2366">
        <v>11.635899999999999</v>
      </c>
      <c r="AD2366">
        <v>-1.1047962080329901</v>
      </c>
      <c r="AE2366">
        <v>0.97720000000000995</v>
      </c>
      <c r="AF2366">
        <v>-0.80908977386887904</v>
      </c>
      <c r="AG2366">
        <v>-1.1047962080329901</v>
      </c>
      <c r="AH2366">
        <v>11.5449428454169</v>
      </c>
      <c r="AI2366">
        <v>95.452994839194304</v>
      </c>
      <c r="AJ2366">
        <v>94.008833884345293</v>
      </c>
      <c r="AK2366">
        <v>11.625872278130601</v>
      </c>
    </row>
    <row r="2367" spans="1:37" x14ac:dyDescent="0.2">
      <c r="A2367" t="str">
        <f>"20200111160200265"</f>
        <v>20200111160200265</v>
      </c>
      <c r="B2367" t="str">
        <f>"1578729720253607"</f>
        <v>1578729720253607</v>
      </c>
      <c r="C2367" t="s">
        <v>37</v>
      </c>
      <c r="D2367">
        <v>5.4561449999999896</v>
      </c>
      <c r="E2367">
        <v>0.49786589999999997</v>
      </c>
      <c r="F2367" t="s">
        <v>60</v>
      </c>
      <c r="G2367">
        <v>-400.90480000000002</v>
      </c>
      <c r="H2367" s="1">
        <v>7.961617E-6</v>
      </c>
      <c r="I2367">
        <v>214.80690000000001</v>
      </c>
      <c r="J2367">
        <v>-412.6875</v>
      </c>
      <c r="K2367">
        <v>1.1048069999999901</v>
      </c>
      <c r="L2367">
        <v>213.79150000000001</v>
      </c>
      <c r="M2367">
        <v>0.99981500000000001</v>
      </c>
      <c r="N2367">
        <v>0</v>
      </c>
      <c r="O2367">
        <v>1.4194119999999999E-2</v>
      </c>
      <c r="P2367">
        <v>0.99691350000000001</v>
      </c>
      <c r="Q2367">
        <v>3.0721299999999899E-2</v>
      </c>
      <c r="R2367">
        <v>7.2248530000000005E-2</v>
      </c>
      <c r="S2367">
        <v>2.9993590000000001</v>
      </c>
      <c r="T2367">
        <v>-0.27526469999999997</v>
      </c>
      <c r="U2367">
        <v>0.2539825</v>
      </c>
      <c r="V2367">
        <v>-5.811765E-2</v>
      </c>
      <c r="W2367">
        <v>4.3631360000000001E-2</v>
      </c>
      <c r="X2367">
        <v>0.99735580000000001</v>
      </c>
      <c r="Y2367">
        <v>-6.9991020000000001E-2</v>
      </c>
      <c r="Z2367">
        <v>1.9017699999999999E-3</v>
      </c>
      <c r="AA2367">
        <v>0.99754580000000004</v>
      </c>
      <c r="AB2367">
        <v>26</v>
      </c>
      <c r="AC2367">
        <v>11.782699999999901</v>
      </c>
      <c r="AD2367">
        <v>-1.104799038383</v>
      </c>
      <c r="AE2367">
        <v>1.0153999999999901</v>
      </c>
      <c r="AF2367">
        <v>-0.84070176010461395</v>
      </c>
      <c r="AG2367">
        <v>-1.104799038383</v>
      </c>
      <c r="AH2367">
        <v>11.6938746047325</v>
      </c>
      <c r="AI2367">
        <v>95.383286086720204</v>
      </c>
      <c r="AJ2367">
        <v>94.112061541128497</v>
      </c>
      <c r="AK2367">
        <v>11.7759952291033</v>
      </c>
    </row>
    <row r="2368" spans="1:37" x14ac:dyDescent="0.2">
      <c r="A2368" t="str">
        <f>"20200111160200288"</f>
        <v>20200111160200288</v>
      </c>
      <c r="B2368" t="str">
        <f>"1578729720283863"</f>
        <v>1578729720283863</v>
      </c>
      <c r="C2368" t="s">
        <v>37</v>
      </c>
      <c r="D2368">
        <v>5.5363689999999997</v>
      </c>
      <c r="E2368">
        <v>0.49765150000000002</v>
      </c>
      <c r="F2368" t="s">
        <v>60</v>
      </c>
      <c r="G2368">
        <v>-400.8426</v>
      </c>
      <c r="H2368" s="1">
        <v>7.9924910000000005E-6</v>
      </c>
      <c r="I2368">
        <v>214.7911</v>
      </c>
      <c r="J2368">
        <v>-412.42</v>
      </c>
      <c r="K2368">
        <v>1.104808</v>
      </c>
      <c r="L2368">
        <v>213.79570000000001</v>
      </c>
      <c r="M2368">
        <v>0.99980749999999996</v>
      </c>
      <c r="N2368">
        <v>0</v>
      </c>
      <c r="O2368">
        <v>1.459008E-2</v>
      </c>
      <c r="P2368">
        <v>0.99689499999999998</v>
      </c>
      <c r="Q2368">
        <v>3.0086410000000001E-2</v>
      </c>
      <c r="R2368">
        <v>7.2767109999999996E-2</v>
      </c>
      <c r="S2368">
        <v>2.999603</v>
      </c>
      <c r="T2368">
        <v>-0.27977849999999999</v>
      </c>
      <c r="U2368">
        <v>0.25314330000000002</v>
      </c>
      <c r="V2368">
        <v>-5.8241130000000002E-2</v>
      </c>
      <c r="W2368">
        <v>4.3132579999999997E-2</v>
      </c>
      <c r="X2368">
        <v>0.99737030000000004</v>
      </c>
      <c r="Y2368">
        <v>-6.9308980000000006E-2</v>
      </c>
      <c r="Z2368">
        <v>1.864227E-3</v>
      </c>
      <c r="AA2368">
        <v>0.99759349999999902</v>
      </c>
      <c r="AB2368">
        <v>26</v>
      </c>
      <c r="AC2368">
        <v>11.577400000000001</v>
      </c>
      <c r="AD2368">
        <v>-1.1048000075090001</v>
      </c>
      <c r="AE2368">
        <v>0.99539999999998896</v>
      </c>
      <c r="AF2368">
        <v>-0.81896126287489401</v>
      </c>
      <c r="AG2368">
        <v>-1.1048000075090001</v>
      </c>
      <c r="AH2368">
        <v>11.486855719426901</v>
      </c>
      <c r="AI2368">
        <v>95.4799559879349</v>
      </c>
      <c r="AJ2368">
        <v>94.078031679145198</v>
      </c>
      <c r="AK2368">
        <v>11.568886503272999</v>
      </c>
    </row>
    <row r="2369" spans="1:37" x14ac:dyDescent="0.2">
      <c r="A2369" t="str">
        <f>"20200111160200312"</f>
        <v>20200111160200312</v>
      </c>
      <c r="B2369" t="str">
        <f>"1578729720304359"</f>
        <v>1578729720304359</v>
      </c>
      <c r="C2369" t="s">
        <v>37</v>
      </c>
      <c r="D2369">
        <v>5.487368</v>
      </c>
      <c r="E2369">
        <v>0.49775000000000003</v>
      </c>
      <c r="F2369" t="s">
        <v>60</v>
      </c>
      <c r="G2369">
        <v>-400.56369999999998</v>
      </c>
      <c r="H2369" s="1">
        <v>8.1124939999999992E-6</v>
      </c>
      <c r="I2369">
        <v>214.80889999999999</v>
      </c>
      <c r="J2369">
        <v>-412.1447</v>
      </c>
      <c r="K2369">
        <v>1.1048129999999901</v>
      </c>
      <c r="L2369">
        <v>213.80019999999999</v>
      </c>
      <c r="M2369">
        <v>0.99980000000000002</v>
      </c>
      <c r="N2369">
        <v>0</v>
      </c>
      <c r="O2369">
        <v>1.499823E-2</v>
      </c>
      <c r="P2369">
        <v>0.99687859999999995</v>
      </c>
      <c r="Q2369">
        <v>2.9405790000000001E-2</v>
      </c>
      <c r="R2369">
        <v>7.3270950000000001E-2</v>
      </c>
      <c r="S2369">
        <v>2.9990839999999999</v>
      </c>
      <c r="T2369">
        <v>-0.27946100000000001</v>
      </c>
      <c r="U2369">
        <v>0.25628659999999998</v>
      </c>
      <c r="V2369">
        <v>-5.8337189999999997E-2</v>
      </c>
      <c r="W2369">
        <v>4.2571850000000001E-2</v>
      </c>
      <c r="X2369">
        <v>0.99738879999999996</v>
      </c>
      <c r="Y2369">
        <v>-6.9953699999999994E-2</v>
      </c>
      <c r="Z2369">
        <v>1.8544079999999899E-3</v>
      </c>
      <c r="AA2369">
        <v>0.99754849999999995</v>
      </c>
      <c r="AB2369">
        <v>26</v>
      </c>
      <c r="AC2369">
        <v>11.581</v>
      </c>
      <c r="AD2369">
        <v>-1.1048048875059999</v>
      </c>
      <c r="AE2369">
        <v>1.0086999999999999</v>
      </c>
      <c r="AF2369">
        <v>-0.82740348926367202</v>
      </c>
      <c r="AG2369">
        <v>-1.1048048875059999</v>
      </c>
      <c r="AH2369">
        <v>11.4910370638245</v>
      </c>
      <c r="AI2369">
        <v>95.477723063112094</v>
      </c>
      <c r="AJ2369">
        <v>94.118431874594407</v>
      </c>
      <c r="AK2369">
        <v>11.5736391500552</v>
      </c>
    </row>
    <row r="2370" spans="1:37" x14ac:dyDescent="0.2">
      <c r="A2370" t="str">
        <f>"20200111160200331"</f>
        <v>20200111160200331</v>
      </c>
      <c r="B2370" t="str">
        <f>"1578729720323879"</f>
        <v>1578729720323879</v>
      </c>
      <c r="C2370" t="s">
        <v>37</v>
      </c>
      <c r="D2370">
        <v>5.6452439999999999</v>
      </c>
      <c r="E2370">
        <v>0.49752259999999998</v>
      </c>
      <c r="F2370" t="s">
        <v>60</v>
      </c>
      <c r="G2370">
        <v>-400.4907</v>
      </c>
      <c r="H2370" s="1">
        <v>8.1465219999999992E-6</v>
      </c>
      <c r="I2370">
        <v>214.80080000000001</v>
      </c>
      <c r="J2370">
        <v>-411.91239999999999</v>
      </c>
      <c r="K2370">
        <v>1.1048180000000001</v>
      </c>
      <c r="L2370">
        <v>213.80410000000001</v>
      </c>
      <c r="M2370">
        <v>0.9997935</v>
      </c>
      <c r="N2370">
        <v>0</v>
      </c>
      <c r="O2370">
        <v>1.5342639999999999E-2</v>
      </c>
      <c r="P2370">
        <v>0.99685279999999998</v>
      </c>
      <c r="Q2370">
        <v>2.9006810000000001E-2</v>
      </c>
      <c r="R2370">
        <v>7.3779949999999997E-2</v>
      </c>
      <c r="S2370">
        <v>2.9988709999999998</v>
      </c>
      <c r="T2370">
        <v>-0.28429569999999998</v>
      </c>
      <c r="U2370">
        <v>0.25747680000000001</v>
      </c>
      <c r="V2370">
        <v>-5.8502510000000001E-2</v>
      </c>
      <c r="W2370">
        <v>4.2260279999999997E-2</v>
      </c>
      <c r="X2370">
        <v>0.99739239999999996</v>
      </c>
      <c r="Y2370">
        <v>-7.0002179999999997E-2</v>
      </c>
      <c r="Z2370">
        <v>1.8562310000000001E-3</v>
      </c>
      <c r="AA2370">
        <v>0.99754509999999996</v>
      </c>
      <c r="AB2370">
        <v>26</v>
      </c>
      <c r="AC2370">
        <v>11.4216999999999</v>
      </c>
      <c r="AD2370">
        <v>-1.104809853478</v>
      </c>
      <c r="AE2370">
        <v>0.99670000000000403</v>
      </c>
      <c r="AF2370">
        <v>-0.81377155738899598</v>
      </c>
      <c r="AG2370">
        <v>-1.104809853478</v>
      </c>
      <c r="AH2370">
        <v>11.330436650818999</v>
      </c>
      <c r="AI2370">
        <v>95.554980299937498</v>
      </c>
      <c r="AJ2370">
        <v>94.108028109858793</v>
      </c>
      <c r="AK2370">
        <v>11.4132214408633</v>
      </c>
    </row>
    <row r="2371" spans="1:37" x14ac:dyDescent="0.2">
      <c r="A2371" t="str">
        <f>"20200111160200357"</f>
        <v>20200111160200357</v>
      </c>
      <c r="B2371" t="str">
        <f>"1578729720344376"</f>
        <v>1578729720344376</v>
      </c>
      <c r="C2371" t="s">
        <v>37</v>
      </c>
      <c r="D2371">
        <v>6.5398540000000001</v>
      </c>
      <c r="E2371">
        <v>0.49735249999999998</v>
      </c>
      <c r="F2371" t="s">
        <v>60</v>
      </c>
      <c r="G2371">
        <v>-400.29340000000002</v>
      </c>
      <c r="H2371" s="1">
        <v>8.2313250000000003E-6</v>
      </c>
      <c r="I2371">
        <v>214.81389999999999</v>
      </c>
      <c r="J2371">
        <v>-411.63929999999999</v>
      </c>
      <c r="K2371">
        <v>1.1048279999999999</v>
      </c>
      <c r="L2371">
        <v>213.80879999999999</v>
      </c>
      <c r="M2371">
        <v>0.99978609999999901</v>
      </c>
      <c r="N2371">
        <v>0</v>
      </c>
      <c r="O2371">
        <v>1.5747279999999999E-2</v>
      </c>
      <c r="P2371">
        <v>0.99680749999999996</v>
      </c>
      <c r="Q2371">
        <v>2.905307E-2</v>
      </c>
      <c r="R2371">
        <v>7.4369749999999998E-2</v>
      </c>
      <c r="S2371">
        <v>2.9984739999999999</v>
      </c>
      <c r="T2371">
        <v>-0.28511510000000001</v>
      </c>
      <c r="U2371">
        <v>0.26058959999999998</v>
      </c>
      <c r="V2371">
        <v>-5.8688599999999903E-2</v>
      </c>
      <c r="W2371">
        <v>4.2395580000000002E-2</v>
      </c>
      <c r="X2371">
        <v>0.99737569999999998</v>
      </c>
      <c r="Y2371">
        <v>-7.0635130000000004E-2</v>
      </c>
      <c r="Z2371">
        <v>1.8533849999999999E-3</v>
      </c>
      <c r="AA2371">
        <v>0.99750049999999901</v>
      </c>
      <c r="AB2371">
        <v>26</v>
      </c>
      <c r="AC2371">
        <v>11.345899999999901</v>
      </c>
      <c r="AD2371">
        <v>-1.1048197686750001</v>
      </c>
      <c r="AE2371">
        <v>1.0050999999999899</v>
      </c>
      <c r="AF2371">
        <v>-0.81859069499932102</v>
      </c>
      <c r="AG2371">
        <v>-1.1048197686750001</v>
      </c>
      <c r="AH2371">
        <v>11.2544370574574</v>
      </c>
      <c r="AI2371">
        <v>95.591940298934105</v>
      </c>
      <c r="AJ2371">
        <v>94.160078731937006</v>
      </c>
      <c r="AK2371">
        <v>11.338124665369699</v>
      </c>
    </row>
    <row r="2372" spans="1:37" x14ac:dyDescent="0.2">
      <c r="A2372" t="str">
        <f>"20200111160200377"</f>
        <v>20200111160200377</v>
      </c>
      <c r="B2372" t="str">
        <f>"1578729720373655"</f>
        <v>1578729720373655</v>
      </c>
      <c r="C2372" t="s">
        <v>37</v>
      </c>
      <c r="D2372">
        <v>5.5928079999999998</v>
      </c>
      <c r="E2372">
        <v>0.49749259999999901</v>
      </c>
      <c r="F2372" t="s">
        <v>60</v>
      </c>
      <c r="G2372">
        <v>-399.9803</v>
      </c>
      <c r="H2372" s="1">
        <v>8.3661309999999992E-6</v>
      </c>
      <c r="I2372">
        <v>214.83349999999999</v>
      </c>
      <c r="J2372">
        <v>-411.37619999999998</v>
      </c>
      <c r="K2372">
        <v>1.104835</v>
      </c>
      <c r="L2372">
        <v>213.8134</v>
      </c>
      <c r="M2372">
        <v>0.99977890000000003</v>
      </c>
      <c r="N2372">
        <v>0</v>
      </c>
      <c r="O2372">
        <v>1.61373E-2</v>
      </c>
      <c r="P2372">
        <v>0.99679399999999996</v>
      </c>
      <c r="Q2372">
        <v>2.9056200000000001E-2</v>
      </c>
      <c r="R2372">
        <v>7.4547479999999999E-2</v>
      </c>
      <c r="S2372">
        <v>2.99823</v>
      </c>
      <c r="T2372">
        <v>-0.28411500000000001</v>
      </c>
      <c r="U2372">
        <v>0.26351929999999901</v>
      </c>
      <c r="V2372">
        <v>-5.8477729999999999E-2</v>
      </c>
      <c r="W2372">
        <v>4.2472759999999998E-2</v>
      </c>
      <c r="X2372">
        <v>0.99738479999999996</v>
      </c>
      <c r="Y2372">
        <v>-7.1221119999999999E-2</v>
      </c>
      <c r="Z2372">
        <v>1.837841E-3</v>
      </c>
      <c r="AA2372">
        <v>0.99745890000000004</v>
      </c>
      <c r="AB2372">
        <v>26</v>
      </c>
      <c r="AC2372">
        <v>11.3958999999999</v>
      </c>
      <c r="AD2372">
        <v>-1.10482663386899</v>
      </c>
      <c r="AE2372">
        <v>1.02009999999998</v>
      </c>
      <c r="AF2372">
        <v>-0.82832764362195899</v>
      </c>
      <c r="AG2372">
        <v>-1.10482663386899</v>
      </c>
      <c r="AH2372">
        <v>11.3054613485453</v>
      </c>
      <c r="AI2372">
        <v>95.566681679810003</v>
      </c>
      <c r="AJ2372">
        <v>94.190454940402304</v>
      </c>
      <c r="AK2372">
        <v>11.3894786921767</v>
      </c>
    </row>
    <row r="2373" spans="1:37" x14ac:dyDescent="0.2">
      <c r="A2373" t="str">
        <f>"20200111160200399"</f>
        <v>20200111160200399</v>
      </c>
      <c r="B2373" t="str">
        <f>"1578729720394151"</f>
        <v>1578729720394151</v>
      </c>
      <c r="C2373" t="s">
        <v>37</v>
      </c>
      <c r="D2373">
        <v>5.5917260000000004</v>
      </c>
      <c r="E2373">
        <v>0.49926340000000002</v>
      </c>
      <c r="F2373" t="s">
        <v>57</v>
      </c>
      <c r="G2373">
        <v>-399.71249999999998</v>
      </c>
      <c r="H2373" s="1">
        <v>3.6317380000000001E-6</v>
      </c>
      <c r="I2373">
        <v>214.8357</v>
      </c>
      <c r="J2373">
        <v>-411.12389999999999</v>
      </c>
      <c r="K2373">
        <v>1.10484</v>
      </c>
      <c r="L2373">
        <v>213.81790000000001</v>
      </c>
      <c r="M2373">
        <v>0.99977199999999899</v>
      </c>
      <c r="N2373">
        <v>0</v>
      </c>
      <c r="O2373">
        <v>1.651089E-2</v>
      </c>
      <c r="P2373">
        <v>0.99677649999999995</v>
      </c>
      <c r="Q2373">
        <v>2.8856449999999999E-2</v>
      </c>
      <c r="R2373">
        <v>7.4861949999999997E-2</v>
      </c>
      <c r="S2373">
        <v>2.9982599999999899</v>
      </c>
      <c r="T2373">
        <v>-0.28400890000000001</v>
      </c>
      <c r="U2373">
        <v>0.26280209999999998</v>
      </c>
      <c r="V2373">
        <v>-5.8419569999999997E-2</v>
      </c>
      <c r="W2373">
        <v>4.2334129999999998E-2</v>
      </c>
      <c r="X2373">
        <v>0.99739409999999895</v>
      </c>
      <c r="Y2373">
        <v>-7.0615269999999994E-2</v>
      </c>
      <c r="Z2373">
        <v>1.7733510000000001E-3</v>
      </c>
      <c r="AA2373">
        <v>0.997502</v>
      </c>
      <c r="AB2373">
        <v>26</v>
      </c>
      <c r="AC2373">
        <v>11.4114</v>
      </c>
      <c r="AD2373">
        <v>-1.1048363682619999</v>
      </c>
      <c r="AE2373">
        <v>1.01779999999999</v>
      </c>
      <c r="AF2373">
        <v>-0.82159090158091397</v>
      </c>
      <c r="AG2373">
        <v>-1.1048363682619999</v>
      </c>
      <c r="AH2373">
        <v>11.321363300732999</v>
      </c>
      <c r="AI2373">
        <v>95.559240084198194</v>
      </c>
      <c r="AJ2373">
        <v>94.1506763587048</v>
      </c>
      <c r="AK2373">
        <v>11.4047771568488</v>
      </c>
    </row>
    <row r="2374" spans="1:37" x14ac:dyDescent="0.2">
      <c r="A2374" t="str">
        <f>"20200111160200420"</f>
        <v>20200111160200420</v>
      </c>
      <c r="B2374" t="str">
        <f>"1578729720413671"</f>
        <v>1578729720413671</v>
      </c>
      <c r="C2374" t="s">
        <v>37</v>
      </c>
      <c r="D2374">
        <v>5.5926549999999997</v>
      </c>
      <c r="E2374">
        <v>0.49862659999999998</v>
      </c>
      <c r="F2374" t="s">
        <v>57</v>
      </c>
      <c r="G2374">
        <v>-399.5822</v>
      </c>
      <c r="H2374" s="1">
        <v>3.5623739999999899E-6</v>
      </c>
      <c r="I2374">
        <v>214.77979999999999</v>
      </c>
      <c r="J2374">
        <v>-410.8734</v>
      </c>
      <c r="K2374">
        <v>1.1048500000000001</v>
      </c>
      <c r="L2374">
        <v>213.82239999999999</v>
      </c>
      <c r="M2374">
        <v>0.99976500000000001</v>
      </c>
      <c r="N2374">
        <v>0</v>
      </c>
      <c r="O2374">
        <v>1.6882270000000001E-2</v>
      </c>
      <c r="P2374">
        <v>0.99678630000000001</v>
      </c>
      <c r="Q2374">
        <v>2.8379990000000001E-2</v>
      </c>
      <c r="R2374">
        <v>7.491188E-2</v>
      </c>
      <c r="S2374">
        <v>2.9992369999999999</v>
      </c>
      <c r="T2374">
        <v>-0.28710269999999999</v>
      </c>
      <c r="U2374">
        <v>0.24995419999999999</v>
      </c>
      <c r="V2374">
        <v>-5.8098150000000001E-2</v>
      </c>
      <c r="W2374">
        <v>4.1911070000000002E-2</v>
      </c>
      <c r="X2374">
        <v>0.997430699999999</v>
      </c>
      <c r="Y2374">
        <v>-6.5991170000000002E-2</v>
      </c>
      <c r="Z2374">
        <v>1.5364789999999899E-3</v>
      </c>
      <c r="AA2374">
        <v>0.99781900000000001</v>
      </c>
      <c r="AB2374">
        <v>26</v>
      </c>
      <c r="AC2374">
        <v>11.2912</v>
      </c>
      <c r="AD2374">
        <v>-1.1048464376260001</v>
      </c>
      <c r="AE2374">
        <v>0.95740000000000602</v>
      </c>
      <c r="AF2374">
        <v>-0.75940566202211801</v>
      </c>
      <c r="AG2374">
        <v>-1.1048464376260001</v>
      </c>
      <c r="AH2374">
        <v>11.199291073616999</v>
      </c>
      <c r="AI2374">
        <v>95.621358120396906</v>
      </c>
      <c r="AJ2374">
        <v>93.879195152971704</v>
      </c>
      <c r="AK2374">
        <v>11.279251001810501</v>
      </c>
    </row>
    <row r="2375" spans="1:37" x14ac:dyDescent="0.2">
      <c r="A2375" t="str">
        <f>"20200111160200443"</f>
        <v>20200111160200443</v>
      </c>
      <c r="B2375" t="str">
        <f>"1578729720434167"</f>
        <v>1578729720434167</v>
      </c>
      <c r="C2375" t="s">
        <v>37</v>
      </c>
      <c r="D2375">
        <v>5.6002780000000003</v>
      </c>
      <c r="E2375">
        <v>0.49809330000000002</v>
      </c>
      <c r="F2375" t="s">
        <v>57</v>
      </c>
      <c r="G2375">
        <v>-399.24699999999899</v>
      </c>
      <c r="H2375" s="1">
        <v>3.384026E-6</v>
      </c>
      <c r="I2375">
        <v>214.81020000000001</v>
      </c>
      <c r="J2375">
        <v>-410.59589999999997</v>
      </c>
      <c r="K2375">
        <v>1.104854</v>
      </c>
      <c r="L2375">
        <v>213.82759999999999</v>
      </c>
      <c r="M2375">
        <v>0.99975749999999997</v>
      </c>
      <c r="N2375">
        <v>0</v>
      </c>
      <c r="O2375">
        <v>1.7293780000000002E-2</v>
      </c>
      <c r="P2375">
        <v>0.99680449999999998</v>
      </c>
      <c r="Q2375">
        <v>2.8169469999999999E-2</v>
      </c>
      <c r="R2375">
        <v>7.4749780000000002E-2</v>
      </c>
      <c r="S2375">
        <v>2.9986570000000001</v>
      </c>
      <c r="T2375">
        <v>-0.2849604</v>
      </c>
      <c r="U2375">
        <v>0.25476070000000001</v>
      </c>
      <c r="V2375">
        <v>-5.7524939999999997E-2</v>
      </c>
      <c r="W2375">
        <v>4.1750990000000002E-2</v>
      </c>
      <c r="X2375">
        <v>0.99747070000000004</v>
      </c>
      <c r="Y2375">
        <v>-6.7184279999999999E-2</v>
      </c>
      <c r="Z2375">
        <v>1.54279E-3</v>
      </c>
      <c r="AA2375">
        <v>0.99773940000000005</v>
      </c>
      <c r="AB2375">
        <v>26</v>
      </c>
      <c r="AC2375">
        <v>11.3489</v>
      </c>
      <c r="AD2375">
        <v>-1.1048506159739999</v>
      </c>
      <c r="AE2375">
        <v>0.98260000000001901</v>
      </c>
      <c r="AF2375">
        <v>-0.77884274639646001</v>
      </c>
      <c r="AG2375">
        <v>-1.1048506159739999</v>
      </c>
      <c r="AH2375">
        <v>11.258288978983099</v>
      </c>
      <c r="AI2375">
        <v>95.591588805338205</v>
      </c>
      <c r="AJ2375">
        <v>93.957388037860596</v>
      </c>
      <c r="AK2375">
        <v>11.3391517161349</v>
      </c>
    </row>
    <row r="2376" spans="1:37" x14ac:dyDescent="0.2">
      <c r="A2376" t="str">
        <f>"20200111160200466"</f>
        <v>20200111160200466</v>
      </c>
      <c r="B2376" t="str">
        <f>"1578729720454663"</f>
        <v>1578729720454663</v>
      </c>
      <c r="C2376" t="s">
        <v>37</v>
      </c>
      <c r="D2376">
        <v>5.4437230000000003</v>
      </c>
      <c r="E2376">
        <v>0.49825749999999902</v>
      </c>
      <c r="F2376" t="s">
        <v>57</v>
      </c>
      <c r="G2376">
        <v>-398.88589999999999</v>
      </c>
      <c r="H2376" s="1">
        <v>3.191828E-6</v>
      </c>
      <c r="I2376">
        <v>214.8364</v>
      </c>
      <c r="J2376">
        <v>-410.34449999999998</v>
      </c>
      <c r="K2376">
        <v>1.104859</v>
      </c>
      <c r="L2376">
        <v>213.83240000000001</v>
      </c>
      <c r="M2376">
        <v>0.99975029999999998</v>
      </c>
      <c r="N2376">
        <v>0</v>
      </c>
      <c r="O2376">
        <v>1.76668E-2</v>
      </c>
      <c r="P2376">
        <v>0.9968264</v>
      </c>
      <c r="Q2376">
        <v>2.820659E-2</v>
      </c>
      <c r="R2376">
        <v>7.4443510000000004E-2</v>
      </c>
      <c r="S2376">
        <v>2.99823</v>
      </c>
      <c r="T2376">
        <v>-0.28288409999999897</v>
      </c>
      <c r="U2376">
        <v>0.2582855</v>
      </c>
      <c r="V2376">
        <v>-5.6846029999999999E-2</v>
      </c>
      <c r="W2376">
        <v>4.1827219999999998E-2</v>
      </c>
      <c r="X2376">
        <v>0.99750640000000002</v>
      </c>
      <c r="Y2376">
        <v>-6.7989709999999995E-2</v>
      </c>
      <c r="Z2376">
        <v>1.5345459999999999E-3</v>
      </c>
      <c r="AA2376">
        <v>0.99768480000000004</v>
      </c>
      <c r="AB2376">
        <v>26</v>
      </c>
      <c r="AC2376">
        <v>11.458599999999899</v>
      </c>
      <c r="AD2376">
        <v>-1.1048558081719999</v>
      </c>
      <c r="AE2376">
        <v>1.00399999999999</v>
      </c>
      <c r="AF2376">
        <v>-0.79406129675344495</v>
      </c>
      <c r="AG2376">
        <v>-1.1048558081719999</v>
      </c>
      <c r="AH2376">
        <v>11.3696508624743</v>
      </c>
      <c r="AI2376">
        <v>95.536937396839093</v>
      </c>
      <c r="AJ2376">
        <v>93.9950746905579</v>
      </c>
      <c r="AK2376">
        <v>11.4507729186469</v>
      </c>
    </row>
    <row r="2377" spans="1:37" x14ac:dyDescent="0.2">
      <c r="A2377" t="str">
        <f>"20200111160200487"</f>
        <v>20200111160200487</v>
      </c>
      <c r="B2377" t="str">
        <f>"1578729720483943"</f>
        <v>1578729720483943</v>
      </c>
      <c r="C2377" t="s">
        <v>37</v>
      </c>
      <c r="D2377">
        <v>5.6528369999999999</v>
      </c>
      <c r="E2377">
        <v>0.4980946</v>
      </c>
      <c r="F2377" t="s">
        <v>57</v>
      </c>
      <c r="G2377">
        <v>-398.74619999999999</v>
      </c>
      <c r="H2377" s="1">
        <v>3.1175179999999999E-6</v>
      </c>
      <c r="I2377">
        <v>214.82320000000001</v>
      </c>
      <c r="J2377">
        <v>-410.08699999999999</v>
      </c>
      <c r="K2377">
        <v>1.1048659999999999</v>
      </c>
      <c r="L2377">
        <v>213.8374</v>
      </c>
      <c r="M2377">
        <v>0.99974300000000005</v>
      </c>
      <c r="N2377">
        <v>0</v>
      </c>
      <c r="O2377">
        <v>1.804915E-2</v>
      </c>
      <c r="P2377">
        <v>0.99684349999999999</v>
      </c>
      <c r="Q2377">
        <v>2.851559E-2</v>
      </c>
      <c r="R2377">
        <v>7.4094939999999998E-2</v>
      </c>
      <c r="S2377">
        <v>2.998535</v>
      </c>
      <c r="T2377">
        <v>-0.28564050000000002</v>
      </c>
      <c r="U2377">
        <v>0.25614929999999902</v>
      </c>
      <c r="V2377">
        <v>-5.611555E-2</v>
      </c>
      <c r="W2377">
        <v>4.2170720000000002E-2</v>
      </c>
      <c r="X2377">
        <v>0.99753329999999996</v>
      </c>
      <c r="Y2377">
        <v>-6.6896159999999996E-2</v>
      </c>
      <c r="Z2377">
        <v>1.4611839999999999E-3</v>
      </c>
      <c r="AA2377">
        <v>0.9977589</v>
      </c>
      <c r="AB2377">
        <v>26</v>
      </c>
      <c r="AC2377">
        <v>11.3408</v>
      </c>
      <c r="AD2377">
        <v>-1.1048628824819999</v>
      </c>
      <c r="AE2377">
        <v>0.985800000000011</v>
      </c>
      <c r="AF2377">
        <v>-0.77364047376648104</v>
      </c>
      <c r="AG2377">
        <v>-1.1048628824819999</v>
      </c>
      <c r="AH2377">
        <v>11.2507623207593</v>
      </c>
      <c r="AI2377">
        <v>95.595526339052995</v>
      </c>
      <c r="AJ2377">
        <v>93.933659429705997</v>
      </c>
      <c r="AK2377">
        <v>11.331323593029699</v>
      </c>
    </row>
    <row r="2378" spans="1:37" x14ac:dyDescent="0.2">
      <c r="A2378" t="str">
        <f>"20200111160200509"</f>
        <v>20200111160200509</v>
      </c>
      <c r="B2378" t="str">
        <f>"1578729720504440"</f>
        <v>1578729720504440</v>
      </c>
      <c r="C2378" t="s">
        <v>37</v>
      </c>
      <c r="D2378">
        <v>5.4946149999999996</v>
      </c>
      <c r="E2378">
        <v>0.49853999999999998</v>
      </c>
      <c r="F2378" t="s">
        <v>57</v>
      </c>
      <c r="G2378">
        <v>-398.60169999999999</v>
      </c>
      <c r="H2378" s="1">
        <v>3.040633E-6</v>
      </c>
      <c r="I2378">
        <v>214.81970000000001</v>
      </c>
      <c r="J2378">
        <v>-409.83980000000003</v>
      </c>
      <c r="K2378">
        <v>1.1048770000000001</v>
      </c>
      <c r="L2378">
        <v>213.84229999999999</v>
      </c>
      <c r="M2378">
        <v>0.99973599999999996</v>
      </c>
      <c r="N2378">
        <v>0</v>
      </c>
      <c r="O2378">
        <v>1.8416220000000001E-2</v>
      </c>
      <c r="P2378">
        <v>0.99684249999999996</v>
      </c>
      <c r="Q2378">
        <v>2.9443730000000001E-2</v>
      </c>
      <c r="R2378">
        <v>7.3743909999999996E-2</v>
      </c>
      <c r="S2378">
        <v>2.998688</v>
      </c>
      <c r="T2378">
        <v>-0.28846939999999999</v>
      </c>
      <c r="U2378">
        <v>0.25645449999999997</v>
      </c>
      <c r="V2378">
        <v>-5.5398349999999999E-2</v>
      </c>
      <c r="W2378">
        <v>4.3127329999999998E-2</v>
      </c>
      <c r="X2378">
        <v>0.99753250000000004</v>
      </c>
      <c r="Y2378">
        <v>-6.6624899999999904E-2</v>
      </c>
      <c r="Z2378">
        <v>1.4273629999999901E-3</v>
      </c>
      <c r="AA2378">
        <v>0.99777700000000003</v>
      </c>
      <c r="AB2378">
        <v>26</v>
      </c>
      <c r="AC2378">
        <v>11.238099999999999</v>
      </c>
      <c r="AD2378">
        <v>-1.1048739593670001</v>
      </c>
      <c r="AE2378">
        <v>0.97740000000001703</v>
      </c>
      <c r="AF2378">
        <v>-0.76293232792157795</v>
      </c>
      <c r="AG2378">
        <v>-1.1048739593670001</v>
      </c>
      <c r="AH2378">
        <v>11.1472567262164</v>
      </c>
      <c r="AI2378">
        <v>95.647327824846599</v>
      </c>
      <c r="AJ2378">
        <v>93.915289782943802</v>
      </c>
      <c r="AK2378">
        <v>11.2278290298371</v>
      </c>
    </row>
    <row r="2379" spans="1:37" x14ac:dyDescent="0.2">
      <c r="A2379" t="str">
        <f>"20200111160200532"</f>
        <v>20200111160200532</v>
      </c>
      <c r="B2379" t="str">
        <f>"1578729720523959"</f>
        <v>1578729720523959</v>
      </c>
      <c r="C2379" t="s">
        <v>37</v>
      </c>
      <c r="D2379">
        <v>5.7377019999999996</v>
      </c>
      <c r="E2379">
        <v>0.53551789999999999</v>
      </c>
      <c r="F2379" t="s">
        <v>57</v>
      </c>
      <c r="G2379">
        <v>-398.22340000000003</v>
      </c>
      <c r="H2379" s="1">
        <v>2.8392829999999998E-6</v>
      </c>
      <c r="I2379">
        <v>214.8169</v>
      </c>
      <c r="J2379">
        <v>-409.57080000000002</v>
      </c>
      <c r="K2379">
        <v>1.1048879999999901</v>
      </c>
      <c r="L2379">
        <v>213.8477</v>
      </c>
      <c r="M2379">
        <v>0.99972809999999901</v>
      </c>
      <c r="N2379">
        <v>0</v>
      </c>
      <c r="O2379">
        <v>1.8816030000000001E-2</v>
      </c>
      <c r="P2379">
        <v>0.99683739999999998</v>
      </c>
      <c r="Q2379">
        <v>2.960316E-2</v>
      </c>
      <c r="R2379">
        <v>7.3748750000000002E-2</v>
      </c>
      <c r="S2379">
        <v>2.999298</v>
      </c>
      <c r="T2379">
        <v>-0.28527209999999997</v>
      </c>
      <c r="U2379">
        <v>0.25163269999999999</v>
      </c>
      <c r="V2379">
        <v>-5.500406E-2</v>
      </c>
      <c r="W2379">
        <v>4.3312169999999997E-2</v>
      </c>
      <c r="X2379">
        <v>0.9975463</v>
      </c>
      <c r="Y2379">
        <v>-6.463149E-2</v>
      </c>
      <c r="Z2379">
        <v>1.2791370000000001E-3</v>
      </c>
      <c r="AA2379">
        <v>0.99790840000000003</v>
      </c>
      <c r="AB2379">
        <v>26</v>
      </c>
      <c r="AC2379">
        <v>11.347399999999899</v>
      </c>
      <c r="AD2379">
        <v>-1.1048851607169901</v>
      </c>
      <c r="AE2379">
        <v>0.96919999999999995</v>
      </c>
      <c r="AF2379">
        <v>-0.74845064700504504</v>
      </c>
      <c r="AG2379">
        <v>-1.1048851607169901</v>
      </c>
      <c r="AH2379">
        <v>11.257671027923999</v>
      </c>
      <c r="AI2379">
        <v>95.593079072625201</v>
      </c>
      <c r="AJ2379">
        <v>93.803632928716695</v>
      </c>
      <c r="AK2379">
        <v>11.3364944565035</v>
      </c>
    </row>
    <row r="2380" spans="1:37" x14ac:dyDescent="0.2">
      <c r="A2380" t="str">
        <f>"20200111160200555"</f>
        <v>20200111160200555</v>
      </c>
      <c r="B2380" t="str">
        <f>"1578729720544456"</f>
        <v>1578729720544456</v>
      </c>
      <c r="C2380" t="s">
        <v>37</v>
      </c>
      <c r="D2380">
        <v>5.8309660000000001</v>
      </c>
      <c r="E2380">
        <v>0.53628619999999905</v>
      </c>
      <c r="F2380" t="s">
        <v>42</v>
      </c>
      <c r="G2380">
        <v>-408.66199999999998</v>
      </c>
      <c r="H2380">
        <v>1.0142949999999999</v>
      </c>
      <c r="I2380">
        <v>213.83500000000001</v>
      </c>
      <c r="J2380">
        <v>-409.31040000000002</v>
      </c>
      <c r="K2380">
        <v>1.104889</v>
      </c>
      <c r="L2380">
        <v>213.85310000000001</v>
      </c>
      <c r="M2380">
        <v>0.99972050000000001</v>
      </c>
      <c r="N2380">
        <v>0</v>
      </c>
      <c r="O2380">
        <v>1.920287E-2</v>
      </c>
      <c r="P2380">
        <v>0.99680009999999997</v>
      </c>
      <c r="Q2380">
        <v>3.0398229999999998E-2</v>
      </c>
      <c r="R2380">
        <v>7.392994E-2</v>
      </c>
      <c r="S2380">
        <v>3.0215450000000001</v>
      </c>
      <c r="T2380">
        <v>-0.30125380000000002</v>
      </c>
      <c r="U2380">
        <v>-4.2160030000000001E-2</v>
      </c>
      <c r="V2380">
        <v>-5.4800420000000002E-2</v>
      </c>
      <c r="W2380">
        <v>4.4128210000000001E-2</v>
      </c>
      <c r="X2380">
        <v>0.99752180000000001</v>
      </c>
      <c r="Y2380">
        <v>3.2893779999999997E-2</v>
      </c>
      <c r="Z2380">
        <v>-3.5455450000000002E-3</v>
      </c>
      <c r="AA2380">
        <v>0.99945260000000002</v>
      </c>
      <c r="AB2380">
        <v>26</v>
      </c>
      <c r="AC2380">
        <v>0.64840000000003695</v>
      </c>
      <c r="AD2380">
        <v>-9.05939999999998E-2</v>
      </c>
      <c r="AE2380">
        <v>-1.8100000000003998E-2</v>
      </c>
      <c r="AF2380">
        <v>2.9964490963764401E-2</v>
      </c>
      <c r="AG2380">
        <v>-9.05939999999998E-2</v>
      </c>
      <c r="AH2380">
        <v>0.63553586847422405</v>
      </c>
      <c r="AI2380">
        <v>98.103828339699106</v>
      </c>
      <c r="AJ2380">
        <v>87.300595472217196</v>
      </c>
      <c r="AK2380">
        <v>0.64265930606504396</v>
      </c>
    </row>
    <row r="2381" spans="1:37" x14ac:dyDescent="0.2">
      <c r="A2381" t="str">
        <f>"20200111160200578"</f>
        <v>20200111160200578</v>
      </c>
      <c r="B2381" t="str">
        <f>"1578729720573735"</f>
        <v>1578729720573735</v>
      </c>
      <c r="C2381" t="s">
        <v>37</v>
      </c>
      <c r="D2381">
        <v>6.5918559999999999</v>
      </c>
      <c r="E2381">
        <v>0.53755330000000001</v>
      </c>
      <c r="F2381" t="s">
        <v>42</v>
      </c>
      <c r="G2381">
        <v>-408.4307</v>
      </c>
      <c r="H2381">
        <v>1.0142</v>
      </c>
      <c r="I2381">
        <v>213.83930000000001</v>
      </c>
      <c r="J2381">
        <v>-409.03399999999999</v>
      </c>
      <c r="K2381">
        <v>1.1048959999999901</v>
      </c>
      <c r="L2381">
        <v>213.85890000000001</v>
      </c>
      <c r="M2381">
        <v>0.9997123</v>
      </c>
      <c r="N2381">
        <v>0</v>
      </c>
      <c r="O2381">
        <v>1.961328E-2</v>
      </c>
      <c r="P2381">
        <v>0.99683709999999903</v>
      </c>
      <c r="Q2381">
        <v>3.0385720000000001E-2</v>
      </c>
      <c r="R2381">
        <v>7.3434040000000006E-2</v>
      </c>
      <c r="S2381">
        <v>3.0226439999999899</v>
      </c>
      <c r="T2381">
        <v>-0.31164039999999998</v>
      </c>
      <c r="U2381">
        <v>-4.7149660000000003E-2</v>
      </c>
      <c r="V2381">
        <v>-5.3893780000000002E-2</v>
      </c>
      <c r="W2381">
        <v>4.4135359999999998E-2</v>
      </c>
      <c r="X2381">
        <v>0.99757079999999998</v>
      </c>
      <c r="Y2381">
        <v>3.4917650000000001E-2</v>
      </c>
      <c r="Z2381">
        <v>-3.8120429999999898E-3</v>
      </c>
      <c r="AA2381">
        <v>0.99938289999999996</v>
      </c>
      <c r="AB2381">
        <v>26</v>
      </c>
      <c r="AC2381">
        <v>0.60329999999998996</v>
      </c>
      <c r="AD2381">
        <v>-9.0695999999999805E-2</v>
      </c>
      <c r="AE2381">
        <v>-1.9599999999996901E-2</v>
      </c>
      <c r="AF2381">
        <v>3.0736142594330201E-2</v>
      </c>
      <c r="AG2381">
        <v>-9.0695999999999805E-2</v>
      </c>
      <c r="AH2381">
        <v>0.589490985133995</v>
      </c>
      <c r="AI2381">
        <v>98.734962536986899</v>
      </c>
      <c r="AJ2381">
        <v>87.015292802865304</v>
      </c>
      <c r="AK2381">
        <v>0.59721863369441797</v>
      </c>
    </row>
    <row r="2382" spans="1:37" x14ac:dyDescent="0.2">
      <c r="A2382" t="str">
        <f>"20200111160200622"</f>
        <v>20200111160200622</v>
      </c>
      <c r="B2382" t="str">
        <f>"1578729720613889"</f>
        <v>1578729720613889</v>
      </c>
      <c r="C2382" t="s">
        <v>37</v>
      </c>
      <c r="D2382">
        <v>5.890752</v>
      </c>
      <c r="E2382">
        <v>0.54002430000000001</v>
      </c>
      <c r="F2382" t="s">
        <v>42</v>
      </c>
      <c r="G2382">
        <v>-408.19830000000002</v>
      </c>
      <c r="H2382">
        <v>1.016764</v>
      </c>
      <c r="I2382">
        <v>213.84299999999999</v>
      </c>
      <c r="J2382">
        <v>-408.52800000000002</v>
      </c>
      <c r="K2382">
        <v>1.1049040000000001</v>
      </c>
      <c r="L2382">
        <v>213.8698</v>
      </c>
      <c r="M2382">
        <v>0.99969680000000005</v>
      </c>
      <c r="N2382">
        <v>0</v>
      </c>
      <c r="O2382">
        <v>2.03652E-2</v>
      </c>
      <c r="P2382">
        <v>0.99693659999999995</v>
      </c>
      <c r="Q2382">
        <v>2.9773150000000002E-2</v>
      </c>
      <c r="R2382">
        <v>7.2326799999999997E-2</v>
      </c>
      <c r="S2382">
        <v>3.0234679999999998</v>
      </c>
      <c r="T2382">
        <v>-0.3188241</v>
      </c>
      <c r="U2382">
        <v>-5.7952879999999998E-2</v>
      </c>
      <c r="V2382">
        <v>-5.2034169999999998E-2</v>
      </c>
      <c r="W2382">
        <v>4.3551800000000002E-2</v>
      </c>
      <c r="X2382">
        <v>0.99769519999999901</v>
      </c>
      <c r="Y2382">
        <v>3.9193459999999999E-2</v>
      </c>
      <c r="Z2382">
        <v>-4.2021419999999999E-3</v>
      </c>
      <c r="AA2382">
        <v>0.99922279999999997</v>
      </c>
      <c r="AB2382">
        <v>26</v>
      </c>
      <c r="AC2382">
        <v>0.32970000000000199</v>
      </c>
      <c r="AD2382">
        <v>-8.8140000000000093E-2</v>
      </c>
      <c r="AE2382">
        <v>-2.6800000000008602E-2</v>
      </c>
      <c r="AF2382">
        <v>3.12880887488904E-2</v>
      </c>
      <c r="AG2382">
        <v>-8.8140000000000093E-2</v>
      </c>
      <c r="AH2382">
        <v>0.307270108563586</v>
      </c>
      <c r="AI2382">
        <v>105.927313910495</v>
      </c>
      <c r="AJ2382">
        <v>84.185838974852899</v>
      </c>
      <c r="AK2382">
        <v>0.32118923349675998</v>
      </c>
    </row>
    <row r="2383" spans="1:37" x14ac:dyDescent="0.2">
      <c r="A2383" t="str">
        <f>"20200111160200644"</f>
        <v>20200111160200644</v>
      </c>
      <c r="B2383" t="str">
        <f>"1578729720634385"</f>
        <v>1578729720634385</v>
      </c>
      <c r="C2383" t="s">
        <v>37</v>
      </c>
      <c r="D2383">
        <v>5.8186879999999999</v>
      </c>
      <c r="E2383">
        <v>0.53922199999999998</v>
      </c>
      <c r="F2383" t="s">
        <v>57</v>
      </c>
      <c r="G2383">
        <v>-385.7792</v>
      </c>
      <c r="H2383" s="1">
        <v>1.600909E-6</v>
      </c>
      <c r="I2383">
        <v>213.19110000000001</v>
      </c>
      <c r="J2383">
        <v>-408.28019999999998</v>
      </c>
      <c r="K2383">
        <v>1.104911</v>
      </c>
      <c r="L2383">
        <v>213.87530000000001</v>
      </c>
      <c r="M2383">
        <v>0.99968919999999994</v>
      </c>
      <c r="N2383">
        <v>0</v>
      </c>
      <c r="O2383">
        <v>2.0733629999999999E-2</v>
      </c>
      <c r="P2383">
        <v>0.99693739999999997</v>
      </c>
      <c r="Q2383">
        <v>3.0872699999999999E-2</v>
      </c>
      <c r="R2383">
        <v>7.1852360000000004E-2</v>
      </c>
      <c r="S2383">
        <v>3.0201419999999999</v>
      </c>
      <c r="T2383">
        <v>-0.14668719999999999</v>
      </c>
      <c r="U2383">
        <v>-9.0103150000000007E-2</v>
      </c>
      <c r="V2383">
        <v>-5.1192429999999997E-2</v>
      </c>
      <c r="W2383">
        <v>4.4662229999999997E-2</v>
      </c>
      <c r="X2383">
        <v>0.99768969999999901</v>
      </c>
      <c r="Y2383">
        <v>5.0456939999999999E-2</v>
      </c>
      <c r="Z2383">
        <v>-2.2306729999999999E-3</v>
      </c>
      <c r="AA2383">
        <v>0.99872369999999899</v>
      </c>
      <c r="AB2383">
        <v>26</v>
      </c>
      <c r="AC2383">
        <v>22.500999999999902</v>
      </c>
      <c r="AD2383">
        <v>-1.1049093990909999</v>
      </c>
      <c r="AE2383">
        <v>-0.68420000000000403</v>
      </c>
      <c r="AF2383">
        <v>1.14785973843281</v>
      </c>
      <c r="AG2383">
        <v>-1.1049093990909999</v>
      </c>
      <c r="AH2383">
        <v>22.4279444885115</v>
      </c>
      <c r="AI2383">
        <v>92.816707285682597</v>
      </c>
      <c r="AJ2383">
        <v>87.070164624370506</v>
      </c>
      <c r="AK2383">
        <v>22.484463541278199</v>
      </c>
    </row>
    <row r="2384" spans="1:37" x14ac:dyDescent="0.2">
      <c r="A2384" t="str">
        <f>"20200111160200667"</f>
        <v>20200111160200667</v>
      </c>
      <c r="B2384" t="str">
        <f>"1578729720663665"</f>
        <v>1578729720663665</v>
      </c>
      <c r="C2384" t="s">
        <v>37</v>
      </c>
      <c r="D2384">
        <v>6.3818019999999898</v>
      </c>
      <c r="E2384">
        <v>0.53812389999999999</v>
      </c>
      <c r="F2384" t="s">
        <v>57</v>
      </c>
      <c r="G2384">
        <v>-386.06560000000002</v>
      </c>
      <c r="H2384" s="1">
        <v>1.7509109999999999E-6</v>
      </c>
      <c r="I2384">
        <v>213.24599999999899</v>
      </c>
      <c r="J2384">
        <v>-408.01670000000001</v>
      </c>
      <c r="K2384">
        <v>1.1049209999999901</v>
      </c>
      <c r="L2384">
        <v>213.88120000000001</v>
      </c>
      <c r="M2384">
        <v>0.99968089999999998</v>
      </c>
      <c r="N2384">
        <v>0</v>
      </c>
      <c r="O2384">
        <v>2.1125390000000001E-2</v>
      </c>
      <c r="P2384">
        <v>0.99701189999999995</v>
      </c>
      <c r="Q2384">
        <v>3.111483E-2</v>
      </c>
      <c r="R2384">
        <v>7.0707069999999997E-2</v>
      </c>
      <c r="S2384">
        <v>3.0200200000000001</v>
      </c>
      <c r="T2384">
        <v>-0.15020939999999999</v>
      </c>
      <c r="U2384">
        <v>-8.5540770000000002E-2</v>
      </c>
      <c r="V2384">
        <v>-4.9654230000000001E-2</v>
      </c>
      <c r="W2384">
        <v>4.4915169999999997E-2</v>
      </c>
      <c r="X2384">
        <v>0.99775599999999998</v>
      </c>
      <c r="Y2384">
        <v>4.9338800000000002E-2</v>
      </c>
      <c r="Z2384">
        <v>-2.2759949999999998E-3</v>
      </c>
      <c r="AA2384">
        <v>0.99877950000000004</v>
      </c>
      <c r="AB2384">
        <v>26</v>
      </c>
      <c r="AC2384">
        <v>21.9511</v>
      </c>
      <c r="AD2384">
        <v>-1.1049192490889901</v>
      </c>
      <c r="AE2384">
        <v>-0.63520000000002597</v>
      </c>
      <c r="AF2384">
        <v>1.09605354293721</v>
      </c>
      <c r="AG2384">
        <v>-1.1049192490889901</v>
      </c>
      <c r="AH2384">
        <v>21.877396656355501</v>
      </c>
      <c r="AI2384">
        <v>92.887654604927604</v>
      </c>
      <c r="AJ2384">
        <v>87.131890039437806</v>
      </c>
      <c r="AK2384">
        <v>21.932684841931898</v>
      </c>
    </row>
    <row r="2385" spans="1:37" x14ac:dyDescent="0.2">
      <c r="A2385" t="str">
        <f>"20200111160200688"</f>
        <v>20200111160200688</v>
      </c>
      <c r="B2385" t="str">
        <f>"1578729720684161"</f>
        <v>1578729720684161</v>
      </c>
      <c r="C2385" t="s">
        <v>37</v>
      </c>
      <c r="D2385">
        <v>5.7605399999999998</v>
      </c>
      <c r="E2385">
        <v>0.53848200000000002</v>
      </c>
      <c r="F2385" t="s">
        <v>57</v>
      </c>
      <c r="G2385">
        <v>-384.70909999999998</v>
      </c>
      <c r="H2385" s="1">
        <v>1.028516E-6</v>
      </c>
      <c r="I2385">
        <v>213.25810000000001</v>
      </c>
      <c r="J2385">
        <v>-407.7722</v>
      </c>
      <c r="K2385">
        <v>1.1049180000000001</v>
      </c>
      <c r="L2385">
        <v>213.88669999999999</v>
      </c>
      <c r="M2385">
        <v>0.99967309999999998</v>
      </c>
      <c r="N2385">
        <v>0</v>
      </c>
      <c r="O2385">
        <v>2.148926E-2</v>
      </c>
      <c r="P2385">
        <v>0.99718009999999901</v>
      </c>
      <c r="Q2385">
        <v>3.0079970000000001E-2</v>
      </c>
      <c r="R2385">
        <v>6.8755369999999996E-2</v>
      </c>
      <c r="S2385">
        <v>3.019196</v>
      </c>
      <c r="T2385">
        <v>-0.1431277</v>
      </c>
      <c r="U2385">
        <v>-8.0703739999999996E-2</v>
      </c>
      <c r="V2385">
        <v>-4.7335469999999998E-2</v>
      </c>
      <c r="W2385">
        <v>4.3890510000000001E-2</v>
      </c>
      <c r="X2385">
        <v>0.99791430000000003</v>
      </c>
      <c r="Y2385">
        <v>4.8120030000000001E-2</v>
      </c>
      <c r="Z2385">
        <v>-2.15782E-3</v>
      </c>
      <c r="AA2385">
        <v>0.99883929999999999</v>
      </c>
      <c r="AB2385">
        <v>26</v>
      </c>
      <c r="AC2385">
        <v>23.063099999999999</v>
      </c>
      <c r="AD2385">
        <v>-1.1049169714839999</v>
      </c>
      <c r="AE2385">
        <v>-0.62859999999997695</v>
      </c>
      <c r="AF2385">
        <v>1.1215390636572999</v>
      </c>
      <c r="AG2385">
        <v>-1.1049169714839999</v>
      </c>
      <c r="AH2385">
        <v>22.991532378435501</v>
      </c>
      <c r="AI2385">
        <v>92.748115931799006</v>
      </c>
      <c r="AJ2385">
        <v>87.2072953996216</v>
      </c>
      <c r="AK2385">
        <v>23.045373776396598</v>
      </c>
    </row>
    <row r="2386" spans="1:37" x14ac:dyDescent="0.2">
      <c r="A2386" t="str">
        <f>"20200111160200710"</f>
        <v>20200111160200710</v>
      </c>
      <c r="B2386" t="str">
        <f>"1578729720704058"</f>
        <v>1578729720704058</v>
      </c>
      <c r="C2386" t="s">
        <v>37</v>
      </c>
      <c r="D2386">
        <v>5.7102139999999997</v>
      </c>
      <c r="E2386">
        <v>0.53789989999999999</v>
      </c>
      <c r="F2386" t="s">
        <v>57</v>
      </c>
      <c r="G2386">
        <v>-383.9649</v>
      </c>
      <c r="H2386" s="1">
        <v>6.3599480000000001E-7</v>
      </c>
      <c r="I2386">
        <v>213.17859999999999</v>
      </c>
      <c r="J2386">
        <v>-407.51580000000001</v>
      </c>
      <c r="K2386">
        <v>1.104916</v>
      </c>
      <c r="L2386">
        <v>213.89269999999999</v>
      </c>
      <c r="M2386">
        <v>0.99966469999999896</v>
      </c>
      <c r="N2386">
        <v>0</v>
      </c>
      <c r="O2386">
        <v>2.1870359999999998E-2</v>
      </c>
      <c r="P2386">
        <v>0.99736380000000002</v>
      </c>
      <c r="Q2386">
        <v>2.9714009999999999E-2</v>
      </c>
      <c r="R2386">
        <v>6.6201670000000004E-2</v>
      </c>
      <c r="S2386">
        <v>3.0188899999999999</v>
      </c>
      <c r="T2386">
        <v>-0.14010980000000001</v>
      </c>
      <c r="U2386">
        <v>-8.9797970000000005E-2</v>
      </c>
      <c r="V2386">
        <v>-4.439763E-2</v>
      </c>
      <c r="W2386">
        <v>4.3534169999999997E-2</v>
      </c>
      <c r="X2386">
        <v>0.99806489999999903</v>
      </c>
      <c r="Y2386">
        <v>5.1508980000000003E-2</v>
      </c>
      <c r="Z2386">
        <v>-2.2087610000000001E-3</v>
      </c>
      <c r="AA2386">
        <v>0.99867009999999901</v>
      </c>
      <c r="AB2386">
        <v>26</v>
      </c>
      <c r="AC2386">
        <v>23.550899999999999</v>
      </c>
      <c r="AD2386">
        <v>-1.1049153640052001</v>
      </c>
      <c r="AE2386">
        <v>-0.71410000000000196</v>
      </c>
      <c r="AF2386">
        <v>1.2263484688789701</v>
      </c>
      <c r="AG2386">
        <v>-1.1049153640052001</v>
      </c>
      <c r="AH2386">
        <v>23.478016393910998</v>
      </c>
      <c r="AI2386">
        <v>92.690785893357301</v>
      </c>
      <c r="AJ2386">
        <v>87.009935087584594</v>
      </c>
      <c r="AK2386">
        <v>23.5359729418924</v>
      </c>
    </row>
    <row r="2387" spans="1:37" x14ac:dyDescent="0.2">
      <c r="A2387" t="str">
        <f>"20200111160200733"</f>
        <v>20200111160200733</v>
      </c>
      <c r="B2387" t="str">
        <f>"1578729720723577"</f>
        <v>1578729720723577</v>
      </c>
      <c r="C2387" t="s">
        <v>37</v>
      </c>
      <c r="D2387">
        <v>5.7054150000000003</v>
      </c>
      <c r="E2387">
        <v>0.53771780000000002</v>
      </c>
      <c r="F2387" t="s">
        <v>57</v>
      </c>
      <c r="G2387">
        <v>-384.29599999999999</v>
      </c>
      <c r="H2387" s="1">
        <v>8.1213929999999997E-7</v>
      </c>
      <c r="I2387">
        <v>213.1797</v>
      </c>
      <c r="J2387">
        <v>-407.25080000000003</v>
      </c>
      <c r="K2387">
        <v>1.104914</v>
      </c>
      <c r="L2387">
        <v>213.8989</v>
      </c>
      <c r="M2387">
        <v>0.99965599999999999</v>
      </c>
      <c r="N2387">
        <v>0</v>
      </c>
      <c r="O2387">
        <v>2.2264579999999999E-2</v>
      </c>
      <c r="P2387">
        <v>0.99755609999999995</v>
      </c>
      <c r="Q2387">
        <v>2.910836E-2</v>
      </c>
      <c r="R2387">
        <v>6.3520090000000001E-2</v>
      </c>
      <c r="S2387">
        <v>3.0183719999999998</v>
      </c>
      <c r="T2387">
        <v>-0.14362929999999999</v>
      </c>
      <c r="U2387">
        <v>-9.2681879999999994E-2</v>
      </c>
      <c r="V2387">
        <v>-4.1317899999999998E-2</v>
      </c>
      <c r="W2387">
        <v>4.2937259999999998E-2</v>
      </c>
      <c r="X2387">
        <v>0.99822299999999997</v>
      </c>
      <c r="Y2387">
        <v>5.2855149999999997E-2</v>
      </c>
      <c r="Z2387">
        <v>-2.3152899999999998E-3</v>
      </c>
      <c r="AA2387">
        <v>0.99859949999999997</v>
      </c>
      <c r="AB2387">
        <v>26</v>
      </c>
      <c r="AC2387">
        <v>22.954799999999999</v>
      </c>
      <c r="AD2387">
        <v>-1.1049131878606999</v>
      </c>
      <c r="AE2387">
        <v>-0.71919999999999995</v>
      </c>
      <c r="AF2387">
        <v>1.2273090041958801</v>
      </c>
      <c r="AG2387">
        <v>-1.1049131878606999</v>
      </c>
      <c r="AH2387">
        <v>22.880135254362099</v>
      </c>
      <c r="AI2387">
        <v>92.760781277965705</v>
      </c>
      <c r="AJ2387">
        <v>86.929550585932205</v>
      </c>
      <c r="AK2387">
        <v>22.939653654804701</v>
      </c>
    </row>
    <row r="2388" spans="1:37" x14ac:dyDescent="0.2">
      <c r="A2388" t="str">
        <f>"20200111160200756"</f>
        <v>20200111160200756</v>
      </c>
      <c r="B2388" t="str">
        <f>"1578729720753833"</f>
        <v>1578729720753833</v>
      </c>
      <c r="C2388" t="s">
        <v>37</v>
      </c>
      <c r="D2388">
        <v>6.2179229999999999</v>
      </c>
      <c r="E2388">
        <v>0.53715469999999998</v>
      </c>
      <c r="F2388" t="s">
        <v>57</v>
      </c>
      <c r="G2388">
        <v>-382.9923</v>
      </c>
      <c r="H2388" s="1">
        <v>1.2183919999999999E-7</v>
      </c>
      <c r="I2388">
        <v>213.10059999999999</v>
      </c>
      <c r="J2388">
        <v>-406.98809999999997</v>
      </c>
      <c r="K2388">
        <v>1.104914</v>
      </c>
      <c r="L2388">
        <v>213.90530000000001</v>
      </c>
      <c r="M2388">
        <v>0.99964699999999995</v>
      </c>
      <c r="N2388">
        <v>0</v>
      </c>
      <c r="O2388">
        <v>2.2655539999999998E-2</v>
      </c>
      <c r="P2388">
        <v>0.99764030000000004</v>
      </c>
      <c r="Q2388">
        <v>2.9146559999999998E-2</v>
      </c>
      <c r="R2388">
        <v>6.2163959999999997E-2</v>
      </c>
      <c r="S2388">
        <v>3.0176699999999999</v>
      </c>
      <c r="T2388">
        <v>-0.1374476</v>
      </c>
      <c r="U2388">
        <v>-9.9304199999999995E-2</v>
      </c>
      <c r="V2388">
        <v>-3.9569930000000003E-2</v>
      </c>
      <c r="W2388">
        <v>4.2981079999999998E-2</v>
      </c>
      <c r="X2388">
        <v>0.99829199999999996</v>
      </c>
      <c r="Y2388">
        <v>5.5445889999999998E-2</v>
      </c>
      <c r="Z2388">
        <v>-2.2929399999999998E-3</v>
      </c>
      <c r="AA2388">
        <v>0.99845899999999999</v>
      </c>
      <c r="AB2388">
        <v>26</v>
      </c>
      <c r="AC2388">
        <v>23.9957999999999</v>
      </c>
      <c r="AD2388">
        <v>-1.1049138781607999</v>
      </c>
      <c r="AE2388">
        <v>-0.80470000000002495</v>
      </c>
      <c r="AF2388">
        <v>1.34533434881581</v>
      </c>
      <c r="AG2388">
        <v>-1.1049138781607999</v>
      </c>
      <c r="AH2388">
        <v>23.9207462405912</v>
      </c>
      <c r="AI2388">
        <v>92.640480451603096</v>
      </c>
      <c r="AJ2388">
        <v>86.781000850538902</v>
      </c>
      <c r="AK2388">
        <v>23.984012589535901</v>
      </c>
    </row>
    <row r="2389" spans="1:37" x14ac:dyDescent="0.2">
      <c r="A2389" t="str">
        <f>"20200111160200780"</f>
        <v>20200111160200780</v>
      </c>
      <c r="B2389" t="str">
        <f>"1578729720774330"</f>
        <v>1578729720774330</v>
      </c>
      <c r="C2389" t="s">
        <v>37</v>
      </c>
      <c r="D2389">
        <v>5.7558280000000002</v>
      </c>
      <c r="E2389">
        <v>0.53794750000000002</v>
      </c>
      <c r="F2389" t="s">
        <v>57</v>
      </c>
      <c r="G2389">
        <v>-385.72809999999998</v>
      </c>
      <c r="H2389" s="1">
        <v>1.57257E-6</v>
      </c>
      <c r="I2389">
        <v>213.2175</v>
      </c>
      <c r="J2389">
        <v>-406.71949999999998</v>
      </c>
      <c r="K2389">
        <v>1.1049180000000001</v>
      </c>
      <c r="L2389">
        <v>213.9118</v>
      </c>
      <c r="M2389">
        <v>0.99963799999999903</v>
      </c>
      <c r="N2389">
        <v>0</v>
      </c>
      <c r="O2389">
        <v>2.3055079999999999E-2</v>
      </c>
      <c r="P2389">
        <v>0.99767680000000003</v>
      </c>
      <c r="Q2389">
        <v>2.9254059999999998E-2</v>
      </c>
      <c r="R2389">
        <v>6.1527320000000003E-2</v>
      </c>
      <c r="S2389">
        <v>3.017792</v>
      </c>
      <c r="T2389">
        <v>-0.15683910000000001</v>
      </c>
      <c r="U2389">
        <v>-9.7625729999999994E-2</v>
      </c>
      <c r="V2389">
        <v>-3.8533419999999999E-2</v>
      </c>
      <c r="W2389">
        <v>4.3092569999999997E-2</v>
      </c>
      <c r="X2389">
        <v>0.99832770000000004</v>
      </c>
      <c r="Y2389">
        <v>5.5264180000000003E-2</v>
      </c>
      <c r="Z2389">
        <v>-2.6319709999999999E-3</v>
      </c>
      <c r="AA2389">
        <v>0.99846829999999998</v>
      </c>
      <c r="AB2389">
        <v>26</v>
      </c>
      <c r="AC2389">
        <v>20.991399999999999</v>
      </c>
      <c r="AD2389">
        <v>-1.1049164274299901</v>
      </c>
      <c r="AE2389">
        <v>-0.69429999999999803</v>
      </c>
      <c r="AF2389">
        <v>1.17486881936734</v>
      </c>
      <c r="AG2389">
        <v>-1.1049164274299901</v>
      </c>
      <c r="AH2389">
        <v>20.911935064746601</v>
      </c>
      <c r="AI2389">
        <v>93.019751008294406</v>
      </c>
      <c r="AJ2389">
        <v>86.784404009012604</v>
      </c>
      <c r="AK2389">
        <v>20.974035978001599</v>
      </c>
    </row>
    <row r="2390" spans="1:37" x14ac:dyDescent="0.2">
      <c r="A2390" t="str">
        <f>"20200111160200803"</f>
        <v>20200111160200803</v>
      </c>
      <c r="B2390" t="str">
        <f>"1578729720793850"</f>
        <v>1578729720793850</v>
      </c>
      <c r="C2390" t="s">
        <v>37</v>
      </c>
      <c r="D2390">
        <v>5.6853860000000003</v>
      </c>
      <c r="E2390">
        <v>0.53836229999999996</v>
      </c>
      <c r="F2390" t="s">
        <v>57</v>
      </c>
      <c r="G2390">
        <v>-386.09620000000001</v>
      </c>
      <c r="H2390" s="1">
        <v>1.76951699999999E-6</v>
      </c>
      <c r="I2390">
        <v>213.19290000000001</v>
      </c>
      <c r="J2390">
        <v>-406.46589999999998</v>
      </c>
      <c r="K2390">
        <v>1.104919</v>
      </c>
      <c r="L2390">
        <v>213.91810000000001</v>
      </c>
      <c r="M2390">
        <v>0.99962909999999905</v>
      </c>
      <c r="N2390">
        <v>0</v>
      </c>
      <c r="O2390">
        <v>2.3429749999999999E-2</v>
      </c>
      <c r="P2390">
        <v>0.99761469999999897</v>
      </c>
      <c r="Q2390">
        <v>2.91785E-2</v>
      </c>
      <c r="R2390">
        <v>6.2561759999999994E-2</v>
      </c>
      <c r="S2390">
        <v>3.01821899999999</v>
      </c>
      <c r="T2390">
        <v>-0.16170419999999999</v>
      </c>
      <c r="U2390">
        <v>-0.10520939999999999</v>
      </c>
      <c r="V2390">
        <v>-3.9194279999999998E-2</v>
      </c>
      <c r="W2390">
        <v>4.3018239999999999E-2</v>
      </c>
      <c r="X2390">
        <v>0.9983052</v>
      </c>
      <c r="Y2390">
        <v>5.8128310000000002E-2</v>
      </c>
      <c r="Z2390">
        <v>-2.8097129999999902E-3</v>
      </c>
      <c r="AA2390">
        <v>0.99830509999999995</v>
      </c>
      <c r="AB2390">
        <v>26</v>
      </c>
      <c r="AC2390">
        <v>20.369699999999899</v>
      </c>
      <c r="AD2390">
        <v>-1.1049172304829999</v>
      </c>
      <c r="AE2390">
        <v>-0.72520000000000095</v>
      </c>
      <c r="AF2390">
        <v>1.1987811197768301</v>
      </c>
      <c r="AG2390">
        <v>-1.1049172304829999</v>
      </c>
      <c r="AH2390">
        <v>20.287497466660898</v>
      </c>
      <c r="AI2390">
        <v>93.112000583954298</v>
      </c>
      <c r="AJ2390">
        <v>86.618344579106406</v>
      </c>
      <c r="AK2390">
        <v>20.352898361636999</v>
      </c>
    </row>
    <row r="2391" spans="1:37" x14ac:dyDescent="0.2">
      <c r="A2391" t="str">
        <f>"20200111160200824"</f>
        <v>20200111160200824</v>
      </c>
      <c r="B2391" t="str">
        <f>"1578729720813877"</f>
        <v>1578729720813877</v>
      </c>
      <c r="C2391" t="s">
        <v>37</v>
      </c>
      <c r="D2391">
        <v>5.7384469999999999</v>
      </c>
      <c r="E2391">
        <v>0.53904750000000001</v>
      </c>
      <c r="F2391" t="s">
        <v>57</v>
      </c>
      <c r="G2391">
        <v>-386.6748</v>
      </c>
      <c r="H2391" s="1">
        <v>2.0758090000000001E-6</v>
      </c>
      <c r="I2391">
        <v>213.22989999999999</v>
      </c>
      <c r="J2391">
        <v>-406.21640000000002</v>
      </c>
      <c r="K2391">
        <v>1.104919</v>
      </c>
      <c r="L2391">
        <v>213.92429999999999</v>
      </c>
      <c r="M2391">
        <v>0.99962059999999997</v>
      </c>
      <c r="N2391">
        <v>0</v>
      </c>
      <c r="O2391">
        <v>2.3788630000000002E-2</v>
      </c>
      <c r="P2391">
        <v>0.99751789999999996</v>
      </c>
      <c r="Q2391">
        <v>2.9065290000000001E-2</v>
      </c>
      <c r="R2391">
        <v>6.4134540000000004E-2</v>
      </c>
      <c r="S2391">
        <v>3.018707</v>
      </c>
      <c r="T2391">
        <v>-0.16853109999999999</v>
      </c>
      <c r="U2391">
        <v>-0.10496519999999999</v>
      </c>
      <c r="V2391">
        <v>-4.0409750000000001E-2</v>
      </c>
      <c r="W2391">
        <v>4.2905329999999998E-2</v>
      </c>
      <c r="X2391">
        <v>0.99826159999999997</v>
      </c>
      <c r="Y2391">
        <v>5.8389459999999997E-2</v>
      </c>
      <c r="Z2391">
        <v>-2.9549809999999902E-3</v>
      </c>
      <c r="AA2391">
        <v>0.99828950000000005</v>
      </c>
      <c r="AB2391">
        <v>26</v>
      </c>
      <c r="AC2391">
        <v>19.541599999999999</v>
      </c>
      <c r="AD2391">
        <v>-1.104916924191</v>
      </c>
      <c r="AE2391">
        <v>-0.69440000000000102</v>
      </c>
      <c r="AF2391">
        <v>1.15542694522009</v>
      </c>
      <c r="AG2391">
        <v>-1.104916924191</v>
      </c>
      <c r="AH2391">
        <v>19.457422036697601</v>
      </c>
      <c r="AI2391">
        <v>93.244427342707695</v>
      </c>
      <c r="AJ2391">
        <v>86.601634198905103</v>
      </c>
      <c r="AK2391">
        <v>19.522989657049699</v>
      </c>
    </row>
    <row r="2392" spans="1:37" x14ac:dyDescent="0.2">
      <c r="A2392" t="str">
        <f>"20200111160200846"</f>
        <v>20200111160200846</v>
      </c>
      <c r="B2392" t="str">
        <f>"1578729720834373"</f>
        <v>1578729720834373</v>
      </c>
      <c r="C2392" t="s">
        <v>37</v>
      </c>
      <c r="D2392">
        <v>5.658582</v>
      </c>
      <c r="E2392">
        <v>0.53968490000000002</v>
      </c>
      <c r="F2392" t="s">
        <v>57</v>
      </c>
      <c r="G2392">
        <v>-387.71980000000002</v>
      </c>
      <c r="H2392" s="1">
        <v>2.6295960000000001E-6</v>
      </c>
      <c r="I2392">
        <v>213.28210000000001</v>
      </c>
      <c r="J2392">
        <v>-405.97550000000001</v>
      </c>
      <c r="K2392">
        <v>1.1049149999999901</v>
      </c>
      <c r="L2392">
        <v>213.93049999999999</v>
      </c>
      <c r="M2392">
        <v>0.99961270000000002</v>
      </c>
      <c r="N2392">
        <v>0</v>
      </c>
      <c r="O2392">
        <v>2.411804E-2</v>
      </c>
      <c r="P2392">
        <v>0.99737770000000003</v>
      </c>
      <c r="Q2392">
        <v>2.9149370000000001E-2</v>
      </c>
      <c r="R2392">
        <v>6.6241010000000003E-2</v>
      </c>
      <c r="S2392">
        <v>3.0194700000000001</v>
      </c>
      <c r="T2392">
        <v>-0.180370899999999</v>
      </c>
      <c r="U2392">
        <v>-0.10484309999999999</v>
      </c>
      <c r="V2392">
        <v>-4.2188370000000003E-2</v>
      </c>
      <c r="W2392">
        <v>4.2988709999999999E-2</v>
      </c>
      <c r="X2392">
        <v>0.99818439999999997</v>
      </c>
      <c r="Y2392">
        <v>5.864979E-2</v>
      </c>
      <c r="Z2392">
        <v>-3.188846E-3</v>
      </c>
      <c r="AA2392">
        <v>0.99827359999999898</v>
      </c>
      <c r="AB2392">
        <v>26</v>
      </c>
      <c r="AC2392">
        <v>18.255699999999901</v>
      </c>
      <c r="AD2392">
        <v>-1.10491237040399</v>
      </c>
      <c r="AE2392">
        <v>-0.64839999999997999</v>
      </c>
      <c r="AF2392">
        <v>1.0845775011944201</v>
      </c>
      <c r="AG2392">
        <v>-1.10491237040399</v>
      </c>
      <c r="AH2392">
        <v>18.168279181579098</v>
      </c>
      <c r="AI2392">
        <v>93.474013889506494</v>
      </c>
      <c r="AJ2392">
        <v>86.583713111885999</v>
      </c>
      <c r="AK2392">
        <v>18.234130308906099</v>
      </c>
    </row>
    <row r="2393" spans="1:37" x14ac:dyDescent="0.2">
      <c r="A2393" t="str">
        <f>"20200111160200868"</f>
        <v>20200111160200868</v>
      </c>
      <c r="B2393" t="str">
        <f>"1578729720863653"</f>
        <v>1578729720863653</v>
      </c>
      <c r="C2393" t="s">
        <v>37</v>
      </c>
      <c r="D2393">
        <v>5.5777910000000004</v>
      </c>
      <c r="E2393">
        <v>0.54044969999999903</v>
      </c>
      <c r="F2393" t="s">
        <v>57</v>
      </c>
      <c r="G2393">
        <v>-388.27120000000002</v>
      </c>
      <c r="H2393" s="1">
        <v>2.9212340000000002E-6</v>
      </c>
      <c r="I2393">
        <v>213.32400000000001</v>
      </c>
      <c r="J2393">
        <v>-405.71690000000001</v>
      </c>
      <c r="K2393">
        <v>1.1049069999999901</v>
      </c>
      <c r="L2393">
        <v>213.93709999999999</v>
      </c>
      <c r="M2393">
        <v>0.99960490000000002</v>
      </c>
      <c r="N2393">
        <v>0</v>
      </c>
      <c r="O2393">
        <v>2.444522E-2</v>
      </c>
      <c r="P2393">
        <v>0.99726649999999994</v>
      </c>
      <c r="Q2393">
        <v>2.9857849999999998E-2</v>
      </c>
      <c r="R2393">
        <v>6.7589969999999999E-2</v>
      </c>
      <c r="S2393">
        <v>3.0202939999999998</v>
      </c>
      <c r="T2393">
        <v>-0.1884942</v>
      </c>
      <c r="U2393">
        <v>-0.1034698</v>
      </c>
      <c r="V2393">
        <v>-4.3211310000000003E-2</v>
      </c>
      <c r="W2393">
        <v>4.3698050000000002E-2</v>
      </c>
      <c r="X2393">
        <v>0.99810980000000005</v>
      </c>
      <c r="Y2393">
        <v>5.8499919999999997E-2</v>
      </c>
      <c r="Z2393">
        <v>-3.3470309999999999E-3</v>
      </c>
      <c r="AA2393">
        <v>0.9982818</v>
      </c>
      <c r="AB2393">
        <v>25</v>
      </c>
      <c r="AC2393">
        <v>17.445699999999899</v>
      </c>
      <c r="AD2393">
        <v>-1.1049040787659901</v>
      </c>
      <c r="AE2393">
        <v>-0.613099999999974</v>
      </c>
      <c r="AF2393">
        <v>1.0352742242205299</v>
      </c>
      <c r="AG2393">
        <v>-1.1049040787659901</v>
      </c>
      <c r="AH2393">
        <v>17.355964851794599</v>
      </c>
      <c r="AI2393">
        <v>93.636165133353302</v>
      </c>
      <c r="AJ2393">
        <v>86.586381510057905</v>
      </c>
      <c r="AK2393">
        <v>17.421886283618601</v>
      </c>
    </row>
    <row r="2394" spans="1:37" x14ac:dyDescent="0.2">
      <c r="A2394" t="str">
        <f>"20200111160200890"</f>
        <v>20200111160200890</v>
      </c>
      <c r="B2394" t="str">
        <f>"1578729720884149"</f>
        <v>1578729720884149</v>
      </c>
      <c r="C2394" t="s">
        <v>37</v>
      </c>
      <c r="D2394">
        <v>5.6240139999999998</v>
      </c>
      <c r="E2394">
        <v>0.54091669999999903</v>
      </c>
      <c r="F2394" t="s">
        <v>57</v>
      </c>
      <c r="G2394">
        <v>-388.91050000000001</v>
      </c>
      <c r="H2394" s="1">
        <v>3.2600659999999998E-6</v>
      </c>
      <c r="I2394">
        <v>213.35509999999999</v>
      </c>
      <c r="J2394">
        <v>-405.48110000000003</v>
      </c>
      <c r="K2394">
        <v>1.104889</v>
      </c>
      <c r="L2394">
        <v>213.94319999999999</v>
      </c>
      <c r="M2394">
        <v>0.99959819999999999</v>
      </c>
      <c r="N2394">
        <v>0</v>
      </c>
      <c r="O2394">
        <v>2.4710039999999999E-2</v>
      </c>
      <c r="P2394">
        <v>0.99716380000000004</v>
      </c>
      <c r="Q2394">
        <v>3.0977299999999899E-2</v>
      </c>
      <c r="R2394">
        <v>6.8593749999999995E-2</v>
      </c>
      <c r="S2394">
        <v>3.021271</v>
      </c>
      <c r="T2394">
        <v>-0.1986272</v>
      </c>
      <c r="U2394">
        <v>-0.1046295</v>
      </c>
      <c r="V2394">
        <v>-4.39511E-2</v>
      </c>
      <c r="W2394">
        <v>4.4818940000000002E-2</v>
      </c>
      <c r="X2394">
        <v>0.99802789999999997</v>
      </c>
      <c r="Y2394">
        <v>5.9116490000000001E-2</v>
      </c>
      <c r="Z2394">
        <v>-3.5630530000000001E-3</v>
      </c>
      <c r="AA2394">
        <v>0.99824469999999998</v>
      </c>
      <c r="AB2394">
        <v>25</v>
      </c>
      <c r="AC2394">
        <v>16.570599999999999</v>
      </c>
      <c r="AD2394">
        <v>-1.104885739934</v>
      </c>
      <c r="AE2394">
        <v>-0.58809999999999696</v>
      </c>
      <c r="AF2394">
        <v>0.99301081383272305</v>
      </c>
      <c r="AG2394">
        <v>-1.104885739934</v>
      </c>
      <c r="AH2394">
        <v>16.477839558438301</v>
      </c>
      <c r="AI2394">
        <v>93.829175633691307</v>
      </c>
      <c r="AJ2394">
        <v>86.551331687064703</v>
      </c>
      <c r="AK2394">
        <v>16.5446680078004</v>
      </c>
    </row>
    <row r="2395" spans="1:37" x14ac:dyDescent="0.2">
      <c r="A2395" t="str">
        <f>"20200111160200912"</f>
        <v>20200111160200912</v>
      </c>
      <c r="B2395" t="str">
        <f>"1578729720904177"</f>
        <v>1578729720904177</v>
      </c>
      <c r="C2395" t="s">
        <v>37</v>
      </c>
      <c r="D2395">
        <v>5.5557840000000001</v>
      </c>
      <c r="E2395">
        <v>0.54133529999999996</v>
      </c>
      <c r="F2395" t="s">
        <v>57</v>
      </c>
      <c r="G2395">
        <v>-388.88940000000002</v>
      </c>
      <c r="H2395" s="1">
        <v>3.24838799999999E-6</v>
      </c>
      <c r="I2395">
        <v>213.3657</v>
      </c>
      <c r="J2395">
        <v>-405.21960000000001</v>
      </c>
      <c r="K2395">
        <v>1.1048559999999901</v>
      </c>
      <c r="L2395">
        <v>213.95</v>
      </c>
      <c r="M2395">
        <v>0.99959229999999999</v>
      </c>
      <c r="N2395">
        <v>0</v>
      </c>
      <c r="O2395">
        <v>2.4955709999999999E-2</v>
      </c>
      <c r="P2395">
        <v>0.99711469999999902</v>
      </c>
      <c r="Q2395">
        <v>3.1432389999999998E-2</v>
      </c>
      <c r="R2395">
        <v>6.9098039999999999E-2</v>
      </c>
      <c r="S2395">
        <v>3.0220340000000001</v>
      </c>
      <c r="T2395">
        <v>-0.20124510000000001</v>
      </c>
      <c r="U2395">
        <v>-0.1051941</v>
      </c>
      <c r="V2395">
        <v>-4.420669E-2</v>
      </c>
      <c r="W2395">
        <v>4.5276249999999997E-2</v>
      </c>
      <c r="X2395">
        <v>0.99799590000000005</v>
      </c>
      <c r="Y2395">
        <v>5.9533200000000001E-2</v>
      </c>
      <c r="Z2395">
        <v>-3.6391829999999998E-3</v>
      </c>
      <c r="AA2395">
        <v>0.99821970000000004</v>
      </c>
      <c r="AB2395">
        <v>25</v>
      </c>
      <c r="AC2395">
        <v>16.330199999999898</v>
      </c>
      <c r="AD2395">
        <v>-1.1048527516119999</v>
      </c>
      <c r="AE2395">
        <v>-0.58429999999998405</v>
      </c>
      <c r="AF2395">
        <v>0.98717595073872799</v>
      </c>
      <c r="AG2395">
        <v>-1.1048527516119999</v>
      </c>
      <c r="AH2395">
        <v>16.2363038658122</v>
      </c>
      <c r="AI2395">
        <v>93.885725083837897</v>
      </c>
      <c r="AJ2395">
        <v>86.520669125205998</v>
      </c>
      <c r="AK2395">
        <v>16.303765797613998</v>
      </c>
    </row>
    <row r="2396" spans="1:37" x14ac:dyDescent="0.2">
      <c r="A2396" t="str">
        <f>"20200111160200934"</f>
        <v>20200111160200934</v>
      </c>
      <c r="B2396" t="str">
        <f>"1578729720923697"</f>
        <v>1578729720923697</v>
      </c>
      <c r="C2396" t="s">
        <v>37</v>
      </c>
      <c r="D2396">
        <v>5.5529469999999996</v>
      </c>
      <c r="E2396">
        <v>0.54193910000000001</v>
      </c>
      <c r="F2396" t="s">
        <v>42</v>
      </c>
      <c r="G2396">
        <v>-404.3</v>
      </c>
      <c r="H2396">
        <v>1.042206</v>
      </c>
      <c r="I2396">
        <v>213.9171</v>
      </c>
      <c r="J2396">
        <v>-404.96710000000002</v>
      </c>
      <c r="K2396">
        <v>1.1048249999999999</v>
      </c>
      <c r="L2396">
        <v>213.95660000000001</v>
      </c>
      <c r="M2396">
        <v>0.99958749999999996</v>
      </c>
      <c r="N2396">
        <v>0</v>
      </c>
      <c r="O2396">
        <v>2.5145219999999999E-2</v>
      </c>
      <c r="P2396">
        <v>0.99709590000000003</v>
      </c>
      <c r="Q2396">
        <v>3.2236460000000002E-2</v>
      </c>
      <c r="R2396">
        <v>6.8997299999999998E-2</v>
      </c>
      <c r="S2396">
        <v>3.022583</v>
      </c>
      <c r="T2396">
        <v>-0.2061096</v>
      </c>
      <c r="U2396">
        <v>-0.1067963</v>
      </c>
      <c r="V2396">
        <v>-4.3913830000000001E-2</v>
      </c>
      <c r="W2396">
        <v>4.608317E-2</v>
      </c>
      <c r="X2396">
        <v>0.99797190000000002</v>
      </c>
      <c r="Y2396">
        <v>6.0233479999999999E-2</v>
      </c>
      <c r="Z2396">
        <v>-3.7629870000000002E-3</v>
      </c>
      <c r="AA2396">
        <v>0.99817719999999899</v>
      </c>
      <c r="AB2396">
        <v>25</v>
      </c>
      <c r="AC2396">
        <v>0.66710000000000402</v>
      </c>
      <c r="AD2396">
        <v>-6.2618999999999897E-2</v>
      </c>
      <c r="AE2396">
        <v>-3.9500000000003803E-2</v>
      </c>
      <c r="AF2396">
        <v>5.5773787711890198E-2</v>
      </c>
      <c r="AG2396">
        <v>-6.2618999999999897E-2</v>
      </c>
      <c r="AH2396">
        <v>0.66009980822016501</v>
      </c>
      <c r="AI2396">
        <v>95.399902447996297</v>
      </c>
      <c r="AJ2396">
        <v>85.170381087208298</v>
      </c>
      <c r="AK2396">
        <v>0.66540484771981501</v>
      </c>
    </row>
    <row r="2397" spans="1:37" x14ac:dyDescent="0.2">
      <c r="A2397" t="str">
        <f>"20200111160200956"</f>
        <v>20200111160200956</v>
      </c>
      <c r="B2397" t="str">
        <f>"1578729720953953"</f>
        <v>1578729720953953</v>
      </c>
      <c r="C2397" t="s">
        <v>37</v>
      </c>
      <c r="D2397">
        <v>5.6297439999999996</v>
      </c>
      <c r="E2397">
        <v>0.54238920000000002</v>
      </c>
      <c r="F2397" t="s">
        <v>42</v>
      </c>
      <c r="G2397">
        <v>-404.07350000000002</v>
      </c>
      <c r="H2397">
        <v>1.043193</v>
      </c>
      <c r="I2397">
        <v>213.92320000000001</v>
      </c>
      <c r="J2397">
        <v>-404.71109999999999</v>
      </c>
      <c r="K2397">
        <v>1.1048039999999999</v>
      </c>
      <c r="L2397">
        <v>213.9632</v>
      </c>
      <c r="M2397">
        <v>0.99958369999999996</v>
      </c>
      <c r="N2397">
        <v>0</v>
      </c>
      <c r="O2397">
        <v>2.5294179999999999E-2</v>
      </c>
      <c r="P2397">
        <v>0.99709590000000003</v>
      </c>
      <c r="Q2397">
        <v>3.2758410000000002E-2</v>
      </c>
      <c r="R2397">
        <v>6.8751099999999996E-2</v>
      </c>
      <c r="S2397">
        <v>3.0232239999999999</v>
      </c>
      <c r="T2397">
        <v>-0.20868329999999999</v>
      </c>
      <c r="U2397">
        <v>-0.11170960000000001</v>
      </c>
      <c r="V2397">
        <v>-4.3515890000000002E-2</v>
      </c>
      <c r="W2397">
        <v>4.6607129999999997E-2</v>
      </c>
      <c r="X2397">
        <v>0.99796499999999999</v>
      </c>
      <c r="Y2397">
        <v>6.1985400000000003E-2</v>
      </c>
      <c r="Z2397">
        <v>-3.8795959999999999E-3</v>
      </c>
      <c r="AA2397">
        <v>0.99806949999999905</v>
      </c>
      <c r="AB2397">
        <v>25</v>
      </c>
      <c r="AC2397">
        <v>0.63759999999996297</v>
      </c>
      <c r="AD2397">
        <v>-6.1610999999999999E-2</v>
      </c>
      <c r="AE2397">
        <v>-3.9999999999992E-2</v>
      </c>
      <c r="AF2397">
        <v>5.5599212660622802E-2</v>
      </c>
      <c r="AG2397">
        <v>-6.1610999999999999E-2</v>
      </c>
      <c r="AH2397">
        <v>0.63051984282543805</v>
      </c>
      <c r="AI2397">
        <v>95.559480579693599</v>
      </c>
      <c r="AJ2397">
        <v>84.960695032641596</v>
      </c>
      <c r="AK2397">
        <v>0.63595790738546298</v>
      </c>
    </row>
    <row r="2398" spans="1:37" x14ac:dyDescent="0.2">
      <c r="A2398" t="str">
        <f>"20200111160200980"</f>
        <v>20200111160200980</v>
      </c>
      <c r="B2398" t="str">
        <f>"1578729720974449"</f>
        <v>1578729720974449</v>
      </c>
      <c r="C2398" t="s">
        <v>37</v>
      </c>
      <c r="D2398">
        <v>5.4736969999999996</v>
      </c>
      <c r="E2398">
        <v>0.54278649999999995</v>
      </c>
      <c r="F2398" t="s">
        <v>42</v>
      </c>
      <c r="G2398">
        <v>-403.84719999999999</v>
      </c>
      <c r="H2398">
        <v>1.0438799999999999</v>
      </c>
      <c r="I2398">
        <v>213.93</v>
      </c>
      <c r="J2398">
        <v>-404.4597</v>
      </c>
      <c r="K2398">
        <v>1.104789</v>
      </c>
      <c r="L2398">
        <v>213.96969999999999</v>
      </c>
      <c r="M2398">
        <v>0.99958119999999995</v>
      </c>
      <c r="N2398">
        <v>0</v>
      </c>
      <c r="O2398">
        <v>2.5397719999999999E-2</v>
      </c>
      <c r="P2398">
        <v>0.99713479999999999</v>
      </c>
      <c r="Q2398">
        <v>3.3290699999999999E-2</v>
      </c>
      <c r="R2398">
        <v>6.7928130000000003E-2</v>
      </c>
      <c r="S2398">
        <v>3.023682</v>
      </c>
      <c r="T2398">
        <v>-0.2133041</v>
      </c>
      <c r="U2398">
        <v>-0.1153259</v>
      </c>
      <c r="V2398">
        <v>-4.2585440000000002E-2</v>
      </c>
      <c r="W2398">
        <v>4.714202E-2</v>
      </c>
      <c r="X2398">
        <v>0.99797999999999998</v>
      </c>
      <c r="Y2398">
        <v>6.3262540000000006E-2</v>
      </c>
      <c r="Z2398">
        <v>-4.0168790000000001E-3</v>
      </c>
      <c r="AA2398">
        <v>0.99798880000000001</v>
      </c>
      <c r="AB2398">
        <v>25</v>
      </c>
      <c r="AC2398">
        <v>0.61250000000001104</v>
      </c>
      <c r="AD2398">
        <v>-6.0909000000000102E-2</v>
      </c>
      <c r="AE2398">
        <v>-3.9699999999982E-2</v>
      </c>
      <c r="AF2398">
        <v>5.4706068376539699E-2</v>
      </c>
      <c r="AG2398">
        <v>-6.0909000000000102E-2</v>
      </c>
      <c r="AH2398">
        <v>0.60533292730687205</v>
      </c>
      <c r="AI2398">
        <v>95.722634014133305</v>
      </c>
      <c r="AJ2398">
        <v>84.836006897148295</v>
      </c>
      <c r="AK2398">
        <v>0.61084418068778001</v>
      </c>
    </row>
    <row r="2399" spans="1:37" x14ac:dyDescent="0.2">
      <c r="A2399" t="str">
        <f>"20200111160201001"</f>
        <v>20200111160201001</v>
      </c>
      <c r="B2399" t="str">
        <f>"1578729720993969"</f>
        <v>1578729720993969</v>
      </c>
      <c r="C2399" t="s">
        <v>37</v>
      </c>
      <c r="D2399">
        <v>5.4210370000000001</v>
      </c>
      <c r="E2399">
        <v>0.54316569999999997</v>
      </c>
      <c r="F2399" t="s">
        <v>42</v>
      </c>
      <c r="G2399">
        <v>-403.6207</v>
      </c>
      <c r="H2399">
        <v>1.044932</v>
      </c>
      <c r="I2399">
        <v>213.93620000000001</v>
      </c>
      <c r="J2399">
        <v>-404.20920000000001</v>
      </c>
      <c r="K2399">
        <v>1.1047719999999901</v>
      </c>
      <c r="L2399">
        <v>213.97620000000001</v>
      </c>
      <c r="M2399">
        <v>0.99957940000000001</v>
      </c>
      <c r="N2399">
        <v>0</v>
      </c>
      <c r="O2399">
        <v>2.5463340000000001E-2</v>
      </c>
      <c r="P2399">
        <v>0.99716059999999995</v>
      </c>
      <c r="Q2399">
        <v>3.4304389999999997E-2</v>
      </c>
      <c r="R2399">
        <v>6.7035709999999998E-2</v>
      </c>
      <c r="S2399">
        <v>3.0240779999999998</v>
      </c>
      <c r="T2399">
        <v>-0.2157655</v>
      </c>
      <c r="U2399">
        <v>-0.12068179999999901</v>
      </c>
      <c r="V2399">
        <v>-4.1624029999999999E-2</v>
      </c>
      <c r="W2399">
        <v>4.8156999999999998E-2</v>
      </c>
      <c r="X2399">
        <v>0.99797209999999903</v>
      </c>
      <c r="Y2399">
        <v>6.5077969999999999E-2</v>
      </c>
      <c r="Z2399">
        <v>-4.1317849999999998E-3</v>
      </c>
      <c r="AA2399">
        <v>0.99787159999999997</v>
      </c>
      <c r="AB2399">
        <v>25</v>
      </c>
      <c r="AC2399">
        <v>0.58850000000001002</v>
      </c>
      <c r="AD2399">
        <v>-5.9839999999999803E-2</v>
      </c>
      <c r="AE2399">
        <v>-3.9999999999992E-2</v>
      </c>
      <c r="AF2399">
        <v>5.4413636362766298E-2</v>
      </c>
      <c r="AG2399">
        <v>-5.9839999999999803E-2</v>
      </c>
      <c r="AH2399">
        <v>0.58130784945018499</v>
      </c>
      <c r="AI2399">
        <v>95.851939747873899</v>
      </c>
      <c r="AJ2399">
        <v>84.652379784634405</v>
      </c>
      <c r="AK2399">
        <v>0.58690756108148601</v>
      </c>
    </row>
    <row r="2400" spans="1:37" x14ac:dyDescent="0.2">
      <c r="A2400" t="str">
        <f>"20200111160201023"</f>
        <v>20200111160201023</v>
      </c>
      <c r="B2400" t="str">
        <f>"1578729721013997"</f>
        <v>1578729721013997</v>
      </c>
      <c r="C2400" t="s">
        <v>37</v>
      </c>
      <c r="D2400">
        <v>5.4365740000000002</v>
      </c>
      <c r="E2400">
        <v>0.54357500000000003</v>
      </c>
      <c r="F2400" t="s">
        <v>42</v>
      </c>
      <c r="G2400">
        <v>-403.39400000000001</v>
      </c>
      <c r="H2400">
        <v>1.0464899999999999</v>
      </c>
      <c r="I2400">
        <v>213.9417</v>
      </c>
      <c r="J2400">
        <v>-403.95679999999999</v>
      </c>
      <c r="K2400">
        <v>1.1047530000000001</v>
      </c>
      <c r="L2400">
        <v>213.98259999999999</v>
      </c>
      <c r="M2400">
        <v>0.99957870000000004</v>
      </c>
      <c r="N2400">
        <v>0</v>
      </c>
      <c r="O2400">
        <v>2.5498799999999999E-2</v>
      </c>
      <c r="P2400">
        <v>0.99721579999999999</v>
      </c>
      <c r="Q2400">
        <v>3.4721490000000001E-2</v>
      </c>
      <c r="R2400">
        <v>6.5996509999999994E-2</v>
      </c>
      <c r="S2400">
        <v>3.0244450000000001</v>
      </c>
      <c r="T2400">
        <v>-0.2164797</v>
      </c>
      <c r="U2400">
        <v>-0.1258698</v>
      </c>
      <c r="V2400">
        <v>-4.0545820000000003E-2</v>
      </c>
      <c r="W2400">
        <v>4.8575189999999997E-2</v>
      </c>
      <c r="X2400">
        <v>0.9979962</v>
      </c>
      <c r="Y2400">
        <v>6.6811369999999995E-2</v>
      </c>
      <c r="Z2400">
        <v>-4.2092550000000003E-3</v>
      </c>
      <c r="AA2400">
        <v>0.99775669999999905</v>
      </c>
      <c r="AB2400">
        <v>25</v>
      </c>
      <c r="AC2400">
        <v>0.56279999999998098</v>
      </c>
      <c r="AD2400">
        <v>-5.8263000000000099E-2</v>
      </c>
      <c r="AE2400">
        <v>-4.0899999999993497E-2</v>
      </c>
      <c r="AF2400">
        <v>5.4656124925956701E-2</v>
      </c>
      <c r="AG2400">
        <v>-5.8263000000000099E-2</v>
      </c>
      <c r="AH2400">
        <v>0.55565029246681896</v>
      </c>
      <c r="AI2400">
        <v>95.957362292407893</v>
      </c>
      <c r="AJ2400">
        <v>84.382215381297399</v>
      </c>
      <c r="AK2400">
        <v>0.56136362251163296</v>
      </c>
    </row>
    <row r="2401" spans="1:37" x14ac:dyDescent="0.2">
      <c r="A2401" t="str">
        <f>"20200111160201046"</f>
        <v>20200111160201046</v>
      </c>
      <c r="B2401" t="str">
        <f>"1578729721034492"</f>
        <v>1578729721034492</v>
      </c>
      <c r="C2401" t="s">
        <v>37</v>
      </c>
      <c r="D2401">
        <v>5.4010540000000002</v>
      </c>
      <c r="E2401">
        <v>0.54389140000000002</v>
      </c>
      <c r="F2401" t="s">
        <v>42</v>
      </c>
      <c r="G2401">
        <v>-403.1678</v>
      </c>
      <c r="H2401">
        <v>1.047839</v>
      </c>
      <c r="I2401">
        <v>213.94810000000001</v>
      </c>
      <c r="J2401">
        <v>-403.70760000000001</v>
      </c>
      <c r="K2401">
        <v>1.1047370000000001</v>
      </c>
      <c r="L2401">
        <v>213.989</v>
      </c>
      <c r="M2401">
        <v>0.99957830000000003</v>
      </c>
      <c r="N2401">
        <v>0</v>
      </c>
      <c r="O2401">
        <v>2.5513299999999999E-2</v>
      </c>
      <c r="P2401">
        <v>0.997228</v>
      </c>
      <c r="Q2401">
        <v>3.4937959999999997E-2</v>
      </c>
      <c r="R2401">
        <v>6.5694619999999995E-2</v>
      </c>
      <c r="S2401">
        <v>3.0247189999999899</v>
      </c>
      <c r="T2401">
        <v>-0.21821740000000001</v>
      </c>
      <c r="U2401">
        <v>-0.1321716</v>
      </c>
      <c r="V2401">
        <v>-4.0227499999999999E-2</v>
      </c>
      <c r="W2401">
        <v>4.8792349999999998E-2</v>
      </c>
      <c r="X2401">
        <v>0.99799850000000001</v>
      </c>
      <c r="Y2401">
        <v>6.8887760000000006E-2</v>
      </c>
      <c r="Z2401">
        <v>-4.3182079999999996E-3</v>
      </c>
      <c r="AA2401">
        <v>0.99761509999999998</v>
      </c>
      <c r="AB2401">
        <v>25</v>
      </c>
      <c r="AC2401">
        <v>0.53980000000001305</v>
      </c>
      <c r="AD2401">
        <v>-5.6898000000000101E-2</v>
      </c>
      <c r="AE2401">
        <v>-4.0899999999993497E-2</v>
      </c>
      <c r="AF2401">
        <v>5.4062858129586701E-2</v>
      </c>
      <c r="AG2401">
        <v>-5.6898000000000101E-2</v>
      </c>
      <c r="AH2401">
        <v>0.53269599523866196</v>
      </c>
      <c r="AI2401">
        <v>96.0658019023751</v>
      </c>
      <c r="AJ2401">
        <v>84.204942739513996</v>
      </c>
      <c r="AK2401">
        <v>0.53844702467043903</v>
      </c>
    </row>
    <row r="2402" spans="1:37" x14ac:dyDescent="0.2">
      <c r="A2402" t="str">
        <f>"20200111160201068"</f>
        <v>20200111160201068</v>
      </c>
      <c r="B2402" t="str">
        <f>"1578729721063772"</f>
        <v>1578729721063772</v>
      </c>
      <c r="C2402" t="s">
        <v>37</v>
      </c>
      <c r="D2402">
        <v>5.4101229999999996</v>
      </c>
      <c r="E2402">
        <v>0.54435250000000002</v>
      </c>
      <c r="F2402" t="s">
        <v>42</v>
      </c>
      <c r="G2402">
        <v>-402.94199999999898</v>
      </c>
      <c r="H2402">
        <v>1.048943</v>
      </c>
      <c r="I2402">
        <v>213.9545</v>
      </c>
      <c r="J2402">
        <v>-403.46170000000001</v>
      </c>
      <c r="K2402">
        <v>1.10473</v>
      </c>
      <c r="L2402">
        <v>213.99529999999999</v>
      </c>
      <c r="M2402">
        <v>0.99957819999999997</v>
      </c>
      <c r="N2402">
        <v>0</v>
      </c>
      <c r="O2402">
        <v>2.55143E-2</v>
      </c>
      <c r="P2402">
        <v>0.9972278</v>
      </c>
      <c r="Q2402">
        <v>3.564055E-2</v>
      </c>
      <c r="R2402">
        <v>6.5319160000000001E-2</v>
      </c>
      <c r="S2402">
        <v>3.0249630000000001</v>
      </c>
      <c r="T2402">
        <v>-0.2207517</v>
      </c>
      <c r="U2402">
        <v>-0.13502500000000001</v>
      </c>
      <c r="V2402">
        <v>-3.984969E-2</v>
      </c>
      <c r="W2402">
        <v>4.9493889999999999E-2</v>
      </c>
      <c r="X2402">
        <v>0.99797919999999996</v>
      </c>
      <c r="Y2402">
        <v>6.9816299999999998E-2</v>
      </c>
      <c r="Z2402">
        <v>-4.4016810000000002E-3</v>
      </c>
      <c r="AA2402">
        <v>0.9975501</v>
      </c>
      <c r="AB2402">
        <v>25</v>
      </c>
      <c r="AC2402">
        <v>0.51970000000005701</v>
      </c>
      <c r="AD2402">
        <v>-5.5787000000000003E-2</v>
      </c>
      <c r="AE2402">
        <v>-4.0799999999990101E-2</v>
      </c>
      <c r="AF2402">
        <v>5.3435810997657603E-2</v>
      </c>
      <c r="AG2402">
        <v>-5.5787000000000003E-2</v>
      </c>
      <c r="AH2402">
        <v>0.51261904054932605</v>
      </c>
      <c r="AI2402">
        <v>96.177696273874801</v>
      </c>
      <c r="AJ2402">
        <v>84.048935916681998</v>
      </c>
      <c r="AK2402">
        <v>0.51840703698897495</v>
      </c>
    </row>
    <row r="2403" spans="1:37" x14ac:dyDescent="0.2">
      <c r="A2403" t="str">
        <f>"20200111160201115"</f>
        <v>20200111160201115</v>
      </c>
      <c r="B2403" t="str">
        <f>"1578729721103788"</f>
        <v>1578729721103788</v>
      </c>
      <c r="C2403" t="s">
        <v>37</v>
      </c>
      <c r="D2403">
        <v>5.4424650000000003</v>
      </c>
      <c r="E2403">
        <v>0.54487969999999997</v>
      </c>
      <c r="F2403" t="s">
        <v>42</v>
      </c>
      <c r="G2403">
        <v>-402.7167</v>
      </c>
      <c r="H2403">
        <v>1.0499080000000001</v>
      </c>
      <c r="I2403">
        <v>213.96080000000001</v>
      </c>
      <c r="J2403">
        <v>-402.94229999999999</v>
      </c>
      <c r="K2403">
        <v>1.1047290000000001</v>
      </c>
      <c r="L2403">
        <v>214.0086</v>
      </c>
      <c r="M2403">
        <v>0.99957870000000004</v>
      </c>
      <c r="N2403">
        <v>0</v>
      </c>
      <c r="O2403">
        <v>2.549672E-2</v>
      </c>
      <c r="P2403">
        <v>0.99716260000000001</v>
      </c>
      <c r="Q2403">
        <v>3.7889939999999997E-2</v>
      </c>
      <c r="R2403">
        <v>6.5048010000000003E-2</v>
      </c>
      <c r="S2403">
        <v>3.0254819999999998</v>
      </c>
      <c r="T2403">
        <v>-0.22276270000000001</v>
      </c>
      <c r="U2403">
        <v>-0.13954159999999999</v>
      </c>
      <c r="V2403">
        <v>-3.9596300000000001E-2</v>
      </c>
      <c r="W2403">
        <v>5.1739300000000002E-2</v>
      </c>
      <c r="X2403">
        <v>0.99787530000000002</v>
      </c>
      <c r="Y2403">
        <v>7.1268789999999999E-2</v>
      </c>
      <c r="Z2403">
        <v>-4.4928529999999998E-3</v>
      </c>
      <c r="AA2403">
        <v>0.99744699999999997</v>
      </c>
      <c r="AB2403">
        <v>25</v>
      </c>
      <c r="AC2403">
        <v>0.22559999999998501</v>
      </c>
      <c r="AD2403">
        <v>-5.4821000000000002E-2</v>
      </c>
      <c r="AE2403">
        <v>-4.7799999999995103E-2</v>
      </c>
      <c r="AF2403">
        <v>5.0673394414251699E-2</v>
      </c>
      <c r="AG2403">
        <v>-5.4821000000000002E-2</v>
      </c>
      <c r="AH2403">
        <v>0.21230965105550101</v>
      </c>
      <c r="AI2403">
        <v>104.098658466088</v>
      </c>
      <c r="AJ2403">
        <v>76.575971341608195</v>
      </c>
      <c r="AK2403">
        <v>0.22505226698207401</v>
      </c>
    </row>
    <row r="2404" spans="1:37" x14ac:dyDescent="0.2">
      <c r="A2404" t="str">
        <f>"20200111160201137"</f>
        <v>20200111160201137</v>
      </c>
      <c r="B2404" t="str">
        <f>"1578729721134044"</f>
        <v>1578729721134044</v>
      </c>
      <c r="C2404" t="s">
        <v>37</v>
      </c>
      <c r="D2404">
        <v>5.2723610000000001</v>
      </c>
      <c r="E2404">
        <v>0.54446380000000005</v>
      </c>
      <c r="F2404" t="s">
        <v>42</v>
      </c>
      <c r="G2404">
        <v>-402.0523</v>
      </c>
      <c r="H2404">
        <v>1.03994599999999</v>
      </c>
      <c r="I2404">
        <v>213.9657</v>
      </c>
      <c r="J2404">
        <v>-402.68049999999999</v>
      </c>
      <c r="K2404">
        <v>1.1047389999999999</v>
      </c>
      <c r="L2404">
        <v>214.0153</v>
      </c>
      <c r="M2404">
        <v>0.999579</v>
      </c>
      <c r="N2404">
        <v>0</v>
      </c>
      <c r="O2404">
        <v>2.5485420000000002E-2</v>
      </c>
      <c r="P2404">
        <v>0.99711729999999998</v>
      </c>
      <c r="Q2404">
        <v>3.8646279999999998E-2</v>
      </c>
      <c r="R2404">
        <v>6.5295430000000002E-2</v>
      </c>
      <c r="S2404">
        <v>3.0263059999999999</v>
      </c>
      <c r="T2404">
        <v>-0.22046179999999899</v>
      </c>
      <c r="U2404">
        <v>-0.14433289999999999</v>
      </c>
      <c r="V2404">
        <v>-3.9856429999999998E-2</v>
      </c>
      <c r="W2404">
        <v>5.2492150000000001E-2</v>
      </c>
      <c r="X2404">
        <v>0.99782569999999904</v>
      </c>
      <c r="Y2404">
        <v>7.2822059999999994E-2</v>
      </c>
      <c r="Z2404">
        <v>-4.5008569999999996E-3</v>
      </c>
      <c r="AA2404">
        <v>0.99733479999999997</v>
      </c>
      <c r="AB2404">
        <v>25</v>
      </c>
      <c r="AC2404">
        <v>0.62819999999999199</v>
      </c>
      <c r="AD2404">
        <v>-6.4793000000000101E-2</v>
      </c>
      <c r="AE2404">
        <v>-4.9599999999998E-2</v>
      </c>
      <c r="AF2404">
        <v>6.4909141047392704E-2</v>
      </c>
      <c r="AG2404">
        <v>-6.4793000000000101E-2</v>
      </c>
      <c r="AH2404">
        <v>0.62017516442695497</v>
      </c>
      <c r="AI2404">
        <v>95.932187403963596</v>
      </c>
      <c r="AJ2404">
        <v>84.025028885746096</v>
      </c>
      <c r="AK2404">
        <v>0.62691990238985895</v>
      </c>
    </row>
    <row r="2405" spans="1:37" x14ac:dyDescent="0.2">
      <c r="A2405" t="str">
        <f>"20200111160201157"</f>
        <v>20200111160201157</v>
      </c>
      <c r="B2405" t="str">
        <f>"1578729721154540"</f>
        <v>1578729721154540</v>
      </c>
      <c r="C2405" t="s">
        <v>37</v>
      </c>
      <c r="D2405">
        <v>5.2972109999999999</v>
      </c>
      <c r="E2405">
        <v>0.49562780000000001</v>
      </c>
      <c r="F2405" t="s">
        <v>42</v>
      </c>
      <c r="G2405">
        <v>-401.82729999999998</v>
      </c>
      <c r="H2405">
        <v>1.0434809999999901</v>
      </c>
      <c r="I2405">
        <v>213.97559999999999</v>
      </c>
      <c r="J2405">
        <v>-402.46230000000003</v>
      </c>
      <c r="K2405">
        <v>1.1047450000000001</v>
      </c>
      <c r="L2405">
        <v>214.02080000000001</v>
      </c>
      <c r="M2405">
        <v>0.9995792</v>
      </c>
      <c r="N2405">
        <v>0</v>
      </c>
      <c r="O2405">
        <v>2.5477759999999999E-2</v>
      </c>
      <c r="P2405">
        <v>0.99718459999999998</v>
      </c>
      <c r="Q2405">
        <v>3.7962559999999999E-2</v>
      </c>
      <c r="R2405">
        <v>6.4665390000000003E-2</v>
      </c>
      <c r="S2405">
        <v>3.0263369999999998</v>
      </c>
      <c r="T2405">
        <v>-0.21733359999999999</v>
      </c>
      <c r="U2405">
        <v>-0.1406097</v>
      </c>
      <c r="V2405">
        <v>-3.9232160000000002E-2</v>
      </c>
      <c r="W2405">
        <v>5.1807390000000002E-2</v>
      </c>
      <c r="X2405">
        <v>0.99788619999999995</v>
      </c>
      <c r="Y2405">
        <v>7.1600109999999995E-2</v>
      </c>
      <c r="Z2405">
        <v>-4.3928880000000002E-3</v>
      </c>
      <c r="AA2405">
        <v>0.99742379999999997</v>
      </c>
      <c r="AB2405">
        <v>25</v>
      </c>
      <c r="AC2405">
        <v>0.63500000000004697</v>
      </c>
      <c r="AD2405">
        <v>-6.12640000000002E-2</v>
      </c>
      <c r="AE2405">
        <v>-4.52000000000225E-2</v>
      </c>
      <c r="AF2405">
        <v>6.0802155873198697E-2</v>
      </c>
      <c r="AG2405">
        <v>-6.12640000000002E-2</v>
      </c>
      <c r="AH2405">
        <v>0.62782767487515401</v>
      </c>
      <c r="AI2405">
        <v>95.547538105361397</v>
      </c>
      <c r="AJ2405">
        <v>84.468423907077195</v>
      </c>
      <c r="AK2405">
        <v>0.63373320032484504</v>
      </c>
    </row>
    <row r="2406" spans="1:37" x14ac:dyDescent="0.2">
      <c r="A2406" t="str">
        <f>"20200111160201179"</f>
        <v>20200111160201179</v>
      </c>
      <c r="B2406" t="str">
        <f>"1578729721174060"</f>
        <v>1578729721174060</v>
      </c>
      <c r="C2406" t="s">
        <v>37</v>
      </c>
      <c r="D2406">
        <v>5.4040989999999898</v>
      </c>
      <c r="E2406">
        <v>0.49583080000000002</v>
      </c>
      <c r="F2406" t="s">
        <v>57</v>
      </c>
      <c r="G2406">
        <v>-387.72770000000003</v>
      </c>
      <c r="H2406" s="1">
        <v>2.5484780000000001E-6</v>
      </c>
      <c r="I2406">
        <v>215.23429999999999</v>
      </c>
      <c r="J2406">
        <v>-402.21660000000003</v>
      </c>
      <c r="K2406">
        <v>1.1047359999999999</v>
      </c>
      <c r="L2406">
        <v>214.02709999999999</v>
      </c>
      <c r="M2406">
        <v>0.99957940000000001</v>
      </c>
      <c r="N2406">
        <v>0</v>
      </c>
      <c r="O2406">
        <v>2.5472330000000001E-2</v>
      </c>
      <c r="P2406">
        <v>0.99733649999999996</v>
      </c>
      <c r="Q2406">
        <v>3.5025699999999903E-2</v>
      </c>
      <c r="R2406">
        <v>6.3977790000000007E-2</v>
      </c>
      <c r="S2406">
        <v>3.0010379999999999</v>
      </c>
      <c r="T2406">
        <v>-0.22500490000000001</v>
      </c>
      <c r="U2406">
        <v>0.24714659999999999</v>
      </c>
      <c r="V2406">
        <v>-3.8546959999999998E-2</v>
      </c>
      <c r="W2406">
        <v>4.8870469999999999E-2</v>
      </c>
      <c r="X2406">
        <v>0.99806099999999998</v>
      </c>
      <c r="Y2406">
        <v>-5.6573739999999997E-2</v>
      </c>
      <c r="Z2406">
        <v>2.1084119999999901E-4</v>
      </c>
      <c r="AA2406">
        <v>0.99839840000000002</v>
      </c>
      <c r="AB2406">
        <v>25</v>
      </c>
      <c r="AC2406">
        <v>14.488899999999999</v>
      </c>
      <c r="AD2406">
        <v>-1.104733451522</v>
      </c>
      <c r="AE2406">
        <v>1.2072000000000001</v>
      </c>
      <c r="AF2406">
        <v>-0.83289796779979297</v>
      </c>
      <c r="AG2406">
        <v>-1.104733451522</v>
      </c>
      <c r="AH2406">
        <v>14.4316298821822</v>
      </c>
      <c r="AI2406">
        <v>94.3701800293411</v>
      </c>
      <c r="AJ2406">
        <v>93.303068342986293</v>
      </c>
      <c r="AK2406">
        <v>14.497796249084599</v>
      </c>
    </row>
    <row r="2407" spans="1:37" x14ac:dyDescent="0.2">
      <c r="A2407" t="str">
        <f>"20200111160201203"</f>
        <v>20200111160201203</v>
      </c>
      <c r="B2407" t="str">
        <f>"1578729721194557"</f>
        <v>1578729721194557</v>
      </c>
      <c r="C2407" t="s">
        <v>37</v>
      </c>
      <c r="D2407">
        <v>5.2840309999999997</v>
      </c>
      <c r="E2407">
        <v>0.494859099999999</v>
      </c>
      <c r="F2407" t="s">
        <v>57</v>
      </c>
      <c r="G2407">
        <v>-388.46420000000001</v>
      </c>
      <c r="H2407" s="1">
        <v>2.944235E-6</v>
      </c>
      <c r="I2407">
        <v>215.14699999999999</v>
      </c>
      <c r="J2407">
        <v>-401.9522</v>
      </c>
      <c r="K2407">
        <v>1.104722</v>
      </c>
      <c r="L2407">
        <v>214.03380000000001</v>
      </c>
      <c r="M2407">
        <v>0.99957940000000001</v>
      </c>
      <c r="N2407">
        <v>0</v>
      </c>
      <c r="O2407">
        <v>2.5469579999999999E-2</v>
      </c>
      <c r="P2407">
        <v>0.99752149999999995</v>
      </c>
      <c r="Q2407">
        <v>3.0999929999999998E-2</v>
      </c>
      <c r="R2407">
        <v>6.3165289999999999E-2</v>
      </c>
      <c r="S2407">
        <v>3.0007630000000001</v>
      </c>
      <c r="T2407">
        <v>-0.2410524</v>
      </c>
      <c r="U2407">
        <v>0.24436949999999999</v>
      </c>
      <c r="V2407">
        <v>-3.7733129999999997E-2</v>
      </c>
      <c r="W2407">
        <v>4.4844670000000003E-2</v>
      </c>
      <c r="X2407">
        <v>0.99828109999999903</v>
      </c>
      <c r="Y2407">
        <v>-5.5656209999999998E-2</v>
      </c>
      <c r="Z2407">
        <v>1.893416E-4</v>
      </c>
      <c r="AA2407">
        <v>0.99844999999999995</v>
      </c>
      <c r="AB2407">
        <v>25</v>
      </c>
      <c r="AC2407">
        <v>13.488</v>
      </c>
      <c r="AD2407">
        <v>-1.104719055765</v>
      </c>
      <c r="AE2407">
        <v>1.1132</v>
      </c>
      <c r="AF2407">
        <v>-0.76418044779147598</v>
      </c>
      <c r="AG2407">
        <v>-1.104719055765</v>
      </c>
      <c r="AH2407">
        <v>13.4225466028117</v>
      </c>
      <c r="AI2407">
        <v>94.697450978904101</v>
      </c>
      <c r="AJ2407">
        <v>93.258480018192898</v>
      </c>
      <c r="AK2407">
        <v>13.4895935169897</v>
      </c>
    </row>
    <row r="2408" spans="1:37" x14ac:dyDescent="0.2">
      <c r="A2408" t="str">
        <f>"20200111160201224"</f>
        <v>20200111160201224</v>
      </c>
      <c r="B2408" t="str">
        <f>"1578729721214076"</f>
        <v>1578729721214076</v>
      </c>
      <c r="C2408" t="s">
        <v>37</v>
      </c>
      <c r="D2408">
        <v>5.506869</v>
      </c>
      <c r="E2408">
        <v>0.47764820000000002</v>
      </c>
      <c r="F2408" t="s">
        <v>57</v>
      </c>
      <c r="G2408">
        <v>-388.63569999999999</v>
      </c>
      <c r="H2408" s="1">
        <v>3.0357169999999998E-6</v>
      </c>
      <c r="I2408">
        <v>215.1414</v>
      </c>
      <c r="J2408">
        <v>-401.71230000000003</v>
      </c>
      <c r="K2408">
        <v>1.1047169999999999</v>
      </c>
      <c r="L2408">
        <v>214.03989999999999</v>
      </c>
      <c r="M2408">
        <v>0.99957960000000001</v>
      </c>
      <c r="N2408">
        <v>0</v>
      </c>
      <c r="O2408">
        <v>2.5468620000000001E-2</v>
      </c>
      <c r="P2408">
        <v>0.9975773</v>
      </c>
      <c r="Q2408">
        <v>2.9448829999999999E-2</v>
      </c>
      <c r="R2408">
        <v>6.3027399999999997E-2</v>
      </c>
      <c r="S2408">
        <v>2.9994200000000002</v>
      </c>
      <c r="T2408">
        <v>-0.24882660000000001</v>
      </c>
      <c r="U2408">
        <v>0.24948119999999999</v>
      </c>
      <c r="V2408">
        <v>-3.7595280000000002E-2</v>
      </c>
      <c r="W2408">
        <v>4.3292160000000003E-2</v>
      </c>
      <c r="X2408">
        <v>0.99835490000000005</v>
      </c>
      <c r="Y2408">
        <v>-5.7371140000000001E-2</v>
      </c>
      <c r="Z2408">
        <v>2.6648239999999999E-4</v>
      </c>
      <c r="AA2408">
        <v>0.99835289999999999</v>
      </c>
      <c r="AB2408">
        <v>25</v>
      </c>
      <c r="AC2408">
        <v>13.076599999999999</v>
      </c>
      <c r="AD2408">
        <v>-1.1047139642829999</v>
      </c>
      <c r="AE2408">
        <v>1.1015000000000099</v>
      </c>
      <c r="AF2408">
        <v>-0.76266299490201805</v>
      </c>
      <c r="AG2408">
        <v>-1.1047139642829999</v>
      </c>
      <c r="AH2408">
        <v>13.0082293751748</v>
      </c>
      <c r="AI2408">
        <v>94.845871467054195</v>
      </c>
      <c r="AJ2408">
        <v>93.355368684586594</v>
      </c>
      <c r="AK2408">
        <v>13.0773116221888</v>
      </c>
    </row>
    <row r="2409" spans="1:37" x14ac:dyDescent="0.2">
      <c r="A2409" t="str">
        <f>"20200111160201247"</f>
        <v>20200111160201247</v>
      </c>
      <c r="B2409" t="str">
        <f>"1578729721244332"</f>
        <v>1578729721244332</v>
      </c>
      <c r="C2409" t="s">
        <v>37</v>
      </c>
      <c r="D2409">
        <v>5.282991</v>
      </c>
      <c r="E2409">
        <v>0.48800739999999998</v>
      </c>
      <c r="F2409" t="s">
        <v>72</v>
      </c>
      <c r="G2409">
        <v>-274.99669999999998</v>
      </c>
      <c r="H2409">
        <v>4.2458960000000001</v>
      </c>
      <c r="I2409">
        <v>229.6746</v>
      </c>
      <c r="J2409">
        <v>-401.47120000000001</v>
      </c>
      <c r="K2409">
        <v>1.1047260000000001</v>
      </c>
      <c r="L2409">
        <v>214.0461</v>
      </c>
      <c r="M2409">
        <v>0.99957969999999896</v>
      </c>
      <c r="N2409">
        <v>0</v>
      </c>
      <c r="O2409">
        <v>2.5468850000000001E-2</v>
      </c>
      <c r="P2409">
        <v>0.99750849999999902</v>
      </c>
      <c r="Q2409">
        <v>3.0825209999999999E-2</v>
      </c>
      <c r="R2409">
        <v>6.3458349999999997E-2</v>
      </c>
      <c r="S2409">
        <v>2.981903</v>
      </c>
      <c r="T2409">
        <v>7.3919650000000003E-2</v>
      </c>
      <c r="U2409">
        <v>0.36791990000000002</v>
      </c>
      <c r="V2409">
        <v>-3.8028090000000001E-2</v>
      </c>
      <c r="W2409">
        <v>4.4665080000000003E-2</v>
      </c>
      <c r="X2409">
        <v>0.998278</v>
      </c>
      <c r="Y2409">
        <v>-9.711467E-2</v>
      </c>
      <c r="Z2409">
        <v>-5.7033849999999896E-4</v>
      </c>
      <c r="AA2409">
        <v>0.99527310000000002</v>
      </c>
      <c r="AB2409">
        <v>25</v>
      </c>
      <c r="AC2409">
        <v>126.47450000000001</v>
      </c>
      <c r="AD2409">
        <v>3.1411699999999998</v>
      </c>
      <c r="AE2409">
        <v>15.628500000000001</v>
      </c>
      <c r="AF2409">
        <v>-12.394429965170399</v>
      </c>
      <c r="AG2409">
        <v>3.1411699999999998</v>
      </c>
      <c r="AH2409">
        <v>126.75453183376401</v>
      </c>
      <c r="AI2409">
        <v>88.587149697231695</v>
      </c>
      <c r="AJ2409">
        <v>95.584794884131099</v>
      </c>
      <c r="AK2409">
        <v>127.397802899136</v>
      </c>
    </row>
    <row r="2410" spans="1:37" x14ac:dyDescent="0.2">
      <c r="A2410" t="str">
        <f>"20200111160201269"</f>
        <v>20200111160201269</v>
      </c>
      <c r="B2410" t="str">
        <f>"1578729721263852"</f>
        <v>1578729721263852</v>
      </c>
      <c r="C2410" t="s">
        <v>37</v>
      </c>
      <c r="D2410">
        <v>5.3288599999999997</v>
      </c>
      <c r="E2410">
        <v>0.489981</v>
      </c>
      <c r="F2410" t="s">
        <v>57</v>
      </c>
      <c r="G2410">
        <v>-362.70330000000001</v>
      </c>
      <c r="H2410" s="1">
        <v>-9.8238439999999898E-8</v>
      </c>
      <c r="I2410">
        <v>217.8723</v>
      </c>
      <c r="J2410">
        <v>-401.22210000000001</v>
      </c>
      <c r="K2410">
        <v>1.1047450000000001</v>
      </c>
      <c r="L2410">
        <v>214.05250000000001</v>
      </c>
      <c r="M2410">
        <v>0.99957969999999896</v>
      </c>
      <c r="N2410">
        <v>0</v>
      </c>
      <c r="O2410">
        <v>2.5469550000000001E-2</v>
      </c>
      <c r="P2410">
        <v>0.99731449999999999</v>
      </c>
      <c r="Q2410">
        <v>3.428461E-2</v>
      </c>
      <c r="R2410">
        <v>6.4721490000000007E-2</v>
      </c>
      <c r="S2410">
        <v>2.9913020000000001</v>
      </c>
      <c r="T2410">
        <v>-8.5239889999999999E-2</v>
      </c>
      <c r="U2410">
        <v>0.29522709999999902</v>
      </c>
      <c r="V2410">
        <v>-3.9295080000000003E-2</v>
      </c>
      <c r="W2410">
        <v>4.811986E-2</v>
      </c>
      <c r="X2410">
        <v>0.99806830000000002</v>
      </c>
      <c r="Y2410">
        <v>-7.2818229999999998E-2</v>
      </c>
      <c r="Z2410">
        <v>3.1113069999999998E-4</v>
      </c>
      <c r="AA2410">
        <v>0.99734519999999904</v>
      </c>
      <c r="AB2410">
        <v>25</v>
      </c>
      <c r="AC2410">
        <v>38.518799999999999</v>
      </c>
      <c r="AD2410">
        <v>-1.1047450982384399</v>
      </c>
      <c r="AE2410">
        <v>3.8197999999999799</v>
      </c>
      <c r="AF2410">
        <v>-2.8351006612179299</v>
      </c>
      <c r="AG2410">
        <v>-1.1047450982384399</v>
      </c>
      <c r="AH2410">
        <v>38.572180201236698</v>
      </c>
      <c r="AI2410">
        <v>91.6361476513718</v>
      </c>
      <c r="AJ2410">
        <v>94.203747989966004</v>
      </c>
      <c r="AK2410">
        <v>38.692006189495999</v>
      </c>
    </row>
    <row r="2411" spans="1:37" x14ac:dyDescent="0.2">
      <c r="A2411" t="str">
        <f>"20200111160201293"</f>
        <v>20200111160201293</v>
      </c>
      <c r="B2411" t="str">
        <f>"1578729721284348"</f>
        <v>1578729721284348</v>
      </c>
      <c r="C2411" t="s">
        <v>37</v>
      </c>
      <c r="D2411">
        <v>5.5253220000000001</v>
      </c>
      <c r="E2411">
        <v>0.49045359999999999</v>
      </c>
      <c r="F2411" t="s">
        <v>57</v>
      </c>
      <c r="G2411">
        <v>-373.60180000000003</v>
      </c>
      <c r="H2411" s="1">
        <v>3.7991379999999999E-7</v>
      </c>
      <c r="I2411">
        <v>216.68530000000001</v>
      </c>
      <c r="J2411">
        <v>-400.9581</v>
      </c>
      <c r="K2411">
        <v>1.104752</v>
      </c>
      <c r="L2411">
        <v>214.0592</v>
      </c>
      <c r="M2411">
        <v>0.99957960000000001</v>
      </c>
      <c r="N2411">
        <v>0</v>
      </c>
      <c r="O2411">
        <v>2.5470719999999999E-2</v>
      </c>
      <c r="P2411">
        <v>0.99710030000000005</v>
      </c>
      <c r="Q2411">
        <v>3.7599830000000001E-2</v>
      </c>
      <c r="R2411">
        <v>6.6162670000000007E-2</v>
      </c>
      <c r="S2411">
        <v>2.9936829999999999</v>
      </c>
      <c r="T2411">
        <v>-0.119739899999999</v>
      </c>
      <c r="U2411">
        <v>0.28536990000000001</v>
      </c>
      <c r="V2411">
        <v>-4.0739860000000003E-2</v>
      </c>
      <c r="W2411">
        <v>5.1429290000000003E-2</v>
      </c>
      <c r="X2411">
        <v>0.99784539999999999</v>
      </c>
      <c r="Y2411">
        <v>-6.9470000000000004E-2</v>
      </c>
      <c r="Z2411">
        <v>3.6985559999999998E-4</v>
      </c>
      <c r="AA2411">
        <v>0.99758400000000003</v>
      </c>
      <c r="AB2411">
        <v>25</v>
      </c>
      <c r="AC2411">
        <v>27.356299999999901</v>
      </c>
      <c r="AD2411">
        <v>-1.1047516200862</v>
      </c>
      <c r="AE2411">
        <v>2.6261000000000001</v>
      </c>
      <c r="AF2411">
        <v>-1.92528515049182</v>
      </c>
      <c r="AG2411">
        <v>-1.1047516200862</v>
      </c>
      <c r="AH2411">
        <v>27.3700891431989</v>
      </c>
      <c r="AI2411">
        <v>92.305710230754599</v>
      </c>
      <c r="AJ2411">
        <v>94.0237102873065</v>
      </c>
      <c r="AK2411">
        <v>27.459952271616199</v>
      </c>
    </row>
    <row r="2412" spans="1:37" x14ac:dyDescent="0.2">
      <c r="A2412" t="str">
        <f>"20200111160201315"</f>
        <v>20200111160201315</v>
      </c>
      <c r="B2412" t="str">
        <f>"1578729721303868"</f>
        <v>1578729721303868</v>
      </c>
      <c r="C2412" t="s">
        <v>37</v>
      </c>
      <c r="D2412">
        <v>5.3783209999999997</v>
      </c>
      <c r="E2412">
        <v>0.49069459999999998</v>
      </c>
      <c r="F2412" t="s">
        <v>57</v>
      </c>
      <c r="G2412">
        <v>-376.31659999999999</v>
      </c>
      <c r="H2412" s="1">
        <v>1.8245629999999999E-6</v>
      </c>
      <c r="I2412">
        <v>216.4205</v>
      </c>
      <c r="J2412">
        <v>-400.7122</v>
      </c>
      <c r="K2412">
        <v>1.104743</v>
      </c>
      <c r="L2412">
        <v>214.06549999999999</v>
      </c>
      <c r="M2412">
        <v>0.99957949999999995</v>
      </c>
      <c r="N2412">
        <v>0</v>
      </c>
      <c r="O2412">
        <v>2.547195E-2</v>
      </c>
      <c r="P2412">
        <v>0.99695560000000005</v>
      </c>
      <c r="Q2412">
        <v>3.831876E-2</v>
      </c>
      <c r="R2412">
        <v>6.7902909999999997E-2</v>
      </c>
      <c r="S2412">
        <v>2.9947509999999999</v>
      </c>
      <c r="T2412">
        <v>-0.13426289999999999</v>
      </c>
      <c r="U2412">
        <v>0.286972</v>
      </c>
      <c r="V2412">
        <v>-4.2482060000000002E-2</v>
      </c>
      <c r="W2412">
        <v>5.2144059999999999E-2</v>
      </c>
      <c r="X2412">
        <v>0.99773559999999994</v>
      </c>
      <c r="Y2412">
        <v>-6.9954649999999993E-2</v>
      </c>
      <c r="Z2412">
        <v>4.2529580000000002E-4</v>
      </c>
      <c r="AA2412">
        <v>0.9975501</v>
      </c>
      <c r="AB2412">
        <v>25</v>
      </c>
      <c r="AC2412">
        <v>24.395600000000002</v>
      </c>
      <c r="AD2412">
        <v>-1.104741175437</v>
      </c>
      <c r="AE2412">
        <v>2.3550000000000102</v>
      </c>
      <c r="AF2412">
        <v>-1.72925915790337</v>
      </c>
      <c r="AG2412">
        <v>-1.104741175437</v>
      </c>
      <c r="AH2412">
        <v>24.398104431523699</v>
      </c>
      <c r="AI2412">
        <v>92.586091662195301</v>
      </c>
      <c r="AJ2412">
        <v>94.054160894999299</v>
      </c>
      <c r="AK2412">
        <v>24.484245754187199</v>
      </c>
    </row>
    <row r="2413" spans="1:37" x14ac:dyDescent="0.2">
      <c r="A2413" t="str">
        <f>"20200111160201339"</f>
        <v>20200111160201339</v>
      </c>
      <c r="B2413" t="str">
        <f>"1578729721334124"</f>
        <v>1578729721334124</v>
      </c>
      <c r="C2413" t="s">
        <v>37</v>
      </c>
      <c r="D2413">
        <v>5.3923519999999998</v>
      </c>
      <c r="E2413">
        <v>0.49129159999999999</v>
      </c>
      <c r="F2413" t="s">
        <v>57</v>
      </c>
      <c r="G2413">
        <v>-377.78980000000001</v>
      </c>
      <c r="H2413" s="1">
        <v>2.6085460000000001E-6</v>
      </c>
      <c r="I2413">
        <v>216.29169999999999</v>
      </c>
      <c r="J2413">
        <v>-400.45599999999899</v>
      </c>
      <c r="K2413">
        <v>1.1047359999999999</v>
      </c>
      <c r="L2413">
        <v>214.072</v>
      </c>
      <c r="M2413">
        <v>0.99957969999999896</v>
      </c>
      <c r="N2413">
        <v>0</v>
      </c>
      <c r="O2413">
        <v>2.547263E-2</v>
      </c>
      <c r="P2413">
        <v>0.99696669999999998</v>
      </c>
      <c r="Q2413">
        <v>3.6528720000000001E-2</v>
      </c>
      <c r="R2413">
        <v>6.8725359999999999E-2</v>
      </c>
      <c r="S2413">
        <v>2.994904</v>
      </c>
      <c r="T2413">
        <v>-0.14433840000000001</v>
      </c>
      <c r="U2413">
        <v>0.29086299999999998</v>
      </c>
      <c r="V2413">
        <v>-4.3303389999999997E-2</v>
      </c>
      <c r="W2413">
        <v>5.0352559999999998E-2</v>
      </c>
      <c r="X2413">
        <v>0.99779229999999997</v>
      </c>
      <c r="Y2413">
        <v>-7.122481E-2</v>
      </c>
      <c r="Z2413">
        <v>4.8761479999999999E-4</v>
      </c>
      <c r="AA2413">
        <v>0.99746019999999902</v>
      </c>
      <c r="AB2413">
        <v>25</v>
      </c>
      <c r="AC2413">
        <v>22.6661999999999</v>
      </c>
      <c r="AD2413">
        <v>-1.1047333914540001</v>
      </c>
      <c r="AE2413">
        <v>2.21969999999998</v>
      </c>
      <c r="AF2413">
        <v>-1.6377031460531399</v>
      </c>
      <c r="AG2413">
        <v>-1.1047333914540001</v>
      </c>
      <c r="AH2413">
        <v>22.662068200461398</v>
      </c>
      <c r="AI2413">
        <v>92.783605017142094</v>
      </c>
      <c r="AJ2413">
        <v>94.133366898288998</v>
      </c>
      <c r="AK2413">
        <v>22.748007442040901</v>
      </c>
    </row>
    <row r="2414" spans="1:37" x14ac:dyDescent="0.2">
      <c r="A2414" t="str">
        <f>"20200111160201358"</f>
        <v>20200111160201358</v>
      </c>
      <c r="B2414" t="str">
        <f>"1578729721353645"</f>
        <v>1578729721353645</v>
      </c>
      <c r="C2414" t="s">
        <v>37</v>
      </c>
      <c r="D2414">
        <v>5.5393280000000003</v>
      </c>
      <c r="E2414">
        <v>0.4907609</v>
      </c>
      <c r="F2414" t="s">
        <v>57</v>
      </c>
      <c r="G2414">
        <v>-381.23160000000001</v>
      </c>
      <c r="H2414" s="1">
        <v>-9.3909269999999897E-7</v>
      </c>
      <c r="I2414">
        <v>215.9359</v>
      </c>
      <c r="J2414">
        <v>-400.23739999999998</v>
      </c>
      <c r="K2414">
        <v>1.10473</v>
      </c>
      <c r="L2414">
        <v>214.07759999999999</v>
      </c>
      <c r="M2414">
        <v>0.99957969999999896</v>
      </c>
      <c r="N2414">
        <v>0</v>
      </c>
      <c r="O2414">
        <v>2.5473180000000002E-2</v>
      </c>
      <c r="P2414">
        <v>0.99702950000000001</v>
      </c>
      <c r="Q2414">
        <v>3.4424669999999997E-2</v>
      </c>
      <c r="R2414">
        <v>6.8901779999999996E-2</v>
      </c>
      <c r="S2414">
        <v>2.995422</v>
      </c>
      <c r="T2414">
        <v>-0.1721328</v>
      </c>
      <c r="U2414">
        <v>0.29042049999999903</v>
      </c>
      <c r="V2414">
        <v>-4.3477759999999997E-2</v>
      </c>
      <c r="W2414">
        <v>4.8247970000000001E-2</v>
      </c>
      <c r="X2414">
        <v>0.99788869999999896</v>
      </c>
      <c r="Y2414">
        <v>-7.10398E-2</v>
      </c>
      <c r="Z2414">
        <v>5.7594359999999997E-4</v>
      </c>
      <c r="AA2414">
        <v>0.99747330000000001</v>
      </c>
      <c r="AB2414">
        <v>25</v>
      </c>
      <c r="AC2414">
        <v>19.005799999999901</v>
      </c>
      <c r="AD2414">
        <v>-1.10473093909269</v>
      </c>
      <c r="AE2414">
        <v>1.8583000000000101</v>
      </c>
      <c r="AF2414">
        <v>-1.3689310250748501</v>
      </c>
      <c r="AG2414">
        <v>-1.10473093909269</v>
      </c>
      <c r="AH2414">
        <v>18.983442207560799</v>
      </c>
      <c r="AI2414">
        <v>93.321933288395499</v>
      </c>
      <c r="AJ2414">
        <v>94.124564799391806</v>
      </c>
      <c r="AK2414">
        <v>19.064770668618099</v>
      </c>
    </row>
    <row r="2415" spans="1:37" x14ac:dyDescent="0.2">
      <c r="A2415" t="str">
        <f>"20200111160201560"</f>
        <v>20200111160201560</v>
      </c>
      <c r="B2415" t="str">
        <f>"1578729721553724"</f>
        <v>1578729721553724</v>
      </c>
      <c r="C2415" t="s">
        <v>37</v>
      </c>
      <c r="D2415">
        <v>4.9212360000000004</v>
      </c>
      <c r="E2415">
        <v>0.4907609</v>
      </c>
      <c r="F2415" t="s">
        <v>57</v>
      </c>
      <c r="G2415">
        <v>-381.88099999999997</v>
      </c>
      <c r="H2415" s="1">
        <v>-5.9141470000000003E-7</v>
      </c>
      <c r="I2415">
        <v>215.88839999999999</v>
      </c>
      <c r="J2415">
        <v>-398.02940000000001</v>
      </c>
      <c r="K2415">
        <v>1.104795</v>
      </c>
      <c r="L2415">
        <v>214.13380000000001</v>
      </c>
      <c r="M2415">
        <v>0.99957989999999997</v>
      </c>
      <c r="N2415">
        <v>0</v>
      </c>
      <c r="O2415">
        <v>2.547381E-2</v>
      </c>
      <c r="P2415">
        <v>0.99734619999999996</v>
      </c>
      <c r="Q2415">
        <v>3.4493139999999999E-2</v>
      </c>
      <c r="R2415">
        <v>6.4117160000000006E-2</v>
      </c>
      <c r="S2415">
        <v>2.9947509999999999</v>
      </c>
      <c r="T2415">
        <v>-0.1802309</v>
      </c>
      <c r="U2415">
        <v>0.2954254</v>
      </c>
      <c r="V2415">
        <v>-3.868605E-2</v>
      </c>
      <c r="W2415">
        <v>4.8297510000000002E-2</v>
      </c>
      <c r="X2415">
        <v>0.99808349999999901</v>
      </c>
      <c r="Y2415">
        <v>-7.2701600000000005E-2</v>
      </c>
      <c r="Z2415">
        <v>6.5288729999999999E-4</v>
      </c>
      <c r="AA2415">
        <v>0.9973535</v>
      </c>
      <c r="AB2415">
        <v>24</v>
      </c>
      <c r="AC2415">
        <v>16.148399999999999</v>
      </c>
      <c r="AD2415">
        <v>-1.1047955914147001</v>
      </c>
      <c r="AE2415">
        <v>1.75459999999998</v>
      </c>
      <c r="AF2415">
        <v>-1.3364474839765601</v>
      </c>
      <c r="AG2415">
        <v>-1.1047955914147001</v>
      </c>
      <c r="AH2415">
        <v>16.113318732051301</v>
      </c>
      <c r="AI2415">
        <v>93.9089162412984</v>
      </c>
      <c r="AJ2415">
        <v>94.741291223758395</v>
      </c>
      <c r="AK2415">
        <v>16.206347698877501</v>
      </c>
    </row>
    <row r="2416" spans="1:37" x14ac:dyDescent="0.2">
      <c r="A2416" t="str">
        <f>"20200111160201649"</f>
        <v>20200111160201649</v>
      </c>
      <c r="B2416" t="str">
        <f>"1578729721644492"</f>
        <v>1578729721644492</v>
      </c>
      <c r="C2416" t="s">
        <v>37</v>
      </c>
      <c r="D2416">
        <v>5.587485</v>
      </c>
      <c r="E2416">
        <v>0.49197799999999903</v>
      </c>
      <c r="F2416" t="s">
        <v>57</v>
      </c>
      <c r="G2416">
        <v>-379.68740000000003</v>
      </c>
      <c r="H2416" s="1">
        <v>3.6183539999999999E-6</v>
      </c>
      <c r="I2416">
        <v>215.84530000000001</v>
      </c>
      <c r="J2416">
        <v>-397.06670000000003</v>
      </c>
      <c r="K2416">
        <v>1.1047480000000001</v>
      </c>
      <c r="L2416">
        <v>214.1583</v>
      </c>
      <c r="M2416">
        <v>0.99957999999999902</v>
      </c>
      <c r="N2416">
        <v>0</v>
      </c>
      <c r="O2416">
        <v>2.5474239999999999E-2</v>
      </c>
      <c r="P2416">
        <v>0.99816139999999998</v>
      </c>
      <c r="Q2416">
        <v>2.9715209999999999E-2</v>
      </c>
      <c r="R2416">
        <v>5.2826669999999999E-2</v>
      </c>
      <c r="S2416">
        <v>2.99624599999999</v>
      </c>
      <c r="T2416">
        <v>-0.18047240000000001</v>
      </c>
      <c r="U2416">
        <v>0.27957149999999997</v>
      </c>
      <c r="V2416">
        <v>-2.7378079999999999E-2</v>
      </c>
      <c r="W2416">
        <v>4.3516550000000001E-2</v>
      </c>
      <c r="X2416">
        <v>0.9986775</v>
      </c>
      <c r="Y2416">
        <v>-6.7431740000000004E-2</v>
      </c>
      <c r="Z2416">
        <v>4.9532669999999995E-4</v>
      </c>
      <c r="AA2416">
        <v>0.99772380000000005</v>
      </c>
      <c r="AB2416">
        <v>24</v>
      </c>
      <c r="AC2416">
        <v>17.379300000000001</v>
      </c>
      <c r="AD2416">
        <v>-1.1047443816460001</v>
      </c>
      <c r="AE2416">
        <v>1.68700000000001</v>
      </c>
      <c r="AF2416">
        <v>-1.23872707802078</v>
      </c>
      <c r="AG2416">
        <v>-1.1047443816460001</v>
      </c>
      <c r="AH2416">
        <v>17.3471972117508</v>
      </c>
      <c r="AI2416">
        <v>93.634691491436797</v>
      </c>
      <c r="AJ2416">
        <v>94.084438911604806</v>
      </c>
      <c r="AK2416">
        <v>17.426421205341398</v>
      </c>
    </row>
    <row r="2417" spans="1:37" x14ac:dyDescent="0.2">
      <c r="A2417" t="str">
        <f>"20200111160201671"</f>
        <v>20200111160201671</v>
      </c>
      <c r="B2417" t="str">
        <f>"1578729721664012"</f>
        <v>1578729721664012</v>
      </c>
      <c r="C2417" t="s">
        <v>37</v>
      </c>
      <c r="D2417">
        <v>6.1103139999999998</v>
      </c>
      <c r="E2417">
        <v>0.4911449</v>
      </c>
      <c r="F2417" t="s">
        <v>57</v>
      </c>
      <c r="G2417">
        <v>-380.22800000000001</v>
      </c>
      <c r="H2417" s="1">
        <v>-1.4538449999999999E-6</v>
      </c>
      <c r="I2417">
        <v>215.49440000000001</v>
      </c>
      <c r="J2417">
        <v>-396.82130000000001</v>
      </c>
      <c r="K2417">
        <v>1.1047169999999999</v>
      </c>
      <c r="L2417">
        <v>214.1645</v>
      </c>
      <c r="M2417">
        <v>0.99958009999999997</v>
      </c>
      <c r="N2417">
        <v>0</v>
      </c>
      <c r="O2417">
        <v>2.547408E-2</v>
      </c>
      <c r="P2417">
        <v>0.9982259</v>
      </c>
      <c r="Q2417">
        <v>2.8932039999999999E-2</v>
      </c>
      <c r="R2417">
        <v>5.2040199999999898E-2</v>
      </c>
      <c r="S2417">
        <v>2.99880999999999</v>
      </c>
      <c r="T2417">
        <v>-0.19674559999999999</v>
      </c>
      <c r="U2417">
        <v>0.23794560000000001</v>
      </c>
      <c r="V2417">
        <v>-2.659038E-2</v>
      </c>
      <c r="W2417">
        <v>4.2731930000000001E-2</v>
      </c>
      <c r="X2417">
        <v>0.99873269999999903</v>
      </c>
      <c r="Y2417">
        <v>-5.3615610000000001E-2</v>
      </c>
      <c r="Z2417" s="1">
        <v>8.7668770000000001E-5</v>
      </c>
      <c r="AA2417">
        <v>0.99856160000000005</v>
      </c>
      <c r="AB2417">
        <v>24</v>
      </c>
      <c r="AC2417">
        <v>16.593299999999999</v>
      </c>
      <c r="AD2417">
        <v>-1.1047184538449999</v>
      </c>
      <c r="AE2417">
        <v>1.3299000000000001</v>
      </c>
      <c r="AF2417">
        <v>-0.90275316888790802</v>
      </c>
      <c r="AG2417">
        <v>-1.1047184538449999</v>
      </c>
      <c r="AH2417">
        <v>16.548912352330198</v>
      </c>
      <c r="AI2417">
        <v>93.8134461095256</v>
      </c>
      <c r="AJ2417">
        <v>93.122424644459301</v>
      </c>
      <c r="AK2417">
        <v>16.610293982687601</v>
      </c>
    </row>
    <row r="2418" spans="1:37" x14ac:dyDescent="0.2">
      <c r="A2418" t="str">
        <f>"20200111160201693"</f>
        <v>20200111160201693</v>
      </c>
      <c r="B2418" t="str">
        <f>"1578729721684509"</f>
        <v>1578729721684509</v>
      </c>
      <c r="C2418" t="s">
        <v>37</v>
      </c>
      <c r="D2418">
        <v>5.4209139999999998</v>
      </c>
      <c r="E2418">
        <v>0.49232169999999997</v>
      </c>
      <c r="F2418" t="s">
        <v>57</v>
      </c>
      <c r="G2418">
        <v>-377.94130000000001</v>
      </c>
      <c r="H2418" s="1">
        <v>2.6891729999999999E-6</v>
      </c>
      <c r="I2418">
        <v>215.68360000000001</v>
      </c>
      <c r="J2418">
        <v>-396.58679999999998</v>
      </c>
      <c r="K2418">
        <v>1.104703</v>
      </c>
      <c r="L2418">
        <v>214.1705</v>
      </c>
      <c r="M2418">
        <v>0.99958009999999997</v>
      </c>
      <c r="N2418">
        <v>0</v>
      </c>
      <c r="O2418">
        <v>2.547427E-2</v>
      </c>
      <c r="P2418">
        <v>0.9981795</v>
      </c>
      <c r="Q2418">
        <v>2.8614290000000001E-2</v>
      </c>
      <c r="R2418">
        <v>5.3095400000000001E-2</v>
      </c>
      <c r="S2418">
        <v>2.997833</v>
      </c>
      <c r="T2418">
        <v>-0.17541019999999999</v>
      </c>
      <c r="U2418">
        <v>0.24119570000000001</v>
      </c>
      <c r="V2418">
        <v>-2.7646549999999999E-2</v>
      </c>
      <c r="W2418">
        <v>4.2410829999999997E-2</v>
      </c>
      <c r="X2418">
        <v>0.99871769999999904</v>
      </c>
      <c r="Y2418">
        <v>-5.4727159999999997E-2</v>
      </c>
      <c r="Z2418">
        <v>1.1063410000000001E-4</v>
      </c>
      <c r="AA2418">
        <v>0.99850139999999998</v>
      </c>
      <c r="AB2418">
        <v>24</v>
      </c>
      <c r="AC2418">
        <v>18.645499999999899</v>
      </c>
      <c r="AD2418">
        <v>-1.1047003108269999</v>
      </c>
      <c r="AE2418">
        <v>1.5130999999999999</v>
      </c>
      <c r="AF2418">
        <v>-1.0339772820649999</v>
      </c>
      <c r="AG2418">
        <v>-1.1047003108269999</v>
      </c>
      <c r="AH2418">
        <v>18.613087210878401</v>
      </c>
      <c r="AI2418">
        <v>93.3913454770844</v>
      </c>
      <c r="AJ2418">
        <v>93.179575047222798</v>
      </c>
      <c r="AK2418">
        <v>18.6744876051884</v>
      </c>
    </row>
    <row r="2419" spans="1:37" x14ac:dyDescent="0.2">
      <c r="A2419" t="str">
        <f>"20200111160201716"</f>
        <v>20200111160201716</v>
      </c>
      <c r="B2419" t="str">
        <f>"1578729721713788"</f>
        <v>1578729721713788</v>
      </c>
      <c r="C2419" t="s">
        <v>37</v>
      </c>
      <c r="D2419">
        <v>5.3782920000000001</v>
      </c>
      <c r="E2419">
        <v>0.4929055</v>
      </c>
      <c r="F2419" t="s">
        <v>57</v>
      </c>
      <c r="G2419">
        <v>-378.2817</v>
      </c>
      <c r="H2419" s="1">
        <v>2.8703030000000002E-6</v>
      </c>
      <c r="I2419">
        <v>215.607</v>
      </c>
      <c r="J2419">
        <v>-396.33550000000002</v>
      </c>
      <c r="K2419">
        <v>1.104708</v>
      </c>
      <c r="L2419">
        <v>214.17689999999999</v>
      </c>
      <c r="M2419">
        <v>0.99958009999999997</v>
      </c>
      <c r="N2419">
        <v>0</v>
      </c>
      <c r="O2419">
        <v>2.5474409999999999E-2</v>
      </c>
      <c r="P2419">
        <v>0.99804300000000001</v>
      </c>
      <c r="Q2419">
        <v>2.9252529999999999E-2</v>
      </c>
      <c r="R2419">
        <v>5.5266280000000001E-2</v>
      </c>
      <c r="S2419">
        <v>2.998138</v>
      </c>
      <c r="T2419">
        <v>-0.1809356</v>
      </c>
      <c r="U2419">
        <v>0.23527529999999899</v>
      </c>
      <c r="V2419">
        <v>-2.9819640000000001E-2</v>
      </c>
      <c r="W2419">
        <v>4.304587E-2</v>
      </c>
      <c r="X2419">
        <v>0.99862799999999996</v>
      </c>
      <c r="Y2419">
        <v>-5.2759800000000003E-2</v>
      </c>
      <c r="Z2419" s="1">
        <v>5.4872830000000003E-5</v>
      </c>
      <c r="AA2419">
        <v>0.99860720000000003</v>
      </c>
      <c r="AB2419">
        <v>24</v>
      </c>
      <c r="AC2419">
        <v>18.053799999999999</v>
      </c>
      <c r="AD2419">
        <v>-1.1047051296970001</v>
      </c>
      <c r="AE2419">
        <v>1.4301000000000099</v>
      </c>
      <c r="AF2419">
        <v>-0.96608741124983499</v>
      </c>
      <c r="AG2419">
        <v>-1.1047051296970001</v>
      </c>
      <c r="AH2419">
        <v>18.017335092217099</v>
      </c>
      <c r="AI2419">
        <v>93.503589726625293</v>
      </c>
      <c r="AJ2419">
        <v>93.069253820394195</v>
      </c>
      <c r="AK2419">
        <v>18.077003682441202</v>
      </c>
    </row>
    <row r="2420" spans="1:37" x14ac:dyDescent="0.2">
      <c r="A2420" t="str">
        <f>"20200111160201739"</f>
        <v>20200111160201739</v>
      </c>
      <c r="B2420" t="str">
        <f>"1578729721734285"</f>
        <v>1578729721734285</v>
      </c>
      <c r="C2420" t="s">
        <v>37</v>
      </c>
      <c r="D2420">
        <v>5.491727</v>
      </c>
      <c r="E2420">
        <v>0.49315320000000001</v>
      </c>
      <c r="F2420" t="s">
        <v>57</v>
      </c>
      <c r="G2420">
        <v>-378.68279999999999</v>
      </c>
      <c r="H2420" s="1">
        <v>3.0837429999999999E-6</v>
      </c>
      <c r="I2420">
        <v>215.57589999999999</v>
      </c>
      <c r="J2420">
        <v>-396.09089999999998</v>
      </c>
      <c r="K2420">
        <v>1.104724</v>
      </c>
      <c r="L2420">
        <v>214.1832</v>
      </c>
      <c r="M2420">
        <v>0.99958029999999998</v>
      </c>
      <c r="N2420">
        <v>0</v>
      </c>
      <c r="O2420">
        <v>2.5474429999999999E-2</v>
      </c>
      <c r="P2420">
        <v>0.99790190000000001</v>
      </c>
      <c r="Q2420">
        <v>3.0244650000000001E-2</v>
      </c>
      <c r="R2420">
        <v>5.7244379999999997E-2</v>
      </c>
      <c r="S2420">
        <v>2.99823</v>
      </c>
      <c r="T2420">
        <v>-0.18762809999999999</v>
      </c>
      <c r="U2420">
        <v>0.23760990000000001</v>
      </c>
      <c r="V2420">
        <v>-3.1801030000000001E-2</v>
      </c>
      <c r="W2420">
        <v>4.4033889999999999E-2</v>
      </c>
      <c r="X2420">
        <v>0.99852379999999996</v>
      </c>
      <c r="Y2420">
        <v>-5.3524969999999998E-2</v>
      </c>
      <c r="Z2420" s="1">
        <v>8.0779429999999996E-5</v>
      </c>
      <c r="AA2420">
        <v>0.99856650000000002</v>
      </c>
      <c r="AB2420">
        <v>24</v>
      </c>
      <c r="AC2420">
        <v>17.408099999999902</v>
      </c>
      <c r="AD2420">
        <v>-1.104720916257</v>
      </c>
      <c r="AE2420">
        <v>1.3926999999999901</v>
      </c>
      <c r="AF2420">
        <v>-0.944962979890836</v>
      </c>
      <c r="AG2420">
        <v>-1.104720916257</v>
      </c>
      <c r="AH2420">
        <v>17.368429985723601</v>
      </c>
      <c r="AI2420">
        <v>93.634041649209607</v>
      </c>
      <c r="AJ2420">
        <v>93.114217158223298</v>
      </c>
      <c r="AK2420">
        <v>17.429163017918</v>
      </c>
    </row>
    <row r="2421" spans="1:37" x14ac:dyDescent="0.2">
      <c r="A2421" t="str">
        <f>"20200111160201785"</f>
        <v>20200111160201785</v>
      </c>
      <c r="B2421" t="str">
        <f>"1578729721774300"</f>
        <v>1578729721774300</v>
      </c>
      <c r="C2421" t="s">
        <v>37</v>
      </c>
      <c r="D2421">
        <v>5.4987589999999997</v>
      </c>
      <c r="E2421">
        <v>0.49396119999999999</v>
      </c>
      <c r="F2421" t="s">
        <v>57</v>
      </c>
      <c r="G2421">
        <v>-378.72750000000002</v>
      </c>
      <c r="H2421" s="1">
        <v>3.107536E-6</v>
      </c>
      <c r="I2421">
        <v>215.58529999999999</v>
      </c>
      <c r="J2421">
        <v>-395.61509999999998</v>
      </c>
      <c r="K2421">
        <v>1.1047340000000001</v>
      </c>
      <c r="L2421">
        <v>214.1953</v>
      </c>
      <c r="M2421">
        <v>0.99958029999999998</v>
      </c>
      <c r="N2421">
        <v>0</v>
      </c>
      <c r="O2421">
        <v>2.5474650000000001E-2</v>
      </c>
      <c r="P2421">
        <v>0.99766069999999996</v>
      </c>
      <c r="Q2421">
        <v>3.1678039999999998E-2</v>
      </c>
      <c r="R2421">
        <v>6.0578670000000001E-2</v>
      </c>
      <c r="S2421">
        <v>2.9981990000000001</v>
      </c>
      <c r="T2421">
        <v>-0.19075520000000001</v>
      </c>
      <c r="U2421">
        <v>0.2421112</v>
      </c>
      <c r="V2421">
        <v>-3.5140110000000002E-2</v>
      </c>
      <c r="W2421">
        <v>4.5460109999999998E-2</v>
      </c>
      <c r="X2421">
        <v>0.99834789999999995</v>
      </c>
      <c r="Y2421">
        <v>-5.5010360000000001E-2</v>
      </c>
      <c r="Z2421">
        <v>1.2924160000000001E-4</v>
      </c>
      <c r="AA2421">
        <v>0.99848579999999998</v>
      </c>
      <c r="AB2421">
        <v>24</v>
      </c>
      <c r="AC2421">
        <v>16.8875999999999</v>
      </c>
      <c r="AD2421">
        <v>-1.104730892464</v>
      </c>
      <c r="AE2421">
        <v>1.3899999999999799</v>
      </c>
      <c r="AF2421">
        <v>-0.95524188290481105</v>
      </c>
      <c r="AG2421">
        <v>-1.104730892464</v>
      </c>
      <c r="AH2421">
        <v>16.8459271271219</v>
      </c>
      <c r="AI2421">
        <v>93.745999312180402</v>
      </c>
      <c r="AJ2421">
        <v>93.245459838141699</v>
      </c>
      <c r="AK2421">
        <v>16.909115239181599</v>
      </c>
    </row>
    <row r="2422" spans="1:37" x14ac:dyDescent="0.2">
      <c r="A2422" t="str">
        <f>"20200111160201805"</f>
        <v>20200111160201805</v>
      </c>
      <c r="B2422" t="str">
        <f>"1578729721794797"</f>
        <v>1578729721794797</v>
      </c>
      <c r="C2422" t="s">
        <v>37</v>
      </c>
      <c r="D2422">
        <v>5.4989679999999996</v>
      </c>
      <c r="E2422">
        <v>0.49435959999999901</v>
      </c>
      <c r="F2422" t="s">
        <v>57</v>
      </c>
      <c r="G2422">
        <v>-378.36540000000002</v>
      </c>
      <c r="H2422" s="1">
        <v>2.914883E-6</v>
      </c>
      <c r="I2422">
        <v>215.61109999999999</v>
      </c>
      <c r="J2422">
        <v>-395.37619999999998</v>
      </c>
      <c r="K2422">
        <v>1.1047389999999999</v>
      </c>
      <c r="L2422">
        <v>214.20140000000001</v>
      </c>
      <c r="M2422">
        <v>0.99958019999999903</v>
      </c>
      <c r="N2422">
        <v>0</v>
      </c>
      <c r="O2422">
        <v>2.5474839999999999E-2</v>
      </c>
      <c r="P2422">
        <v>0.99759189999999998</v>
      </c>
      <c r="Q2422">
        <v>3.1364799999999998E-2</v>
      </c>
      <c r="R2422">
        <v>6.1858740000000002E-2</v>
      </c>
      <c r="S2422">
        <v>2.9981990000000001</v>
      </c>
      <c r="T2422">
        <v>-0.1920162</v>
      </c>
      <c r="U2422">
        <v>0.24607849999999901</v>
      </c>
      <c r="V2422">
        <v>-3.64207E-2</v>
      </c>
      <c r="W2422">
        <v>4.5143820000000001E-2</v>
      </c>
      <c r="X2422">
        <v>0.99831630000000005</v>
      </c>
      <c r="Y2422">
        <v>-5.6319180000000003E-2</v>
      </c>
      <c r="Z2422">
        <v>1.7187910000000001E-4</v>
      </c>
      <c r="AA2422">
        <v>0.99841279999999999</v>
      </c>
      <c r="AB2422">
        <v>24</v>
      </c>
      <c r="AC2422">
        <v>17.0107999999999</v>
      </c>
      <c r="AD2422">
        <v>-1.1047360851169901</v>
      </c>
      <c r="AE2422">
        <v>1.40969999999998</v>
      </c>
      <c r="AF2422">
        <v>-0.97178307521862195</v>
      </c>
      <c r="AG2422">
        <v>-1.1047360851169901</v>
      </c>
      <c r="AH2422">
        <v>16.970108317157099</v>
      </c>
      <c r="AI2422">
        <v>93.718564150587198</v>
      </c>
      <c r="AJ2422">
        <v>93.277429117758402</v>
      </c>
      <c r="AK2422">
        <v>17.0337717625629</v>
      </c>
    </row>
    <row r="2423" spans="1:37" x14ac:dyDescent="0.2">
      <c r="A2423" t="str">
        <f>"20200111160201827"</f>
        <v>20200111160201827</v>
      </c>
      <c r="B2423" t="str">
        <f>"1578729721824076"</f>
        <v>1578729721824076</v>
      </c>
      <c r="C2423" t="s">
        <v>37</v>
      </c>
      <c r="D2423">
        <v>5.4519000000000002</v>
      </c>
      <c r="E2423">
        <v>0.4951045</v>
      </c>
      <c r="F2423" t="s">
        <v>57</v>
      </c>
      <c r="G2423">
        <v>-378.4024</v>
      </c>
      <c r="H2423" s="1">
        <v>2.9345469999999998E-6</v>
      </c>
      <c r="I2423">
        <v>215.595</v>
      </c>
      <c r="J2423">
        <v>-395.14879999999999</v>
      </c>
      <c r="K2423">
        <v>1.10473</v>
      </c>
      <c r="L2423">
        <v>214.2072</v>
      </c>
      <c r="M2423">
        <v>0.99958029999999998</v>
      </c>
      <c r="N2423">
        <v>0</v>
      </c>
      <c r="O2423">
        <v>2.5474859999999998E-2</v>
      </c>
      <c r="P2423">
        <v>0.99756279999999997</v>
      </c>
      <c r="Q2423">
        <v>3.0742450000000001E-2</v>
      </c>
      <c r="R2423">
        <v>6.2638979999999997E-2</v>
      </c>
      <c r="S2423">
        <v>2.9981080000000002</v>
      </c>
      <c r="T2423">
        <v>-0.1951309</v>
      </c>
      <c r="U2423">
        <v>0.24615479999999901</v>
      </c>
      <c r="V2423">
        <v>-3.7201949999999998E-2</v>
      </c>
      <c r="W2423">
        <v>4.4518839999999997E-2</v>
      </c>
      <c r="X2423">
        <v>0.99831559999999897</v>
      </c>
      <c r="Y2423">
        <v>-5.6344789999999999E-2</v>
      </c>
      <c r="Z2423">
        <v>1.7549689999999901E-4</v>
      </c>
      <c r="AA2423">
        <v>0.99841139999999995</v>
      </c>
      <c r="AB2423">
        <v>24</v>
      </c>
      <c r="AC2423">
        <v>16.746399999999898</v>
      </c>
      <c r="AD2423">
        <v>-1.1047270654529999</v>
      </c>
      <c r="AE2423">
        <v>1.3877999999999899</v>
      </c>
      <c r="AF2423">
        <v>-0.95656238118749304</v>
      </c>
      <c r="AG2423">
        <v>-1.1047270654529999</v>
      </c>
      <c r="AH2423">
        <v>16.7041246427674</v>
      </c>
      <c r="AI2423">
        <v>93.777574716521499</v>
      </c>
      <c r="AJ2423">
        <v>93.277465704547694</v>
      </c>
      <c r="AK2423">
        <v>16.767922159866998</v>
      </c>
    </row>
    <row r="2424" spans="1:37" x14ac:dyDescent="0.2">
      <c r="A2424" t="str">
        <f>"20200111160201850"</f>
        <v>20200111160201850</v>
      </c>
      <c r="B2424" t="str">
        <f>"1578729721844572"</f>
        <v>1578729721844572</v>
      </c>
      <c r="C2424" t="s">
        <v>37</v>
      </c>
      <c r="D2424">
        <v>5.4470070000000002</v>
      </c>
      <c r="E2424">
        <v>0.49540279999999998</v>
      </c>
      <c r="F2424" t="s">
        <v>57</v>
      </c>
      <c r="G2424">
        <v>-378.69889999999998</v>
      </c>
      <c r="H2424" s="1">
        <v>3.092339E-6</v>
      </c>
      <c r="I2424">
        <v>215.5359</v>
      </c>
      <c r="J2424">
        <v>-394.90699999999998</v>
      </c>
      <c r="K2424">
        <v>1.1047169999999999</v>
      </c>
      <c r="L2424">
        <v>214.21340000000001</v>
      </c>
      <c r="M2424">
        <v>0.99958060000000004</v>
      </c>
      <c r="N2424">
        <v>0</v>
      </c>
      <c r="O2424">
        <v>2.5474879999999998E-2</v>
      </c>
      <c r="P2424">
        <v>0.99751469999999898</v>
      </c>
      <c r="Q2424">
        <v>3.0410880000000001E-2</v>
      </c>
      <c r="R2424">
        <v>6.3560989999999998E-2</v>
      </c>
      <c r="S2424">
        <v>2.9983219999999999</v>
      </c>
      <c r="T2424">
        <v>-0.20135890000000001</v>
      </c>
      <c r="U2424">
        <v>0.2421875</v>
      </c>
      <c r="V2424">
        <v>-3.8124579999999998E-2</v>
      </c>
      <c r="W2424">
        <v>4.4184429999999997E-2</v>
      </c>
      <c r="X2424">
        <v>0.99829570000000001</v>
      </c>
      <c r="Y2424">
        <v>-5.5025310000000001E-2</v>
      </c>
      <c r="Z2424">
        <v>1.3688979999999901E-4</v>
      </c>
      <c r="AA2424">
        <v>0.99848499999999996</v>
      </c>
      <c r="AB2424">
        <v>24</v>
      </c>
      <c r="AC2424">
        <v>16.208100000000002</v>
      </c>
      <c r="AD2424">
        <v>-1.104713907661</v>
      </c>
      <c r="AE2424">
        <v>1.32249999999999</v>
      </c>
      <c r="AF2424">
        <v>-0.90495595807045404</v>
      </c>
      <c r="AG2424">
        <v>-1.104713907661</v>
      </c>
      <c r="AH2424">
        <v>16.161948311029999</v>
      </c>
      <c r="AI2424">
        <v>93.904146599397805</v>
      </c>
      <c r="AJ2424">
        <v>93.204816065777493</v>
      </c>
      <c r="AK2424">
        <v>16.224916373042799</v>
      </c>
    </row>
    <row r="2425" spans="1:37" x14ac:dyDescent="0.2">
      <c r="A2425" t="str">
        <f>"20200111160201871"</f>
        <v>20200111160201871</v>
      </c>
      <c r="B2425" t="str">
        <f>"1578729721864092"</f>
        <v>1578729721864092</v>
      </c>
      <c r="C2425" t="s">
        <v>37</v>
      </c>
      <c r="D2425">
        <v>5.5421100000000001</v>
      </c>
      <c r="E2425">
        <v>0.49559929999999902</v>
      </c>
      <c r="F2425" t="s">
        <v>57</v>
      </c>
      <c r="G2425">
        <v>-378.77659999999997</v>
      </c>
      <c r="H2425" s="1">
        <v>3.133662E-6</v>
      </c>
      <c r="I2425">
        <v>215.5188</v>
      </c>
      <c r="J2425">
        <v>-394.6628</v>
      </c>
      <c r="K2425">
        <v>1.1047119999999999</v>
      </c>
      <c r="L2425">
        <v>214.21960000000001</v>
      </c>
      <c r="M2425">
        <v>0.99958060000000004</v>
      </c>
      <c r="N2425">
        <v>0</v>
      </c>
      <c r="O2425">
        <v>2.5474900000000002E-2</v>
      </c>
      <c r="P2425">
        <v>0.99742310000000001</v>
      </c>
      <c r="Q2425">
        <v>3.1012689999999999E-2</v>
      </c>
      <c r="R2425">
        <v>6.4697409999999997E-2</v>
      </c>
      <c r="S2425">
        <v>2.998291</v>
      </c>
      <c r="T2425">
        <v>-0.20534250000000001</v>
      </c>
      <c r="U2425">
        <v>0.24264530000000001</v>
      </c>
      <c r="V2425">
        <v>-3.9263590000000001E-2</v>
      </c>
      <c r="W2425">
        <v>4.4782740000000001E-2</v>
      </c>
      <c r="X2425">
        <v>0.99822489999999997</v>
      </c>
      <c r="Y2425">
        <v>-5.5174580000000001E-2</v>
      </c>
      <c r="Z2425">
        <v>1.446892E-4</v>
      </c>
      <c r="AA2425">
        <v>0.99847669999999999</v>
      </c>
      <c r="AB2425">
        <v>24</v>
      </c>
      <c r="AC2425">
        <v>15.886200000000001</v>
      </c>
      <c r="AD2425">
        <v>-1.104708866338</v>
      </c>
      <c r="AE2425">
        <v>1.2991999999999799</v>
      </c>
      <c r="AF2425">
        <v>-0.88976652075437002</v>
      </c>
      <c r="AG2425">
        <v>-1.104708866338</v>
      </c>
      <c r="AH2425">
        <v>15.8380648351172</v>
      </c>
      <c r="AI2425">
        <v>93.983671265158307</v>
      </c>
      <c r="AJ2425">
        <v>93.215439265387303</v>
      </c>
      <c r="AK2425">
        <v>15.901457916247701</v>
      </c>
    </row>
    <row r="2426" spans="1:37" x14ac:dyDescent="0.2">
      <c r="A2426" t="str">
        <f>"20200111160201896"</f>
        <v>20200111160201896</v>
      </c>
      <c r="B2426" t="str">
        <f>"1578729721884588"</f>
        <v>1578729721884588</v>
      </c>
      <c r="C2426" t="s">
        <v>37</v>
      </c>
      <c r="D2426">
        <v>5.549372</v>
      </c>
      <c r="E2426">
        <v>0.49590649999999997</v>
      </c>
      <c r="F2426" t="s">
        <v>57</v>
      </c>
      <c r="G2426">
        <v>-378.67689999999999</v>
      </c>
      <c r="H2426" s="1">
        <v>3.08062999999999E-6</v>
      </c>
      <c r="I2426">
        <v>215.52269999999999</v>
      </c>
      <c r="J2426">
        <v>-394.41500000000002</v>
      </c>
      <c r="K2426">
        <v>1.1047020000000001</v>
      </c>
      <c r="L2426">
        <v>214.2259</v>
      </c>
      <c r="M2426">
        <v>0.99958040000000004</v>
      </c>
      <c r="N2426">
        <v>0</v>
      </c>
      <c r="O2426">
        <v>2.54750999999999E-2</v>
      </c>
      <c r="P2426">
        <v>0.99735890000000005</v>
      </c>
      <c r="Q2426">
        <v>3.1888340000000001E-2</v>
      </c>
      <c r="R2426">
        <v>6.5257209999999996E-2</v>
      </c>
      <c r="S2426">
        <v>2.9983520000000001</v>
      </c>
      <c r="T2426">
        <v>-0.20720160000000001</v>
      </c>
      <c r="U2426">
        <v>0.244415299999999</v>
      </c>
      <c r="V2426">
        <v>-3.9824150000000003E-2</v>
      </c>
      <c r="W2426">
        <v>4.565541E-2</v>
      </c>
      <c r="X2426">
        <v>0.99816309999999997</v>
      </c>
      <c r="Y2426">
        <v>-5.5755680000000002E-2</v>
      </c>
      <c r="Z2426">
        <v>1.6600090000000001E-4</v>
      </c>
      <c r="AA2426">
        <v>0.99844439999999901</v>
      </c>
      <c r="AB2426">
        <v>24</v>
      </c>
      <c r="AC2426">
        <v>15.738099999999999</v>
      </c>
      <c r="AD2426">
        <v>-1.1046989193700001</v>
      </c>
      <c r="AE2426">
        <v>1.29679999999999</v>
      </c>
      <c r="AF2426">
        <v>-0.89105067177381503</v>
      </c>
      <c r="AG2426">
        <v>-1.1046989193700001</v>
      </c>
      <c r="AH2426">
        <v>15.6892508256686</v>
      </c>
      <c r="AI2426">
        <v>94.021158555385298</v>
      </c>
      <c r="AJ2426">
        <v>93.250547651816603</v>
      </c>
      <c r="AK2426">
        <v>15.753314650348001</v>
      </c>
    </row>
    <row r="2427" spans="1:37" x14ac:dyDescent="0.2">
      <c r="A2427" t="str">
        <f>"20200111160201917"</f>
        <v>20200111160201917</v>
      </c>
      <c r="B2427" t="str">
        <f>"1578729721913867"</f>
        <v>1578729721913867</v>
      </c>
      <c r="C2427" t="s">
        <v>37</v>
      </c>
      <c r="D2427">
        <v>5.5663879999999999</v>
      </c>
      <c r="E2427">
        <v>0.49630029999999897</v>
      </c>
      <c r="F2427" t="s">
        <v>57</v>
      </c>
      <c r="G2427">
        <v>-378.45580000000001</v>
      </c>
      <c r="H2427" s="1">
        <v>2.9629879999999999E-6</v>
      </c>
      <c r="I2427">
        <v>215.52359999999999</v>
      </c>
      <c r="J2427">
        <v>-394.1782</v>
      </c>
      <c r="K2427">
        <v>1.104692</v>
      </c>
      <c r="L2427">
        <v>214.232</v>
      </c>
      <c r="M2427">
        <v>0.99958040000000004</v>
      </c>
      <c r="N2427">
        <v>0</v>
      </c>
      <c r="O2427">
        <v>2.5475109999999999E-2</v>
      </c>
      <c r="P2427">
        <v>0.99727589999999999</v>
      </c>
      <c r="Q2427">
        <v>3.2095529999999997E-2</v>
      </c>
      <c r="R2427">
        <v>6.6414529999999999E-2</v>
      </c>
      <c r="S2427">
        <v>2.9986269999999999</v>
      </c>
      <c r="T2427">
        <v>-0.207565999999999</v>
      </c>
      <c r="U2427">
        <v>0.24382019999999999</v>
      </c>
      <c r="V2427">
        <v>-4.0983190000000003E-2</v>
      </c>
      <c r="W2427">
        <v>4.585881E-2</v>
      </c>
      <c r="X2427">
        <v>0.99810689999999902</v>
      </c>
      <c r="Y2427">
        <v>-5.5551650000000001E-2</v>
      </c>
      <c r="Z2427">
        <v>1.592342E-4</v>
      </c>
      <c r="AA2427">
        <v>0.9984558</v>
      </c>
      <c r="AB2427">
        <v>24</v>
      </c>
      <c r="AC2427">
        <v>15.722399999999899</v>
      </c>
      <c r="AD2427">
        <v>-1.1046890370119999</v>
      </c>
      <c r="AE2427">
        <v>1.2915999999999801</v>
      </c>
      <c r="AF2427">
        <v>-0.88626684524926103</v>
      </c>
      <c r="AG2427">
        <v>-1.1046890370119999</v>
      </c>
      <c r="AH2427">
        <v>15.673346273442601</v>
      </c>
      <c r="AI2427">
        <v>94.025245847040594</v>
      </c>
      <c r="AJ2427">
        <v>93.236407258857298</v>
      </c>
      <c r="AK2427">
        <v>15.737204014586499</v>
      </c>
    </row>
    <row r="2428" spans="1:37" x14ac:dyDescent="0.2">
      <c r="A2428" t="str">
        <f>"20200111160201938"</f>
        <v>20200111160201938</v>
      </c>
      <c r="B2428" t="str">
        <f>"1578729721934364"</f>
        <v>1578729721934364</v>
      </c>
      <c r="C2428" t="s">
        <v>37</v>
      </c>
      <c r="D2428">
        <v>5.5292199999999996</v>
      </c>
      <c r="E2428">
        <v>0.49653209999999998</v>
      </c>
      <c r="F2428" t="s">
        <v>57</v>
      </c>
      <c r="G2428">
        <v>-378.53660000000002</v>
      </c>
      <c r="H2428" s="1">
        <v>3.005957E-6</v>
      </c>
      <c r="I2428">
        <v>215.50640000000001</v>
      </c>
      <c r="J2428">
        <v>-393.96140000000003</v>
      </c>
      <c r="K2428">
        <v>1.1046830000000001</v>
      </c>
      <c r="L2428">
        <v>214.23750000000001</v>
      </c>
      <c r="M2428">
        <v>0.99958060000000004</v>
      </c>
      <c r="N2428">
        <v>0</v>
      </c>
      <c r="O2428">
        <v>2.5475129999999999E-2</v>
      </c>
      <c r="P2428">
        <v>0.99721649999999995</v>
      </c>
      <c r="Q2428">
        <v>3.1698570000000002E-2</v>
      </c>
      <c r="R2428">
        <v>6.7488889999999996E-2</v>
      </c>
      <c r="S2428">
        <v>2.9987789999999999</v>
      </c>
      <c r="T2428">
        <v>-0.2117889</v>
      </c>
      <c r="U2428">
        <v>0.2443237</v>
      </c>
      <c r="V2428">
        <v>-4.205859E-2</v>
      </c>
      <c r="W2428">
        <v>4.5459640000000003E-2</v>
      </c>
      <c r="X2428">
        <v>0.99808039999999998</v>
      </c>
      <c r="Y2428">
        <v>-5.5710780000000001E-2</v>
      </c>
      <c r="Z2428">
        <v>1.6805959999999901E-4</v>
      </c>
      <c r="AA2428">
        <v>0.99844690000000003</v>
      </c>
      <c r="AB2428">
        <v>24</v>
      </c>
      <c r="AC2428">
        <v>15.424799999999999</v>
      </c>
      <c r="AD2428">
        <v>-1.1046799940430001</v>
      </c>
      <c r="AE2428">
        <v>1.2688999999999999</v>
      </c>
      <c r="AF2428">
        <v>-0.87106438749400406</v>
      </c>
      <c r="AG2428">
        <v>-1.1046799940430001</v>
      </c>
      <c r="AH2428">
        <v>15.373799084258099</v>
      </c>
      <c r="AI2428">
        <v>94.103349920782904</v>
      </c>
      <c r="AJ2428">
        <v>93.242855554681597</v>
      </c>
      <c r="AK2428">
        <v>15.438029969511501</v>
      </c>
    </row>
    <row r="2429" spans="1:37" x14ac:dyDescent="0.2">
      <c r="A2429" t="str">
        <f>"20200111160201961"</f>
        <v>20200111160201961</v>
      </c>
      <c r="B2429" t="str">
        <f>"1578729721953884"</f>
        <v>1578729721953884</v>
      </c>
      <c r="C2429" t="s">
        <v>37</v>
      </c>
      <c r="D2429">
        <v>5.4286640000000004</v>
      </c>
      <c r="E2429">
        <v>0.49649349999999998</v>
      </c>
      <c r="F2429" t="s">
        <v>57</v>
      </c>
      <c r="G2429">
        <v>-378.65620000000001</v>
      </c>
      <c r="H2429" s="1">
        <v>3.0696109999999999E-6</v>
      </c>
      <c r="I2429">
        <v>215.49359999999999</v>
      </c>
      <c r="J2429">
        <v>-393.7158</v>
      </c>
      <c r="K2429">
        <v>1.1046819999999999</v>
      </c>
      <c r="L2429">
        <v>214.24379999999999</v>
      </c>
      <c r="M2429">
        <v>0.99958060000000004</v>
      </c>
      <c r="N2429">
        <v>0</v>
      </c>
      <c r="O2429">
        <v>2.5475330000000001E-2</v>
      </c>
      <c r="P2429">
        <v>0.99716099999999996</v>
      </c>
      <c r="Q2429">
        <v>3.0533230000000001E-2</v>
      </c>
      <c r="R2429">
        <v>6.8831059999999999E-2</v>
      </c>
      <c r="S2429">
        <v>2.9986269999999999</v>
      </c>
      <c r="T2429">
        <v>-0.21643119999999999</v>
      </c>
      <c r="U2429">
        <v>0.2460938</v>
      </c>
      <c r="V2429">
        <v>-4.3401499999999898E-2</v>
      </c>
      <c r="W2429">
        <v>4.4291610000000002E-2</v>
      </c>
      <c r="X2429">
        <v>0.99807539999999995</v>
      </c>
      <c r="Y2429">
        <v>-5.6295310000000001E-2</v>
      </c>
      <c r="Z2429">
        <v>1.9275990000000001E-4</v>
      </c>
      <c r="AA2429">
        <v>0.99841420000000003</v>
      </c>
      <c r="AB2429">
        <v>24</v>
      </c>
      <c r="AC2429">
        <v>15.0595999999999</v>
      </c>
      <c r="AD2429">
        <v>-1.1046789303889999</v>
      </c>
      <c r="AE2429">
        <v>1.24979999999999</v>
      </c>
      <c r="AF2429">
        <v>-0.861107902489472</v>
      </c>
      <c r="AG2429">
        <v>-1.1046789303889999</v>
      </c>
      <c r="AH2429">
        <v>15.0063599794446</v>
      </c>
      <c r="AI2429">
        <v>94.203290542461403</v>
      </c>
      <c r="AJ2429">
        <v>93.284194316022806</v>
      </c>
      <c r="AK2429">
        <v>15.071584594582299</v>
      </c>
    </row>
    <row r="2430" spans="1:37" x14ac:dyDescent="0.2">
      <c r="A2430" t="str">
        <f>"20200111160201983"</f>
        <v>20200111160201983</v>
      </c>
      <c r="B2430" t="str">
        <f>"1578729721974379"</f>
        <v>1578729721974379</v>
      </c>
      <c r="C2430" t="s">
        <v>37</v>
      </c>
      <c r="D2430">
        <v>5.4123830000000002</v>
      </c>
      <c r="E2430">
        <v>0.49634729999999999</v>
      </c>
      <c r="F2430" t="s">
        <v>57</v>
      </c>
      <c r="G2430">
        <v>-378.70370000000003</v>
      </c>
      <c r="H2430" s="1">
        <v>3.094876E-6</v>
      </c>
      <c r="I2430">
        <v>215.4974</v>
      </c>
      <c r="J2430">
        <v>-393.48259999999999</v>
      </c>
      <c r="K2430">
        <v>1.104687</v>
      </c>
      <c r="L2430">
        <v>214.24979999999999</v>
      </c>
      <c r="M2430">
        <v>0.99958060000000004</v>
      </c>
      <c r="N2430">
        <v>0</v>
      </c>
      <c r="O2430">
        <v>2.5475459999999998E-2</v>
      </c>
      <c r="P2430">
        <v>0.99705429999999995</v>
      </c>
      <c r="Q2430">
        <v>2.9235870000000001E-2</v>
      </c>
      <c r="R2430">
        <v>7.0908390000000002E-2</v>
      </c>
      <c r="S2430">
        <v>2.997986</v>
      </c>
      <c r="T2430">
        <v>-0.22060929999999901</v>
      </c>
      <c r="U2430">
        <v>0.25035099999999999</v>
      </c>
      <c r="V2430">
        <v>-4.5481380000000002E-2</v>
      </c>
      <c r="W2430">
        <v>4.2991090000000003E-2</v>
      </c>
      <c r="X2430">
        <v>0.99803969999999897</v>
      </c>
      <c r="Y2430">
        <v>-5.7713680000000003E-2</v>
      </c>
      <c r="Z2430">
        <v>2.4852529999999998E-4</v>
      </c>
      <c r="AA2430">
        <v>0.99833320000000003</v>
      </c>
      <c r="AB2430">
        <v>24</v>
      </c>
      <c r="AC2430">
        <v>14.778899999999901</v>
      </c>
      <c r="AD2430">
        <v>-1.1046839051240001</v>
      </c>
      <c r="AE2430">
        <v>1.2476</v>
      </c>
      <c r="AF2430">
        <v>-0.86585657791507997</v>
      </c>
      <c r="AG2430">
        <v>-1.1046839051240001</v>
      </c>
      <c r="AH2430">
        <v>14.7242042528955</v>
      </c>
      <c r="AI2430">
        <v>94.283207846692207</v>
      </c>
      <c r="AJ2430">
        <v>93.365401684294596</v>
      </c>
      <c r="AK2430">
        <v>14.7909507816349</v>
      </c>
    </row>
    <row r="2431" spans="1:37" x14ac:dyDescent="0.2">
      <c r="A2431" t="str">
        <f>"20200111160202007"</f>
        <v>20200111160202007</v>
      </c>
      <c r="B2431" t="str">
        <f>"1578729722003659"</f>
        <v>1578729722003659</v>
      </c>
      <c r="C2431" t="s">
        <v>37</v>
      </c>
      <c r="D2431">
        <v>5.4077320000000002</v>
      </c>
      <c r="E2431">
        <v>0.49610149999999997</v>
      </c>
      <c r="F2431" t="s">
        <v>57</v>
      </c>
      <c r="G2431">
        <v>-378.4529</v>
      </c>
      <c r="H2431" s="1">
        <v>2.9614409999999998E-6</v>
      </c>
      <c r="I2431">
        <v>215.541</v>
      </c>
      <c r="J2431">
        <v>-393.23250000000002</v>
      </c>
      <c r="K2431">
        <v>1.104681</v>
      </c>
      <c r="L2431">
        <v>214.2561</v>
      </c>
      <c r="M2431">
        <v>0.99958060000000004</v>
      </c>
      <c r="N2431">
        <v>0</v>
      </c>
      <c r="O2431">
        <v>2.5475660000000001E-2</v>
      </c>
      <c r="P2431">
        <v>0.99692340000000002</v>
      </c>
      <c r="Q2431">
        <v>2.8033929999999999E-2</v>
      </c>
      <c r="R2431">
        <v>7.3196170000000005E-2</v>
      </c>
      <c r="S2431">
        <v>2.9970089999999998</v>
      </c>
      <c r="T2431">
        <v>-0.22028029999999901</v>
      </c>
      <c r="U2431">
        <v>0.25747680000000001</v>
      </c>
      <c r="V2431">
        <v>-4.7770890000000003E-2</v>
      </c>
      <c r="W2431">
        <v>4.178577E-2</v>
      </c>
      <c r="X2431">
        <v>0.99798390000000003</v>
      </c>
      <c r="Y2431">
        <v>-6.0090949999999997E-2</v>
      </c>
      <c r="Z2431">
        <v>3.3529809999999899E-4</v>
      </c>
      <c r="AA2431">
        <v>0.99819279999999999</v>
      </c>
      <c r="AB2431">
        <v>24</v>
      </c>
      <c r="AC2431">
        <v>14.7796</v>
      </c>
      <c r="AD2431">
        <v>-1.104678038559</v>
      </c>
      <c r="AE2431">
        <v>1.2848999999999899</v>
      </c>
      <c r="AF2431">
        <v>-0.90292073009431895</v>
      </c>
      <c r="AG2431">
        <v>-1.104678038559</v>
      </c>
      <c r="AH2431">
        <v>14.725888797457801</v>
      </c>
      <c r="AI2431">
        <v>94.282056128290293</v>
      </c>
      <c r="AJ2431">
        <v>93.508709182856705</v>
      </c>
      <c r="AK2431">
        <v>14.7948430302184</v>
      </c>
    </row>
    <row r="2432" spans="1:37" x14ac:dyDescent="0.2">
      <c r="A2432" t="str">
        <f>"20200111160202052"</f>
        <v>20200111160202052</v>
      </c>
      <c r="B2432" t="str">
        <f>"1578729722044653"</f>
        <v>1578729722044653</v>
      </c>
      <c r="C2432" t="s">
        <v>37</v>
      </c>
      <c r="D2432">
        <v>5.1626149999999997</v>
      </c>
      <c r="E2432">
        <v>0.49595309999999998</v>
      </c>
      <c r="F2432" t="s">
        <v>57</v>
      </c>
      <c r="G2432">
        <v>-377.87729999999999</v>
      </c>
      <c r="H2432" s="1">
        <v>2.6551029999999899E-6</v>
      </c>
      <c r="I2432">
        <v>215.61619999999999</v>
      </c>
      <c r="J2432">
        <v>-392.76249999999999</v>
      </c>
      <c r="K2432">
        <v>1.1046830000000001</v>
      </c>
      <c r="L2432">
        <v>214.26820000000001</v>
      </c>
      <c r="M2432">
        <v>0.99958060000000004</v>
      </c>
      <c r="N2432">
        <v>0</v>
      </c>
      <c r="O2432">
        <v>2.5475879999999999E-2</v>
      </c>
      <c r="P2432">
        <v>0.99677629999999995</v>
      </c>
      <c r="Q2432">
        <v>2.759178E-2</v>
      </c>
      <c r="R2432">
        <v>7.5337979999999999E-2</v>
      </c>
      <c r="S2432">
        <v>2.995819</v>
      </c>
      <c r="T2432">
        <v>-0.2155241</v>
      </c>
      <c r="U2432">
        <v>0.26535029999999998</v>
      </c>
      <c r="V2432">
        <v>-4.9916009999999997E-2</v>
      </c>
      <c r="W2432">
        <v>4.1336980000000002E-2</v>
      </c>
      <c r="X2432">
        <v>0.99789760000000005</v>
      </c>
      <c r="Y2432">
        <v>-6.2725099999999895E-2</v>
      </c>
      <c r="Z2432">
        <v>4.2261559999999998E-4</v>
      </c>
      <c r="AA2432">
        <v>0.9980308</v>
      </c>
      <c r="AB2432">
        <v>24</v>
      </c>
      <c r="AC2432">
        <v>14.8851999999999</v>
      </c>
      <c r="AD2432">
        <v>-1.104680344897</v>
      </c>
      <c r="AE2432">
        <v>1.3479999999999801</v>
      </c>
      <c r="AF2432">
        <v>-0.96305190447802902</v>
      </c>
      <c r="AG2432">
        <v>-1.104680344897</v>
      </c>
      <c r="AH2432">
        <v>14.8336789501813</v>
      </c>
      <c r="AI2432">
        <v>94.250102876056602</v>
      </c>
      <c r="AJ2432">
        <v>93.714619838455505</v>
      </c>
      <c r="AK2432">
        <v>14.9058987931682</v>
      </c>
    </row>
    <row r="2433" spans="1:37" x14ac:dyDescent="0.2">
      <c r="A2433" t="str">
        <f>"20200111160202074"</f>
        <v>20200111160202074</v>
      </c>
      <c r="B2433" t="str">
        <f>"1578729722064172"</f>
        <v>1578729722064172</v>
      </c>
      <c r="C2433" t="s">
        <v>37</v>
      </c>
      <c r="D2433">
        <v>5.2936019999999999</v>
      </c>
      <c r="E2433">
        <v>0.49574659999999898</v>
      </c>
      <c r="F2433" t="s">
        <v>57</v>
      </c>
      <c r="G2433">
        <v>-377.74149999999997</v>
      </c>
      <c r="H2433" s="1">
        <v>2.5828239999999999E-6</v>
      </c>
      <c r="I2433">
        <v>215.63460000000001</v>
      </c>
      <c r="J2433">
        <v>-392.5256</v>
      </c>
      <c r="K2433">
        <v>1.104684</v>
      </c>
      <c r="L2433">
        <v>214.27420000000001</v>
      </c>
      <c r="M2433">
        <v>0.99958069999999899</v>
      </c>
      <c r="N2433">
        <v>0</v>
      </c>
      <c r="O2433">
        <v>2.547607E-2</v>
      </c>
      <c r="P2433">
        <v>0.99672169999999904</v>
      </c>
      <c r="Q2433">
        <v>2.7669619999999999E-2</v>
      </c>
      <c r="R2433">
        <v>7.6028699999999894E-2</v>
      </c>
      <c r="S2433">
        <v>2.995209</v>
      </c>
      <c r="T2433">
        <v>-0.22027479999999999</v>
      </c>
      <c r="U2433">
        <v>0.2724762</v>
      </c>
      <c r="V2433">
        <v>-5.0608180000000003E-2</v>
      </c>
      <c r="W2433">
        <v>4.1412249999999998E-2</v>
      </c>
      <c r="X2433">
        <v>0.99785970000000002</v>
      </c>
      <c r="Y2433">
        <v>-6.5087439999999996E-2</v>
      </c>
      <c r="Z2433">
        <v>5.1851909999999998E-4</v>
      </c>
      <c r="AA2433">
        <v>0.99787939999999997</v>
      </c>
      <c r="AB2433">
        <v>24</v>
      </c>
      <c r="AC2433">
        <v>14.7841</v>
      </c>
      <c r="AD2433">
        <v>-1.104681417176</v>
      </c>
      <c r="AE2433">
        <v>1.3603999999999901</v>
      </c>
      <c r="AF2433">
        <v>-0.97786812872402296</v>
      </c>
      <c r="AG2433">
        <v>-1.104681417176</v>
      </c>
      <c r="AH2433">
        <v>14.732398058803</v>
      </c>
      <c r="AI2433">
        <v>94.2788124197603</v>
      </c>
      <c r="AJ2433">
        <v>93.797457351255602</v>
      </c>
      <c r="AK2433">
        <v>14.8060831982551</v>
      </c>
    </row>
    <row r="2434" spans="1:37" x14ac:dyDescent="0.2">
      <c r="A2434" t="str">
        <f>"20200111160202096"</f>
        <v>20200111160202096</v>
      </c>
      <c r="B2434" t="str">
        <f>"1578729722094429"</f>
        <v>1578729722094429</v>
      </c>
      <c r="C2434" t="s">
        <v>37</v>
      </c>
      <c r="D2434">
        <v>5.3127490000000002</v>
      </c>
      <c r="E2434">
        <v>0.49544259999999901</v>
      </c>
      <c r="F2434" t="s">
        <v>57</v>
      </c>
      <c r="G2434">
        <v>-377.33069999999998</v>
      </c>
      <c r="H2434" s="1">
        <v>2.3642659999999999E-6</v>
      </c>
      <c r="I2434">
        <v>215.67349999999999</v>
      </c>
      <c r="J2434">
        <v>-392.28919999999999</v>
      </c>
      <c r="K2434">
        <v>1.104684</v>
      </c>
      <c r="L2434">
        <v>214.28020000000001</v>
      </c>
      <c r="M2434">
        <v>0.99958080000000005</v>
      </c>
      <c r="N2434">
        <v>0</v>
      </c>
      <c r="O2434">
        <v>2.547555E-2</v>
      </c>
      <c r="P2434">
        <v>0.99670530000000002</v>
      </c>
      <c r="Q2434">
        <v>2.7532210000000001E-2</v>
      </c>
      <c r="R2434">
        <v>7.629379E-2</v>
      </c>
      <c r="S2434">
        <v>2.994904</v>
      </c>
      <c r="T2434">
        <v>-0.2177328</v>
      </c>
      <c r="U2434">
        <v>0.27580260000000001</v>
      </c>
      <c r="V2434">
        <v>-5.0873500000000002E-2</v>
      </c>
      <c r="W2434">
        <v>4.127219E-2</v>
      </c>
      <c r="X2434">
        <v>0.99785199999999996</v>
      </c>
      <c r="Y2434">
        <v>-6.6195729999999994E-2</v>
      </c>
      <c r="Z2434">
        <v>5.5277129999999996E-4</v>
      </c>
      <c r="AA2434">
        <v>0.99780650000000004</v>
      </c>
      <c r="AB2434">
        <v>24</v>
      </c>
      <c r="AC2434">
        <v>14.958500000000001</v>
      </c>
      <c r="AD2434">
        <v>-1.1046816357339999</v>
      </c>
      <c r="AE2434">
        <v>1.39329999999998</v>
      </c>
      <c r="AF2434">
        <v>-1.0062947266248501</v>
      </c>
      <c r="AG2434">
        <v>-1.1046816357339999</v>
      </c>
      <c r="AH2434">
        <v>14.908534055202599</v>
      </c>
      <c r="AI2434">
        <v>94.228130772290498</v>
      </c>
      <c r="AJ2434">
        <v>93.861487579999903</v>
      </c>
      <c r="AK2434">
        <v>14.983235240371</v>
      </c>
    </row>
    <row r="2435" spans="1:37" x14ac:dyDescent="0.2">
      <c r="A2435" t="str">
        <f>"20200111160202119"</f>
        <v>20200111160202119</v>
      </c>
      <c r="B2435" t="str">
        <f>"1578729722113948"</f>
        <v>1578729722113948</v>
      </c>
      <c r="C2435" t="s">
        <v>37</v>
      </c>
      <c r="D2435">
        <v>5.2973369999999997</v>
      </c>
      <c r="E2435">
        <v>0.48849049999999999</v>
      </c>
      <c r="F2435" t="s">
        <v>57</v>
      </c>
      <c r="G2435">
        <v>-376.94040000000001</v>
      </c>
      <c r="H2435" s="1">
        <v>2.1565320000000001E-6</v>
      </c>
      <c r="I2435">
        <v>215.7072</v>
      </c>
      <c r="J2435">
        <v>-392.05290000000002</v>
      </c>
      <c r="K2435">
        <v>1.104676</v>
      </c>
      <c r="L2435">
        <v>214.28630000000001</v>
      </c>
      <c r="M2435">
        <v>0.99958089999999999</v>
      </c>
      <c r="N2435">
        <v>0</v>
      </c>
      <c r="O2435">
        <v>2.5470880000000001E-2</v>
      </c>
      <c r="P2435">
        <v>0.99673339999999999</v>
      </c>
      <c r="Q2435">
        <v>2.7735050000000001E-2</v>
      </c>
      <c r="R2435">
        <v>7.5850879999999996E-2</v>
      </c>
      <c r="S2435">
        <v>2.9945979999999999</v>
      </c>
      <c r="T2435">
        <v>-0.2155262</v>
      </c>
      <c r="U2435">
        <v>0.27841189999999999</v>
      </c>
      <c r="V2435">
        <v>-5.0434380000000001E-2</v>
      </c>
      <c r="W2435">
        <v>4.1472759999999997E-2</v>
      </c>
      <c r="X2435">
        <v>0.99786589999999997</v>
      </c>
      <c r="Y2435">
        <v>-6.7071560000000002E-2</v>
      </c>
      <c r="Z2435">
        <v>5.7896620000000005E-4</v>
      </c>
      <c r="AA2435">
        <v>0.99774799999999997</v>
      </c>
      <c r="AB2435">
        <v>24</v>
      </c>
      <c r="AC2435">
        <v>15.112500000000001</v>
      </c>
      <c r="AD2435">
        <v>-1.1046738434679999</v>
      </c>
      <c r="AE2435">
        <v>1.4208999999999801</v>
      </c>
      <c r="AF2435">
        <v>-1.03001852267288</v>
      </c>
      <c r="AG2435">
        <v>-1.1046738434679999</v>
      </c>
      <c r="AH2435">
        <v>15.064007421709</v>
      </c>
      <c r="AI2435">
        <v>94.184371640441597</v>
      </c>
      <c r="AJ2435">
        <v>93.911575299953796</v>
      </c>
      <c r="AK2435">
        <v>15.1395363885026</v>
      </c>
    </row>
    <row r="2436" spans="1:37" x14ac:dyDescent="0.2">
      <c r="A2436" t="str">
        <f>"20200111160202141"</f>
        <v>20200111160202141</v>
      </c>
      <c r="B2436" t="str">
        <f>"1578729722134445"</f>
        <v>1578729722134445</v>
      </c>
      <c r="C2436" t="s">
        <v>37</v>
      </c>
      <c r="D2436">
        <v>5.1124780000000003</v>
      </c>
      <c r="E2436">
        <v>0.49432100000000001</v>
      </c>
      <c r="F2436" t="s">
        <v>75</v>
      </c>
      <c r="G2436">
        <v>-256.27629999999999</v>
      </c>
      <c r="H2436">
        <v>6.6657919999999997</v>
      </c>
      <c r="I2436">
        <v>228.73869999999999</v>
      </c>
      <c r="J2436">
        <v>-391.8193</v>
      </c>
      <c r="K2436">
        <v>1.104671</v>
      </c>
      <c r="L2436">
        <v>214.29220000000001</v>
      </c>
      <c r="M2436">
        <v>0.99958139999999995</v>
      </c>
      <c r="N2436">
        <v>0</v>
      </c>
      <c r="O2436">
        <v>2.5453980000000001E-2</v>
      </c>
      <c r="P2436">
        <v>0.99676989999999999</v>
      </c>
      <c r="Q2436">
        <v>2.7784619999999999E-2</v>
      </c>
      <c r="R2436">
        <v>7.5353119999999996E-2</v>
      </c>
      <c r="S2436">
        <v>2.9823</v>
      </c>
      <c r="T2436">
        <v>0.12214849999999999</v>
      </c>
      <c r="U2436">
        <v>0.3174438</v>
      </c>
      <c r="V2436">
        <v>-4.995227E-2</v>
      </c>
      <c r="W2436">
        <v>4.1520410000000001E-2</v>
      </c>
      <c r="X2436">
        <v>0.9978882</v>
      </c>
      <c r="Y2436">
        <v>-8.0451469999999997E-2</v>
      </c>
      <c r="Z2436">
        <v>-6.0340039999999995E-4</v>
      </c>
      <c r="AA2436">
        <v>0.99675829999999999</v>
      </c>
      <c r="AB2436">
        <v>24</v>
      </c>
      <c r="AC2436">
        <v>135.54300000000001</v>
      </c>
      <c r="AD2436">
        <v>5.561121</v>
      </c>
      <c r="AE2436">
        <v>14.446499999999901</v>
      </c>
      <c r="AF2436">
        <v>-10.9731193180261</v>
      </c>
      <c r="AG2436">
        <v>5.561121</v>
      </c>
      <c r="AH2436">
        <v>135.64106609247301</v>
      </c>
      <c r="AI2436">
        <v>87.659893032925595</v>
      </c>
      <c r="AJ2436">
        <v>94.625053909689697</v>
      </c>
      <c r="AK2436">
        <v>136.19777613840401</v>
      </c>
    </row>
    <row r="2437" spans="1:37" x14ac:dyDescent="0.2">
      <c r="A2437" t="str">
        <f>"20200111160202162"</f>
        <v>20200111160202162</v>
      </c>
      <c r="B2437" t="str">
        <f>"1578729722153965"</f>
        <v>1578729722153965</v>
      </c>
      <c r="C2437" t="s">
        <v>37</v>
      </c>
      <c r="D2437">
        <v>5.3888809999999996</v>
      </c>
      <c r="E2437">
        <v>0.4942183</v>
      </c>
      <c r="F2437" t="s">
        <v>57</v>
      </c>
      <c r="G2437">
        <v>-378.43599999999998</v>
      </c>
      <c r="H2437" s="1">
        <v>2.952434E-6</v>
      </c>
      <c r="I2437">
        <v>215.5694</v>
      </c>
      <c r="J2437">
        <v>-391.59280000000001</v>
      </c>
      <c r="K2437">
        <v>1.1046609999999999</v>
      </c>
      <c r="L2437">
        <v>214.298</v>
      </c>
      <c r="M2437">
        <v>0.99958239999999998</v>
      </c>
      <c r="N2437">
        <v>0</v>
      </c>
      <c r="O2437">
        <v>2.541904E-2</v>
      </c>
      <c r="P2437">
        <v>0.99681200000000003</v>
      </c>
      <c r="Q2437">
        <v>2.7872439999999998E-2</v>
      </c>
      <c r="R2437">
        <v>7.4760820000000006E-2</v>
      </c>
      <c r="S2437">
        <v>2.9949949999999999</v>
      </c>
      <c r="T2437">
        <v>-0.2472097</v>
      </c>
      <c r="U2437">
        <v>0.28581240000000002</v>
      </c>
      <c r="V2437">
        <v>-4.9392499999999999E-2</v>
      </c>
      <c r="W2437">
        <v>4.1608069999999997E-2</v>
      </c>
      <c r="X2437">
        <v>0.99791240000000003</v>
      </c>
      <c r="Y2437">
        <v>-6.951272E-2</v>
      </c>
      <c r="Z2437">
        <v>7.6827060000000003E-4</v>
      </c>
      <c r="AA2437">
        <v>0.99758080000000005</v>
      </c>
      <c r="AB2437">
        <v>23</v>
      </c>
      <c r="AC2437">
        <v>13.1568</v>
      </c>
      <c r="AD2437">
        <v>-1.1046580475659999</v>
      </c>
      <c r="AE2437">
        <v>1.2714000000000001</v>
      </c>
      <c r="AF2437">
        <v>-0.93002876217607999</v>
      </c>
      <c r="AG2437">
        <v>-1.1046580475659999</v>
      </c>
      <c r="AH2437">
        <v>13.0934213933814</v>
      </c>
      <c r="AI2437">
        <v>94.810413619947496</v>
      </c>
      <c r="AJ2437">
        <v>94.062908836671397</v>
      </c>
      <c r="AK2437">
        <v>13.1728093694999</v>
      </c>
    </row>
    <row r="2438" spans="1:37" x14ac:dyDescent="0.2">
      <c r="A2438" t="str">
        <f>"20200111160202208"</f>
        <v>20200111160202208</v>
      </c>
      <c r="B2438" t="str">
        <f>"1578729722203740"</f>
        <v>1578729722203740</v>
      </c>
      <c r="C2438" t="s">
        <v>37</v>
      </c>
      <c r="D2438">
        <v>6.2060589999999998</v>
      </c>
      <c r="E2438">
        <v>0.4942183</v>
      </c>
      <c r="F2438" t="s">
        <v>57</v>
      </c>
      <c r="G2438">
        <v>-378.48230000000001</v>
      </c>
      <c r="H2438" s="1">
        <v>2.9770769999999998E-6</v>
      </c>
      <c r="I2438">
        <v>215.54509999999999</v>
      </c>
      <c r="J2438">
        <v>-391.12670000000003</v>
      </c>
      <c r="K2438">
        <v>1.1046279999999999</v>
      </c>
      <c r="L2438">
        <v>214.30969999999999</v>
      </c>
      <c r="M2438">
        <v>0.99958609999999903</v>
      </c>
      <c r="N2438">
        <v>0</v>
      </c>
      <c r="O2438">
        <v>2.527341E-2</v>
      </c>
      <c r="P2438">
        <v>0.99689760000000005</v>
      </c>
      <c r="Q2438">
        <v>2.8381819999999999E-2</v>
      </c>
      <c r="R2438">
        <v>7.3414809999999997E-2</v>
      </c>
      <c r="S2438">
        <v>2.9952700000000001</v>
      </c>
      <c r="T2438">
        <v>-0.25237480000000001</v>
      </c>
      <c r="U2438">
        <v>0.2849274</v>
      </c>
      <c r="V2438">
        <v>-4.8186609999999998E-2</v>
      </c>
      <c r="W2438">
        <v>4.2117830000000002E-2</v>
      </c>
      <c r="X2438">
        <v>0.99795</v>
      </c>
      <c r="Y2438">
        <v>-6.9351120000000002E-2</v>
      </c>
      <c r="Z2438">
        <v>7.8963579999999996E-4</v>
      </c>
      <c r="AA2438">
        <v>0.99759200000000003</v>
      </c>
      <c r="AB2438">
        <v>23</v>
      </c>
      <c r="AC2438">
        <v>12.644399999999999</v>
      </c>
      <c r="AD2438">
        <v>-1.1046250229229999</v>
      </c>
      <c r="AE2438">
        <v>1.2353999999999901</v>
      </c>
      <c r="AF2438">
        <v>-0.90853968986357803</v>
      </c>
      <c r="AG2438">
        <v>-1.1046250229229999</v>
      </c>
      <c r="AH2438">
        <v>12.576510806738501</v>
      </c>
      <c r="AI2438">
        <v>95.006563526894695</v>
      </c>
      <c r="AJ2438">
        <v>94.131926412640695</v>
      </c>
      <c r="AK2438">
        <v>12.657577370150101</v>
      </c>
    </row>
    <row r="2439" spans="1:37" x14ac:dyDescent="0.2">
      <c r="A2439" t="str">
        <f>"20200111160202228"</f>
        <v>20200111160202228</v>
      </c>
      <c r="B2439" t="str">
        <f>"1578729722223770"</f>
        <v>1578729722223770</v>
      </c>
      <c r="C2439" t="s">
        <v>37</v>
      </c>
      <c r="D2439">
        <v>5.1155049999999997</v>
      </c>
      <c r="E2439">
        <v>0.49270730000000001</v>
      </c>
      <c r="F2439" t="s">
        <v>57</v>
      </c>
      <c r="G2439">
        <v>-377.93459999999999</v>
      </c>
      <c r="H2439" s="1">
        <v>2.6856269999999999E-6</v>
      </c>
      <c r="I2439">
        <v>215.54660000000001</v>
      </c>
      <c r="J2439">
        <v>-390.90370000000001</v>
      </c>
      <c r="K2439">
        <v>1.104609</v>
      </c>
      <c r="L2439">
        <v>214.3152</v>
      </c>
      <c r="M2439">
        <v>0.999588699999999</v>
      </c>
      <c r="N2439">
        <v>0</v>
      </c>
      <c r="O2439">
        <v>2.5167809999999999E-2</v>
      </c>
      <c r="P2439">
        <v>0.9969652</v>
      </c>
      <c r="Q2439">
        <v>2.7990129999999998E-2</v>
      </c>
      <c r="R2439">
        <v>7.2641460000000005E-2</v>
      </c>
      <c r="S2439">
        <v>2.9958499999999999</v>
      </c>
      <c r="T2439">
        <v>-0.25085449999999998</v>
      </c>
      <c r="U2439">
        <v>0.28089899999999901</v>
      </c>
      <c r="V2439">
        <v>-4.7515469999999997E-2</v>
      </c>
      <c r="W2439">
        <v>4.1726699999999999E-2</v>
      </c>
      <c r="X2439">
        <v>0.99799859999999896</v>
      </c>
      <c r="Y2439">
        <v>-6.8114530000000006E-2</v>
      </c>
      <c r="Z2439">
        <v>7.4201659999999995E-4</v>
      </c>
      <c r="AA2439">
        <v>0.99767719999999904</v>
      </c>
      <c r="AB2439">
        <v>23</v>
      </c>
      <c r="AC2439">
        <v>12.969099999999999</v>
      </c>
      <c r="AD2439">
        <v>-1.1046063143730001</v>
      </c>
      <c r="AE2439">
        <v>1.2314000000000001</v>
      </c>
      <c r="AF2439">
        <v>-0.89811816761113805</v>
      </c>
      <c r="AG2439">
        <v>-1.1046063143730001</v>
      </c>
      <c r="AH2439">
        <v>12.9032182471559</v>
      </c>
      <c r="AI2439">
        <v>94.881239833359899</v>
      </c>
      <c r="AJ2439">
        <v>93.981605158581999</v>
      </c>
      <c r="AK2439">
        <v>12.981518111780399</v>
      </c>
    </row>
    <row r="2440" spans="1:37" x14ac:dyDescent="0.2">
      <c r="A2440" t="str">
        <f>"20200111160202252"</f>
        <v>20200111160202252</v>
      </c>
      <c r="B2440" t="str">
        <f>"1578729722244265"</f>
        <v>1578729722244265</v>
      </c>
      <c r="C2440" t="s">
        <v>37</v>
      </c>
      <c r="D2440">
        <v>5.303566</v>
      </c>
      <c r="E2440">
        <v>0.49284040000000001</v>
      </c>
      <c r="F2440" t="s">
        <v>57</v>
      </c>
      <c r="G2440">
        <v>-377.0831</v>
      </c>
      <c r="H2440" s="1">
        <v>2.2325039999999999E-6</v>
      </c>
      <c r="I2440">
        <v>215.65350000000001</v>
      </c>
      <c r="J2440">
        <v>-390.66579999999999</v>
      </c>
      <c r="K2440">
        <v>1.104582</v>
      </c>
      <c r="L2440">
        <v>214.321</v>
      </c>
      <c r="M2440">
        <v>0.99959219999999904</v>
      </c>
      <c r="N2440">
        <v>0</v>
      </c>
      <c r="O2440">
        <v>2.5033799999999998E-2</v>
      </c>
      <c r="P2440">
        <v>0.99706280000000003</v>
      </c>
      <c r="Q2440">
        <v>2.6602150000000001E-2</v>
      </c>
      <c r="R2440">
        <v>7.1823659999999998E-2</v>
      </c>
      <c r="S2440">
        <v>2.99472</v>
      </c>
      <c r="T2440">
        <v>-0.2393518</v>
      </c>
      <c r="U2440">
        <v>0.28999330000000001</v>
      </c>
      <c r="V2440">
        <v>-4.6828090000000003E-2</v>
      </c>
      <c r="W2440">
        <v>4.033788E-2</v>
      </c>
      <c r="X2440">
        <v>0.99808819999999998</v>
      </c>
      <c r="Y2440">
        <v>-7.1288149999999995E-2</v>
      </c>
      <c r="Z2440">
        <v>8.4527560000000003E-4</v>
      </c>
      <c r="AA2440">
        <v>0.99745539999999999</v>
      </c>
      <c r="AB2440">
        <v>23</v>
      </c>
      <c r="AC2440">
        <v>13.5826999999999</v>
      </c>
      <c r="AD2440">
        <v>-1.1045797674959901</v>
      </c>
      <c r="AE2440">
        <v>1.33250000000001</v>
      </c>
      <c r="AF2440">
        <v>-0.98556785375329803</v>
      </c>
      <c r="AG2440">
        <v>-1.1045797674959901</v>
      </c>
      <c r="AH2440">
        <v>13.5232217674225</v>
      </c>
      <c r="AI2440">
        <v>94.657268384443</v>
      </c>
      <c r="AJ2440">
        <v>94.168327614695201</v>
      </c>
      <c r="AK2440">
        <v>13.604005565567901</v>
      </c>
    </row>
    <row r="2441" spans="1:37" x14ac:dyDescent="0.2">
      <c r="A2441" t="str">
        <f>"20200111160202273"</f>
        <v>20200111160202273</v>
      </c>
      <c r="B2441" t="str">
        <f>"1578729722263785"</f>
        <v>1578729722263785</v>
      </c>
      <c r="C2441" t="s">
        <v>37</v>
      </c>
      <c r="D2441">
        <v>5.0233339999999904</v>
      </c>
      <c r="E2441">
        <v>0.49372259999999901</v>
      </c>
      <c r="F2441" t="s">
        <v>57</v>
      </c>
      <c r="G2441">
        <v>-377.07740000000001</v>
      </c>
      <c r="H2441" s="1">
        <v>2.229445E-6</v>
      </c>
      <c r="I2441">
        <v>215.6223</v>
      </c>
      <c r="J2441">
        <v>-390.43349999999998</v>
      </c>
      <c r="K2441">
        <v>1.1045719999999899</v>
      </c>
      <c r="L2441">
        <v>214.32669999999999</v>
      </c>
      <c r="M2441">
        <v>0.99959580000000003</v>
      </c>
      <c r="N2441">
        <v>0</v>
      </c>
      <c r="O2441">
        <v>2.488887E-2</v>
      </c>
      <c r="P2441">
        <v>0.99719709999999995</v>
      </c>
      <c r="Q2441">
        <v>2.5307880000000001E-2</v>
      </c>
      <c r="R2441">
        <v>7.0411409999999994E-2</v>
      </c>
      <c r="S2441">
        <v>2.994659</v>
      </c>
      <c r="T2441">
        <v>-0.24343039999999999</v>
      </c>
      <c r="U2441">
        <v>0.28678890000000001</v>
      </c>
      <c r="V2441">
        <v>-4.5557769999999997E-2</v>
      </c>
      <c r="W2441">
        <v>3.9043340000000003E-2</v>
      </c>
      <c r="X2441">
        <v>0.99819840000000004</v>
      </c>
      <c r="Y2441">
        <v>-7.0374660000000006E-2</v>
      </c>
      <c r="Z2441">
        <v>8.3443059999999895E-4</v>
      </c>
      <c r="AA2441">
        <v>0.99752030000000003</v>
      </c>
      <c r="AB2441">
        <v>23</v>
      </c>
      <c r="AC2441">
        <v>13.3560999999999</v>
      </c>
      <c r="AD2441">
        <v>-1.1045697705549999</v>
      </c>
      <c r="AE2441">
        <v>1.2956000000000001</v>
      </c>
      <c r="AF2441">
        <v>-0.95626948652134802</v>
      </c>
      <c r="AG2441">
        <v>-1.1045697705549999</v>
      </c>
      <c r="AH2441">
        <v>13.2941327351694</v>
      </c>
      <c r="AI2441">
        <v>94.737441164349093</v>
      </c>
      <c r="AJ2441">
        <v>94.114296217217799</v>
      </c>
      <c r="AK2441">
        <v>13.3741725310084</v>
      </c>
    </row>
    <row r="2442" spans="1:37" x14ac:dyDescent="0.2">
      <c r="A2442" t="str">
        <f>"20200111160202296"</f>
        <v>20200111160202296</v>
      </c>
      <c r="B2442" t="str">
        <f>"1578729722294041"</f>
        <v>1578729722294041</v>
      </c>
      <c r="C2442" t="s">
        <v>37</v>
      </c>
      <c r="D2442">
        <v>5.0554559999999897</v>
      </c>
      <c r="E2442">
        <v>0.49394189999999999</v>
      </c>
      <c r="F2442" t="s">
        <v>57</v>
      </c>
      <c r="G2442">
        <v>-377.01530000000002</v>
      </c>
      <c r="H2442" s="1">
        <v>2.1963820000000002E-6</v>
      </c>
      <c r="I2442">
        <v>215.56059999999999</v>
      </c>
      <c r="J2442">
        <v>-390.19749999999999</v>
      </c>
      <c r="K2442">
        <v>1.1045719999999899</v>
      </c>
      <c r="L2442">
        <v>214.33240000000001</v>
      </c>
      <c r="M2442">
        <v>0.99959959999999903</v>
      </c>
      <c r="N2442">
        <v>0</v>
      </c>
      <c r="O2442">
        <v>2.473502E-2</v>
      </c>
      <c r="P2442">
        <v>0.99728050000000001</v>
      </c>
      <c r="Q2442">
        <v>2.527662E-2</v>
      </c>
      <c r="R2442">
        <v>6.9228709999999999E-2</v>
      </c>
      <c r="S2442">
        <v>2.99523899999999</v>
      </c>
      <c r="T2442">
        <v>-0.24656399999999901</v>
      </c>
      <c r="U2442">
        <v>0.27543640000000003</v>
      </c>
      <c r="V2442">
        <v>-4.4526839999999998E-2</v>
      </c>
      <c r="W2442">
        <v>3.9009509999999997E-2</v>
      </c>
      <c r="X2442">
        <v>0.99824629999999903</v>
      </c>
      <c r="Y2442">
        <v>-6.6769350000000005E-2</v>
      </c>
      <c r="Z2442">
        <v>7.0987479999999896E-4</v>
      </c>
      <c r="AA2442">
        <v>0.99776819999999899</v>
      </c>
      <c r="AB2442">
        <v>23</v>
      </c>
      <c r="AC2442">
        <v>13.1821999999999</v>
      </c>
      <c r="AD2442">
        <v>-1.1045698036179901</v>
      </c>
      <c r="AE2442">
        <v>1.22819999999998</v>
      </c>
      <c r="AF2442">
        <v>-0.895498035478837</v>
      </c>
      <c r="AG2442">
        <v>-1.1045698036179901</v>
      </c>
      <c r="AH2442">
        <v>13.117242468136601</v>
      </c>
      <c r="AI2442">
        <v>94.802251739255993</v>
      </c>
      <c r="AJ2442">
        <v>93.905452747206397</v>
      </c>
      <c r="AK2442">
        <v>13.194091145300501</v>
      </c>
    </row>
    <row r="2443" spans="1:37" x14ac:dyDescent="0.2">
      <c r="A2443" t="str">
        <f>"20200111160202318"</f>
        <v>20200111160202318</v>
      </c>
      <c r="B2443" t="str">
        <f>"1578729722314537"</f>
        <v>1578729722314537</v>
      </c>
      <c r="C2443" t="s">
        <v>37</v>
      </c>
      <c r="D2443">
        <v>5.0921900000000004</v>
      </c>
      <c r="E2443">
        <v>0.49472640000000001</v>
      </c>
      <c r="F2443" t="s">
        <v>57</v>
      </c>
      <c r="G2443">
        <v>-376.81900000000002</v>
      </c>
      <c r="H2443" s="1">
        <v>2.0919350000000002E-6</v>
      </c>
      <c r="I2443">
        <v>215.53639999999999</v>
      </c>
      <c r="J2443">
        <v>-389.9751</v>
      </c>
      <c r="K2443">
        <v>1.1045780000000001</v>
      </c>
      <c r="L2443">
        <v>214.33779999999999</v>
      </c>
      <c r="M2443">
        <v>0.99960329999999997</v>
      </c>
      <c r="N2443">
        <v>0</v>
      </c>
      <c r="O2443">
        <v>2.4589199999999999E-2</v>
      </c>
      <c r="P2443">
        <v>0.99729909999999999</v>
      </c>
      <c r="Q2443">
        <v>2.6778659999999999E-2</v>
      </c>
      <c r="R2443">
        <v>6.8394650000000001E-2</v>
      </c>
      <c r="S2443">
        <v>2.99572799999999</v>
      </c>
      <c r="T2443">
        <v>-0.24733640000000001</v>
      </c>
      <c r="U2443">
        <v>0.2696075</v>
      </c>
      <c r="V2443">
        <v>-4.383782E-2</v>
      </c>
      <c r="W2443">
        <v>4.050894E-2</v>
      </c>
      <c r="X2443">
        <v>0.99821700000000002</v>
      </c>
      <c r="Y2443">
        <v>-6.4979179999999997E-2</v>
      </c>
      <c r="Z2443">
        <v>6.5038559999999995E-4</v>
      </c>
      <c r="AA2443">
        <v>0.99788639999999995</v>
      </c>
      <c r="AB2443">
        <v>23</v>
      </c>
      <c r="AC2443">
        <v>13.156099999999901</v>
      </c>
      <c r="AD2443">
        <v>-1.1045759080649999</v>
      </c>
      <c r="AE2443">
        <v>1.1985999999999899</v>
      </c>
      <c r="AF2443">
        <v>-0.86863629369002004</v>
      </c>
      <c r="AG2443">
        <v>-1.1045759080649999</v>
      </c>
      <c r="AH2443">
        <v>13.0900823975284</v>
      </c>
      <c r="AI2443">
        <v>94.812808647787705</v>
      </c>
      <c r="AJ2443">
        <v>93.796487502428803</v>
      </c>
      <c r="AK2443">
        <v>13.1652905065356</v>
      </c>
    </row>
    <row r="2444" spans="1:37" x14ac:dyDescent="0.2">
      <c r="A2444" t="str">
        <f>"20200111160202340"</f>
        <v>20200111160202340</v>
      </c>
      <c r="B2444" t="str">
        <f>"1578729722334056"</f>
        <v>1578729722334056</v>
      </c>
      <c r="C2444" t="s">
        <v>37</v>
      </c>
      <c r="D2444">
        <v>5.3157649999999999</v>
      </c>
      <c r="E2444">
        <v>0.53446450000000001</v>
      </c>
      <c r="F2444" t="s">
        <v>57</v>
      </c>
      <c r="G2444">
        <v>-376.3895</v>
      </c>
      <c r="H2444" s="1">
        <v>1.863376E-6</v>
      </c>
      <c r="I2444">
        <v>215.52010000000001</v>
      </c>
      <c r="J2444">
        <v>-389.73489999999998</v>
      </c>
      <c r="K2444">
        <v>1.104584</v>
      </c>
      <c r="L2444">
        <v>214.34350000000001</v>
      </c>
      <c r="M2444">
        <v>0.99960709999999997</v>
      </c>
      <c r="N2444">
        <v>0</v>
      </c>
      <c r="O2444">
        <v>2.4435889999999998E-2</v>
      </c>
      <c r="P2444">
        <v>0.99731380000000003</v>
      </c>
      <c r="Q2444">
        <v>2.735893E-2</v>
      </c>
      <c r="R2444">
        <v>6.7947690000000005E-2</v>
      </c>
      <c r="S2444">
        <v>2.996826</v>
      </c>
      <c r="T2444">
        <v>-0.24365700000000001</v>
      </c>
      <c r="U2444">
        <v>0.26081850000000001</v>
      </c>
      <c r="V2444">
        <v>-4.3543579999999998E-2</v>
      </c>
      <c r="W2444">
        <v>4.1085910000000003E-2</v>
      </c>
      <c r="X2444">
        <v>0.99820629999999999</v>
      </c>
      <c r="Y2444">
        <v>-6.2208119999999999E-2</v>
      </c>
      <c r="Z2444">
        <v>5.4073239999999996E-4</v>
      </c>
      <c r="AA2444">
        <v>0.99806299999999903</v>
      </c>
      <c r="AB2444">
        <v>23</v>
      </c>
      <c r="AC2444">
        <v>13.3453999999999</v>
      </c>
      <c r="AD2444">
        <v>-1.1045821366240001</v>
      </c>
      <c r="AE2444">
        <v>1.1766000000000001</v>
      </c>
      <c r="AF2444">
        <v>-0.84437123900032995</v>
      </c>
      <c r="AG2444">
        <v>-1.1045821366240001</v>
      </c>
      <c r="AH2444">
        <v>13.2798938637213</v>
      </c>
      <c r="AI2444">
        <v>94.745209542115305</v>
      </c>
      <c r="AJ2444">
        <v>93.638121794590006</v>
      </c>
      <c r="AK2444">
        <v>13.3524771303868</v>
      </c>
    </row>
    <row r="2445" spans="1:37" x14ac:dyDescent="0.2">
      <c r="A2445" t="str">
        <f>"20200111160202365"</f>
        <v>20200111160202365</v>
      </c>
      <c r="B2445" t="str">
        <f>"1578729722354553"</f>
        <v>1578729722354553</v>
      </c>
      <c r="C2445" t="s">
        <v>37</v>
      </c>
      <c r="D2445">
        <v>5.1631609999999997</v>
      </c>
      <c r="E2445">
        <v>0.53759849999999998</v>
      </c>
      <c r="F2445" t="s">
        <v>42</v>
      </c>
      <c r="G2445">
        <v>-388.93389999999999</v>
      </c>
      <c r="H2445">
        <v>1.02606</v>
      </c>
      <c r="I2445">
        <v>214.3288</v>
      </c>
      <c r="J2445">
        <v>-389.4966</v>
      </c>
      <c r="K2445">
        <v>1.1045879999999999</v>
      </c>
      <c r="L2445">
        <v>214.34909999999999</v>
      </c>
      <c r="M2445">
        <v>0.99961069999999996</v>
      </c>
      <c r="N2445">
        <v>0</v>
      </c>
      <c r="O2445">
        <v>2.4289740000000001E-2</v>
      </c>
      <c r="P2445">
        <v>0.99737619999999905</v>
      </c>
      <c r="Q2445">
        <v>2.7632650000000002E-2</v>
      </c>
      <c r="R2445">
        <v>6.6914600000000005E-2</v>
      </c>
      <c r="S2445">
        <v>3.01992799999999</v>
      </c>
      <c r="T2445">
        <v>-0.29617670000000001</v>
      </c>
      <c r="U2445">
        <v>-5.476379E-2</v>
      </c>
      <c r="V2445">
        <v>-4.2655390000000001E-2</v>
      </c>
      <c r="W2445">
        <v>4.1356520000000001E-2</v>
      </c>
      <c r="X2445">
        <v>0.998233499999999</v>
      </c>
      <c r="Y2445">
        <v>4.2095420000000001E-2</v>
      </c>
      <c r="Z2445">
        <v>-4.4356059999999999E-3</v>
      </c>
      <c r="AA2445">
        <v>0.99910370000000004</v>
      </c>
      <c r="AB2445">
        <v>23</v>
      </c>
      <c r="AC2445">
        <v>0.56270000000000597</v>
      </c>
      <c r="AD2445">
        <v>-7.8527999999999903E-2</v>
      </c>
      <c r="AE2445">
        <v>-2.02999999999917E-2</v>
      </c>
      <c r="AF2445">
        <v>3.3315138821641797E-2</v>
      </c>
      <c r="AG2445">
        <v>-7.8527999999999903E-2</v>
      </c>
      <c r="AH2445">
        <v>0.55131743174132997</v>
      </c>
      <c r="AI2445">
        <v>98.091945228854996</v>
      </c>
      <c r="AJ2445">
        <v>86.541922271864095</v>
      </c>
      <c r="AK2445">
        <v>0.55787763515000499</v>
      </c>
    </row>
    <row r="2446" spans="1:37" x14ac:dyDescent="0.2">
      <c r="A2446" t="str">
        <f>"20200111160202386"</f>
        <v>20200111160202386</v>
      </c>
      <c r="B2446" t="str">
        <f>"1578729722383833"</f>
        <v>1578729722383833</v>
      </c>
      <c r="C2446" t="s">
        <v>37</v>
      </c>
      <c r="D2446">
        <v>6.3973040000000001</v>
      </c>
      <c r="E2446">
        <v>0.53896699999999997</v>
      </c>
      <c r="F2446" t="s">
        <v>42</v>
      </c>
      <c r="G2446">
        <v>-388.72500000000002</v>
      </c>
      <c r="H2446">
        <v>1.029989</v>
      </c>
      <c r="I2446">
        <v>214.32769999999999</v>
      </c>
      <c r="J2446">
        <v>-389.27010000000001</v>
      </c>
      <c r="K2446">
        <v>1.1045780000000001</v>
      </c>
      <c r="L2446">
        <v>214.3545</v>
      </c>
      <c r="M2446">
        <v>0.999613999999999</v>
      </c>
      <c r="N2446">
        <v>0</v>
      </c>
      <c r="O2446">
        <v>2.4155739999999998E-2</v>
      </c>
      <c r="P2446">
        <v>0.9974035</v>
      </c>
      <c r="Q2446">
        <v>2.6879190000000001E-2</v>
      </c>
      <c r="R2446">
        <v>6.6811839999999997E-2</v>
      </c>
      <c r="S2446">
        <v>3.0215450000000001</v>
      </c>
      <c r="T2446">
        <v>-0.2923154</v>
      </c>
      <c r="U2446">
        <v>-8.2412719999999995E-2</v>
      </c>
      <c r="V2446">
        <v>-4.2686689999999999E-2</v>
      </c>
      <c r="W2446">
        <v>4.0600879999999999E-2</v>
      </c>
      <c r="X2446">
        <v>0.99826319999999902</v>
      </c>
      <c r="Y2446">
        <v>5.105502E-2</v>
      </c>
      <c r="Z2446">
        <v>-4.7947019999999996E-3</v>
      </c>
      <c r="AA2446">
        <v>0.99868429999999997</v>
      </c>
      <c r="AB2446">
        <v>23</v>
      </c>
      <c r="AC2446">
        <v>0.54509999999999004</v>
      </c>
      <c r="AD2446">
        <v>-7.4589000000000003E-2</v>
      </c>
      <c r="AE2446">
        <v>-2.6800000000008602E-2</v>
      </c>
      <c r="AF2446">
        <v>3.9227981441639401E-2</v>
      </c>
      <c r="AG2446">
        <v>-7.4589000000000003E-2</v>
      </c>
      <c r="AH2446">
        <v>0.53431315716748495</v>
      </c>
      <c r="AI2446">
        <v>97.925953837604794</v>
      </c>
      <c r="AJ2446">
        <v>85.801015817714003</v>
      </c>
      <c r="AK2446">
        <v>0.54091857369780805</v>
      </c>
    </row>
    <row r="2447" spans="1:37" x14ac:dyDescent="0.2">
      <c r="A2447" t="str">
        <f>"20200111160202408"</f>
        <v>20200111160202408</v>
      </c>
      <c r="B2447" t="str">
        <f>"1578729722404329"</f>
        <v>1578729722404329</v>
      </c>
      <c r="C2447" t="s">
        <v>37</v>
      </c>
      <c r="D2447">
        <v>5.2481839999999904</v>
      </c>
      <c r="E2447">
        <v>0.53907649999999996</v>
      </c>
      <c r="F2447" t="s">
        <v>42</v>
      </c>
      <c r="G2447">
        <v>-388.51609999999999</v>
      </c>
      <c r="H2447">
        <v>1.034446</v>
      </c>
      <c r="I2447">
        <v>214.33080000000001</v>
      </c>
      <c r="J2447">
        <v>-389.04329999999999</v>
      </c>
      <c r="K2447">
        <v>1.104581</v>
      </c>
      <c r="L2447">
        <v>214.35980000000001</v>
      </c>
      <c r="M2447">
        <v>0.99961719999999898</v>
      </c>
      <c r="N2447">
        <v>0</v>
      </c>
      <c r="O2447">
        <v>2.4024730000000001E-2</v>
      </c>
      <c r="P2447">
        <v>0.99740759999999995</v>
      </c>
      <c r="Q2447">
        <v>2.5560590000000001E-2</v>
      </c>
      <c r="R2447">
        <v>6.7267430000000003E-2</v>
      </c>
      <c r="S2447">
        <v>3.0217290000000001</v>
      </c>
      <c r="T2447">
        <v>-0.28110679999999999</v>
      </c>
      <c r="U2447">
        <v>-9.4512940000000004E-2</v>
      </c>
      <c r="V2447">
        <v>-4.3273039999999999E-2</v>
      </c>
      <c r="W2447">
        <v>3.928015E-2</v>
      </c>
      <c r="X2447">
        <v>0.99829080000000003</v>
      </c>
      <c r="Y2447">
        <v>5.4928079999999997E-2</v>
      </c>
      <c r="Z2447">
        <v>-4.7787009999999998E-3</v>
      </c>
      <c r="AA2447">
        <v>0.99847889999999995</v>
      </c>
      <c r="AB2447">
        <v>23</v>
      </c>
      <c r="AC2447">
        <v>0.52719999999999301</v>
      </c>
      <c r="AD2447">
        <v>-7.0135000000000003E-2</v>
      </c>
      <c r="AE2447">
        <v>-2.89999999999963E-2</v>
      </c>
      <c r="AF2447">
        <v>4.09363609210774E-2</v>
      </c>
      <c r="AG2447">
        <v>-7.0135000000000003E-2</v>
      </c>
      <c r="AH2447">
        <v>0.51722490140828403</v>
      </c>
      <c r="AI2447">
        <v>97.698347468208894</v>
      </c>
      <c r="AJ2447">
        <v>85.474692777620803</v>
      </c>
      <c r="AK2447">
        <v>0.52356117360559695</v>
      </c>
    </row>
    <row r="2448" spans="1:37" x14ac:dyDescent="0.2">
      <c r="A2448" t="str">
        <f>"20200111160202431"</f>
        <v>20200111160202431</v>
      </c>
      <c r="B2448" t="str">
        <f>"1578729722423850"</f>
        <v>1578729722423850</v>
      </c>
      <c r="C2448" t="s">
        <v>37</v>
      </c>
      <c r="D2448">
        <v>5.2576890000000001</v>
      </c>
      <c r="E2448">
        <v>0.53939550000000003</v>
      </c>
      <c r="F2448" t="s">
        <v>42</v>
      </c>
      <c r="G2448">
        <v>-388.3082</v>
      </c>
      <c r="H2448">
        <v>1.0374410000000001</v>
      </c>
      <c r="I2448">
        <v>214.3366</v>
      </c>
      <c r="J2448">
        <v>-388.80110000000002</v>
      </c>
      <c r="K2448">
        <v>1.104582</v>
      </c>
      <c r="L2448">
        <v>214.36539999999999</v>
      </c>
      <c r="M2448">
        <v>0.99962059999999997</v>
      </c>
      <c r="N2448">
        <v>0</v>
      </c>
      <c r="O2448">
        <v>2.388676E-2</v>
      </c>
      <c r="P2448">
        <v>0.99738280000000001</v>
      </c>
      <c r="Q2448">
        <v>2.4813060000000001E-2</v>
      </c>
      <c r="R2448">
        <v>6.7914310000000006E-2</v>
      </c>
      <c r="S2448">
        <v>3.02121</v>
      </c>
      <c r="T2448">
        <v>-0.27614909999999998</v>
      </c>
      <c r="U2448">
        <v>-9.4284060000000003E-2</v>
      </c>
      <c r="V2448">
        <v>-4.405879E-2</v>
      </c>
      <c r="W2448">
        <v>3.85297E-2</v>
      </c>
      <c r="X2448">
        <v>0.99828569999999905</v>
      </c>
      <c r="Y2448">
        <v>5.4733200000000003E-2</v>
      </c>
      <c r="Z2448">
        <v>-4.6741120000000002E-3</v>
      </c>
      <c r="AA2448">
        <v>0.99849009999999905</v>
      </c>
      <c r="AB2448">
        <v>23</v>
      </c>
      <c r="AC2448">
        <v>0.49290000000001999</v>
      </c>
      <c r="AD2448">
        <v>-6.7140999999999895E-2</v>
      </c>
      <c r="AE2448">
        <v>-2.8799999999989698E-2</v>
      </c>
      <c r="AF2448">
        <v>3.9830143622559398E-2</v>
      </c>
      <c r="AG2448">
        <v>-6.7140999999999895E-2</v>
      </c>
      <c r="AH2448">
        <v>0.48313728176033999</v>
      </c>
      <c r="AI2448">
        <v>97.885241313623098</v>
      </c>
      <c r="AJ2448">
        <v>85.287157231866999</v>
      </c>
      <c r="AK2448">
        <v>0.48940370579794801</v>
      </c>
    </row>
    <row r="2449" spans="1:37" x14ac:dyDescent="0.2">
      <c r="A2449" t="str">
        <f>"20200111160202453"</f>
        <v>20200111160202453</v>
      </c>
      <c r="B2449" t="str">
        <f>"1578729722444345"</f>
        <v>1578729722444345</v>
      </c>
      <c r="C2449" t="s">
        <v>37</v>
      </c>
      <c r="D2449">
        <v>5.3278889999999999</v>
      </c>
      <c r="E2449">
        <v>0.53982799999999997</v>
      </c>
      <c r="F2449" t="s">
        <v>42</v>
      </c>
      <c r="G2449">
        <v>-387.90429999999998</v>
      </c>
      <c r="H2449">
        <v>1.0206930000000001</v>
      </c>
      <c r="I2449">
        <v>214.33690000000001</v>
      </c>
      <c r="J2449">
        <v>-388.57569999999998</v>
      </c>
      <c r="K2449">
        <v>1.1045849999999999</v>
      </c>
      <c r="L2449">
        <v>214.3706</v>
      </c>
      <c r="M2449">
        <v>0.99962359999999995</v>
      </c>
      <c r="N2449">
        <v>0</v>
      </c>
      <c r="O2449">
        <v>2.3758720000000001E-2</v>
      </c>
      <c r="P2449">
        <v>0.99730269999999999</v>
      </c>
      <c r="Q2449">
        <v>2.5261099999999901E-2</v>
      </c>
      <c r="R2449">
        <v>6.8915229999999994E-2</v>
      </c>
      <c r="S2449">
        <v>3.0213619999999999</v>
      </c>
      <c r="T2449">
        <v>-0.28282959999999902</v>
      </c>
      <c r="U2449">
        <v>-9.4680790000000001E-2</v>
      </c>
      <c r="V2449">
        <v>-4.5189479999999997E-2</v>
      </c>
      <c r="W2449">
        <v>3.8974729999999999E-2</v>
      </c>
      <c r="X2449">
        <v>0.99821789999999999</v>
      </c>
      <c r="Y2449">
        <v>5.471939E-2</v>
      </c>
      <c r="Z2449">
        <v>-4.773851E-3</v>
      </c>
      <c r="AA2449">
        <v>0.99849030000000005</v>
      </c>
      <c r="AB2449">
        <v>23</v>
      </c>
      <c r="AC2449">
        <v>0.67140000000000499</v>
      </c>
      <c r="AD2449">
        <v>-8.38919999999998E-2</v>
      </c>
      <c r="AE2449">
        <v>-3.36999999999818E-2</v>
      </c>
      <c r="AF2449">
        <v>4.8882323323900599E-2</v>
      </c>
      <c r="AG2449">
        <v>-8.38919999999998E-2</v>
      </c>
      <c r="AH2449">
        <v>0.66012919053314201</v>
      </c>
      <c r="AI2449">
        <v>97.2229992473289</v>
      </c>
      <c r="AJ2449">
        <v>85.764998015512603</v>
      </c>
      <c r="AK2449">
        <v>0.66723151708494999</v>
      </c>
    </row>
    <row r="2450" spans="1:37" x14ac:dyDescent="0.2">
      <c r="A2450" t="str">
        <f>"20200111160202475"</f>
        <v>20200111160202475</v>
      </c>
      <c r="B2450" t="str">
        <f>"1578729722463864"</f>
        <v>1578729722463864</v>
      </c>
      <c r="C2450" t="s">
        <v>37</v>
      </c>
      <c r="D2450">
        <v>5.316681</v>
      </c>
      <c r="E2450">
        <v>0.54001069999999995</v>
      </c>
      <c r="F2450" t="s">
        <v>42</v>
      </c>
      <c r="G2450">
        <v>-387.69810000000001</v>
      </c>
      <c r="H2450">
        <v>1.022</v>
      </c>
      <c r="I2450">
        <v>214.34289999999999</v>
      </c>
      <c r="J2450">
        <v>-388.35019999999997</v>
      </c>
      <c r="K2450">
        <v>1.104581</v>
      </c>
      <c r="L2450">
        <v>214.3758</v>
      </c>
      <c r="M2450">
        <v>0.99962659999999903</v>
      </c>
      <c r="N2450">
        <v>0</v>
      </c>
      <c r="O2450">
        <v>2.363115E-2</v>
      </c>
      <c r="P2450">
        <v>0.99725149999999996</v>
      </c>
      <c r="Q2450">
        <v>2.5784120000000001E-2</v>
      </c>
      <c r="R2450">
        <v>6.9461079999999994E-2</v>
      </c>
      <c r="S2450">
        <v>3.02182</v>
      </c>
      <c r="T2450">
        <v>-0.2844507</v>
      </c>
      <c r="U2450">
        <v>-9.4635010000000006E-2</v>
      </c>
      <c r="V2450">
        <v>-4.586349E-2</v>
      </c>
      <c r="W2450">
        <v>3.9494559999999998E-2</v>
      </c>
      <c r="X2450">
        <v>0.99816669999999996</v>
      </c>
      <c r="Y2450">
        <v>5.4569520000000003E-2</v>
      </c>
      <c r="Z2450">
        <v>-4.7813529999999899E-3</v>
      </c>
      <c r="AA2450">
        <v>0.99849849999999996</v>
      </c>
      <c r="AB2450">
        <v>23</v>
      </c>
      <c r="AC2450">
        <v>0.65209999999996104</v>
      </c>
      <c r="AD2450">
        <v>-8.2581000000000002E-2</v>
      </c>
      <c r="AE2450">
        <v>-3.29000000000121E-2</v>
      </c>
      <c r="AF2450">
        <v>4.7541629562569E-2</v>
      </c>
      <c r="AG2450">
        <v>-8.2581000000000002E-2</v>
      </c>
      <c r="AH2450">
        <v>0.64088828926830299</v>
      </c>
      <c r="AI2450">
        <v>97.322431195996501</v>
      </c>
      <c r="AJ2450">
        <v>85.757521578855403</v>
      </c>
      <c r="AK2450">
        <v>0.64793335106607697</v>
      </c>
    </row>
    <row r="2451" spans="1:37" x14ac:dyDescent="0.2">
      <c r="A2451" t="str">
        <f>"20200111160202497"</f>
        <v>20200111160202497</v>
      </c>
      <c r="B2451" t="str">
        <f>"1578729722494120"</f>
        <v>1578729722494120</v>
      </c>
      <c r="C2451" t="s">
        <v>37</v>
      </c>
      <c r="D2451">
        <v>5.361021</v>
      </c>
      <c r="E2451">
        <v>0.54027009999999998</v>
      </c>
      <c r="F2451" t="s">
        <v>42</v>
      </c>
      <c r="G2451">
        <v>-387.49180000000001</v>
      </c>
      <c r="H2451">
        <v>1.023768</v>
      </c>
      <c r="I2451">
        <v>214.34889999999999</v>
      </c>
      <c r="J2451">
        <v>-388.13010000000003</v>
      </c>
      <c r="K2451">
        <v>1.104579</v>
      </c>
      <c r="L2451">
        <v>214.3809</v>
      </c>
      <c r="M2451">
        <v>0.99962969999999896</v>
      </c>
      <c r="N2451">
        <v>0</v>
      </c>
      <c r="O2451">
        <v>2.3506260000000001E-2</v>
      </c>
      <c r="P2451">
        <v>0.9972974</v>
      </c>
      <c r="Q2451">
        <v>2.537621E-2</v>
      </c>
      <c r="R2451">
        <v>6.8950220000000007E-2</v>
      </c>
      <c r="S2451">
        <v>3.022186</v>
      </c>
      <c r="T2451">
        <v>-0.28457979999999999</v>
      </c>
      <c r="U2451">
        <v>-9.4207760000000001E-2</v>
      </c>
      <c r="V2451">
        <v>-4.5476790000000003E-2</v>
      </c>
      <c r="W2451">
        <v>3.9084800000000003E-2</v>
      </c>
      <c r="X2451">
        <v>0.99820049999999905</v>
      </c>
      <c r="Y2451">
        <v>5.4301460000000003E-2</v>
      </c>
      <c r="Z2451">
        <v>-4.758623E-3</v>
      </c>
      <c r="AA2451">
        <v>0.99851319999999999</v>
      </c>
      <c r="AB2451">
        <v>23</v>
      </c>
      <c r="AC2451">
        <v>0.63830000000001497</v>
      </c>
      <c r="AD2451">
        <v>-8.0810999999999897E-2</v>
      </c>
      <c r="AE2451">
        <v>-3.2000000000010603E-2</v>
      </c>
      <c r="AF2451">
        <v>4.6257042657711397E-2</v>
      </c>
      <c r="AG2451">
        <v>-8.0810999999999897E-2</v>
      </c>
      <c r="AH2451">
        <v>0.62734123421725196</v>
      </c>
      <c r="AI2451">
        <v>97.320481606968201</v>
      </c>
      <c r="AJ2451">
        <v>85.782923841290796</v>
      </c>
      <c r="AK2451">
        <v>0.634213809267555</v>
      </c>
    </row>
    <row r="2452" spans="1:37" x14ac:dyDescent="0.2">
      <c r="A2452" t="str">
        <f>"20200111160202519"</f>
        <v>20200111160202519</v>
      </c>
      <c r="B2452" t="str">
        <f>"1578729722514623"</f>
        <v>1578729722514623</v>
      </c>
      <c r="C2452" t="s">
        <v>37</v>
      </c>
      <c r="D2452">
        <v>5.4248690000000002</v>
      </c>
      <c r="E2452">
        <v>0.54054360000000001</v>
      </c>
      <c r="F2452" t="s">
        <v>42</v>
      </c>
      <c r="G2452">
        <v>-387.28649999999999</v>
      </c>
      <c r="H2452">
        <v>1.024305</v>
      </c>
      <c r="I2452">
        <v>214.3537</v>
      </c>
      <c r="J2452">
        <v>-387.89870000000002</v>
      </c>
      <c r="K2452">
        <v>1.104581</v>
      </c>
      <c r="L2452">
        <v>214.3861</v>
      </c>
      <c r="M2452">
        <v>0.99963269999999904</v>
      </c>
      <c r="N2452">
        <v>0</v>
      </c>
      <c r="O2452">
        <v>2.3374679999999998E-2</v>
      </c>
      <c r="P2452">
        <v>0.99736399999999903</v>
      </c>
      <c r="Q2452">
        <v>2.4811090000000001E-2</v>
      </c>
      <c r="R2452">
        <v>6.818892E-2</v>
      </c>
      <c r="S2452">
        <v>3.022186</v>
      </c>
      <c r="T2452">
        <v>-0.2876341</v>
      </c>
      <c r="U2452">
        <v>-9.7305299999999997E-2</v>
      </c>
      <c r="V2452">
        <v>-4.4845660000000002E-2</v>
      </c>
      <c r="W2452">
        <v>3.8517309999999999E-2</v>
      </c>
      <c r="X2452">
        <v>0.99825109999999995</v>
      </c>
      <c r="Y2452">
        <v>5.5181620000000001E-2</v>
      </c>
      <c r="Z2452">
        <v>-4.8386840000000002E-3</v>
      </c>
      <c r="AA2452">
        <v>0.99846460000000004</v>
      </c>
      <c r="AB2452">
        <v>23</v>
      </c>
      <c r="AC2452">
        <v>0.61220000000002905</v>
      </c>
      <c r="AD2452">
        <v>-8.0276E-2</v>
      </c>
      <c r="AE2452">
        <v>-3.2399999999995502E-2</v>
      </c>
      <c r="AF2452">
        <v>4.5915195817595497E-2</v>
      </c>
      <c r="AG2452">
        <v>-8.0276E-2</v>
      </c>
      <c r="AH2452">
        <v>0.60097087071273103</v>
      </c>
      <c r="AI2452">
        <v>97.586519577963799</v>
      </c>
      <c r="AJ2452">
        <v>85.630992835570595</v>
      </c>
      <c r="AK2452">
        <v>0.60804475890199605</v>
      </c>
    </row>
    <row r="2453" spans="1:37" x14ac:dyDescent="0.2">
      <c r="A2453" t="str">
        <f>"20200111160202543"</f>
        <v>20200111160202543</v>
      </c>
      <c r="B2453" t="str">
        <f>"1578729722534142"</f>
        <v>1578729722534142</v>
      </c>
      <c r="C2453" t="s">
        <v>37</v>
      </c>
      <c r="D2453">
        <v>5.478116</v>
      </c>
      <c r="E2453">
        <v>0.54046309999999997</v>
      </c>
      <c r="F2453" t="s">
        <v>42</v>
      </c>
      <c r="G2453">
        <v>-387.08080000000001</v>
      </c>
      <c r="H2453">
        <v>1.026033</v>
      </c>
      <c r="I2453">
        <v>214.35820000000001</v>
      </c>
      <c r="J2453">
        <v>-387.65559999999999</v>
      </c>
      <c r="K2453">
        <v>1.104579</v>
      </c>
      <c r="L2453">
        <v>214.39169999999999</v>
      </c>
      <c r="M2453">
        <v>0.99963599999999997</v>
      </c>
      <c r="N2453">
        <v>0</v>
      </c>
      <c r="O2453">
        <v>2.3235599999999999E-2</v>
      </c>
      <c r="P2453">
        <v>0.99745360000000005</v>
      </c>
      <c r="Q2453">
        <v>2.4001709999999999E-2</v>
      </c>
      <c r="R2453">
        <v>6.7158720000000005E-2</v>
      </c>
      <c r="S2453">
        <v>3.022125</v>
      </c>
      <c r="T2453">
        <v>-0.2903425</v>
      </c>
      <c r="U2453">
        <v>-0.1017914</v>
      </c>
      <c r="V2453">
        <v>-4.395259E-2</v>
      </c>
      <c r="W2453">
        <v>3.7706320000000002E-2</v>
      </c>
      <c r="X2453">
        <v>0.99832180000000004</v>
      </c>
      <c r="Y2453">
        <v>5.6511649999999997E-2</v>
      </c>
      <c r="Z2453">
        <v>-4.9344230000000003E-3</v>
      </c>
      <c r="AA2453">
        <v>0.99838969999999905</v>
      </c>
      <c r="AB2453">
        <v>23</v>
      </c>
      <c r="AC2453">
        <v>0.57479999999998199</v>
      </c>
      <c r="AD2453">
        <v>-7.8546000000000005E-2</v>
      </c>
      <c r="AE2453">
        <v>-3.3499999999975202E-2</v>
      </c>
      <c r="AF2453">
        <v>4.5992127402935297E-2</v>
      </c>
      <c r="AG2453">
        <v>-7.8546000000000005E-2</v>
      </c>
      <c r="AH2453">
        <v>0.56338188834940905</v>
      </c>
      <c r="AI2453">
        <v>97.910962641024</v>
      </c>
      <c r="AJ2453">
        <v>85.332962895539197</v>
      </c>
      <c r="AK2453">
        <v>0.57068721907818698</v>
      </c>
    </row>
    <row r="2454" spans="1:37" x14ac:dyDescent="0.2">
      <c r="A2454" t="str">
        <f>"20200111160202566"</f>
        <v>20200111160202566</v>
      </c>
      <c r="B2454" t="str">
        <f>"1578729722554639"</f>
        <v>1578729722554639</v>
      </c>
      <c r="C2454" t="s">
        <v>37</v>
      </c>
      <c r="D2454">
        <v>5.3760519999999996</v>
      </c>
      <c r="E2454">
        <v>0.54063799999999995</v>
      </c>
      <c r="F2454" t="s">
        <v>42</v>
      </c>
      <c r="G2454">
        <v>-386.87490000000003</v>
      </c>
      <c r="H2454">
        <v>1.0287409999999999</v>
      </c>
      <c r="I2454">
        <v>214.36500000000001</v>
      </c>
      <c r="J2454">
        <v>-387.42380000000003</v>
      </c>
      <c r="K2454">
        <v>1.1045780000000001</v>
      </c>
      <c r="L2454">
        <v>214.39689999999999</v>
      </c>
      <c r="M2454">
        <v>0.99963919999999995</v>
      </c>
      <c r="N2454">
        <v>0</v>
      </c>
      <c r="O2454">
        <v>2.3102350000000001E-2</v>
      </c>
      <c r="P2454">
        <v>0.99751749999999995</v>
      </c>
      <c r="Q2454">
        <v>2.3664230000000001E-2</v>
      </c>
      <c r="R2454">
        <v>6.6325330000000002E-2</v>
      </c>
      <c r="S2454">
        <v>3.0217290000000001</v>
      </c>
      <c r="T2454">
        <v>-0.2934988</v>
      </c>
      <c r="U2454">
        <v>-0.1038818</v>
      </c>
      <c r="V2454">
        <v>-4.3251459999999999E-2</v>
      </c>
      <c r="W2454">
        <v>3.7366580000000003E-2</v>
      </c>
      <c r="X2454">
        <v>0.99836519999999995</v>
      </c>
      <c r="Y2454">
        <v>5.7062809999999999E-2</v>
      </c>
      <c r="Z2454">
        <v>-5.0022E-3</v>
      </c>
      <c r="AA2454">
        <v>0.99835810000000003</v>
      </c>
      <c r="AB2454">
        <v>23</v>
      </c>
      <c r="AC2454">
        <v>0.54890000000000305</v>
      </c>
      <c r="AD2454">
        <v>-7.5837000000000099E-2</v>
      </c>
      <c r="AE2454">
        <v>-3.1899999999978897E-2</v>
      </c>
      <c r="AF2454">
        <v>4.3741400106749498E-2</v>
      </c>
      <c r="AG2454">
        <v>-7.5837000000000099E-2</v>
      </c>
      <c r="AH2454">
        <v>0.53778538362628803</v>
      </c>
      <c r="AI2454">
        <v>98.000687305904705</v>
      </c>
      <c r="AJ2454">
        <v>85.350017157335898</v>
      </c>
      <c r="AK2454">
        <v>0.54486482680970805</v>
      </c>
    </row>
    <row r="2455" spans="1:37" x14ac:dyDescent="0.2">
      <c r="A2455" t="str">
        <f>"20200111160202589"</f>
        <v>20200111160202589</v>
      </c>
      <c r="B2455" t="str">
        <f>"1578729722583918"</f>
        <v>1578729722583918</v>
      </c>
      <c r="C2455" t="s">
        <v>37</v>
      </c>
      <c r="D2455">
        <v>5.3455279999999998</v>
      </c>
      <c r="E2455">
        <v>0.54088040000000004</v>
      </c>
      <c r="F2455" t="s">
        <v>42</v>
      </c>
      <c r="G2455">
        <v>-386.66950000000003</v>
      </c>
      <c r="H2455">
        <v>1.030842</v>
      </c>
      <c r="I2455">
        <v>214.3698</v>
      </c>
      <c r="J2455">
        <v>-387.18560000000002</v>
      </c>
      <c r="K2455">
        <v>1.1045750000000001</v>
      </c>
      <c r="L2455">
        <v>214.40219999999999</v>
      </c>
      <c r="M2455">
        <v>0.99964229999999998</v>
      </c>
      <c r="N2455">
        <v>0</v>
      </c>
      <c r="O2455">
        <v>2.2965220000000001E-2</v>
      </c>
      <c r="P2455">
        <v>0.99751800000000002</v>
      </c>
      <c r="Q2455">
        <v>2.37489E-2</v>
      </c>
      <c r="R2455">
        <v>6.6285510000000006E-2</v>
      </c>
      <c r="S2455">
        <v>3.0216059999999998</v>
      </c>
      <c r="T2455">
        <v>-0.29540859999999902</v>
      </c>
      <c r="U2455">
        <v>-0.1075134</v>
      </c>
      <c r="V2455">
        <v>-4.3348440000000002E-2</v>
      </c>
      <c r="W2455">
        <v>3.7448530000000001E-2</v>
      </c>
      <c r="X2455">
        <v>0.99835790000000002</v>
      </c>
      <c r="Y2455">
        <v>5.8116349999999997E-2</v>
      </c>
      <c r="Z2455">
        <v>-5.0726909999999998E-3</v>
      </c>
      <c r="AA2455">
        <v>0.99829690000000004</v>
      </c>
      <c r="AB2455">
        <v>23</v>
      </c>
      <c r="AC2455">
        <v>0.51609999999999401</v>
      </c>
      <c r="AD2455">
        <v>-7.3733000000000007E-2</v>
      </c>
      <c r="AE2455">
        <v>-3.2399999999995502E-2</v>
      </c>
      <c r="AF2455">
        <v>4.3363319404382497E-2</v>
      </c>
      <c r="AG2455">
        <v>-7.3733000000000007E-2</v>
      </c>
      <c r="AH2455">
        <v>0.50495376034180095</v>
      </c>
      <c r="AI2455">
        <v>98.277537021797997</v>
      </c>
      <c r="AJ2455">
        <v>85.091719809335899</v>
      </c>
      <c r="AK2455">
        <v>0.51214766702787196</v>
      </c>
    </row>
    <row r="2456" spans="1:37" x14ac:dyDescent="0.2">
      <c r="A2456" t="str">
        <f>"20200111160202612"</f>
        <v>20200111160202612</v>
      </c>
      <c r="B2456" t="str">
        <f>"1578729722604414"</f>
        <v>1578729722604414</v>
      </c>
      <c r="C2456" t="s">
        <v>37</v>
      </c>
      <c r="D2456">
        <v>5.3947760000000002</v>
      </c>
      <c r="E2456">
        <v>0.54095119999999997</v>
      </c>
      <c r="F2456" t="s">
        <v>42</v>
      </c>
      <c r="G2456">
        <v>-386.46409999999997</v>
      </c>
      <c r="H2456">
        <v>1.0338179999999999</v>
      </c>
      <c r="I2456">
        <v>214.37599999999901</v>
      </c>
      <c r="J2456">
        <v>-386.9579</v>
      </c>
      <c r="K2456">
        <v>1.1045750000000001</v>
      </c>
      <c r="L2456">
        <v>214.40729999999999</v>
      </c>
      <c r="M2456">
        <v>0.99964540000000002</v>
      </c>
      <c r="N2456">
        <v>0</v>
      </c>
      <c r="O2456">
        <v>2.2833929999999999E-2</v>
      </c>
      <c r="P2456">
        <v>0.9974864</v>
      </c>
      <c r="Q2456">
        <v>2.414146E-2</v>
      </c>
      <c r="R2456">
        <v>6.6620830000000006E-2</v>
      </c>
      <c r="S2456">
        <v>3.0217900000000002</v>
      </c>
      <c r="T2456">
        <v>-0.2962959</v>
      </c>
      <c r="U2456">
        <v>-0.1094055</v>
      </c>
      <c r="V2456">
        <v>-4.3815760000000002E-2</v>
      </c>
      <c r="W2456">
        <v>3.7838789999999997E-2</v>
      </c>
      <c r="X2456">
        <v>0.99832279999999995</v>
      </c>
      <c r="Y2456">
        <v>5.8603410000000002E-2</v>
      </c>
      <c r="Z2456">
        <v>-5.0984699999999999E-3</v>
      </c>
      <c r="AA2456">
        <v>0.9982683</v>
      </c>
      <c r="AB2456">
        <v>23</v>
      </c>
      <c r="AC2456">
        <v>0.493800000000021</v>
      </c>
      <c r="AD2456">
        <v>-7.0756999999999903E-2</v>
      </c>
      <c r="AE2456">
        <v>-3.1300000000015801E-2</v>
      </c>
      <c r="AF2456">
        <v>4.1715210718105501E-2</v>
      </c>
      <c r="AG2456">
        <v>-7.0756999999999903E-2</v>
      </c>
      <c r="AH2456">
        <v>0.48307748070582401</v>
      </c>
      <c r="AI2456">
        <v>98.302470299392496</v>
      </c>
      <c r="AJ2456">
        <v>85.064578321976299</v>
      </c>
      <c r="AK2456">
        <v>0.49001077969708101</v>
      </c>
    </row>
    <row r="2457" spans="1:37" x14ac:dyDescent="0.2">
      <c r="A2457" t="str">
        <f>"20200111160202654"</f>
        <v>20200111160202654</v>
      </c>
      <c r="B2457" t="str">
        <f>"1578729722644431"</f>
        <v>1578729722644431</v>
      </c>
      <c r="C2457" t="s">
        <v>37</v>
      </c>
      <c r="D2457">
        <v>5.384347</v>
      </c>
      <c r="E2457">
        <v>0.5410102</v>
      </c>
      <c r="F2457" t="s">
        <v>42</v>
      </c>
      <c r="G2457">
        <v>-386.06470000000002</v>
      </c>
      <c r="H2457">
        <v>1.0173000000000001</v>
      </c>
      <c r="I2457">
        <v>214.3749</v>
      </c>
      <c r="J2457">
        <v>-386.52510000000001</v>
      </c>
      <c r="K2457">
        <v>1.104573</v>
      </c>
      <c r="L2457">
        <v>214.41679999999999</v>
      </c>
      <c r="M2457">
        <v>0.99965110000000001</v>
      </c>
      <c r="N2457">
        <v>0</v>
      </c>
      <c r="O2457">
        <v>2.2584650000000001E-2</v>
      </c>
      <c r="P2457">
        <v>0.99731979999999998</v>
      </c>
      <c r="Q2457">
        <v>2.4655E-2</v>
      </c>
      <c r="R2457">
        <v>6.8888599999999994E-2</v>
      </c>
      <c r="S2457">
        <v>3.02200299999999</v>
      </c>
      <c r="T2457">
        <v>-0.29532940000000002</v>
      </c>
      <c r="U2457">
        <v>-0.10903930000000001</v>
      </c>
      <c r="V2457">
        <v>-4.6335809999999998E-2</v>
      </c>
      <c r="W2457">
        <v>3.8346720000000001E-2</v>
      </c>
      <c r="X2457">
        <v>0.99818960000000001</v>
      </c>
      <c r="Y2457">
        <v>5.8236620000000003E-2</v>
      </c>
      <c r="Z2457">
        <v>-5.0393970000000001E-3</v>
      </c>
      <c r="AA2457">
        <v>0.99829009999999996</v>
      </c>
      <c r="AB2457">
        <v>23</v>
      </c>
      <c r="AC2457">
        <v>0.46039999999999198</v>
      </c>
      <c r="AD2457">
        <v>-8.7272999999999906E-2</v>
      </c>
      <c r="AE2457">
        <v>-4.1899999999998203E-2</v>
      </c>
      <c r="AF2457">
        <v>5.0488959843806802E-2</v>
      </c>
      <c r="AG2457">
        <v>-8.7272999999999906E-2</v>
      </c>
      <c r="AH2457">
        <v>0.443529873198314</v>
      </c>
      <c r="AI2457">
        <v>101.06216482428199</v>
      </c>
      <c r="AJ2457">
        <v>83.505724199166195</v>
      </c>
      <c r="AK2457">
        <v>0.454845534235989</v>
      </c>
    </row>
    <row r="2458" spans="1:37" x14ac:dyDescent="0.2">
      <c r="A2458" t="str">
        <f>"20200111160202677"</f>
        <v>20200111160202677</v>
      </c>
      <c r="B2458" t="str">
        <f>"1578729722674686"</f>
        <v>1578729722674686</v>
      </c>
      <c r="C2458" t="s">
        <v>37</v>
      </c>
      <c r="D2458">
        <v>5.532432</v>
      </c>
      <c r="E2458">
        <v>0.54131499999999999</v>
      </c>
      <c r="F2458" t="s">
        <v>42</v>
      </c>
      <c r="G2458">
        <v>-385.65710000000001</v>
      </c>
      <c r="H2458">
        <v>1.0199879999999999</v>
      </c>
      <c r="I2458">
        <v>214.38749999999999</v>
      </c>
      <c r="J2458">
        <v>-386.28590000000003</v>
      </c>
      <c r="K2458">
        <v>1.104571</v>
      </c>
      <c r="L2458">
        <v>214.4221</v>
      </c>
      <c r="M2458">
        <v>0.99965409999999899</v>
      </c>
      <c r="N2458">
        <v>0</v>
      </c>
      <c r="O2458">
        <v>2.2446870000000001E-2</v>
      </c>
      <c r="P2458">
        <v>0.99721879999999996</v>
      </c>
      <c r="Q2458">
        <v>2.4339159999999999E-2</v>
      </c>
      <c r="R2458">
        <v>7.0440879999999997E-2</v>
      </c>
      <c r="S2458">
        <v>3.0224000000000002</v>
      </c>
      <c r="T2458">
        <v>-0.2946184</v>
      </c>
      <c r="U2458">
        <v>-0.1019287</v>
      </c>
      <c r="V2458">
        <v>-4.8027460000000001E-2</v>
      </c>
      <c r="W2458">
        <v>3.802796E-2</v>
      </c>
      <c r="X2458">
        <v>0.99812190000000001</v>
      </c>
      <c r="Y2458">
        <v>5.5762659999999999E-2</v>
      </c>
      <c r="Z2458">
        <v>-4.8931999999999899E-3</v>
      </c>
      <c r="AA2458">
        <v>0.99843199999999999</v>
      </c>
      <c r="AB2458">
        <v>23</v>
      </c>
      <c r="AC2458">
        <v>0.62880000000001202</v>
      </c>
      <c r="AD2458">
        <v>-8.4583000000000005E-2</v>
      </c>
      <c r="AE2458">
        <v>-3.4600000000011698E-2</v>
      </c>
      <c r="AF2458">
        <v>4.7844106987789702E-2</v>
      </c>
      <c r="AG2458">
        <v>-8.4583000000000005E-2</v>
      </c>
      <c r="AH2458">
        <v>0.61673904425303405</v>
      </c>
      <c r="AI2458">
        <v>97.786037559110795</v>
      </c>
      <c r="AJ2458">
        <v>85.564110623857999</v>
      </c>
      <c r="AK2458">
        <v>0.62434797282333299</v>
      </c>
    </row>
    <row r="2459" spans="1:37" x14ac:dyDescent="0.2">
      <c r="A2459" t="str">
        <f>"20200111160202699"</f>
        <v>20200111160202699</v>
      </c>
      <c r="B2459" t="str">
        <f>"1578729722694207"</f>
        <v>1578729722694207</v>
      </c>
      <c r="C2459" t="s">
        <v>37</v>
      </c>
      <c r="D2459">
        <v>5.3064019999999896</v>
      </c>
      <c r="E2459">
        <v>0.54146519999999898</v>
      </c>
      <c r="F2459" t="s">
        <v>42</v>
      </c>
      <c r="G2459">
        <v>-385.4529</v>
      </c>
      <c r="H2459">
        <v>1.023028</v>
      </c>
      <c r="I2459">
        <v>214.39449999999999</v>
      </c>
      <c r="J2459">
        <v>-386.07229999999998</v>
      </c>
      <c r="K2459">
        <v>1.104568</v>
      </c>
      <c r="L2459">
        <v>214.42670000000001</v>
      </c>
      <c r="M2459">
        <v>0.99965700000000002</v>
      </c>
      <c r="N2459">
        <v>0</v>
      </c>
      <c r="O2459">
        <v>2.2323510000000001E-2</v>
      </c>
      <c r="P2459">
        <v>0.99708940000000001</v>
      </c>
      <c r="Q2459">
        <v>2.32615999999999E-2</v>
      </c>
      <c r="R2459">
        <v>7.2604509999999997E-2</v>
      </c>
      <c r="S2459">
        <v>3.022583</v>
      </c>
      <c r="T2459">
        <v>-0.29593589999999997</v>
      </c>
      <c r="U2459">
        <v>-9.9151610000000001E-2</v>
      </c>
      <c r="V2459">
        <v>-5.0317229999999998E-2</v>
      </c>
      <c r="W2459">
        <v>3.6947729999999998E-2</v>
      </c>
      <c r="X2459">
        <v>0.99804959999999898</v>
      </c>
      <c r="Y2459">
        <v>5.4723330000000001E-2</v>
      </c>
      <c r="Z2459">
        <v>-4.8519590000000003E-3</v>
      </c>
      <c r="AA2459">
        <v>0.99848979999999998</v>
      </c>
      <c r="AB2459">
        <v>23</v>
      </c>
      <c r="AC2459">
        <v>0.61939999999998396</v>
      </c>
      <c r="AD2459">
        <v>-8.1539999999999904E-2</v>
      </c>
      <c r="AE2459">
        <v>-3.2200000000017298E-2</v>
      </c>
      <c r="AF2459">
        <v>4.52385807216244E-2</v>
      </c>
      <c r="AG2459">
        <v>-8.1539999999999904E-2</v>
      </c>
      <c r="AH2459">
        <v>0.60801816567635902</v>
      </c>
      <c r="AI2459">
        <v>97.617432346386295</v>
      </c>
      <c r="AJ2459">
        <v>85.744843207188097</v>
      </c>
      <c r="AK2459">
        <v>0.61512713367087801</v>
      </c>
    </row>
    <row r="2460" spans="1:37" x14ac:dyDescent="0.2">
      <c r="A2460" t="str">
        <f>"20200111160202720"</f>
        <v>20200111160202720</v>
      </c>
      <c r="B2460" t="str">
        <f>"1578729722713726"</f>
        <v>1578729722713726</v>
      </c>
      <c r="C2460" t="s">
        <v>37</v>
      </c>
      <c r="D2460">
        <v>5.2297070000000003</v>
      </c>
      <c r="E2460">
        <v>0.54130639999999997</v>
      </c>
      <c r="F2460" t="s">
        <v>42</v>
      </c>
      <c r="G2460">
        <v>-385.25029999999998</v>
      </c>
      <c r="H2460">
        <v>1.023212</v>
      </c>
      <c r="I2460">
        <v>214.40090000000001</v>
      </c>
      <c r="J2460">
        <v>-385.85680000000002</v>
      </c>
      <c r="K2460">
        <v>1.104554</v>
      </c>
      <c r="L2460">
        <v>214.4314</v>
      </c>
      <c r="M2460">
        <v>0.99965999999999999</v>
      </c>
      <c r="N2460">
        <v>0</v>
      </c>
      <c r="O2460">
        <v>2.219668E-2</v>
      </c>
      <c r="P2460">
        <v>0.99694439999999995</v>
      </c>
      <c r="Q2460">
        <v>2.199945E-2</v>
      </c>
      <c r="R2460">
        <v>7.4954870000000007E-2</v>
      </c>
      <c r="S2460">
        <v>3.022583</v>
      </c>
      <c r="T2460">
        <v>-0.299238</v>
      </c>
      <c r="U2460">
        <v>-9.3811039999999998E-2</v>
      </c>
      <c r="V2460">
        <v>-5.2797070000000001E-2</v>
      </c>
      <c r="W2460">
        <v>3.5682560000000002E-2</v>
      </c>
      <c r="X2460">
        <v>0.99796749999999901</v>
      </c>
      <c r="Y2460">
        <v>5.2835699999999999E-2</v>
      </c>
      <c r="Z2460">
        <v>-4.8002510000000002E-3</v>
      </c>
      <c r="AA2460">
        <v>0.99859169999999997</v>
      </c>
      <c r="AB2460">
        <v>23</v>
      </c>
      <c r="AC2460">
        <v>0.60650000000003901</v>
      </c>
      <c r="AD2460">
        <v>-8.1341999999999998E-2</v>
      </c>
      <c r="AE2460">
        <v>-3.04999999999893E-2</v>
      </c>
      <c r="AF2460">
        <v>4.3181271780027397E-2</v>
      </c>
      <c r="AG2460">
        <v>-8.1341999999999998E-2</v>
      </c>
      <c r="AH2460">
        <v>0.59499802029232496</v>
      </c>
      <c r="AI2460">
        <v>97.764460423187302</v>
      </c>
      <c r="AJ2460">
        <v>85.849104450622306</v>
      </c>
      <c r="AK2460">
        <v>0.602082874152992</v>
      </c>
    </row>
    <row r="2461" spans="1:37" x14ac:dyDescent="0.2">
      <c r="A2461" t="str">
        <f>"20200111160202744"</f>
        <v>20200111160202744</v>
      </c>
      <c r="B2461" t="str">
        <f>"1578729722734223"</f>
        <v>1578729722734223</v>
      </c>
      <c r="C2461" t="s">
        <v>37</v>
      </c>
      <c r="D2461">
        <v>5.2500929999999997</v>
      </c>
      <c r="E2461">
        <v>0.52127659999999998</v>
      </c>
      <c r="F2461" t="s">
        <v>42</v>
      </c>
      <c r="G2461">
        <v>-385.04790000000003</v>
      </c>
      <c r="H2461">
        <v>1.023628</v>
      </c>
      <c r="I2461">
        <v>214.4084</v>
      </c>
      <c r="J2461">
        <v>-385.6114</v>
      </c>
      <c r="K2461">
        <v>1.104554</v>
      </c>
      <c r="L2461">
        <v>214.4367</v>
      </c>
      <c r="M2461">
        <v>0.99966339999999998</v>
      </c>
      <c r="N2461">
        <v>0</v>
      </c>
      <c r="O2461">
        <v>2.204358E-2</v>
      </c>
      <c r="P2461">
        <v>0.99677680000000002</v>
      </c>
      <c r="Q2461">
        <v>2.0473069999999999E-2</v>
      </c>
      <c r="R2461">
        <v>7.756913E-2</v>
      </c>
      <c r="S2461">
        <v>3.0223080000000002</v>
      </c>
      <c r="T2461">
        <v>-0.30243229999999999</v>
      </c>
      <c r="U2461">
        <v>-8.5861209999999993E-2</v>
      </c>
      <c r="V2461">
        <v>-5.5566999999999998E-2</v>
      </c>
      <c r="W2461">
        <v>3.4153320000000001E-2</v>
      </c>
      <c r="X2461">
        <v>0.9978707</v>
      </c>
      <c r="Y2461">
        <v>5.0067639999999997E-2</v>
      </c>
      <c r="Z2461">
        <v>-4.6984469999999997E-3</v>
      </c>
      <c r="AA2461">
        <v>0.99873480000000003</v>
      </c>
      <c r="AB2461">
        <v>23</v>
      </c>
      <c r="AC2461">
        <v>0.56349999999997602</v>
      </c>
      <c r="AD2461">
        <v>-8.0925999999999998E-2</v>
      </c>
      <c r="AE2461">
        <v>-2.8300000000001501E-2</v>
      </c>
      <c r="AF2461">
        <v>3.9895086738538803E-2</v>
      </c>
      <c r="AG2461">
        <v>-8.0925999999999998E-2</v>
      </c>
      <c r="AH2461">
        <v>0.55139538789046605</v>
      </c>
      <c r="AI2461">
        <v>98.327989972377594</v>
      </c>
      <c r="AJ2461">
        <v>85.861692159424095</v>
      </c>
      <c r="AK2461">
        <v>0.55872847538742199</v>
      </c>
    </row>
    <row r="2462" spans="1:37" x14ac:dyDescent="0.2">
      <c r="A2462" t="str">
        <f>"20200111160202768"</f>
        <v>20200111160202768</v>
      </c>
      <c r="B2462" t="str">
        <f>"1578729722764478"</f>
        <v>1578729722764478</v>
      </c>
      <c r="C2462" t="s">
        <v>37</v>
      </c>
      <c r="D2462">
        <v>5.1158599999999996</v>
      </c>
      <c r="E2462">
        <v>0.52189479999999999</v>
      </c>
      <c r="F2462" t="s">
        <v>42</v>
      </c>
      <c r="G2462">
        <v>-384.84160000000003</v>
      </c>
      <c r="H2462">
        <v>1.0312779999999999</v>
      </c>
      <c r="I2462">
        <v>214.4573</v>
      </c>
      <c r="J2462">
        <v>-385.37920000000003</v>
      </c>
      <c r="K2462">
        <v>1.104554</v>
      </c>
      <c r="L2462">
        <v>214.4417</v>
      </c>
      <c r="M2462">
        <v>0.99966690000000002</v>
      </c>
      <c r="N2462">
        <v>0</v>
      </c>
      <c r="O2462">
        <v>2.187975E-2</v>
      </c>
      <c r="P2462">
        <v>0.99668060000000003</v>
      </c>
      <c r="Q2462">
        <v>2.163079E-2</v>
      </c>
      <c r="R2462">
        <v>7.8484769999999995E-2</v>
      </c>
      <c r="S2462">
        <v>3.0093380000000001</v>
      </c>
      <c r="T2462">
        <v>-0.28640919999999997</v>
      </c>
      <c r="U2462">
        <v>8.0154420000000004E-2</v>
      </c>
      <c r="V2462">
        <v>-5.6646710000000003E-2</v>
      </c>
      <c r="W2462">
        <v>3.5309430000000003E-2</v>
      </c>
      <c r="X2462">
        <v>0.99776969999999998</v>
      </c>
      <c r="Y2462">
        <v>-4.82237799999999E-3</v>
      </c>
      <c r="Z2462">
        <v>-1.8483079999999999E-3</v>
      </c>
      <c r="AA2462">
        <v>0.99998659999999995</v>
      </c>
      <c r="AB2462">
        <v>23</v>
      </c>
      <c r="AC2462">
        <v>0.53759999999999697</v>
      </c>
      <c r="AD2462">
        <v>-7.3275999999999897E-2</v>
      </c>
      <c r="AE2462">
        <v>1.5600000000006199E-2</v>
      </c>
      <c r="AF2462">
        <v>-3.7627623503928998E-3</v>
      </c>
      <c r="AG2462">
        <v>-7.3275999999999897E-2</v>
      </c>
      <c r="AH2462">
        <v>0.52801135753353701</v>
      </c>
      <c r="AI2462">
        <v>97.900692959670096</v>
      </c>
      <c r="AJ2462">
        <v>90.4082994608126</v>
      </c>
      <c r="AK2462">
        <v>0.53308491278680403</v>
      </c>
    </row>
    <row r="2463" spans="1:37" x14ac:dyDescent="0.2">
      <c r="A2463" t="str">
        <f>"20200111160202790"</f>
        <v>20200111160202790</v>
      </c>
      <c r="B2463" t="str">
        <f>"1578729722783999"</f>
        <v>1578729722783999</v>
      </c>
      <c r="C2463" t="s">
        <v>37</v>
      </c>
      <c r="D2463">
        <v>5.3349120000000001</v>
      </c>
      <c r="E2463">
        <v>0.5212386</v>
      </c>
      <c r="F2463" t="s">
        <v>42</v>
      </c>
      <c r="G2463">
        <v>-384.63810000000001</v>
      </c>
      <c r="H2463">
        <v>1.033571</v>
      </c>
      <c r="I2463">
        <v>214.4606</v>
      </c>
      <c r="J2463">
        <v>-385.15109999999999</v>
      </c>
      <c r="K2463">
        <v>1.1045389999999999</v>
      </c>
      <c r="L2463">
        <v>214.44640000000001</v>
      </c>
      <c r="M2463">
        <v>0.99967119999999998</v>
      </c>
      <c r="N2463">
        <v>0</v>
      </c>
      <c r="O2463">
        <v>2.1683620000000001E-2</v>
      </c>
      <c r="P2463">
        <v>0.99672260000000001</v>
      </c>
      <c r="Q2463">
        <v>2.208562E-2</v>
      </c>
      <c r="R2463">
        <v>7.7821920000000003E-2</v>
      </c>
      <c r="S2463">
        <v>3.0100709999999999</v>
      </c>
      <c r="T2463">
        <v>-0.28846749999999999</v>
      </c>
      <c r="U2463">
        <v>7.8338619999999998E-2</v>
      </c>
      <c r="V2463">
        <v>-5.6177159999999997E-2</v>
      </c>
      <c r="W2463">
        <v>3.5764520000000001E-2</v>
      </c>
      <c r="X2463">
        <v>0.997779999999999</v>
      </c>
      <c r="Y2463">
        <v>-4.411341E-3</v>
      </c>
      <c r="Z2463">
        <v>-1.861999E-3</v>
      </c>
      <c r="AA2463">
        <v>0.99998860000000001</v>
      </c>
      <c r="AB2463">
        <v>23</v>
      </c>
      <c r="AC2463">
        <v>0.51299999999997603</v>
      </c>
      <c r="AD2463">
        <v>-7.0967999999999906E-2</v>
      </c>
      <c r="AE2463">
        <v>1.4199999999988199E-2</v>
      </c>
      <c r="AF2463">
        <v>-3.0142794011128399E-3</v>
      </c>
      <c r="AG2463">
        <v>-7.0967999999999906E-2</v>
      </c>
      <c r="AH2463">
        <v>0.50355772530957899</v>
      </c>
      <c r="AI2463">
        <v>98.021902219621097</v>
      </c>
      <c r="AJ2463">
        <v>90.342966489319494</v>
      </c>
      <c r="AK2463">
        <v>0.50854294373559505</v>
      </c>
    </row>
    <row r="2464" spans="1:37" x14ac:dyDescent="0.2">
      <c r="A2464" t="str">
        <f>"20200111160202814"</f>
        <v>20200111160202814</v>
      </c>
      <c r="B2464" t="str">
        <f>"1578729722804495"</f>
        <v>1578729722804495</v>
      </c>
      <c r="C2464" t="s">
        <v>37</v>
      </c>
      <c r="D2464">
        <v>5.0723909999999997</v>
      </c>
      <c r="E2464">
        <v>0.52188900000000005</v>
      </c>
      <c r="F2464" t="s">
        <v>42</v>
      </c>
      <c r="G2464">
        <v>-384.24400000000003</v>
      </c>
      <c r="H2464">
        <v>1.0186459999999999</v>
      </c>
      <c r="I2464">
        <v>214.47049999999999</v>
      </c>
      <c r="J2464">
        <v>-384.91269999999997</v>
      </c>
      <c r="K2464">
        <v>1.1044940000000001</v>
      </c>
      <c r="L2464">
        <v>214.4513</v>
      </c>
      <c r="M2464">
        <v>0.99967700000000004</v>
      </c>
      <c r="N2464">
        <v>0</v>
      </c>
      <c r="O2464">
        <v>2.1418550000000001E-2</v>
      </c>
      <c r="P2464">
        <v>0.99697729999999996</v>
      </c>
      <c r="Q2464">
        <v>1.9960970000000001E-2</v>
      </c>
      <c r="R2464">
        <v>7.5087009999999996E-2</v>
      </c>
      <c r="S2464">
        <v>3.0098569999999998</v>
      </c>
      <c r="T2464">
        <v>-0.2850779</v>
      </c>
      <c r="U2464">
        <v>8.0551150000000002E-2</v>
      </c>
      <c r="V2464">
        <v>-5.3700230000000002E-2</v>
      </c>
      <c r="W2464">
        <v>3.3644350000000003E-2</v>
      </c>
      <c r="X2464">
        <v>0.99799009999999999</v>
      </c>
      <c r="Y2464">
        <v>-5.4054419999999999E-3</v>
      </c>
      <c r="Z2464">
        <v>-1.768321E-3</v>
      </c>
      <c r="AA2464">
        <v>0.99998379999999998</v>
      </c>
      <c r="AB2464">
        <v>23</v>
      </c>
      <c r="AC2464">
        <v>0.66869999999994401</v>
      </c>
      <c r="AD2464">
        <v>-8.5848000000000105E-2</v>
      </c>
      <c r="AE2464">
        <v>1.9199999999983602E-2</v>
      </c>
      <c r="AF2464">
        <v>-4.7927431739657102E-3</v>
      </c>
      <c r="AG2464">
        <v>-8.5848000000000105E-2</v>
      </c>
      <c r="AH2464">
        <v>0.65811995013770097</v>
      </c>
      <c r="AI2464">
        <v>97.431749615109794</v>
      </c>
      <c r="AJ2464">
        <v>90.417247800745002</v>
      </c>
      <c r="AK2464">
        <v>0.66371282815716404</v>
      </c>
    </row>
    <row r="2465" spans="1:37" x14ac:dyDescent="0.2">
      <c r="A2465" t="str">
        <f>"20200111160202837"</f>
        <v>20200111160202837</v>
      </c>
      <c r="B2465" t="str">
        <f>"1578729722833774"</f>
        <v>1578729722833774</v>
      </c>
      <c r="C2465" t="s">
        <v>37</v>
      </c>
      <c r="D2465">
        <v>4.9218699999999904</v>
      </c>
      <c r="E2465">
        <v>0.5222173</v>
      </c>
      <c r="F2465" t="s">
        <v>42</v>
      </c>
      <c r="G2465">
        <v>-384.04230000000001</v>
      </c>
      <c r="H2465">
        <v>1.0200419999999999</v>
      </c>
      <c r="I2465">
        <v>214.47030000000001</v>
      </c>
      <c r="J2465">
        <v>-384.67899999999997</v>
      </c>
      <c r="K2465">
        <v>1.104441</v>
      </c>
      <c r="L2465">
        <v>214.45590000000001</v>
      </c>
      <c r="M2465">
        <v>0.99968380000000001</v>
      </c>
      <c r="N2465">
        <v>0</v>
      </c>
      <c r="O2465">
        <v>2.110215E-2</v>
      </c>
      <c r="P2465">
        <v>0.99723639999999902</v>
      </c>
      <c r="Q2465">
        <v>1.6902560000000001E-2</v>
      </c>
      <c r="R2465">
        <v>7.2345859999999998E-2</v>
      </c>
      <c r="S2465">
        <v>3.0099179999999999</v>
      </c>
      <c r="T2465">
        <v>-0.29206690000000002</v>
      </c>
      <c r="U2465">
        <v>6.6131590000000004E-2</v>
      </c>
      <c r="V2465">
        <v>-5.126766E-2</v>
      </c>
      <c r="W2465">
        <v>3.0590829999999999E-2</v>
      </c>
      <c r="X2465">
        <v>0.99821629999999995</v>
      </c>
      <c r="Y2465">
        <v>-9.5656750000000003E-4</v>
      </c>
      <c r="Z2465">
        <v>-1.9962639999999898E-3</v>
      </c>
      <c r="AA2465">
        <v>0.99999760000000004</v>
      </c>
      <c r="AB2465">
        <v>23</v>
      </c>
      <c r="AC2465">
        <v>0.63670000000001803</v>
      </c>
      <c r="AD2465">
        <v>-8.4398999999999794E-2</v>
      </c>
      <c r="AE2465">
        <v>1.4399999999994801E-2</v>
      </c>
      <c r="AF2465">
        <v>-9.4323217922152999E-4</v>
      </c>
      <c r="AG2465">
        <v>-8.4398999999999794E-2</v>
      </c>
      <c r="AH2465">
        <v>0.62587033700151595</v>
      </c>
      <c r="AI2465">
        <v>97.680033066994994</v>
      </c>
      <c r="AJ2465">
        <v>90.086348847132996</v>
      </c>
      <c r="AK2465">
        <v>0.63153603193035202</v>
      </c>
    </row>
    <row r="2466" spans="1:37" x14ac:dyDescent="0.2">
      <c r="A2466" t="str">
        <f>"20200111160202862"</f>
        <v>20200111160202862</v>
      </c>
      <c r="B2466" t="str">
        <f>"1578729722854270"</f>
        <v>1578729722854270</v>
      </c>
      <c r="C2466" t="s">
        <v>37</v>
      </c>
      <c r="D2466">
        <v>6.6458339999999998</v>
      </c>
      <c r="E2466">
        <v>0.52253279999999902</v>
      </c>
      <c r="F2466" t="s">
        <v>42</v>
      </c>
      <c r="G2466">
        <v>-383.84109999999998</v>
      </c>
      <c r="H2466">
        <v>1.020851</v>
      </c>
      <c r="I2466">
        <v>214.47099999999901</v>
      </c>
      <c r="J2466">
        <v>-384.43199999999899</v>
      </c>
      <c r="K2466">
        <v>1.10439</v>
      </c>
      <c r="L2466">
        <v>214.4607</v>
      </c>
      <c r="M2466">
        <v>0.99969240000000004</v>
      </c>
      <c r="N2466">
        <v>0</v>
      </c>
      <c r="O2466">
        <v>2.068766E-2</v>
      </c>
      <c r="P2466">
        <v>0.99742739999999996</v>
      </c>
      <c r="Q2466">
        <v>1.6602229999999999E-2</v>
      </c>
      <c r="R2466">
        <v>6.9735779999999997E-2</v>
      </c>
      <c r="S2466">
        <v>3.0093380000000001</v>
      </c>
      <c r="T2466">
        <v>-0.30029400000000001</v>
      </c>
      <c r="U2466">
        <v>5.5450439999999997E-2</v>
      </c>
      <c r="V2466">
        <v>-4.9065589999999999E-2</v>
      </c>
      <c r="W2466">
        <v>3.0294850000000002E-2</v>
      </c>
      <c r="X2466">
        <v>0.998336</v>
      </c>
      <c r="Y2466">
        <v>2.1536400000000001E-3</v>
      </c>
      <c r="Z2466">
        <v>-2.1662420000000001E-3</v>
      </c>
      <c r="AA2466">
        <v>0.99999539999999998</v>
      </c>
      <c r="AB2466">
        <v>22</v>
      </c>
      <c r="AC2466">
        <v>0.590899999999976</v>
      </c>
      <c r="AD2466">
        <v>-8.3539000000000002E-2</v>
      </c>
      <c r="AE2466">
        <v>1.0299999999972401E-2</v>
      </c>
      <c r="AF2466">
        <v>1.88992424396876E-3</v>
      </c>
      <c r="AG2466">
        <v>-8.3539000000000002E-2</v>
      </c>
      <c r="AH2466">
        <v>0.57940940234749205</v>
      </c>
      <c r="AI2466">
        <v>98.204299768495702</v>
      </c>
      <c r="AJ2466">
        <v>89.813112631044504</v>
      </c>
      <c r="AK2466">
        <v>0.58540378531687498</v>
      </c>
    </row>
    <row r="2467" spans="1:37" x14ac:dyDescent="0.2">
      <c r="A2467" t="str">
        <f>"20200111160202902"</f>
        <v>20200111160202902</v>
      </c>
      <c r="B2467" t="str">
        <f>"1578729722894287"</f>
        <v>1578729722894287</v>
      </c>
      <c r="C2467" t="s">
        <v>37</v>
      </c>
      <c r="D2467">
        <v>4.9179539999999999</v>
      </c>
      <c r="E2467">
        <v>0.5225244</v>
      </c>
      <c r="F2467" t="s">
        <v>42</v>
      </c>
      <c r="G2467">
        <v>-383.63850000000002</v>
      </c>
      <c r="H2467">
        <v>1.0250139999999901</v>
      </c>
      <c r="I2467">
        <v>214.47280000000001</v>
      </c>
      <c r="J2467">
        <v>-384.03579999999999</v>
      </c>
      <c r="K2467">
        <v>1.1042959999999999</v>
      </c>
      <c r="L2467">
        <v>214.46780000000001</v>
      </c>
      <c r="M2467">
        <v>0.99971089999999996</v>
      </c>
      <c r="N2467">
        <v>0</v>
      </c>
      <c r="O2467">
        <v>1.9778279999999999E-2</v>
      </c>
      <c r="P2467">
        <v>0.99743979999999999</v>
      </c>
      <c r="Q2467">
        <v>2.0169030000000001E-2</v>
      </c>
      <c r="R2467">
        <v>6.8608100000000005E-2</v>
      </c>
      <c r="S2467">
        <v>3.0095209999999999</v>
      </c>
      <c r="T2467">
        <v>-0.30103740000000001</v>
      </c>
      <c r="U2467">
        <v>4.6188350000000003E-2</v>
      </c>
      <c r="V2467">
        <v>-4.8834809999999999E-2</v>
      </c>
      <c r="W2467">
        <v>3.3869290000000003E-2</v>
      </c>
      <c r="X2467">
        <v>0.99823240000000002</v>
      </c>
      <c r="Y2467">
        <v>4.3150009999999997E-3</v>
      </c>
      <c r="Z2467">
        <v>-2.1886229999999998E-3</v>
      </c>
      <c r="AA2467">
        <v>0.99998829999999905</v>
      </c>
      <c r="AB2467">
        <v>22</v>
      </c>
      <c r="AC2467">
        <v>0.39729999999997201</v>
      </c>
      <c r="AD2467">
        <v>-7.9282000000000005E-2</v>
      </c>
      <c r="AE2467">
        <v>4.9999999999954499E-3</v>
      </c>
      <c r="AF2467">
        <v>2.7501279609166299E-3</v>
      </c>
      <c r="AG2467">
        <v>-7.9282000000000005E-2</v>
      </c>
      <c r="AH2467">
        <v>0.382107673798324</v>
      </c>
      <c r="AI2467">
        <v>101.721457787972</v>
      </c>
      <c r="AJ2467">
        <v>89.587634545388298</v>
      </c>
      <c r="AK2467">
        <v>0.390255650956355</v>
      </c>
    </row>
    <row r="2468" spans="1:37" x14ac:dyDescent="0.2">
      <c r="A2468" t="str">
        <f>"20200111160202923"</f>
        <v>20200111160202923</v>
      </c>
      <c r="B2468" t="str">
        <f>"1578729722914316"</f>
        <v>1578729722914316</v>
      </c>
      <c r="C2468" t="s">
        <v>37</v>
      </c>
      <c r="D2468">
        <v>4.8559369999999999</v>
      </c>
      <c r="E2468">
        <v>0.52275479999999996</v>
      </c>
      <c r="F2468" t="s">
        <v>42</v>
      </c>
      <c r="G2468">
        <v>-383.23599999999999</v>
      </c>
      <c r="H2468">
        <v>1.0291090000000001</v>
      </c>
      <c r="I2468">
        <v>214.47929999999999</v>
      </c>
      <c r="J2468">
        <v>-383.82119999999998</v>
      </c>
      <c r="K2468">
        <v>1.1042339999999999</v>
      </c>
      <c r="L2468">
        <v>214.47139999999999</v>
      </c>
      <c r="M2468">
        <v>0.99972320000000003</v>
      </c>
      <c r="N2468">
        <v>0</v>
      </c>
      <c r="O2468">
        <v>1.9150250000000001E-2</v>
      </c>
      <c r="P2468">
        <v>0.99740569999999895</v>
      </c>
      <c r="Q2468">
        <v>2.1624589999999999E-2</v>
      </c>
      <c r="R2468">
        <v>6.8663950000000001E-2</v>
      </c>
      <c r="S2468">
        <v>3.010437</v>
      </c>
      <c r="T2468">
        <v>-0.28300749999999902</v>
      </c>
      <c r="U2468">
        <v>4.3380740000000001E-2</v>
      </c>
      <c r="V2468">
        <v>-4.9512010000000002E-2</v>
      </c>
      <c r="W2468">
        <v>3.5331349999999997E-2</v>
      </c>
      <c r="X2468">
        <v>0.99814840000000005</v>
      </c>
      <c r="Y2468">
        <v>4.6392109999999999E-3</v>
      </c>
      <c r="Z2468">
        <v>-2.0138339999999999E-3</v>
      </c>
      <c r="AA2468">
        <v>0.99998719999999996</v>
      </c>
      <c r="AB2468">
        <v>22</v>
      </c>
      <c r="AC2468">
        <v>0.58519999999998595</v>
      </c>
      <c r="AD2468">
        <v>-7.5124999999999803E-2</v>
      </c>
      <c r="AE2468">
        <v>7.9000000000064505E-3</v>
      </c>
      <c r="AF2468">
        <v>3.2555795400312899E-3</v>
      </c>
      <c r="AG2468">
        <v>-7.5124999999999803E-2</v>
      </c>
      <c r="AH2468">
        <v>0.57575714815796997</v>
      </c>
      <c r="AI2468">
        <v>97.433858157117797</v>
      </c>
      <c r="AJ2468">
        <v>89.676028373789407</v>
      </c>
      <c r="AK2468">
        <v>0.58064675843247404</v>
      </c>
    </row>
    <row r="2469" spans="1:37" x14ac:dyDescent="0.2">
      <c r="A2469" t="str">
        <f>"20200111160202944"</f>
        <v>20200111160202944</v>
      </c>
      <c r="B2469" t="str">
        <f>"1578729722933836"</f>
        <v>1578729722933836</v>
      </c>
      <c r="C2469" t="s">
        <v>37</v>
      </c>
      <c r="D2469">
        <v>4.8875320000000002</v>
      </c>
      <c r="E2469">
        <v>0.52276659999999997</v>
      </c>
      <c r="F2469" t="s">
        <v>42</v>
      </c>
      <c r="G2469">
        <v>-383.03489999999999</v>
      </c>
      <c r="H2469">
        <v>1.0314289999999999</v>
      </c>
      <c r="I2469">
        <v>214.482</v>
      </c>
      <c r="J2469">
        <v>-383.60180000000003</v>
      </c>
      <c r="K2469">
        <v>1.104155</v>
      </c>
      <c r="L2469">
        <v>214.47470000000001</v>
      </c>
      <c r="M2469">
        <v>0.99973709999999905</v>
      </c>
      <c r="N2469">
        <v>0</v>
      </c>
      <c r="O2469">
        <v>1.84069E-2</v>
      </c>
      <c r="P2469">
        <v>0.9974343</v>
      </c>
      <c r="Q2469">
        <v>2.0746480000000001E-2</v>
      </c>
      <c r="R2469">
        <v>6.8519289999999997E-2</v>
      </c>
      <c r="S2469">
        <v>3.0110169999999998</v>
      </c>
      <c r="T2469">
        <v>-0.27880070000000001</v>
      </c>
      <c r="U2469">
        <v>4.2007450000000002E-2</v>
      </c>
      <c r="V2469">
        <v>-5.0103710000000003E-2</v>
      </c>
      <c r="W2469">
        <v>3.4461650000000003E-2</v>
      </c>
      <c r="X2469">
        <v>0.99814930000000002</v>
      </c>
      <c r="Y2469">
        <v>4.3619259999999899E-3</v>
      </c>
      <c r="Z2469">
        <v>-1.902174E-3</v>
      </c>
      <c r="AA2469">
        <v>0.99998869999999895</v>
      </c>
      <c r="AB2469">
        <v>22</v>
      </c>
      <c r="AC2469">
        <v>0.56690000000003204</v>
      </c>
      <c r="AD2469">
        <v>-7.2725999999999805E-2</v>
      </c>
      <c r="AE2469">
        <v>7.2999999999865299E-3</v>
      </c>
      <c r="AF2469">
        <v>3.0862993235980401E-3</v>
      </c>
      <c r="AG2469">
        <v>-7.2725999999999805E-2</v>
      </c>
      <c r="AH2469">
        <v>0.55776044388034696</v>
      </c>
      <c r="AI2469">
        <v>97.428733754208906</v>
      </c>
      <c r="AJ2469">
        <v>89.682964034529604</v>
      </c>
      <c r="AK2469">
        <v>0.56249027465114099</v>
      </c>
    </row>
    <row r="2470" spans="1:37" x14ac:dyDescent="0.2">
      <c r="A2470" t="str">
        <f>"20200111160202967"</f>
        <v>20200111160202967</v>
      </c>
      <c r="B2470" t="str">
        <f>"1578729722964091"</f>
        <v>1578729722964091</v>
      </c>
      <c r="C2470" t="s">
        <v>37</v>
      </c>
      <c r="D2470">
        <v>4.9163269999999999</v>
      </c>
      <c r="E2470">
        <v>0.52258709999999997</v>
      </c>
      <c r="F2470" t="s">
        <v>42</v>
      </c>
      <c r="G2470">
        <v>-382.83440000000002</v>
      </c>
      <c r="H2470">
        <v>1.0325340000000001</v>
      </c>
      <c r="I2470">
        <v>214.4853</v>
      </c>
      <c r="J2470">
        <v>-383.38010000000003</v>
      </c>
      <c r="K2470">
        <v>1.10407099999999</v>
      </c>
      <c r="L2470">
        <v>214.4778</v>
      </c>
      <c r="M2470">
        <v>0.9997528</v>
      </c>
      <c r="N2470">
        <v>0</v>
      </c>
      <c r="O2470">
        <v>1.753613E-2</v>
      </c>
      <c r="P2470">
        <v>0.99754140000000002</v>
      </c>
      <c r="Q2470">
        <v>1.9098730000000001E-2</v>
      </c>
      <c r="R2470">
        <v>6.7429939999999994E-2</v>
      </c>
      <c r="S2470">
        <v>3.0107119999999998</v>
      </c>
      <c r="T2470">
        <v>-0.28094940000000002</v>
      </c>
      <c r="U2470">
        <v>4.1748050000000002E-2</v>
      </c>
      <c r="V2470">
        <v>-4.9877999999999999E-2</v>
      </c>
      <c r="W2470">
        <v>3.2822259999999999E-2</v>
      </c>
      <c r="X2470">
        <v>0.99821589999999905</v>
      </c>
      <c r="Y2470">
        <v>3.5813159999999902E-3</v>
      </c>
      <c r="Z2470">
        <v>-1.799555E-3</v>
      </c>
      <c r="AA2470">
        <v>0.99999199999999999</v>
      </c>
      <c r="AB2470">
        <v>22</v>
      </c>
      <c r="AC2470">
        <v>0.54570000000000995</v>
      </c>
      <c r="AD2470">
        <v>-7.1536999999999698E-2</v>
      </c>
      <c r="AE2470">
        <v>7.4999999999931797E-3</v>
      </c>
      <c r="AF2470">
        <v>2.0365223045043499E-3</v>
      </c>
      <c r="AG2470">
        <v>-7.1536999999999698E-2</v>
      </c>
      <c r="AH2470">
        <v>0.53652901071878101</v>
      </c>
      <c r="AI2470">
        <v>97.5945681627433</v>
      </c>
      <c r="AJ2470">
        <v>89.78252141035</v>
      </c>
      <c r="AK2470">
        <v>0.54128095212649996</v>
      </c>
    </row>
    <row r="2471" spans="1:37" x14ac:dyDescent="0.2">
      <c r="A2471" t="str">
        <f>"20200111160202989"</f>
        <v>20200111160202989</v>
      </c>
      <c r="B2471" t="str">
        <f>"1578729722984588"</f>
        <v>1578729722984588</v>
      </c>
      <c r="C2471" t="s">
        <v>37</v>
      </c>
      <c r="D2471">
        <v>4.8889870000000002</v>
      </c>
      <c r="E2471">
        <v>0.52258079999999996</v>
      </c>
      <c r="F2471" t="s">
        <v>42</v>
      </c>
      <c r="G2471">
        <v>-382.6343</v>
      </c>
      <c r="H2471">
        <v>1.0332379999999901</v>
      </c>
      <c r="I2471">
        <v>214.48740000000001</v>
      </c>
      <c r="J2471">
        <v>-383.16039999999998</v>
      </c>
      <c r="K2471">
        <v>1.1039829999999999</v>
      </c>
      <c r="L2471">
        <v>214.48060000000001</v>
      </c>
      <c r="M2471">
        <v>0.99976969999999998</v>
      </c>
      <c r="N2471">
        <v>0</v>
      </c>
      <c r="O2471">
        <v>1.6547539999999999E-2</v>
      </c>
      <c r="P2471">
        <v>0.99766860000000002</v>
      </c>
      <c r="Q2471">
        <v>1.8355590000000001E-2</v>
      </c>
      <c r="R2471">
        <v>6.5732170000000006E-2</v>
      </c>
      <c r="S2471">
        <v>3.0101930000000001</v>
      </c>
      <c r="T2471">
        <v>-0.2858946</v>
      </c>
      <c r="U2471">
        <v>3.98407E-2</v>
      </c>
      <c r="V2471">
        <v>-4.9160420000000003E-2</v>
      </c>
      <c r="W2471">
        <v>3.2087839999999999E-2</v>
      </c>
      <c r="X2471">
        <v>0.99827529999999998</v>
      </c>
      <c r="Y2471">
        <v>3.2263779999999998E-3</v>
      </c>
      <c r="Z2471">
        <v>-1.7209269999999999E-3</v>
      </c>
      <c r="AA2471">
        <v>0.99999329999999997</v>
      </c>
      <c r="AB2471">
        <v>22</v>
      </c>
      <c r="AC2471">
        <v>0.52609999999998502</v>
      </c>
      <c r="AD2471">
        <v>-7.0745000000000002E-2</v>
      </c>
      <c r="AE2471">
        <v>6.7999999999983603E-3</v>
      </c>
      <c r="AF2471">
        <v>1.8735327058176201E-3</v>
      </c>
      <c r="AG2471">
        <v>-7.0745000000000002E-2</v>
      </c>
      <c r="AH2471">
        <v>0.51679714033558599</v>
      </c>
      <c r="AI2471">
        <v>97.794790783873495</v>
      </c>
      <c r="AJ2471">
        <v>89.792287847240104</v>
      </c>
      <c r="AK2471">
        <v>0.52162021568267403</v>
      </c>
    </row>
    <row r="2472" spans="1:37" x14ac:dyDescent="0.2">
      <c r="A2472" t="str">
        <f>"20200111160203011"</f>
        <v>20200111160203011</v>
      </c>
      <c r="B2472" t="str">
        <f>"1578729723004108"</f>
        <v>1578729723004108</v>
      </c>
      <c r="C2472" t="s">
        <v>37</v>
      </c>
      <c r="D2472">
        <v>4.8960800000000004</v>
      </c>
      <c r="E2472">
        <v>0.52256539999999996</v>
      </c>
      <c r="F2472" t="s">
        <v>42</v>
      </c>
      <c r="G2472">
        <v>-382.43400000000003</v>
      </c>
      <c r="H2472">
        <v>1.034365</v>
      </c>
      <c r="I2472">
        <v>214.4889</v>
      </c>
      <c r="J2472">
        <v>-382.93810000000002</v>
      </c>
      <c r="K2472">
        <v>1.1039019999999999</v>
      </c>
      <c r="L2472">
        <v>214.483</v>
      </c>
      <c r="M2472">
        <v>0.99978769999999995</v>
      </c>
      <c r="N2472">
        <v>0</v>
      </c>
      <c r="O2472">
        <v>1.5418050000000001E-2</v>
      </c>
      <c r="P2472">
        <v>0.99780729999999995</v>
      </c>
      <c r="Q2472">
        <v>1.83584E-2</v>
      </c>
      <c r="R2472">
        <v>6.3590300000000002E-2</v>
      </c>
      <c r="S2472">
        <v>3.0100099999999999</v>
      </c>
      <c r="T2472">
        <v>-0.2884755</v>
      </c>
      <c r="U2472">
        <v>3.482056E-2</v>
      </c>
      <c r="V2472">
        <v>-4.8138859999999999E-2</v>
      </c>
      <c r="W2472">
        <v>3.2097849999999997E-2</v>
      </c>
      <c r="X2472">
        <v>0.99832480000000001</v>
      </c>
      <c r="Y2472">
        <v>3.7644670000000001E-3</v>
      </c>
      <c r="Z2472">
        <v>-1.6542529999999901E-3</v>
      </c>
      <c r="AA2472">
        <v>0.99999150000000003</v>
      </c>
      <c r="AB2472">
        <v>22</v>
      </c>
      <c r="AC2472">
        <v>0.504099999999994</v>
      </c>
      <c r="AD2472">
        <v>-6.9536999999999904E-2</v>
      </c>
      <c r="AE2472">
        <v>5.8999999999968999E-3</v>
      </c>
      <c r="AF2472">
        <v>1.8386844913372499E-3</v>
      </c>
      <c r="AG2472">
        <v>-6.9536999999999904E-2</v>
      </c>
      <c r="AH2472">
        <v>0.494718709349043</v>
      </c>
      <c r="AI2472">
        <v>98.000947114995398</v>
      </c>
      <c r="AJ2472">
        <v>89.787053988153602</v>
      </c>
      <c r="AK2472">
        <v>0.49958520445429699</v>
      </c>
    </row>
    <row r="2473" spans="1:37" x14ac:dyDescent="0.2">
      <c r="A2473" t="str">
        <f>"20200111160203034"</f>
        <v>20200111160203034</v>
      </c>
      <c r="B2473" t="str">
        <f>"1578729723024136"</f>
        <v>1578729723024136</v>
      </c>
      <c r="C2473" t="s">
        <v>37</v>
      </c>
      <c r="D2473">
        <v>4.8966580000000004</v>
      </c>
      <c r="E2473">
        <v>0.52244999999999997</v>
      </c>
      <c r="F2473" t="s">
        <v>42</v>
      </c>
      <c r="G2473">
        <v>-382.04500000000002</v>
      </c>
      <c r="H2473">
        <v>1.0180340000000001</v>
      </c>
      <c r="I2473">
        <v>214.4915</v>
      </c>
      <c r="J2473">
        <v>-382.71</v>
      </c>
      <c r="K2473">
        <v>1.1038349999999999</v>
      </c>
      <c r="L2473">
        <v>214.48509999999999</v>
      </c>
      <c r="M2473">
        <v>0.99980669999999905</v>
      </c>
      <c r="N2473">
        <v>0</v>
      </c>
      <c r="O2473">
        <v>1.4142139999999999E-2</v>
      </c>
      <c r="P2473">
        <v>0.99793759999999998</v>
      </c>
      <c r="Q2473">
        <v>1.840193E-2</v>
      </c>
      <c r="R2473">
        <v>6.1500640000000002E-2</v>
      </c>
      <c r="S2473">
        <v>3.0101009999999899</v>
      </c>
      <c r="T2473">
        <v>-0.28933120000000001</v>
      </c>
      <c r="U2473">
        <v>2.862549E-2</v>
      </c>
      <c r="V2473">
        <v>-4.7316169999999998E-2</v>
      </c>
      <c r="W2473">
        <v>3.2148370000000002E-2</v>
      </c>
      <c r="X2473">
        <v>0.99836250000000004</v>
      </c>
      <c r="Y2473">
        <v>4.5482630000000003E-3</v>
      </c>
      <c r="Z2473">
        <v>-1.5743409999999999E-3</v>
      </c>
      <c r="AA2473">
        <v>0.9999884</v>
      </c>
      <c r="AB2473">
        <v>22</v>
      </c>
      <c r="AC2473">
        <v>0.66499999999996295</v>
      </c>
      <c r="AD2473">
        <v>-8.5801000000000002E-2</v>
      </c>
      <c r="AE2473">
        <v>6.4000000000134999E-3</v>
      </c>
      <c r="AF2473">
        <v>2.9568223618668299E-3</v>
      </c>
      <c r="AG2473">
        <v>-8.5801000000000002E-2</v>
      </c>
      <c r="AH2473">
        <v>0.65413548140294198</v>
      </c>
      <c r="AI2473">
        <v>97.472580737832104</v>
      </c>
      <c r="AJ2473">
        <v>89.741013455001493</v>
      </c>
      <c r="AK2473">
        <v>0.65974524055103101</v>
      </c>
    </row>
    <row r="2474" spans="1:37" x14ac:dyDescent="0.2">
      <c r="A2474" t="str">
        <f>"20200111160203057"</f>
        <v>20200111160203057</v>
      </c>
      <c r="B2474" t="str">
        <f>"1578729723054392"</f>
        <v>1578729723054392</v>
      </c>
      <c r="C2474" t="s">
        <v>37</v>
      </c>
      <c r="D2474">
        <v>5.1862490000000001</v>
      </c>
      <c r="E2474">
        <v>0.52213540000000003</v>
      </c>
      <c r="F2474" t="s">
        <v>42</v>
      </c>
      <c r="G2474">
        <v>-381.8451</v>
      </c>
      <c r="H2474">
        <v>1.0206869999999999</v>
      </c>
      <c r="I2474">
        <v>214.4914</v>
      </c>
      <c r="J2474">
        <v>-382.48059999999998</v>
      </c>
      <c r="K2474">
        <v>1.1037779999999999</v>
      </c>
      <c r="L2474">
        <v>214.48670000000001</v>
      </c>
      <c r="M2474">
        <v>0.99982510000000002</v>
      </c>
      <c r="N2474">
        <v>0</v>
      </c>
      <c r="O2474">
        <v>1.276976E-2</v>
      </c>
      <c r="P2474">
        <v>0.99806260000000002</v>
      </c>
      <c r="Q2474">
        <v>1.830743E-2</v>
      </c>
      <c r="R2474">
        <v>5.946589E-2</v>
      </c>
      <c r="S2474">
        <v>3.010132</v>
      </c>
      <c r="T2474">
        <v>-0.28932350000000001</v>
      </c>
      <c r="U2474">
        <v>2.3345950000000001E-2</v>
      </c>
      <c r="V2474">
        <v>-4.6646960000000001E-2</v>
      </c>
      <c r="W2474">
        <v>3.2058290000000003E-2</v>
      </c>
      <c r="X2474">
        <v>0.99839690000000003</v>
      </c>
      <c r="Y2474">
        <v>4.9340590000000002E-3</v>
      </c>
      <c r="Z2474">
        <v>-1.461193E-3</v>
      </c>
      <c r="AA2474">
        <v>0.99998679999999995</v>
      </c>
      <c r="AB2474">
        <v>22</v>
      </c>
      <c r="AC2474">
        <v>0.63549999999997897</v>
      </c>
      <c r="AD2474">
        <v>-8.3090999999999998E-2</v>
      </c>
      <c r="AE2474">
        <v>4.6999999999854901E-3</v>
      </c>
      <c r="AF2474">
        <v>3.3589050760033999E-3</v>
      </c>
      <c r="AG2474">
        <v>-8.3090999999999998E-2</v>
      </c>
      <c r="AH2474">
        <v>0.62482717019415301</v>
      </c>
      <c r="AI2474">
        <v>97.574776995150501</v>
      </c>
      <c r="AJ2474">
        <v>89.691996059067506</v>
      </c>
      <c r="AK2474">
        <v>0.63033672678746999</v>
      </c>
    </row>
    <row r="2475" spans="1:37" x14ac:dyDescent="0.2">
      <c r="A2475" t="str">
        <f>"20200111160203079"</f>
        <v>20200111160203079</v>
      </c>
      <c r="B2475" t="str">
        <f>"1578729723073913"</f>
        <v>1578729723073913</v>
      </c>
      <c r="C2475" t="s">
        <v>37</v>
      </c>
      <c r="D2475">
        <v>4.9517030000000002</v>
      </c>
      <c r="E2475">
        <v>0.52196690000000001</v>
      </c>
      <c r="F2475" t="s">
        <v>42</v>
      </c>
      <c r="G2475">
        <v>-381.64519999999999</v>
      </c>
      <c r="H2475">
        <v>1.0237209999999899</v>
      </c>
      <c r="I2475">
        <v>214.4922</v>
      </c>
      <c r="J2475">
        <v>-382.26330000000002</v>
      </c>
      <c r="K2475">
        <v>1.1037349999999999</v>
      </c>
      <c r="L2475">
        <v>214.4879</v>
      </c>
      <c r="M2475">
        <v>0.99984169999999895</v>
      </c>
      <c r="N2475">
        <v>0</v>
      </c>
      <c r="O2475">
        <v>1.1398800000000001E-2</v>
      </c>
      <c r="P2475">
        <v>0.9981738</v>
      </c>
      <c r="Q2475">
        <v>1.734341E-2</v>
      </c>
      <c r="R2475">
        <v>5.7868740000000002E-2</v>
      </c>
      <c r="S2475">
        <v>3.0099490000000002</v>
      </c>
      <c r="T2475">
        <v>-0.28840939999999998</v>
      </c>
      <c r="U2475">
        <v>1.9561769999999999E-2</v>
      </c>
      <c r="V2475">
        <v>-4.6417E-2</v>
      </c>
      <c r="W2475">
        <v>3.1097949999999999E-2</v>
      </c>
      <c r="X2475">
        <v>0.99843789999999999</v>
      </c>
      <c r="Y2475">
        <v>4.8268269999999997E-3</v>
      </c>
      <c r="Z2475">
        <v>-1.3205039999999999E-3</v>
      </c>
      <c r="AA2475">
        <v>0.99998750000000003</v>
      </c>
      <c r="AB2475">
        <v>22</v>
      </c>
      <c r="AC2475">
        <v>0.61810000000002596</v>
      </c>
      <c r="AD2475">
        <v>-8.0014000000000196E-2</v>
      </c>
      <c r="AE2475">
        <v>4.3000000000006297E-3</v>
      </c>
      <c r="AF2475">
        <v>2.7012703967531099E-3</v>
      </c>
      <c r="AG2475">
        <v>-8.0014000000000196E-2</v>
      </c>
      <c r="AH2475">
        <v>0.60792197237937595</v>
      </c>
      <c r="AI2475">
        <v>97.498032636902707</v>
      </c>
      <c r="AJ2475">
        <v>89.745410790385904</v>
      </c>
      <c r="AK2475">
        <v>0.61317098884355903</v>
      </c>
    </row>
    <row r="2476" spans="1:37" x14ac:dyDescent="0.2">
      <c r="A2476" t="str">
        <f>"20200111160203100"</f>
        <v>20200111160203100</v>
      </c>
      <c r="B2476" t="str">
        <f>"1578729723094408"</f>
        <v>1578729723094408</v>
      </c>
      <c r="C2476" t="s">
        <v>37</v>
      </c>
      <c r="D2476">
        <v>4.9838800000000001</v>
      </c>
      <c r="E2476">
        <v>0.52178259999999999</v>
      </c>
      <c r="F2476" t="s">
        <v>42</v>
      </c>
      <c r="G2476">
        <v>-381.44659999999999</v>
      </c>
      <c r="H2476">
        <v>1.0247120000000001</v>
      </c>
      <c r="I2476">
        <v>214.49180000000001</v>
      </c>
      <c r="J2476">
        <v>-382.05439999999999</v>
      </c>
      <c r="K2476">
        <v>1.1037059999999901</v>
      </c>
      <c r="L2476">
        <v>214.48869999999999</v>
      </c>
      <c r="M2476">
        <v>0.99985639999999998</v>
      </c>
      <c r="N2476">
        <v>0</v>
      </c>
      <c r="O2476">
        <v>1.00261E-2</v>
      </c>
      <c r="P2476">
        <v>0.99828419999999896</v>
      </c>
      <c r="Q2476">
        <v>1.5801099999999998E-2</v>
      </c>
      <c r="R2476">
        <v>5.638369E-2</v>
      </c>
      <c r="S2476">
        <v>3.0095830000000001</v>
      </c>
      <c r="T2476">
        <v>-0.29118749999999999</v>
      </c>
      <c r="U2476">
        <v>1.6036990000000001E-2</v>
      </c>
      <c r="V2476">
        <v>-4.6303940000000002E-2</v>
      </c>
      <c r="W2476">
        <v>2.9557989999999999E-2</v>
      </c>
      <c r="X2476">
        <v>0.99848999999999999</v>
      </c>
      <c r="Y2476">
        <v>4.6301509999999999E-3</v>
      </c>
      <c r="Z2476">
        <v>-1.1913329999999999E-3</v>
      </c>
      <c r="AA2476">
        <v>0.99998860000000001</v>
      </c>
      <c r="AB2476">
        <v>22</v>
      </c>
      <c r="AC2476">
        <v>0.60779999999999701</v>
      </c>
      <c r="AD2476">
        <v>-7.8993999999999703E-2</v>
      </c>
      <c r="AE2476">
        <v>3.1000000000176399E-3</v>
      </c>
      <c r="AF2476">
        <v>2.9448468072059198E-3</v>
      </c>
      <c r="AG2476">
        <v>-7.8993999999999703E-2</v>
      </c>
      <c r="AH2476">
        <v>0.59770469476837196</v>
      </c>
      <c r="AI2476">
        <v>97.528617095674093</v>
      </c>
      <c r="AJ2476">
        <v>89.717710217771895</v>
      </c>
      <c r="AK2476">
        <v>0.602909301891147</v>
      </c>
    </row>
    <row r="2477" spans="1:37" x14ac:dyDescent="0.2">
      <c r="A2477" t="str">
        <f>"20200111160203124"</f>
        <v>20200111160203124</v>
      </c>
      <c r="B2477" t="str">
        <f>"1578729723114436"</f>
        <v>1578729723114436</v>
      </c>
      <c r="C2477" t="s">
        <v>37</v>
      </c>
      <c r="D2477">
        <v>5.0046650000000001</v>
      </c>
      <c r="E2477">
        <v>0.52162959999999903</v>
      </c>
      <c r="F2477" t="s">
        <v>42</v>
      </c>
      <c r="G2477">
        <v>-381.24869999999999</v>
      </c>
      <c r="H2477">
        <v>1.0246139999999999</v>
      </c>
      <c r="I2477">
        <v>214.4922</v>
      </c>
      <c r="J2477">
        <v>-381.81979999999999</v>
      </c>
      <c r="K2477">
        <v>1.103691</v>
      </c>
      <c r="L2477">
        <v>214.48929999999999</v>
      </c>
      <c r="M2477">
        <v>0.99987109999999901</v>
      </c>
      <c r="N2477">
        <v>0</v>
      </c>
      <c r="O2477">
        <v>8.438582E-3</v>
      </c>
      <c r="P2477">
        <v>0.99837399999999998</v>
      </c>
      <c r="Q2477">
        <v>1.6224849999999999E-2</v>
      </c>
      <c r="R2477">
        <v>5.4649120000000002E-2</v>
      </c>
      <c r="S2477">
        <v>3.009125</v>
      </c>
      <c r="T2477">
        <v>-0.29546739999999999</v>
      </c>
      <c r="U2477">
        <v>1.300049E-2</v>
      </c>
      <c r="V2477">
        <v>-4.6151480000000002E-2</v>
      </c>
      <c r="W2477">
        <v>2.9982189999999999E-2</v>
      </c>
      <c r="X2477">
        <v>0.99848440000000005</v>
      </c>
      <c r="Y2477">
        <v>4.0590259999999899E-3</v>
      </c>
      <c r="Z2477">
        <v>-1.0254629999999999E-3</v>
      </c>
      <c r="AA2477">
        <v>0.99999119999999997</v>
      </c>
      <c r="AB2477">
        <v>22</v>
      </c>
      <c r="AC2477">
        <v>0.57110000000000105</v>
      </c>
      <c r="AD2477">
        <v>-7.9076999999999995E-2</v>
      </c>
      <c r="AE2477">
        <v>2.9000000000110001E-3</v>
      </c>
      <c r="AF2477">
        <v>1.8837127656911199E-3</v>
      </c>
      <c r="AG2477">
        <v>-7.9076999999999995E-2</v>
      </c>
      <c r="AH2477">
        <v>0.56036095933821395</v>
      </c>
      <c r="AI2477">
        <v>98.032379449189705</v>
      </c>
      <c r="AJ2477">
        <v>89.807394889049206</v>
      </c>
      <c r="AK2477">
        <v>0.56591618200333005</v>
      </c>
    </row>
    <row r="2478" spans="1:37" x14ac:dyDescent="0.2">
      <c r="A2478" t="str">
        <f>"20200111160203147"</f>
        <v>20200111160203147</v>
      </c>
      <c r="B2478" t="str">
        <f>"1578729723143717"</f>
        <v>1578729723143717</v>
      </c>
      <c r="C2478" t="s">
        <v>37</v>
      </c>
      <c r="D2478">
        <v>5.0526489999999997</v>
      </c>
      <c r="E2478">
        <v>0.52125189999999999</v>
      </c>
      <c r="F2478" t="s">
        <v>42</v>
      </c>
      <c r="G2478">
        <v>-381.04910000000001</v>
      </c>
      <c r="H2478">
        <v>1.028386</v>
      </c>
      <c r="I2478">
        <v>214.4914</v>
      </c>
      <c r="J2478">
        <v>-381.59059999999999</v>
      </c>
      <c r="K2478">
        <v>1.1036859999999999</v>
      </c>
      <c r="L2478">
        <v>214.48929999999999</v>
      </c>
      <c r="M2478">
        <v>0.99988310000000002</v>
      </c>
      <c r="N2478">
        <v>0</v>
      </c>
      <c r="O2478">
        <v>6.8630309999999899E-3</v>
      </c>
      <c r="P2478">
        <v>0.99845030000000001</v>
      </c>
      <c r="Q2478">
        <v>1.7869960000000001E-2</v>
      </c>
      <c r="R2478">
        <v>5.2704540000000001E-2</v>
      </c>
      <c r="S2478">
        <v>3.0091549999999998</v>
      </c>
      <c r="T2478">
        <v>-0.29402289999999998</v>
      </c>
      <c r="U2478">
        <v>9.1247559999999995E-3</v>
      </c>
      <c r="V2478">
        <v>-4.5775879999999998E-2</v>
      </c>
      <c r="W2478">
        <v>3.1626019999999998E-2</v>
      </c>
      <c r="X2478">
        <v>0.99845099999999998</v>
      </c>
      <c r="Y2478">
        <v>3.7807040000000002E-3</v>
      </c>
      <c r="Z2478">
        <v>-8.5331139999999996E-4</v>
      </c>
      <c r="AA2478">
        <v>0.99999249999999995</v>
      </c>
      <c r="AB2478">
        <v>22</v>
      </c>
      <c r="AC2478">
        <v>0.54149999999998499</v>
      </c>
      <c r="AD2478">
        <v>-7.5300000000000103E-2</v>
      </c>
      <c r="AE2478">
        <v>2.1000000000128598E-3</v>
      </c>
      <c r="AF2478">
        <v>1.58605826782038E-3</v>
      </c>
      <c r="AG2478">
        <v>-7.5300000000000103E-2</v>
      </c>
      <c r="AH2478">
        <v>0.53122933827628205</v>
      </c>
      <c r="AI2478">
        <v>98.067705387577604</v>
      </c>
      <c r="AJ2478">
        <v>89.8289360766763</v>
      </c>
      <c r="AK2478">
        <v>0.53654190463214102</v>
      </c>
    </row>
    <row r="2479" spans="1:37" x14ac:dyDescent="0.2">
      <c r="A2479" t="str">
        <f>"20200111160203189"</f>
        <v>20200111160203189</v>
      </c>
      <c r="B2479" t="str">
        <f>"1578729723183732"</f>
        <v>1578729723183732</v>
      </c>
      <c r="C2479" t="s">
        <v>37</v>
      </c>
      <c r="D2479">
        <v>5.2109480000000001</v>
      </c>
      <c r="E2479">
        <v>0.51012740000000001</v>
      </c>
      <c r="F2479" t="s">
        <v>42</v>
      </c>
      <c r="G2479">
        <v>-380.84910000000002</v>
      </c>
      <c r="H2479">
        <v>1.032769</v>
      </c>
      <c r="I2479">
        <v>214.49099999999899</v>
      </c>
      <c r="J2479">
        <v>-381.17899999999997</v>
      </c>
      <c r="K2479">
        <v>1.1036969999999999</v>
      </c>
      <c r="L2479">
        <v>214.48849999999999</v>
      </c>
      <c r="M2479">
        <v>0.99989869999999903</v>
      </c>
      <c r="N2479">
        <v>0</v>
      </c>
      <c r="O2479">
        <v>4.0196199999999998E-3</v>
      </c>
      <c r="P2479">
        <v>0.99874479999999999</v>
      </c>
      <c r="Q2479">
        <v>1.93358E-2</v>
      </c>
      <c r="R2479">
        <v>4.6207440000000002E-2</v>
      </c>
      <c r="S2479">
        <v>3.0094599999999998</v>
      </c>
      <c r="T2479">
        <v>-0.28788979999999997</v>
      </c>
      <c r="U2479">
        <v>6.9274899999999997E-3</v>
      </c>
      <c r="V2479">
        <v>-4.2114310000000002E-2</v>
      </c>
      <c r="W2479">
        <v>3.3081520000000003E-2</v>
      </c>
      <c r="X2479">
        <v>0.99856499999999904</v>
      </c>
      <c r="Y2479">
        <v>1.6920289999999901E-3</v>
      </c>
      <c r="Z2479">
        <v>-4.6442839999999902E-4</v>
      </c>
      <c r="AA2479">
        <v>0.99999850000000001</v>
      </c>
      <c r="AB2479">
        <v>22</v>
      </c>
      <c r="AC2479">
        <v>0.32990000000000902</v>
      </c>
      <c r="AD2479">
        <v>-7.0927999999999797E-2</v>
      </c>
      <c r="AE2479">
        <v>2.4999999999977202E-3</v>
      </c>
      <c r="AF2479">
        <v>-1.1219262031696301E-3</v>
      </c>
      <c r="AG2479">
        <v>-7.0927999999999797E-2</v>
      </c>
      <c r="AH2479">
        <v>0.31533219607469798</v>
      </c>
      <c r="AI2479">
        <v>102.676545270633</v>
      </c>
      <c r="AJ2479">
        <v>90.203852844481304</v>
      </c>
      <c r="AK2479">
        <v>0.32321267577818902</v>
      </c>
    </row>
    <row r="2480" spans="1:37" x14ac:dyDescent="0.2">
      <c r="A2480" t="str">
        <f>"20200111160203212"</f>
        <v>20200111160203212</v>
      </c>
      <c r="B2480" t="str">
        <f>"1578729723204227"</f>
        <v>1578729723204227</v>
      </c>
      <c r="C2480" t="s">
        <v>37</v>
      </c>
      <c r="D2480">
        <v>5.1014839999999904</v>
      </c>
      <c r="E2480">
        <v>0.52142790000000006</v>
      </c>
      <c r="F2480" t="s">
        <v>60</v>
      </c>
      <c r="G2480">
        <v>-306.95920000000001</v>
      </c>
      <c r="H2480" s="1">
        <v>1.418805E-6</v>
      </c>
      <c r="I2480">
        <v>216.05840000000001</v>
      </c>
      <c r="J2480">
        <v>-380.95119999999997</v>
      </c>
      <c r="K2480">
        <v>1.1037079999999999</v>
      </c>
      <c r="L2480">
        <v>214.48750000000001</v>
      </c>
      <c r="M2480">
        <v>0.99990369999999995</v>
      </c>
      <c r="N2480">
        <v>0</v>
      </c>
      <c r="O2480">
        <v>2.4516310000000001E-3</v>
      </c>
      <c r="P2480">
        <v>0.9988939</v>
      </c>
      <c r="Q2480">
        <v>1.9261779999999999E-2</v>
      </c>
      <c r="R2480">
        <v>4.2890860000000003E-2</v>
      </c>
      <c r="S2480">
        <v>3.0017399999999999</v>
      </c>
      <c r="T2480">
        <v>-4.4637799999999998E-2</v>
      </c>
      <c r="U2480">
        <v>6.3491820000000004E-2</v>
      </c>
      <c r="V2480">
        <v>-4.0364959999999998E-2</v>
      </c>
      <c r="W2480">
        <v>3.3001460000000003E-2</v>
      </c>
      <c r="X2480">
        <v>0.99863989999999903</v>
      </c>
      <c r="Y2480">
        <v>-1.8693769999999998E-2</v>
      </c>
      <c r="Z2480">
        <v>1.0251659999999999E-4</v>
      </c>
      <c r="AA2480">
        <v>0.99982519999999997</v>
      </c>
      <c r="AB2480">
        <v>22</v>
      </c>
      <c r="AC2480">
        <v>73.991999999999905</v>
      </c>
      <c r="AD2480">
        <v>-1.103706581195</v>
      </c>
      <c r="AE2480">
        <v>1.57089999999999</v>
      </c>
      <c r="AF2480">
        <v>-1.3891683157380399</v>
      </c>
      <c r="AG2480">
        <v>-1.103706581195</v>
      </c>
      <c r="AH2480">
        <v>73.979175977434494</v>
      </c>
      <c r="AI2480">
        <v>90.854590406993196</v>
      </c>
      <c r="AJ2480">
        <v>91.075763921171699</v>
      </c>
      <c r="AK2480">
        <v>74.000448884631993</v>
      </c>
    </row>
    <row r="2481" spans="1:37" x14ac:dyDescent="0.2">
      <c r="A2481" t="str">
        <f>"20200111160203234"</f>
        <v>20200111160203234</v>
      </c>
      <c r="B2481" t="str">
        <f>"1578729723224256"</f>
        <v>1578729723224256</v>
      </c>
      <c r="C2481" t="s">
        <v>37</v>
      </c>
      <c r="D2481">
        <v>5.1628930000000004</v>
      </c>
      <c r="E2481">
        <v>0.52213589999999999</v>
      </c>
      <c r="F2481" t="s">
        <v>42</v>
      </c>
      <c r="G2481">
        <v>-380.06689999999998</v>
      </c>
      <c r="H2481">
        <v>1.0237229999999999</v>
      </c>
      <c r="I2481">
        <v>214.48050000000001</v>
      </c>
      <c r="J2481">
        <v>-380.73009999999999</v>
      </c>
      <c r="K2481">
        <v>1.1037269999999999</v>
      </c>
      <c r="L2481">
        <v>214.4862</v>
      </c>
      <c r="M2481">
        <v>0.99990630000000003</v>
      </c>
      <c r="N2481">
        <v>0</v>
      </c>
      <c r="O2481">
        <v>9.3656339999999999E-4</v>
      </c>
      <c r="P2481">
        <v>0.99902709999999995</v>
      </c>
      <c r="Q2481">
        <v>1.931211E-2</v>
      </c>
      <c r="R2481">
        <v>3.9648629999999997E-2</v>
      </c>
      <c r="S2481">
        <v>3.0095519999999998</v>
      </c>
      <c r="T2481">
        <v>-0.27227820000000003</v>
      </c>
      <c r="U2481">
        <v>-2.377319E-2</v>
      </c>
      <c r="V2481">
        <v>-3.8637240000000003E-2</v>
      </c>
      <c r="W2481">
        <v>3.3044820000000003E-2</v>
      </c>
      <c r="X2481">
        <v>0.99870680000000001</v>
      </c>
      <c r="Y2481">
        <v>8.7958710000000002E-3</v>
      </c>
      <c r="Z2481">
        <v>-4.8163619999999998E-4</v>
      </c>
      <c r="AA2481">
        <v>0.999961199999999</v>
      </c>
      <c r="AB2481">
        <v>22</v>
      </c>
      <c r="AC2481">
        <v>0.663200000000017</v>
      </c>
      <c r="AD2481">
        <v>-8.0004000000000103E-2</v>
      </c>
      <c r="AE2481">
        <v>-5.6999999999902597E-3</v>
      </c>
      <c r="AF2481">
        <v>6.2305219818031502E-3</v>
      </c>
      <c r="AG2481">
        <v>-8.0004000000000103E-2</v>
      </c>
      <c r="AH2481">
        <v>0.65368243022563799</v>
      </c>
      <c r="AI2481">
        <v>96.977397575975004</v>
      </c>
      <c r="AJ2481">
        <v>89.453906381108396</v>
      </c>
      <c r="AK2481">
        <v>0.65858953757698102</v>
      </c>
    </row>
    <row r="2482" spans="1:37" x14ac:dyDescent="0.2">
      <c r="A2482" t="str">
        <f>"20200111160203258"</f>
        <v>20200111160203258</v>
      </c>
      <c r="B2482" t="str">
        <f>"1578729723254511"</f>
        <v>1578729723254511</v>
      </c>
      <c r="C2482" t="s">
        <v>37</v>
      </c>
      <c r="D2482">
        <v>5.2204199999999998</v>
      </c>
      <c r="E2482">
        <v>0.52187309999999998</v>
      </c>
      <c r="F2482" t="s">
        <v>42</v>
      </c>
      <c r="G2482">
        <v>-379.86989999999997</v>
      </c>
      <c r="H2482">
        <v>1.0258929999999999</v>
      </c>
      <c r="I2482">
        <v>214.47460000000001</v>
      </c>
      <c r="J2482">
        <v>-380.50439999999998</v>
      </c>
      <c r="K2482">
        <v>1.103747</v>
      </c>
      <c r="L2482">
        <v>214.4846</v>
      </c>
      <c r="M2482">
        <v>0.99990669999999904</v>
      </c>
      <c r="N2482">
        <v>0</v>
      </c>
      <c r="O2482">
        <v>-6.0024969999999999E-4</v>
      </c>
      <c r="P2482">
        <v>0.999116</v>
      </c>
      <c r="Q2482">
        <v>2.0191420000000002E-2</v>
      </c>
      <c r="R2482">
        <v>3.6872549999999997E-2</v>
      </c>
      <c r="S2482">
        <v>3.0097659999999999</v>
      </c>
      <c r="T2482">
        <v>-0.2723353</v>
      </c>
      <c r="U2482">
        <v>-3.9199829999999998E-2</v>
      </c>
      <c r="V2482">
        <v>-3.7396029999999997E-2</v>
      </c>
      <c r="W2482">
        <v>3.3917900000000001E-2</v>
      </c>
      <c r="X2482">
        <v>0.99872479999999997</v>
      </c>
      <c r="Y2482">
        <v>1.237476E-2</v>
      </c>
      <c r="Z2482">
        <v>-5.0448840000000001E-4</v>
      </c>
      <c r="AA2482">
        <v>0.99992329999999996</v>
      </c>
      <c r="AB2482">
        <v>22</v>
      </c>
      <c r="AC2482">
        <v>0.63450000000000195</v>
      </c>
      <c r="AD2482">
        <v>-7.7854000000000007E-2</v>
      </c>
      <c r="AE2482">
        <v>-9.9999999999908998E-3</v>
      </c>
      <c r="AF2482">
        <v>9.4764656707280702E-3</v>
      </c>
      <c r="AG2482">
        <v>-7.7854000000000007E-2</v>
      </c>
      <c r="AH2482">
        <v>0.62509700364881504</v>
      </c>
      <c r="AI2482">
        <v>97.098655814335004</v>
      </c>
      <c r="AJ2482">
        <v>89.131462965333498</v>
      </c>
      <c r="AK2482">
        <v>0.62999786720935502</v>
      </c>
    </row>
    <row r="2483" spans="1:37" x14ac:dyDescent="0.2">
      <c r="A2483" t="str">
        <f>"20200111160203279"</f>
        <v>20200111160203279</v>
      </c>
      <c r="B2483" t="str">
        <f>"1578729723274032"</f>
        <v>1578729723274032</v>
      </c>
      <c r="C2483" t="s">
        <v>37</v>
      </c>
      <c r="D2483">
        <v>5.2642899999999999</v>
      </c>
      <c r="E2483">
        <v>0.51138279999999903</v>
      </c>
      <c r="F2483" t="s">
        <v>42</v>
      </c>
      <c r="G2483">
        <v>-379.67219999999998</v>
      </c>
      <c r="H2483">
        <v>1.0295939999999999</v>
      </c>
      <c r="I2483">
        <v>214.47190000000001</v>
      </c>
      <c r="J2483">
        <v>-380.28899999999999</v>
      </c>
      <c r="K2483">
        <v>1.1037569999999901</v>
      </c>
      <c r="L2483">
        <v>214.48269999999999</v>
      </c>
      <c r="M2483">
        <v>0.99990480000000004</v>
      </c>
      <c r="N2483">
        <v>0</v>
      </c>
      <c r="O2483">
        <v>-2.0560209999999999E-3</v>
      </c>
      <c r="P2483">
        <v>0.99918680000000004</v>
      </c>
      <c r="Q2483">
        <v>2.09885E-2</v>
      </c>
      <c r="R2483">
        <v>3.4425579999999997E-2</v>
      </c>
      <c r="S2483">
        <v>3.009735</v>
      </c>
      <c r="T2483">
        <v>-0.26821220000000001</v>
      </c>
      <c r="U2483">
        <v>-4.5104980000000003E-2</v>
      </c>
      <c r="V2483">
        <v>-3.6403049999999999E-2</v>
      </c>
      <c r="W2483">
        <v>3.4706130000000002E-2</v>
      </c>
      <c r="X2483">
        <v>0.99873440000000002</v>
      </c>
      <c r="Y2483">
        <v>1.288576E-2</v>
      </c>
      <c r="Z2483">
        <v>-3.9012360000000002E-4</v>
      </c>
      <c r="AA2483">
        <v>0.9999169</v>
      </c>
      <c r="AB2483">
        <v>22</v>
      </c>
      <c r="AC2483">
        <v>0.61680000000001201</v>
      </c>
      <c r="AD2483">
        <v>-7.4162999999999701E-2</v>
      </c>
      <c r="AE2483">
        <v>-1.0799999999989001E-2</v>
      </c>
      <c r="AF2483">
        <v>9.3959079520213908E-3</v>
      </c>
      <c r="AG2483">
        <v>-7.4162999999999701E-2</v>
      </c>
      <c r="AH2483">
        <v>0.60803310759678997</v>
      </c>
      <c r="AI2483">
        <v>96.953307307851901</v>
      </c>
      <c r="AJ2483">
        <v>89.114681390638196</v>
      </c>
      <c r="AK2483">
        <v>0.61261137239611496</v>
      </c>
    </row>
    <row r="2484" spans="1:37" x14ac:dyDescent="0.2">
      <c r="A2484" t="str">
        <f>"20200111160203301"</f>
        <v>20200111160203301</v>
      </c>
      <c r="B2484" t="str">
        <f>"1578729723294528"</f>
        <v>1578729723294528</v>
      </c>
      <c r="C2484" t="s">
        <v>37</v>
      </c>
      <c r="D2484">
        <v>5.2348540000000003</v>
      </c>
      <c r="E2484">
        <v>0.51158809999999999</v>
      </c>
      <c r="F2484" t="s">
        <v>76</v>
      </c>
      <c r="G2484">
        <v>-107.39749999999999</v>
      </c>
      <c r="H2484">
        <v>2.2513939999999999</v>
      </c>
      <c r="I2484">
        <v>215.8783</v>
      </c>
      <c r="J2484">
        <v>-380.07760000000002</v>
      </c>
      <c r="K2484">
        <v>1.1037509999999999</v>
      </c>
      <c r="L2484">
        <v>214.48060000000001</v>
      </c>
      <c r="M2484">
        <v>0.99990140000000005</v>
      </c>
      <c r="N2484">
        <v>0</v>
      </c>
      <c r="O2484">
        <v>-3.480983E-3</v>
      </c>
      <c r="P2484">
        <v>0.99925180000000002</v>
      </c>
      <c r="Q2484">
        <v>2.1203199999999998E-2</v>
      </c>
      <c r="R2484">
        <v>3.2350669999999998E-2</v>
      </c>
      <c r="S2484">
        <v>3.0016479999999999</v>
      </c>
      <c r="T2484">
        <v>1.262391E-2</v>
      </c>
      <c r="U2484">
        <v>1.5350340000000001E-2</v>
      </c>
      <c r="V2484">
        <v>-3.5752770000000003E-2</v>
      </c>
      <c r="W2484">
        <v>3.4879109999999998E-2</v>
      </c>
      <c r="X2484">
        <v>0.99875179999999997</v>
      </c>
      <c r="Y2484">
        <v>-8.5950260000000004E-3</v>
      </c>
      <c r="Z2484" s="1">
        <v>-3.2714709999999899E-5</v>
      </c>
      <c r="AA2484">
        <v>0.99996299999999905</v>
      </c>
      <c r="AB2484">
        <v>22</v>
      </c>
      <c r="AC2484">
        <v>272.68009999999998</v>
      </c>
      <c r="AD2484">
        <v>1.147643</v>
      </c>
      <c r="AE2484">
        <v>1.39769999999998</v>
      </c>
      <c r="AF2484">
        <v>-2.3469325986610099</v>
      </c>
      <c r="AG2484">
        <v>1.147643</v>
      </c>
      <c r="AH2484">
        <v>272.66875198627702</v>
      </c>
      <c r="AI2484">
        <v>89.758856576078202</v>
      </c>
      <c r="AJ2484">
        <v>90.493147862200004</v>
      </c>
      <c r="AK2484">
        <v>272.68126720922999</v>
      </c>
    </row>
    <row r="2485" spans="1:37" x14ac:dyDescent="0.2">
      <c r="A2485" t="str">
        <f>"20200111160203324"</f>
        <v>20200111160203324</v>
      </c>
      <c r="B2485" t="str">
        <f>"1578729723314556"</f>
        <v>1578729723314556</v>
      </c>
      <c r="C2485" t="s">
        <v>37</v>
      </c>
      <c r="D2485">
        <v>5.2804219999999997</v>
      </c>
      <c r="E2485">
        <v>0.51678299999999999</v>
      </c>
      <c r="F2485" t="s">
        <v>76</v>
      </c>
      <c r="G2485">
        <v>-107.39749999999999</v>
      </c>
      <c r="H2485">
        <v>2.091475</v>
      </c>
      <c r="I2485">
        <v>215.17359999999999</v>
      </c>
      <c r="J2485">
        <v>-379.8501</v>
      </c>
      <c r="K2485">
        <v>1.103721</v>
      </c>
      <c r="L2485">
        <v>214.47799999999901</v>
      </c>
      <c r="M2485">
        <v>0.99989680000000003</v>
      </c>
      <c r="N2485">
        <v>0</v>
      </c>
      <c r="O2485">
        <v>-5.0128129999999996E-3</v>
      </c>
      <c r="P2485">
        <v>0.9993185</v>
      </c>
      <c r="Q2485">
        <v>2.1457170000000001E-2</v>
      </c>
      <c r="R2485">
        <v>3.0041709999999999E-2</v>
      </c>
      <c r="S2485">
        <v>3.0018009999999999</v>
      </c>
      <c r="T2485">
        <v>1.0873910000000001E-2</v>
      </c>
      <c r="U2485">
        <v>7.6293949999999998E-3</v>
      </c>
      <c r="V2485">
        <v>-3.4974900000000003E-2</v>
      </c>
      <c r="W2485">
        <v>3.499538E-2</v>
      </c>
      <c r="X2485">
        <v>0.99877530000000003</v>
      </c>
      <c r="Y2485">
        <v>-7.5547359999999899E-3</v>
      </c>
      <c r="Z2485" s="1">
        <v>-3.184358E-5</v>
      </c>
      <c r="AA2485">
        <v>0.99997139999999995</v>
      </c>
      <c r="AB2485">
        <v>22</v>
      </c>
      <c r="AC2485">
        <v>272.45260000000002</v>
      </c>
      <c r="AD2485">
        <v>0.98775400000000002</v>
      </c>
      <c r="AE2485">
        <v>0.69560000000001299</v>
      </c>
      <c r="AF2485">
        <v>-2.0614418950583699</v>
      </c>
      <c r="AG2485">
        <v>0.98775400000000002</v>
      </c>
      <c r="AH2485">
        <v>272.44210813670901</v>
      </c>
      <c r="AI2485">
        <v>89.792277824335699</v>
      </c>
      <c r="AJ2485">
        <v>90.433522068668694</v>
      </c>
      <c r="AK2485">
        <v>272.45169752935197</v>
      </c>
    </row>
    <row r="2486" spans="1:37" x14ac:dyDescent="0.2">
      <c r="A2486" t="str">
        <f>"20200111160203347"</f>
        <v>20200111160203347</v>
      </c>
      <c r="B2486" t="str">
        <f>"1578729723343836"</f>
        <v>1578729723343836</v>
      </c>
      <c r="C2486" t="s">
        <v>37</v>
      </c>
      <c r="D2486">
        <v>6.1491509999999998</v>
      </c>
      <c r="E2486">
        <v>0.51691790000000004</v>
      </c>
      <c r="F2486" t="s">
        <v>42</v>
      </c>
      <c r="G2486">
        <v>-379.08179999999999</v>
      </c>
      <c r="H2486">
        <v>1.0342789999999999</v>
      </c>
      <c r="I2486">
        <v>214.47149999999999</v>
      </c>
      <c r="J2486">
        <v>-379.63279999999997</v>
      </c>
      <c r="K2486">
        <v>1.103675</v>
      </c>
      <c r="L2486">
        <v>214.4751</v>
      </c>
      <c r="M2486">
        <v>0.99989139999999999</v>
      </c>
      <c r="N2486">
        <v>0</v>
      </c>
      <c r="O2486">
        <v>-6.4746059999999999E-3</v>
      </c>
      <c r="P2486">
        <v>0.99936399999999903</v>
      </c>
      <c r="Q2486">
        <v>2.1691390000000001E-2</v>
      </c>
      <c r="R2486">
        <v>2.8300720000000001E-2</v>
      </c>
      <c r="S2486">
        <v>3.0086059999999999</v>
      </c>
      <c r="T2486">
        <v>-0.27193200000000001</v>
      </c>
      <c r="U2486">
        <v>-2.420044E-2</v>
      </c>
      <c r="V2486">
        <v>-3.469535E-2</v>
      </c>
      <c r="W2486">
        <v>3.4990630000000002E-2</v>
      </c>
      <c r="X2486">
        <v>0.99878519999999904</v>
      </c>
      <c r="Y2486">
        <v>1.5882660000000001E-3</v>
      </c>
      <c r="Z2486">
        <v>5.1241969999999998E-4</v>
      </c>
      <c r="AA2486">
        <v>0.99999859999999896</v>
      </c>
      <c r="AB2486">
        <v>22</v>
      </c>
      <c r="AC2486">
        <v>0.55099999999998694</v>
      </c>
      <c r="AD2486">
        <v>-6.9395999999999694E-2</v>
      </c>
      <c r="AE2486">
        <v>-3.6000000000058199E-3</v>
      </c>
      <c r="AF2486" s="1">
        <v>3.1602678309696897E-5</v>
      </c>
      <c r="AG2486">
        <v>-6.9395999999999694E-2</v>
      </c>
      <c r="AH2486">
        <v>0.54240829308466998</v>
      </c>
      <c r="AI2486">
        <v>97.2908433507544</v>
      </c>
      <c r="AJ2486">
        <v>89.996661739671893</v>
      </c>
      <c r="AK2486">
        <v>0.546829555000235</v>
      </c>
    </row>
    <row r="2487" spans="1:37" x14ac:dyDescent="0.2">
      <c r="A2487" t="str">
        <f>"20200111160203370"</f>
        <v>20200111160203370</v>
      </c>
      <c r="B2487" t="str">
        <f>"1578729723364332"</f>
        <v>1578729723364332</v>
      </c>
      <c r="C2487" t="s">
        <v>37</v>
      </c>
      <c r="D2487">
        <v>5.3405329999999998</v>
      </c>
      <c r="E2487">
        <v>0.50834380000000001</v>
      </c>
      <c r="F2487" t="s">
        <v>42</v>
      </c>
      <c r="G2487">
        <v>-378.88420000000002</v>
      </c>
      <c r="H2487">
        <v>1.0362340000000001</v>
      </c>
      <c r="I2487">
        <v>214.4674</v>
      </c>
      <c r="J2487">
        <v>-379.40469999999999</v>
      </c>
      <c r="K2487">
        <v>1.1036189999999999</v>
      </c>
      <c r="L2487">
        <v>214.4718</v>
      </c>
      <c r="M2487">
        <v>0.99988449999999995</v>
      </c>
      <c r="N2487">
        <v>0</v>
      </c>
      <c r="O2487">
        <v>-8.0148470000000003E-3</v>
      </c>
      <c r="P2487">
        <v>0.99939999999999996</v>
      </c>
      <c r="Q2487">
        <v>2.1743519999999999E-2</v>
      </c>
      <c r="R2487">
        <v>2.6958759999999998E-2</v>
      </c>
      <c r="S2487">
        <v>3.008667</v>
      </c>
      <c r="T2487">
        <v>-0.27101360000000002</v>
      </c>
      <c r="U2487">
        <v>-3.0273439999999999E-2</v>
      </c>
      <c r="V2487">
        <v>-3.4893809999999997E-2</v>
      </c>
      <c r="W2487">
        <v>3.4716129999999998E-2</v>
      </c>
      <c r="X2487">
        <v>0.99878789999999995</v>
      </c>
      <c r="Y2487">
        <v>2.0702030000000001E-3</v>
      </c>
      <c r="Z2487">
        <v>6.2748000000000003E-4</v>
      </c>
      <c r="AA2487">
        <v>0.99999769999999899</v>
      </c>
      <c r="AB2487">
        <v>22</v>
      </c>
      <c r="AC2487">
        <v>0.52049999999996999</v>
      </c>
      <c r="AD2487">
        <v>-6.7385E-2</v>
      </c>
      <c r="AE2487">
        <v>-4.4000000000039502E-3</v>
      </c>
      <c r="AF2487">
        <v>2.2402838616005701E-4</v>
      </c>
      <c r="AG2487">
        <v>-6.7385E-2</v>
      </c>
      <c r="AH2487">
        <v>0.51193884834306602</v>
      </c>
      <c r="AI2487">
        <v>97.498566044185495</v>
      </c>
      <c r="AJ2487">
        <v>89.974926926838407</v>
      </c>
      <c r="AK2487">
        <v>0.51635469675073398</v>
      </c>
    </row>
    <row r="2488" spans="1:37" x14ac:dyDescent="0.2">
      <c r="A2488" t="str">
        <f>"20200111160203391"</f>
        <v>20200111160203391</v>
      </c>
      <c r="B2488" t="str">
        <f>"1578729723383853"</f>
        <v>1578729723383853</v>
      </c>
      <c r="C2488" t="s">
        <v>37</v>
      </c>
      <c r="D2488">
        <v>5.3936650000000004</v>
      </c>
      <c r="E2488">
        <v>0.51365490000000003</v>
      </c>
      <c r="F2488" t="s">
        <v>76</v>
      </c>
      <c r="G2488">
        <v>-107.39749999999999</v>
      </c>
      <c r="H2488">
        <v>2.128031</v>
      </c>
      <c r="I2488">
        <v>216.06370000000001</v>
      </c>
      <c r="J2488">
        <v>-379.19499999999999</v>
      </c>
      <c r="K2488">
        <v>1.1035619999999999</v>
      </c>
      <c r="L2488">
        <v>214.46850000000001</v>
      </c>
      <c r="M2488">
        <v>0.9998764</v>
      </c>
      <c r="N2488">
        <v>0</v>
      </c>
      <c r="O2488">
        <v>-9.4361140000000007E-3</v>
      </c>
      <c r="P2488">
        <v>0.99942989999999998</v>
      </c>
      <c r="Q2488">
        <v>2.1835859999999999E-2</v>
      </c>
      <c r="R2488">
        <v>2.5751369999999999E-2</v>
      </c>
      <c r="S2488">
        <v>3.0010680000000001</v>
      </c>
      <c r="T2488">
        <v>1.1302950000000001E-2</v>
      </c>
      <c r="U2488">
        <v>1.7562870000000001E-2</v>
      </c>
      <c r="V2488">
        <v>-3.5107939999999997E-2</v>
      </c>
      <c r="W2488">
        <v>3.4472620000000002E-2</v>
      </c>
      <c r="X2488">
        <v>0.99878880000000003</v>
      </c>
      <c r="Y2488">
        <v>-1.5288370000000001E-2</v>
      </c>
      <c r="Z2488" s="1">
        <v>-6.4331569999999895E-5</v>
      </c>
      <c r="AA2488">
        <v>0.99988310000000002</v>
      </c>
      <c r="AB2488">
        <v>22</v>
      </c>
      <c r="AC2488">
        <v>271.79750000000001</v>
      </c>
      <c r="AD2488">
        <v>1.0244690000000001</v>
      </c>
      <c r="AE2488">
        <v>1.5952</v>
      </c>
      <c r="AF2488">
        <v>-4.1599848857274297</v>
      </c>
      <c r="AG2488">
        <v>1.0244690000000001</v>
      </c>
      <c r="AH2488">
        <v>271.76648278679801</v>
      </c>
      <c r="AI2488">
        <v>89.784040342796501</v>
      </c>
      <c r="AJ2488">
        <v>90.876969672743996</v>
      </c>
      <c r="AK2488">
        <v>271.80025050998</v>
      </c>
    </row>
    <row r="2489" spans="1:37" x14ac:dyDescent="0.2">
      <c r="A2489" t="str">
        <f>"20200111160203413"</f>
        <v>20200111160203413</v>
      </c>
      <c r="B2489" t="str">
        <f>"1578729723404348"</f>
        <v>1578729723404348</v>
      </c>
      <c r="C2489" t="s">
        <v>37</v>
      </c>
      <c r="D2489">
        <v>5.3084509999999998</v>
      </c>
      <c r="E2489">
        <v>0.51441649999999906</v>
      </c>
      <c r="F2489" t="s">
        <v>42</v>
      </c>
      <c r="G2489">
        <v>-378.30110000000002</v>
      </c>
      <c r="H2489">
        <v>1.0246090000000001</v>
      </c>
      <c r="I2489">
        <v>214.46449999999999</v>
      </c>
      <c r="J2489">
        <v>-378.97390000000001</v>
      </c>
      <c r="K2489">
        <v>1.103507</v>
      </c>
      <c r="L2489">
        <v>214.46469999999999</v>
      </c>
      <c r="M2489">
        <v>0.99986569999999997</v>
      </c>
      <c r="N2489">
        <v>0</v>
      </c>
      <c r="O2489">
        <v>-1.093508E-2</v>
      </c>
      <c r="P2489">
        <v>0.99946449999999998</v>
      </c>
      <c r="Q2489">
        <v>2.1473409999999998E-2</v>
      </c>
      <c r="R2489">
        <v>2.4699809999999999E-2</v>
      </c>
      <c r="S2489">
        <v>3.0078429999999998</v>
      </c>
      <c r="T2489">
        <v>-0.26560719999999999</v>
      </c>
      <c r="U2489">
        <v>-1.23290999999999E-2</v>
      </c>
      <c r="V2489">
        <v>-3.555697E-2</v>
      </c>
      <c r="W2489">
        <v>3.3754909999999999E-2</v>
      </c>
      <c r="X2489">
        <v>0.99879739999999995</v>
      </c>
      <c r="Y2489">
        <v>-6.7682069999999896E-3</v>
      </c>
      <c r="Z2489">
        <v>1.2620450000000001E-3</v>
      </c>
      <c r="AA2489">
        <v>0.99997630000000004</v>
      </c>
      <c r="AB2489">
        <v>22</v>
      </c>
      <c r="AC2489">
        <v>0.67279999999999496</v>
      </c>
      <c r="AD2489">
        <v>-7.8897999999999899E-2</v>
      </c>
      <c r="AE2489">
        <v>-2.0000000000663901E-4</v>
      </c>
      <c r="AF2489">
        <v>-7.0605861068357501E-3</v>
      </c>
      <c r="AG2489">
        <v>-7.8897999999999899E-2</v>
      </c>
      <c r="AH2489">
        <v>0.66363575920326701</v>
      </c>
      <c r="AI2489">
        <v>96.779548655737301</v>
      </c>
      <c r="AJ2489">
        <v>90.609561067780504</v>
      </c>
      <c r="AK2489">
        <v>0.66834659210133596</v>
      </c>
    </row>
    <row r="2490" spans="1:37" x14ac:dyDescent="0.2">
      <c r="A2490" t="str">
        <f>"20200111160203438"</f>
        <v>20200111160203438</v>
      </c>
      <c r="B2490" t="str">
        <f>"1578729723434135"</f>
        <v>1578729723434135</v>
      </c>
      <c r="C2490" t="s">
        <v>37</v>
      </c>
      <c r="D2490">
        <v>5.428528</v>
      </c>
      <c r="E2490">
        <v>0.51177810000000001</v>
      </c>
      <c r="F2490" t="s">
        <v>42</v>
      </c>
      <c r="G2490">
        <v>-378.09399999999999</v>
      </c>
      <c r="H2490">
        <v>1.0379929999999999</v>
      </c>
      <c r="I2490">
        <v>214.45750000000001</v>
      </c>
      <c r="J2490">
        <v>-378.7396</v>
      </c>
      <c r="K2490">
        <v>1.1034520000000001</v>
      </c>
      <c r="L2490">
        <v>214.46029999999999</v>
      </c>
      <c r="M2490">
        <v>0.99985159999999995</v>
      </c>
      <c r="N2490">
        <v>0</v>
      </c>
      <c r="O2490">
        <v>-1.251538E-2</v>
      </c>
      <c r="P2490">
        <v>0.99950899999999998</v>
      </c>
      <c r="Q2490">
        <v>2.0990439999999999E-2</v>
      </c>
      <c r="R2490">
        <v>2.3271779999999999E-2</v>
      </c>
      <c r="S2490">
        <v>3.00705</v>
      </c>
      <c r="T2490">
        <v>-0.223898299999999</v>
      </c>
      <c r="U2490">
        <v>-2.4154660000000001E-2</v>
      </c>
      <c r="V2490">
        <v>-3.5710390000000002E-2</v>
      </c>
      <c r="W2490">
        <v>3.2901850000000003E-2</v>
      </c>
      <c r="X2490">
        <v>0.99882039999999905</v>
      </c>
      <c r="Y2490">
        <v>-4.4371389999999997E-3</v>
      </c>
      <c r="Z2490">
        <v>1.0955589999999901E-3</v>
      </c>
      <c r="AA2490">
        <v>0.99998960000000003</v>
      </c>
      <c r="AB2490">
        <v>22</v>
      </c>
      <c r="AC2490">
        <v>0.64560000000000095</v>
      </c>
      <c r="AD2490">
        <v>-6.54590000000001E-2</v>
      </c>
      <c r="AE2490">
        <v>-2.7999999999792601E-3</v>
      </c>
      <c r="AF2490">
        <v>-5.2269802448455102E-3</v>
      </c>
      <c r="AG2490">
        <v>-6.54590000000001E-2</v>
      </c>
      <c r="AH2490">
        <v>0.63901524068733695</v>
      </c>
      <c r="AI2490">
        <v>95.8486299331677</v>
      </c>
      <c r="AJ2490">
        <v>90.468654281649194</v>
      </c>
      <c r="AK2490">
        <v>0.64238047902638995</v>
      </c>
    </row>
    <row r="2491" spans="1:37" x14ac:dyDescent="0.2">
      <c r="A2491" t="str">
        <f>"20200111160203458"</f>
        <v>20200111160203458</v>
      </c>
      <c r="B2491" t="str">
        <f>"1578729723454632"</f>
        <v>1578729723454632</v>
      </c>
      <c r="C2491" t="s">
        <v>37</v>
      </c>
      <c r="D2491">
        <v>5.278124</v>
      </c>
      <c r="E2491">
        <v>0.51134139999999995</v>
      </c>
      <c r="F2491" t="s">
        <v>42</v>
      </c>
      <c r="G2491">
        <v>-377.89640000000003</v>
      </c>
      <c r="H2491">
        <v>1.0364450000000001</v>
      </c>
      <c r="I2491">
        <v>214.45820000000001</v>
      </c>
      <c r="J2491">
        <v>-378.53390000000002</v>
      </c>
      <c r="K2491">
        <v>1.10341</v>
      </c>
      <c r="L2491">
        <v>214.4562</v>
      </c>
      <c r="M2491">
        <v>0.99983719999999998</v>
      </c>
      <c r="N2491">
        <v>0</v>
      </c>
      <c r="O2491">
        <v>-1.388752E-2</v>
      </c>
      <c r="P2491">
        <v>0.9995309</v>
      </c>
      <c r="Q2491">
        <v>2.0868359999999999E-2</v>
      </c>
      <c r="R2491">
        <v>2.242396E-2</v>
      </c>
      <c r="S2491">
        <v>3.006653</v>
      </c>
      <c r="T2491">
        <v>-0.23887339999999899</v>
      </c>
      <c r="U2491">
        <v>-6.8054200000000004E-3</v>
      </c>
      <c r="V2491">
        <v>-3.6235290000000003E-2</v>
      </c>
      <c r="W2491">
        <v>3.2461009999999998E-2</v>
      </c>
      <c r="X2491">
        <v>0.99881600000000004</v>
      </c>
      <c r="Y2491">
        <v>-1.1545039999999999E-2</v>
      </c>
      <c r="Z2491">
        <v>1.559539E-3</v>
      </c>
      <c r="AA2491">
        <v>0.99993209999999999</v>
      </c>
      <c r="AB2491">
        <v>22</v>
      </c>
      <c r="AC2491">
        <v>0.63749999999998797</v>
      </c>
      <c r="AD2491">
        <v>-6.69649999999999E-2</v>
      </c>
      <c r="AE2491">
        <v>2.0000000000095402E-3</v>
      </c>
      <c r="AF2491">
        <v>-1.0735236536402799E-2</v>
      </c>
      <c r="AG2491">
        <v>-6.69649999999999E-2</v>
      </c>
      <c r="AH2491">
        <v>0.630454333931594</v>
      </c>
      <c r="AI2491">
        <v>96.062183420121201</v>
      </c>
      <c r="AJ2491">
        <v>90.975525547185896</v>
      </c>
      <c r="AK2491">
        <v>0.63409165244594001</v>
      </c>
    </row>
    <row r="2492" spans="1:37" x14ac:dyDescent="0.2">
      <c r="A2492" t="str">
        <f>"20200111160203480"</f>
        <v>20200111160203480</v>
      </c>
      <c r="B2492" t="str">
        <f>"1578729723474151"</f>
        <v>1578729723474151</v>
      </c>
      <c r="C2492" t="s">
        <v>37</v>
      </c>
      <c r="D2492">
        <v>5.3364849999999997</v>
      </c>
      <c r="E2492">
        <v>0.51075439999999905</v>
      </c>
      <c r="F2492" t="s">
        <v>42</v>
      </c>
      <c r="G2492">
        <v>-377.69699999999898</v>
      </c>
      <c r="H2492">
        <v>1.037183</v>
      </c>
      <c r="I2492">
        <v>214.45429999999999</v>
      </c>
      <c r="J2492">
        <v>-378.30290000000002</v>
      </c>
      <c r="K2492">
        <v>1.1033770000000001</v>
      </c>
      <c r="L2492">
        <v>214.4513</v>
      </c>
      <c r="M2492">
        <v>0.99981889999999995</v>
      </c>
      <c r="N2492">
        <v>0</v>
      </c>
      <c r="O2492">
        <v>-1.5405439999999999E-2</v>
      </c>
      <c r="P2492">
        <v>0.9995501</v>
      </c>
      <c r="Q2492">
        <v>2.1034850000000001E-2</v>
      </c>
      <c r="R2492">
        <v>2.13829E-2</v>
      </c>
      <c r="S2492">
        <v>3.0064700000000002</v>
      </c>
      <c r="T2492">
        <v>-0.23791660000000001</v>
      </c>
      <c r="U2492">
        <v>-5.9509280000000003E-3</v>
      </c>
      <c r="V2492">
        <v>-3.6711290000000001E-2</v>
      </c>
      <c r="W2492">
        <v>3.2288009999999999E-2</v>
      </c>
      <c r="X2492">
        <v>0.99880419999999903</v>
      </c>
      <c r="Y2492">
        <v>-1.3337379999999999E-2</v>
      </c>
      <c r="Z2492">
        <v>1.7441410000000001E-3</v>
      </c>
      <c r="AA2492">
        <v>0.99990949999999901</v>
      </c>
      <c r="AB2492">
        <v>22</v>
      </c>
      <c r="AC2492">
        <v>0.60590000000007604</v>
      </c>
      <c r="AD2492">
        <v>-6.6194000000000003E-2</v>
      </c>
      <c r="AE2492">
        <v>2.9999999999858998E-3</v>
      </c>
      <c r="AF2492">
        <v>-1.21889073581141E-2</v>
      </c>
      <c r="AG2492">
        <v>-6.6194000000000003E-2</v>
      </c>
      <c r="AH2492">
        <v>0.598637097950937</v>
      </c>
      <c r="AI2492">
        <v>96.308522568256805</v>
      </c>
      <c r="AJ2492">
        <v>91.166443686406097</v>
      </c>
      <c r="AK2492">
        <v>0.60240898909437302</v>
      </c>
    </row>
    <row r="2493" spans="1:37" x14ac:dyDescent="0.2">
      <c r="A2493" t="str">
        <f>"20200111160203502"</f>
        <v>20200111160203502</v>
      </c>
      <c r="B2493" t="str">
        <f>"1578729723494648"</f>
        <v>1578729723494648</v>
      </c>
      <c r="C2493" t="s">
        <v>37</v>
      </c>
      <c r="D2493">
        <v>5.4574749999999996</v>
      </c>
      <c r="E2493">
        <v>0.4758018</v>
      </c>
      <c r="F2493" t="s">
        <v>42</v>
      </c>
      <c r="G2493">
        <v>-377.49</v>
      </c>
      <c r="H2493">
        <v>1.0377799999999999</v>
      </c>
      <c r="I2493">
        <v>214.44990000000001</v>
      </c>
      <c r="J2493">
        <v>-378.09179999999998</v>
      </c>
      <c r="K2493">
        <v>1.103364</v>
      </c>
      <c r="L2493">
        <v>214.44649999999999</v>
      </c>
      <c r="M2493">
        <v>0.99980000000000002</v>
      </c>
      <c r="N2493">
        <v>0</v>
      </c>
      <c r="O2493">
        <v>-1.676563E-2</v>
      </c>
      <c r="P2493">
        <v>0.9995638</v>
      </c>
      <c r="Q2493">
        <v>2.1193699999999999E-2</v>
      </c>
      <c r="R2493">
        <v>2.0570749999999999E-2</v>
      </c>
      <c r="S2493">
        <v>3.006561</v>
      </c>
      <c r="T2493">
        <v>-0.24258829999999901</v>
      </c>
      <c r="U2493">
        <v>-4.272461E-3</v>
      </c>
      <c r="V2493">
        <v>-3.7260090000000003E-2</v>
      </c>
      <c r="W2493">
        <v>3.2161719999999998E-2</v>
      </c>
      <c r="X2493">
        <v>0.99878789999999995</v>
      </c>
      <c r="Y2493">
        <v>-1.524175E-2</v>
      </c>
      <c r="Z2493">
        <v>1.964492E-3</v>
      </c>
      <c r="AA2493">
        <v>0.99988189999999999</v>
      </c>
      <c r="AB2493">
        <v>22</v>
      </c>
      <c r="AC2493">
        <v>0.60179999999996803</v>
      </c>
      <c r="AD2493">
        <v>-6.5584000000000003E-2</v>
      </c>
      <c r="AE2493">
        <v>3.4000000000276001E-3</v>
      </c>
      <c r="AF2493">
        <v>-1.33313521119086E-2</v>
      </c>
      <c r="AG2493">
        <v>-6.5584000000000003E-2</v>
      </c>
      <c r="AH2493">
        <v>0.594596846375963</v>
      </c>
      <c r="AI2493">
        <v>96.292709349146193</v>
      </c>
      <c r="AJ2493">
        <v>91.284403480533896</v>
      </c>
      <c r="AK2493">
        <v>0.59835139819789196</v>
      </c>
    </row>
    <row r="2494" spans="1:37" x14ac:dyDescent="0.2">
      <c r="A2494" t="str">
        <f>"20200111160203526"</f>
        <v>20200111160203526</v>
      </c>
      <c r="B2494" t="str">
        <f>"1578729723524436"</f>
        <v>1578729723524436</v>
      </c>
      <c r="C2494" t="s">
        <v>37</v>
      </c>
      <c r="D2494">
        <v>5.7057359999999999</v>
      </c>
      <c r="E2494">
        <v>0.46939409999999998</v>
      </c>
      <c r="F2494" t="s">
        <v>57</v>
      </c>
      <c r="G2494">
        <v>-356.02780000000001</v>
      </c>
      <c r="H2494" s="1">
        <v>1.592416E-6</v>
      </c>
      <c r="I2494">
        <v>216.41239999999999</v>
      </c>
      <c r="J2494">
        <v>-377.85340000000002</v>
      </c>
      <c r="K2494">
        <v>1.103356</v>
      </c>
      <c r="L2494">
        <v>214.4408</v>
      </c>
      <c r="M2494">
        <v>0.99977700000000003</v>
      </c>
      <c r="N2494">
        <v>0</v>
      </c>
      <c r="O2494">
        <v>-1.8268489999999998E-2</v>
      </c>
      <c r="P2494">
        <v>0.99960629999999995</v>
      </c>
      <c r="Q2494">
        <v>2.0470840000000001E-2</v>
      </c>
      <c r="R2494">
        <v>1.9198239999999998E-2</v>
      </c>
      <c r="S2494">
        <v>2.998993</v>
      </c>
      <c r="T2494">
        <v>-0.14997170000000001</v>
      </c>
      <c r="U2494">
        <v>0.2672119</v>
      </c>
      <c r="V2494">
        <v>-3.7393219999999998E-2</v>
      </c>
      <c r="W2494">
        <v>3.11437E-2</v>
      </c>
      <c r="X2494">
        <v>0.99881520000000001</v>
      </c>
      <c r="Y2494">
        <v>-0.1067765</v>
      </c>
      <c r="Z2494">
        <v>3.5742579999999999E-3</v>
      </c>
      <c r="AA2494">
        <v>0.99427659999999995</v>
      </c>
      <c r="AB2494">
        <v>22</v>
      </c>
      <c r="AC2494">
        <v>21.825600000000001</v>
      </c>
      <c r="AD2494">
        <v>-1.1033544075839901</v>
      </c>
      <c r="AE2494">
        <v>1.97159999999999</v>
      </c>
      <c r="AF2494">
        <v>-2.3640214067549801</v>
      </c>
      <c r="AG2494">
        <v>-1.1033544075839901</v>
      </c>
      <c r="AH2494">
        <v>21.730850642950202</v>
      </c>
      <c r="AI2494">
        <v>92.889600305929207</v>
      </c>
      <c r="AJ2494">
        <v>96.208587638797397</v>
      </c>
      <c r="AK2494">
        <v>21.886887805865399</v>
      </c>
    </row>
    <row r="2495" spans="1:37" x14ac:dyDescent="0.2">
      <c r="A2495" t="str">
        <f>"20200111160203548"</f>
        <v>20200111160203548</v>
      </c>
      <c r="B2495" t="str">
        <f>"1578729723543956"</f>
        <v>1578729723543956</v>
      </c>
      <c r="C2495" t="s">
        <v>37</v>
      </c>
      <c r="D2495">
        <v>5.3976110000000004</v>
      </c>
      <c r="E2495">
        <v>0.46794479999999999</v>
      </c>
      <c r="F2495" t="s">
        <v>57</v>
      </c>
      <c r="G2495">
        <v>-355.96859999999998</v>
      </c>
      <c r="H2495" s="1">
        <v>1.5468739999999899E-6</v>
      </c>
      <c r="I2495">
        <v>216.733</v>
      </c>
      <c r="J2495">
        <v>-377.63709999999998</v>
      </c>
      <c r="K2495">
        <v>1.103359</v>
      </c>
      <c r="L2495">
        <v>214.43530000000001</v>
      </c>
      <c r="M2495">
        <v>0.99975429999999998</v>
      </c>
      <c r="N2495">
        <v>0</v>
      </c>
      <c r="O2495">
        <v>-1.9592740000000001E-2</v>
      </c>
      <c r="P2495">
        <v>0.99965720000000002</v>
      </c>
      <c r="Q2495">
        <v>1.9050839999999999E-2</v>
      </c>
      <c r="R2495">
        <v>1.7961120000000001E-2</v>
      </c>
      <c r="S2495">
        <v>2.9982599999999899</v>
      </c>
      <c r="T2495">
        <v>-0.15116189999999999</v>
      </c>
      <c r="U2495">
        <v>0.31404109999999902</v>
      </c>
      <c r="V2495">
        <v>-3.7485610000000003E-2</v>
      </c>
      <c r="W2495">
        <v>2.9482689999999999E-2</v>
      </c>
      <c r="X2495">
        <v>0.99886209999999898</v>
      </c>
      <c r="Y2495">
        <v>-0.1234586</v>
      </c>
      <c r="Z2495">
        <v>4.0864769999999998E-3</v>
      </c>
      <c r="AA2495">
        <v>0.99234129999999998</v>
      </c>
      <c r="AB2495">
        <v>22</v>
      </c>
      <c r="AC2495">
        <v>21.668499999999899</v>
      </c>
      <c r="AD2495">
        <v>-1.103357453126</v>
      </c>
      <c r="AE2495">
        <v>2.2976999999999901</v>
      </c>
      <c r="AF2495">
        <v>-2.7148660673478999</v>
      </c>
      <c r="AG2495">
        <v>-1.103357453126</v>
      </c>
      <c r="AH2495">
        <v>21.5640292330683</v>
      </c>
      <c r="AI2495">
        <v>92.906172796984706</v>
      </c>
      <c r="AJ2495">
        <v>97.175665330472697</v>
      </c>
      <c r="AK2495">
        <v>21.762243730774401</v>
      </c>
    </row>
    <row r="2496" spans="1:37" x14ac:dyDescent="0.2">
      <c r="A2496" t="str">
        <f>"20200111160203569"</f>
        <v>20200111160203569</v>
      </c>
      <c r="B2496" t="str">
        <f>"1578729723564452"</f>
        <v>1578729723564452</v>
      </c>
      <c r="C2496" t="s">
        <v>37</v>
      </c>
      <c r="D2496">
        <v>5.2850380000000001</v>
      </c>
      <c r="E2496">
        <v>0.4663853</v>
      </c>
      <c r="F2496" t="s">
        <v>57</v>
      </c>
      <c r="G2496">
        <v>-358.60129999999998</v>
      </c>
      <c r="H2496" s="1">
        <v>2.9586879999999998E-6</v>
      </c>
      <c r="I2496">
        <v>216.4853</v>
      </c>
      <c r="J2496">
        <v>-377.42360000000002</v>
      </c>
      <c r="K2496">
        <v>1.1033709999999901</v>
      </c>
      <c r="L2496">
        <v>214.4297</v>
      </c>
      <c r="M2496">
        <v>0.99973099999999904</v>
      </c>
      <c r="N2496">
        <v>0</v>
      </c>
      <c r="O2496">
        <v>-2.0856960000000001E-2</v>
      </c>
      <c r="P2496">
        <v>0.99968539999999995</v>
      </c>
      <c r="Q2496">
        <v>1.84368E-2</v>
      </c>
      <c r="R2496">
        <v>1.7008519999999999E-2</v>
      </c>
      <c r="S2496">
        <v>2.9985659999999998</v>
      </c>
      <c r="T2496">
        <v>-0.1738035</v>
      </c>
      <c r="U2496">
        <v>0.32292179999999998</v>
      </c>
      <c r="V2496">
        <v>-3.7800380000000001E-2</v>
      </c>
      <c r="W2496">
        <v>2.865668E-2</v>
      </c>
      <c r="X2496">
        <v>0.99887429999999999</v>
      </c>
      <c r="Y2496">
        <v>-0.1275415</v>
      </c>
      <c r="Z2496">
        <v>4.8873359999999999E-3</v>
      </c>
      <c r="AA2496">
        <v>0.99182119999999996</v>
      </c>
      <c r="AB2496">
        <v>22</v>
      </c>
      <c r="AC2496">
        <v>18.822299999999998</v>
      </c>
      <c r="AD2496">
        <v>-1.1033680413119999</v>
      </c>
      <c r="AE2496">
        <v>2.0555999999999899</v>
      </c>
      <c r="AF2496">
        <v>-2.4394649461931901</v>
      </c>
      <c r="AG2496">
        <v>-1.1033680413119999</v>
      </c>
      <c r="AH2496">
        <v>18.711787298697899</v>
      </c>
      <c r="AI2496">
        <v>93.346369007463494</v>
      </c>
      <c r="AJ2496">
        <v>97.427786071919101</v>
      </c>
      <c r="AK2496">
        <v>18.902364777191298</v>
      </c>
    </row>
    <row r="2497" spans="1:37" x14ac:dyDescent="0.2">
      <c r="A2497" t="str">
        <f>"20200111160203592"</f>
        <v>20200111160203592</v>
      </c>
      <c r="B2497" t="str">
        <f>"1578729723583971"</f>
        <v>1578729723583971</v>
      </c>
      <c r="C2497" t="s">
        <v>37</v>
      </c>
      <c r="D2497">
        <v>5.4199929999999998</v>
      </c>
      <c r="E2497">
        <v>0.46578170000000002</v>
      </c>
      <c r="F2497" t="s">
        <v>57</v>
      </c>
      <c r="G2497">
        <v>-358.1524</v>
      </c>
      <c r="H2497" s="1">
        <v>2.7164389999999898E-6</v>
      </c>
      <c r="I2497">
        <v>216.56219999999999</v>
      </c>
      <c r="J2497">
        <v>-377.18830000000003</v>
      </c>
      <c r="K2497">
        <v>1.1033949999999999</v>
      </c>
      <c r="L2497">
        <v>214.42320000000001</v>
      </c>
      <c r="M2497">
        <v>0.99970439999999905</v>
      </c>
      <c r="N2497">
        <v>0</v>
      </c>
      <c r="O2497">
        <v>-2.219078E-2</v>
      </c>
      <c r="P2497">
        <v>0.99969430000000004</v>
      </c>
      <c r="Q2497">
        <v>1.9075080000000001E-2</v>
      </c>
      <c r="R2497">
        <v>1.574505E-2</v>
      </c>
      <c r="S2497">
        <v>2.9984739999999999</v>
      </c>
      <c r="T2497">
        <v>-0.1716763</v>
      </c>
      <c r="U2497">
        <v>0.3318024</v>
      </c>
      <c r="V2497">
        <v>-3.7872309999999999E-2</v>
      </c>
      <c r="W2497">
        <v>2.9089460000000001E-2</v>
      </c>
      <c r="X2497">
        <v>0.9988591</v>
      </c>
      <c r="Y2497">
        <v>-0.13176660000000001</v>
      </c>
      <c r="Z2497">
        <v>5.023596E-3</v>
      </c>
      <c r="AA2497">
        <v>0.99126800000000004</v>
      </c>
      <c r="AB2497">
        <v>22</v>
      </c>
      <c r="AC2497">
        <v>19.035900000000002</v>
      </c>
      <c r="AD2497">
        <v>-1.1033922835609999</v>
      </c>
      <c r="AE2497">
        <v>2.1389999999999798</v>
      </c>
      <c r="AF2497">
        <v>-2.5524467673417401</v>
      </c>
      <c r="AG2497">
        <v>-1.1033922835609999</v>
      </c>
      <c r="AH2497">
        <v>18.920965653227999</v>
      </c>
      <c r="AI2497">
        <v>93.307579713819393</v>
      </c>
      <c r="AJ2497">
        <v>97.682845951401902</v>
      </c>
      <c r="AK2497">
        <v>19.124209794973702</v>
      </c>
    </row>
    <row r="2498" spans="1:37" x14ac:dyDescent="0.2">
      <c r="A2498" t="str">
        <f>"20200111160203614"</f>
        <v>20200111160203614</v>
      </c>
      <c r="B2498" t="str">
        <f>"1578729723604468"</f>
        <v>1578729723604468</v>
      </c>
      <c r="C2498" t="s">
        <v>37</v>
      </c>
      <c r="D2498">
        <v>5.4619869999999997</v>
      </c>
      <c r="E2498">
        <v>0.46511429999999998</v>
      </c>
      <c r="F2498" t="s">
        <v>57</v>
      </c>
      <c r="G2498">
        <v>-358.55599999999998</v>
      </c>
      <c r="H2498" s="1">
        <v>2.9343500000000001E-6</v>
      </c>
      <c r="I2498">
        <v>216.4913</v>
      </c>
      <c r="J2498">
        <v>-376.96620000000001</v>
      </c>
      <c r="K2498">
        <v>1.103421</v>
      </c>
      <c r="L2498">
        <v>214.4169</v>
      </c>
      <c r="M2498">
        <v>0.99967850000000003</v>
      </c>
      <c r="N2498">
        <v>0</v>
      </c>
      <c r="O2498">
        <v>-2.3393730000000001E-2</v>
      </c>
      <c r="P2498">
        <v>0.99969300000000005</v>
      </c>
      <c r="Q2498">
        <v>2.0273240000000001E-2</v>
      </c>
      <c r="R2498">
        <v>1.4246160000000001E-2</v>
      </c>
      <c r="S2498">
        <v>2.9990839999999999</v>
      </c>
      <c r="T2498">
        <v>-0.17760379999999901</v>
      </c>
      <c r="U2498">
        <v>0.33288570000000001</v>
      </c>
      <c r="V2498">
        <v>-3.7575860000000003E-2</v>
      </c>
      <c r="W2498">
        <v>3.01166E-2</v>
      </c>
      <c r="X2498">
        <v>0.998839899999999</v>
      </c>
      <c r="Y2498">
        <v>-0.13326879999999999</v>
      </c>
      <c r="Z2498">
        <v>5.3108969999999898E-3</v>
      </c>
      <c r="AA2498">
        <v>0.99106569999999905</v>
      </c>
      <c r="AB2498">
        <v>23</v>
      </c>
      <c r="AC2498">
        <v>18.4102</v>
      </c>
      <c r="AD2498">
        <v>-1.1034180656499999</v>
      </c>
      <c r="AE2498">
        <v>2.07439999999999</v>
      </c>
      <c r="AF2498">
        <v>-2.4956834304342701</v>
      </c>
      <c r="AG2498">
        <v>-1.1034180656499999</v>
      </c>
      <c r="AH2498">
        <v>18.2917466685413</v>
      </c>
      <c r="AI2498">
        <v>93.420472485486997</v>
      </c>
      <c r="AJ2498">
        <v>97.769330769629207</v>
      </c>
      <c r="AK2498">
        <v>18.494160251242601</v>
      </c>
    </row>
    <row r="2499" spans="1:37" x14ac:dyDescent="0.2">
      <c r="A2499" t="str">
        <f>"20200111160203637"</f>
        <v>20200111160203637</v>
      </c>
      <c r="B2499" t="str">
        <f>"1578729723634253"</f>
        <v>1578729723634253</v>
      </c>
      <c r="C2499" t="s">
        <v>37</v>
      </c>
      <c r="D2499">
        <v>5.3397569999999996</v>
      </c>
      <c r="E2499">
        <v>0.46535199999999999</v>
      </c>
      <c r="F2499" t="s">
        <v>57</v>
      </c>
      <c r="G2499">
        <v>-358.50380000000001</v>
      </c>
      <c r="H2499" s="1">
        <v>2.9073699999999999E-6</v>
      </c>
      <c r="I2499">
        <v>216.47299999999899</v>
      </c>
      <c r="J2499">
        <v>-376.73820000000001</v>
      </c>
      <c r="K2499">
        <v>1.1034440000000001</v>
      </c>
      <c r="L2499">
        <v>214.4102</v>
      </c>
      <c r="M2499">
        <v>0.99965159999999997</v>
      </c>
      <c r="N2499">
        <v>0</v>
      </c>
      <c r="O2499">
        <v>-2.4580500000000002E-2</v>
      </c>
      <c r="P2499">
        <v>0.99966849999999996</v>
      </c>
      <c r="Q2499">
        <v>2.201175E-2</v>
      </c>
      <c r="R2499">
        <v>1.337938E-2</v>
      </c>
      <c r="S2499">
        <v>2.9997859999999998</v>
      </c>
      <c r="T2499">
        <v>-0.1792842</v>
      </c>
      <c r="U2499">
        <v>0.33407589999999998</v>
      </c>
      <c r="V2499">
        <v>-3.789406E-2</v>
      </c>
      <c r="W2499">
        <v>3.1702750000000002E-2</v>
      </c>
      <c r="X2499">
        <v>0.99877879999999997</v>
      </c>
      <c r="Y2499">
        <v>-0.13479839999999901</v>
      </c>
      <c r="Z2499">
        <v>5.4759040000000002E-3</v>
      </c>
      <c r="AA2499">
        <v>0.99085789999999996</v>
      </c>
      <c r="AB2499">
        <v>23</v>
      </c>
      <c r="AC2499">
        <v>18.234399999999901</v>
      </c>
      <c r="AD2499">
        <v>-1.10344109263</v>
      </c>
      <c r="AE2499">
        <v>2.0627999999999802</v>
      </c>
      <c r="AF2499">
        <v>-2.5013638837778198</v>
      </c>
      <c r="AG2499">
        <v>-1.10344109263</v>
      </c>
      <c r="AH2499">
        <v>18.112692933154801</v>
      </c>
      <c r="AI2499">
        <v>93.453504435956702</v>
      </c>
      <c r="AJ2499">
        <v>97.862816425462597</v>
      </c>
      <c r="AK2499">
        <v>18.317861469471001</v>
      </c>
    </row>
    <row r="2500" spans="1:37" x14ac:dyDescent="0.2">
      <c r="A2500" t="str">
        <f>"20200111160203659"</f>
        <v>20200111160203659</v>
      </c>
      <c r="B2500" t="str">
        <f>"1578729723653775"</f>
        <v>1578729723653775</v>
      </c>
      <c r="C2500" t="s">
        <v>37</v>
      </c>
      <c r="D2500">
        <v>5.3556800000000004</v>
      </c>
      <c r="E2500">
        <v>0.46488469999999998</v>
      </c>
      <c r="F2500" t="s">
        <v>57</v>
      </c>
      <c r="G2500">
        <v>-356.59129999999999</v>
      </c>
      <c r="H2500" s="1">
        <v>1.8833250000000001E-6</v>
      </c>
      <c r="I2500">
        <v>216.6173</v>
      </c>
      <c r="J2500">
        <v>-376.51670000000001</v>
      </c>
      <c r="K2500">
        <v>1.103467</v>
      </c>
      <c r="L2500">
        <v>214.40350000000001</v>
      </c>
      <c r="M2500">
        <v>0.99962479999999998</v>
      </c>
      <c r="N2500">
        <v>0</v>
      </c>
      <c r="O2500">
        <v>-2.5684999999999999E-2</v>
      </c>
      <c r="P2500">
        <v>0.99965809999999999</v>
      </c>
      <c r="Q2500">
        <v>2.2804359999999999E-2</v>
      </c>
      <c r="R2500">
        <v>1.2791719999999999E-2</v>
      </c>
      <c r="S2500">
        <v>3.0002140000000002</v>
      </c>
      <c r="T2500">
        <v>-0.16432140000000001</v>
      </c>
      <c r="U2500">
        <v>0.32867429999999997</v>
      </c>
      <c r="V2500">
        <v>-3.8410920000000001E-2</v>
      </c>
      <c r="W2500">
        <v>3.2372369999999998E-2</v>
      </c>
      <c r="X2500">
        <v>0.99873749999999994</v>
      </c>
      <c r="Y2500">
        <v>-0.13415940000000001</v>
      </c>
      <c r="Z2500">
        <v>5.0622419999999998E-3</v>
      </c>
      <c r="AA2500">
        <v>0.99094680000000002</v>
      </c>
      <c r="AB2500">
        <v>23</v>
      </c>
      <c r="AC2500">
        <v>19.9254</v>
      </c>
      <c r="AD2500">
        <v>-1.103465116675</v>
      </c>
      <c r="AE2500">
        <v>2.2137999999999902</v>
      </c>
      <c r="AF2500">
        <v>-2.7166464834881201</v>
      </c>
      <c r="AG2500">
        <v>-1.103465116675</v>
      </c>
      <c r="AH2500">
        <v>19.8019710888125</v>
      </c>
      <c r="AI2500">
        <v>93.159971488197698</v>
      </c>
      <c r="AJ2500">
        <v>97.811683623677496</v>
      </c>
      <c r="AK2500">
        <v>20.017888559539301</v>
      </c>
    </row>
    <row r="2501" spans="1:37" x14ac:dyDescent="0.2">
      <c r="A2501" t="str">
        <f>"20200111160203681"</f>
        <v>20200111160203681</v>
      </c>
      <c r="B2501" t="str">
        <f>"1578729723674270"</f>
        <v>1578729723674270</v>
      </c>
      <c r="C2501" t="s">
        <v>37</v>
      </c>
      <c r="D2501">
        <v>5.4497029999999897</v>
      </c>
      <c r="E2501">
        <v>0.46452270000000001</v>
      </c>
      <c r="F2501" t="s">
        <v>57</v>
      </c>
      <c r="G2501">
        <v>-356.22379999999998</v>
      </c>
      <c r="H2501" s="1">
        <v>1.6868299999999899E-6</v>
      </c>
      <c r="I2501">
        <v>216.6388</v>
      </c>
      <c r="J2501">
        <v>-376.28649999999999</v>
      </c>
      <c r="K2501">
        <v>1.103497</v>
      </c>
      <c r="L2501">
        <v>214.3963</v>
      </c>
      <c r="M2501">
        <v>0.99959730000000002</v>
      </c>
      <c r="N2501">
        <v>0</v>
      </c>
      <c r="O2501">
        <v>-2.6774799999999901E-2</v>
      </c>
      <c r="P2501">
        <v>0.99965759999999904</v>
      </c>
      <c r="Q2501">
        <v>2.3076590000000001E-2</v>
      </c>
      <c r="R2501">
        <v>1.234999E-2</v>
      </c>
      <c r="S2501">
        <v>3.0005189999999899</v>
      </c>
      <c r="T2501">
        <v>-0.16315969999999999</v>
      </c>
      <c r="U2501">
        <v>0.330520599999999</v>
      </c>
      <c r="V2501">
        <v>-3.906076E-2</v>
      </c>
      <c r="W2501">
        <v>3.2540600000000003E-2</v>
      </c>
      <c r="X2501">
        <v>0.99870680000000001</v>
      </c>
      <c r="Y2501">
        <v>-0.13583039999999999</v>
      </c>
      <c r="Z2501">
        <v>5.1301619999999997E-3</v>
      </c>
      <c r="AA2501">
        <v>0.99071880000000001</v>
      </c>
      <c r="AB2501">
        <v>23</v>
      </c>
      <c r="AC2501">
        <v>20.0627</v>
      </c>
      <c r="AD2501">
        <v>-1.10349531317</v>
      </c>
      <c r="AE2501">
        <v>2.2425000000000002</v>
      </c>
      <c r="AF2501">
        <v>-2.7706160845424699</v>
      </c>
      <c r="AG2501">
        <v>-1.10349531317</v>
      </c>
      <c r="AH2501">
        <v>19.935894565556801</v>
      </c>
      <c r="AI2501">
        <v>93.138114224735801</v>
      </c>
      <c r="AJ2501">
        <v>97.912073952579405</v>
      </c>
      <c r="AK2501">
        <v>20.1577257527507</v>
      </c>
    </row>
    <row r="2502" spans="1:37" x14ac:dyDescent="0.2">
      <c r="A2502" t="str">
        <f>"20200111160203704"</f>
        <v>20200111160203704</v>
      </c>
      <c r="B2502" t="str">
        <f>"1578729723693791"</f>
        <v>1578729723693791</v>
      </c>
      <c r="C2502" t="s">
        <v>37</v>
      </c>
      <c r="D2502">
        <v>5.4890600000000003</v>
      </c>
      <c r="E2502">
        <v>0.46418710000000002</v>
      </c>
      <c r="F2502" t="s">
        <v>57</v>
      </c>
      <c r="G2502">
        <v>-356.41950000000003</v>
      </c>
      <c r="H2502" s="1">
        <v>1.7928819999999999E-6</v>
      </c>
      <c r="I2502">
        <v>216.5942</v>
      </c>
      <c r="J2502">
        <v>-376.05309999999997</v>
      </c>
      <c r="K2502">
        <v>1.1035330000000001</v>
      </c>
      <c r="L2502">
        <v>214.3888</v>
      </c>
      <c r="M2502">
        <v>0.99956970000000001</v>
      </c>
      <c r="N2502">
        <v>0</v>
      </c>
      <c r="O2502">
        <v>-2.7812650000000001E-2</v>
      </c>
      <c r="P2502">
        <v>0.99965599999999999</v>
      </c>
      <c r="Q2502">
        <v>2.338838E-2</v>
      </c>
      <c r="R2502">
        <v>1.1890710000000001E-2</v>
      </c>
      <c r="S2502">
        <v>3.0007929999999998</v>
      </c>
      <c r="T2502">
        <v>-0.16667599999999999</v>
      </c>
      <c r="U2502">
        <v>0.33198549999999999</v>
      </c>
      <c r="V2502">
        <v>-3.9640979999999999E-2</v>
      </c>
      <c r="W2502">
        <v>3.2770319999999999E-2</v>
      </c>
      <c r="X2502">
        <v>0.99867649999999997</v>
      </c>
      <c r="Y2502">
        <v>-0.13731270000000001</v>
      </c>
      <c r="Z2502">
        <v>5.3384089999999997E-3</v>
      </c>
      <c r="AA2502">
        <v>0.99051339999999999</v>
      </c>
      <c r="AB2502">
        <v>23</v>
      </c>
      <c r="AC2502">
        <v>19.633599999999898</v>
      </c>
      <c r="AD2502">
        <v>-1.1035312071179999</v>
      </c>
      <c r="AE2502">
        <v>2.2053999999999898</v>
      </c>
      <c r="AF2502">
        <v>-2.7420782598028901</v>
      </c>
      <c r="AG2502">
        <v>-1.1035312071179999</v>
      </c>
      <c r="AH2502">
        <v>19.5038158596332</v>
      </c>
      <c r="AI2502">
        <v>93.206886158634504</v>
      </c>
      <c r="AJ2502">
        <v>98.0028683597114</v>
      </c>
      <c r="AK2502">
        <v>19.7265204076757</v>
      </c>
    </row>
    <row r="2503" spans="1:37" x14ac:dyDescent="0.2">
      <c r="A2503" t="str">
        <f>"20200111160203728"</f>
        <v>20200111160203728</v>
      </c>
      <c r="B2503" t="str">
        <f>"1578729723724555"</f>
        <v>1578729723724555</v>
      </c>
      <c r="C2503" t="s">
        <v>37</v>
      </c>
      <c r="D2503">
        <v>5.470218</v>
      </c>
      <c r="E2503">
        <v>0.46384929999999902</v>
      </c>
      <c r="F2503" t="s">
        <v>57</v>
      </c>
      <c r="G2503">
        <v>-356.56580000000002</v>
      </c>
      <c r="H2503" s="1">
        <v>1.8724569999999999E-6</v>
      </c>
      <c r="I2503">
        <v>216.55549999999999</v>
      </c>
      <c r="J2503">
        <v>-375.8109</v>
      </c>
      <c r="K2503">
        <v>1.103585</v>
      </c>
      <c r="L2503">
        <v>214.3809</v>
      </c>
      <c r="M2503">
        <v>0.99954209999999999</v>
      </c>
      <c r="N2503">
        <v>0</v>
      </c>
      <c r="O2503">
        <v>-2.880373E-2</v>
      </c>
      <c r="P2503">
        <v>0.99966189999999999</v>
      </c>
      <c r="Q2503">
        <v>2.356774E-2</v>
      </c>
      <c r="R2503">
        <v>1.098357E-2</v>
      </c>
      <c r="S2503">
        <v>3.0010379999999999</v>
      </c>
      <c r="T2503">
        <v>-0.1699436</v>
      </c>
      <c r="U2503">
        <v>0.33366390000000001</v>
      </c>
      <c r="V2503">
        <v>-3.9728439999999997E-2</v>
      </c>
      <c r="W2503">
        <v>3.2888029999999999E-2</v>
      </c>
      <c r="X2503">
        <v>0.99866909999999898</v>
      </c>
      <c r="Y2503">
        <v>-0.1388192</v>
      </c>
      <c r="Z2503">
        <v>5.540723E-3</v>
      </c>
      <c r="AA2503">
        <v>0.99030229999999997</v>
      </c>
      <c r="AB2503">
        <v>23</v>
      </c>
      <c r="AC2503">
        <v>19.245099999999901</v>
      </c>
      <c r="AD2503">
        <v>-1.1035831275429999</v>
      </c>
      <c r="AE2503">
        <v>2.1745999999999901</v>
      </c>
      <c r="AF2503">
        <v>-2.7192232739130402</v>
      </c>
      <c r="AG2503">
        <v>-1.1035831275429999</v>
      </c>
      <c r="AH2503">
        <v>19.1124201575504</v>
      </c>
      <c r="AI2503">
        <v>93.271808953242399</v>
      </c>
      <c r="AJ2503">
        <v>98.0974233114014</v>
      </c>
      <c r="AK2503">
        <v>19.336408022472199</v>
      </c>
    </row>
    <row r="2504" spans="1:37" x14ac:dyDescent="0.2">
      <c r="A2504" t="str">
        <f>"20200111160203750"</f>
        <v>20200111160203750</v>
      </c>
      <c r="B2504" t="str">
        <f>"1578729723744076"</f>
        <v>1578729723744076</v>
      </c>
      <c r="C2504" t="s">
        <v>37</v>
      </c>
      <c r="D2504">
        <v>5.5653990000000002</v>
      </c>
      <c r="E2504">
        <v>0.46352009999999999</v>
      </c>
      <c r="F2504" t="s">
        <v>57</v>
      </c>
      <c r="G2504">
        <v>-356.61849999999998</v>
      </c>
      <c r="H2504" s="1">
        <v>1.9021109999999901E-6</v>
      </c>
      <c r="I2504">
        <v>216.51769999999999</v>
      </c>
      <c r="J2504">
        <v>-375.58</v>
      </c>
      <c r="K2504">
        <v>1.1036549999999901</v>
      </c>
      <c r="L2504">
        <v>214.3732</v>
      </c>
      <c r="M2504">
        <v>0.99951800000000002</v>
      </c>
      <c r="N2504">
        <v>0</v>
      </c>
      <c r="O2504">
        <v>-2.9641109999999998E-2</v>
      </c>
      <c r="P2504">
        <v>0.99967759999999894</v>
      </c>
      <c r="Q2504">
        <v>2.3162470000000001E-2</v>
      </c>
      <c r="R2504">
        <v>1.040844E-2</v>
      </c>
      <c r="S2504">
        <v>3.001404</v>
      </c>
      <c r="T2504">
        <v>-0.17258380000000001</v>
      </c>
      <c r="U2504">
        <v>0.33416750000000001</v>
      </c>
      <c r="V2504">
        <v>-3.999664E-2</v>
      </c>
      <c r="W2504">
        <v>3.244147E-2</v>
      </c>
      <c r="X2504">
        <v>0.99867299999999903</v>
      </c>
      <c r="Y2504">
        <v>-0.13978840000000001</v>
      </c>
      <c r="Z2504">
        <v>5.7016740000000003E-3</v>
      </c>
      <c r="AA2504">
        <v>0.99016499999999996</v>
      </c>
      <c r="AB2504">
        <v>23</v>
      </c>
      <c r="AC2504">
        <v>18.961500000000001</v>
      </c>
      <c r="AD2504">
        <v>-1.10365309788899</v>
      </c>
      <c r="AE2504">
        <v>2.1444999999999901</v>
      </c>
      <c r="AF2504">
        <v>-2.6966012723178898</v>
      </c>
      <c r="AG2504">
        <v>-1.10365309788899</v>
      </c>
      <c r="AH2504">
        <v>18.826624039074101</v>
      </c>
      <c r="AI2504">
        <v>93.321131896916896</v>
      </c>
      <c r="AJ2504">
        <v>98.151227731564902</v>
      </c>
      <c r="AK2504">
        <v>19.050760648619502</v>
      </c>
    </row>
    <row r="2505" spans="1:37" x14ac:dyDescent="0.2">
      <c r="A2505" t="str">
        <f>"20200111160203772"</f>
        <v>20200111160203772</v>
      </c>
      <c r="B2505" t="str">
        <f>"1578729723764572"</f>
        <v>1578729723764572</v>
      </c>
      <c r="C2505" t="s">
        <v>37</v>
      </c>
      <c r="D2505">
        <v>6.2034180000000001</v>
      </c>
      <c r="E2505">
        <v>0.46298660000000003</v>
      </c>
      <c r="F2505" t="s">
        <v>57</v>
      </c>
      <c r="G2505">
        <v>-356.89499999999998</v>
      </c>
      <c r="H2505" s="1">
        <v>2.0517869999999998E-6</v>
      </c>
      <c r="I2505">
        <v>216.4597</v>
      </c>
      <c r="J2505">
        <v>-375.3544</v>
      </c>
      <c r="K2505">
        <v>1.1037410000000001</v>
      </c>
      <c r="L2505">
        <v>214.3656</v>
      </c>
      <c r="M2505">
        <v>0.99949709999999903</v>
      </c>
      <c r="N2505">
        <v>0</v>
      </c>
      <c r="O2505">
        <v>-3.0340860000000001E-2</v>
      </c>
      <c r="P2505">
        <v>0.99968699999999999</v>
      </c>
      <c r="Q2505">
        <v>2.3148220000000001E-2</v>
      </c>
      <c r="R2505">
        <v>9.4896670000000002E-3</v>
      </c>
      <c r="S2505">
        <v>3.001617</v>
      </c>
      <c r="T2505">
        <v>-0.177293799999999</v>
      </c>
      <c r="U2505">
        <v>0.33518979999999998</v>
      </c>
      <c r="V2505">
        <v>-3.9783840000000001E-2</v>
      </c>
      <c r="W2505">
        <v>3.2398589999999998E-2</v>
      </c>
      <c r="X2505">
        <v>0.99868289999999904</v>
      </c>
      <c r="Y2505">
        <v>-0.14078869999999999</v>
      </c>
      <c r="Z2505">
        <v>5.9271069999999896E-3</v>
      </c>
      <c r="AA2505">
        <v>0.99002190000000001</v>
      </c>
      <c r="AB2505">
        <v>23</v>
      </c>
      <c r="AC2505">
        <v>18.459399999999999</v>
      </c>
      <c r="AD2505">
        <v>-1.103738948213</v>
      </c>
      <c r="AE2505">
        <v>2.0940999999999899</v>
      </c>
      <c r="AF2505">
        <v>-2.6439013712761201</v>
      </c>
      <c r="AG2505">
        <v>-1.103738948213</v>
      </c>
      <c r="AH2505">
        <v>18.322686734764901</v>
      </c>
      <c r="AI2505">
        <v>93.4120165687428</v>
      </c>
      <c r="AJ2505">
        <v>98.210911254327399</v>
      </c>
      <c r="AK2505">
        <v>18.545331037950401</v>
      </c>
    </row>
    <row r="2506" spans="1:37" x14ac:dyDescent="0.2">
      <c r="A2506" t="str">
        <f>"20200111160203794"</f>
        <v>20200111160203794</v>
      </c>
      <c r="B2506" t="str">
        <f>"1578729723784091"</f>
        <v>1578729723784091</v>
      </c>
      <c r="C2506" t="s">
        <v>37</v>
      </c>
      <c r="D2506">
        <v>5.53179</v>
      </c>
      <c r="E2506">
        <v>0.46286579999999899</v>
      </c>
      <c r="F2506" t="s">
        <v>57</v>
      </c>
      <c r="G2506">
        <v>-356.2867</v>
      </c>
      <c r="H2506" s="1">
        <v>1.726244E-6</v>
      </c>
      <c r="I2506">
        <v>216.50239999999999</v>
      </c>
      <c r="J2506">
        <v>-375.12959999999998</v>
      </c>
      <c r="K2506">
        <v>1.1038209999999999</v>
      </c>
      <c r="L2506">
        <v>214.35810000000001</v>
      </c>
      <c r="M2506">
        <v>0.99947909999999995</v>
      </c>
      <c r="N2506">
        <v>0</v>
      </c>
      <c r="O2506">
        <v>-3.0934349999999999E-2</v>
      </c>
      <c r="P2506">
        <v>0.99970219999999899</v>
      </c>
      <c r="Q2506">
        <v>2.2983139999999999E-2</v>
      </c>
      <c r="R2506">
        <v>8.2173579999999993E-3</v>
      </c>
      <c r="S2506">
        <v>3.0017399999999999</v>
      </c>
      <c r="T2506">
        <v>-0.17375639999999901</v>
      </c>
      <c r="U2506">
        <v>0.33638000000000001</v>
      </c>
      <c r="V2506">
        <v>-3.9112130000000002E-2</v>
      </c>
      <c r="W2506">
        <v>3.2216519999999998E-2</v>
      </c>
      <c r="X2506">
        <v>0.99871529999999997</v>
      </c>
      <c r="Y2506">
        <v>-0.1417688</v>
      </c>
      <c r="Z2506">
        <v>5.8711800000000001E-3</v>
      </c>
      <c r="AA2506">
        <v>0.98988240000000005</v>
      </c>
      <c r="AB2506">
        <v>23</v>
      </c>
      <c r="AC2506">
        <v>18.842899999999901</v>
      </c>
      <c r="AD2506">
        <v>-1.103819273756</v>
      </c>
      <c r="AE2506">
        <v>2.1442999999999799</v>
      </c>
      <c r="AF2506">
        <v>-2.7169867173710398</v>
      </c>
      <c r="AG2506">
        <v>-1.103819273756</v>
      </c>
      <c r="AH2506">
        <v>18.7041808028657</v>
      </c>
      <c r="AI2506">
        <v>93.342370503141595</v>
      </c>
      <c r="AJ2506">
        <v>98.265029075902504</v>
      </c>
      <c r="AK2506">
        <v>18.932691655382101</v>
      </c>
    </row>
    <row r="2507" spans="1:37" x14ac:dyDescent="0.2">
      <c r="A2507" t="str">
        <f>"20200111160203817"</f>
        <v>20200111160203817</v>
      </c>
      <c r="B2507" t="str">
        <f>"1578729723813879"</f>
        <v>1578729723813879</v>
      </c>
      <c r="C2507" t="s">
        <v>37</v>
      </c>
      <c r="D2507">
        <v>5.5260089999999904</v>
      </c>
      <c r="E2507">
        <v>0.46246809999999899</v>
      </c>
      <c r="F2507" t="s">
        <v>57</v>
      </c>
      <c r="G2507">
        <v>-356.44580000000002</v>
      </c>
      <c r="H2507" s="1">
        <v>1.813897E-6</v>
      </c>
      <c r="I2507">
        <v>216.43430000000001</v>
      </c>
      <c r="J2507">
        <v>-374.89859999999999</v>
      </c>
      <c r="K2507">
        <v>1.103909</v>
      </c>
      <c r="L2507">
        <v>214.3503</v>
      </c>
      <c r="M2507">
        <v>0.99946399999999902</v>
      </c>
      <c r="N2507">
        <v>0</v>
      </c>
      <c r="O2507">
        <v>-3.14182E-2</v>
      </c>
      <c r="P2507">
        <v>0.99972680000000003</v>
      </c>
      <c r="Q2507">
        <v>2.2432319999999999E-2</v>
      </c>
      <c r="R2507">
        <v>6.5894100000000004E-3</v>
      </c>
      <c r="S2507">
        <v>3.0022279999999899</v>
      </c>
      <c r="T2507">
        <v>-0.17736859999999999</v>
      </c>
      <c r="U2507">
        <v>0.33361819999999998</v>
      </c>
      <c r="V2507">
        <v>-3.7976030000000001E-2</v>
      </c>
      <c r="W2507">
        <v>3.1660340000000002E-2</v>
      </c>
      <c r="X2507">
        <v>0.99877700000000003</v>
      </c>
      <c r="Y2507">
        <v>-0.14131869999999999</v>
      </c>
      <c r="Z2507">
        <v>6.0076039999999997E-3</v>
      </c>
      <c r="AA2507">
        <v>0.98994590000000005</v>
      </c>
      <c r="AB2507">
        <v>23</v>
      </c>
      <c r="AC2507">
        <v>18.4527999999999</v>
      </c>
      <c r="AD2507">
        <v>-1.1039071861030001</v>
      </c>
      <c r="AE2507">
        <v>2.0840000000000001</v>
      </c>
      <c r="AF2507">
        <v>-2.6533730190170202</v>
      </c>
      <c r="AG2507">
        <v>-1.1039071861030001</v>
      </c>
      <c r="AH2507">
        <v>18.313495884843999</v>
      </c>
      <c r="AI2507">
        <v>93.413959562869394</v>
      </c>
      <c r="AJ2507">
        <v>98.244001718496307</v>
      </c>
      <c r="AK2507">
        <v>18.537613950500099</v>
      </c>
    </row>
    <row r="2508" spans="1:37" x14ac:dyDescent="0.2">
      <c r="A2508" t="str">
        <f>"20200111160203839"</f>
        <v>20200111160203839</v>
      </c>
      <c r="B2508" t="str">
        <f>"1578729723834375"</f>
        <v>1578729723834375</v>
      </c>
      <c r="C2508" t="s">
        <v>37</v>
      </c>
      <c r="D2508">
        <v>5.5423419999999997</v>
      </c>
      <c r="E2508">
        <v>0.46216289999999999</v>
      </c>
      <c r="F2508" t="s">
        <v>57</v>
      </c>
      <c r="G2508">
        <v>-356.41609999999997</v>
      </c>
      <c r="H2508" s="1">
        <v>1.7997849999999999E-6</v>
      </c>
      <c r="I2508">
        <v>216.39570000000001</v>
      </c>
      <c r="J2508">
        <v>-374.6687</v>
      </c>
      <c r="K2508">
        <v>1.1040099999999999</v>
      </c>
      <c r="L2508">
        <v>214.3426</v>
      </c>
      <c r="M2508">
        <v>0.99945339999999905</v>
      </c>
      <c r="N2508">
        <v>0</v>
      </c>
      <c r="O2508">
        <v>-3.1747209999999998E-2</v>
      </c>
      <c r="P2508">
        <v>0.99971889999999997</v>
      </c>
      <c r="Q2508">
        <v>2.324151E-2</v>
      </c>
      <c r="R2508">
        <v>4.7315859999999899E-3</v>
      </c>
      <c r="S2508">
        <v>3.0026549999999999</v>
      </c>
      <c r="T2508">
        <v>-0.17934079999999999</v>
      </c>
      <c r="U2508">
        <v>0.33229059999999999</v>
      </c>
      <c r="V2508">
        <v>-3.6454350000000003E-2</v>
      </c>
      <c r="W2508">
        <v>3.2480549999999997E-2</v>
      </c>
      <c r="X2508">
        <v>0.99880729999999995</v>
      </c>
      <c r="Y2508">
        <v>-0.14118989999999901</v>
      </c>
      <c r="Z2508">
        <v>6.0893240000000001E-3</v>
      </c>
      <c r="AA2508">
        <v>0.98996379999999995</v>
      </c>
      <c r="AB2508">
        <v>23</v>
      </c>
      <c r="AC2508">
        <v>18.252600000000001</v>
      </c>
      <c r="AD2508">
        <v>-1.104008200215</v>
      </c>
      <c r="AE2508">
        <v>2.0531000000000001</v>
      </c>
      <c r="AF2508">
        <v>-2.62208589328334</v>
      </c>
      <c r="AG2508">
        <v>-1.104008200215</v>
      </c>
      <c r="AH2508">
        <v>18.112779199038599</v>
      </c>
      <c r="AI2508">
        <v>93.452074955149598</v>
      </c>
      <c r="AJ2508">
        <v>98.237166739039694</v>
      </c>
      <c r="AK2508">
        <v>18.334855844838899</v>
      </c>
    </row>
    <row r="2509" spans="1:37" x14ac:dyDescent="0.2">
      <c r="A2509" t="str">
        <f>"20200111160203860"</f>
        <v>20200111160203860</v>
      </c>
      <c r="B2509" t="str">
        <f>"1578729723853895"</f>
        <v>1578729723853895</v>
      </c>
      <c r="C2509" t="s">
        <v>37</v>
      </c>
      <c r="D2509">
        <v>5.5803019999999997</v>
      </c>
      <c r="E2509">
        <v>0.46185949999999998</v>
      </c>
      <c r="F2509" t="s">
        <v>57</v>
      </c>
      <c r="G2509">
        <v>-355.80739999999997</v>
      </c>
      <c r="H2509" s="1">
        <v>1.475144E-6</v>
      </c>
      <c r="I2509">
        <v>216.4118</v>
      </c>
      <c r="J2509">
        <v>-374.44869999999997</v>
      </c>
      <c r="K2509">
        <v>1.1041179999999999</v>
      </c>
      <c r="L2509">
        <v>214.33529999999999</v>
      </c>
      <c r="M2509">
        <v>0.9994478</v>
      </c>
      <c r="N2509">
        <v>0</v>
      </c>
      <c r="O2509">
        <v>-3.1911759999999997E-2</v>
      </c>
      <c r="P2509">
        <v>0.99970230000000004</v>
      </c>
      <c r="Q2509">
        <v>2.4222939999999998E-2</v>
      </c>
      <c r="R2509">
        <v>3.0026850000000002E-3</v>
      </c>
      <c r="S2509">
        <v>3.0033259999999999</v>
      </c>
      <c r="T2509">
        <v>-0.17579349999999999</v>
      </c>
      <c r="U2509">
        <v>0.32948299999999903</v>
      </c>
      <c r="V2509">
        <v>-3.4897640000000001E-2</v>
      </c>
      <c r="W2509">
        <v>3.3495659999999997E-2</v>
      </c>
      <c r="X2509">
        <v>0.99882939999999998</v>
      </c>
      <c r="Y2509">
        <v>-0.1404273</v>
      </c>
      <c r="Z2509">
        <v>5.9554269999999897E-3</v>
      </c>
      <c r="AA2509">
        <v>0.99007309999999904</v>
      </c>
      <c r="AB2509">
        <v>23</v>
      </c>
      <c r="AC2509">
        <v>18.641300000000001</v>
      </c>
      <c r="AD2509">
        <v>-1.1041165248559901</v>
      </c>
      <c r="AE2509">
        <v>2.07650000000001</v>
      </c>
      <c r="AF2509">
        <v>-2.6611233361670501</v>
      </c>
      <c r="AG2509">
        <v>-1.1041165248559901</v>
      </c>
      <c r="AH2509">
        <v>18.501427200011499</v>
      </c>
      <c r="AI2509">
        <v>93.380503922818704</v>
      </c>
      <c r="AJ2509">
        <v>98.1849120288215</v>
      </c>
      <c r="AK2509">
        <v>18.724408112089399</v>
      </c>
    </row>
    <row r="2510" spans="1:37" x14ac:dyDescent="0.2">
      <c r="A2510" t="str">
        <f>"20200111160203883"</f>
        <v>20200111160203883</v>
      </c>
      <c r="B2510" t="str">
        <f>"1578729723874392"</f>
        <v>1578729723874392</v>
      </c>
      <c r="C2510" t="s">
        <v>37</v>
      </c>
      <c r="D2510">
        <v>5.5649439999999997</v>
      </c>
      <c r="E2510">
        <v>0.46160779999999901</v>
      </c>
      <c r="F2510" t="s">
        <v>57</v>
      </c>
      <c r="G2510">
        <v>-355.38170000000002</v>
      </c>
      <c r="H2510" s="1">
        <v>1.2486429999999999E-6</v>
      </c>
      <c r="I2510">
        <v>216.4109</v>
      </c>
      <c r="J2510">
        <v>-374.20949999999999</v>
      </c>
      <c r="K2510">
        <v>1.1042510000000001</v>
      </c>
      <c r="L2510">
        <v>214.32759999999999</v>
      </c>
      <c r="M2510">
        <v>0.99944639999999996</v>
      </c>
      <c r="N2510">
        <v>0</v>
      </c>
      <c r="O2510">
        <v>-3.1927339999999998E-2</v>
      </c>
      <c r="P2510">
        <v>0.99971339999999997</v>
      </c>
      <c r="Q2510">
        <v>2.390252E-2</v>
      </c>
      <c r="R2510">
        <v>1.408805E-3</v>
      </c>
      <c r="S2510">
        <v>3.0041199999999999</v>
      </c>
      <c r="T2510">
        <v>-0.17396</v>
      </c>
      <c r="U2510">
        <v>0.32702639999999999</v>
      </c>
      <c r="V2510">
        <v>-3.3329480000000002E-2</v>
      </c>
      <c r="W2510">
        <v>3.3252129999999998E-2</v>
      </c>
      <c r="X2510">
        <v>0.99889110000000003</v>
      </c>
      <c r="Y2510">
        <v>-0.13962179999999999</v>
      </c>
      <c r="Z2510">
        <v>5.8697899999999997E-3</v>
      </c>
      <c r="AA2510">
        <v>0.9901875</v>
      </c>
      <c r="AB2510">
        <v>23</v>
      </c>
      <c r="AC2510">
        <v>18.8277999999999</v>
      </c>
      <c r="AD2510">
        <v>-1.104249751357</v>
      </c>
      <c r="AE2510">
        <v>2.0832999999999999</v>
      </c>
      <c r="AF2510">
        <v>-2.6742978780465898</v>
      </c>
      <c r="AG2510">
        <v>-1.104249751357</v>
      </c>
      <c r="AH2510">
        <v>18.6881770776371</v>
      </c>
      <c r="AI2510">
        <v>93.3475466626562</v>
      </c>
      <c r="AJ2510">
        <v>98.143797586593806</v>
      </c>
      <c r="AK2510">
        <v>18.910822275591801</v>
      </c>
    </row>
    <row r="2511" spans="1:37" x14ac:dyDescent="0.2">
      <c r="A2511" t="str">
        <f>"20200111160203905"</f>
        <v>20200111160203905</v>
      </c>
      <c r="B2511" t="str">
        <f>"1578729723894887"</f>
        <v>1578729723894887</v>
      </c>
      <c r="C2511" t="s">
        <v>37</v>
      </c>
      <c r="D2511">
        <v>5.5791639999999996</v>
      </c>
      <c r="E2511">
        <v>0.46132919999999999</v>
      </c>
      <c r="F2511" t="s">
        <v>57</v>
      </c>
      <c r="G2511">
        <v>-355.39139999999998</v>
      </c>
      <c r="H2511" s="1">
        <v>1.2559549999999999E-6</v>
      </c>
      <c r="I2511">
        <v>216.36179999999999</v>
      </c>
      <c r="J2511">
        <v>-373.9871</v>
      </c>
      <c r="K2511">
        <v>1.1043969999999901</v>
      </c>
      <c r="L2511">
        <v>214.32050000000001</v>
      </c>
      <c r="M2511">
        <v>0.999449699999999</v>
      </c>
      <c r="N2511">
        <v>0</v>
      </c>
      <c r="O2511">
        <v>-3.177837E-2</v>
      </c>
      <c r="P2511">
        <v>0.99971849999999995</v>
      </c>
      <c r="Q2511">
        <v>2.3723009999999999E-2</v>
      </c>
      <c r="R2511">
        <v>-4.1463139999999899E-4</v>
      </c>
      <c r="S2511">
        <v>3.004578</v>
      </c>
      <c r="T2511">
        <v>-0.17630899999999999</v>
      </c>
      <c r="U2511">
        <v>0.32479859999999999</v>
      </c>
      <c r="V2511">
        <v>-3.1366600000000001E-2</v>
      </c>
      <c r="W2511">
        <v>3.3212579999999998E-2</v>
      </c>
      <c r="X2511">
        <v>0.99895599999999996</v>
      </c>
      <c r="Y2511">
        <v>-0.1387264</v>
      </c>
      <c r="Z2511">
        <v>5.9133659999999998E-3</v>
      </c>
      <c r="AA2511">
        <v>0.99031309999999995</v>
      </c>
      <c r="AB2511">
        <v>23</v>
      </c>
      <c r="AC2511">
        <v>18.595700000000001</v>
      </c>
      <c r="AD2511">
        <v>-1.1043957440449901</v>
      </c>
      <c r="AE2511">
        <v>2.0412999999999699</v>
      </c>
      <c r="AF2511">
        <v>-2.6220982596069802</v>
      </c>
      <c r="AG2511">
        <v>-1.1043957440449901</v>
      </c>
      <c r="AH2511">
        <v>18.457109156383101</v>
      </c>
      <c r="AI2511">
        <v>93.390295122043298</v>
      </c>
      <c r="AJ2511">
        <v>98.085585388769402</v>
      </c>
      <c r="AK2511">
        <v>18.675116268798401</v>
      </c>
    </row>
    <row r="2512" spans="1:37" x14ac:dyDescent="0.2">
      <c r="A2512" t="str">
        <f>"20200111160203928"</f>
        <v>20200111160203928</v>
      </c>
      <c r="B2512" t="str">
        <f>"1578729723924674"</f>
        <v>1578729723924674</v>
      </c>
      <c r="C2512" t="s">
        <v>37</v>
      </c>
      <c r="D2512">
        <v>6.523631</v>
      </c>
      <c r="E2512">
        <v>0.46103959999999999</v>
      </c>
      <c r="F2512" t="s">
        <v>57</v>
      </c>
      <c r="G2512">
        <v>-355.43619999999999</v>
      </c>
      <c r="H2512" s="1">
        <v>1.2821430000000001E-6</v>
      </c>
      <c r="I2512">
        <v>216.3082</v>
      </c>
      <c r="J2512">
        <v>-373.74959999999999</v>
      </c>
      <c r="K2512">
        <v>1.104581</v>
      </c>
      <c r="L2512">
        <v>214.31319999999999</v>
      </c>
      <c r="M2512">
        <v>0.99945740000000005</v>
      </c>
      <c r="N2512">
        <v>0</v>
      </c>
      <c r="O2512">
        <v>-3.1448469999999999E-2</v>
      </c>
      <c r="P2512">
        <v>0.99973330000000005</v>
      </c>
      <c r="Q2512">
        <v>2.3047979999999999E-2</v>
      </c>
      <c r="R2512">
        <v>-1.5386479999999899E-3</v>
      </c>
      <c r="S2512">
        <v>3.005188</v>
      </c>
      <c r="T2512">
        <v>-0.1789086</v>
      </c>
      <c r="U2512">
        <v>0.32199099999999897</v>
      </c>
      <c r="V2512">
        <v>-2.992365E-2</v>
      </c>
      <c r="W2512">
        <v>3.2810819999999997E-2</v>
      </c>
      <c r="X2512">
        <v>0.9990135</v>
      </c>
      <c r="Y2512">
        <v>-0.13745769999999999</v>
      </c>
      <c r="Z2512">
        <v>5.9422889999999999E-3</v>
      </c>
      <c r="AA2512">
        <v>0.99048979999999998</v>
      </c>
      <c r="AB2512">
        <v>23</v>
      </c>
      <c r="AC2512">
        <v>18.313400000000001</v>
      </c>
      <c r="AD2512">
        <v>-1.104579717857</v>
      </c>
      <c r="AE2512">
        <v>1.9950000000000001</v>
      </c>
      <c r="AF2512">
        <v>-2.5607624987994799</v>
      </c>
      <c r="AG2512">
        <v>-1.104579717857</v>
      </c>
      <c r="AH2512">
        <v>18.176249454682601</v>
      </c>
      <c r="AI2512">
        <v>93.443690958393304</v>
      </c>
      <c r="AJ2512">
        <v>98.019341284585096</v>
      </c>
      <c r="AK2512">
        <v>18.388954433768301</v>
      </c>
    </row>
    <row r="2513" spans="1:37" x14ac:dyDescent="0.2">
      <c r="A2513" t="str">
        <f>"20200111160203949"</f>
        <v>20200111160203949</v>
      </c>
      <c r="B2513" t="str">
        <f>"1578729723944195"</f>
        <v>1578729723944195</v>
      </c>
      <c r="C2513" t="s">
        <v>37</v>
      </c>
      <c r="D2513">
        <v>5.5932529999999998</v>
      </c>
      <c r="E2513">
        <v>0.45163739999999902</v>
      </c>
      <c r="F2513" t="s">
        <v>57</v>
      </c>
      <c r="G2513">
        <v>-355.67070000000001</v>
      </c>
      <c r="H2513" s="1">
        <v>1.4098109999999999E-6</v>
      </c>
      <c r="I2513">
        <v>216.2422</v>
      </c>
      <c r="J2513">
        <v>-373.53500000000003</v>
      </c>
      <c r="K2513">
        <v>1.104746</v>
      </c>
      <c r="L2513">
        <v>214.30690000000001</v>
      </c>
      <c r="M2513">
        <v>0.99946800000000002</v>
      </c>
      <c r="N2513">
        <v>0</v>
      </c>
      <c r="O2513">
        <v>-3.0998910000000001E-2</v>
      </c>
      <c r="P2513">
        <v>0.99974789999999902</v>
      </c>
      <c r="Q2513">
        <v>2.236645E-2</v>
      </c>
      <c r="R2513">
        <v>-2.0438309999999999E-3</v>
      </c>
      <c r="S2513">
        <v>3.0055239999999999</v>
      </c>
      <c r="T2513">
        <v>-0.18363070000000001</v>
      </c>
      <c r="U2513">
        <v>0.32067869999999998</v>
      </c>
      <c r="V2513">
        <v>-2.897742E-2</v>
      </c>
      <c r="W2513">
        <v>3.24715E-2</v>
      </c>
      <c r="X2513">
        <v>0.99905250000000001</v>
      </c>
      <c r="Y2513">
        <v>-0.13655970000000001</v>
      </c>
      <c r="Z2513">
        <v>6.0436019999999899E-3</v>
      </c>
      <c r="AA2513">
        <v>0.99061339999999998</v>
      </c>
      <c r="AB2513">
        <v>23</v>
      </c>
      <c r="AC2513">
        <v>17.8643</v>
      </c>
      <c r="AD2513">
        <v>-1.1047445901890001</v>
      </c>
      <c r="AE2513">
        <v>1.93529999999998</v>
      </c>
      <c r="AF2513">
        <v>-2.4788024087135399</v>
      </c>
      <c r="AG2513">
        <v>-1.1047445901890001</v>
      </c>
      <c r="AH2513">
        <v>17.728705207854201</v>
      </c>
      <c r="AI2513">
        <v>93.531449148647894</v>
      </c>
      <c r="AJ2513">
        <v>97.959415425442302</v>
      </c>
      <c r="AK2513">
        <v>17.9352142540309</v>
      </c>
    </row>
    <row r="2514" spans="1:37" x14ac:dyDescent="0.2">
      <c r="A2514" t="str">
        <f>"20200111160203972"</f>
        <v>20200111160203972</v>
      </c>
      <c r="B2514" t="str">
        <f>"1578729723964691"</f>
        <v>1578729723964691</v>
      </c>
      <c r="C2514" t="s">
        <v>37</v>
      </c>
      <c r="D2514">
        <v>5.7636139999999996</v>
      </c>
      <c r="E2514">
        <v>0.4548585</v>
      </c>
      <c r="F2514" t="s">
        <v>72</v>
      </c>
      <c r="G2514">
        <v>-255.26410000000001</v>
      </c>
      <c r="H2514">
        <v>2.1057969999999999</v>
      </c>
      <c r="I2514">
        <v>229.37649999999999</v>
      </c>
      <c r="J2514">
        <v>-373.29570000000001</v>
      </c>
      <c r="K2514">
        <v>1.1049180000000001</v>
      </c>
      <c r="L2514">
        <v>214.30009999999999</v>
      </c>
      <c r="M2514">
        <v>0.99948409999999999</v>
      </c>
      <c r="N2514">
        <v>0</v>
      </c>
      <c r="O2514">
        <v>-3.0342649999999999E-2</v>
      </c>
      <c r="P2514">
        <v>0.99977329999999998</v>
      </c>
      <c r="Q2514">
        <v>2.1186549999999998E-2</v>
      </c>
      <c r="R2514">
        <v>-2.1658039999999999E-3</v>
      </c>
      <c r="S2514">
        <v>3.0009459999999999</v>
      </c>
      <c r="T2514">
        <v>2.5400280000000001E-2</v>
      </c>
      <c r="U2514">
        <v>0.38236999999999999</v>
      </c>
      <c r="V2514">
        <v>-2.820686E-2</v>
      </c>
      <c r="W2514">
        <v>3.1682740000000001E-2</v>
      </c>
      <c r="X2514">
        <v>0.99909989999999904</v>
      </c>
      <c r="Y2514">
        <v>-0.15643080000000001</v>
      </c>
      <c r="Z2514">
        <v>-9.1523769999999997E-4</v>
      </c>
      <c r="AA2514">
        <v>0.98768849999999997</v>
      </c>
      <c r="AB2514">
        <v>23</v>
      </c>
      <c r="AC2514">
        <v>118.0316</v>
      </c>
      <c r="AD2514">
        <v>1.0008790000000001</v>
      </c>
      <c r="AE2514">
        <v>15.0764</v>
      </c>
      <c r="AF2514">
        <v>-18.6497279418092</v>
      </c>
      <c r="AG2514">
        <v>1.0008790000000001</v>
      </c>
      <c r="AH2514">
        <v>117.5114495625</v>
      </c>
      <c r="AI2514">
        <v>89.518038733810997</v>
      </c>
      <c r="AJ2514">
        <v>99.017951242786907</v>
      </c>
      <c r="AK2514">
        <v>118.98636430010001</v>
      </c>
    </row>
    <row r="2515" spans="1:37" x14ac:dyDescent="0.2">
      <c r="A2515" t="str">
        <f>"20200111160203994"</f>
        <v>20200111160203994</v>
      </c>
      <c r="B2515" t="str">
        <f>"1578729723984211"</f>
        <v>1578729723984211</v>
      </c>
      <c r="C2515" t="s">
        <v>37</v>
      </c>
      <c r="D2515">
        <v>5.5626759999999997</v>
      </c>
      <c r="E2515">
        <v>0.45433669999999998</v>
      </c>
      <c r="F2515" t="s">
        <v>57</v>
      </c>
      <c r="G2515">
        <v>-357.74740000000003</v>
      </c>
      <c r="H2515" s="1">
        <v>2.5165759999999999E-6</v>
      </c>
      <c r="I2515">
        <v>216.20490000000001</v>
      </c>
      <c r="J2515">
        <v>-373.06189999999998</v>
      </c>
      <c r="K2515">
        <v>1.105054</v>
      </c>
      <c r="L2515">
        <v>214.2938</v>
      </c>
      <c r="M2515">
        <v>0.99950309999999898</v>
      </c>
      <c r="N2515">
        <v>0</v>
      </c>
      <c r="O2515">
        <v>-2.9586680000000001E-2</v>
      </c>
      <c r="P2515">
        <v>0.99978809999999996</v>
      </c>
      <c r="Q2515">
        <v>2.0487930000000001E-2</v>
      </c>
      <c r="R2515">
        <v>-2.0684649999999998E-3</v>
      </c>
      <c r="S2515">
        <v>3.0060119999999899</v>
      </c>
      <c r="T2515">
        <v>-0.2136188</v>
      </c>
      <c r="U2515">
        <v>0.36825559999999902</v>
      </c>
      <c r="V2515">
        <v>-2.7553999999999999E-2</v>
      </c>
      <c r="W2515">
        <v>3.1329580000000003E-2</v>
      </c>
      <c r="X2515">
        <v>0.99912919999999905</v>
      </c>
      <c r="Y2515">
        <v>-0.15046519999999999</v>
      </c>
      <c r="Z2515">
        <v>7.4127169999999897E-3</v>
      </c>
      <c r="AA2515">
        <v>0.98858749999999995</v>
      </c>
      <c r="AB2515">
        <v>23</v>
      </c>
      <c r="AC2515">
        <v>15.314499999999899</v>
      </c>
      <c r="AD2515">
        <v>-1.1050514834239999</v>
      </c>
      <c r="AE2515">
        <v>1.9111</v>
      </c>
      <c r="AF2515">
        <v>-2.3513403362194798</v>
      </c>
      <c r="AG2515">
        <v>-1.1050514834239999</v>
      </c>
      <c r="AH2515">
        <v>15.173456713694099</v>
      </c>
      <c r="AI2515">
        <v>94.116418881528702</v>
      </c>
      <c r="AJ2515">
        <v>98.808721632706394</v>
      </c>
      <c r="AK2515">
        <v>15.3942758452646</v>
      </c>
    </row>
    <row r="2516" spans="1:37" x14ac:dyDescent="0.2">
      <c r="A2516" t="str">
        <f>"20200111160204016"</f>
        <v>20200111160204016</v>
      </c>
      <c r="B2516" t="str">
        <f>"1578729724014466"</f>
        <v>1578729724014466</v>
      </c>
      <c r="C2516" t="s">
        <v>37</v>
      </c>
      <c r="D2516">
        <v>5.630172</v>
      </c>
      <c r="E2516">
        <v>0.45321450000000002</v>
      </c>
      <c r="F2516" t="s">
        <v>57</v>
      </c>
      <c r="G2516">
        <v>-358.09820000000002</v>
      </c>
      <c r="H2516" s="1">
        <v>2.7056829999999999E-6</v>
      </c>
      <c r="I2516">
        <v>216.14840000000001</v>
      </c>
      <c r="J2516">
        <v>-372.8408</v>
      </c>
      <c r="K2516">
        <v>1.105148</v>
      </c>
      <c r="L2516">
        <v>214.28809999999999</v>
      </c>
      <c r="M2516">
        <v>0.99952240000000003</v>
      </c>
      <c r="N2516">
        <v>0</v>
      </c>
      <c r="O2516">
        <v>-2.8809049999999999E-2</v>
      </c>
      <c r="P2516">
        <v>0.99977780000000005</v>
      </c>
      <c r="Q2516">
        <v>2.1018809999999999E-2</v>
      </c>
      <c r="R2516">
        <v>-1.6932850000000001E-3</v>
      </c>
      <c r="S2516">
        <v>3.005951</v>
      </c>
      <c r="T2516">
        <v>-0.22198589999999899</v>
      </c>
      <c r="U2516">
        <v>0.37255859999999902</v>
      </c>
      <c r="V2516">
        <v>-2.7155950000000002E-2</v>
      </c>
      <c r="W2516">
        <v>3.216314E-2</v>
      </c>
      <c r="X2516">
        <v>0.99911369999999899</v>
      </c>
      <c r="Y2516">
        <v>-0.15105750000000001</v>
      </c>
      <c r="Z2516">
        <v>7.6663919999999898E-3</v>
      </c>
      <c r="AA2516">
        <v>0.98849519999999902</v>
      </c>
      <c r="AB2516">
        <v>23</v>
      </c>
      <c r="AC2516">
        <v>14.7425999999999</v>
      </c>
      <c r="AD2516">
        <v>-1.1051452943169999</v>
      </c>
      <c r="AE2516">
        <v>1.86030000000002</v>
      </c>
      <c r="AF2516">
        <v>-2.2717090227417298</v>
      </c>
      <c r="AG2516">
        <v>-1.1051452943169999</v>
      </c>
      <c r="AH2516">
        <v>14.6021140695201</v>
      </c>
      <c r="AI2516">
        <v>94.276864850102299</v>
      </c>
      <c r="AJ2516">
        <v>98.842845338421</v>
      </c>
      <c r="AK2516">
        <v>14.819033143388101</v>
      </c>
    </row>
    <row r="2517" spans="1:37" x14ac:dyDescent="0.2">
      <c r="A2517" t="str">
        <f>"20200111160204039"</f>
        <v>20200111160204039</v>
      </c>
      <c r="B2517" t="str">
        <f>"1578729724033988"</f>
        <v>1578729724033988</v>
      </c>
      <c r="C2517" t="s">
        <v>37</v>
      </c>
      <c r="D2517">
        <v>6.6363509999999897</v>
      </c>
      <c r="E2517">
        <v>0.4476099</v>
      </c>
      <c r="F2517" t="s">
        <v>57</v>
      </c>
      <c r="G2517">
        <v>-357.21570000000003</v>
      </c>
      <c r="H2517" s="1">
        <v>2.2306899999999998E-6</v>
      </c>
      <c r="I2517">
        <v>216.27199999999999</v>
      </c>
      <c r="J2517">
        <v>-372.60660000000001</v>
      </c>
      <c r="K2517">
        <v>1.105213</v>
      </c>
      <c r="L2517">
        <v>214.2824</v>
      </c>
      <c r="M2517">
        <v>0.99954319999999897</v>
      </c>
      <c r="N2517">
        <v>0</v>
      </c>
      <c r="O2517">
        <v>-2.7953309999999999E-2</v>
      </c>
      <c r="P2517">
        <v>0.99977269999999896</v>
      </c>
      <c r="Q2517">
        <v>2.1326419999999999E-2</v>
      </c>
      <c r="R2517">
        <v>-3.9620649999999997E-4</v>
      </c>
      <c r="S2517">
        <v>3.0058590000000001</v>
      </c>
      <c r="T2517">
        <v>-0.21260199999999899</v>
      </c>
      <c r="U2517">
        <v>0.38165279999999902</v>
      </c>
      <c r="V2517">
        <v>-2.7599410000000001E-2</v>
      </c>
      <c r="W2517">
        <v>3.2774610000000003E-2</v>
      </c>
      <c r="X2517">
        <v>0.99908159999999901</v>
      </c>
      <c r="Y2517">
        <v>-0.1531959</v>
      </c>
      <c r="Z2517">
        <v>7.3569890000000004E-3</v>
      </c>
      <c r="AA2517">
        <v>0.98816849999999901</v>
      </c>
      <c r="AB2517">
        <v>23</v>
      </c>
      <c r="AC2517">
        <v>15.390899999999901</v>
      </c>
      <c r="AD2517">
        <v>-1.10521076931</v>
      </c>
      <c r="AE2517">
        <v>1.98960000000002</v>
      </c>
      <c r="AF2517">
        <v>-2.40687018342489</v>
      </c>
      <c r="AG2517">
        <v>-1.10521076931</v>
      </c>
      <c r="AH2517">
        <v>15.251910237373099</v>
      </c>
      <c r="AI2517">
        <v>94.094133568045393</v>
      </c>
      <c r="AJ2517">
        <v>98.967765802783504</v>
      </c>
      <c r="AK2517">
        <v>15.480157648207101</v>
      </c>
    </row>
    <row r="2518" spans="1:37" x14ac:dyDescent="0.2">
      <c r="A2518" t="str">
        <f>"20200111160204062"</f>
        <v>20200111160204062</v>
      </c>
      <c r="B2518" t="str">
        <f>"1578729724054483"</f>
        <v>1578729724054483</v>
      </c>
      <c r="C2518" t="s">
        <v>37</v>
      </c>
      <c r="D2518">
        <v>5.608797</v>
      </c>
      <c r="E2518">
        <v>0.44615369999999999</v>
      </c>
      <c r="F2518" t="s">
        <v>72</v>
      </c>
      <c r="G2518">
        <v>-258.5025</v>
      </c>
      <c r="H2518">
        <v>-3.7422179999999999E-2</v>
      </c>
      <c r="I2518">
        <v>230.31309999999999</v>
      </c>
      <c r="J2518">
        <v>-372.36799999999999</v>
      </c>
      <c r="K2518">
        <v>1.105248</v>
      </c>
      <c r="L2518">
        <v>214.27670000000001</v>
      </c>
      <c r="M2518">
        <v>0.99956420000000001</v>
      </c>
      <c r="N2518">
        <v>0</v>
      </c>
      <c r="O2518">
        <v>-2.7069920000000001E-2</v>
      </c>
      <c r="P2518">
        <v>0.99974549999999995</v>
      </c>
      <c r="Q2518">
        <v>2.2504010000000001E-2</v>
      </c>
      <c r="R2518">
        <v>1.6155869999999999E-3</v>
      </c>
      <c r="S2518">
        <v>3.0015259999999899</v>
      </c>
      <c r="T2518">
        <v>-3.005648E-2</v>
      </c>
      <c r="U2518">
        <v>0.42169190000000001</v>
      </c>
      <c r="V2518">
        <v>-2.8728480000000001E-2</v>
      </c>
      <c r="W2518">
        <v>3.4239099999999897E-2</v>
      </c>
      <c r="X2518">
        <v>0.99900069999999996</v>
      </c>
      <c r="Y2518">
        <v>-0.1658742</v>
      </c>
      <c r="Z2518">
        <v>1.0962929999999999E-3</v>
      </c>
      <c r="AA2518">
        <v>0.98614629999999903</v>
      </c>
      <c r="AB2518">
        <v>23</v>
      </c>
      <c r="AC2518">
        <v>113.8655</v>
      </c>
      <c r="AD2518">
        <v>-1.1426701800000001</v>
      </c>
      <c r="AE2518">
        <v>16.036399999999901</v>
      </c>
      <c r="AF2518">
        <v>-19.1111789883686</v>
      </c>
      <c r="AG2518">
        <v>-1.1426701800000001</v>
      </c>
      <c r="AH2518">
        <v>113.378437321021</v>
      </c>
      <c r="AI2518">
        <v>90.569396804298407</v>
      </c>
      <c r="AJ2518">
        <v>99.567891662609298</v>
      </c>
      <c r="AK2518">
        <v>114.983533198552</v>
      </c>
    </row>
    <row r="2519" spans="1:37" x14ac:dyDescent="0.2">
      <c r="A2519" t="str">
        <f>"20200111160204085"</f>
        <v>20200111160204085</v>
      </c>
      <c r="B2519" t="str">
        <f>"1578729724074003"</f>
        <v>1578729724074003</v>
      </c>
      <c r="C2519" t="s">
        <v>37</v>
      </c>
      <c r="D2519">
        <v>5.6420729999999999</v>
      </c>
      <c r="E2519">
        <v>0.44511830000000002</v>
      </c>
      <c r="F2519" t="s">
        <v>72</v>
      </c>
      <c r="G2519">
        <v>-262.7226</v>
      </c>
      <c r="H2519">
        <v>0.41681859999999998</v>
      </c>
      <c r="I2519">
        <v>230.3133</v>
      </c>
      <c r="J2519">
        <v>-372.13130000000001</v>
      </c>
      <c r="K2519">
        <v>1.1052629999999899</v>
      </c>
      <c r="L2519">
        <v>214.2713</v>
      </c>
      <c r="M2519">
        <v>0.99958409999999998</v>
      </c>
      <c r="N2519">
        <v>0</v>
      </c>
      <c r="O2519">
        <v>-2.6202E-2</v>
      </c>
      <c r="P2519">
        <v>0.99971580000000004</v>
      </c>
      <c r="Q2519">
        <v>2.3413299999999901E-2</v>
      </c>
      <c r="R2519">
        <v>4.5189990000000001E-3</v>
      </c>
      <c r="S2519">
        <v>3.0004580000000001</v>
      </c>
      <c r="T2519">
        <v>-1.8838170000000001E-2</v>
      </c>
      <c r="U2519">
        <v>0.43884279999999998</v>
      </c>
      <c r="V2519">
        <v>-3.0762660000000001E-2</v>
      </c>
      <c r="W2519">
        <v>3.5401879999999997E-2</v>
      </c>
      <c r="X2519">
        <v>0.998899599999999</v>
      </c>
      <c r="Y2519">
        <v>-0.17059349999999901</v>
      </c>
      <c r="Z2519">
        <v>6.9640199999999896E-4</v>
      </c>
      <c r="AA2519">
        <v>0.98534129999999998</v>
      </c>
      <c r="AB2519">
        <v>23</v>
      </c>
      <c r="AC2519">
        <v>109.4087</v>
      </c>
      <c r="AD2519">
        <v>-0.68844439999999896</v>
      </c>
      <c r="AE2519">
        <v>16.042000000000002</v>
      </c>
      <c r="AF2519">
        <v>-18.902693525540599</v>
      </c>
      <c r="AG2519">
        <v>-0.68844439999999896</v>
      </c>
      <c r="AH2519">
        <v>108.946545245344</v>
      </c>
      <c r="AI2519">
        <v>90.356723686317295</v>
      </c>
      <c r="AJ2519">
        <v>99.843073359804904</v>
      </c>
      <c r="AK2519">
        <v>110.576378576567</v>
      </c>
    </row>
    <row r="2520" spans="1:37" x14ac:dyDescent="0.2">
      <c r="A2520" t="str">
        <f>"20200111160204108"</f>
        <v>20200111160204108</v>
      </c>
      <c r="B2520" t="str">
        <f>"1578729724104259"</f>
        <v>1578729724104259</v>
      </c>
      <c r="C2520" t="s">
        <v>37</v>
      </c>
      <c r="D2520">
        <v>5.6814830000000001</v>
      </c>
      <c r="E2520">
        <v>0.44559199999999999</v>
      </c>
      <c r="F2520" t="s">
        <v>72</v>
      </c>
      <c r="G2520">
        <v>-266.46530000000001</v>
      </c>
      <c r="H2520">
        <v>0.91708899999999904</v>
      </c>
      <c r="I2520">
        <v>230.3134</v>
      </c>
      <c r="J2520">
        <v>-371.90230000000003</v>
      </c>
      <c r="K2520">
        <v>1.105264</v>
      </c>
      <c r="L2520">
        <v>214.2663</v>
      </c>
      <c r="M2520">
        <v>0.99960260000000001</v>
      </c>
      <c r="N2520">
        <v>0</v>
      </c>
      <c r="O2520">
        <v>-2.5389829999999999E-2</v>
      </c>
      <c r="P2520">
        <v>0.99968230000000002</v>
      </c>
      <c r="Q2520">
        <v>2.4253029999999998E-2</v>
      </c>
      <c r="R2520">
        <v>6.8735929999999999E-3</v>
      </c>
      <c r="S2520">
        <v>2.998901</v>
      </c>
      <c r="T2520">
        <v>-5.33986099999999E-3</v>
      </c>
      <c r="U2520">
        <v>0.45529170000000002</v>
      </c>
      <c r="V2520">
        <v>-3.2302259999999999E-2</v>
      </c>
      <c r="W2520">
        <v>3.6457389999999999E-2</v>
      </c>
      <c r="X2520">
        <v>0.99881299999999995</v>
      </c>
      <c r="Y2520">
        <v>-0.1751549</v>
      </c>
      <c r="Z2520">
        <v>2.000254E-4</v>
      </c>
      <c r="AA2520">
        <v>0.98454089999999905</v>
      </c>
      <c r="AB2520">
        <v>23</v>
      </c>
      <c r="AC2520">
        <v>105.437</v>
      </c>
      <c r="AD2520">
        <v>-0.18817500000000001</v>
      </c>
      <c r="AE2520">
        <v>16.0471</v>
      </c>
      <c r="AF2520">
        <v>-18.719096089985399</v>
      </c>
      <c r="AG2520">
        <v>-0.18817500000000001</v>
      </c>
      <c r="AH2520">
        <v>104.99521422261699</v>
      </c>
      <c r="AI2520">
        <v>90.101092716374296</v>
      </c>
      <c r="AJ2520">
        <v>100.108779725971</v>
      </c>
      <c r="AK2520">
        <v>106.650996141199</v>
      </c>
    </row>
    <row r="2521" spans="1:37" x14ac:dyDescent="0.2">
      <c r="A2521" t="str">
        <f>"20200111160204133"</f>
        <v>20200111160204133</v>
      </c>
      <c r="B2521" t="str">
        <f>"1578729724124755"</f>
        <v>1578729724124755</v>
      </c>
      <c r="C2521" t="s">
        <v>37</v>
      </c>
      <c r="D2521">
        <v>5.639297</v>
      </c>
      <c r="E2521">
        <v>0.45263609999999999</v>
      </c>
      <c r="F2521" t="s">
        <v>72</v>
      </c>
      <c r="G2521">
        <v>-273.18680000000001</v>
      </c>
      <c r="H2521">
        <v>0.9643893</v>
      </c>
      <c r="I2521">
        <v>229.37610000000001</v>
      </c>
      <c r="J2521">
        <v>-371.65719999999999</v>
      </c>
      <c r="K2521">
        <v>1.1052580000000001</v>
      </c>
      <c r="L2521">
        <v>214.261</v>
      </c>
      <c r="M2521">
        <v>0.99962050000000002</v>
      </c>
      <c r="N2521">
        <v>0</v>
      </c>
      <c r="O2521">
        <v>-2.4567060000000002E-2</v>
      </c>
      <c r="P2521">
        <v>0.99966100000000002</v>
      </c>
      <c r="Q2521">
        <v>2.4770199999999999E-2</v>
      </c>
      <c r="R2521">
        <v>8.0184339999999996E-3</v>
      </c>
      <c r="S2521">
        <v>2.997925</v>
      </c>
      <c r="T2521">
        <v>-4.2771099999999998E-3</v>
      </c>
      <c r="U2521">
        <v>0.4588776</v>
      </c>
      <c r="V2521">
        <v>-3.2621450000000003E-2</v>
      </c>
      <c r="W2521">
        <v>3.7178360000000001E-2</v>
      </c>
      <c r="X2521">
        <v>0.99877609999999994</v>
      </c>
      <c r="Y2521">
        <v>-0.17554310000000001</v>
      </c>
      <c r="Z2521">
        <v>1.5936079999999999E-4</v>
      </c>
      <c r="AA2521">
        <v>0.98447169999999895</v>
      </c>
      <c r="AB2521">
        <v>23</v>
      </c>
      <c r="AC2521">
        <v>98.470399999999898</v>
      </c>
      <c r="AD2521">
        <v>-0.14086870000000001</v>
      </c>
      <c r="AE2521">
        <v>15.1151</v>
      </c>
      <c r="AF2521">
        <v>-17.529818377360499</v>
      </c>
      <c r="AG2521">
        <v>-0.14086870000000001</v>
      </c>
      <c r="AH2521">
        <v>98.069116973512493</v>
      </c>
      <c r="AI2521">
        <v>90.081016775890902</v>
      </c>
      <c r="AJ2521">
        <v>100.13456602330901</v>
      </c>
      <c r="AK2521">
        <v>99.623622099873401</v>
      </c>
    </row>
    <row r="2522" spans="1:37" x14ac:dyDescent="0.2">
      <c r="A2522" t="str">
        <f>"20200111160204155"</f>
        <v>20200111160204155</v>
      </c>
      <c r="B2522" t="str">
        <f>"1578729724145251"</f>
        <v>1578729724145251</v>
      </c>
      <c r="C2522" t="s">
        <v>37</v>
      </c>
      <c r="D2522">
        <v>5.5556380000000001</v>
      </c>
      <c r="E2522">
        <v>0.45212629999999998</v>
      </c>
      <c r="F2522" t="s">
        <v>57</v>
      </c>
      <c r="G2522">
        <v>-353.3546</v>
      </c>
      <c r="H2522" s="1">
        <v>1.53135899999999E-7</v>
      </c>
      <c r="I2522">
        <v>216.79509999999999</v>
      </c>
      <c r="J2522">
        <v>-371.42070000000001</v>
      </c>
      <c r="K2522">
        <v>1.105254</v>
      </c>
      <c r="L2522">
        <v>214.25620000000001</v>
      </c>
      <c r="M2522">
        <v>0.99963670000000004</v>
      </c>
      <c r="N2522">
        <v>0</v>
      </c>
      <c r="O2522">
        <v>-2.3811220000000001E-2</v>
      </c>
      <c r="P2522">
        <v>0.99963919999999995</v>
      </c>
      <c r="Q2522">
        <v>2.5267560000000001E-2</v>
      </c>
      <c r="R2522">
        <v>9.1024250000000008E-3</v>
      </c>
      <c r="S2522">
        <v>3.0021969999999998</v>
      </c>
      <c r="T2522">
        <v>-0.18129709999999999</v>
      </c>
      <c r="U2522">
        <v>0.4156647</v>
      </c>
      <c r="V2522">
        <v>-3.2947329999999997E-2</v>
      </c>
      <c r="W2522">
        <v>3.7846879999999999E-2</v>
      </c>
      <c r="X2522">
        <v>0.99874030000000003</v>
      </c>
      <c r="Y2522">
        <v>-0.16036500000000001</v>
      </c>
      <c r="Z2522">
        <v>6.2451659999999999E-3</v>
      </c>
      <c r="AA2522">
        <v>0.98703799999999997</v>
      </c>
      <c r="AB2522">
        <v>23</v>
      </c>
      <c r="AC2522">
        <v>18.066099999999999</v>
      </c>
      <c r="AD2522">
        <v>-1.1052538468641</v>
      </c>
      <c r="AE2522">
        <v>2.53889999999998</v>
      </c>
      <c r="AF2522">
        <v>-2.95753518564791</v>
      </c>
      <c r="AG2522">
        <v>-1.1052538468641</v>
      </c>
      <c r="AH2522">
        <v>17.934692112045202</v>
      </c>
      <c r="AI2522">
        <v>93.479606532190402</v>
      </c>
      <c r="AJ2522">
        <v>99.364132153999194</v>
      </c>
      <c r="AK2522">
        <v>18.210485484857699</v>
      </c>
    </row>
    <row r="2523" spans="1:37" x14ac:dyDescent="0.2">
      <c r="A2523" t="str">
        <f>"20200111160204176"</f>
        <v>20200111160204176</v>
      </c>
      <c r="B2523" t="str">
        <f>"1578729724164771"</f>
        <v>1578729724164771</v>
      </c>
      <c r="C2523" t="s">
        <v>37</v>
      </c>
      <c r="D2523">
        <v>5.6009679999999999</v>
      </c>
      <c r="E2523">
        <v>0.4516001</v>
      </c>
      <c r="F2523" t="s">
        <v>57</v>
      </c>
      <c r="G2523">
        <v>-353.42219999999998</v>
      </c>
      <c r="H2523" s="1">
        <v>1.891844E-7</v>
      </c>
      <c r="I2523">
        <v>216.79310000000001</v>
      </c>
      <c r="J2523">
        <v>-371.21769999999998</v>
      </c>
      <c r="K2523">
        <v>1.1052409999999999</v>
      </c>
      <c r="L2523">
        <v>214.25210000000001</v>
      </c>
      <c r="M2523">
        <v>0.99964989999999998</v>
      </c>
      <c r="N2523">
        <v>0</v>
      </c>
      <c r="O2523">
        <v>-2.318344E-2</v>
      </c>
      <c r="P2523">
        <v>0.99962070000000003</v>
      </c>
      <c r="Q2523">
        <v>2.5646970000000002E-2</v>
      </c>
      <c r="R2523">
        <v>1.0033540000000001E-2</v>
      </c>
      <c r="S2523">
        <v>3.001862</v>
      </c>
      <c r="T2523">
        <v>-0.18433820000000001</v>
      </c>
      <c r="U2523">
        <v>0.42312619999999901</v>
      </c>
      <c r="V2523">
        <v>-3.3249569999999999E-2</v>
      </c>
      <c r="W2523">
        <v>3.8356260000000003E-2</v>
      </c>
      <c r="X2523">
        <v>0.99871080000000001</v>
      </c>
      <c r="Y2523">
        <v>-0.16215309999999999</v>
      </c>
      <c r="Z2523">
        <v>6.3655909999999899E-3</v>
      </c>
      <c r="AA2523">
        <v>0.98674509999999904</v>
      </c>
      <c r="AB2523">
        <v>23</v>
      </c>
      <c r="AC2523">
        <v>17.795500000000001</v>
      </c>
      <c r="AD2523">
        <v>-1.1052408108156</v>
      </c>
      <c r="AE2523">
        <v>2.5409999999999902</v>
      </c>
      <c r="AF2523">
        <v>-2.9417905019630499</v>
      </c>
      <c r="AG2523">
        <v>-1.1052408108156</v>
      </c>
      <c r="AH2523">
        <v>17.665023054076201</v>
      </c>
      <c r="AI2523">
        <v>93.531626085916898</v>
      </c>
      <c r="AJ2523">
        <v>99.454811222412204</v>
      </c>
      <c r="AK2523">
        <v>17.9423724214045</v>
      </c>
    </row>
    <row r="2524" spans="1:37" x14ac:dyDescent="0.2">
      <c r="A2524" t="str">
        <f>"20200111160204217"</f>
        <v>20200111160204217</v>
      </c>
      <c r="B2524" t="str">
        <f>"1578729724214547"</f>
        <v>1578729724214547</v>
      </c>
      <c r="C2524" t="s">
        <v>37</v>
      </c>
      <c r="D2524">
        <v>5.7431799999999997</v>
      </c>
      <c r="E2524">
        <v>0.45262799999999997</v>
      </c>
      <c r="F2524" t="s">
        <v>57</v>
      </c>
      <c r="G2524">
        <v>-354.39109999999999</v>
      </c>
      <c r="H2524" s="1">
        <v>7.1038780000000001E-7</v>
      </c>
      <c r="I2524">
        <v>216.6653</v>
      </c>
      <c r="J2524">
        <v>-370.79649999999998</v>
      </c>
      <c r="K2524">
        <v>1.105224</v>
      </c>
      <c r="L2524">
        <v>214.244</v>
      </c>
      <c r="M2524">
        <v>0.99967569999999994</v>
      </c>
      <c r="N2524">
        <v>0</v>
      </c>
      <c r="O2524">
        <v>-2.191106E-2</v>
      </c>
      <c r="P2524">
        <v>0.99955239999999901</v>
      </c>
      <c r="Q2524">
        <v>2.7239869999999999E-2</v>
      </c>
      <c r="R2524">
        <v>1.236959E-2</v>
      </c>
      <c r="S2524">
        <v>3.0018310000000001</v>
      </c>
      <c r="T2524">
        <v>-0.19717279999999901</v>
      </c>
      <c r="U2524">
        <v>0.43051149999999999</v>
      </c>
      <c r="V2524">
        <v>-3.4310979999999998E-2</v>
      </c>
      <c r="W2524">
        <v>4.0169219999999999E-2</v>
      </c>
      <c r="X2524">
        <v>0.99860360000000004</v>
      </c>
      <c r="Y2524">
        <v>-0.1632294</v>
      </c>
      <c r="Z2524">
        <v>6.7588119999999899E-3</v>
      </c>
      <c r="AA2524">
        <v>0.98656499999999903</v>
      </c>
      <c r="AB2524">
        <v>23</v>
      </c>
      <c r="AC2524">
        <v>16.405399999999901</v>
      </c>
      <c r="AD2524">
        <v>-1.1052232896122001</v>
      </c>
      <c r="AE2524">
        <v>2.4212999999999698</v>
      </c>
      <c r="AF2524">
        <v>-2.7679138165931301</v>
      </c>
      <c r="AG2524">
        <v>-1.1052232896122001</v>
      </c>
      <c r="AH2524">
        <v>16.276106432070801</v>
      </c>
      <c r="AI2524">
        <v>93.829867553873797</v>
      </c>
      <c r="AJ2524">
        <v>99.651383584465194</v>
      </c>
      <c r="AK2524">
        <v>16.546737019850301</v>
      </c>
    </row>
    <row r="2525" spans="1:37" x14ac:dyDescent="0.2">
      <c r="A2525" t="str">
        <f>"20200111160204239"</f>
        <v>20200111160204239</v>
      </c>
      <c r="B2525" t="str">
        <f>"1578729724234067"</f>
        <v>1578729724234067</v>
      </c>
      <c r="C2525" t="s">
        <v>37</v>
      </c>
      <c r="D2525">
        <v>5.6471460000000002</v>
      </c>
      <c r="E2525">
        <v>0.4526385</v>
      </c>
      <c r="F2525" t="s">
        <v>57</v>
      </c>
      <c r="G2525">
        <v>-351.76679999999999</v>
      </c>
      <c r="H2525" s="1">
        <v>-6.9892890000000001E-7</v>
      </c>
      <c r="I2525">
        <v>216.95699999999999</v>
      </c>
      <c r="J2525">
        <v>-370.57229999999998</v>
      </c>
      <c r="K2525">
        <v>1.1052109999999999</v>
      </c>
      <c r="L2525">
        <v>214.23990000000001</v>
      </c>
      <c r="M2525">
        <v>0.9996891</v>
      </c>
      <c r="N2525">
        <v>0</v>
      </c>
      <c r="O2525">
        <v>-2.1237880000000001E-2</v>
      </c>
      <c r="P2525">
        <v>0.99949349999999904</v>
      </c>
      <c r="Q2525">
        <v>2.863773E-2</v>
      </c>
      <c r="R2525">
        <v>1.3884469999999999E-2</v>
      </c>
      <c r="S2525">
        <v>3.0007630000000001</v>
      </c>
      <c r="T2525">
        <v>-0.1742802</v>
      </c>
      <c r="U2525">
        <v>0.42779539999999999</v>
      </c>
      <c r="V2525">
        <v>-3.5152129999999997E-2</v>
      </c>
      <c r="W2525">
        <v>4.1660950000000002E-2</v>
      </c>
      <c r="X2525">
        <v>0.99851319999999999</v>
      </c>
      <c r="Y2525">
        <v>-0.1618279</v>
      </c>
      <c r="Z2525">
        <v>5.8986000000000004E-3</v>
      </c>
      <c r="AA2525">
        <v>0.98680140000000005</v>
      </c>
      <c r="AB2525">
        <v>23</v>
      </c>
      <c r="AC2525">
        <v>18.805499999999899</v>
      </c>
      <c r="AD2525">
        <v>-1.1052116989289</v>
      </c>
      <c r="AE2525">
        <v>2.7170999999999799</v>
      </c>
      <c r="AF2525">
        <v>-3.1054033915235402</v>
      </c>
      <c r="AG2525">
        <v>-1.1052116989289</v>
      </c>
      <c r="AH2525">
        <v>18.680344996693702</v>
      </c>
      <c r="AI2525">
        <v>93.340190933779098</v>
      </c>
      <c r="AJ2525">
        <v>99.438483853032693</v>
      </c>
      <c r="AK2525">
        <v>18.968930183830501</v>
      </c>
    </row>
    <row r="2526" spans="1:37" x14ac:dyDescent="0.2">
      <c r="A2526" t="str">
        <f>"20200111160204262"</f>
        <v>20200111160204262</v>
      </c>
      <c r="B2526" t="str">
        <f>"1578729724254563"</f>
        <v>1578729724254563</v>
      </c>
      <c r="C2526" t="s">
        <v>37</v>
      </c>
      <c r="D2526">
        <v>5.6314349999999997</v>
      </c>
      <c r="E2526">
        <v>0.45270189999999999</v>
      </c>
      <c r="F2526" t="s">
        <v>57</v>
      </c>
      <c r="G2526">
        <v>-351.90820000000002</v>
      </c>
      <c r="H2526" s="1">
        <v>-6.2253510000000003E-7</v>
      </c>
      <c r="I2526">
        <v>216.93109999999999</v>
      </c>
      <c r="J2526">
        <v>-370.33699999999999</v>
      </c>
      <c r="K2526">
        <v>1.1052</v>
      </c>
      <c r="L2526">
        <v>214.23580000000001</v>
      </c>
      <c r="M2526">
        <v>0.99970270000000006</v>
      </c>
      <c r="N2526">
        <v>0</v>
      </c>
      <c r="O2526">
        <v>-2.0528000000000001E-2</v>
      </c>
      <c r="P2526">
        <v>0.99946119999999905</v>
      </c>
      <c r="Q2526">
        <v>2.8748260000000001E-2</v>
      </c>
      <c r="R2526">
        <v>1.5850960000000001E-2</v>
      </c>
      <c r="S2526">
        <v>3.00061</v>
      </c>
      <c r="T2526">
        <v>-0.17768390000000001</v>
      </c>
      <c r="U2526">
        <v>0.43266300000000002</v>
      </c>
      <c r="V2526">
        <v>-3.6408299999999998E-2</v>
      </c>
      <c r="W2526">
        <v>4.1856280000000003E-2</v>
      </c>
      <c r="X2526">
        <v>0.99846009999999996</v>
      </c>
      <c r="Y2526">
        <v>-0.16269059999999999</v>
      </c>
      <c r="Z2526">
        <v>5.9968E-3</v>
      </c>
      <c r="AA2526">
        <v>0.98665890000000001</v>
      </c>
      <c r="AB2526">
        <v>23</v>
      </c>
      <c r="AC2526">
        <v>18.428799999999899</v>
      </c>
      <c r="AD2526">
        <v>-1.1052006225351001</v>
      </c>
      <c r="AE2526">
        <v>2.6952999999999698</v>
      </c>
      <c r="AF2526">
        <v>-3.0622880306389302</v>
      </c>
      <c r="AG2526">
        <v>-1.1052006225351001</v>
      </c>
      <c r="AH2526">
        <v>18.305125229599302</v>
      </c>
      <c r="AI2526">
        <v>93.407884033661105</v>
      </c>
      <c r="AJ2526">
        <v>99.497139759900605</v>
      </c>
      <c r="AK2526">
        <v>18.592382474281202</v>
      </c>
    </row>
    <row r="2527" spans="1:37" x14ac:dyDescent="0.2">
      <c r="A2527" t="str">
        <f>"20200111160204284"</f>
        <v>20200111160204284</v>
      </c>
      <c r="B2527" t="str">
        <f>"1578729724274084"</f>
        <v>1578729724274084</v>
      </c>
      <c r="C2527" t="s">
        <v>37</v>
      </c>
      <c r="D2527">
        <v>5.6769629999999998</v>
      </c>
      <c r="E2527">
        <v>0.45260919999999999</v>
      </c>
      <c r="F2527" t="s">
        <v>57</v>
      </c>
      <c r="G2527">
        <v>-352.15260000000001</v>
      </c>
      <c r="H2527" s="1">
        <v>-4.9075680000000002E-7</v>
      </c>
      <c r="I2527">
        <v>216.8921</v>
      </c>
      <c r="J2527">
        <v>-370.11470000000003</v>
      </c>
      <c r="K2527">
        <v>1.105191</v>
      </c>
      <c r="L2527">
        <v>214.232</v>
      </c>
      <c r="M2527">
        <v>0.99971540000000003</v>
      </c>
      <c r="N2527">
        <v>0</v>
      </c>
      <c r="O2527">
        <v>-1.985232E-2</v>
      </c>
      <c r="P2527">
        <v>0.99948819999999905</v>
      </c>
      <c r="Q2527">
        <v>2.6898519999999999E-2</v>
      </c>
      <c r="R2527">
        <v>1.732436E-2</v>
      </c>
      <c r="S2527">
        <v>2.9999389999999999</v>
      </c>
      <c r="T2527">
        <v>-0.1823285</v>
      </c>
      <c r="U2527">
        <v>0.43821719999999997</v>
      </c>
      <c r="V2527">
        <v>-3.7204189999999998E-2</v>
      </c>
      <c r="W2527">
        <v>4.0077269999999998E-2</v>
      </c>
      <c r="X2527">
        <v>0.99850369999999999</v>
      </c>
      <c r="Y2527">
        <v>-0.16382639999999901</v>
      </c>
      <c r="Z2527">
        <v>6.147291E-3</v>
      </c>
      <c r="AA2527">
        <v>0.98646999999999996</v>
      </c>
      <c r="AB2527">
        <v>23</v>
      </c>
      <c r="AC2527">
        <v>17.9621</v>
      </c>
      <c r="AD2527">
        <v>-1.1051914907567999</v>
      </c>
      <c r="AE2527">
        <v>2.6600999999999999</v>
      </c>
      <c r="AF2527">
        <v>-3.0050637342172002</v>
      </c>
      <c r="AG2527">
        <v>-1.1051914907567999</v>
      </c>
      <c r="AH2527">
        <v>17.839657284248499</v>
      </c>
      <c r="AI2527">
        <v>93.495896142082302</v>
      </c>
      <c r="AJ2527">
        <v>99.561626414587494</v>
      </c>
      <c r="AK2527">
        <v>18.124713192141499</v>
      </c>
    </row>
    <row r="2528" spans="1:37" x14ac:dyDescent="0.2">
      <c r="A2528" t="str">
        <f>"20200111160204307"</f>
        <v>20200111160204307</v>
      </c>
      <c r="B2528" t="str">
        <f>"1578729724304339"</f>
        <v>1578729724304339</v>
      </c>
      <c r="C2528" t="s">
        <v>37</v>
      </c>
      <c r="D2528">
        <v>5.6777220000000002</v>
      </c>
      <c r="E2528">
        <v>0.45264280000000001</v>
      </c>
      <c r="F2528" t="s">
        <v>57</v>
      </c>
      <c r="G2528">
        <v>-352.99699999999899</v>
      </c>
      <c r="H2528" s="1">
        <v>-3.5781359999999997E-8</v>
      </c>
      <c r="I2528">
        <v>216.76329999999999</v>
      </c>
      <c r="J2528">
        <v>-369.89</v>
      </c>
      <c r="K2528">
        <v>1.1051979999999999</v>
      </c>
      <c r="L2528">
        <v>214.22829999999999</v>
      </c>
      <c r="M2528">
        <v>0.99972799999999995</v>
      </c>
      <c r="N2528">
        <v>0</v>
      </c>
      <c r="O2528">
        <v>-1.9163699999999999E-2</v>
      </c>
      <c r="P2528">
        <v>0.99951239999999997</v>
      </c>
      <c r="Q2528">
        <v>2.5488429999999999E-2</v>
      </c>
      <c r="R2528">
        <v>1.8055829999999998E-2</v>
      </c>
      <c r="S2528">
        <v>2.9990540000000001</v>
      </c>
      <c r="T2528">
        <v>-0.19363150000000001</v>
      </c>
      <c r="U2528">
        <v>0.44349670000000002</v>
      </c>
      <c r="V2528">
        <v>-3.7246639999999998E-2</v>
      </c>
      <c r="W2528">
        <v>3.8729340000000001E-2</v>
      </c>
      <c r="X2528">
        <v>0.99855530000000003</v>
      </c>
      <c r="Y2528">
        <v>-0.1648452</v>
      </c>
      <c r="Z2528">
        <v>6.5171769999999999E-3</v>
      </c>
      <c r="AA2528">
        <v>0.98629789999999995</v>
      </c>
      <c r="AB2528">
        <v>23</v>
      </c>
      <c r="AC2528">
        <v>16.893000000000001</v>
      </c>
      <c r="AD2528">
        <v>-1.10519803578136</v>
      </c>
      <c r="AE2528">
        <v>2.5349999999999899</v>
      </c>
      <c r="AF2528">
        <v>-2.84638053092565</v>
      </c>
      <c r="AG2528">
        <v>-1.10519803578136</v>
      </c>
      <c r="AH2528">
        <v>16.771109692108599</v>
      </c>
      <c r="AI2528">
        <v>93.717273646286998</v>
      </c>
      <c r="AJ2528">
        <v>99.632411859165401</v>
      </c>
      <c r="AK2528">
        <v>17.046802196595898</v>
      </c>
    </row>
    <row r="2529" spans="1:37" x14ac:dyDescent="0.2">
      <c r="A2529" t="str">
        <f>"20200111160204327"</f>
        <v>20200111160204327</v>
      </c>
      <c r="B2529" t="str">
        <f>"1578729724323859"</f>
        <v>1578729724323859</v>
      </c>
      <c r="C2529" t="s">
        <v>37</v>
      </c>
      <c r="D2529">
        <v>5.6641320000000004</v>
      </c>
      <c r="E2529">
        <v>0.45287470000000002</v>
      </c>
      <c r="F2529" t="s">
        <v>57</v>
      </c>
      <c r="G2529">
        <v>-352.92489999999998</v>
      </c>
      <c r="H2529" s="1">
        <v>-7.3588399999999899E-8</v>
      </c>
      <c r="I2529">
        <v>216.7501</v>
      </c>
      <c r="J2529">
        <v>-369.67680000000001</v>
      </c>
      <c r="K2529">
        <v>1.1052150000000001</v>
      </c>
      <c r="L2529">
        <v>214.22499999999999</v>
      </c>
      <c r="M2529">
        <v>0.99973969999999901</v>
      </c>
      <c r="N2529">
        <v>0</v>
      </c>
      <c r="O2529">
        <v>-1.8505750000000001E-2</v>
      </c>
      <c r="P2529">
        <v>0.99954509999999996</v>
      </c>
      <c r="Q2529">
        <v>2.4130860000000001E-2</v>
      </c>
      <c r="R2529">
        <v>1.8096729999999998E-2</v>
      </c>
      <c r="S2529">
        <v>2.998383</v>
      </c>
      <c r="T2529">
        <v>-0.195331</v>
      </c>
      <c r="U2529">
        <v>0.44569399999999998</v>
      </c>
      <c r="V2529">
        <v>-3.6629469999999997E-2</v>
      </c>
      <c r="W2529">
        <v>3.7423280000000003E-2</v>
      </c>
      <c r="X2529">
        <v>0.99862799999999996</v>
      </c>
      <c r="Y2529">
        <v>-0.16492970000000001</v>
      </c>
      <c r="Z2529">
        <v>6.53548699999999E-3</v>
      </c>
      <c r="AA2529">
        <v>0.98628369999999999</v>
      </c>
      <c r="AB2529">
        <v>23</v>
      </c>
      <c r="AC2529">
        <v>16.751899999999999</v>
      </c>
      <c r="AD2529">
        <v>-1.1052150735884001</v>
      </c>
      <c r="AE2529">
        <v>2.5251000000000001</v>
      </c>
      <c r="AF2529">
        <v>-2.8226880443826601</v>
      </c>
      <c r="AG2529">
        <v>-1.1052150735884001</v>
      </c>
      <c r="AH2529">
        <v>16.6315129625631</v>
      </c>
      <c r="AI2529">
        <v>93.748443657915999</v>
      </c>
      <c r="AJ2529">
        <v>99.632411084968297</v>
      </c>
      <c r="AK2529">
        <v>16.905510686716699</v>
      </c>
    </row>
    <row r="2530" spans="1:37" x14ac:dyDescent="0.2">
      <c r="A2530" t="str">
        <f>"20200111160204350"</f>
        <v>20200111160204350</v>
      </c>
      <c r="B2530" t="str">
        <f>"1578729724344355"</f>
        <v>1578729724344355</v>
      </c>
      <c r="C2530" t="s">
        <v>37</v>
      </c>
      <c r="D2530">
        <v>5.7330809999999897</v>
      </c>
      <c r="E2530">
        <v>0.45291579999999898</v>
      </c>
      <c r="F2530" t="s">
        <v>57</v>
      </c>
      <c r="G2530">
        <v>-353.28100000000001</v>
      </c>
      <c r="H2530" s="1">
        <v>1.1997559999999999E-7</v>
      </c>
      <c r="I2530">
        <v>216.65719999999999</v>
      </c>
      <c r="J2530">
        <v>-369.45299999999997</v>
      </c>
      <c r="K2530">
        <v>1.1052230000000001</v>
      </c>
      <c r="L2530">
        <v>214.2216</v>
      </c>
      <c r="M2530">
        <v>0.99975170000000002</v>
      </c>
      <c r="N2530">
        <v>0</v>
      </c>
      <c r="O2530">
        <v>-1.7812000000000001E-2</v>
      </c>
      <c r="P2530">
        <v>0.99957229999999997</v>
      </c>
      <c r="Q2530">
        <v>2.2987480000000001E-2</v>
      </c>
      <c r="R2530">
        <v>1.8075359999999999E-2</v>
      </c>
      <c r="S2530">
        <v>2.9981689999999999</v>
      </c>
      <c r="T2530">
        <v>-0.20210220000000001</v>
      </c>
      <c r="U2530">
        <v>0.44476320000000003</v>
      </c>
      <c r="V2530">
        <v>-3.5914260000000003E-2</v>
      </c>
      <c r="W2530">
        <v>3.6325870000000003E-2</v>
      </c>
      <c r="X2530">
        <v>0.99869439999999998</v>
      </c>
      <c r="Y2530">
        <v>-0.16393279999999999</v>
      </c>
      <c r="Z2530">
        <v>6.6823069999999898E-3</v>
      </c>
      <c r="AA2530">
        <v>0.98644889999999996</v>
      </c>
      <c r="AB2530">
        <v>23</v>
      </c>
      <c r="AC2530">
        <v>16.172000000000001</v>
      </c>
      <c r="AD2530">
        <v>-1.1052228800243999</v>
      </c>
      <c r="AE2530">
        <v>2.4355999999999902</v>
      </c>
      <c r="AF2530">
        <v>-2.7109142575482701</v>
      </c>
      <c r="AG2530">
        <v>-1.1052228800243999</v>
      </c>
      <c r="AH2530">
        <v>16.052734182106501</v>
      </c>
      <c r="AI2530">
        <v>93.883751825826394</v>
      </c>
      <c r="AJ2530">
        <v>99.585416890598694</v>
      </c>
      <c r="AK2530">
        <v>16.317501293019099</v>
      </c>
    </row>
    <row r="2531" spans="1:37" x14ac:dyDescent="0.2">
      <c r="A2531" t="str">
        <f>"20200111160204373"</f>
        <v>20200111160204373</v>
      </c>
      <c r="B2531" t="str">
        <f>"1578729724363875"</f>
        <v>1578729724363875</v>
      </c>
      <c r="C2531" t="s">
        <v>37</v>
      </c>
      <c r="D2531">
        <v>6.1993769999999904</v>
      </c>
      <c r="E2531">
        <v>0.45302510000000001</v>
      </c>
      <c r="F2531" t="s">
        <v>57</v>
      </c>
      <c r="G2531">
        <v>-353.54169999999999</v>
      </c>
      <c r="H2531" s="1">
        <v>2.6198519999999998E-7</v>
      </c>
      <c r="I2531">
        <v>216.58199999999999</v>
      </c>
      <c r="J2531">
        <v>-369.22199999999998</v>
      </c>
      <c r="K2531">
        <v>1.105234</v>
      </c>
      <c r="L2531">
        <v>214.2184</v>
      </c>
      <c r="M2531">
        <v>0.99976379999999998</v>
      </c>
      <c r="N2531">
        <v>0</v>
      </c>
      <c r="O2531">
        <v>-1.709403E-2</v>
      </c>
      <c r="P2531">
        <v>0.99957030000000002</v>
      </c>
      <c r="Q2531">
        <v>2.2782799999999999E-2</v>
      </c>
      <c r="R2531">
        <v>1.8455740000000002E-2</v>
      </c>
      <c r="S2531">
        <v>2.997986</v>
      </c>
      <c r="T2531">
        <v>-0.20824409999999999</v>
      </c>
      <c r="U2531">
        <v>0.44473269999999998</v>
      </c>
      <c r="V2531">
        <v>-3.5577310000000001E-2</v>
      </c>
      <c r="W2531">
        <v>3.6161470000000001E-2</v>
      </c>
      <c r="X2531">
        <v>0.9987125</v>
      </c>
      <c r="Y2531">
        <v>-0.16320179999999901</v>
      </c>
      <c r="Z2531">
        <v>6.810539E-3</v>
      </c>
      <c r="AA2531">
        <v>0.98656919999999904</v>
      </c>
      <c r="AB2531">
        <v>22</v>
      </c>
      <c r="AC2531">
        <v>15.6802999999999</v>
      </c>
      <c r="AD2531">
        <v>-1.1052337380148001</v>
      </c>
      <c r="AE2531">
        <v>2.3635999999999902</v>
      </c>
      <c r="AF2531">
        <v>-2.6185975521984601</v>
      </c>
      <c r="AG2531">
        <v>-1.1052337380148001</v>
      </c>
      <c r="AH2531">
        <v>15.562003861455899</v>
      </c>
      <c r="AI2531">
        <v>94.006265377865503</v>
      </c>
      <c r="AJ2531">
        <v>99.551605711730502</v>
      </c>
      <c r="AK2531">
        <v>15.8194361132119</v>
      </c>
    </row>
    <row r="2532" spans="1:37" x14ac:dyDescent="0.2">
      <c r="A2532" t="str">
        <f>"20200111160204396"</f>
        <v>20200111160204396</v>
      </c>
      <c r="B2532" t="str">
        <f>"1578729724384370"</f>
        <v>1578729724384370</v>
      </c>
      <c r="C2532" t="s">
        <v>37</v>
      </c>
      <c r="D2532">
        <v>5.6321260000000004</v>
      </c>
      <c r="E2532">
        <v>0.45083509999999999</v>
      </c>
      <c r="F2532" t="s">
        <v>57</v>
      </c>
      <c r="G2532">
        <v>-352.99540000000002</v>
      </c>
      <c r="H2532" s="1">
        <v>-3.0697360000000002E-8</v>
      </c>
      <c r="I2532">
        <v>216.62690000000001</v>
      </c>
      <c r="J2532">
        <v>-368.99470000000002</v>
      </c>
      <c r="K2532">
        <v>1.1052329999999999</v>
      </c>
      <c r="L2532">
        <v>214.21530000000001</v>
      </c>
      <c r="M2532">
        <v>0.99977519999999998</v>
      </c>
      <c r="N2532">
        <v>0</v>
      </c>
      <c r="O2532">
        <v>-1.638711E-2</v>
      </c>
      <c r="P2532">
        <v>0.99954529999999997</v>
      </c>
      <c r="Q2532">
        <v>2.359197E-2</v>
      </c>
      <c r="R2532">
        <v>1.878196E-2</v>
      </c>
      <c r="S2532">
        <v>2.9977109999999998</v>
      </c>
      <c r="T2532">
        <v>-0.20418139999999901</v>
      </c>
      <c r="U2532">
        <v>0.44494629999999902</v>
      </c>
      <c r="V2532">
        <v>-3.5197630000000001E-2</v>
      </c>
      <c r="W2532">
        <v>3.7004429999999998E-2</v>
      </c>
      <c r="X2532">
        <v>0.99869509999999995</v>
      </c>
      <c r="Y2532">
        <v>-0.16260549999999999</v>
      </c>
      <c r="Z2532">
        <v>6.6105089999999997E-3</v>
      </c>
      <c r="AA2532">
        <v>0.98666900000000002</v>
      </c>
      <c r="AB2532">
        <v>22</v>
      </c>
      <c r="AC2532">
        <v>15.9993</v>
      </c>
      <c r="AD2532">
        <v>-1.1052330306973599</v>
      </c>
      <c r="AE2532">
        <v>2.4115999999999902</v>
      </c>
      <c r="AF2532">
        <v>-2.6610654852866098</v>
      </c>
      <c r="AG2532">
        <v>-1.1052330306973599</v>
      </c>
      <c r="AH2532">
        <v>15.883515320912499</v>
      </c>
      <c r="AI2532">
        <v>93.925892862041295</v>
      </c>
      <c r="AJ2532">
        <v>99.510795365028798</v>
      </c>
      <c r="AK2532">
        <v>16.1427652067045</v>
      </c>
    </row>
    <row r="2533" spans="1:37" x14ac:dyDescent="0.2">
      <c r="A2533" t="str">
        <f>"20200111160204417"</f>
        <v>20200111160204417</v>
      </c>
      <c r="B2533" t="str">
        <f>"1578729724414628"</f>
        <v>1578729724414628</v>
      </c>
      <c r="C2533" t="s">
        <v>37</v>
      </c>
      <c r="D2533">
        <v>5.7162730000000002</v>
      </c>
      <c r="E2533">
        <v>0.45068359999999902</v>
      </c>
      <c r="F2533" t="s">
        <v>72</v>
      </c>
      <c r="G2533">
        <v>-262.79360000000003</v>
      </c>
      <c r="H2533">
        <v>0.53645319999999996</v>
      </c>
      <c r="I2533">
        <v>230.3133</v>
      </c>
      <c r="J2533">
        <v>-368.78059999999999</v>
      </c>
      <c r="K2533">
        <v>1.105235</v>
      </c>
      <c r="L2533">
        <v>214.21260000000001</v>
      </c>
      <c r="M2533">
        <v>0.99978549999999999</v>
      </c>
      <c r="N2533">
        <v>0</v>
      </c>
      <c r="O2533">
        <v>-1.572117E-2</v>
      </c>
      <c r="P2533">
        <v>0.9995288</v>
      </c>
      <c r="Q2533">
        <v>2.3963660000000001E-2</v>
      </c>
      <c r="R2533">
        <v>1.9182660000000001E-2</v>
      </c>
      <c r="S2533">
        <v>2.9932560000000001</v>
      </c>
      <c r="T2533">
        <v>-1.603019E-2</v>
      </c>
      <c r="U2533">
        <v>0.45372010000000002</v>
      </c>
      <c r="V2533">
        <v>-3.4932810000000002E-2</v>
      </c>
      <c r="W2533">
        <v>3.7402789999999998E-2</v>
      </c>
      <c r="X2533">
        <v>0.99868950000000001</v>
      </c>
      <c r="Y2533">
        <v>-0.16539279999999901</v>
      </c>
      <c r="Z2533">
        <v>5.2410199999999895E-4</v>
      </c>
      <c r="AA2533">
        <v>0.98622759999999998</v>
      </c>
      <c r="AB2533">
        <v>22</v>
      </c>
      <c r="AC2533">
        <v>105.986999999999</v>
      </c>
      <c r="AD2533">
        <v>-0.5687818</v>
      </c>
      <c r="AE2533">
        <v>16.1006999999999</v>
      </c>
      <c r="AF2533">
        <v>-17.764600882322402</v>
      </c>
      <c r="AG2533">
        <v>-0.5687818</v>
      </c>
      <c r="AH2533">
        <v>105.717778385801</v>
      </c>
      <c r="AI2533">
        <v>90.303997251762993</v>
      </c>
      <c r="AJ2533">
        <v>99.538751554607799</v>
      </c>
      <c r="AK2533">
        <v>107.201460923224</v>
      </c>
    </row>
    <row r="2534" spans="1:37" x14ac:dyDescent="0.2">
      <c r="A2534" t="str">
        <f>"20200111160204440"</f>
        <v>20200111160204440</v>
      </c>
      <c r="B2534" t="str">
        <f>"1578729724434147"</f>
        <v>1578729724434147</v>
      </c>
      <c r="C2534" t="s">
        <v>37</v>
      </c>
      <c r="D2534">
        <v>5.7948510000000004</v>
      </c>
      <c r="E2534">
        <v>0.45159090000000002</v>
      </c>
      <c r="F2534" t="s">
        <v>39</v>
      </c>
      <c r="G2534">
        <v>-265.76650000000001</v>
      </c>
      <c r="H2534">
        <v>-0.05</v>
      </c>
      <c r="I2534">
        <v>229.9496</v>
      </c>
      <c r="J2534">
        <v>-368.55540000000002</v>
      </c>
      <c r="K2534">
        <v>1.105226</v>
      </c>
      <c r="L2534">
        <v>214.2098</v>
      </c>
      <c r="M2534">
        <v>0.99979599999999902</v>
      </c>
      <c r="N2534">
        <v>0</v>
      </c>
      <c r="O2534">
        <v>-1.502065E-2</v>
      </c>
      <c r="P2534">
        <v>0.99947489999999894</v>
      </c>
      <c r="Q2534">
        <v>2.5606609999999998E-2</v>
      </c>
      <c r="R2534">
        <v>1.98587E-2</v>
      </c>
      <c r="S2534">
        <v>2.9934080000000001</v>
      </c>
      <c r="T2534">
        <v>-3.3569099999999998E-2</v>
      </c>
      <c r="U2534">
        <v>0.45729059999999999</v>
      </c>
      <c r="V2534">
        <v>-3.490915E-2</v>
      </c>
      <c r="W2534">
        <v>3.9070029999999999E-2</v>
      </c>
      <c r="X2534">
        <v>0.99862649999999997</v>
      </c>
      <c r="Y2534">
        <v>-0.1658355</v>
      </c>
      <c r="Z2534">
        <v>1.0920050000000001E-3</v>
      </c>
      <c r="AA2534">
        <v>0.98615280000000005</v>
      </c>
      <c r="AB2534">
        <v>22</v>
      </c>
      <c r="AC2534">
        <v>102.7889</v>
      </c>
      <c r="AD2534">
        <v>-1.1552260000000001</v>
      </c>
      <c r="AE2534">
        <v>15.739800000000001</v>
      </c>
      <c r="AF2534">
        <v>-17.279988193296202</v>
      </c>
      <c r="AG2534">
        <v>-1.1552260000000001</v>
      </c>
      <c r="AH2534">
        <v>102.52820429083999</v>
      </c>
      <c r="AI2534">
        <v>90.63657005057</v>
      </c>
      <c r="AJ2534">
        <v>99.566660864396795</v>
      </c>
      <c r="AK2534">
        <v>103.98060018184</v>
      </c>
    </row>
    <row r="2535" spans="1:37" x14ac:dyDescent="0.2">
      <c r="A2535" t="str">
        <f>"20200111160204463"</f>
        <v>20200111160204463</v>
      </c>
      <c r="B2535" t="str">
        <f>"1578729724454643"</f>
        <v>1578729724454643</v>
      </c>
      <c r="C2535" t="s">
        <v>37</v>
      </c>
      <c r="D2535">
        <v>5.6140720000000002</v>
      </c>
      <c r="E2535">
        <v>0.45221080000000002</v>
      </c>
      <c r="F2535" t="s">
        <v>57</v>
      </c>
      <c r="G2535">
        <v>-323.35449999999997</v>
      </c>
      <c r="H2535">
        <v>8.0001000000000003E-2</v>
      </c>
      <c r="I2535">
        <v>221.07560000000001</v>
      </c>
      <c r="J2535">
        <v>-368.31720000000001</v>
      </c>
      <c r="K2535">
        <v>1.1052150000000001</v>
      </c>
      <c r="L2535">
        <v>214.2071</v>
      </c>
      <c r="M2535">
        <v>0.99980650000000004</v>
      </c>
      <c r="N2535">
        <v>0</v>
      </c>
      <c r="O2535">
        <v>-1.4280899999999999E-2</v>
      </c>
      <c r="P2535">
        <v>0.99946270000000004</v>
      </c>
      <c r="Q2535">
        <v>2.614151E-2</v>
      </c>
      <c r="R2535">
        <v>1.978618E-2</v>
      </c>
      <c r="S2535">
        <v>2.9942929999999999</v>
      </c>
      <c r="T2535">
        <v>-6.7915199999999995E-2</v>
      </c>
      <c r="U2535">
        <v>0.45481869999999902</v>
      </c>
      <c r="V2535">
        <v>-3.4097919999999997E-2</v>
      </c>
      <c r="W2535">
        <v>3.9627499999999899E-2</v>
      </c>
      <c r="X2535">
        <v>0.99863259999999898</v>
      </c>
      <c r="Y2535">
        <v>-0.16423270000000001</v>
      </c>
      <c r="Z2535">
        <v>2.1738040000000001E-3</v>
      </c>
      <c r="AA2535">
        <v>0.98641919999999905</v>
      </c>
      <c r="AB2535">
        <v>22</v>
      </c>
      <c r="AC2535">
        <v>44.962699999999998</v>
      </c>
      <c r="AD2535">
        <v>-1.0252139999999901</v>
      </c>
      <c r="AE2535">
        <v>6.8685000000000098</v>
      </c>
      <c r="AF2535">
        <v>-7.5061525317013302</v>
      </c>
      <c r="AG2535">
        <v>-1.0252139999999901</v>
      </c>
      <c r="AH2535">
        <v>44.837237103914397</v>
      </c>
      <c r="AI2535">
        <v>91.291881611816606</v>
      </c>
      <c r="AJ2535">
        <v>99.503694671028896</v>
      </c>
      <c r="AK2535">
        <v>45.472752508371499</v>
      </c>
    </row>
    <row r="2536" spans="1:37" x14ac:dyDescent="0.2">
      <c r="A2536" t="str">
        <f>"20200111160204485"</f>
        <v>20200111160204485</v>
      </c>
      <c r="B2536" t="str">
        <f>"1578729724474162"</f>
        <v>1578729724474162</v>
      </c>
      <c r="C2536" t="s">
        <v>37</v>
      </c>
      <c r="D2536">
        <v>5.7473390000000002</v>
      </c>
      <c r="E2536">
        <v>0.45151750000000002</v>
      </c>
      <c r="F2536" t="s">
        <v>57</v>
      </c>
      <c r="G2536">
        <v>-332.43130000000002</v>
      </c>
      <c r="H2536">
        <v>4.3319730000000002E-3</v>
      </c>
      <c r="I2536">
        <v>219.6163</v>
      </c>
      <c r="J2536">
        <v>-368.10050000000001</v>
      </c>
      <c r="K2536">
        <v>1.105202</v>
      </c>
      <c r="L2536">
        <v>214.20480000000001</v>
      </c>
      <c r="M2536">
        <v>0.99981559999999903</v>
      </c>
      <c r="N2536">
        <v>0</v>
      </c>
      <c r="O2536">
        <v>-1.3608E-2</v>
      </c>
      <c r="P2536">
        <v>0.99951650000000003</v>
      </c>
      <c r="Q2536">
        <v>2.4378009999999999E-2</v>
      </c>
      <c r="R2536">
        <v>1.9307439999999999E-2</v>
      </c>
      <c r="S2536">
        <v>2.9950869999999998</v>
      </c>
      <c r="T2536">
        <v>-9.1881279999999996E-2</v>
      </c>
      <c r="U2536">
        <v>0.45146179999999902</v>
      </c>
      <c r="V2536">
        <v>-3.294586E-2</v>
      </c>
      <c r="W2536">
        <v>3.788358E-2</v>
      </c>
      <c r="X2536">
        <v>0.99873889999999999</v>
      </c>
      <c r="Y2536">
        <v>-0.1624128</v>
      </c>
      <c r="Z2536">
        <v>2.8917819999999999E-3</v>
      </c>
      <c r="AA2536">
        <v>0.98671869999999995</v>
      </c>
      <c r="AB2536">
        <v>22</v>
      </c>
      <c r="AC2536">
        <v>35.669199999999897</v>
      </c>
      <c r="AD2536">
        <v>-1.100870027</v>
      </c>
      <c r="AE2536">
        <v>5.4114999999999798</v>
      </c>
      <c r="AF2536">
        <v>-5.8909447389757004</v>
      </c>
      <c r="AG2536">
        <v>-1.100870027</v>
      </c>
      <c r="AH2536">
        <v>35.559140631229901</v>
      </c>
      <c r="AI2536">
        <v>91.749415971974301</v>
      </c>
      <c r="AJ2536">
        <v>99.406535266027305</v>
      </c>
      <c r="AK2536">
        <v>36.060610465792202</v>
      </c>
    </row>
    <row r="2537" spans="1:37" x14ac:dyDescent="0.2">
      <c r="A2537" t="str">
        <f>"20200111160204507"</f>
        <v>20200111160204507</v>
      </c>
      <c r="B2537" t="str">
        <f>"1578729724504419"</f>
        <v>1578729724504419</v>
      </c>
      <c r="C2537" t="s">
        <v>37</v>
      </c>
      <c r="D2537">
        <v>5.8175840000000001</v>
      </c>
      <c r="E2537">
        <v>0.45128740000000001</v>
      </c>
      <c r="F2537" t="s">
        <v>57</v>
      </c>
      <c r="G2537">
        <v>-331.35160000000002</v>
      </c>
      <c r="H2537">
        <v>8.0000189999999999E-2</v>
      </c>
      <c r="I2537">
        <v>219.78809999999999</v>
      </c>
      <c r="J2537">
        <v>-367.88699999999898</v>
      </c>
      <c r="K2537">
        <v>1.105189</v>
      </c>
      <c r="L2537">
        <v>214.20259999999999</v>
      </c>
      <c r="M2537">
        <v>0.99982420000000005</v>
      </c>
      <c r="N2537">
        <v>0</v>
      </c>
      <c r="O2537">
        <v>-1.2945099999999999E-2</v>
      </c>
      <c r="P2537">
        <v>0.99958649999999905</v>
      </c>
      <c r="Q2537">
        <v>2.208154E-2</v>
      </c>
      <c r="R2537">
        <v>1.8418710000000001E-2</v>
      </c>
      <c r="S2537">
        <v>2.9946899999999999</v>
      </c>
      <c r="T2537">
        <v>-8.354425E-2</v>
      </c>
      <c r="U2537">
        <v>0.45498660000000002</v>
      </c>
      <c r="V2537">
        <v>-3.1392589999999998E-2</v>
      </c>
      <c r="W2537">
        <v>3.5603929999999999E-2</v>
      </c>
      <c r="X2537">
        <v>0.99887280000000001</v>
      </c>
      <c r="Y2537">
        <v>-0.1629273</v>
      </c>
      <c r="Z2537">
        <v>2.6183510000000001E-3</v>
      </c>
      <c r="AA2537">
        <v>0.98663459999999903</v>
      </c>
      <c r="AB2537">
        <v>22</v>
      </c>
      <c r="AC2537">
        <v>36.535399999999903</v>
      </c>
      <c r="AD2537">
        <v>-1.02518881</v>
      </c>
      <c r="AE2537">
        <v>5.5854999999999899</v>
      </c>
      <c r="AF2537">
        <v>-6.0533724171169601</v>
      </c>
      <c r="AG2537">
        <v>-1.02518881</v>
      </c>
      <c r="AH2537">
        <v>36.431996171294003</v>
      </c>
      <c r="AI2537">
        <v>91.590077714064293</v>
      </c>
      <c r="AJ2537">
        <v>99.433817405192201</v>
      </c>
      <c r="AK2537">
        <v>36.9456990019359</v>
      </c>
    </row>
    <row r="2538" spans="1:37" x14ac:dyDescent="0.2">
      <c r="A2538" t="str">
        <f>"20200111160204529"</f>
        <v>20200111160204529</v>
      </c>
      <c r="B2538" t="str">
        <f>"1578729724523939"</f>
        <v>1578729724523939</v>
      </c>
      <c r="C2538" t="s">
        <v>37</v>
      </c>
      <c r="D2538">
        <v>5.7505949999999997</v>
      </c>
      <c r="E2538">
        <v>0.45140079999999999</v>
      </c>
      <c r="F2538" t="s">
        <v>57</v>
      </c>
      <c r="G2538">
        <v>-330.01459999999997</v>
      </c>
      <c r="H2538">
        <v>7.9999799999999996E-2</v>
      </c>
      <c r="I2538">
        <v>219.94309999999999</v>
      </c>
      <c r="J2538">
        <v>-367.6696</v>
      </c>
      <c r="K2538">
        <v>1.1051850000000001</v>
      </c>
      <c r="L2538">
        <v>214.20060000000001</v>
      </c>
      <c r="M2538">
        <v>0.99983259999999996</v>
      </c>
      <c r="N2538">
        <v>0</v>
      </c>
      <c r="O2538">
        <v>-1.22711E-2</v>
      </c>
      <c r="P2538">
        <v>0.99965300000000001</v>
      </c>
      <c r="Q2538">
        <v>1.9868070000000002E-2</v>
      </c>
      <c r="R2538">
        <v>1.7293889999999999E-2</v>
      </c>
      <c r="S2538">
        <v>2.9946290000000002</v>
      </c>
      <c r="T2538">
        <v>-8.1063270000000007E-2</v>
      </c>
      <c r="U2538">
        <v>0.45390320000000001</v>
      </c>
      <c r="V2538">
        <v>-2.9592940000000002E-2</v>
      </c>
      <c r="W2538">
        <v>3.3406060000000001E-2</v>
      </c>
      <c r="X2538">
        <v>0.99900359999999999</v>
      </c>
      <c r="Y2538">
        <v>-0.1619207</v>
      </c>
      <c r="Z2538">
        <v>2.509051E-3</v>
      </c>
      <c r="AA2538">
        <v>0.98680059999999903</v>
      </c>
      <c r="AB2538">
        <v>22</v>
      </c>
      <c r="AC2538">
        <v>37.655000000000001</v>
      </c>
      <c r="AD2538">
        <v>-1.0251851999999999</v>
      </c>
      <c r="AE2538">
        <v>5.7424999999999704</v>
      </c>
      <c r="AF2538">
        <v>-6.1996873691981396</v>
      </c>
      <c r="AG2538">
        <v>-1.0251851999999999</v>
      </c>
      <c r="AH2538">
        <v>37.554486818548597</v>
      </c>
      <c r="AI2538">
        <v>91.542834751468206</v>
      </c>
      <c r="AJ2538">
        <v>99.374133393891597</v>
      </c>
      <c r="AK2538">
        <v>38.076588717670603</v>
      </c>
    </row>
    <row r="2539" spans="1:37" x14ac:dyDescent="0.2">
      <c r="A2539" t="str">
        <f>"20200111160204553"</f>
        <v>20200111160204553</v>
      </c>
      <c r="B2539" t="str">
        <f>"1578729724544435"</f>
        <v>1578729724544435</v>
      </c>
      <c r="C2539" t="s">
        <v>37</v>
      </c>
      <c r="D2539">
        <v>5.7275019999999897</v>
      </c>
      <c r="E2539">
        <v>0.45182060000000002</v>
      </c>
      <c r="F2539" t="s">
        <v>57</v>
      </c>
      <c r="G2539">
        <v>-332.72399999999999</v>
      </c>
      <c r="H2539" s="1">
        <v>-2.9875390000000001E-7</v>
      </c>
      <c r="I2539">
        <v>219.4562</v>
      </c>
      <c r="J2539">
        <v>-367.43520000000001</v>
      </c>
      <c r="K2539">
        <v>1.1051789999999999</v>
      </c>
      <c r="L2539">
        <v>214.1986</v>
      </c>
      <c r="M2539">
        <v>0.99984110000000004</v>
      </c>
      <c r="N2539">
        <v>0</v>
      </c>
      <c r="O2539">
        <v>-1.1544159999999999E-2</v>
      </c>
      <c r="P2539">
        <v>0.99969390000000002</v>
      </c>
      <c r="Q2539">
        <v>1.8580269999999999E-2</v>
      </c>
      <c r="R2539">
        <v>1.6342929999999999E-2</v>
      </c>
      <c r="S2539">
        <v>2.9950869999999998</v>
      </c>
      <c r="T2539">
        <v>-9.4722150000000005E-2</v>
      </c>
      <c r="U2539">
        <v>0.45043949999999999</v>
      </c>
      <c r="V2539">
        <v>-2.7914890000000001E-2</v>
      </c>
      <c r="W2539">
        <v>3.2132170000000002E-2</v>
      </c>
      <c r="X2539">
        <v>0.99909369999999997</v>
      </c>
      <c r="Y2539">
        <v>-0.1600433</v>
      </c>
      <c r="Z2539">
        <v>2.879052E-3</v>
      </c>
      <c r="AA2539">
        <v>0.98710580000000003</v>
      </c>
      <c r="AB2539">
        <v>22</v>
      </c>
      <c r="AC2539">
        <v>34.711199999999998</v>
      </c>
      <c r="AD2539">
        <v>-1.1051792987539</v>
      </c>
      <c r="AE2539">
        <v>5.2575999999999903</v>
      </c>
      <c r="AF2539">
        <v>-5.6523966645802304</v>
      </c>
      <c r="AG2539">
        <v>-1.1051792987539</v>
      </c>
      <c r="AH2539">
        <v>34.613883906416802</v>
      </c>
      <c r="AI2539">
        <v>91.804873127684701</v>
      </c>
      <c r="AJ2539">
        <v>99.274456423445002</v>
      </c>
      <c r="AK2539">
        <v>35.089770139216498</v>
      </c>
    </row>
    <row r="2540" spans="1:37" x14ac:dyDescent="0.2">
      <c r="A2540" t="str">
        <f>"20200111160204574"</f>
        <v>20200111160204574</v>
      </c>
      <c r="B2540" t="str">
        <f>"1578729724564931"</f>
        <v>1578729724564931</v>
      </c>
      <c r="C2540" t="s">
        <v>37</v>
      </c>
      <c r="D2540">
        <v>5.7597569999999996</v>
      </c>
      <c r="E2540">
        <v>0.45207599999999998</v>
      </c>
      <c r="F2540" t="s">
        <v>57</v>
      </c>
      <c r="G2540">
        <v>-338.13639999999998</v>
      </c>
      <c r="H2540" s="1">
        <v>2.6207830000000001E-6</v>
      </c>
      <c r="I2540">
        <v>218.55549999999999</v>
      </c>
      <c r="J2540">
        <v>-367.21660000000003</v>
      </c>
      <c r="K2540">
        <v>1.10517</v>
      </c>
      <c r="L2540">
        <v>214.1969</v>
      </c>
      <c r="M2540">
        <v>0.99984869999999904</v>
      </c>
      <c r="N2540">
        <v>0</v>
      </c>
      <c r="O2540">
        <v>-1.086632E-2</v>
      </c>
      <c r="P2540">
        <v>0.99971239999999995</v>
      </c>
      <c r="Q2540">
        <v>1.8324130000000001E-2</v>
      </c>
      <c r="R2540">
        <v>1.5474999999999999E-2</v>
      </c>
      <c r="S2540">
        <v>2.99572799999999</v>
      </c>
      <c r="T2540">
        <v>-0.113001299999999</v>
      </c>
      <c r="U2540">
        <v>0.4454803</v>
      </c>
      <c r="V2540">
        <v>-2.6369130000000001E-2</v>
      </c>
      <c r="W2540">
        <v>3.188672E-2</v>
      </c>
      <c r="X2540">
        <v>0.99914360000000002</v>
      </c>
      <c r="Y2540">
        <v>-0.15771089999999999</v>
      </c>
      <c r="Z2540">
        <v>3.364812E-3</v>
      </c>
      <c r="AA2540">
        <v>0.98747960000000001</v>
      </c>
      <c r="AB2540">
        <v>22</v>
      </c>
      <c r="AC2540">
        <v>29.080200000000001</v>
      </c>
      <c r="AD2540">
        <v>-1.105167379217</v>
      </c>
      <c r="AE2540">
        <v>4.3585999999999903</v>
      </c>
      <c r="AF2540">
        <v>-4.6677729308023004</v>
      </c>
      <c r="AG2540">
        <v>-1.105167379217</v>
      </c>
      <c r="AH2540">
        <v>28.9901655431105</v>
      </c>
      <c r="AI2540">
        <v>92.155446525538196</v>
      </c>
      <c r="AJ2540">
        <v>99.1468201603126</v>
      </c>
      <c r="AK2540">
        <v>29.384335917059101</v>
      </c>
    </row>
    <row r="2541" spans="1:37" x14ac:dyDescent="0.2">
      <c r="A2541" t="str">
        <f>"20200111160204597"</f>
        <v>20200111160204597</v>
      </c>
      <c r="B2541" t="str">
        <f>"1578729724594210"</f>
        <v>1578729724594210</v>
      </c>
      <c r="C2541" t="s">
        <v>37</v>
      </c>
      <c r="D2541">
        <v>5.7782609999999996</v>
      </c>
      <c r="E2541">
        <v>0.45225569999999998</v>
      </c>
      <c r="F2541" t="s">
        <v>57</v>
      </c>
      <c r="G2541">
        <v>-340.71980000000002</v>
      </c>
      <c r="H2541" s="1">
        <v>-1.153767E-6</v>
      </c>
      <c r="I2541">
        <v>218.10480000000001</v>
      </c>
      <c r="J2541">
        <v>-366.99590000000001</v>
      </c>
      <c r="K2541">
        <v>1.10517</v>
      </c>
      <c r="L2541">
        <v>214.1953</v>
      </c>
      <c r="M2541">
        <v>0.99985579999999996</v>
      </c>
      <c r="N2541">
        <v>0</v>
      </c>
      <c r="O2541">
        <v>-1.0181559999999999E-2</v>
      </c>
      <c r="P2541">
        <v>0.99971969999999999</v>
      </c>
      <c r="Q2541">
        <v>1.8536649999999998E-2</v>
      </c>
      <c r="R2541">
        <v>1.474544E-2</v>
      </c>
      <c r="S2541">
        <v>2.9963069999999998</v>
      </c>
      <c r="T2541">
        <v>-0.124974399999999</v>
      </c>
      <c r="U2541">
        <v>0.44190980000000002</v>
      </c>
      <c r="V2541">
        <v>-2.4955370000000001E-2</v>
      </c>
      <c r="W2541">
        <v>3.2107860000000002E-2</v>
      </c>
      <c r="X2541">
        <v>0.99917279999999997</v>
      </c>
      <c r="Y2541">
        <v>-0.1558311</v>
      </c>
      <c r="Z2541">
        <v>3.6532679999999999E-3</v>
      </c>
      <c r="AA2541">
        <v>0.98777689999999996</v>
      </c>
      <c r="AB2541">
        <v>22</v>
      </c>
      <c r="AC2541">
        <v>26.2760999999999</v>
      </c>
      <c r="AD2541">
        <v>-1.1051711537669999</v>
      </c>
      <c r="AE2541">
        <v>3.9095</v>
      </c>
      <c r="AF2541">
        <v>-4.1696372242240596</v>
      </c>
      <c r="AG2541">
        <v>-1.1051711537669999</v>
      </c>
      <c r="AH2541">
        <v>26.1896022775767</v>
      </c>
      <c r="AI2541">
        <v>92.386362742656203</v>
      </c>
      <c r="AJ2541">
        <v>99.046117691125801</v>
      </c>
      <c r="AK2541">
        <v>26.542466828055002</v>
      </c>
    </row>
    <row r="2542" spans="1:37" x14ac:dyDescent="0.2">
      <c r="A2542" t="str">
        <f>"20200111160204619"</f>
        <v>20200111160204619</v>
      </c>
      <c r="B2542" t="str">
        <f>"1578729724614707"</f>
        <v>1578729724614707</v>
      </c>
      <c r="C2542" t="s">
        <v>37</v>
      </c>
      <c r="D2542">
        <v>5.7782029999999898</v>
      </c>
      <c r="E2542">
        <v>0.45251229999999998</v>
      </c>
      <c r="F2542" t="s">
        <v>57</v>
      </c>
      <c r="G2542">
        <v>-343.09879999999998</v>
      </c>
      <c r="H2542" s="1">
        <v>1.12227E-7</v>
      </c>
      <c r="I2542">
        <v>217.7002</v>
      </c>
      <c r="J2542">
        <v>-366.77730000000003</v>
      </c>
      <c r="K2542">
        <v>1.1051770000000001</v>
      </c>
      <c r="L2542">
        <v>214.19380000000001</v>
      </c>
      <c r="M2542">
        <v>0.99986219999999904</v>
      </c>
      <c r="N2542">
        <v>0</v>
      </c>
      <c r="O2542">
        <v>-9.5039430000000008E-3</v>
      </c>
      <c r="P2542">
        <v>0.99972680000000003</v>
      </c>
      <c r="Q2542">
        <v>1.912842E-2</v>
      </c>
      <c r="R2542">
        <v>1.3428010000000001E-2</v>
      </c>
      <c r="S2542">
        <v>2.996918</v>
      </c>
      <c r="T2542">
        <v>-0.13859830000000001</v>
      </c>
      <c r="U2542">
        <v>0.43954470000000001</v>
      </c>
      <c r="V2542">
        <v>-2.2960959999999999E-2</v>
      </c>
      <c r="W2542">
        <v>3.2707880000000002E-2</v>
      </c>
      <c r="X2542">
        <v>0.99920119999999901</v>
      </c>
      <c r="Y2542">
        <v>-0.15433929999999901</v>
      </c>
      <c r="Z2542">
        <v>3.98507799999999E-3</v>
      </c>
      <c r="AA2542">
        <v>0.9880099</v>
      </c>
      <c r="AB2542">
        <v>22</v>
      </c>
      <c r="AC2542">
        <v>23.6785</v>
      </c>
      <c r="AD2542">
        <v>-1.1051768877729999</v>
      </c>
      <c r="AE2542">
        <v>3.5063999999999802</v>
      </c>
      <c r="AF2542">
        <v>-3.7233643205426499</v>
      </c>
      <c r="AG2542">
        <v>-1.1051768877729999</v>
      </c>
      <c r="AH2542">
        <v>23.593806783284201</v>
      </c>
      <c r="AI2542">
        <v>92.649141223329593</v>
      </c>
      <c r="AJ2542">
        <v>98.967950413609898</v>
      </c>
      <c r="AK2542">
        <v>23.911348275321199</v>
      </c>
    </row>
    <row r="2543" spans="1:37" x14ac:dyDescent="0.2">
      <c r="A2543" t="str">
        <f>"20200111160204642"</f>
        <v>20200111160204642</v>
      </c>
      <c r="B2543" t="str">
        <f>"1578729724634227"</f>
        <v>1578729724634227</v>
      </c>
      <c r="C2543" t="s">
        <v>37</v>
      </c>
      <c r="D2543">
        <v>5.8604310000000002</v>
      </c>
      <c r="E2543">
        <v>0.45244269999999998</v>
      </c>
      <c r="F2543" t="s">
        <v>57</v>
      </c>
      <c r="G2543">
        <v>-342.84109999999998</v>
      </c>
      <c r="H2543" s="1">
        <v>-2.4883489999999999E-8</v>
      </c>
      <c r="I2543">
        <v>217.65950000000001</v>
      </c>
      <c r="J2543">
        <v>-366.5505</v>
      </c>
      <c r="K2543">
        <v>1.1051819999999899</v>
      </c>
      <c r="L2543">
        <v>214.1925</v>
      </c>
      <c r="M2543">
        <v>0.9998688</v>
      </c>
      <c r="N2543">
        <v>0</v>
      </c>
      <c r="O2543">
        <v>-8.8044089999999992E-3</v>
      </c>
      <c r="P2543">
        <v>0.99970559999999997</v>
      </c>
      <c r="Q2543">
        <v>2.0979459999999998E-2</v>
      </c>
      <c r="R2543">
        <v>1.2214539999999999E-2</v>
      </c>
      <c r="S2543">
        <v>2.9976500000000001</v>
      </c>
      <c r="T2543">
        <v>-0.13840710000000001</v>
      </c>
      <c r="U2543">
        <v>0.43402099999999999</v>
      </c>
      <c r="V2543">
        <v>-2.1049970000000001E-2</v>
      </c>
      <c r="W2543">
        <v>3.4565070000000003E-2</v>
      </c>
      <c r="X2543">
        <v>0.99918069999999903</v>
      </c>
      <c r="Y2543">
        <v>-0.1518341</v>
      </c>
      <c r="Z2543">
        <v>3.8895169999999999E-3</v>
      </c>
      <c r="AA2543">
        <v>0.98839840000000001</v>
      </c>
      <c r="AB2543">
        <v>22</v>
      </c>
      <c r="AC2543">
        <v>23.709399999999999</v>
      </c>
      <c r="AD2543">
        <v>-1.1051820248834801</v>
      </c>
      <c r="AE2543">
        <v>3.4670000000000099</v>
      </c>
      <c r="AF2543">
        <v>-3.66782940985573</v>
      </c>
      <c r="AG2543">
        <v>-1.1051820248834801</v>
      </c>
      <c r="AH2543">
        <v>23.627688911602998</v>
      </c>
      <c r="AI2543">
        <v>92.646400153575399</v>
      </c>
      <c r="AJ2543">
        <v>98.823845900695105</v>
      </c>
      <c r="AK2543">
        <v>23.9362086219062</v>
      </c>
    </row>
    <row r="2544" spans="1:37" x14ac:dyDescent="0.2">
      <c r="A2544" t="str">
        <f>"20200111160204664"</f>
        <v>20200111160204664</v>
      </c>
      <c r="B2544" t="str">
        <f>"1578729724654723"</f>
        <v>1578729724654723</v>
      </c>
      <c r="C2544" t="s">
        <v>37</v>
      </c>
      <c r="D2544">
        <v>5.9278180000000003</v>
      </c>
      <c r="E2544">
        <v>0.4525787</v>
      </c>
      <c r="F2544" t="s">
        <v>57</v>
      </c>
      <c r="G2544">
        <v>-342.69060000000002</v>
      </c>
      <c r="H2544" s="1">
        <v>-1.050079E-7</v>
      </c>
      <c r="I2544">
        <v>217.62459999999999</v>
      </c>
      <c r="J2544">
        <v>-366.33089999999999</v>
      </c>
      <c r="K2544">
        <v>1.1051850000000001</v>
      </c>
      <c r="L2544">
        <v>214.19139999999999</v>
      </c>
      <c r="M2544">
        <v>0.99987429999999999</v>
      </c>
      <c r="N2544">
        <v>0</v>
      </c>
      <c r="O2544">
        <v>-8.1337509999999998E-3</v>
      </c>
      <c r="P2544">
        <v>0.9996853</v>
      </c>
      <c r="Q2544">
        <v>2.246395E-2</v>
      </c>
      <c r="R2544">
        <v>1.11691E-2</v>
      </c>
      <c r="S2544">
        <v>2.99850499999999</v>
      </c>
      <c r="T2544">
        <v>-0.1388896</v>
      </c>
      <c r="U2544">
        <v>0.43132019999999999</v>
      </c>
      <c r="V2544">
        <v>-1.933466E-2</v>
      </c>
      <c r="W2544">
        <v>3.6055199999999898E-2</v>
      </c>
      <c r="X2544">
        <v>0.99916269999999996</v>
      </c>
      <c r="Y2544">
        <v>-0.15026010000000001</v>
      </c>
      <c r="Z2544">
        <v>3.8350620000000002E-3</v>
      </c>
      <c r="AA2544">
        <v>0.98863909999999999</v>
      </c>
      <c r="AB2544">
        <v>22</v>
      </c>
      <c r="AC2544">
        <v>23.6402999999999</v>
      </c>
      <c r="AD2544">
        <v>-1.10518510500789</v>
      </c>
      <c r="AE2544">
        <v>3.4331999999999998</v>
      </c>
      <c r="AF2544">
        <v>-3.61764524142969</v>
      </c>
      <c r="AG2544">
        <v>-1.10518510500789</v>
      </c>
      <c r="AH2544">
        <v>23.561159603039801</v>
      </c>
      <c r="AI2544">
        <v>92.6545455572533</v>
      </c>
      <c r="AJ2544">
        <v>98.729179672075801</v>
      </c>
      <c r="AK2544">
        <v>23.8628798146637</v>
      </c>
    </row>
    <row r="2545" spans="1:37" x14ac:dyDescent="0.2">
      <c r="A2545" t="str">
        <f>"20200111160204686"</f>
        <v>20200111160204686</v>
      </c>
      <c r="B2545" t="str">
        <f>"1578729724684003"</f>
        <v>1578729724684003</v>
      </c>
      <c r="C2545" t="s">
        <v>37</v>
      </c>
      <c r="D2545">
        <v>5.8430059999999999</v>
      </c>
      <c r="E2545">
        <v>0.45235929999999902</v>
      </c>
      <c r="F2545" t="s">
        <v>57</v>
      </c>
      <c r="G2545">
        <v>-342.68340000000001</v>
      </c>
      <c r="H2545" s="1">
        <v>-1.08814E-7</v>
      </c>
      <c r="I2545">
        <v>217.5634</v>
      </c>
      <c r="J2545">
        <v>-366.11189999999999</v>
      </c>
      <c r="K2545">
        <v>1.1051879999999901</v>
      </c>
      <c r="L2545">
        <v>214.19040000000001</v>
      </c>
      <c r="M2545">
        <v>0.99987939999999997</v>
      </c>
      <c r="N2545">
        <v>0</v>
      </c>
      <c r="O2545">
        <v>-7.4758940000000003E-3</v>
      </c>
      <c r="P2545">
        <v>0.9996678</v>
      </c>
      <c r="Q2545">
        <v>2.3623060000000001E-2</v>
      </c>
      <c r="R2545">
        <v>1.030298E-2</v>
      </c>
      <c r="S2545">
        <v>2.999298</v>
      </c>
      <c r="T2545">
        <v>-0.1401744</v>
      </c>
      <c r="U2545">
        <v>0.42768859999999997</v>
      </c>
      <c r="V2545">
        <v>-1.7811179999999999E-2</v>
      </c>
      <c r="W2545">
        <v>3.7218849999999998E-2</v>
      </c>
      <c r="X2545">
        <v>0.99914840000000005</v>
      </c>
      <c r="Y2545">
        <v>-0.14839920000000001</v>
      </c>
      <c r="Z2545">
        <v>3.7959909999999999E-3</v>
      </c>
      <c r="AA2545">
        <v>0.98892029999999997</v>
      </c>
      <c r="AB2545">
        <v>22</v>
      </c>
      <c r="AC2545">
        <v>23.4284999999999</v>
      </c>
      <c r="AD2545">
        <v>-1.1051881088140001</v>
      </c>
      <c r="AE2545">
        <v>3.37299999999999</v>
      </c>
      <c r="AF2545">
        <v>-3.5403526621189298</v>
      </c>
      <c r="AG2545">
        <v>-1.1051881088140001</v>
      </c>
      <c r="AH2545">
        <v>23.351717884282099</v>
      </c>
      <c r="AI2545">
        <v>92.679097805656895</v>
      </c>
      <c r="AJ2545">
        <v>98.620957484886901</v>
      </c>
      <c r="AK2545">
        <v>23.6444129949368</v>
      </c>
    </row>
    <row r="2546" spans="1:37" x14ac:dyDescent="0.2">
      <c r="A2546" t="str">
        <f>"20200111160204710"</f>
        <v>20200111160204710</v>
      </c>
      <c r="B2546" t="str">
        <f>"1578729724704499"</f>
        <v>1578729724704499</v>
      </c>
      <c r="C2546" t="s">
        <v>37</v>
      </c>
      <c r="D2546">
        <v>5.7900689999999999</v>
      </c>
      <c r="E2546">
        <v>0.45226840000000001</v>
      </c>
      <c r="F2546" t="s">
        <v>57</v>
      </c>
      <c r="G2546">
        <v>-342.84570000000002</v>
      </c>
      <c r="H2546" s="1">
        <v>-2.2430439999999898E-8</v>
      </c>
      <c r="I2546">
        <v>217.5044</v>
      </c>
      <c r="J2546">
        <v>-365.89550000000003</v>
      </c>
      <c r="K2546">
        <v>1.105172</v>
      </c>
      <c r="L2546">
        <v>214.18950000000001</v>
      </c>
      <c r="M2546">
        <v>0.99988390000000005</v>
      </c>
      <c r="N2546">
        <v>0</v>
      </c>
      <c r="O2546">
        <v>-6.8403750000000001E-3</v>
      </c>
      <c r="P2546">
        <v>0.999675599999999</v>
      </c>
      <c r="Q2546">
        <v>2.3451409999999999E-2</v>
      </c>
      <c r="R2546">
        <v>9.9450960000000005E-3</v>
      </c>
      <c r="S2546">
        <v>3</v>
      </c>
      <c r="T2546">
        <v>-0.14250579999999999</v>
      </c>
      <c r="U2546">
        <v>0.42732239999999999</v>
      </c>
      <c r="V2546">
        <v>-1.6816970000000001E-2</v>
      </c>
      <c r="W2546">
        <v>3.7051130000000002E-2</v>
      </c>
      <c r="X2546">
        <v>0.9991719</v>
      </c>
      <c r="Y2546">
        <v>-0.147616</v>
      </c>
      <c r="Z2546">
        <v>3.8096670000000001E-3</v>
      </c>
      <c r="AA2546">
        <v>0.98903739999999996</v>
      </c>
      <c r="AB2546">
        <v>22</v>
      </c>
      <c r="AC2546">
        <v>23.049800000000001</v>
      </c>
      <c r="AD2546">
        <v>-1.10517202243044</v>
      </c>
      <c r="AE2546">
        <v>3.31489999999999</v>
      </c>
      <c r="AF2546">
        <v>-3.46470262291469</v>
      </c>
      <c r="AG2546">
        <v>-1.10517202243044</v>
      </c>
      <c r="AH2546">
        <v>22.974836141845898</v>
      </c>
      <c r="AI2546">
        <v>92.723264682972001</v>
      </c>
      <c r="AJ2546">
        <v>98.575825670013899</v>
      </c>
      <c r="AK2546">
        <v>23.260882726351198</v>
      </c>
    </row>
    <row r="2547" spans="1:37" x14ac:dyDescent="0.2">
      <c r="A2547" t="str">
        <f>"20200111160204730"</f>
        <v>20200111160204730</v>
      </c>
      <c r="B2547" t="str">
        <f>"1578729724724019"</f>
        <v>1578729724724019</v>
      </c>
      <c r="C2547" t="s">
        <v>37</v>
      </c>
      <c r="D2547">
        <v>5.8383799999999999</v>
      </c>
      <c r="E2547">
        <v>0.4522389</v>
      </c>
      <c r="F2547" t="s">
        <v>57</v>
      </c>
      <c r="G2547">
        <v>-343.39170000000001</v>
      </c>
      <c r="H2547" s="1">
        <v>2.6812040000000002E-7</v>
      </c>
      <c r="I2547">
        <v>217.39680000000001</v>
      </c>
      <c r="J2547">
        <v>-365.6823</v>
      </c>
      <c r="K2547">
        <v>1.1051549999999899</v>
      </c>
      <c r="L2547">
        <v>214.18879999999999</v>
      </c>
      <c r="M2547">
        <v>0.99988790000000005</v>
      </c>
      <c r="N2547">
        <v>0</v>
      </c>
      <c r="O2547">
        <v>-6.234453E-3</v>
      </c>
      <c r="P2547">
        <v>0.99968709999999905</v>
      </c>
      <c r="Q2547">
        <v>2.289714E-2</v>
      </c>
      <c r="R2547">
        <v>1.0089330000000001E-2</v>
      </c>
      <c r="S2547">
        <v>3.0002140000000002</v>
      </c>
      <c r="T2547">
        <v>-0.147342</v>
      </c>
      <c r="U2547">
        <v>0.427597</v>
      </c>
      <c r="V2547">
        <v>-1.6353719999999999E-2</v>
      </c>
      <c r="W2547">
        <v>3.6499330000000003E-2</v>
      </c>
      <c r="X2547">
        <v>0.99919990000000003</v>
      </c>
      <c r="Y2547">
        <v>-0.1470852</v>
      </c>
      <c r="Z2547">
        <v>3.8959429999999998E-3</v>
      </c>
      <c r="AA2547">
        <v>0.98911610000000005</v>
      </c>
      <c r="AB2547">
        <v>22</v>
      </c>
      <c r="AC2547">
        <v>22.290599999999898</v>
      </c>
      <c r="AD2547">
        <v>-1.10515473187959</v>
      </c>
      <c r="AE2547">
        <v>3.2080000000000202</v>
      </c>
      <c r="AF2547">
        <v>-3.33887940394724</v>
      </c>
      <c r="AG2547">
        <v>-1.10515473187959</v>
      </c>
      <c r="AH2547">
        <v>22.216661731700999</v>
      </c>
      <c r="AI2547">
        <v>92.816222756180807</v>
      </c>
      <c r="AJ2547">
        <v>98.546856968045802</v>
      </c>
      <c r="AK2547">
        <v>22.4933221458353</v>
      </c>
    </row>
    <row r="2548" spans="1:37" x14ac:dyDescent="0.2">
      <c r="A2548" t="str">
        <f>"20200111160204754"</f>
        <v>20200111160204754</v>
      </c>
      <c r="B2548" t="str">
        <f>"1578729724744515"</f>
        <v>1578729724744515</v>
      </c>
      <c r="C2548" t="s">
        <v>37</v>
      </c>
      <c r="D2548">
        <v>5.8022130000000001</v>
      </c>
      <c r="E2548">
        <v>0.45230199999999998</v>
      </c>
      <c r="F2548" t="s">
        <v>57</v>
      </c>
      <c r="G2548">
        <v>-344.09339999999997</v>
      </c>
      <c r="H2548" s="1">
        <v>6.4153480000000005E-7</v>
      </c>
      <c r="I2548">
        <v>217.2722</v>
      </c>
      <c r="J2548">
        <v>-365.45299999999997</v>
      </c>
      <c r="K2548">
        <v>1.1051420000000001</v>
      </c>
      <c r="L2548">
        <v>214.18809999999999</v>
      </c>
      <c r="M2548">
        <v>0.99989150000000004</v>
      </c>
      <c r="N2548">
        <v>0</v>
      </c>
      <c r="O2548">
        <v>-5.605563E-3</v>
      </c>
      <c r="P2548">
        <v>0.99968539999999995</v>
      </c>
      <c r="Q2548">
        <v>2.2480969999999999E-2</v>
      </c>
      <c r="R2548">
        <v>1.1126219999999999E-2</v>
      </c>
      <c r="S2548">
        <v>3.0001829999999998</v>
      </c>
      <c r="T2548">
        <v>-0.15358189999999999</v>
      </c>
      <c r="U2548">
        <v>0.42849729999999903</v>
      </c>
      <c r="V2548">
        <v>-1.6759909999999999E-2</v>
      </c>
      <c r="W2548">
        <v>3.6084270000000002E-2</v>
      </c>
      <c r="X2548">
        <v>0.99920819999999999</v>
      </c>
      <c r="Y2548">
        <v>-0.14674089999999901</v>
      </c>
      <c r="Z2548">
        <v>4.0199009999999898E-3</v>
      </c>
      <c r="AA2548">
        <v>0.98916680000000001</v>
      </c>
      <c r="AB2548">
        <v>22</v>
      </c>
      <c r="AC2548">
        <v>21.3596</v>
      </c>
      <c r="AD2548">
        <v>-1.1051413584651999</v>
      </c>
      <c r="AE2548">
        <v>3.0840999999999998</v>
      </c>
      <c r="AF2548">
        <v>-3.19541577832566</v>
      </c>
      <c r="AG2548">
        <v>-1.1051413584651999</v>
      </c>
      <c r="AH2548">
        <v>21.2861551932933</v>
      </c>
      <c r="AI2548">
        <v>92.939158038593007</v>
      </c>
      <c r="AJ2548">
        <v>98.537326906696094</v>
      </c>
      <c r="AK2548">
        <v>21.5530142284445</v>
      </c>
    </row>
    <row r="2549" spans="1:37" x14ac:dyDescent="0.2">
      <c r="A2549" t="str">
        <f>"20200111160204778"</f>
        <v>20200111160204778</v>
      </c>
      <c r="B2549" t="str">
        <f>"1578729724774770"</f>
        <v>1578729724774770</v>
      </c>
      <c r="C2549" t="s">
        <v>37</v>
      </c>
      <c r="D2549">
        <v>5.7887870000000001</v>
      </c>
      <c r="E2549">
        <v>0.45235029999999998</v>
      </c>
      <c r="F2549" t="s">
        <v>57</v>
      </c>
      <c r="G2549">
        <v>-344.54149999999998</v>
      </c>
      <c r="H2549" s="1">
        <v>8.7996599999999995E-7</v>
      </c>
      <c r="I2549">
        <v>217.1935</v>
      </c>
      <c r="J2549">
        <v>-365.21589999999998</v>
      </c>
      <c r="K2549">
        <v>1.105121</v>
      </c>
      <c r="L2549">
        <v>214.1876</v>
      </c>
      <c r="M2549">
        <v>0.99989479999999997</v>
      </c>
      <c r="N2549">
        <v>0</v>
      </c>
      <c r="O2549">
        <v>-4.9776020000000002E-3</v>
      </c>
      <c r="P2549">
        <v>0.99967530000000004</v>
      </c>
      <c r="Q2549">
        <v>2.2146869999999999E-2</v>
      </c>
      <c r="R2549">
        <v>1.259918E-2</v>
      </c>
      <c r="S2549">
        <v>2.999695</v>
      </c>
      <c r="T2549">
        <v>-0.15852939999999999</v>
      </c>
      <c r="U2549">
        <v>0.43110660000000001</v>
      </c>
      <c r="V2549">
        <v>-1.7602969999999999E-2</v>
      </c>
      <c r="W2549">
        <v>3.5750709999999998E-2</v>
      </c>
      <c r="X2549">
        <v>0.99920569999999898</v>
      </c>
      <c r="Y2549">
        <v>-0.1469731</v>
      </c>
      <c r="Z2549">
        <v>4.1227340000000003E-3</v>
      </c>
      <c r="AA2549">
        <v>0.98913189999999995</v>
      </c>
      <c r="AB2549">
        <v>22</v>
      </c>
      <c r="AC2549">
        <v>20.674399999999899</v>
      </c>
      <c r="AD2549">
        <v>-1.105120120034</v>
      </c>
      <c r="AE2549">
        <v>3.0058999999999898</v>
      </c>
      <c r="AF2549">
        <v>-3.1001067317218398</v>
      </c>
      <c r="AG2549">
        <v>-1.105120120034</v>
      </c>
      <c r="AH2549">
        <v>20.601534441533101</v>
      </c>
      <c r="AI2549">
        <v>93.036431272921405</v>
      </c>
      <c r="AJ2549">
        <v>98.557627410536497</v>
      </c>
      <c r="AK2549">
        <v>20.862770035962299</v>
      </c>
    </row>
    <row r="2550" spans="1:37" x14ac:dyDescent="0.2">
      <c r="A2550" t="str">
        <f>"20200111160204801"</f>
        <v>20200111160204801</v>
      </c>
      <c r="B2550" t="str">
        <f>"1578729724794291"</f>
        <v>1578729724794291</v>
      </c>
      <c r="C2550" t="s">
        <v>37</v>
      </c>
      <c r="D2550">
        <v>5.7915580000000002</v>
      </c>
      <c r="E2550">
        <v>0.4524107</v>
      </c>
      <c r="F2550" t="s">
        <v>57</v>
      </c>
      <c r="G2550">
        <v>-345.16199999999998</v>
      </c>
      <c r="H2550" s="1">
        <v>1.2101859999999999E-6</v>
      </c>
      <c r="I2550">
        <v>217.0986</v>
      </c>
      <c r="J2550">
        <v>-364.9973</v>
      </c>
      <c r="K2550">
        <v>1.105108</v>
      </c>
      <c r="L2550">
        <v>214.18719999999999</v>
      </c>
      <c r="M2550">
        <v>0.99989749999999999</v>
      </c>
      <c r="N2550">
        <v>0</v>
      </c>
      <c r="O2550">
        <v>-4.4153739999999997E-3</v>
      </c>
      <c r="P2550">
        <v>0.99964120000000001</v>
      </c>
      <c r="Q2550">
        <v>2.2049030000000001E-2</v>
      </c>
      <c r="R2550">
        <v>1.5216810000000001E-2</v>
      </c>
      <c r="S2550">
        <v>2.9991460000000001</v>
      </c>
      <c r="T2550">
        <v>-0.16527549999999999</v>
      </c>
      <c r="U2550">
        <v>0.43536379999999902</v>
      </c>
      <c r="V2550">
        <v>-1.965797E-2</v>
      </c>
      <c r="W2550">
        <v>3.565111E-2</v>
      </c>
      <c r="X2550">
        <v>0.99917099999999903</v>
      </c>
      <c r="Y2550">
        <v>-0.14779929999999999</v>
      </c>
      <c r="Z2550">
        <v>4.2900830000000001E-3</v>
      </c>
      <c r="AA2550">
        <v>0.98900809999999995</v>
      </c>
      <c r="AB2550">
        <v>22</v>
      </c>
      <c r="AC2550">
        <v>19.8353</v>
      </c>
      <c r="AD2550">
        <v>-1.1051067898139999</v>
      </c>
      <c r="AE2550">
        <v>2.9114000000000102</v>
      </c>
      <c r="AF2550">
        <v>-2.9898749656184598</v>
      </c>
      <c r="AG2550">
        <v>-1.1051067898139999</v>
      </c>
      <c r="AH2550">
        <v>19.762201030063402</v>
      </c>
      <c r="AI2550">
        <v>93.164719634316299</v>
      </c>
      <c r="AJ2550">
        <v>98.603183209003802</v>
      </c>
      <c r="AK2550">
        <v>20.017622308345299</v>
      </c>
    </row>
    <row r="2551" spans="1:37" x14ac:dyDescent="0.2">
      <c r="A2551" t="str">
        <f>"20200111160204843"</f>
        <v>20200111160204843</v>
      </c>
      <c r="B2551" t="str">
        <f>"1578729724834307"</f>
        <v>1578729724834307</v>
      </c>
      <c r="C2551" t="s">
        <v>37</v>
      </c>
      <c r="D2551">
        <v>5.8255600000000003</v>
      </c>
      <c r="E2551">
        <v>0.45231309999999902</v>
      </c>
      <c r="F2551" t="s">
        <v>57</v>
      </c>
      <c r="G2551">
        <v>-345.33099999999899</v>
      </c>
      <c r="H2551" s="1">
        <v>1.3000879999999999E-6</v>
      </c>
      <c r="I2551">
        <v>217.09450000000001</v>
      </c>
      <c r="J2551">
        <v>-364.58640000000003</v>
      </c>
      <c r="K2551">
        <v>1.1050949999999999</v>
      </c>
      <c r="L2551">
        <v>214.1867</v>
      </c>
      <c r="M2551">
        <v>0.999901499999999</v>
      </c>
      <c r="N2551">
        <v>0</v>
      </c>
      <c r="O2551">
        <v>-3.390653E-3</v>
      </c>
      <c r="P2551">
        <v>0.99956520000000004</v>
      </c>
      <c r="Q2551">
        <v>2.182241E-2</v>
      </c>
      <c r="R2551">
        <v>1.9837779999999999E-2</v>
      </c>
      <c r="S2551">
        <v>2.9981080000000002</v>
      </c>
      <c r="T2551">
        <v>-0.16847229999999999</v>
      </c>
      <c r="U2551">
        <v>0.443222</v>
      </c>
      <c r="V2551">
        <v>-2.3252780000000001E-2</v>
      </c>
      <c r="W2551">
        <v>3.5420470000000003E-2</v>
      </c>
      <c r="X2551">
        <v>0.99910189999999999</v>
      </c>
      <c r="Y2551">
        <v>-0.149362299999999</v>
      </c>
      <c r="Z2551">
        <v>4.3600130000000003E-3</v>
      </c>
      <c r="AA2551">
        <v>0.98877289999999995</v>
      </c>
      <c r="AB2551">
        <v>22</v>
      </c>
      <c r="AC2551">
        <v>19.255400000000002</v>
      </c>
      <c r="AD2551">
        <v>-1.105093699912</v>
      </c>
      <c r="AE2551">
        <v>2.9077999999999999</v>
      </c>
      <c r="AF2551">
        <v>-2.9635341592953601</v>
      </c>
      <c r="AG2551">
        <v>-1.105093699912</v>
      </c>
      <c r="AH2551">
        <v>19.183651346165</v>
      </c>
      <c r="AI2551">
        <v>93.258371674311903</v>
      </c>
      <c r="AJ2551">
        <v>98.781763370207798</v>
      </c>
      <c r="AK2551">
        <v>19.442639886859901</v>
      </c>
    </row>
    <row r="2552" spans="1:37" x14ac:dyDescent="0.2">
      <c r="A2552" t="str">
        <f>"20200111160204866"</f>
        <v>20200111160204866</v>
      </c>
      <c r="B2552" t="str">
        <f>"1578729724854803"</f>
        <v>1578729724854803</v>
      </c>
      <c r="C2552" t="s">
        <v>37</v>
      </c>
      <c r="D2552">
        <v>5.8140359999999998</v>
      </c>
      <c r="E2552">
        <v>0.45230310000000001</v>
      </c>
      <c r="F2552" t="s">
        <v>57</v>
      </c>
      <c r="G2552">
        <v>-345.58870000000002</v>
      </c>
      <c r="H2552" s="1">
        <v>1.4372439999999999E-6</v>
      </c>
      <c r="I2552">
        <v>217.0917</v>
      </c>
      <c r="J2552">
        <v>-364.36130000000003</v>
      </c>
      <c r="K2552">
        <v>1.105083</v>
      </c>
      <c r="L2552">
        <v>214.1866</v>
      </c>
      <c r="M2552">
        <v>0.99990319999999899</v>
      </c>
      <c r="N2552">
        <v>0</v>
      </c>
      <c r="O2552">
        <v>-2.8363949999999998E-3</v>
      </c>
      <c r="P2552">
        <v>0.99957119999999999</v>
      </c>
      <c r="Q2552">
        <v>2.0544880000000001E-2</v>
      </c>
      <c r="R2552">
        <v>2.086702E-2</v>
      </c>
      <c r="S2552">
        <v>2.9960019999999998</v>
      </c>
      <c r="T2552">
        <v>-0.17427719999999999</v>
      </c>
      <c r="U2552">
        <v>0.45812989999999998</v>
      </c>
      <c r="V2552">
        <v>-2.372643E-2</v>
      </c>
      <c r="W2552">
        <v>3.4142359999999997E-2</v>
      </c>
      <c r="X2552">
        <v>0.99913529999999995</v>
      </c>
      <c r="Y2552">
        <v>-0.15370159999999999</v>
      </c>
      <c r="Z2552">
        <v>4.6048119999999998E-3</v>
      </c>
      <c r="AA2552">
        <v>0.98810659999999895</v>
      </c>
      <c r="AB2552">
        <v>22</v>
      </c>
      <c r="AC2552">
        <v>18.772600000000001</v>
      </c>
      <c r="AD2552">
        <v>-1.105081562756</v>
      </c>
      <c r="AE2552">
        <v>2.9051</v>
      </c>
      <c r="AF2552">
        <v>-2.9483617820499202</v>
      </c>
      <c r="AG2552">
        <v>-1.105081562756</v>
      </c>
      <c r="AH2552">
        <v>18.7009949445135</v>
      </c>
      <c r="AI2552">
        <v>93.340629435479201</v>
      </c>
      <c r="AJ2552">
        <v>98.959393006107803</v>
      </c>
      <c r="AK2552">
        <v>18.964209827275099</v>
      </c>
    </row>
    <row r="2553" spans="1:37" x14ac:dyDescent="0.2">
      <c r="A2553" t="str">
        <f>"20200111160204887"</f>
        <v>20200111160204887</v>
      </c>
      <c r="B2553" t="str">
        <f>"1578729724884083"</f>
        <v>1578729724884083</v>
      </c>
      <c r="C2553" t="s">
        <v>37</v>
      </c>
      <c r="D2553">
        <v>5.8069040000000003</v>
      </c>
      <c r="E2553">
        <v>0.45231559999999998</v>
      </c>
      <c r="F2553" t="s">
        <v>57</v>
      </c>
      <c r="G2553">
        <v>-345.95229999999998</v>
      </c>
      <c r="H2553" s="1">
        <v>1.630727E-6</v>
      </c>
      <c r="I2553">
        <v>217.02279999999999</v>
      </c>
      <c r="J2553">
        <v>-364.15660000000003</v>
      </c>
      <c r="K2553">
        <v>1.1050879999999901</v>
      </c>
      <c r="L2553">
        <v>214.1866</v>
      </c>
      <c r="M2553">
        <v>0.99990460000000003</v>
      </c>
      <c r="N2553">
        <v>0</v>
      </c>
      <c r="O2553">
        <v>-2.3322870000000002E-3</v>
      </c>
      <c r="P2553">
        <v>0.99959039999999999</v>
      </c>
      <c r="Q2553">
        <v>1.9524929999999999E-2</v>
      </c>
      <c r="R2553">
        <v>2.093076E-2</v>
      </c>
      <c r="S2553">
        <v>2.9953609999999999</v>
      </c>
      <c r="T2553">
        <v>-0.17980979999999999</v>
      </c>
      <c r="U2553">
        <v>0.46147159999999898</v>
      </c>
      <c r="V2553">
        <v>-2.328558E-2</v>
      </c>
      <c r="W2553">
        <v>3.3122510000000001E-2</v>
      </c>
      <c r="X2553">
        <v>0.99917999999999996</v>
      </c>
      <c r="Y2553">
        <v>-0.15429509999999999</v>
      </c>
      <c r="Z2553">
        <v>4.7389770000000001E-3</v>
      </c>
      <c r="AA2553">
        <v>0.98801340000000004</v>
      </c>
      <c r="AB2553">
        <v>22</v>
      </c>
      <c r="AC2553">
        <v>18.2043</v>
      </c>
      <c r="AD2553">
        <v>-1.10508636927299</v>
      </c>
      <c r="AE2553">
        <v>2.8361999999999901</v>
      </c>
      <c r="AF2553">
        <v>-2.8683343765630198</v>
      </c>
      <c r="AG2553">
        <v>-1.10508636927299</v>
      </c>
      <c r="AH2553">
        <v>18.132399536222302</v>
      </c>
      <c r="AI2553">
        <v>93.444870453645507</v>
      </c>
      <c r="AJ2553">
        <v>98.989039501884093</v>
      </c>
      <c r="AK2553">
        <v>18.3910975996682</v>
      </c>
    </row>
    <row r="2554" spans="1:37" x14ac:dyDescent="0.2">
      <c r="A2554" t="str">
        <f>"20200111160204909"</f>
        <v>20200111160204909</v>
      </c>
      <c r="B2554" t="str">
        <f>"1578729724904579"</f>
        <v>1578729724904579</v>
      </c>
      <c r="C2554" t="s">
        <v>37</v>
      </c>
      <c r="D2554">
        <v>5.8095109999999996</v>
      </c>
      <c r="E2554">
        <v>0.45237749999999999</v>
      </c>
      <c r="F2554" t="s">
        <v>57</v>
      </c>
      <c r="G2554">
        <v>-346.29160000000002</v>
      </c>
      <c r="H2554" s="1">
        <v>1.8112819999999899E-6</v>
      </c>
      <c r="I2554">
        <v>216.94110000000001</v>
      </c>
      <c r="J2554">
        <v>-363.9461</v>
      </c>
      <c r="K2554">
        <v>1.105091</v>
      </c>
      <c r="L2554">
        <v>214.18680000000001</v>
      </c>
      <c r="M2554">
        <v>0.99990559999999995</v>
      </c>
      <c r="N2554">
        <v>0</v>
      </c>
      <c r="O2554">
        <v>-1.8115850000000001E-3</v>
      </c>
      <c r="P2554">
        <v>0.99960949999999904</v>
      </c>
      <c r="Q2554">
        <v>1.9728740000000002E-2</v>
      </c>
      <c r="R2554">
        <v>1.9790530000000001E-2</v>
      </c>
      <c r="S2554">
        <v>2.995209</v>
      </c>
      <c r="T2554">
        <v>-0.18527689999999999</v>
      </c>
      <c r="U2554">
        <v>0.46180729999999998</v>
      </c>
      <c r="V2554">
        <v>-2.1625470000000001E-2</v>
      </c>
      <c r="W2554">
        <v>3.3326960000000003E-2</v>
      </c>
      <c r="X2554">
        <v>0.9992105</v>
      </c>
      <c r="Y2554">
        <v>-0.15388109999999999</v>
      </c>
      <c r="Z2554">
        <v>4.8382879999999996E-3</v>
      </c>
      <c r="AA2554">
        <v>0.98807749999999905</v>
      </c>
      <c r="AB2554">
        <v>22</v>
      </c>
      <c r="AC2554">
        <v>17.654499999999899</v>
      </c>
      <c r="AD2554">
        <v>-1.1050891887180001</v>
      </c>
      <c r="AE2554">
        <v>2.7543000000000002</v>
      </c>
      <c r="AF2554">
        <v>-2.77566395255083</v>
      </c>
      <c r="AG2554">
        <v>-1.1050891887180001</v>
      </c>
      <c r="AH2554">
        <v>17.582227583486802</v>
      </c>
      <c r="AI2554">
        <v>93.552577569354497</v>
      </c>
      <c r="AJ2554">
        <v>98.971109224706098</v>
      </c>
      <c r="AK2554">
        <v>17.8342440066865</v>
      </c>
    </row>
    <row r="2555" spans="1:37" x14ac:dyDescent="0.2">
      <c r="A2555" t="str">
        <f>"20200111160204932"</f>
        <v>20200111160204932</v>
      </c>
      <c r="B2555" t="str">
        <f>"1578729724924099"</f>
        <v>1578729724924099</v>
      </c>
      <c r="C2555" t="s">
        <v>37</v>
      </c>
      <c r="D2555">
        <v>5.7700389999999997</v>
      </c>
      <c r="E2555">
        <v>0.45245809999999997</v>
      </c>
      <c r="F2555" t="s">
        <v>57</v>
      </c>
      <c r="G2555">
        <v>-346.15539999999999</v>
      </c>
      <c r="H2555" s="1">
        <v>1.738786E-6</v>
      </c>
      <c r="I2555">
        <v>216.90780000000001</v>
      </c>
      <c r="J2555">
        <v>-363.72</v>
      </c>
      <c r="K2555">
        <v>1.1050959999999901</v>
      </c>
      <c r="L2555">
        <v>214.18700000000001</v>
      </c>
      <c r="M2555">
        <v>0.99990650000000003</v>
      </c>
      <c r="N2555">
        <v>0</v>
      </c>
      <c r="O2555">
        <v>-1.248435E-3</v>
      </c>
      <c r="P2555">
        <v>0.99960369999999998</v>
      </c>
      <c r="Q2555">
        <v>2.145451E-2</v>
      </c>
      <c r="R2555">
        <v>1.8227420000000001E-2</v>
      </c>
      <c r="S2555">
        <v>2.995819</v>
      </c>
      <c r="T2555">
        <v>-0.18608839999999999</v>
      </c>
      <c r="U2555">
        <v>0.45820620000000001</v>
      </c>
      <c r="V2555">
        <v>-1.9500679999999999E-2</v>
      </c>
      <c r="W2555">
        <v>3.5053059999999997E-2</v>
      </c>
      <c r="X2555">
        <v>0.99919519999999995</v>
      </c>
      <c r="Y2555">
        <v>-0.15213560000000001</v>
      </c>
      <c r="Z2555">
        <v>4.7703049999999999E-3</v>
      </c>
      <c r="AA2555">
        <v>0.98834809999999995</v>
      </c>
      <c r="AB2555">
        <v>22</v>
      </c>
      <c r="AC2555">
        <v>17.564599999999999</v>
      </c>
      <c r="AD2555">
        <v>-1.10509426121399</v>
      </c>
      <c r="AE2555">
        <v>2.7207999999999899</v>
      </c>
      <c r="AF2555">
        <v>-2.7321665296074</v>
      </c>
      <c r="AG2555">
        <v>-1.10509426121399</v>
      </c>
      <c r="AH2555">
        <v>17.4935649653791</v>
      </c>
      <c r="AI2555">
        <v>93.571473439382203</v>
      </c>
      <c r="AJ2555">
        <v>98.876812899709606</v>
      </c>
      <c r="AK2555">
        <v>17.740089697338501</v>
      </c>
    </row>
    <row r="2556" spans="1:37" x14ac:dyDescent="0.2">
      <c r="A2556" t="str">
        <f>"20200111160204955"</f>
        <v>20200111160204955</v>
      </c>
      <c r="B2556" t="str">
        <f>"1578729724944595"</f>
        <v>1578729724944595</v>
      </c>
      <c r="C2556" t="s">
        <v>37</v>
      </c>
      <c r="D2556">
        <v>5.8107949999999997</v>
      </c>
      <c r="E2556">
        <v>0.45250499999999999</v>
      </c>
      <c r="F2556" t="s">
        <v>57</v>
      </c>
      <c r="G2556">
        <v>-345.4151</v>
      </c>
      <c r="H2556" s="1">
        <v>1.3448739999999999E-6</v>
      </c>
      <c r="I2556">
        <v>216.95310000000001</v>
      </c>
      <c r="J2556">
        <v>-363.50060000000002</v>
      </c>
      <c r="K2556">
        <v>1.105091</v>
      </c>
      <c r="L2556">
        <v>214.1874</v>
      </c>
      <c r="M2556">
        <v>0.99990709999999905</v>
      </c>
      <c r="N2556">
        <v>0</v>
      </c>
      <c r="O2556">
        <v>-6.9899060000000002E-4</v>
      </c>
      <c r="P2556">
        <v>0.99958649999999905</v>
      </c>
      <c r="Q2556">
        <v>2.3455779999999999E-2</v>
      </c>
      <c r="R2556">
        <v>1.6641909999999999E-2</v>
      </c>
      <c r="S2556">
        <v>2.9967959999999998</v>
      </c>
      <c r="T2556">
        <v>-0.18092169999999999</v>
      </c>
      <c r="U2556">
        <v>0.45285029999999998</v>
      </c>
      <c r="V2556">
        <v>-1.7367730000000001E-2</v>
      </c>
      <c r="W2556">
        <v>3.7053509999999998E-2</v>
      </c>
      <c r="X2556">
        <v>0.99916240000000001</v>
      </c>
      <c r="Y2556">
        <v>-0.14983840000000001</v>
      </c>
      <c r="Z2556">
        <v>4.5353800000000003E-3</v>
      </c>
      <c r="AA2556">
        <v>0.98870009999999997</v>
      </c>
      <c r="AB2556">
        <v>22</v>
      </c>
      <c r="AC2556">
        <v>18.0855</v>
      </c>
      <c r="AD2556">
        <v>-1.1050896551260001</v>
      </c>
      <c r="AE2556">
        <v>2.7656999999999998</v>
      </c>
      <c r="AF2556">
        <v>-2.76824261460821</v>
      </c>
      <c r="AG2556">
        <v>-1.1050896551260001</v>
      </c>
      <c r="AH2556">
        <v>18.0178271398864</v>
      </c>
      <c r="AI2556">
        <v>93.469128371081496</v>
      </c>
      <c r="AJ2556">
        <v>98.734572479441198</v>
      </c>
      <c r="AK2556">
        <v>18.262707498123699</v>
      </c>
    </row>
    <row r="2557" spans="1:37" x14ac:dyDescent="0.2">
      <c r="A2557" t="str">
        <f>"20200111160204977"</f>
        <v>20200111160204977</v>
      </c>
      <c r="B2557" t="str">
        <f>"1578729724973874"</f>
        <v>1578729724973874</v>
      </c>
      <c r="C2557" t="s">
        <v>37</v>
      </c>
      <c r="D2557">
        <v>5.8483099999999997</v>
      </c>
      <c r="E2557">
        <v>0.45248660000000002</v>
      </c>
      <c r="F2557" t="s">
        <v>57</v>
      </c>
      <c r="G2557">
        <v>-344.76060000000001</v>
      </c>
      <c r="H2557" s="1">
        <v>9.9657759999999997E-7</v>
      </c>
      <c r="I2557">
        <v>216.988</v>
      </c>
      <c r="J2557">
        <v>-363.286</v>
      </c>
      <c r="K2557">
        <v>1.1050869999999999</v>
      </c>
      <c r="L2557">
        <v>214.18790000000001</v>
      </c>
      <c r="M2557">
        <v>0.9999074</v>
      </c>
      <c r="N2557">
        <v>0</v>
      </c>
      <c r="O2557">
        <v>-1.584906E-4</v>
      </c>
      <c r="P2557">
        <v>0.99956329999999904</v>
      </c>
      <c r="Q2557">
        <v>2.4626260000000001E-2</v>
      </c>
      <c r="R2557">
        <v>1.633739E-2</v>
      </c>
      <c r="S2557">
        <v>2.997986</v>
      </c>
      <c r="T2557">
        <v>-0.17679010000000001</v>
      </c>
      <c r="U2557">
        <v>0.4480286</v>
      </c>
      <c r="V2557">
        <v>-1.6523699999999999E-2</v>
      </c>
      <c r="W2557">
        <v>3.8222840000000001E-2</v>
      </c>
      <c r="X2557">
        <v>0.99913259999999904</v>
      </c>
      <c r="Y2557">
        <v>-0.14770729999999899</v>
      </c>
      <c r="Z2557">
        <v>4.3366659999999899E-3</v>
      </c>
      <c r="AA2557">
        <v>0.98902159999999995</v>
      </c>
      <c r="AB2557">
        <v>22</v>
      </c>
      <c r="AC2557">
        <v>18.525399999999902</v>
      </c>
      <c r="AD2557">
        <v>-1.1050860034223999</v>
      </c>
      <c r="AE2557">
        <v>2.80009999999998</v>
      </c>
      <c r="AF2557">
        <v>-2.79331855660873</v>
      </c>
      <c r="AG2557">
        <v>-1.1050860034223999</v>
      </c>
      <c r="AH2557">
        <v>18.460732195397998</v>
      </c>
      <c r="AI2557">
        <v>93.387254773658299</v>
      </c>
      <c r="AJ2557">
        <v>98.604233670295002</v>
      </c>
      <c r="AK2557">
        <v>18.7035418256505</v>
      </c>
    </row>
    <row r="2558" spans="1:37" x14ac:dyDescent="0.2">
      <c r="A2558" t="str">
        <f>"20200111160204998"</f>
        <v>20200111160204998</v>
      </c>
      <c r="B2558" t="str">
        <f>"1578729724994371"</f>
        <v>1578729724994371</v>
      </c>
      <c r="C2558" t="s">
        <v>37</v>
      </c>
      <c r="D2558">
        <v>5.7408529999999898</v>
      </c>
      <c r="E2558">
        <v>0.45247929999999997</v>
      </c>
      <c r="F2558" t="s">
        <v>57</v>
      </c>
      <c r="G2558">
        <v>-344.44630000000001</v>
      </c>
      <c r="H2558" s="1">
        <v>8.2930910000000002E-7</v>
      </c>
      <c r="I2558">
        <v>216.9984</v>
      </c>
      <c r="J2558">
        <v>-363.08260000000001</v>
      </c>
      <c r="K2558">
        <v>1.105083</v>
      </c>
      <c r="L2558">
        <v>214.1884</v>
      </c>
      <c r="M2558">
        <v>0.9999072</v>
      </c>
      <c r="N2558">
        <v>0</v>
      </c>
      <c r="O2558">
        <v>3.5530309999999999E-4</v>
      </c>
      <c r="P2558">
        <v>0.99955419999999995</v>
      </c>
      <c r="Q2558">
        <v>2.4816439999999999E-2</v>
      </c>
      <c r="R2558">
        <v>1.6602200000000001E-2</v>
      </c>
      <c r="S2558">
        <v>2.998291</v>
      </c>
      <c r="T2558">
        <v>-0.17587130000000001</v>
      </c>
      <c r="U2558">
        <v>0.44728089999999998</v>
      </c>
      <c r="V2558">
        <v>-1.6275370000000001E-2</v>
      </c>
      <c r="W2558">
        <v>3.8412010000000003E-2</v>
      </c>
      <c r="X2558">
        <v>0.99912939999999995</v>
      </c>
      <c r="Y2558">
        <v>-0.14694789999999999</v>
      </c>
      <c r="Z2558">
        <v>4.26173E-3</v>
      </c>
      <c r="AA2558">
        <v>0.98913499999999999</v>
      </c>
      <c r="AB2558">
        <v>22</v>
      </c>
      <c r="AC2558">
        <v>18.636299999999999</v>
      </c>
      <c r="AD2558">
        <v>-1.1050821706909</v>
      </c>
      <c r="AE2558">
        <v>2.81</v>
      </c>
      <c r="AF2558">
        <v>-2.7937726650879799</v>
      </c>
      <c r="AG2558">
        <v>-1.1050821706909</v>
      </c>
      <c r="AH2558">
        <v>18.573441706779199</v>
      </c>
      <c r="AI2558">
        <v>93.3671784810453</v>
      </c>
      <c r="AJ2558">
        <v>98.554164809698307</v>
      </c>
      <c r="AK2558">
        <v>18.8148640479621</v>
      </c>
    </row>
    <row r="2559" spans="1:37" x14ac:dyDescent="0.2">
      <c r="A2559" t="str">
        <f>"20200111160205022"</f>
        <v>20200111160205022</v>
      </c>
      <c r="B2559" t="str">
        <f>"1578729725013891"</f>
        <v>1578729725013891</v>
      </c>
      <c r="C2559" t="s">
        <v>37</v>
      </c>
      <c r="D2559">
        <v>5.9510309999999897</v>
      </c>
      <c r="E2559">
        <v>0.45249159999999999</v>
      </c>
      <c r="F2559" t="s">
        <v>57</v>
      </c>
      <c r="G2559">
        <v>-344.10840000000002</v>
      </c>
      <c r="H2559" s="1">
        <v>6.4947249999999997E-7</v>
      </c>
      <c r="I2559">
        <v>217.0256</v>
      </c>
      <c r="J2559">
        <v>-362.85210000000001</v>
      </c>
      <c r="K2559">
        <v>1.105084</v>
      </c>
      <c r="L2559">
        <v>214.1892</v>
      </c>
      <c r="M2559">
        <v>0.99990699999999999</v>
      </c>
      <c r="N2559">
        <v>0</v>
      </c>
      <c r="O2559">
        <v>9.3894699999999998E-4</v>
      </c>
      <c r="P2559">
        <v>0.99951179999999995</v>
      </c>
      <c r="Q2559">
        <v>2.5718020000000001E-2</v>
      </c>
      <c r="R2559">
        <v>1.775125E-2</v>
      </c>
      <c r="S2559">
        <v>2.9982599999999899</v>
      </c>
      <c r="T2559">
        <v>-0.17462179999999999</v>
      </c>
      <c r="U2559">
        <v>0.44831850000000001</v>
      </c>
      <c r="V2559">
        <v>-1.684124E-2</v>
      </c>
      <c r="W2559">
        <v>3.9310640000000001E-2</v>
      </c>
      <c r="X2559">
        <v>0.99908509999999995</v>
      </c>
      <c r="Y2559">
        <v>-0.1467118</v>
      </c>
      <c r="Z2559">
        <v>4.1908279999999997E-3</v>
      </c>
      <c r="AA2559">
        <v>0.98917040000000001</v>
      </c>
      <c r="AB2559">
        <v>22</v>
      </c>
      <c r="AC2559">
        <v>18.743699999999901</v>
      </c>
      <c r="AD2559">
        <v>-1.1050833505275</v>
      </c>
      <c r="AE2559">
        <v>2.83639999999999</v>
      </c>
      <c r="AF2559">
        <v>-2.8092514348810398</v>
      </c>
      <c r="AG2559">
        <v>-1.1050833505275</v>
      </c>
      <c r="AH2559">
        <v>18.6828674486053</v>
      </c>
      <c r="AI2559">
        <v>93.347531214694399</v>
      </c>
      <c r="AJ2559">
        <v>98.551223496878407</v>
      </c>
      <c r="AK2559">
        <v>18.925185307894601</v>
      </c>
    </row>
    <row r="2560" spans="1:37" x14ac:dyDescent="0.2">
      <c r="A2560" t="str">
        <f>"20200111160205044"</f>
        <v>20200111160205044</v>
      </c>
      <c r="B2560" t="str">
        <f>"1578729725034387"</f>
        <v>1578729725034387</v>
      </c>
      <c r="C2560" t="s">
        <v>37</v>
      </c>
      <c r="D2560">
        <v>5.9244690000000002</v>
      </c>
      <c r="E2560">
        <v>0.4524919</v>
      </c>
      <c r="F2560" t="s">
        <v>57</v>
      </c>
      <c r="G2560">
        <v>-343.73849999999999</v>
      </c>
      <c r="H2560" s="1">
        <v>4.5264239999999998E-7</v>
      </c>
      <c r="I2560">
        <v>217.07130000000001</v>
      </c>
      <c r="J2560">
        <v>-362.6379</v>
      </c>
      <c r="K2560">
        <v>1.1050869999999999</v>
      </c>
      <c r="L2560">
        <v>214.1901</v>
      </c>
      <c r="M2560">
        <v>0.99990630000000003</v>
      </c>
      <c r="N2560">
        <v>0</v>
      </c>
      <c r="O2560">
        <v>1.4811E-3</v>
      </c>
      <c r="P2560">
        <v>0.99945139999999999</v>
      </c>
      <c r="Q2560">
        <v>2.6809309999999999E-2</v>
      </c>
      <c r="R2560">
        <v>1.9455360000000001E-2</v>
      </c>
      <c r="S2560">
        <v>2.9978940000000001</v>
      </c>
      <c r="T2560">
        <v>-0.17332829999999999</v>
      </c>
      <c r="U2560">
        <v>0.45204159999999999</v>
      </c>
      <c r="V2560">
        <v>-1.8004289999999999E-2</v>
      </c>
      <c r="W2560">
        <v>4.0398870000000003E-2</v>
      </c>
      <c r="X2560">
        <v>0.99902139999999995</v>
      </c>
      <c r="Y2560">
        <v>-0.1473978</v>
      </c>
      <c r="Z2560">
        <v>4.14851299999999E-3</v>
      </c>
      <c r="AA2560">
        <v>0.98906859999999996</v>
      </c>
      <c r="AB2560">
        <v>22</v>
      </c>
      <c r="AC2560">
        <v>18.8994</v>
      </c>
      <c r="AD2560">
        <v>-1.1050865473575999</v>
      </c>
      <c r="AE2560">
        <v>2.8812000000000002</v>
      </c>
      <c r="AF2560">
        <v>-2.8437006177979098</v>
      </c>
      <c r="AG2560">
        <v>-1.1050865473575999</v>
      </c>
      <c r="AH2560">
        <v>18.840694126628399</v>
      </c>
      <c r="AI2560">
        <v>93.319284293650597</v>
      </c>
      <c r="AJ2560">
        <v>98.583092998454305</v>
      </c>
      <c r="AK2560">
        <v>19.086110254684801</v>
      </c>
    </row>
    <row r="2561" spans="1:37" x14ac:dyDescent="0.2">
      <c r="A2561" t="str">
        <f>"20200111160205067"</f>
        <v>20200111160205067</v>
      </c>
      <c r="B2561" t="str">
        <f>"1578729725064643"</f>
        <v>1578729725064643</v>
      </c>
      <c r="C2561" t="s">
        <v>37</v>
      </c>
      <c r="D2561">
        <v>5.9966080000000002</v>
      </c>
      <c r="E2561">
        <v>0.45244479999999998</v>
      </c>
      <c r="F2561" t="s">
        <v>57</v>
      </c>
      <c r="G2561">
        <v>-343.3211</v>
      </c>
      <c r="H2561" s="1">
        <v>2.3052049999999999E-7</v>
      </c>
      <c r="I2561">
        <v>217.13550000000001</v>
      </c>
      <c r="J2561">
        <v>-362.41969999999998</v>
      </c>
      <c r="K2561">
        <v>1.1050979999999999</v>
      </c>
      <c r="L2561">
        <v>214.19110000000001</v>
      </c>
      <c r="M2561">
        <v>0.9999053</v>
      </c>
      <c r="N2561">
        <v>0</v>
      </c>
      <c r="O2561">
        <v>2.03338E-3</v>
      </c>
      <c r="P2561">
        <v>0.99938329999999997</v>
      </c>
      <c r="Q2561">
        <v>2.7547829999999999E-2</v>
      </c>
      <c r="R2561">
        <v>2.1775039999999999E-2</v>
      </c>
      <c r="S2561">
        <v>2.9973139999999998</v>
      </c>
      <c r="T2561">
        <v>-0.17147209999999999</v>
      </c>
      <c r="U2561">
        <v>0.45703129999999997</v>
      </c>
      <c r="V2561">
        <v>-1.9772439999999999E-2</v>
      </c>
      <c r="W2561">
        <v>4.1133059999999999E-2</v>
      </c>
      <c r="X2561">
        <v>0.99895800000000001</v>
      </c>
      <c r="Y2561">
        <v>-0.14849329999999999</v>
      </c>
      <c r="Z2561">
        <v>4.1041769999999997E-3</v>
      </c>
      <c r="AA2561">
        <v>0.98890489999999998</v>
      </c>
      <c r="AB2561">
        <v>22</v>
      </c>
      <c r="AC2561">
        <v>19.098599999999902</v>
      </c>
      <c r="AD2561">
        <v>-1.1050977694794999</v>
      </c>
      <c r="AE2561">
        <v>2.9443999999999999</v>
      </c>
      <c r="AF2561">
        <v>-2.8960843367393898</v>
      </c>
      <c r="AG2561">
        <v>-1.1050977694794999</v>
      </c>
      <c r="AH2561">
        <v>19.042272878253399</v>
      </c>
      <c r="AI2561">
        <v>93.2836977769458</v>
      </c>
      <c r="AJ2561">
        <v>98.647681098783394</v>
      </c>
      <c r="AK2561">
        <v>19.2929184400775</v>
      </c>
    </row>
    <row r="2562" spans="1:37" x14ac:dyDescent="0.2">
      <c r="A2562" t="str">
        <f>"20200111160205089"</f>
        <v>20200111160205089</v>
      </c>
      <c r="B2562" t="str">
        <f>"1578729725084162"</f>
        <v>1578729725084162</v>
      </c>
      <c r="C2562" t="s">
        <v>37</v>
      </c>
      <c r="D2562">
        <v>5.884226</v>
      </c>
      <c r="E2562">
        <v>0.45245020000000002</v>
      </c>
      <c r="F2562" t="s">
        <v>57</v>
      </c>
      <c r="G2562">
        <v>-343.01479999999998</v>
      </c>
      <c r="H2562" s="1">
        <v>6.7532819999999996E-8</v>
      </c>
      <c r="I2562">
        <v>217.1986</v>
      </c>
      <c r="J2562">
        <v>-362.21460000000002</v>
      </c>
      <c r="K2562">
        <v>1.1051010000000001</v>
      </c>
      <c r="L2562">
        <v>214.19210000000001</v>
      </c>
      <c r="M2562">
        <v>0.99990419999999902</v>
      </c>
      <c r="N2562">
        <v>0</v>
      </c>
      <c r="O2562">
        <v>2.552159E-3</v>
      </c>
      <c r="P2562">
        <v>0.99933289999999997</v>
      </c>
      <c r="Q2562">
        <v>2.8170130000000002E-2</v>
      </c>
      <c r="R2562">
        <v>2.3247960000000002E-2</v>
      </c>
      <c r="S2562">
        <v>2.9963679999999999</v>
      </c>
      <c r="T2562">
        <v>-0.170641299999999</v>
      </c>
      <c r="U2562">
        <v>0.46440119999999901</v>
      </c>
      <c r="V2562">
        <v>-2.0727430000000002E-2</v>
      </c>
      <c r="W2562">
        <v>4.1752900000000003E-2</v>
      </c>
      <c r="X2562">
        <v>0.99891289999999999</v>
      </c>
      <c r="Y2562">
        <v>-0.1504027</v>
      </c>
      <c r="Z2562">
        <v>4.109499E-3</v>
      </c>
      <c r="AA2562">
        <v>0.9886163</v>
      </c>
      <c r="AB2562">
        <v>22</v>
      </c>
      <c r="AC2562">
        <v>19.1998</v>
      </c>
      <c r="AD2562">
        <v>-1.1051009324671801</v>
      </c>
      <c r="AE2562">
        <v>3.00649999999998</v>
      </c>
      <c r="AF2562">
        <v>-2.9479521534711499</v>
      </c>
      <c r="AG2562">
        <v>-1.1051009324671801</v>
      </c>
      <c r="AH2562">
        <v>19.145501836079902</v>
      </c>
      <c r="AI2562">
        <v>93.2651199932547</v>
      </c>
      <c r="AJ2562">
        <v>98.7534424964105</v>
      </c>
      <c r="AK2562">
        <v>19.4026263821534</v>
      </c>
    </row>
    <row r="2563" spans="1:37" x14ac:dyDescent="0.2">
      <c r="A2563" t="str">
        <f>"20200111160205111"</f>
        <v>20200111160205111</v>
      </c>
      <c r="B2563" t="str">
        <f>"1578729725104659"</f>
        <v>1578729725104659</v>
      </c>
      <c r="C2563" t="s">
        <v>37</v>
      </c>
      <c r="D2563">
        <v>5.8935050000000002</v>
      </c>
      <c r="E2563">
        <v>0.45246009999999998</v>
      </c>
      <c r="F2563" t="s">
        <v>57</v>
      </c>
      <c r="G2563">
        <v>-342.8537</v>
      </c>
      <c r="H2563" s="1">
        <v>-1.819593E-8</v>
      </c>
      <c r="I2563">
        <v>217.21979999999999</v>
      </c>
      <c r="J2563">
        <v>-362.00199999999899</v>
      </c>
      <c r="K2563">
        <v>1.1051070000000001</v>
      </c>
      <c r="L2563">
        <v>214.19329999999999</v>
      </c>
      <c r="M2563">
        <v>0.99990270000000003</v>
      </c>
      <c r="N2563">
        <v>0</v>
      </c>
      <c r="O2563">
        <v>3.0893499999999998E-3</v>
      </c>
      <c r="P2563">
        <v>0.99930940000000001</v>
      </c>
      <c r="Q2563">
        <v>2.7905010000000001E-2</v>
      </c>
      <c r="R2563">
        <v>2.4539209999999999E-2</v>
      </c>
      <c r="S2563">
        <v>2.995911</v>
      </c>
      <c r="T2563">
        <v>-0.17100379999999901</v>
      </c>
      <c r="U2563">
        <v>0.46850589999999998</v>
      </c>
      <c r="V2563">
        <v>-2.148168E-2</v>
      </c>
      <c r="W2563">
        <v>4.1485149999999998E-2</v>
      </c>
      <c r="X2563">
        <v>0.99890820000000002</v>
      </c>
      <c r="Y2563">
        <v>-0.1512154</v>
      </c>
      <c r="Z2563">
        <v>4.1109850000000002E-3</v>
      </c>
      <c r="AA2563">
        <v>0.98849229999999999</v>
      </c>
      <c r="AB2563">
        <v>21</v>
      </c>
      <c r="AC2563">
        <v>19.1482999999999</v>
      </c>
      <c r="AD2563">
        <v>-1.1051070181959299</v>
      </c>
      <c r="AE2563">
        <v>3.0264999999999902</v>
      </c>
      <c r="AF2563">
        <v>-2.9577128468935001</v>
      </c>
      <c r="AG2563">
        <v>-1.1051070181959299</v>
      </c>
      <c r="AH2563">
        <v>19.095506312486702</v>
      </c>
      <c r="AI2563">
        <v>93.273217642636197</v>
      </c>
      <c r="AJ2563">
        <v>98.804607146839103</v>
      </c>
      <c r="AK2563">
        <v>19.354784631624401</v>
      </c>
    </row>
    <row r="2564" spans="1:37" x14ac:dyDescent="0.2">
      <c r="A2564" t="str">
        <f>"20200111160205156"</f>
        <v>20200111160205156</v>
      </c>
      <c r="B2564" t="str">
        <f>"1578729725144675"</f>
        <v>1578729725144675</v>
      </c>
      <c r="C2564" t="s">
        <v>37</v>
      </c>
      <c r="D2564">
        <v>5.8618690000000004</v>
      </c>
      <c r="E2564">
        <v>0.45257259999999999</v>
      </c>
      <c r="F2564" t="s">
        <v>57</v>
      </c>
      <c r="G2564">
        <v>-342.69779999999997</v>
      </c>
      <c r="H2564" s="1">
        <v>-1.0114469999999999E-7</v>
      </c>
      <c r="I2564">
        <v>217.23650000000001</v>
      </c>
      <c r="J2564">
        <v>-361.57490000000001</v>
      </c>
      <c r="K2564">
        <v>1.1051010000000001</v>
      </c>
      <c r="L2564">
        <v>214.1961</v>
      </c>
      <c r="M2564">
        <v>0.99989889999999904</v>
      </c>
      <c r="N2564">
        <v>0</v>
      </c>
      <c r="O2564">
        <v>4.1680809999999997E-3</v>
      </c>
      <c r="P2564">
        <v>0.9992704</v>
      </c>
      <c r="Q2564">
        <v>2.7834379999999999E-2</v>
      </c>
      <c r="R2564">
        <v>2.61558E-2</v>
      </c>
      <c r="S2564">
        <v>2.99523899999999</v>
      </c>
      <c r="T2564">
        <v>-0.17146810000000001</v>
      </c>
      <c r="U2564">
        <v>0.47216799999999998</v>
      </c>
      <c r="V2564">
        <v>-2.2019980000000001E-2</v>
      </c>
      <c r="W2564">
        <v>4.1409870000000001E-2</v>
      </c>
      <c r="X2564">
        <v>0.998899599999999</v>
      </c>
      <c r="Y2564">
        <v>-0.15136250000000001</v>
      </c>
      <c r="Z2564">
        <v>4.0655140000000001E-3</v>
      </c>
      <c r="AA2564">
        <v>0.98846999999999996</v>
      </c>
      <c r="AB2564">
        <v>21</v>
      </c>
      <c r="AC2564">
        <v>18.877099999999999</v>
      </c>
      <c r="AD2564">
        <v>-1.1051011011446901</v>
      </c>
      <c r="AE2564">
        <v>3.0404</v>
      </c>
      <c r="AF2564">
        <v>-2.9518244726978899</v>
      </c>
      <c r="AG2564">
        <v>-1.1051011011446901</v>
      </c>
      <c r="AH2564">
        <v>18.826719215190401</v>
      </c>
      <c r="AI2564">
        <v>93.318870817410399</v>
      </c>
      <c r="AJ2564">
        <v>98.910809019725406</v>
      </c>
      <c r="AK2564">
        <v>19.0887367986724</v>
      </c>
    </row>
    <row r="2565" spans="1:37" x14ac:dyDescent="0.2">
      <c r="A2565" t="str">
        <f>"20200111160205176"</f>
        <v>20200111160205176</v>
      </c>
      <c r="B2565" t="str">
        <f>"1578729725173955"</f>
        <v>1578729725173955</v>
      </c>
      <c r="C2565" t="s">
        <v>37</v>
      </c>
      <c r="D2565">
        <v>5.9114870000000002</v>
      </c>
      <c r="E2565">
        <v>0.45265109999999997</v>
      </c>
      <c r="F2565" t="s">
        <v>57</v>
      </c>
      <c r="G2565">
        <v>-342.28829999999999</v>
      </c>
      <c r="H2565" s="1">
        <v>-3.19061299999999E-7</v>
      </c>
      <c r="I2565">
        <v>217.26140000000001</v>
      </c>
      <c r="J2565">
        <v>-361.37209999999999</v>
      </c>
      <c r="K2565">
        <v>1.1050990000000001</v>
      </c>
      <c r="L2565">
        <v>214.19749999999999</v>
      </c>
      <c r="M2565">
        <v>0.99989669999999897</v>
      </c>
      <c r="N2565">
        <v>0</v>
      </c>
      <c r="O2565">
        <v>4.6797610000000002E-3</v>
      </c>
      <c r="P2565">
        <v>0.99925180000000002</v>
      </c>
      <c r="Q2565">
        <v>2.8149270000000001E-2</v>
      </c>
      <c r="R2565">
        <v>2.6529799999999999E-2</v>
      </c>
      <c r="S2565">
        <v>2.994507</v>
      </c>
      <c r="T2565">
        <v>-0.1715825</v>
      </c>
      <c r="U2565">
        <v>0.4759369</v>
      </c>
      <c r="V2565">
        <v>-2.1883E-2</v>
      </c>
      <c r="W2565">
        <v>4.1722889999999999E-2</v>
      </c>
      <c r="X2565">
        <v>0.99888960000000004</v>
      </c>
      <c r="Y2565">
        <v>-0.15210679999999999</v>
      </c>
      <c r="Z2565">
        <v>4.0608679999999996E-3</v>
      </c>
      <c r="AA2565">
        <v>0.98835580000000001</v>
      </c>
      <c r="AB2565">
        <v>21</v>
      </c>
      <c r="AC2565">
        <v>19.0838</v>
      </c>
      <c r="AD2565">
        <v>-1.1050993190613001</v>
      </c>
      <c r="AE2565">
        <v>3.0639000000000101</v>
      </c>
      <c r="AF2565">
        <v>-2.9648583310494701</v>
      </c>
      <c r="AG2565">
        <v>-1.1050993190613001</v>
      </c>
      <c r="AH2565">
        <v>19.035702157208899</v>
      </c>
      <c r="AI2565">
        <v>93.283027482067794</v>
      </c>
      <c r="AJ2565">
        <v>98.852832104333203</v>
      </c>
      <c r="AK2565">
        <v>19.2968802153651</v>
      </c>
    </row>
    <row r="2566" spans="1:37" x14ac:dyDescent="0.2">
      <c r="A2566" t="str">
        <f>"20200111160205199"</f>
        <v>20200111160205199</v>
      </c>
      <c r="B2566" t="str">
        <f>"1578729725194451"</f>
        <v>1578729725194451</v>
      </c>
      <c r="C2566" t="s">
        <v>37</v>
      </c>
      <c r="D2566">
        <v>5.9465890000000003</v>
      </c>
      <c r="E2566">
        <v>0.45270919999999998</v>
      </c>
      <c r="F2566" t="s">
        <v>57</v>
      </c>
      <c r="G2566">
        <v>-342.2328</v>
      </c>
      <c r="H2566" s="1">
        <v>-3.4857019999999999E-7</v>
      </c>
      <c r="I2566">
        <v>217.2441</v>
      </c>
      <c r="J2566">
        <v>-361.16</v>
      </c>
      <c r="K2566">
        <v>1.1050930000000001</v>
      </c>
      <c r="L2566">
        <v>214.19919999999999</v>
      </c>
      <c r="M2566">
        <v>0.99989409999999901</v>
      </c>
      <c r="N2566">
        <v>0</v>
      </c>
      <c r="O2566">
        <v>5.2146850000000002E-3</v>
      </c>
      <c r="P2566">
        <v>0.99922319999999998</v>
      </c>
      <c r="Q2566">
        <v>2.8914309999999999E-2</v>
      </c>
      <c r="R2566">
        <v>2.6784849999999999E-2</v>
      </c>
      <c r="S2566">
        <v>2.9944759999999899</v>
      </c>
      <c r="T2566">
        <v>-0.172901</v>
      </c>
      <c r="U2566">
        <v>0.47665410000000002</v>
      </c>
      <c r="V2566">
        <v>-2.1604140000000001E-2</v>
      </c>
      <c r="W2566">
        <v>4.2486099999999999E-2</v>
      </c>
      <c r="X2566">
        <v>0.99886350000000002</v>
      </c>
      <c r="Y2566">
        <v>-0.1518082</v>
      </c>
      <c r="Z2566">
        <v>4.0527640000000004E-3</v>
      </c>
      <c r="AA2566">
        <v>0.98840169999999905</v>
      </c>
      <c r="AB2566">
        <v>21</v>
      </c>
      <c r="AC2566">
        <v>18.927199999999999</v>
      </c>
      <c r="AD2566">
        <v>-1.1050933485701999</v>
      </c>
      <c r="AE2566">
        <v>3.0449000000000099</v>
      </c>
      <c r="AF2566">
        <v>-2.93639250665171</v>
      </c>
      <c r="AG2566">
        <v>-1.1050933485701999</v>
      </c>
      <c r="AH2566">
        <v>18.8800840295231</v>
      </c>
      <c r="AI2566">
        <v>93.310122289760898</v>
      </c>
      <c r="AJ2566">
        <v>98.840305031709207</v>
      </c>
      <c r="AK2566">
        <v>19.138996975390999</v>
      </c>
    </row>
    <row r="2567" spans="1:37" x14ac:dyDescent="0.2">
      <c r="A2567" t="str">
        <f>"20200111160205221"</f>
        <v>20200111160205221</v>
      </c>
      <c r="B2567" t="str">
        <f>"1578729725213971"</f>
        <v>1578729725213971</v>
      </c>
      <c r="C2567" t="s">
        <v>37</v>
      </c>
      <c r="D2567">
        <v>6.0789</v>
      </c>
      <c r="E2567">
        <v>0.452746599999999</v>
      </c>
      <c r="F2567" t="s">
        <v>57</v>
      </c>
      <c r="G2567">
        <v>-341.71809999999999</v>
      </c>
      <c r="H2567" s="1">
        <v>-6.2250469999999997E-7</v>
      </c>
      <c r="I2567">
        <v>217.29599999999999</v>
      </c>
      <c r="J2567">
        <v>-360.94209999999998</v>
      </c>
      <c r="K2567">
        <v>1.105089</v>
      </c>
      <c r="L2567">
        <v>214.20089999999999</v>
      </c>
      <c r="M2567">
        <v>0.99989110000000003</v>
      </c>
      <c r="N2567">
        <v>0</v>
      </c>
      <c r="O2567">
        <v>5.7640900000000004E-3</v>
      </c>
      <c r="P2567">
        <v>0.99922009999999895</v>
      </c>
      <c r="Q2567">
        <v>2.92705999999999E-2</v>
      </c>
      <c r="R2567">
        <v>2.6511059999999999E-2</v>
      </c>
      <c r="S2567">
        <v>2.9944759999999899</v>
      </c>
      <c r="T2567">
        <v>-0.1702082</v>
      </c>
      <c r="U2567">
        <v>0.47697449999999902</v>
      </c>
      <c r="V2567">
        <v>-2.0781250000000001E-2</v>
      </c>
      <c r="W2567">
        <v>4.284102E-2</v>
      </c>
      <c r="X2567">
        <v>0.99886569999999997</v>
      </c>
      <c r="Y2567">
        <v>-0.15137709999999999</v>
      </c>
      <c r="Z2567">
        <v>3.9465450000000001E-3</v>
      </c>
      <c r="AA2567">
        <v>0.98846819999999902</v>
      </c>
      <c r="AB2567">
        <v>21</v>
      </c>
      <c r="AC2567">
        <v>19.223999999999901</v>
      </c>
      <c r="AD2567">
        <v>-1.1050896225047</v>
      </c>
      <c r="AE2567">
        <v>3.0951</v>
      </c>
      <c r="AF2567">
        <v>-2.9746480814176599</v>
      </c>
      <c r="AG2567">
        <v>-1.1050896225047</v>
      </c>
      <c r="AH2567">
        <v>19.179744339424602</v>
      </c>
      <c r="AI2567">
        <v>93.258721676949904</v>
      </c>
      <c r="AJ2567">
        <v>98.815948053202405</v>
      </c>
      <c r="AK2567">
        <v>19.440482175289301</v>
      </c>
    </row>
    <row r="2568" spans="1:37" x14ac:dyDescent="0.2">
      <c r="A2568" t="str">
        <f>"20200111160205245"</f>
        <v>20200111160205245</v>
      </c>
      <c r="B2568" t="str">
        <f>"1578729725234466"</f>
        <v>1578729725234466</v>
      </c>
      <c r="C2568" t="s">
        <v>37</v>
      </c>
      <c r="D2568">
        <v>5.9681389999999999</v>
      </c>
      <c r="E2568">
        <v>0.45277040000000002</v>
      </c>
      <c r="F2568" t="s">
        <v>57</v>
      </c>
      <c r="G2568">
        <v>-341.32319999999999</v>
      </c>
      <c r="H2568" s="1">
        <v>-8.3261829999999997E-7</v>
      </c>
      <c r="I2568">
        <v>217.3203</v>
      </c>
      <c r="J2568">
        <v>-360.72519999999997</v>
      </c>
      <c r="K2568">
        <v>1.105083</v>
      </c>
      <c r="L2568">
        <v>214.2029</v>
      </c>
      <c r="M2568">
        <v>0.99988779999999999</v>
      </c>
      <c r="N2568">
        <v>0</v>
      </c>
      <c r="O2568">
        <v>6.3099139999999998E-3</v>
      </c>
      <c r="P2568">
        <v>0.99922169999999899</v>
      </c>
      <c r="Q2568">
        <v>2.9327410000000002E-2</v>
      </c>
      <c r="R2568">
        <v>2.6391189999999998E-2</v>
      </c>
      <c r="S2568">
        <v>2.9945979999999999</v>
      </c>
      <c r="T2568">
        <v>-0.16867939999999901</v>
      </c>
      <c r="U2568">
        <v>0.47613529999999998</v>
      </c>
      <c r="V2568">
        <v>-2.0115810000000001E-2</v>
      </c>
      <c r="W2568">
        <v>4.2896280000000002E-2</v>
      </c>
      <c r="X2568">
        <v>0.99887700000000001</v>
      </c>
      <c r="Y2568">
        <v>-0.15056729999999999</v>
      </c>
      <c r="Z2568">
        <v>3.8579059999999999E-3</v>
      </c>
      <c r="AA2568">
        <v>0.98859229999999998</v>
      </c>
      <c r="AB2568">
        <v>21</v>
      </c>
      <c r="AC2568">
        <v>19.401999999999902</v>
      </c>
      <c r="AD2568">
        <v>-1.1050838326182999</v>
      </c>
      <c r="AE2568">
        <v>3.1173999999999999</v>
      </c>
      <c r="AF2568">
        <v>-2.9854602164017199</v>
      </c>
      <c r="AG2568">
        <v>-1.1050838326182999</v>
      </c>
      <c r="AH2568">
        <v>19.360060201406199</v>
      </c>
      <c r="AI2568">
        <v>93.228849351775295</v>
      </c>
      <c r="AJ2568">
        <v>98.766367960229204</v>
      </c>
      <c r="AK2568">
        <v>19.620043679434101</v>
      </c>
    </row>
    <row r="2569" spans="1:37" x14ac:dyDescent="0.2">
      <c r="A2569" t="str">
        <f>"20200111160205267"</f>
        <v>20200111160205267</v>
      </c>
      <c r="B2569" t="str">
        <f>"1578729725264723"</f>
        <v>1578729725264723</v>
      </c>
      <c r="C2569" t="s">
        <v>37</v>
      </c>
      <c r="D2569">
        <v>5.9571519999999998</v>
      </c>
      <c r="E2569">
        <v>0.45279170000000002</v>
      </c>
      <c r="F2569" t="s">
        <v>57</v>
      </c>
      <c r="G2569">
        <v>-340.88350000000003</v>
      </c>
      <c r="H2569" s="1">
        <v>-1.066627E-6</v>
      </c>
      <c r="I2569">
        <v>217.35149999999999</v>
      </c>
      <c r="J2569">
        <v>-360.5188</v>
      </c>
      <c r="K2569">
        <v>1.105086</v>
      </c>
      <c r="L2569">
        <v>214.20480000000001</v>
      </c>
      <c r="M2569">
        <v>0.99988440000000001</v>
      </c>
      <c r="N2569">
        <v>0</v>
      </c>
      <c r="O2569">
        <v>6.8277779999999996E-3</v>
      </c>
      <c r="P2569">
        <v>0.99920710000000001</v>
      </c>
      <c r="Q2569">
        <v>2.993384E-2</v>
      </c>
      <c r="R2569">
        <v>2.625798E-2</v>
      </c>
      <c r="S2569">
        <v>2.9946899999999999</v>
      </c>
      <c r="T2569">
        <v>-0.16678950000000001</v>
      </c>
      <c r="U2569">
        <v>0.47521970000000002</v>
      </c>
      <c r="V2569">
        <v>-1.9465150000000001E-2</v>
      </c>
      <c r="W2569">
        <v>4.3500829999999997E-2</v>
      </c>
      <c r="X2569">
        <v>0.99886379999999997</v>
      </c>
      <c r="Y2569">
        <v>-0.1497627</v>
      </c>
      <c r="Z2569">
        <v>3.7638390000000002E-3</v>
      </c>
      <c r="AA2569">
        <v>0.9887148</v>
      </c>
      <c r="AB2569">
        <v>21</v>
      </c>
      <c r="AC2569">
        <v>19.635299999999901</v>
      </c>
      <c r="AD2569">
        <v>-1.1050870666270001</v>
      </c>
      <c r="AE2569">
        <v>3.1466999999999801</v>
      </c>
      <c r="AF2569">
        <v>-3.0032740928622901</v>
      </c>
      <c r="AG2569">
        <v>-1.1050870666270001</v>
      </c>
      <c r="AH2569">
        <v>19.5958134438476</v>
      </c>
      <c r="AI2569">
        <v>93.190546164854595</v>
      </c>
      <c r="AJ2569">
        <v>98.713408094561004</v>
      </c>
      <c r="AK2569">
        <v>19.855396677673301</v>
      </c>
    </row>
    <row r="2570" spans="1:37" x14ac:dyDescent="0.2">
      <c r="A2570" t="str">
        <f>"20200111160205290"</f>
        <v>20200111160205290</v>
      </c>
      <c r="B2570" t="str">
        <f>"1578729725284243"</f>
        <v>1578729725284243</v>
      </c>
      <c r="C2570" t="s">
        <v>37</v>
      </c>
      <c r="D2570">
        <v>6.9246879999999997</v>
      </c>
      <c r="E2570">
        <v>0.45251669999999999</v>
      </c>
      <c r="F2570" t="s">
        <v>57</v>
      </c>
      <c r="G2570">
        <v>-340.26220000000001</v>
      </c>
      <c r="H2570" s="1">
        <v>-1.3972369999999999E-6</v>
      </c>
      <c r="I2570">
        <v>217.4153</v>
      </c>
      <c r="J2570">
        <v>-360.30369999999999</v>
      </c>
      <c r="K2570">
        <v>1.1050959999999901</v>
      </c>
      <c r="L2570">
        <v>214.20689999999999</v>
      </c>
      <c r="M2570">
        <v>0.99988069999999896</v>
      </c>
      <c r="N2570">
        <v>0</v>
      </c>
      <c r="O2570">
        <v>7.3632100000000002E-3</v>
      </c>
      <c r="P2570">
        <v>0.99923600000000001</v>
      </c>
      <c r="Q2570">
        <v>2.9277460000000002E-2</v>
      </c>
      <c r="R2570">
        <v>2.589731E-2</v>
      </c>
      <c r="S2570">
        <v>2.994812</v>
      </c>
      <c r="T2570">
        <v>-0.16338079999999999</v>
      </c>
      <c r="U2570">
        <v>0.474655199999999</v>
      </c>
      <c r="V2570">
        <v>-1.8568330000000001E-2</v>
      </c>
      <c r="W2570">
        <v>4.2842940000000003E-2</v>
      </c>
      <c r="X2570">
        <v>0.99890919999999905</v>
      </c>
      <c r="Y2570">
        <v>-0.14905570000000001</v>
      </c>
      <c r="Z2570">
        <v>3.6387839999999999E-3</v>
      </c>
      <c r="AA2570">
        <v>0.98882209999999904</v>
      </c>
      <c r="AB2570">
        <v>21</v>
      </c>
      <c r="AC2570">
        <v>20.0414999999999</v>
      </c>
      <c r="AD2570">
        <v>-1.105097397237</v>
      </c>
      <c r="AE2570">
        <v>3.2084000000000099</v>
      </c>
      <c r="AF2570">
        <v>-3.0516829299714501</v>
      </c>
      <c r="AG2570">
        <v>-1.105097397237</v>
      </c>
      <c r="AH2570">
        <v>20.005277351267502</v>
      </c>
      <c r="AI2570">
        <v>93.125736910609504</v>
      </c>
      <c r="AJ2570">
        <v>98.673259281962302</v>
      </c>
      <c r="AK2570">
        <v>20.266848074222001</v>
      </c>
    </row>
    <row r="2571" spans="1:37" x14ac:dyDescent="0.2">
      <c r="A2571" t="str">
        <f>"20200111160205311"</f>
        <v>20200111160205311</v>
      </c>
      <c r="B2571" t="str">
        <f>"1578729725304740"</f>
        <v>1578729725304740</v>
      </c>
      <c r="C2571" t="s">
        <v>37</v>
      </c>
      <c r="D2571">
        <v>6.0897259999999998</v>
      </c>
      <c r="E2571">
        <v>0.53341499999999997</v>
      </c>
      <c r="F2571" t="s">
        <v>57</v>
      </c>
      <c r="G2571">
        <v>-340.17829999999998</v>
      </c>
      <c r="H2571" s="1">
        <v>-1.4418830000000001E-6</v>
      </c>
      <c r="I2571">
        <v>217.40450000000001</v>
      </c>
      <c r="J2571">
        <v>-360.09730000000002</v>
      </c>
      <c r="K2571">
        <v>1.1051040000000001</v>
      </c>
      <c r="L2571">
        <v>214.209</v>
      </c>
      <c r="M2571">
        <v>0.99987680000000001</v>
      </c>
      <c r="N2571">
        <v>0</v>
      </c>
      <c r="O2571">
        <v>7.8718539999999993E-3</v>
      </c>
      <c r="P2571">
        <v>0.99926289999999995</v>
      </c>
      <c r="Q2571">
        <v>2.8281259999999999E-2</v>
      </c>
      <c r="R2571">
        <v>2.5959099999999999E-2</v>
      </c>
      <c r="S2571">
        <v>2.994812</v>
      </c>
      <c r="T2571">
        <v>-0.16444710000000001</v>
      </c>
      <c r="U2571">
        <v>0.47583009999999898</v>
      </c>
      <c r="V2571">
        <v>-1.8120399999999998E-2</v>
      </c>
      <c r="W2571">
        <v>4.1845800000000002E-2</v>
      </c>
      <c r="X2571">
        <v>0.99895970000000001</v>
      </c>
      <c r="Y2571">
        <v>-0.14892939999999999</v>
      </c>
      <c r="Z2571">
        <v>3.6312109999999901E-3</v>
      </c>
      <c r="AA2571">
        <v>0.98884119999999998</v>
      </c>
      <c r="AB2571">
        <v>21</v>
      </c>
      <c r="AC2571">
        <v>19.919</v>
      </c>
      <c r="AD2571">
        <v>-1.105105441883</v>
      </c>
      <c r="AE2571">
        <v>3.1955</v>
      </c>
      <c r="AF2571">
        <v>-3.0294961482561602</v>
      </c>
      <c r="AG2571">
        <v>-1.105105441883</v>
      </c>
      <c r="AH2571">
        <v>19.883872074710101</v>
      </c>
      <c r="AI2571">
        <v>93.144892668724395</v>
      </c>
      <c r="AJ2571">
        <v>98.662932334924804</v>
      </c>
      <c r="AK2571">
        <v>20.1436708083064</v>
      </c>
    </row>
    <row r="2572" spans="1:37" x14ac:dyDescent="0.2">
      <c r="A2572" t="str">
        <f>"20200111160205334"</f>
        <v>20200111160205334</v>
      </c>
      <c r="B2572" t="str">
        <f>"1578729725324259"</f>
        <v>1578729725324259</v>
      </c>
      <c r="C2572" t="s">
        <v>37</v>
      </c>
      <c r="D2572">
        <v>9.3677639999999993</v>
      </c>
      <c r="E2572">
        <v>0.53813459999999902</v>
      </c>
      <c r="F2572" t="s">
        <v>57</v>
      </c>
      <c r="G2572">
        <v>-333.18209999999999</v>
      </c>
      <c r="H2572" s="1">
        <v>2.4227130000000002E-7</v>
      </c>
      <c r="I2572">
        <v>212.6551</v>
      </c>
      <c r="J2572">
        <v>-359.8775</v>
      </c>
      <c r="K2572">
        <v>1.105102</v>
      </c>
      <c r="L2572">
        <v>214.2114</v>
      </c>
      <c r="M2572">
        <v>0.99987250000000005</v>
      </c>
      <c r="N2572">
        <v>0</v>
      </c>
      <c r="O2572">
        <v>8.4063499999999999E-3</v>
      </c>
      <c r="P2572">
        <v>0.99928649999999997</v>
      </c>
      <c r="Q2572">
        <v>2.6996599999999999E-2</v>
      </c>
      <c r="R2572">
        <v>2.6419049999999999E-2</v>
      </c>
      <c r="S2572">
        <v>3.0101930000000001</v>
      </c>
      <c r="T2572">
        <v>-0.1235945</v>
      </c>
      <c r="U2572">
        <v>-0.1737976</v>
      </c>
      <c r="V2572">
        <v>-1.8044669999999999E-2</v>
      </c>
      <c r="W2572">
        <v>4.0559440000000002E-2</v>
      </c>
      <c r="X2572">
        <v>0.99901419999999996</v>
      </c>
      <c r="Y2572">
        <v>6.5969040000000007E-2</v>
      </c>
      <c r="Z2572">
        <v>-1.697376E-3</v>
      </c>
      <c r="AA2572">
        <v>0.99782019999999905</v>
      </c>
      <c r="AB2572">
        <v>21</v>
      </c>
      <c r="AC2572">
        <v>26.695399999999999</v>
      </c>
      <c r="AD2572">
        <v>-1.1051017577286999</v>
      </c>
      <c r="AE2572">
        <v>-1.55629999999999</v>
      </c>
      <c r="AF2572">
        <v>1.7776405573677301</v>
      </c>
      <c r="AG2572">
        <v>-1.1051017577286999</v>
      </c>
      <c r="AH2572">
        <v>26.635881591314199</v>
      </c>
      <c r="AI2572">
        <v>92.370526910107102</v>
      </c>
      <c r="AJ2572">
        <v>86.181823851066</v>
      </c>
      <c r="AK2572">
        <v>26.717998502744301</v>
      </c>
    </row>
    <row r="2573" spans="1:37" x14ac:dyDescent="0.2">
      <c r="A2573" t="str">
        <f>"20200111160205377"</f>
        <v>20200111160205377</v>
      </c>
      <c r="B2573" t="str">
        <f>"1578729725374035"</f>
        <v>1578729725374035</v>
      </c>
      <c r="C2573" t="s">
        <v>37</v>
      </c>
      <c r="D2573">
        <v>6.0524420000000001</v>
      </c>
      <c r="E2573">
        <v>0.54070890000000005</v>
      </c>
      <c r="F2573" t="s">
        <v>57</v>
      </c>
      <c r="G2573">
        <v>-330.54469999999998</v>
      </c>
      <c r="H2573" s="1">
        <v>-1.139067E-6</v>
      </c>
      <c r="I2573">
        <v>212.14859999999999</v>
      </c>
      <c r="J2573">
        <v>-359.47379999999998</v>
      </c>
      <c r="K2573">
        <v>1.1050930000000001</v>
      </c>
      <c r="L2573">
        <v>214.21599999999901</v>
      </c>
      <c r="M2573">
        <v>0.99986409999999903</v>
      </c>
      <c r="N2573">
        <v>0</v>
      </c>
      <c r="O2573">
        <v>9.3563640000000007E-3</v>
      </c>
      <c r="P2573">
        <v>0.99919579999999997</v>
      </c>
      <c r="Q2573">
        <v>2.5807449999999999E-2</v>
      </c>
      <c r="R2573">
        <v>3.069003E-2</v>
      </c>
      <c r="S2573">
        <v>3.0108029999999899</v>
      </c>
      <c r="T2573">
        <v>-0.1134309</v>
      </c>
      <c r="U2573">
        <v>-0.211731</v>
      </c>
      <c r="V2573">
        <v>-2.1363960000000001E-2</v>
      </c>
      <c r="W2573">
        <v>3.9364009999999998E-2</v>
      </c>
      <c r="X2573">
        <v>0.99899649999999995</v>
      </c>
      <c r="Y2573">
        <v>7.9418909999999995E-2</v>
      </c>
      <c r="Z2573">
        <v>-1.8456620000000001E-3</v>
      </c>
      <c r="AA2573">
        <v>0.99683960000000005</v>
      </c>
      <c r="AB2573">
        <v>21</v>
      </c>
      <c r="AC2573">
        <v>28.929099999999998</v>
      </c>
      <c r="AD2573">
        <v>-1.1050941390669999</v>
      </c>
      <c r="AE2573">
        <v>-2.0673999999999899</v>
      </c>
      <c r="AF2573">
        <v>2.3346161468699602</v>
      </c>
      <c r="AG2573">
        <v>-1.1050941390669999</v>
      </c>
      <c r="AH2573">
        <v>28.866578940045599</v>
      </c>
      <c r="AI2573">
        <v>92.185245406197296</v>
      </c>
      <c r="AJ2573">
        <v>85.376204961643495</v>
      </c>
      <c r="AK2573">
        <v>28.981908931457699</v>
      </c>
    </row>
    <row r="2574" spans="1:37" x14ac:dyDescent="0.2">
      <c r="A2574" t="str">
        <f>"20200111160205425"</f>
        <v>20200111160205425</v>
      </c>
      <c r="B2574" t="str">
        <f>"1578729725414052"</f>
        <v>1578729725414052</v>
      </c>
      <c r="C2574" t="s">
        <v>37</v>
      </c>
      <c r="D2574">
        <v>6.0458470000000002</v>
      </c>
      <c r="E2574">
        <v>0.54435049999999996</v>
      </c>
      <c r="F2574" t="s">
        <v>57</v>
      </c>
      <c r="G2574">
        <v>-333.43189999999998</v>
      </c>
      <c r="H2574" s="1">
        <v>3.8996970000000001E-7</v>
      </c>
      <c r="I2574">
        <v>212.31780000000001</v>
      </c>
      <c r="J2574">
        <v>-359.03820000000002</v>
      </c>
      <c r="K2574">
        <v>1.1050500000000001</v>
      </c>
      <c r="L2574">
        <v>214.22139999999999</v>
      </c>
      <c r="M2574">
        <v>0.99985499999999905</v>
      </c>
      <c r="N2574">
        <v>0</v>
      </c>
      <c r="O2574">
        <v>1.029623E-2</v>
      </c>
      <c r="P2574">
        <v>0.9989806</v>
      </c>
      <c r="Q2574">
        <v>2.4593810000000001E-2</v>
      </c>
      <c r="R2574">
        <v>3.7854800000000001E-2</v>
      </c>
      <c r="S2574">
        <v>3.0124819999999999</v>
      </c>
      <c r="T2574">
        <v>-0.1278349</v>
      </c>
      <c r="U2574">
        <v>-0.21958920000000001</v>
      </c>
      <c r="V2574">
        <v>-2.7587480000000001E-2</v>
      </c>
      <c r="W2574">
        <v>3.8142309999999999E-2</v>
      </c>
      <c r="X2574">
        <v>0.99889139999999998</v>
      </c>
      <c r="Y2574">
        <v>8.2882890000000001E-2</v>
      </c>
      <c r="Z2574">
        <v>-2.1916769999999999E-3</v>
      </c>
      <c r="AA2574">
        <v>0.99655689999999997</v>
      </c>
      <c r="AB2574">
        <v>21</v>
      </c>
      <c r="AC2574">
        <v>25.606300000000001</v>
      </c>
      <c r="AD2574">
        <v>-1.1050496100303</v>
      </c>
      <c r="AE2574">
        <v>-1.90359999999998</v>
      </c>
      <c r="AF2574">
        <v>2.16316517705327</v>
      </c>
      <c r="AG2574">
        <v>-1.1050496100303</v>
      </c>
      <c r="AH2574">
        <v>25.538040415120101</v>
      </c>
      <c r="AI2574">
        <v>92.468854686134804</v>
      </c>
      <c r="AJ2574">
        <v>85.158395442246999</v>
      </c>
      <c r="AK2574">
        <v>25.653302447602201</v>
      </c>
    </row>
    <row r="2575" spans="1:37" x14ac:dyDescent="0.2">
      <c r="A2575" t="str">
        <f>"20200111160205446"</f>
        <v>20200111160205446</v>
      </c>
      <c r="B2575" t="str">
        <f>"1578729725434546"</f>
        <v>1578729725434546</v>
      </c>
      <c r="C2575" t="s">
        <v>37</v>
      </c>
      <c r="D2575">
        <v>9.6329419999999999</v>
      </c>
      <c r="E2575">
        <v>0.54547800000000002</v>
      </c>
      <c r="F2575" t="s">
        <v>57</v>
      </c>
      <c r="G2575">
        <v>-339.07859999999999</v>
      </c>
      <c r="H2575" s="1">
        <v>3.376678E-6</v>
      </c>
      <c r="I2575">
        <v>212.73349999999999</v>
      </c>
      <c r="J2575">
        <v>-358.8322</v>
      </c>
      <c r="K2575">
        <v>1.1050469999999999</v>
      </c>
      <c r="L2575">
        <v>214.22399999999999</v>
      </c>
      <c r="M2575">
        <v>0.99985059999999903</v>
      </c>
      <c r="N2575">
        <v>0</v>
      </c>
      <c r="O2575">
        <v>1.070314E-2</v>
      </c>
      <c r="P2575">
        <v>0.99881980000000004</v>
      </c>
      <c r="Q2575">
        <v>2.584612E-2</v>
      </c>
      <c r="R2575">
        <v>4.1122190000000003E-2</v>
      </c>
      <c r="S2575">
        <v>3.0156559999999999</v>
      </c>
      <c r="T2575">
        <v>-0.16695869999999999</v>
      </c>
      <c r="U2575">
        <v>-0.2248077</v>
      </c>
      <c r="V2575">
        <v>-3.0448510000000002E-2</v>
      </c>
      <c r="W2575">
        <v>3.9390210000000002E-2</v>
      </c>
      <c r="X2575">
        <v>0.99875990000000003</v>
      </c>
      <c r="Y2575">
        <v>8.4865289999999996E-2</v>
      </c>
      <c r="Z2575">
        <v>-2.9355990000000001E-3</v>
      </c>
      <c r="AA2575">
        <v>0.996388099999999</v>
      </c>
      <c r="AB2575">
        <v>21</v>
      </c>
      <c r="AC2575">
        <v>19.753599999999999</v>
      </c>
      <c r="AD2575">
        <v>-1.10504362332199</v>
      </c>
      <c r="AE2575">
        <v>-1.4905000000000199</v>
      </c>
      <c r="AF2575">
        <v>1.69658034578684</v>
      </c>
      <c r="AG2575">
        <v>-1.10504362332199</v>
      </c>
      <c r="AH2575">
        <v>19.6752897762339</v>
      </c>
      <c r="AI2575">
        <v>93.2027249574965</v>
      </c>
      <c r="AJ2575">
        <v>85.071633587984195</v>
      </c>
      <c r="AK2575">
        <v>19.779194474445301</v>
      </c>
    </row>
    <row r="2576" spans="1:37" x14ac:dyDescent="0.2">
      <c r="A2576" t="str">
        <f>"20200111160205467"</f>
        <v>20200111160205467</v>
      </c>
      <c r="B2576" t="str">
        <f>"1578729725463827"</f>
        <v>1578729725463827</v>
      </c>
      <c r="C2576" t="s">
        <v>37</v>
      </c>
      <c r="D2576">
        <v>6.7292940000000003</v>
      </c>
      <c r="E2576">
        <v>0.54669400000000001</v>
      </c>
      <c r="F2576" t="s">
        <v>57</v>
      </c>
      <c r="G2576">
        <v>-337.68270000000001</v>
      </c>
      <c r="H2576" s="1">
        <v>2.6374680000000001E-6</v>
      </c>
      <c r="I2576">
        <v>212.65090000000001</v>
      </c>
      <c r="J2576">
        <v>-358.635999999999</v>
      </c>
      <c r="K2576">
        <v>1.10504</v>
      </c>
      <c r="L2576">
        <v>214.22659999999999</v>
      </c>
      <c r="M2576">
        <v>0.99984680000000004</v>
      </c>
      <c r="N2576">
        <v>0</v>
      </c>
      <c r="O2576">
        <v>1.1061410000000001E-2</v>
      </c>
      <c r="P2576">
        <v>0.99866809999999995</v>
      </c>
      <c r="Q2576">
        <v>2.76349E-2</v>
      </c>
      <c r="R2576">
        <v>4.3572350000000003E-2</v>
      </c>
      <c r="S2576">
        <v>3.0168759999999999</v>
      </c>
      <c r="T2576">
        <v>-0.157629399999999</v>
      </c>
      <c r="U2576">
        <v>-0.22439580000000001</v>
      </c>
      <c r="V2576">
        <v>-3.2541580000000001E-2</v>
      </c>
      <c r="W2576">
        <v>4.1175950000000003E-2</v>
      </c>
      <c r="X2576">
        <v>0.9986218</v>
      </c>
      <c r="Y2576">
        <v>8.5072239999999993E-2</v>
      </c>
      <c r="Z2576">
        <v>-2.7947709999999902E-3</v>
      </c>
      <c r="AA2576">
        <v>0.99637089999999995</v>
      </c>
      <c r="AB2576">
        <v>21</v>
      </c>
      <c r="AC2576">
        <v>20.953299999999899</v>
      </c>
      <c r="AD2576">
        <v>-1.105037362532</v>
      </c>
      <c r="AE2576">
        <v>-1.5756999999999799</v>
      </c>
      <c r="AF2576">
        <v>1.80241307726558</v>
      </c>
      <c r="AG2576">
        <v>-1.105037362532</v>
      </c>
      <c r="AH2576">
        <v>20.876848364516299</v>
      </c>
      <c r="AI2576">
        <v>93.018700172647499</v>
      </c>
      <c r="AJ2576">
        <v>85.065576229864007</v>
      </c>
      <c r="AK2576">
        <v>20.983626905487402</v>
      </c>
    </row>
    <row r="2577" spans="1:37" x14ac:dyDescent="0.2">
      <c r="A2577" t="str">
        <f>"20200111160205491"</f>
        <v>20200111160205491</v>
      </c>
      <c r="B2577" t="str">
        <f>"1578729725484323"</f>
        <v>1578729725484323</v>
      </c>
      <c r="C2577" t="s">
        <v>37</v>
      </c>
      <c r="D2577">
        <v>6.0398529999999999</v>
      </c>
      <c r="E2577">
        <v>0.5477225</v>
      </c>
      <c r="F2577" t="s">
        <v>57</v>
      </c>
      <c r="G2577">
        <v>-334.83</v>
      </c>
      <c r="H2577" s="1">
        <v>1.129119E-6</v>
      </c>
      <c r="I2577">
        <v>212.428</v>
      </c>
      <c r="J2577">
        <v>-358.42349999999999</v>
      </c>
      <c r="K2577">
        <v>1.1050149999999901</v>
      </c>
      <c r="L2577">
        <v>214.2294</v>
      </c>
      <c r="M2577">
        <v>0.99984289999999998</v>
      </c>
      <c r="N2577">
        <v>0</v>
      </c>
      <c r="O2577">
        <v>1.141324E-2</v>
      </c>
      <c r="P2577">
        <v>0.99856440000000002</v>
      </c>
      <c r="Q2577">
        <v>2.832318E-2</v>
      </c>
      <c r="R2577">
        <v>4.5465499999999999E-2</v>
      </c>
      <c r="S2577">
        <v>3.0178529999999899</v>
      </c>
      <c r="T2577">
        <v>-0.1400836</v>
      </c>
      <c r="U2577">
        <v>-0.227996799999999</v>
      </c>
      <c r="V2577">
        <v>-3.4081960000000001E-2</v>
      </c>
      <c r="W2577">
        <v>4.1862480000000001E-2</v>
      </c>
      <c r="X2577">
        <v>0.99854189999999998</v>
      </c>
      <c r="Y2577">
        <v>8.6606649999999993E-2</v>
      </c>
      <c r="Z2577">
        <v>-2.5349729999999998E-3</v>
      </c>
      <c r="AA2577">
        <v>0.9962394</v>
      </c>
      <c r="AB2577">
        <v>21</v>
      </c>
      <c r="AC2577">
        <v>23.593499999999999</v>
      </c>
      <c r="AD2577">
        <v>-1.10501387088099</v>
      </c>
      <c r="AE2577">
        <v>-1.8013999999999999</v>
      </c>
      <c r="AF2577">
        <v>2.0660798750869702</v>
      </c>
      <c r="AG2577">
        <v>-1.10501387088099</v>
      </c>
      <c r="AH2577">
        <v>23.520107408569999</v>
      </c>
      <c r="AI2577">
        <v>92.679569994542007</v>
      </c>
      <c r="AJ2577">
        <v>84.979845407023504</v>
      </c>
      <c r="AK2577">
        <v>23.6365224645198</v>
      </c>
    </row>
    <row r="2578" spans="1:37" x14ac:dyDescent="0.2">
      <c r="A2578" t="str">
        <f>"20200111160205511"</f>
        <v>20200111160205511</v>
      </c>
      <c r="B2578" t="str">
        <f>"1578729725503843"</f>
        <v>1578729725503843</v>
      </c>
      <c r="C2578" t="s">
        <v>37</v>
      </c>
      <c r="D2578">
        <v>6.1503540000000001</v>
      </c>
      <c r="E2578">
        <v>0.54869409999999996</v>
      </c>
      <c r="F2578" t="s">
        <v>57</v>
      </c>
      <c r="G2578">
        <v>-335.95699999999999</v>
      </c>
      <c r="H2578" s="1">
        <v>1.7248959999999899E-6</v>
      </c>
      <c r="I2578">
        <v>212.5187</v>
      </c>
      <c r="J2578">
        <v>-358.21780000000001</v>
      </c>
      <c r="K2578">
        <v>1.1049799999999901</v>
      </c>
      <c r="L2578">
        <v>214.2321</v>
      </c>
      <c r="M2578">
        <v>0.99983940000000004</v>
      </c>
      <c r="N2578">
        <v>0</v>
      </c>
      <c r="O2578">
        <v>1.171931E-2</v>
      </c>
      <c r="P2578">
        <v>0.99857969999999896</v>
      </c>
      <c r="Q2578">
        <v>2.6368050000000001E-2</v>
      </c>
      <c r="R2578">
        <v>4.629892E-2</v>
      </c>
      <c r="S2578">
        <v>3.0189509999999999</v>
      </c>
      <c r="T2578">
        <v>-0.14848649999999999</v>
      </c>
      <c r="U2578">
        <v>-0.22987369999999999</v>
      </c>
      <c r="V2578">
        <v>-3.4606100000000001E-2</v>
      </c>
      <c r="W2578">
        <v>3.990718E-2</v>
      </c>
      <c r="X2578">
        <v>0.99860389999999999</v>
      </c>
      <c r="Y2578">
        <v>8.7485839999999995E-2</v>
      </c>
      <c r="Z2578">
        <v>-2.7224240000000002E-3</v>
      </c>
      <c r="AA2578">
        <v>0.99616209999999905</v>
      </c>
      <c r="AB2578">
        <v>21</v>
      </c>
      <c r="AC2578">
        <v>22.2608</v>
      </c>
      <c r="AD2578">
        <v>-1.10497827510399</v>
      </c>
      <c r="AE2578">
        <v>-1.7134</v>
      </c>
      <c r="AF2578">
        <v>1.9693637417966201</v>
      </c>
      <c r="AG2578">
        <v>-1.10497827510399</v>
      </c>
      <c r="AH2578">
        <v>22.184849593046</v>
      </c>
      <c r="AI2578">
        <v>92.840268992290902</v>
      </c>
      <c r="AJ2578">
        <v>84.927113119232502</v>
      </c>
      <c r="AK2578">
        <v>22.299482550095799</v>
      </c>
    </row>
    <row r="2579" spans="1:37" x14ac:dyDescent="0.2">
      <c r="A2579" t="str">
        <f>"20200111160205536"</f>
        <v>20200111160205536</v>
      </c>
      <c r="B2579" t="str">
        <f>"1578729725524338"</f>
        <v>1578729725524338</v>
      </c>
      <c r="C2579" t="s">
        <v>37</v>
      </c>
      <c r="D2579">
        <v>6.0457140000000003</v>
      </c>
      <c r="E2579">
        <v>0.54929249999999996</v>
      </c>
      <c r="F2579" t="s">
        <v>57</v>
      </c>
      <c r="G2579">
        <v>-336.36610000000002</v>
      </c>
      <c r="H2579" s="1">
        <v>1.9421009999999998E-6</v>
      </c>
      <c r="I2579">
        <v>212.53039999999999</v>
      </c>
      <c r="J2579">
        <v>-357.99880000000002</v>
      </c>
      <c r="K2579">
        <v>1.104941</v>
      </c>
      <c r="L2579">
        <v>214.23509999999999</v>
      </c>
      <c r="M2579">
        <v>0.99983580000000005</v>
      </c>
      <c r="N2579">
        <v>0</v>
      </c>
      <c r="O2579">
        <v>1.201895E-2</v>
      </c>
      <c r="P2579">
        <v>0.99864529999999996</v>
      </c>
      <c r="Q2579">
        <v>2.3405740000000001E-2</v>
      </c>
      <c r="R2579">
        <v>4.6471180000000001E-2</v>
      </c>
      <c r="S2579">
        <v>3.01922599999999</v>
      </c>
      <c r="T2579">
        <v>-0.1526737</v>
      </c>
      <c r="U2579">
        <v>-0.23512269999999999</v>
      </c>
      <c r="V2579">
        <v>-3.4475270000000002E-2</v>
      </c>
      <c r="W2579">
        <v>3.6945819999999997E-2</v>
      </c>
      <c r="X2579">
        <v>0.99872240000000001</v>
      </c>
      <c r="Y2579">
        <v>8.9489299999999994E-2</v>
      </c>
      <c r="Z2579">
        <v>-2.86433E-3</v>
      </c>
      <c r="AA2579">
        <v>0.99598369999999903</v>
      </c>
      <c r="AB2579">
        <v>21</v>
      </c>
      <c r="AC2579">
        <v>21.6327</v>
      </c>
      <c r="AD2579">
        <v>-1.1049390578989999</v>
      </c>
      <c r="AE2579">
        <v>-1.7047000000000001</v>
      </c>
      <c r="AF2579">
        <v>1.95952247661326</v>
      </c>
      <c r="AG2579">
        <v>-1.1049390578989999</v>
      </c>
      <c r="AH2579">
        <v>21.554759710988002</v>
      </c>
      <c r="AI2579">
        <v>92.922494323727307</v>
      </c>
      <c r="AJ2579">
        <v>84.805574080519307</v>
      </c>
      <c r="AK2579">
        <v>21.671831599023999</v>
      </c>
    </row>
    <row r="2580" spans="1:37" x14ac:dyDescent="0.2">
      <c r="A2580" t="str">
        <f>"20200111160205556"</f>
        <v>20200111160205556</v>
      </c>
      <c r="B2580" t="str">
        <f>"1578729725554594"</f>
        <v>1578729725554594</v>
      </c>
      <c r="C2580" t="s">
        <v>37</v>
      </c>
      <c r="D2580">
        <v>6.0737079999999999</v>
      </c>
      <c r="E2580">
        <v>0.55008559999999995</v>
      </c>
      <c r="F2580" t="s">
        <v>57</v>
      </c>
      <c r="G2580">
        <v>-339.18699999999899</v>
      </c>
      <c r="H2580" s="1">
        <v>3.4335459999999998E-6</v>
      </c>
      <c r="I2580">
        <v>212.75239999999999</v>
      </c>
      <c r="J2580">
        <v>-357.80279999999999</v>
      </c>
      <c r="K2580">
        <v>1.1049149999999901</v>
      </c>
      <c r="L2580">
        <v>214.23769999999999</v>
      </c>
      <c r="M2580">
        <v>0.99983279999999997</v>
      </c>
      <c r="N2580">
        <v>0</v>
      </c>
      <c r="O2580">
        <v>1.226958E-2</v>
      </c>
      <c r="P2580">
        <v>0.99870119999999896</v>
      </c>
      <c r="Q2580">
        <v>2.151204E-2</v>
      </c>
      <c r="R2580">
        <v>4.618734E-2</v>
      </c>
      <c r="S2580">
        <v>3.0193479999999999</v>
      </c>
      <c r="T2580">
        <v>-0.1773458</v>
      </c>
      <c r="U2580">
        <v>-0.2379761</v>
      </c>
      <c r="V2580">
        <v>-3.3938969999999999E-2</v>
      </c>
      <c r="W2580">
        <v>3.505163E-2</v>
      </c>
      <c r="X2580">
        <v>0.99880899999999995</v>
      </c>
      <c r="Y2580">
        <v>9.0623930000000005E-2</v>
      </c>
      <c r="Z2580">
        <v>-3.3741439999999999E-3</v>
      </c>
      <c r="AA2580">
        <v>0.99587950000000003</v>
      </c>
      <c r="AB2580">
        <v>21</v>
      </c>
      <c r="AC2580">
        <v>18.6158</v>
      </c>
      <c r="AD2580">
        <v>-1.1049115664539999</v>
      </c>
      <c r="AE2580">
        <v>-1.4852999999999901</v>
      </c>
      <c r="AF2580">
        <v>1.7076395497246999</v>
      </c>
      <c r="AG2580">
        <v>-1.1049115664539999</v>
      </c>
      <c r="AH2580">
        <v>18.531303108185799</v>
      </c>
      <c r="AI2580">
        <v>93.397805821079999</v>
      </c>
      <c r="AJ2580">
        <v>84.735124353757897</v>
      </c>
      <c r="AK2580">
        <v>18.642587194081401</v>
      </c>
    </row>
    <row r="2581" spans="1:37" x14ac:dyDescent="0.2">
      <c r="A2581" t="str">
        <f>"20200111160205579"</f>
        <v>20200111160205579</v>
      </c>
      <c r="B2581" t="str">
        <f>"1578729725574115"</f>
        <v>1578729725574115</v>
      </c>
      <c r="C2581" t="s">
        <v>37</v>
      </c>
      <c r="D2581">
        <v>5.89011</v>
      </c>
      <c r="E2581">
        <v>0.54917660000000001</v>
      </c>
      <c r="F2581" t="s">
        <v>42</v>
      </c>
      <c r="G2581">
        <v>-356.95119999999997</v>
      </c>
      <c r="H2581">
        <v>1.0530899999999901</v>
      </c>
      <c r="I2581">
        <v>214.16839999999999</v>
      </c>
      <c r="J2581">
        <v>-357.59440000000001</v>
      </c>
      <c r="K2581">
        <v>1.104908</v>
      </c>
      <c r="L2581">
        <v>214.2405</v>
      </c>
      <c r="M2581">
        <v>0.99982979999999999</v>
      </c>
      <c r="N2581">
        <v>0</v>
      </c>
      <c r="O2581">
        <v>1.2523340000000001E-2</v>
      </c>
      <c r="P2581">
        <v>0.99877150000000003</v>
      </c>
      <c r="Q2581">
        <v>2.091312E-2</v>
      </c>
      <c r="R2581">
        <v>4.4928509999999998E-2</v>
      </c>
      <c r="S2581">
        <v>3.01922599999999</v>
      </c>
      <c r="T2581">
        <v>-0.18382779999999899</v>
      </c>
      <c r="U2581">
        <v>-0.24478150000000001</v>
      </c>
      <c r="V2581">
        <v>-3.242507E-2</v>
      </c>
      <c r="W2581">
        <v>3.4453070000000002E-2</v>
      </c>
      <c r="X2581">
        <v>0.99888009999999905</v>
      </c>
      <c r="Y2581">
        <v>9.3091960000000001E-2</v>
      </c>
      <c r="Z2581">
        <v>-3.5874349999999999E-3</v>
      </c>
      <c r="AA2581">
        <v>0.99565110000000001</v>
      </c>
      <c r="AB2581">
        <v>21</v>
      </c>
      <c r="AC2581">
        <v>0.64320000000003497</v>
      </c>
      <c r="AD2581">
        <v>-5.18180000000001E-2</v>
      </c>
      <c r="AE2581">
        <v>-7.2100000000006007E-2</v>
      </c>
      <c r="AF2581">
        <v>7.9639620499809702E-2</v>
      </c>
      <c r="AG2581">
        <v>-5.18180000000001E-2</v>
      </c>
      <c r="AH2581">
        <v>0.63815606710487205</v>
      </c>
      <c r="AI2581">
        <v>94.606630077134398</v>
      </c>
      <c r="AJ2581">
        <v>82.886466294478595</v>
      </c>
      <c r="AK2581">
        <v>0.64519046820308201</v>
      </c>
    </row>
    <row r="2582" spans="1:37" x14ac:dyDescent="0.2">
      <c r="A2582" t="str">
        <f>"20200111160205601"</f>
        <v>20200111160205601</v>
      </c>
      <c r="B2582" t="str">
        <f>"1578729725594611"</f>
        <v>1578729725594611</v>
      </c>
      <c r="C2582" t="s">
        <v>37</v>
      </c>
      <c r="D2582">
        <v>5.8814289999999998</v>
      </c>
      <c r="E2582">
        <v>0.50531729999999997</v>
      </c>
      <c r="F2582" t="s">
        <v>42</v>
      </c>
      <c r="G2582">
        <v>-356.76620000000003</v>
      </c>
      <c r="H2582">
        <v>1.052686</v>
      </c>
      <c r="I2582">
        <v>214.17439999999999</v>
      </c>
      <c r="J2582">
        <v>-357.38420000000002</v>
      </c>
      <c r="K2582">
        <v>1.104914</v>
      </c>
      <c r="L2582">
        <v>214.24350000000001</v>
      </c>
      <c r="M2582">
        <v>0.99982660000000001</v>
      </c>
      <c r="N2582">
        <v>0</v>
      </c>
      <c r="O2582">
        <v>1.277289E-2</v>
      </c>
      <c r="P2582">
        <v>0.99884549999999905</v>
      </c>
      <c r="Q2582">
        <v>2.1959579999999999E-2</v>
      </c>
      <c r="R2582">
        <v>4.273018E-2</v>
      </c>
      <c r="S2582">
        <v>3.018494</v>
      </c>
      <c r="T2582">
        <v>-0.1904515</v>
      </c>
      <c r="U2582">
        <v>-0.24047849999999901</v>
      </c>
      <c r="V2582">
        <v>-2.9976630000000001E-2</v>
      </c>
      <c r="W2582">
        <v>3.5499089999999997E-2</v>
      </c>
      <c r="X2582">
        <v>0.99892000000000003</v>
      </c>
      <c r="Y2582">
        <v>9.1937019999999994E-2</v>
      </c>
      <c r="Z2582">
        <v>-3.6969199999999998E-3</v>
      </c>
      <c r="AA2582">
        <v>0.99575789999999997</v>
      </c>
      <c r="AB2582">
        <v>21</v>
      </c>
      <c r="AC2582">
        <v>0.617999999999995</v>
      </c>
      <c r="AD2582">
        <v>-5.22279999999999E-2</v>
      </c>
      <c r="AE2582">
        <v>-6.9100000000020104E-2</v>
      </c>
      <c r="AF2582">
        <v>7.6449460233964303E-2</v>
      </c>
      <c r="AG2582">
        <v>-5.22279999999999E-2</v>
      </c>
      <c r="AH2582">
        <v>0.61274460310343803</v>
      </c>
      <c r="AI2582">
        <v>94.8345931215961</v>
      </c>
      <c r="AJ2582">
        <v>82.888206424136897</v>
      </c>
      <c r="AK2582">
        <v>0.61970011504473199</v>
      </c>
    </row>
    <row r="2583" spans="1:37" x14ac:dyDescent="0.2">
      <c r="A2583" t="str">
        <f>"20200111160205624"</f>
        <v>20200111160205624</v>
      </c>
      <c r="B2583" t="str">
        <f>"1578729725614132"</f>
        <v>1578729725614132</v>
      </c>
      <c r="C2583" t="s">
        <v>37</v>
      </c>
      <c r="D2583">
        <v>5.7910149999999998</v>
      </c>
      <c r="E2583">
        <v>0.5045714</v>
      </c>
      <c r="F2583" t="s">
        <v>57</v>
      </c>
      <c r="G2583">
        <v>-334.41019999999997</v>
      </c>
      <c r="H2583" s="1">
        <v>7.9282449999999999E-7</v>
      </c>
      <c r="I2583">
        <v>215.01079999999999</v>
      </c>
      <c r="J2583">
        <v>-357.1755</v>
      </c>
      <c r="K2583">
        <v>1.1049290000000001</v>
      </c>
      <c r="L2583">
        <v>214.24639999999999</v>
      </c>
      <c r="M2583">
        <v>0.99982340000000003</v>
      </c>
      <c r="N2583">
        <v>0</v>
      </c>
      <c r="O2583">
        <v>1.3020159999999999E-2</v>
      </c>
      <c r="P2583">
        <v>0.99888899999999903</v>
      </c>
      <c r="Q2583">
        <v>2.4113320000000001E-2</v>
      </c>
      <c r="R2583">
        <v>4.0491739999999998E-2</v>
      </c>
      <c r="S2583">
        <v>3.00238</v>
      </c>
      <c r="T2583">
        <v>-0.14439639999999901</v>
      </c>
      <c r="U2583">
        <v>0.1002808</v>
      </c>
      <c r="V2583">
        <v>-2.7491310000000001E-2</v>
      </c>
      <c r="W2583">
        <v>3.7651049999999998E-2</v>
      </c>
      <c r="X2583">
        <v>0.99891280000000005</v>
      </c>
      <c r="Y2583">
        <v>-2.0356409999999998E-2</v>
      </c>
      <c r="Z2583">
        <v>-1.3657399999999901E-4</v>
      </c>
      <c r="AA2583">
        <v>0.99979280000000004</v>
      </c>
      <c r="AB2583">
        <v>21</v>
      </c>
      <c r="AC2583">
        <v>22.7653</v>
      </c>
      <c r="AD2583">
        <v>-1.1049282071755</v>
      </c>
      <c r="AE2583">
        <v>0.76439999999999397</v>
      </c>
      <c r="AF2583">
        <v>-0.466801714160406</v>
      </c>
      <c r="AG2583">
        <v>-1.1049282071755</v>
      </c>
      <c r="AH2583">
        <v>22.7198623732458</v>
      </c>
      <c r="AI2583">
        <v>92.783668120419506</v>
      </c>
      <c r="AJ2583">
        <v>91.177032023539994</v>
      </c>
      <c r="AK2583">
        <v>22.751503608390099</v>
      </c>
    </row>
    <row r="2584" spans="1:37" x14ac:dyDescent="0.2">
      <c r="A2584" t="str">
        <f>"20200111160205647"</f>
        <v>20200111160205647</v>
      </c>
      <c r="B2584" t="str">
        <f>"1578729725644387"</f>
        <v>1578729725644387</v>
      </c>
      <c r="C2584" t="s">
        <v>37</v>
      </c>
      <c r="D2584">
        <v>7.0406839999999997</v>
      </c>
      <c r="E2584">
        <v>0.50497130000000001</v>
      </c>
      <c r="F2584" t="s">
        <v>57</v>
      </c>
      <c r="G2584">
        <v>-327.07639999999998</v>
      </c>
      <c r="H2584" s="1">
        <v>2.22891699999999E-6</v>
      </c>
      <c r="I2584">
        <v>215.2269</v>
      </c>
      <c r="J2584">
        <v>-356.96839999999997</v>
      </c>
      <c r="K2584">
        <v>1.1049340000000001</v>
      </c>
      <c r="L2584">
        <v>214.24940000000001</v>
      </c>
      <c r="M2584">
        <v>0.99982019999999905</v>
      </c>
      <c r="N2584">
        <v>0</v>
      </c>
      <c r="O2584">
        <v>1.327008E-2</v>
      </c>
      <c r="P2584">
        <v>0.99897909999999901</v>
      </c>
      <c r="Q2584">
        <v>2.3840299999999998E-2</v>
      </c>
      <c r="R2584">
        <v>3.837637E-2</v>
      </c>
      <c r="S2584">
        <v>3.002075</v>
      </c>
      <c r="T2584">
        <v>-0.11020489999999999</v>
      </c>
      <c r="U2584">
        <v>9.7793580000000005E-2</v>
      </c>
      <c r="V2584">
        <v>-2.5125620000000001E-2</v>
      </c>
      <c r="W2584">
        <v>3.7377540000000001E-2</v>
      </c>
      <c r="X2584">
        <v>0.99898529999999996</v>
      </c>
      <c r="Y2584">
        <v>-1.9286879999999999E-2</v>
      </c>
      <c r="Z2584">
        <v>-1.330599E-4</v>
      </c>
      <c r="AA2584">
        <v>0.99981399999999998</v>
      </c>
      <c r="AB2584">
        <v>21</v>
      </c>
      <c r="AC2584">
        <v>29.891999999999999</v>
      </c>
      <c r="AD2584">
        <v>-1.104931771083</v>
      </c>
      <c r="AE2584">
        <v>0.97749999999999204</v>
      </c>
      <c r="AF2584">
        <v>-0.57991676757055299</v>
      </c>
      <c r="AG2584">
        <v>-1.104931771083</v>
      </c>
      <c r="AH2584">
        <v>29.861582482186801</v>
      </c>
      <c r="AI2584">
        <v>92.118680087060994</v>
      </c>
      <c r="AJ2584">
        <v>91.112553466848894</v>
      </c>
      <c r="AK2584">
        <v>29.887644370483699</v>
      </c>
    </row>
    <row r="2585" spans="1:37" x14ac:dyDescent="0.2">
      <c r="A2585" t="str">
        <f>"20200111160205668"</f>
        <v>20200111160205668</v>
      </c>
      <c r="B2585" t="str">
        <f>"1578729725663908"</f>
        <v>1578729725663908</v>
      </c>
      <c r="C2585" t="s">
        <v>37</v>
      </c>
      <c r="D2585">
        <v>5.8063500000000001</v>
      </c>
      <c r="E2585">
        <v>0.50387590000000004</v>
      </c>
      <c r="F2585" t="s">
        <v>57</v>
      </c>
      <c r="G2585">
        <v>-320.98910000000001</v>
      </c>
      <c r="H2585" s="1">
        <v>-1.0104140000000001E-6</v>
      </c>
      <c r="I2585">
        <v>215.2895</v>
      </c>
      <c r="J2585">
        <v>-356.76740000000001</v>
      </c>
      <c r="K2585">
        <v>1.1049209999999901</v>
      </c>
      <c r="L2585">
        <v>214.25229999999999</v>
      </c>
      <c r="M2585">
        <v>0.99981699999999996</v>
      </c>
      <c r="N2585">
        <v>0</v>
      </c>
      <c r="O2585">
        <v>1.351929E-2</v>
      </c>
      <c r="P2585">
        <v>0.99908140000000001</v>
      </c>
      <c r="Q2585">
        <v>2.104934E-2</v>
      </c>
      <c r="R2585">
        <v>3.7333579999999998E-2</v>
      </c>
      <c r="S2585">
        <v>3.0019529999999999</v>
      </c>
      <c r="T2585">
        <v>-9.2190859999999999E-2</v>
      </c>
      <c r="U2585">
        <v>8.6776729999999996E-2</v>
      </c>
      <c r="V2585">
        <v>-2.3832309999999999E-2</v>
      </c>
      <c r="W2585">
        <v>3.4586039999999998E-2</v>
      </c>
      <c r="X2585">
        <v>0.99911759999999905</v>
      </c>
      <c r="Y2585">
        <v>-1.5376290000000001E-2</v>
      </c>
      <c r="Z2585">
        <v>-1.7900509999999999E-4</v>
      </c>
      <c r="AA2585">
        <v>0.99988169999999899</v>
      </c>
      <c r="AB2585">
        <v>21</v>
      </c>
      <c r="AC2585">
        <v>35.778300000000002</v>
      </c>
      <c r="AD2585">
        <v>-1.1049220104139901</v>
      </c>
      <c r="AE2585">
        <v>1.0372000000000099</v>
      </c>
      <c r="AF2585">
        <v>-0.55283685570518803</v>
      </c>
      <c r="AG2585">
        <v>-1.1049220104139901</v>
      </c>
      <c r="AH2585">
        <v>35.7549812831586</v>
      </c>
      <c r="AI2585">
        <v>91.769814054595898</v>
      </c>
      <c r="AJ2585">
        <v>90.885826076335903</v>
      </c>
      <c r="AK2585">
        <v>35.776321328458899</v>
      </c>
    </row>
    <row r="2586" spans="1:37" x14ac:dyDescent="0.2">
      <c r="A2586" t="str">
        <f>"20200111160205692"</f>
        <v>20200111160205692</v>
      </c>
      <c r="B2586" t="str">
        <f>"1578729725684403"</f>
        <v>1578729725684403</v>
      </c>
      <c r="C2586" t="s">
        <v>37</v>
      </c>
      <c r="D2586">
        <v>5.9861510000000004</v>
      </c>
      <c r="E2586">
        <v>0.50339140000000004</v>
      </c>
      <c r="F2586" t="s">
        <v>57</v>
      </c>
      <c r="G2586">
        <v>-330.92250000000001</v>
      </c>
      <c r="H2586" s="1">
        <v>-1.065531E-6</v>
      </c>
      <c r="I2586">
        <v>215.06569999999999</v>
      </c>
      <c r="J2586">
        <v>-356.55720000000002</v>
      </c>
      <c r="K2586">
        <v>1.1048979999999999</v>
      </c>
      <c r="L2586">
        <v>214.25550000000001</v>
      </c>
      <c r="M2586">
        <v>0.99981330000000002</v>
      </c>
      <c r="N2586">
        <v>0</v>
      </c>
      <c r="O2586">
        <v>1.378627E-2</v>
      </c>
      <c r="P2586">
        <v>0.99913469999999904</v>
      </c>
      <c r="Q2586">
        <v>1.8182009999999998E-2</v>
      </c>
      <c r="R2586">
        <v>3.7411920000000001E-2</v>
      </c>
      <c r="S2586">
        <v>3.0019230000000001</v>
      </c>
      <c r="T2586">
        <v>-0.12833800000000001</v>
      </c>
      <c r="U2586">
        <v>9.4467159999999994E-2</v>
      </c>
      <c r="V2586">
        <v>-2.3642090000000001E-2</v>
      </c>
      <c r="W2586">
        <v>3.1718000000000003E-2</v>
      </c>
      <c r="X2586">
        <v>0.99921719999999903</v>
      </c>
      <c r="Y2586">
        <v>-1.7666069999999999E-2</v>
      </c>
      <c r="Z2586">
        <v>-2.1161969999999999E-4</v>
      </c>
      <c r="AA2586">
        <v>0.99984390000000001</v>
      </c>
      <c r="AB2586">
        <v>21</v>
      </c>
      <c r="AC2586">
        <v>25.634699999999999</v>
      </c>
      <c r="AD2586">
        <v>-1.104899065531</v>
      </c>
      <c r="AE2586">
        <v>0.81019999999998005</v>
      </c>
      <c r="AF2586">
        <v>-0.45583770767663301</v>
      </c>
      <c r="AG2586">
        <v>-1.104899065531</v>
      </c>
      <c r="AH2586">
        <v>25.5959304677768</v>
      </c>
      <c r="AI2586">
        <v>92.4713599665956</v>
      </c>
      <c r="AJ2586">
        <v>91.020272195192007</v>
      </c>
      <c r="AK2586">
        <v>25.6238218552974</v>
      </c>
    </row>
    <row r="2587" spans="1:37" x14ac:dyDescent="0.2">
      <c r="A2587" t="str">
        <f>"20200111160205714"</f>
        <v>20200111160205714</v>
      </c>
      <c r="B2587" t="str">
        <f>"1578729725703923"</f>
        <v>1578729725703923</v>
      </c>
      <c r="C2587" t="s">
        <v>37</v>
      </c>
      <c r="D2587">
        <v>5.7168049999999999</v>
      </c>
      <c r="E2587">
        <v>0.50328779999999995</v>
      </c>
      <c r="F2587" t="s">
        <v>57</v>
      </c>
      <c r="G2587">
        <v>-335.49149999999997</v>
      </c>
      <c r="H2587" s="1">
        <v>1.370521E-6</v>
      </c>
      <c r="I2587">
        <v>214.96</v>
      </c>
      <c r="J2587">
        <v>-356.34809999999999</v>
      </c>
      <c r="K2587">
        <v>1.104881</v>
      </c>
      <c r="L2587">
        <v>214.2587</v>
      </c>
      <c r="M2587">
        <v>0.99980949999999902</v>
      </c>
      <c r="N2587">
        <v>0</v>
      </c>
      <c r="O2587">
        <v>1.405605E-2</v>
      </c>
      <c r="P2587">
        <v>0.99915030000000005</v>
      </c>
      <c r="Q2587">
        <v>1.739454E-2</v>
      </c>
      <c r="R2587">
        <v>3.7365460000000003E-2</v>
      </c>
      <c r="S2587">
        <v>3.001709</v>
      </c>
      <c r="T2587">
        <v>-0.1574402</v>
      </c>
      <c r="U2587">
        <v>0.10038759999999999</v>
      </c>
      <c r="V2587">
        <v>-2.3325820000000001E-2</v>
      </c>
      <c r="W2587">
        <v>3.0928279999999999E-2</v>
      </c>
      <c r="X2587">
        <v>0.99924939999999995</v>
      </c>
      <c r="Y2587">
        <v>-1.936471E-2</v>
      </c>
      <c r="Z2587">
        <v>-2.291858E-4</v>
      </c>
      <c r="AA2587">
        <v>0.99981249999999999</v>
      </c>
      <c r="AB2587">
        <v>21</v>
      </c>
      <c r="AC2587">
        <v>20.8566</v>
      </c>
      <c r="AD2587">
        <v>-1.104879629479</v>
      </c>
      <c r="AE2587">
        <v>0.70130000000000303</v>
      </c>
      <c r="AF2587">
        <v>-0.40690178529253301</v>
      </c>
      <c r="AG2587">
        <v>-1.104879629479</v>
      </c>
      <c r="AH2587">
        <v>20.806074257509199</v>
      </c>
      <c r="AI2587">
        <v>93.039182882792801</v>
      </c>
      <c r="AJ2587">
        <v>91.120383551741796</v>
      </c>
      <c r="AK2587">
        <v>20.839363091694999</v>
      </c>
    </row>
    <row r="2588" spans="1:37" x14ac:dyDescent="0.2">
      <c r="A2588" t="str">
        <f>"20200111160205738"</f>
        <v>20200111160205738</v>
      </c>
      <c r="B2588" t="str">
        <f>"1578729725734179"</f>
        <v>1578729725734179</v>
      </c>
      <c r="C2588" t="s">
        <v>37</v>
      </c>
      <c r="D2588">
        <v>6.500273</v>
      </c>
      <c r="E2588">
        <v>0.50356889999999999</v>
      </c>
      <c r="F2588" t="s">
        <v>57</v>
      </c>
      <c r="G2588">
        <v>-336.6096</v>
      </c>
      <c r="H2588" s="1">
        <v>1.9668220000000001E-6</v>
      </c>
      <c r="I2588">
        <v>214.9298</v>
      </c>
      <c r="J2588">
        <v>-356.13209999999998</v>
      </c>
      <c r="K2588">
        <v>1.1048830000000001</v>
      </c>
      <c r="L2588">
        <v>214.2621</v>
      </c>
      <c r="M2588">
        <v>0.99980539999999996</v>
      </c>
      <c r="N2588">
        <v>0</v>
      </c>
      <c r="O2588">
        <v>1.4337259999999999E-2</v>
      </c>
      <c r="P2588">
        <v>0.99911360000000005</v>
      </c>
      <c r="Q2588">
        <v>1.8702730000000001E-2</v>
      </c>
      <c r="R2588">
        <v>3.7711300000000003E-2</v>
      </c>
      <c r="S2588">
        <v>3.0016479999999999</v>
      </c>
      <c r="T2588">
        <v>-0.16802039999999999</v>
      </c>
      <c r="U2588">
        <v>0.1020508</v>
      </c>
      <c r="V2588">
        <v>-2.3391550000000001E-2</v>
      </c>
      <c r="W2588">
        <v>3.2233680000000001E-2</v>
      </c>
      <c r="X2588">
        <v>0.99920659999999994</v>
      </c>
      <c r="Y2588">
        <v>-1.9636549999999999E-2</v>
      </c>
      <c r="Z2588">
        <v>-2.5268879999999999E-4</v>
      </c>
      <c r="AA2588">
        <v>0.99980720000000001</v>
      </c>
      <c r="AB2588">
        <v>21</v>
      </c>
      <c r="AC2588">
        <v>19.522499999999901</v>
      </c>
      <c r="AD2588">
        <v>-1.1048810331779999</v>
      </c>
      <c r="AE2588">
        <v>0.66769999999999596</v>
      </c>
      <c r="AF2588">
        <v>-0.38647007474639</v>
      </c>
      <c r="AG2588">
        <v>-1.1048810331779999</v>
      </c>
      <c r="AH2588">
        <v>19.467783980985999</v>
      </c>
      <c r="AI2588">
        <v>93.247660403552004</v>
      </c>
      <c r="AJ2588">
        <v>91.137273563662603</v>
      </c>
      <c r="AK2588">
        <v>19.502941684435399</v>
      </c>
    </row>
    <row r="2589" spans="1:37" x14ac:dyDescent="0.2">
      <c r="A2589" t="str">
        <f>"20200111160205761"</f>
        <v>20200111160205761</v>
      </c>
      <c r="B2589" t="str">
        <f>"1578729725754677"</f>
        <v>1578729725754677</v>
      </c>
      <c r="C2589" t="s">
        <v>37</v>
      </c>
      <c r="D2589">
        <v>5.7837009999999998</v>
      </c>
      <c r="E2589">
        <v>0.50383999999999995</v>
      </c>
      <c r="F2589" t="s">
        <v>57</v>
      </c>
      <c r="G2589">
        <v>-337.0616</v>
      </c>
      <c r="H2589" s="1">
        <v>2.2083000000000001E-6</v>
      </c>
      <c r="I2589">
        <v>214.90719999999999</v>
      </c>
      <c r="J2589">
        <v>-355.91820000000001</v>
      </c>
      <c r="K2589">
        <v>1.104881</v>
      </c>
      <c r="L2589">
        <v>214.2655</v>
      </c>
      <c r="M2589">
        <v>0.99980159999999996</v>
      </c>
      <c r="N2589">
        <v>0</v>
      </c>
      <c r="O2589">
        <v>1.461631E-2</v>
      </c>
      <c r="P2589">
        <v>0.99908509999999995</v>
      </c>
      <c r="Q2589">
        <v>1.9218799999999901E-2</v>
      </c>
      <c r="R2589">
        <v>3.8212280000000001E-2</v>
      </c>
      <c r="S2589">
        <v>3.002075</v>
      </c>
      <c r="T2589">
        <v>-0.17392949999999999</v>
      </c>
      <c r="U2589">
        <v>0.1015472</v>
      </c>
      <c r="V2589">
        <v>-2.361415E-2</v>
      </c>
      <c r="W2589">
        <v>3.2747440000000003E-2</v>
      </c>
      <c r="X2589">
        <v>0.99918469999999904</v>
      </c>
      <c r="Y2589">
        <v>-1.9185790000000001E-2</v>
      </c>
      <c r="Z2589">
        <v>-2.907144E-4</v>
      </c>
      <c r="AA2589">
        <v>0.99981589999999998</v>
      </c>
      <c r="AB2589">
        <v>21</v>
      </c>
      <c r="AC2589">
        <v>18.8566</v>
      </c>
      <c r="AD2589">
        <v>-1.1048787917</v>
      </c>
      <c r="AE2589">
        <v>0.64169999999998595</v>
      </c>
      <c r="AF2589">
        <v>-0.36474149633855901</v>
      </c>
      <c r="AG2589">
        <v>-1.1048787917</v>
      </c>
      <c r="AH2589">
        <v>18.799497160517099</v>
      </c>
      <c r="AI2589">
        <v>93.362871034409807</v>
      </c>
      <c r="AJ2589">
        <v>91.111493917919702</v>
      </c>
      <c r="AK2589">
        <v>18.835468855109202</v>
      </c>
    </row>
    <row r="2590" spans="1:37" x14ac:dyDescent="0.2">
      <c r="A2590" t="str">
        <f>"20200111160205805"</f>
        <v>20200111160205805</v>
      </c>
      <c r="B2590" t="str">
        <f>"1578729725794691"</f>
        <v>1578729725794691</v>
      </c>
      <c r="C2590" t="s">
        <v>37</v>
      </c>
      <c r="D2590">
        <v>5.5091099999999997</v>
      </c>
      <c r="E2590">
        <v>0.50407360000000001</v>
      </c>
      <c r="F2590" t="s">
        <v>57</v>
      </c>
      <c r="G2590">
        <v>-338.1705</v>
      </c>
      <c r="H2590" s="1">
        <v>2.800082E-6</v>
      </c>
      <c r="I2590">
        <v>214.86940000000001</v>
      </c>
      <c r="J2590">
        <v>-355.51609999999999</v>
      </c>
      <c r="K2590">
        <v>1.1048260000000001</v>
      </c>
      <c r="L2590">
        <v>214.27199999999999</v>
      </c>
      <c r="M2590">
        <v>0.99979379999999995</v>
      </c>
      <c r="N2590">
        <v>0</v>
      </c>
      <c r="O2590">
        <v>1.513552E-2</v>
      </c>
      <c r="P2590">
        <v>0.99908039999999998</v>
      </c>
      <c r="Q2590">
        <v>1.6380970000000002E-2</v>
      </c>
      <c r="R2590">
        <v>3.9622350000000001E-2</v>
      </c>
      <c r="S2590">
        <v>3.0024109999999999</v>
      </c>
      <c r="T2590">
        <v>-0.18691440000000001</v>
      </c>
      <c r="U2590">
        <v>0.1021729</v>
      </c>
      <c r="V2590">
        <v>-2.4504419999999999E-2</v>
      </c>
      <c r="W2590">
        <v>2.9905930000000001E-2</v>
      </c>
      <c r="X2590">
        <v>0.99925229999999998</v>
      </c>
      <c r="Y2590">
        <v>-1.887132E-2</v>
      </c>
      <c r="Z2590">
        <v>-3.5439679999999999E-4</v>
      </c>
      <c r="AA2590">
        <v>0.99982179999999998</v>
      </c>
      <c r="AB2590">
        <v>21</v>
      </c>
      <c r="AC2590">
        <v>17.345599999999902</v>
      </c>
      <c r="AD2590">
        <v>-1.104823199918</v>
      </c>
      <c r="AE2590">
        <v>0.59739999999999305</v>
      </c>
      <c r="AF2590">
        <v>-0.33342172407623999</v>
      </c>
      <c r="AG2590">
        <v>-1.104823199918</v>
      </c>
      <c r="AH2590">
        <v>17.282622674306701</v>
      </c>
      <c r="AI2590">
        <v>93.657081395832407</v>
      </c>
      <c r="AJ2590">
        <v>91.105230866433303</v>
      </c>
      <c r="AK2590">
        <v>17.3211099774704</v>
      </c>
    </row>
    <row r="2591" spans="1:37" x14ac:dyDescent="0.2">
      <c r="A2591" t="str">
        <f>"20200111160205826"</f>
        <v>20200111160205826</v>
      </c>
      <c r="B2591" t="str">
        <f>"1578729725814211"</f>
        <v>1578729725814211</v>
      </c>
      <c r="C2591" t="s">
        <v>37</v>
      </c>
      <c r="D2591">
        <v>6.3148910000000003</v>
      </c>
      <c r="E2591">
        <v>0.50417809999999996</v>
      </c>
      <c r="F2591" t="s">
        <v>57</v>
      </c>
      <c r="G2591">
        <v>-339.8288</v>
      </c>
      <c r="H2591" s="1">
        <v>3.684599E-6</v>
      </c>
      <c r="I2591">
        <v>214.8229</v>
      </c>
      <c r="J2591">
        <v>-355.32319999999999</v>
      </c>
      <c r="K2591">
        <v>1.104797</v>
      </c>
      <c r="L2591">
        <v>214.27529999999999</v>
      </c>
      <c r="M2591">
        <v>0.99979010000000001</v>
      </c>
      <c r="N2591">
        <v>0</v>
      </c>
      <c r="O2591">
        <v>1.5379200000000001E-2</v>
      </c>
      <c r="P2591">
        <v>0.99907299999999999</v>
      </c>
      <c r="Q2591">
        <v>1.504519E-2</v>
      </c>
      <c r="R2591">
        <v>4.0332920000000001E-2</v>
      </c>
      <c r="S2591">
        <v>3.002014</v>
      </c>
      <c r="T2591">
        <v>-0.21142549999999999</v>
      </c>
      <c r="U2591">
        <v>0.105423</v>
      </c>
      <c r="V2591">
        <v>-2.4970429999999998E-2</v>
      </c>
      <c r="W2591">
        <v>2.85685E-2</v>
      </c>
      <c r="X2591">
        <v>0.9992799</v>
      </c>
      <c r="Y2591">
        <v>-1.970978E-2</v>
      </c>
      <c r="Z2591">
        <v>-3.8845889999999998E-4</v>
      </c>
      <c r="AA2591">
        <v>0.99980569999999902</v>
      </c>
      <c r="AB2591">
        <v>20</v>
      </c>
      <c r="AC2591">
        <v>15.494399999999899</v>
      </c>
      <c r="AD2591">
        <v>-1.1047933154009999</v>
      </c>
      <c r="AE2591">
        <v>0.54760000000001696</v>
      </c>
      <c r="AF2591">
        <v>-0.30765969802780302</v>
      </c>
      <c r="AG2591">
        <v>-1.1047933154009999</v>
      </c>
      <c r="AH2591">
        <v>15.422677270402099</v>
      </c>
      <c r="AI2591">
        <v>94.096534224424403</v>
      </c>
      <c r="AJ2591">
        <v>91.142814843864699</v>
      </c>
      <c r="AK2591">
        <v>15.4652577394146</v>
      </c>
    </row>
    <row r="2592" spans="1:37" x14ac:dyDescent="0.2">
      <c r="A2592" t="str">
        <f>"20200111160205848"</f>
        <v>20200111160205848</v>
      </c>
      <c r="B2592" t="str">
        <f>"1578729725843999"</f>
        <v>1578729725843999</v>
      </c>
      <c r="C2592" t="s">
        <v>37</v>
      </c>
      <c r="D2592">
        <v>5.792484</v>
      </c>
      <c r="E2592">
        <v>0.50434089999999998</v>
      </c>
      <c r="F2592" t="s">
        <v>57</v>
      </c>
      <c r="G2592">
        <v>-339.8811</v>
      </c>
      <c r="H2592" s="1">
        <v>3.71230399999999E-6</v>
      </c>
      <c r="I2592">
        <v>214.82579999999999</v>
      </c>
      <c r="J2592">
        <v>-355.1155</v>
      </c>
      <c r="K2592">
        <v>1.104776</v>
      </c>
      <c r="L2592">
        <v>214.27879999999999</v>
      </c>
      <c r="M2592">
        <v>0.99978609999999901</v>
      </c>
      <c r="N2592">
        <v>0</v>
      </c>
      <c r="O2592">
        <v>1.5634889999999999E-2</v>
      </c>
      <c r="P2592">
        <v>0.99904969999999904</v>
      </c>
      <c r="Q2592">
        <v>1.570278E-2</v>
      </c>
      <c r="R2592">
        <v>4.0658550000000002E-2</v>
      </c>
      <c r="S2592">
        <v>3.001709</v>
      </c>
      <c r="T2592">
        <v>-0.21475520000000001</v>
      </c>
      <c r="U2592">
        <v>0.10700989999999901</v>
      </c>
      <c r="V2592">
        <v>-2.504143E-2</v>
      </c>
      <c r="W2592">
        <v>2.9223880000000001E-2</v>
      </c>
      <c r="X2592">
        <v>0.99925919999999901</v>
      </c>
      <c r="Y2592">
        <v>-1.998517E-2</v>
      </c>
      <c r="Z2592">
        <v>-4.0302289999999999E-4</v>
      </c>
      <c r="AA2592">
        <v>0.99980020000000003</v>
      </c>
      <c r="AB2592">
        <v>20</v>
      </c>
      <c r="AC2592">
        <v>15.2343999999999</v>
      </c>
      <c r="AD2592">
        <v>-1.104772287696</v>
      </c>
      <c r="AE2592">
        <v>0.54699999999999704</v>
      </c>
      <c r="AF2592">
        <v>-0.30711014317496599</v>
      </c>
      <c r="AG2592">
        <v>-1.104772287696</v>
      </c>
      <c r="AH2592">
        <v>15.1614606592415</v>
      </c>
      <c r="AI2592">
        <v>94.166762174099603</v>
      </c>
      <c r="AJ2592">
        <v>91.160423091755604</v>
      </c>
      <c r="AK2592">
        <v>15.2047600365619</v>
      </c>
    </row>
    <row r="2593" spans="1:37" x14ac:dyDescent="0.2">
      <c r="A2593" t="str">
        <f>"20200111160205869"</f>
        <v>20200111160205869</v>
      </c>
      <c r="B2593" t="str">
        <f>"1578729725864497"</f>
        <v>1578729725864497</v>
      </c>
      <c r="C2593" t="s">
        <v>37</v>
      </c>
      <c r="D2593">
        <v>5.7166180000000004</v>
      </c>
      <c r="E2593">
        <v>0.50463499999999994</v>
      </c>
      <c r="F2593" t="s">
        <v>57</v>
      </c>
      <c r="G2593">
        <v>-339.64159999999998</v>
      </c>
      <c r="H2593" s="1">
        <v>3.5846499999999899E-6</v>
      </c>
      <c r="I2593">
        <v>214.8304</v>
      </c>
      <c r="J2593">
        <v>-354.93020000000001</v>
      </c>
      <c r="K2593">
        <v>1.1047579999999999</v>
      </c>
      <c r="L2593">
        <v>214.28200000000001</v>
      </c>
      <c r="M2593">
        <v>0.99978289999999903</v>
      </c>
      <c r="N2593">
        <v>0</v>
      </c>
      <c r="O2593">
        <v>1.5852229999999998E-2</v>
      </c>
      <c r="P2593">
        <v>0.99902749999999996</v>
      </c>
      <c r="Q2593">
        <v>1.662748E-2</v>
      </c>
      <c r="R2593">
        <v>4.0838470000000002E-2</v>
      </c>
      <c r="S2593">
        <v>3.0018919999999998</v>
      </c>
      <c r="T2593">
        <v>-0.2143226</v>
      </c>
      <c r="U2593">
        <v>0.1070251</v>
      </c>
      <c r="V2593">
        <v>-2.5003580000000001E-2</v>
      </c>
      <c r="W2593">
        <v>3.0146619999999999E-2</v>
      </c>
      <c r="X2593">
        <v>0.99923269999999997</v>
      </c>
      <c r="Y2593">
        <v>-1.977187E-2</v>
      </c>
      <c r="Z2593">
        <v>-4.252808E-4</v>
      </c>
      <c r="AA2593">
        <v>0.99980440000000004</v>
      </c>
      <c r="AB2593">
        <v>20</v>
      </c>
      <c r="AC2593">
        <v>15.288600000000001</v>
      </c>
      <c r="AD2593">
        <v>-1.10475441535</v>
      </c>
      <c r="AE2593">
        <v>0.54839999999998601</v>
      </c>
      <c r="AF2593">
        <v>-0.304363319323323</v>
      </c>
      <c r="AG2593">
        <v>-1.10475441535</v>
      </c>
      <c r="AH2593">
        <v>15.216024206933399</v>
      </c>
      <c r="AI2593">
        <v>94.151826958081003</v>
      </c>
      <c r="AJ2593">
        <v>91.145924069111999</v>
      </c>
      <c r="AK2593">
        <v>15.2591124255104</v>
      </c>
    </row>
    <row r="2594" spans="1:37" x14ac:dyDescent="0.2">
      <c r="A2594" t="str">
        <f>"20200111160205892"</f>
        <v>20200111160205892</v>
      </c>
      <c r="B2594" t="str">
        <f>"1578729725884015"</f>
        <v>1578729725884015</v>
      </c>
      <c r="C2594" t="s">
        <v>37</v>
      </c>
      <c r="D2594">
        <v>5.7627389999999998</v>
      </c>
      <c r="E2594">
        <v>0.50488089999999997</v>
      </c>
      <c r="F2594" t="s">
        <v>57</v>
      </c>
      <c r="G2594">
        <v>-339.68090000000001</v>
      </c>
      <c r="H2594" s="1">
        <v>3.606119E-6</v>
      </c>
      <c r="I2594">
        <v>214.8177</v>
      </c>
      <c r="J2594">
        <v>-354.72109999999998</v>
      </c>
      <c r="K2594">
        <v>1.104741</v>
      </c>
      <c r="L2594">
        <v>214.28559999999999</v>
      </c>
      <c r="M2594">
        <v>0.99977919999999998</v>
      </c>
      <c r="N2594">
        <v>0</v>
      </c>
      <c r="O2594">
        <v>1.6077830000000001E-2</v>
      </c>
      <c r="P2594">
        <v>0.99901849999999903</v>
      </c>
      <c r="Q2594">
        <v>1.704994E-2</v>
      </c>
      <c r="R2594">
        <v>4.0885560000000001E-2</v>
      </c>
      <c r="S2594">
        <v>3.0022279999999899</v>
      </c>
      <c r="T2594">
        <v>-0.2175</v>
      </c>
      <c r="U2594">
        <v>0.10548399999999999</v>
      </c>
      <c r="V2594">
        <v>-2.4824590000000001E-2</v>
      </c>
      <c r="W2594">
        <v>3.0567960000000002E-2</v>
      </c>
      <c r="X2594">
        <v>0.99922440000000001</v>
      </c>
      <c r="Y2594">
        <v>-1.9031929999999999E-2</v>
      </c>
      <c r="Z2594">
        <v>-4.7460070000000001E-4</v>
      </c>
      <c r="AA2594">
        <v>0.99981869999999995</v>
      </c>
      <c r="AB2594">
        <v>20</v>
      </c>
      <c r="AC2594">
        <v>15.040199999999899</v>
      </c>
      <c r="AD2594">
        <v>-1.1047373938809999</v>
      </c>
      <c r="AE2594">
        <v>0.53210000000001401</v>
      </c>
      <c r="AF2594">
        <v>-0.28863996000516101</v>
      </c>
      <c r="AG2594">
        <v>-1.1047373938809999</v>
      </c>
      <c r="AH2594">
        <v>14.9661662523967</v>
      </c>
      <c r="AI2594">
        <v>94.220887024148297</v>
      </c>
      <c r="AJ2594">
        <v>91.104878913791595</v>
      </c>
      <c r="AK2594">
        <v>15.0096598905614</v>
      </c>
    </row>
    <row r="2595" spans="1:37" x14ac:dyDescent="0.2">
      <c r="A2595" t="str">
        <f>"20200111160205916"</f>
        <v>20200111160205916</v>
      </c>
      <c r="B2595" t="str">
        <f>"1578729725904510"</f>
        <v>1578729725904510</v>
      </c>
      <c r="C2595" t="s">
        <v>37</v>
      </c>
      <c r="D2595">
        <v>5.8527769999999997</v>
      </c>
      <c r="E2595">
        <v>0.50512060000000003</v>
      </c>
      <c r="F2595" t="s">
        <v>57</v>
      </c>
      <c r="G2595">
        <v>-339.72379999999998</v>
      </c>
      <c r="H2595" s="1">
        <v>3.6294470000000002E-6</v>
      </c>
      <c r="I2595">
        <v>214.80520000000001</v>
      </c>
      <c r="J2595">
        <v>-354.50819999999999</v>
      </c>
      <c r="K2595">
        <v>1.104727</v>
      </c>
      <c r="L2595">
        <v>214.2893</v>
      </c>
      <c r="M2595">
        <v>0.99977590000000005</v>
      </c>
      <c r="N2595">
        <v>0</v>
      </c>
      <c r="O2595">
        <v>1.6278830000000001E-2</v>
      </c>
      <c r="P2595">
        <v>0.99901609999999996</v>
      </c>
      <c r="Q2595">
        <v>1.6740970000000001E-2</v>
      </c>
      <c r="R2595">
        <v>4.1067340000000001E-2</v>
      </c>
      <c r="S2595">
        <v>3.002472</v>
      </c>
      <c r="T2595">
        <v>-0.221168899999999</v>
      </c>
      <c r="U2595">
        <v>0.10401920000000001</v>
      </c>
      <c r="V2595">
        <v>-2.4804340000000001E-2</v>
      </c>
      <c r="W2595">
        <v>3.0257679999999999E-2</v>
      </c>
      <c r="X2595">
        <v>0.99923430000000002</v>
      </c>
      <c r="Y2595">
        <v>-1.834301E-2</v>
      </c>
      <c r="Z2595">
        <v>-5.2266279999999997E-4</v>
      </c>
      <c r="AA2595">
        <v>0.99983159999999904</v>
      </c>
      <c r="AB2595">
        <v>20</v>
      </c>
      <c r="AC2595">
        <v>14.7844</v>
      </c>
      <c r="AD2595">
        <v>-1.104723370553</v>
      </c>
      <c r="AE2595">
        <v>0.51590000000001601</v>
      </c>
      <c r="AF2595">
        <v>-0.27361102414855398</v>
      </c>
      <c r="AG2595">
        <v>-1.104723370553</v>
      </c>
      <c r="AH2595">
        <v>14.708814103158</v>
      </c>
      <c r="AI2595">
        <v>94.294464814876093</v>
      </c>
      <c r="AJ2595">
        <v>91.065684084101704</v>
      </c>
      <c r="AK2595">
        <v>14.7527790276694</v>
      </c>
    </row>
    <row r="2596" spans="1:37" x14ac:dyDescent="0.2">
      <c r="A2596" t="str">
        <f>"20200111160205937"</f>
        <v>20200111160205937</v>
      </c>
      <c r="B2596" t="str">
        <f>"1578729725934298"</f>
        <v>1578729725934298</v>
      </c>
      <c r="C2596" t="s">
        <v>37</v>
      </c>
      <c r="D2596">
        <v>5.7792430000000001</v>
      </c>
      <c r="E2596">
        <v>0.5054054</v>
      </c>
      <c r="F2596" t="s">
        <v>57</v>
      </c>
      <c r="G2596">
        <v>-339.86759999999998</v>
      </c>
      <c r="H2596" s="1">
        <v>3.70669699999999E-6</v>
      </c>
      <c r="I2596">
        <v>214.78880000000001</v>
      </c>
      <c r="J2596">
        <v>-354.31290000000001</v>
      </c>
      <c r="K2596">
        <v>1.1047089999999999</v>
      </c>
      <c r="L2596">
        <v>214.2927</v>
      </c>
      <c r="M2596">
        <v>0.99977349999999998</v>
      </c>
      <c r="N2596">
        <v>0</v>
      </c>
      <c r="O2596">
        <v>1.643791E-2</v>
      </c>
      <c r="P2596">
        <v>0.99898319999999996</v>
      </c>
      <c r="Q2596">
        <v>1.7071090000000001E-2</v>
      </c>
      <c r="R2596">
        <v>4.1731400000000002E-2</v>
      </c>
      <c r="S2596">
        <v>3.0025019999999998</v>
      </c>
      <c r="T2596">
        <v>-0.22655639999999999</v>
      </c>
      <c r="U2596">
        <v>0.1024475</v>
      </c>
      <c r="V2596">
        <v>-2.5307710000000001E-2</v>
      </c>
      <c r="W2596">
        <v>3.058607E-2</v>
      </c>
      <c r="X2596">
        <v>0.99921170000000004</v>
      </c>
      <c r="Y2596">
        <v>-1.766293E-2</v>
      </c>
      <c r="Z2596">
        <v>-5.729544E-4</v>
      </c>
      <c r="AA2596">
        <v>0.99984379999999995</v>
      </c>
      <c r="AB2596">
        <v>20</v>
      </c>
      <c r="AC2596">
        <v>14.4453</v>
      </c>
      <c r="AD2596">
        <v>-1.1047052933029999</v>
      </c>
      <c r="AE2596">
        <v>0.49610000000001198</v>
      </c>
      <c r="AF2596">
        <v>-0.25705909574584901</v>
      </c>
      <c r="AG2596">
        <v>-1.1047052933029999</v>
      </c>
      <c r="AH2596">
        <v>14.367574659404401</v>
      </c>
      <c r="AI2596">
        <v>94.396051069897595</v>
      </c>
      <c r="AJ2596">
        <v>91.025004592204596</v>
      </c>
      <c r="AK2596">
        <v>14.412274447751701</v>
      </c>
    </row>
    <row r="2597" spans="1:37" x14ac:dyDescent="0.2">
      <c r="A2597" t="str">
        <f>"20200111160205957"</f>
        <v>20200111160205957</v>
      </c>
      <c r="B2597" t="str">
        <f>"1578729725954795"</f>
        <v>1578729725954795</v>
      </c>
      <c r="C2597" t="s">
        <v>37</v>
      </c>
      <c r="D2597">
        <v>5.7696809999999896</v>
      </c>
      <c r="E2597">
        <v>0.50554290000000002</v>
      </c>
      <c r="F2597" t="s">
        <v>57</v>
      </c>
      <c r="G2597">
        <v>-340.00790000000001</v>
      </c>
      <c r="H2597" s="1">
        <v>-1.5325599999999999E-6</v>
      </c>
      <c r="I2597">
        <v>214.77940000000001</v>
      </c>
      <c r="J2597">
        <v>-354.1234</v>
      </c>
      <c r="K2597">
        <v>1.1046769999999999</v>
      </c>
      <c r="L2597">
        <v>214.29599999999999</v>
      </c>
      <c r="M2597">
        <v>0.99977190000000005</v>
      </c>
      <c r="N2597">
        <v>0</v>
      </c>
      <c r="O2597">
        <v>1.6554929999999999E-2</v>
      </c>
      <c r="P2597">
        <v>0.99892839999999905</v>
      </c>
      <c r="Q2597">
        <v>1.7575009999999999E-2</v>
      </c>
      <c r="R2597">
        <v>4.281211E-2</v>
      </c>
      <c r="S2597">
        <v>3.0027469999999998</v>
      </c>
      <c r="T2597">
        <v>-0.231889399999999</v>
      </c>
      <c r="U2597">
        <v>0.1021576</v>
      </c>
      <c r="V2597">
        <v>-2.6270720000000001E-2</v>
      </c>
      <c r="W2597">
        <v>3.105457E-2</v>
      </c>
      <c r="X2597">
        <v>0.99917239999999996</v>
      </c>
      <c r="Y2597">
        <v>-1.7447529999999999E-2</v>
      </c>
      <c r="Z2597">
        <v>-6.0367820000000003E-4</v>
      </c>
      <c r="AA2597">
        <v>0.99984759999999995</v>
      </c>
      <c r="AB2597">
        <v>20</v>
      </c>
      <c r="AC2597">
        <v>14.1154999999999</v>
      </c>
      <c r="AD2597">
        <v>-1.1046785325599999</v>
      </c>
      <c r="AE2597">
        <v>0.48340000000001698</v>
      </c>
      <c r="AF2597">
        <v>-0.248113528293398</v>
      </c>
      <c r="AG2597">
        <v>-1.1046785325599999</v>
      </c>
      <c r="AH2597">
        <v>14.0357059143442</v>
      </c>
      <c r="AI2597">
        <v>94.499480547674807</v>
      </c>
      <c r="AJ2597">
        <v>91.012729791951401</v>
      </c>
      <c r="AK2597">
        <v>14.081296655392901</v>
      </c>
    </row>
    <row r="2598" spans="1:37" x14ac:dyDescent="0.2">
      <c r="A2598" t="str">
        <f>"20200111160205981"</f>
        <v>20200111160205981</v>
      </c>
      <c r="B2598" t="str">
        <f>"1578729725974315"</f>
        <v>1578729725974315</v>
      </c>
      <c r="C2598" t="s">
        <v>37</v>
      </c>
      <c r="D2598">
        <v>6.5590099999999998</v>
      </c>
      <c r="E2598">
        <v>0.50561009999999995</v>
      </c>
      <c r="F2598" t="s">
        <v>57</v>
      </c>
      <c r="G2598">
        <v>-339.98739999999998</v>
      </c>
      <c r="H2598" s="1">
        <v>-1.543488E-6</v>
      </c>
      <c r="I2598">
        <v>214.78450000000001</v>
      </c>
      <c r="J2598">
        <v>-353.91109999999998</v>
      </c>
      <c r="K2598">
        <v>1.1046020000000001</v>
      </c>
      <c r="L2598">
        <v>214.2996</v>
      </c>
      <c r="M2598">
        <v>0.99977299999999902</v>
      </c>
      <c r="N2598">
        <v>0</v>
      </c>
      <c r="O2598">
        <v>1.6628609999999999E-2</v>
      </c>
      <c r="P2598">
        <v>0.99883099999999903</v>
      </c>
      <c r="Q2598">
        <v>1.7296099999999998E-2</v>
      </c>
      <c r="R2598">
        <v>4.5143210000000003E-2</v>
      </c>
      <c r="S2598">
        <v>3.002869</v>
      </c>
      <c r="T2598">
        <v>-0.2346646</v>
      </c>
      <c r="U2598">
        <v>0.10377500000000001</v>
      </c>
      <c r="V2598">
        <v>-2.85269999999999E-2</v>
      </c>
      <c r="W2598">
        <v>3.0613230000000002E-2</v>
      </c>
      <c r="X2598">
        <v>0.99912409999999996</v>
      </c>
      <c r="Y2598">
        <v>-1.790918E-2</v>
      </c>
      <c r="Z2598">
        <v>-5.9858649999999997E-4</v>
      </c>
      <c r="AA2598">
        <v>0.99983940000000004</v>
      </c>
      <c r="AB2598">
        <v>20</v>
      </c>
      <c r="AC2598">
        <v>13.923699999999901</v>
      </c>
      <c r="AD2598">
        <v>-1.1046035434879999</v>
      </c>
      <c r="AE2598">
        <v>0.48490000000000999</v>
      </c>
      <c r="AF2598">
        <v>-0.25169843594982699</v>
      </c>
      <c r="AG2598">
        <v>-1.1046035434879999</v>
      </c>
      <c r="AH2598">
        <v>13.842821893961601</v>
      </c>
      <c r="AI2598">
        <v>94.561563371030601</v>
      </c>
      <c r="AJ2598">
        <v>91.041671218506707</v>
      </c>
      <c r="AK2598">
        <v>13.889104329613501</v>
      </c>
    </row>
    <row r="2599" spans="1:37" x14ac:dyDescent="0.2">
      <c r="A2599" t="str">
        <f>"20200111160206004"</f>
        <v>20200111160206004</v>
      </c>
      <c r="B2599" t="str">
        <f>"1578729725994810"</f>
        <v>1578729725994810</v>
      </c>
      <c r="C2599" t="s">
        <v>37</v>
      </c>
      <c r="D2599">
        <v>5.696942</v>
      </c>
      <c r="E2599">
        <v>0.50566750000000005</v>
      </c>
      <c r="F2599" t="s">
        <v>57</v>
      </c>
      <c r="G2599">
        <v>-339.6454</v>
      </c>
      <c r="H2599" s="1">
        <v>3.5870999999999999E-6</v>
      </c>
      <c r="I2599">
        <v>214.81989999999999</v>
      </c>
      <c r="J2599">
        <v>-353.70359999999999</v>
      </c>
      <c r="K2599">
        <v>1.104498</v>
      </c>
      <c r="L2599">
        <v>214.3032</v>
      </c>
      <c r="M2599">
        <v>0.99977669999999996</v>
      </c>
      <c r="N2599">
        <v>0</v>
      </c>
      <c r="O2599">
        <v>1.6652380000000001E-2</v>
      </c>
      <c r="P2599">
        <v>0.9987144</v>
      </c>
      <c r="Q2599">
        <v>1.753598E-2</v>
      </c>
      <c r="R2599">
        <v>4.7560770000000002E-2</v>
      </c>
      <c r="S2599">
        <v>3.00259399999999</v>
      </c>
      <c r="T2599">
        <v>-0.232490999999999</v>
      </c>
      <c r="U2599">
        <v>0.10951230000000001</v>
      </c>
      <c r="V2599">
        <v>-3.0920030000000001E-2</v>
      </c>
      <c r="W2599">
        <v>3.0546980000000001E-2</v>
      </c>
      <c r="X2599">
        <v>0.99905499999999903</v>
      </c>
      <c r="Y2599">
        <v>-1.9791179999999998E-2</v>
      </c>
      <c r="Z2599">
        <v>-5.2219059999999995E-4</v>
      </c>
      <c r="AA2599">
        <v>0.99980400000000003</v>
      </c>
      <c r="AB2599">
        <v>20</v>
      </c>
      <c r="AC2599">
        <v>14.058199999999999</v>
      </c>
      <c r="AD2599">
        <v>-1.1044944129000001</v>
      </c>
      <c r="AE2599">
        <v>0.51669999999998595</v>
      </c>
      <c r="AF2599">
        <v>-0.280775266974851</v>
      </c>
      <c r="AG2599">
        <v>-1.1044944129000001</v>
      </c>
      <c r="AH2599">
        <v>13.9786870296379</v>
      </c>
      <c r="AI2599">
        <v>94.516803675116606</v>
      </c>
      <c r="AJ2599">
        <v>91.150685671496603</v>
      </c>
      <c r="AK2599">
        <v>14.025064482248901</v>
      </c>
    </row>
    <row r="2600" spans="1:37" x14ac:dyDescent="0.2">
      <c r="A2600" t="str">
        <f>"20200111160206026"</f>
        <v>20200111160206026</v>
      </c>
      <c r="B2600" t="str">
        <f>"1578729726014330"</f>
        <v>1578729726014330</v>
      </c>
      <c r="C2600" t="s">
        <v>37</v>
      </c>
      <c r="D2600">
        <v>5.8504199999999997</v>
      </c>
      <c r="E2600">
        <v>0.50586489999999995</v>
      </c>
      <c r="F2600" t="s">
        <v>57</v>
      </c>
      <c r="G2600">
        <v>-339.13130000000001</v>
      </c>
      <c r="H2600" s="1">
        <v>3.311562E-6</v>
      </c>
      <c r="I2600">
        <v>214.86510000000001</v>
      </c>
      <c r="J2600">
        <v>-353.50510000000003</v>
      </c>
      <c r="K2600">
        <v>1.1043799999999999</v>
      </c>
      <c r="L2600">
        <v>214.3065</v>
      </c>
      <c r="M2600">
        <v>0.99978230000000001</v>
      </c>
      <c r="N2600">
        <v>0</v>
      </c>
      <c r="O2600">
        <v>1.6622129999999999E-2</v>
      </c>
      <c r="P2600">
        <v>0.9985811</v>
      </c>
      <c r="Q2600">
        <v>1.8763499999999999E-2</v>
      </c>
      <c r="R2600">
        <v>4.9840669999999997E-2</v>
      </c>
      <c r="S2600">
        <v>3.0023499999999999</v>
      </c>
      <c r="T2600">
        <v>-0.22756029999999999</v>
      </c>
      <c r="U2600">
        <v>0.11576839999999999</v>
      </c>
      <c r="V2600">
        <v>-3.322957E-2</v>
      </c>
      <c r="W2600">
        <v>3.1374850000000003E-2</v>
      </c>
      <c r="X2600">
        <v>0.99895519999999904</v>
      </c>
      <c r="Y2600">
        <v>-2.1899109999999999E-2</v>
      </c>
      <c r="Z2600">
        <v>-4.2912929999999998E-4</v>
      </c>
      <c r="AA2600">
        <v>0.99976010000000004</v>
      </c>
      <c r="AB2600">
        <v>20</v>
      </c>
      <c r="AC2600">
        <v>14.373799999999999</v>
      </c>
      <c r="AD2600">
        <v>-1.104376688438</v>
      </c>
      <c r="AE2600">
        <v>0.55860000000001198</v>
      </c>
      <c r="AF2600">
        <v>-0.31770795582995698</v>
      </c>
      <c r="AG2600">
        <v>-1.104376688438</v>
      </c>
      <c r="AH2600">
        <v>14.2968291990659</v>
      </c>
      <c r="AI2600">
        <v>94.416027479397201</v>
      </c>
      <c r="AJ2600">
        <v>91.2730325848283</v>
      </c>
      <c r="AK2600">
        <v>14.342939425460401</v>
      </c>
    </row>
    <row r="2601" spans="1:37" x14ac:dyDescent="0.2">
      <c r="A2601" t="str">
        <f>"20200111160206048"</f>
        <v>20200111160206048</v>
      </c>
      <c r="B2601" t="str">
        <f>"1578729726044118"</f>
        <v>1578729726044118</v>
      </c>
      <c r="C2601" t="s">
        <v>37</v>
      </c>
      <c r="D2601">
        <v>5.9432210000000003</v>
      </c>
      <c r="E2601">
        <v>0.50612809999999997</v>
      </c>
      <c r="F2601" t="s">
        <v>57</v>
      </c>
      <c r="G2601">
        <v>-338.72309999999999</v>
      </c>
      <c r="H2601" s="1">
        <v>3.0927749999999998E-6</v>
      </c>
      <c r="I2601">
        <v>214.90119999999999</v>
      </c>
      <c r="J2601">
        <v>-353.31</v>
      </c>
      <c r="K2601">
        <v>1.1042459999999901</v>
      </c>
      <c r="L2601">
        <v>214.30969999999999</v>
      </c>
      <c r="M2601">
        <v>0.999789699999999</v>
      </c>
      <c r="N2601">
        <v>0</v>
      </c>
      <c r="O2601">
        <v>1.6522849999999999E-2</v>
      </c>
      <c r="P2601">
        <v>0.99846840000000003</v>
      </c>
      <c r="Q2601">
        <v>1.998728E-2</v>
      </c>
      <c r="R2601">
        <v>5.1592010000000001E-2</v>
      </c>
      <c r="S2601">
        <v>3.0024410000000001</v>
      </c>
      <c r="T2601">
        <v>-0.22431579999999901</v>
      </c>
      <c r="U2601">
        <v>0.1207886</v>
      </c>
      <c r="V2601">
        <v>-3.50783E-2</v>
      </c>
      <c r="W2601">
        <v>3.2128829999999997E-2</v>
      </c>
      <c r="X2601">
        <v>0.99886799999999998</v>
      </c>
      <c r="Y2601">
        <v>-2.3661539999999998E-2</v>
      </c>
      <c r="Z2601">
        <v>-3.4986830000000003E-4</v>
      </c>
      <c r="AA2601">
        <v>0.99972000000000005</v>
      </c>
      <c r="AB2601">
        <v>20</v>
      </c>
      <c r="AC2601">
        <v>14.5869</v>
      </c>
      <c r="AD2601">
        <v>-1.10424290722499</v>
      </c>
      <c r="AE2601">
        <v>0.59149999999999603</v>
      </c>
      <c r="AF2601">
        <v>-0.348391070872346</v>
      </c>
      <c r="AG2601">
        <v>-1.10424290722499</v>
      </c>
      <c r="AH2601">
        <v>14.511657824316201</v>
      </c>
      <c r="AI2601">
        <v>94.350202327317902</v>
      </c>
      <c r="AJ2601">
        <v>91.375273901979895</v>
      </c>
      <c r="AK2601">
        <v>14.5577794167399</v>
      </c>
    </row>
    <row r="2602" spans="1:37" x14ac:dyDescent="0.2">
      <c r="A2602" t="str">
        <f>"20200111160206070"</f>
        <v>20200111160206070</v>
      </c>
      <c r="B2602" t="str">
        <f>"1578729726064615"</f>
        <v>1578729726064615</v>
      </c>
      <c r="C2602" t="s">
        <v>37</v>
      </c>
      <c r="D2602">
        <v>5.7909069999999998</v>
      </c>
      <c r="E2602">
        <v>0.50602879999999995</v>
      </c>
      <c r="F2602" t="s">
        <v>57</v>
      </c>
      <c r="G2602">
        <v>-338.46510000000001</v>
      </c>
      <c r="H2602" s="1">
        <v>2.9545919999999998E-6</v>
      </c>
      <c r="I2602">
        <v>214.9205</v>
      </c>
      <c r="J2602">
        <v>-353.0951</v>
      </c>
      <c r="K2602">
        <v>1.1040859999999999</v>
      </c>
      <c r="L2602">
        <v>214.31309999999999</v>
      </c>
      <c r="M2602">
        <v>0.99980029999999998</v>
      </c>
      <c r="N2602">
        <v>0</v>
      </c>
      <c r="O2602">
        <v>1.631432E-2</v>
      </c>
      <c r="P2602">
        <v>0.99842169999999897</v>
      </c>
      <c r="Q2602">
        <v>2.1045379999999999E-2</v>
      </c>
      <c r="R2602">
        <v>5.2071230000000003E-2</v>
      </c>
      <c r="S2602">
        <v>3.0026860000000002</v>
      </c>
      <c r="T2602">
        <v>-0.2233551</v>
      </c>
      <c r="U2602">
        <v>0.123535199999999</v>
      </c>
      <c r="V2602">
        <v>-3.5761710000000002E-2</v>
      </c>
      <c r="W2602">
        <v>3.2593980000000002E-2</v>
      </c>
      <c r="X2602">
        <v>0.99882870000000001</v>
      </c>
      <c r="Y2602">
        <v>-2.4776360000000001E-2</v>
      </c>
      <c r="Z2602">
        <v>-2.9145939999999899E-4</v>
      </c>
      <c r="AA2602">
        <v>0.99969300000000005</v>
      </c>
      <c r="AB2602">
        <v>20</v>
      </c>
      <c r="AC2602">
        <v>14.6299999999999</v>
      </c>
      <c r="AD2602">
        <v>-1.104083045408</v>
      </c>
      <c r="AE2602">
        <v>0.60740000000001204</v>
      </c>
      <c r="AF2602">
        <v>-0.36654079328600297</v>
      </c>
      <c r="AG2602">
        <v>-1.104083045408</v>
      </c>
      <c r="AH2602">
        <v>14.555209347160099</v>
      </c>
      <c r="AI2602">
        <v>94.336485275414603</v>
      </c>
      <c r="AJ2602">
        <v>91.442562740900001</v>
      </c>
      <c r="AK2602">
        <v>14.6016256171687</v>
      </c>
    </row>
    <row r="2603" spans="1:37" x14ac:dyDescent="0.2">
      <c r="A2603" t="str">
        <f>"20200111160206094"</f>
        <v>20200111160206094</v>
      </c>
      <c r="B2603" t="str">
        <f>"1578729726084134"</f>
        <v>1578729726084134</v>
      </c>
      <c r="C2603" t="s">
        <v>37</v>
      </c>
      <c r="D2603">
        <v>5.770295</v>
      </c>
      <c r="E2603">
        <v>0.50603999999999905</v>
      </c>
      <c r="F2603" t="s">
        <v>57</v>
      </c>
      <c r="G2603">
        <v>-338.09960000000001</v>
      </c>
      <c r="H2603" s="1">
        <v>2.7591800000000001E-6</v>
      </c>
      <c r="I2603">
        <v>214.9418</v>
      </c>
      <c r="J2603">
        <v>-352.87650000000002</v>
      </c>
      <c r="K2603">
        <v>1.1039159999999999</v>
      </c>
      <c r="L2603">
        <v>214.31639999999999</v>
      </c>
      <c r="M2603">
        <v>0.99981319999999996</v>
      </c>
      <c r="N2603">
        <v>0</v>
      </c>
      <c r="O2603">
        <v>1.5984749999999999E-2</v>
      </c>
      <c r="P2603">
        <v>0.9984016</v>
      </c>
      <c r="Q2603">
        <v>2.2951869999999999E-2</v>
      </c>
      <c r="R2603">
        <v>5.1649670000000002E-2</v>
      </c>
      <c r="S2603">
        <v>3.0028380000000001</v>
      </c>
      <c r="T2603">
        <v>-0.22109129999999999</v>
      </c>
      <c r="U2603">
        <v>0.12590029999999999</v>
      </c>
      <c r="V2603">
        <v>-3.5663550000000002E-2</v>
      </c>
      <c r="W2603">
        <v>3.3837359999999997E-2</v>
      </c>
      <c r="X2603">
        <v>0.99879089999999904</v>
      </c>
      <c r="Y2603">
        <v>-2.588652E-2</v>
      </c>
      <c r="Z2603">
        <v>-2.2346970000000001E-4</v>
      </c>
      <c r="AA2603">
        <v>0.99966480000000002</v>
      </c>
      <c r="AB2603">
        <v>21</v>
      </c>
      <c r="AC2603">
        <v>14.776899999999999</v>
      </c>
      <c r="AD2603">
        <v>-1.1039132408200001</v>
      </c>
      <c r="AE2603">
        <v>0.62540000000001295</v>
      </c>
      <c r="AF2603">
        <v>-0.386945453369541</v>
      </c>
      <c r="AG2603">
        <v>-1.1039132408200001</v>
      </c>
      <c r="AH2603">
        <v>14.7030996528052</v>
      </c>
      <c r="AI2603">
        <v>94.2922482471254</v>
      </c>
      <c r="AJ2603">
        <v>91.507520566800295</v>
      </c>
      <c r="AK2603">
        <v>14.7495589977281</v>
      </c>
    </row>
    <row r="2604" spans="1:37" x14ac:dyDescent="0.2">
      <c r="A2604" t="str">
        <f>"20200111160206118"</f>
        <v>20200111160206118</v>
      </c>
      <c r="B2604" t="str">
        <f>"1578729726114390"</f>
        <v>1578729726114390</v>
      </c>
      <c r="C2604" t="s">
        <v>37</v>
      </c>
      <c r="D2604">
        <v>5.7496479999999996</v>
      </c>
      <c r="E2604">
        <v>0.50644089999999997</v>
      </c>
      <c r="F2604" t="s">
        <v>57</v>
      </c>
      <c r="G2604">
        <v>-337.56990000000002</v>
      </c>
      <c r="H2604" s="1">
        <v>2.4769919999999999E-6</v>
      </c>
      <c r="I2604">
        <v>214.94900000000001</v>
      </c>
      <c r="J2604">
        <v>-352.65879999999999</v>
      </c>
      <c r="K2604">
        <v>1.103769</v>
      </c>
      <c r="L2604">
        <v>214.3194</v>
      </c>
      <c r="M2604">
        <v>0.99982680000000002</v>
      </c>
      <c r="N2604">
        <v>0</v>
      </c>
      <c r="O2604">
        <v>1.556191E-2</v>
      </c>
      <c r="P2604">
        <v>0.99838280000000001</v>
      </c>
      <c r="Q2604">
        <v>2.457927E-2</v>
      </c>
      <c r="R2604">
        <v>5.126083E-2</v>
      </c>
      <c r="S2604">
        <v>3.0034179999999999</v>
      </c>
      <c r="T2604">
        <v>-0.21660639999999901</v>
      </c>
      <c r="U2604">
        <v>0.1241302</v>
      </c>
      <c r="V2604">
        <v>-3.5692380000000003E-2</v>
      </c>
      <c r="W2604">
        <v>3.4796199999999999E-2</v>
      </c>
      <c r="X2604">
        <v>0.99875689999999995</v>
      </c>
      <c r="Y2604">
        <v>-2.5713639999999999E-2</v>
      </c>
      <c r="Z2604">
        <v>-1.946897E-4</v>
      </c>
      <c r="AA2604">
        <v>0.99966929999999998</v>
      </c>
      <c r="AB2604">
        <v>21</v>
      </c>
      <c r="AC2604">
        <v>15.088899999999899</v>
      </c>
      <c r="AD2604">
        <v>-1.103766523008</v>
      </c>
      <c r="AE2604">
        <v>0.62960000000001004</v>
      </c>
      <c r="AF2604">
        <v>-0.39260222913840997</v>
      </c>
      <c r="AG2604">
        <v>-1.103766523008</v>
      </c>
      <c r="AH2604">
        <v>15.016655660817801</v>
      </c>
      <c r="AI2604">
        <v>94.202410689640203</v>
      </c>
      <c r="AJ2604">
        <v>91.497625579066593</v>
      </c>
      <c r="AK2604">
        <v>15.0622835016212</v>
      </c>
    </row>
    <row r="2605" spans="1:37" x14ac:dyDescent="0.2">
      <c r="A2605" t="str">
        <f>"20200111160206139"</f>
        <v>20200111160206139</v>
      </c>
      <c r="B2605" t="str">
        <f>"1578729726134418"</f>
        <v>1578729726134418</v>
      </c>
      <c r="C2605" t="s">
        <v>37</v>
      </c>
      <c r="D2605">
        <v>5.823645</v>
      </c>
      <c r="E2605">
        <v>0.50691929999999996</v>
      </c>
      <c r="F2605" t="s">
        <v>57</v>
      </c>
      <c r="G2605">
        <v>-337.22289999999998</v>
      </c>
      <c r="H2605" s="1">
        <v>2.2929959999999998E-6</v>
      </c>
      <c r="I2605">
        <v>214.9342</v>
      </c>
      <c r="J2605">
        <v>-352.46039999999999</v>
      </c>
      <c r="K2605">
        <v>1.1036410000000001</v>
      </c>
      <c r="L2605">
        <v>214.32210000000001</v>
      </c>
      <c r="M2605">
        <v>0.99984030000000002</v>
      </c>
      <c r="N2605">
        <v>0</v>
      </c>
      <c r="O2605">
        <v>1.5091179999999999E-2</v>
      </c>
      <c r="P2605">
        <v>0.99834560000000006</v>
      </c>
      <c r="Q2605">
        <v>2.6515449999999999E-2</v>
      </c>
      <c r="R2605">
        <v>5.1022209999999998E-2</v>
      </c>
      <c r="S2605">
        <v>3.0039980000000002</v>
      </c>
      <c r="T2605">
        <v>-0.21480540000000001</v>
      </c>
      <c r="U2605">
        <v>0.11964420000000001</v>
      </c>
      <c r="V2605">
        <v>-3.591929E-2</v>
      </c>
      <c r="W2605">
        <v>3.6120970000000002E-2</v>
      </c>
      <c r="X2605">
        <v>0.99870170000000003</v>
      </c>
      <c r="Y2605">
        <v>-2.4687850000000001E-2</v>
      </c>
      <c r="Z2605">
        <v>-1.960563E-4</v>
      </c>
      <c r="AA2605">
        <v>0.99969519999999901</v>
      </c>
      <c r="AB2605">
        <v>21</v>
      </c>
      <c r="AC2605">
        <v>15.237500000000001</v>
      </c>
      <c r="AD2605">
        <v>-1.1036387070039999</v>
      </c>
      <c r="AE2605">
        <v>0.61209999999999798</v>
      </c>
      <c r="AF2605">
        <v>-0.38007723311375702</v>
      </c>
      <c r="AG2605">
        <v>-1.1036387070039999</v>
      </c>
      <c r="AH2605">
        <v>15.1655722804589</v>
      </c>
      <c r="AI2605">
        <v>94.160925933804094</v>
      </c>
      <c r="AJ2605">
        <v>91.435637465501301</v>
      </c>
      <c r="AK2605">
        <v>15.210426019430001</v>
      </c>
    </row>
    <row r="2606" spans="1:37" x14ac:dyDescent="0.2">
      <c r="A2606" t="str">
        <f>"20200111160206159"</f>
        <v>20200111160206159</v>
      </c>
      <c r="B2606" t="str">
        <f>"1578729726153939"</f>
        <v>1578729726153939</v>
      </c>
      <c r="C2606" t="s">
        <v>37</v>
      </c>
      <c r="D2606">
        <v>5.8091689999999998</v>
      </c>
      <c r="E2606">
        <v>0.50736359999999903</v>
      </c>
      <c r="F2606" t="s">
        <v>57</v>
      </c>
      <c r="G2606">
        <v>-336.76859999999999</v>
      </c>
      <c r="H2606" s="1">
        <v>2.0517210000000001E-6</v>
      </c>
      <c r="I2606">
        <v>214.92269999999999</v>
      </c>
      <c r="J2606">
        <v>-352.26130000000001</v>
      </c>
      <c r="K2606">
        <v>1.103515</v>
      </c>
      <c r="L2606">
        <v>214.3245</v>
      </c>
      <c r="M2606">
        <v>0.99985429999999997</v>
      </c>
      <c r="N2606">
        <v>0</v>
      </c>
      <c r="O2606">
        <v>1.453048E-2</v>
      </c>
      <c r="P2606">
        <v>0.99825599999999903</v>
      </c>
      <c r="Q2606">
        <v>2.846721E-2</v>
      </c>
      <c r="R2606">
        <v>5.1718930000000003E-2</v>
      </c>
      <c r="S2606">
        <v>3.0047299999999999</v>
      </c>
      <c r="T2606">
        <v>-0.21132899999999999</v>
      </c>
      <c r="U2606">
        <v>0.1150055</v>
      </c>
      <c r="V2606">
        <v>-3.7171309999999999E-2</v>
      </c>
      <c r="W2606">
        <v>3.7457589999999999E-2</v>
      </c>
      <c r="X2606">
        <v>0.99860659999999901</v>
      </c>
      <c r="Y2606">
        <v>-2.3699729999999999E-2</v>
      </c>
      <c r="Z2606">
        <v>-1.8817509999999999E-4</v>
      </c>
      <c r="AA2606">
        <v>0.99971909999999897</v>
      </c>
      <c r="AB2606">
        <v>21</v>
      </c>
      <c r="AC2606">
        <v>15.492699999999999</v>
      </c>
      <c r="AD2606">
        <v>-1.103512948279</v>
      </c>
      <c r="AE2606">
        <v>0.59819999999999096</v>
      </c>
      <c r="AF2606">
        <v>-0.37113133958060301</v>
      </c>
      <c r="AG2606">
        <v>-1.103512948279</v>
      </c>
      <c r="AH2606">
        <v>15.421632822811199</v>
      </c>
      <c r="AI2606">
        <v>94.091709676299303</v>
      </c>
      <c r="AJ2606">
        <v>91.378593043616306</v>
      </c>
      <c r="AK2606">
        <v>15.4655177158686</v>
      </c>
    </row>
    <row r="2607" spans="1:37" x14ac:dyDescent="0.2">
      <c r="A2607" t="str">
        <f>"20200111160206183"</f>
        <v>20200111160206183</v>
      </c>
      <c r="B2607" t="str">
        <f>"1578729726174433"</f>
        <v>1578729726174433</v>
      </c>
      <c r="C2607" t="s">
        <v>37</v>
      </c>
      <c r="D2607">
        <v>5.6806320000000001</v>
      </c>
      <c r="E2607">
        <v>0.50774819999999998</v>
      </c>
      <c r="F2607" t="s">
        <v>57</v>
      </c>
      <c r="G2607">
        <v>-336.33260000000001</v>
      </c>
      <c r="H2607" s="1">
        <v>1.819633E-6</v>
      </c>
      <c r="I2607">
        <v>214.92500000000001</v>
      </c>
      <c r="J2607">
        <v>-352.03820000000002</v>
      </c>
      <c r="K2607">
        <v>1.1033709999999901</v>
      </c>
      <c r="L2607">
        <v>214.327</v>
      </c>
      <c r="M2607">
        <v>0.99987060000000005</v>
      </c>
      <c r="N2607">
        <v>0</v>
      </c>
      <c r="O2607">
        <v>1.3801310000000001E-2</v>
      </c>
      <c r="P2607">
        <v>0.99816640000000001</v>
      </c>
      <c r="Q2607">
        <v>3.0032079999999999E-2</v>
      </c>
      <c r="R2607">
        <v>5.2555150000000002E-2</v>
      </c>
      <c r="S2607">
        <v>3.0053099999999899</v>
      </c>
      <c r="T2607">
        <v>-0.20820329999999901</v>
      </c>
      <c r="U2607">
        <v>0.11329649999999999</v>
      </c>
      <c r="V2607">
        <v>-3.8730849999999997E-2</v>
      </c>
      <c r="W2607">
        <v>3.8347680000000002E-2</v>
      </c>
      <c r="X2607">
        <v>0.9985136</v>
      </c>
      <c r="Y2607">
        <v>-2.3852390000000001E-2</v>
      </c>
      <c r="Z2607">
        <v>-1.296518E-4</v>
      </c>
      <c r="AA2607">
        <v>0.99971549999999998</v>
      </c>
      <c r="AB2607">
        <v>21</v>
      </c>
      <c r="AC2607">
        <v>15.7056</v>
      </c>
      <c r="AD2607">
        <v>-1.1033691803669901</v>
      </c>
      <c r="AE2607">
        <v>0.59800000000001297</v>
      </c>
      <c r="AF2607">
        <v>-0.37930841035923102</v>
      </c>
      <c r="AG2607">
        <v>-1.1033691803669901</v>
      </c>
      <c r="AH2607">
        <v>15.635300943265699</v>
      </c>
      <c r="AI2607">
        <v>94.035436519993695</v>
      </c>
      <c r="AJ2607">
        <v>91.389708399650999</v>
      </c>
      <c r="AK2607">
        <v>15.6787733577866</v>
      </c>
    </row>
    <row r="2608" spans="1:37" x14ac:dyDescent="0.2">
      <c r="A2608" t="str">
        <f>"20200111160206205"</f>
        <v>20200111160206205</v>
      </c>
      <c r="B2608" t="str">
        <f>"1578729726193957"</f>
        <v>1578729726193957</v>
      </c>
      <c r="C2608" t="s">
        <v>37</v>
      </c>
      <c r="D2608">
        <v>5.8189399999999996</v>
      </c>
      <c r="E2608">
        <v>0.50820019999999999</v>
      </c>
      <c r="F2608" t="s">
        <v>57</v>
      </c>
      <c r="G2608">
        <v>-335.81290000000001</v>
      </c>
      <c r="H2608" s="1">
        <v>1.5426150000000001E-6</v>
      </c>
      <c r="I2608">
        <v>214.93520000000001</v>
      </c>
      <c r="J2608">
        <v>-351.82240000000002</v>
      </c>
      <c r="K2608">
        <v>1.103254</v>
      </c>
      <c r="L2608">
        <v>214.32919999999999</v>
      </c>
      <c r="M2608">
        <v>0.99988600000000005</v>
      </c>
      <c r="N2608">
        <v>0</v>
      </c>
      <c r="O2608">
        <v>1.300837E-2</v>
      </c>
      <c r="P2608">
        <v>0.99807939999999995</v>
      </c>
      <c r="Q2608">
        <v>3.0999849999999999E-2</v>
      </c>
      <c r="R2608">
        <v>5.3632739999999998E-2</v>
      </c>
      <c r="S2608">
        <v>3.0057369999999999</v>
      </c>
      <c r="T2608">
        <v>-0.20439889999999999</v>
      </c>
      <c r="U2608">
        <v>0.11267089999999901</v>
      </c>
      <c r="V2608">
        <v>-4.0596180000000003E-2</v>
      </c>
      <c r="W2608">
        <v>3.8697410000000002E-2</v>
      </c>
      <c r="X2608">
        <v>0.99842600000000004</v>
      </c>
      <c r="Y2608">
        <v>-2.4429840000000001E-2</v>
      </c>
      <c r="Z2608" s="1">
        <v>-5.3829399999999902E-5</v>
      </c>
      <c r="AA2608">
        <v>0.99970159999999997</v>
      </c>
      <c r="AB2608">
        <v>21</v>
      </c>
      <c r="AC2608">
        <v>16.009499999999999</v>
      </c>
      <c r="AD2608">
        <v>-1.103252457385</v>
      </c>
      <c r="AE2608">
        <v>0.60600000000002296</v>
      </c>
      <c r="AF2608">
        <v>-0.39580813321005298</v>
      </c>
      <c r="AG2608">
        <v>-1.103252457385</v>
      </c>
      <c r="AH2608">
        <v>15.9404371709348</v>
      </c>
      <c r="AI2608">
        <v>93.957964385433996</v>
      </c>
      <c r="AJ2608">
        <v>91.422387370442294</v>
      </c>
      <c r="AK2608">
        <v>15.983471689953999</v>
      </c>
    </row>
    <row r="2609" spans="1:37" x14ac:dyDescent="0.2">
      <c r="A2609" t="str">
        <f>"20200111160206226"</f>
        <v>20200111160206226</v>
      </c>
      <c r="B2609" t="str">
        <f>"1578729726214450"</f>
        <v>1578729726214450</v>
      </c>
      <c r="C2609" t="s">
        <v>37</v>
      </c>
      <c r="D2609">
        <v>5.9307800000000004</v>
      </c>
      <c r="E2609">
        <v>0.50829919999999995</v>
      </c>
      <c r="F2609" t="s">
        <v>57</v>
      </c>
      <c r="G2609">
        <v>-335.57069999999999</v>
      </c>
      <c r="H2609" s="1">
        <v>1.413582E-6</v>
      </c>
      <c r="I2609">
        <v>214.93879999999999</v>
      </c>
      <c r="J2609">
        <v>-351.6157</v>
      </c>
      <c r="K2609">
        <v>1.103151</v>
      </c>
      <c r="L2609">
        <v>214.33099999999999</v>
      </c>
      <c r="M2609">
        <v>0.99990059999999903</v>
      </c>
      <c r="N2609">
        <v>0</v>
      </c>
      <c r="O2609">
        <v>1.218618E-2</v>
      </c>
      <c r="P2609">
        <v>0.99807159999999995</v>
      </c>
      <c r="Q2609">
        <v>3.1247690000000002E-2</v>
      </c>
      <c r="R2609">
        <v>5.3635549999999997E-2</v>
      </c>
      <c r="S2609">
        <v>3.0060119999999899</v>
      </c>
      <c r="T2609">
        <v>-0.20406479999999999</v>
      </c>
      <c r="U2609">
        <v>0.1127625</v>
      </c>
      <c r="V2609">
        <v>-4.1416469999999997E-2</v>
      </c>
      <c r="W2609">
        <v>3.8396760000000002E-2</v>
      </c>
      <c r="X2609">
        <v>0.99840390000000001</v>
      </c>
      <c r="Y2609">
        <v>-2.5275160000000001E-2</v>
      </c>
      <c r="Z2609" s="1">
        <v>3.0639519999999998E-5</v>
      </c>
      <c r="AA2609">
        <v>0.99968049999999997</v>
      </c>
      <c r="AB2609">
        <v>21</v>
      </c>
      <c r="AC2609">
        <v>16.045000000000002</v>
      </c>
      <c r="AD2609">
        <v>-1.1031495864180001</v>
      </c>
      <c r="AE2609">
        <v>0.60779999999999701</v>
      </c>
      <c r="AF2609">
        <v>-0.41028603160546001</v>
      </c>
      <c r="AG2609">
        <v>-1.1031495864180001</v>
      </c>
      <c r="AH2609">
        <v>15.9758054007845</v>
      </c>
      <c r="AI2609">
        <v>93.948778105188097</v>
      </c>
      <c r="AJ2609">
        <v>91.471130330999003</v>
      </c>
      <c r="AK2609">
        <v>16.019102092236</v>
      </c>
    </row>
    <row r="2610" spans="1:37" x14ac:dyDescent="0.2">
      <c r="A2610" t="str">
        <f>"20200111160206249"</f>
        <v>20200111160206249</v>
      </c>
      <c r="B2610" t="str">
        <f>"1578729726244238"</f>
        <v>1578729726244238</v>
      </c>
      <c r="C2610" t="s">
        <v>37</v>
      </c>
      <c r="D2610">
        <v>5.8584430000000003</v>
      </c>
      <c r="E2610">
        <v>0.51919629999999894</v>
      </c>
      <c r="F2610" t="s">
        <v>57</v>
      </c>
      <c r="G2610">
        <v>-335.12630000000001</v>
      </c>
      <c r="H2610" s="1">
        <v>1.176796E-6</v>
      </c>
      <c r="I2610">
        <v>214.94550000000001</v>
      </c>
      <c r="J2610">
        <v>-351.40030000000002</v>
      </c>
      <c r="K2610">
        <v>1.103067</v>
      </c>
      <c r="L2610">
        <v>214.33269999999999</v>
      </c>
      <c r="M2610">
        <v>0.99991479999999999</v>
      </c>
      <c r="N2610">
        <v>0</v>
      </c>
      <c r="O2610">
        <v>1.128583E-2</v>
      </c>
      <c r="P2610">
        <v>0.99815449999999994</v>
      </c>
      <c r="Q2610">
        <v>3.0984279999999999E-2</v>
      </c>
      <c r="R2610">
        <v>5.2226710000000003E-2</v>
      </c>
      <c r="S2610">
        <v>3.00607299999999</v>
      </c>
      <c r="T2610">
        <v>-0.20110829999999999</v>
      </c>
      <c r="U2610">
        <v>0.1120148</v>
      </c>
      <c r="V2610">
        <v>-4.0903519999999999E-2</v>
      </c>
      <c r="W2610">
        <v>3.7611020000000002E-2</v>
      </c>
      <c r="X2610">
        <v>0.99845499999999998</v>
      </c>
      <c r="Y2610">
        <v>-2.5923689999999999E-2</v>
      </c>
      <c r="Z2610">
        <v>1.119979E-4</v>
      </c>
      <c r="AA2610">
        <v>0.99966390000000005</v>
      </c>
      <c r="AB2610">
        <v>22</v>
      </c>
      <c r="AC2610">
        <v>16.274000000000001</v>
      </c>
      <c r="AD2610">
        <v>-1.103065823204</v>
      </c>
      <c r="AE2610">
        <v>0.61280000000002099</v>
      </c>
      <c r="AF2610">
        <v>-0.42713185221684302</v>
      </c>
      <c r="AG2610">
        <v>-1.103065823204</v>
      </c>
      <c r="AH2610">
        <v>16.205532833127901</v>
      </c>
      <c r="AI2610">
        <v>93.892611272459703</v>
      </c>
      <c r="AJ2610">
        <v>91.509804579944699</v>
      </c>
      <c r="AK2610">
        <v>16.248645796960599</v>
      </c>
    </row>
    <row r="2611" spans="1:37" x14ac:dyDescent="0.2">
      <c r="A2611" t="str">
        <f>"20200111160206272"</f>
        <v>20200111160206272</v>
      </c>
      <c r="B2611" t="str">
        <f>"1578729726264734"</f>
        <v>1578729726264734</v>
      </c>
      <c r="C2611" t="s">
        <v>37</v>
      </c>
      <c r="D2611">
        <v>5.8171429999999997</v>
      </c>
      <c r="E2611">
        <v>0.52378820000000004</v>
      </c>
      <c r="F2611" t="s">
        <v>60</v>
      </c>
      <c r="G2611">
        <v>-317.03410000000002</v>
      </c>
      <c r="H2611" s="1">
        <v>4.0249829999999997E-6</v>
      </c>
      <c r="I2611">
        <v>214.5042</v>
      </c>
      <c r="J2611">
        <v>-351.16640000000001</v>
      </c>
      <c r="K2611">
        <v>1.1029990000000001</v>
      </c>
      <c r="L2611">
        <v>214.33420000000001</v>
      </c>
      <c r="M2611">
        <v>0.99992879999999995</v>
      </c>
      <c r="N2611">
        <v>0</v>
      </c>
      <c r="O2611">
        <v>1.027635E-2</v>
      </c>
      <c r="P2611">
        <v>0.99834349999999905</v>
      </c>
      <c r="Q2611">
        <v>2.9751949999999999E-2</v>
      </c>
      <c r="R2611">
        <v>4.9245379999999998E-2</v>
      </c>
      <c r="S2611">
        <v>3.0077210000000001</v>
      </c>
      <c r="T2611">
        <v>-9.6539739999999999E-2</v>
      </c>
      <c r="U2611">
        <v>1.5014649999999999E-2</v>
      </c>
      <c r="V2611">
        <v>-3.8929159999999997E-2</v>
      </c>
      <c r="W2611">
        <v>3.5874120000000002E-2</v>
      </c>
      <c r="X2611">
        <v>0.99859779999999998</v>
      </c>
      <c r="Y2611">
        <v>5.2766929999999998E-3</v>
      </c>
      <c r="Z2611">
        <v>-4.144172E-4</v>
      </c>
      <c r="AA2611">
        <v>0.99998600000000004</v>
      </c>
      <c r="AB2611">
        <v>22</v>
      </c>
      <c r="AC2611">
        <v>34.132299999999901</v>
      </c>
      <c r="AD2611">
        <v>-1.1029949750170001</v>
      </c>
      <c r="AE2611">
        <v>0.16999999999998699</v>
      </c>
      <c r="AF2611">
        <v>0.18058231716756601</v>
      </c>
      <c r="AG2611">
        <v>-1.1029949750170001</v>
      </c>
      <c r="AH2611">
        <v>34.096639181750497</v>
      </c>
      <c r="AI2611">
        <v>91.852793777652593</v>
      </c>
      <c r="AJ2611">
        <v>89.696553439318194</v>
      </c>
      <c r="AK2611">
        <v>34.114952900138498</v>
      </c>
    </row>
    <row r="2612" spans="1:37" x14ac:dyDescent="0.2">
      <c r="A2612" t="str">
        <f>"20200111160206294"</f>
        <v>20200111160206294</v>
      </c>
      <c r="B2612" t="str">
        <f>"1578729726285230"</f>
        <v>1578729726285230</v>
      </c>
      <c r="C2612" t="s">
        <v>37</v>
      </c>
      <c r="D2612">
        <v>6.0720210000000003</v>
      </c>
      <c r="E2612">
        <v>0.52378959999999997</v>
      </c>
      <c r="F2612" t="s">
        <v>42</v>
      </c>
      <c r="G2612">
        <v>-350.2867</v>
      </c>
      <c r="H2612">
        <v>1.0137069999999999</v>
      </c>
      <c r="I2612">
        <v>214.32859999999999</v>
      </c>
      <c r="J2612">
        <v>-350.93880000000001</v>
      </c>
      <c r="K2612">
        <v>1.1029530000000001</v>
      </c>
      <c r="L2612">
        <v>214.3355</v>
      </c>
      <c r="M2612">
        <v>0.99994110000000003</v>
      </c>
      <c r="N2612">
        <v>0</v>
      </c>
      <c r="O2612">
        <v>9.2815199999999997E-3</v>
      </c>
      <c r="P2612">
        <v>0.99855349999999998</v>
      </c>
      <c r="Q2612">
        <v>2.841544E-2</v>
      </c>
      <c r="R2612">
        <v>4.5645980000000003E-2</v>
      </c>
      <c r="S2612">
        <v>3.0149539999999999</v>
      </c>
      <c r="T2612">
        <v>-0.30606109999999997</v>
      </c>
      <c r="U2612">
        <v>-1.823425E-2</v>
      </c>
      <c r="V2612">
        <v>-3.6323790000000002E-2</v>
      </c>
      <c r="W2612">
        <v>3.4104240000000001E-2</v>
      </c>
      <c r="X2612">
        <v>0.99875800000000003</v>
      </c>
      <c r="Y2612">
        <v>1.520323E-2</v>
      </c>
      <c r="Z2612">
        <v>-1.709484E-3</v>
      </c>
      <c r="AA2612">
        <v>0.99988290000000002</v>
      </c>
      <c r="AB2612">
        <v>22</v>
      </c>
      <c r="AC2612">
        <v>0.652100000000018</v>
      </c>
      <c r="AD2612">
        <v>-8.9246000000000103E-2</v>
      </c>
      <c r="AE2612">
        <v>-6.90000000000168E-3</v>
      </c>
      <c r="AF2612">
        <v>1.27141619400854E-2</v>
      </c>
      <c r="AG2612">
        <v>-8.9246000000000103E-2</v>
      </c>
      <c r="AH2612">
        <v>0.64002129696036802</v>
      </c>
      <c r="AI2612">
        <v>97.936718828977504</v>
      </c>
      <c r="AJ2612">
        <v>88.861956592639601</v>
      </c>
      <c r="AK2612">
        <v>0.64633873394116603</v>
      </c>
    </row>
    <row r="2613" spans="1:37" x14ac:dyDescent="0.2">
      <c r="A2613" t="str">
        <f>"20200111160206316"</f>
        <v>20200111160206316</v>
      </c>
      <c r="B2613" t="str">
        <f>"1578729726304749"</f>
        <v>1578729726304749</v>
      </c>
      <c r="C2613" t="s">
        <v>37</v>
      </c>
      <c r="D2613">
        <v>5.8721370000000004</v>
      </c>
      <c r="E2613">
        <v>0.52388359999999901</v>
      </c>
      <c r="F2613" t="s">
        <v>42</v>
      </c>
      <c r="G2613">
        <v>-350.08539999999999</v>
      </c>
      <c r="H2613">
        <v>1.0159659999999999</v>
      </c>
      <c r="I2613">
        <v>214.32730000000001</v>
      </c>
      <c r="J2613">
        <v>-350.7303</v>
      </c>
      <c r="K2613">
        <v>1.1029199999999999</v>
      </c>
      <c r="L2613">
        <v>214.3364</v>
      </c>
      <c r="M2613">
        <v>0.99995109999999998</v>
      </c>
      <c r="N2613">
        <v>0</v>
      </c>
      <c r="O2613">
        <v>8.3695450000000008E-3</v>
      </c>
      <c r="P2613">
        <v>0.9986815</v>
      </c>
      <c r="Q2613">
        <v>2.7483299999999999E-2</v>
      </c>
      <c r="R2613">
        <v>4.3358750000000001E-2</v>
      </c>
      <c r="S2613">
        <v>3.0144039999999999</v>
      </c>
      <c r="T2613">
        <v>-0.30719730000000001</v>
      </c>
      <c r="U2613">
        <v>-2.963257E-2</v>
      </c>
      <c r="V2613">
        <v>-3.4948430000000003E-2</v>
      </c>
      <c r="W2613">
        <v>3.2822270000000001E-2</v>
      </c>
      <c r="X2613">
        <v>0.99885000000000002</v>
      </c>
      <c r="Y2613">
        <v>1.8061870000000001E-2</v>
      </c>
      <c r="Z2613">
        <v>-1.7686689999999901E-3</v>
      </c>
      <c r="AA2613">
        <v>0.99983529999999998</v>
      </c>
      <c r="AB2613">
        <v>22</v>
      </c>
      <c r="AC2613">
        <v>0.64490000000000602</v>
      </c>
      <c r="AD2613">
        <v>-8.6954000000000198E-2</v>
      </c>
      <c r="AE2613">
        <v>-9.0999999999894499E-3</v>
      </c>
      <c r="AF2613">
        <v>1.42384715416252E-2</v>
      </c>
      <c r="AG2613">
        <v>-8.6954000000000198E-2</v>
      </c>
      <c r="AH2613">
        <v>0.63329030865006297</v>
      </c>
      <c r="AI2613">
        <v>97.816166583328197</v>
      </c>
      <c r="AJ2613">
        <v>88.712017389826499</v>
      </c>
      <c r="AK2613">
        <v>0.63939060613832399</v>
      </c>
    </row>
    <row r="2614" spans="1:37" x14ac:dyDescent="0.2">
      <c r="A2614" t="str">
        <f>"20200111160206338"</f>
        <v>20200111160206338</v>
      </c>
      <c r="B2614" t="str">
        <f>"1578729726334538"</f>
        <v>1578729726334538</v>
      </c>
      <c r="C2614" t="s">
        <v>37</v>
      </c>
      <c r="D2614">
        <v>5.8659419999999898</v>
      </c>
      <c r="E2614">
        <v>0.51603900000000003</v>
      </c>
      <c r="F2614" t="s">
        <v>42</v>
      </c>
      <c r="G2614">
        <v>-349.88369999999998</v>
      </c>
      <c r="H2614">
        <v>1.0165059999999999</v>
      </c>
      <c r="I2614">
        <v>214.3253</v>
      </c>
      <c r="J2614">
        <v>-350.51119999999997</v>
      </c>
      <c r="K2614">
        <v>1.102903</v>
      </c>
      <c r="L2614">
        <v>214.3372</v>
      </c>
      <c r="M2614">
        <v>0.99996019999999897</v>
      </c>
      <c r="N2614">
        <v>0</v>
      </c>
      <c r="O2614">
        <v>7.4222259999999997E-3</v>
      </c>
      <c r="P2614">
        <v>0.99872590000000006</v>
      </c>
      <c r="Q2614">
        <v>2.7227439999999999E-2</v>
      </c>
      <c r="R2614">
        <v>4.2491309999999997E-2</v>
      </c>
      <c r="S2614">
        <v>3.0140989999999999</v>
      </c>
      <c r="T2614">
        <v>-0.30773840000000002</v>
      </c>
      <c r="U2614">
        <v>-3.8269039999999997E-2</v>
      </c>
      <c r="V2614">
        <v>-3.5028139999999999E-2</v>
      </c>
      <c r="W2614">
        <v>3.2248930000000002E-2</v>
      </c>
      <c r="X2614">
        <v>0.99886589999999997</v>
      </c>
      <c r="Y2614">
        <v>1.9974619999999998E-2</v>
      </c>
      <c r="Z2614">
        <v>-1.772841E-3</v>
      </c>
      <c r="AA2614">
        <v>0.99979889999999905</v>
      </c>
      <c r="AB2614">
        <v>22</v>
      </c>
      <c r="AC2614">
        <v>0.62749999999999695</v>
      </c>
      <c r="AD2614">
        <v>-8.6397000000000002E-2</v>
      </c>
      <c r="AE2614">
        <v>-1.18999999999971E-2</v>
      </c>
      <c r="AF2614">
        <v>1.62492496323123E-2</v>
      </c>
      <c r="AG2614">
        <v>-8.6397000000000002E-2</v>
      </c>
      <c r="AH2614">
        <v>0.61572625628182398</v>
      </c>
      <c r="AI2614">
        <v>97.9846917875184</v>
      </c>
      <c r="AJ2614">
        <v>88.488293507816906</v>
      </c>
      <c r="AK2614">
        <v>0.62197049961991302</v>
      </c>
    </row>
    <row r="2615" spans="1:37" x14ac:dyDescent="0.2">
      <c r="A2615" t="str">
        <f>"20200111160206361"</f>
        <v>20200111160206361</v>
      </c>
      <c r="B2615" t="str">
        <f>"1578729726354058"</f>
        <v>1578729726354058</v>
      </c>
      <c r="C2615" t="s">
        <v>37</v>
      </c>
      <c r="D2615">
        <v>5.8661859999999999</v>
      </c>
      <c r="E2615">
        <v>0.51611240000000003</v>
      </c>
      <c r="F2615" t="s">
        <v>60</v>
      </c>
      <c r="G2615">
        <v>-309.21730000000002</v>
      </c>
      <c r="H2615" s="1">
        <v>1.0182630000000001E-6</v>
      </c>
      <c r="I2615">
        <v>214.4538</v>
      </c>
      <c r="J2615">
        <v>-350.27109999999999</v>
      </c>
      <c r="K2615">
        <v>1.102889</v>
      </c>
      <c r="L2615">
        <v>214.33789999999999</v>
      </c>
      <c r="M2615">
        <v>0.99996870000000004</v>
      </c>
      <c r="N2615">
        <v>0</v>
      </c>
      <c r="O2615">
        <v>6.4063330000000002E-3</v>
      </c>
      <c r="P2615">
        <v>0.99873799999999902</v>
      </c>
      <c r="Q2615">
        <v>2.6486490000000001E-2</v>
      </c>
      <c r="R2615">
        <v>4.2674509999999999E-2</v>
      </c>
      <c r="S2615">
        <v>3.005646</v>
      </c>
      <c r="T2615">
        <v>-8.0276490000000006E-2</v>
      </c>
      <c r="U2615">
        <v>8.4838869999999903E-3</v>
      </c>
      <c r="V2615">
        <v>-3.6228620000000003E-2</v>
      </c>
      <c r="W2615">
        <v>3.121519E-2</v>
      </c>
      <c r="X2615">
        <v>0.99885590000000002</v>
      </c>
      <c r="Y2615">
        <v>3.5802339999999998E-3</v>
      </c>
      <c r="Z2615">
        <v>-2.188766E-4</v>
      </c>
      <c r="AA2615">
        <v>0.99999359999999904</v>
      </c>
      <c r="AB2615">
        <v>23</v>
      </c>
      <c r="AC2615">
        <v>41.053799999999903</v>
      </c>
      <c r="AD2615">
        <v>-1.1028879817370001</v>
      </c>
      <c r="AE2615">
        <v>0.11590000000001</v>
      </c>
      <c r="AF2615">
        <v>0.14700343569928601</v>
      </c>
      <c r="AG2615">
        <v>-1.1028879817370001</v>
      </c>
      <c r="AH2615">
        <v>41.024093218838097</v>
      </c>
      <c r="AI2615">
        <v>91.539953701901794</v>
      </c>
      <c r="AJ2615">
        <v>89.794690394622606</v>
      </c>
      <c r="AK2615">
        <v>41.039178797074896</v>
      </c>
    </row>
    <row r="2616" spans="1:37" x14ac:dyDescent="0.2">
      <c r="A2616" t="str">
        <f>"20200111160206384"</f>
        <v>20200111160206384</v>
      </c>
      <c r="B2616" t="str">
        <f>"1578729726374553"</f>
        <v>1578729726374553</v>
      </c>
      <c r="C2616" t="s">
        <v>37</v>
      </c>
      <c r="D2616">
        <v>6.3529879999999999</v>
      </c>
      <c r="E2616">
        <v>0.51817209999999903</v>
      </c>
      <c r="F2616" t="s">
        <v>60</v>
      </c>
      <c r="G2616">
        <v>-311.45850000000002</v>
      </c>
      <c r="H2616" s="1">
        <v>1.5524109999999901E-6</v>
      </c>
      <c r="I2616">
        <v>214.44880000000001</v>
      </c>
      <c r="J2616">
        <v>-350.03519999999997</v>
      </c>
      <c r="K2616">
        <v>1.102892</v>
      </c>
      <c r="L2616">
        <v>214.3383</v>
      </c>
      <c r="M2616">
        <v>0.99997549999999902</v>
      </c>
      <c r="N2616">
        <v>0</v>
      </c>
      <c r="O2616">
        <v>5.4379959999999996E-3</v>
      </c>
      <c r="P2616">
        <v>0.99875329999999996</v>
      </c>
      <c r="Q2616">
        <v>2.5392990000000001E-2</v>
      </c>
      <c r="R2616">
        <v>4.2978479999999999E-2</v>
      </c>
      <c r="S2616">
        <v>3.0057070000000001</v>
      </c>
      <c r="T2616">
        <v>-8.540905E-2</v>
      </c>
      <c r="U2616">
        <v>8.5906980000000008E-3</v>
      </c>
      <c r="V2616">
        <v>-3.7502779999999999E-2</v>
      </c>
      <c r="W2616">
        <v>2.9881620000000001E-2</v>
      </c>
      <c r="X2616">
        <v>0.998849599999999</v>
      </c>
      <c r="Y2616">
        <v>2.5767160000000002E-3</v>
      </c>
      <c r="Z2616">
        <v>-1.910952E-4</v>
      </c>
      <c r="AA2616">
        <v>0.99999669999999896</v>
      </c>
      <c r="AB2616">
        <v>23</v>
      </c>
      <c r="AC2616">
        <v>38.576699999999903</v>
      </c>
      <c r="AD2616">
        <v>-1.102890447589</v>
      </c>
      <c r="AE2616">
        <v>0.110500000000001</v>
      </c>
      <c r="AF2616">
        <v>9.9202528227526204E-2</v>
      </c>
      <c r="AG2616">
        <v>-1.102890447589</v>
      </c>
      <c r="AH2616">
        <v>38.545225342270498</v>
      </c>
      <c r="AI2616">
        <v>91.638945470985504</v>
      </c>
      <c r="AJ2616">
        <v>89.8525401373455</v>
      </c>
      <c r="AK2616">
        <v>38.561128162534402</v>
      </c>
    </row>
    <row r="2617" spans="1:37" x14ac:dyDescent="0.2">
      <c r="A2617" t="str">
        <f>"20200111160206406"</f>
        <v>20200111160206406</v>
      </c>
      <c r="B2617" t="str">
        <f>"1578729726394073"</f>
        <v>1578729726394073</v>
      </c>
      <c r="C2617" t="s">
        <v>37</v>
      </c>
      <c r="D2617">
        <v>5.8992050000000003</v>
      </c>
      <c r="E2617">
        <v>0.51830639999999994</v>
      </c>
      <c r="F2617" t="s">
        <v>60</v>
      </c>
      <c r="G2617">
        <v>-313.18599999999998</v>
      </c>
      <c r="H2617" s="1">
        <v>2.3184999999999999E-6</v>
      </c>
      <c r="I2617">
        <v>214.25569999999999</v>
      </c>
      <c r="J2617">
        <v>-349.8064</v>
      </c>
      <c r="K2617">
        <v>1.102895</v>
      </c>
      <c r="L2617">
        <v>214.33860000000001</v>
      </c>
      <c r="M2617">
        <v>0.99998069999999895</v>
      </c>
      <c r="N2617">
        <v>0</v>
      </c>
      <c r="O2617">
        <v>4.5304079999999997E-3</v>
      </c>
      <c r="P2617">
        <v>0.99876860000000001</v>
      </c>
      <c r="Q2617">
        <v>2.4372379999999999E-2</v>
      </c>
      <c r="R2617">
        <v>4.3213179999999997E-2</v>
      </c>
      <c r="S2617">
        <v>3.0062869999999999</v>
      </c>
      <c r="T2617">
        <v>-8.9977500000000002E-2</v>
      </c>
      <c r="U2617">
        <v>-6.7443850000000003E-3</v>
      </c>
      <c r="V2617">
        <v>-3.8647210000000001E-2</v>
      </c>
      <c r="W2617">
        <v>2.8670029999999999E-2</v>
      </c>
      <c r="X2617">
        <v>0.99884150000000005</v>
      </c>
      <c r="Y2617">
        <v>6.7687769999999897E-3</v>
      </c>
      <c r="Z2617">
        <v>-2.368359E-4</v>
      </c>
      <c r="AA2617">
        <v>0.99997709999999995</v>
      </c>
      <c r="AB2617">
        <v>23</v>
      </c>
      <c r="AC2617">
        <v>36.620399999999997</v>
      </c>
      <c r="AD2617">
        <v>-1.1028926815</v>
      </c>
      <c r="AE2617">
        <v>-8.2900000000023497E-2</v>
      </c>
      <c r="AF2617">
        <v>0.24858053358527399</v>
      </c>
      <c r="AG2617">
        <v>-1.1028926815</v>
      </c>
      <c r="AH2617">
        <v>36.5864638573848</v>
      </c>
      <c r="AI2617">
        <v>91.726608742643094</v>
      </c>
      <c r="AJ2617">
        <v>89.610719517883695</v>
      </c>
      <c r="AK2617">
        <v>36.603927414094599</v>
      </c>
    </row>
    <row r="2618" spans="1:37" x14ac:dyDescent="0.2">
      <c r="A2618" t="str">
        <f>"20200111160206430"</f>
        <v>20200111160206430</v>
      </c>
      <c r="B2618" t="str">
        <f>"1578729726424329"</f>
        <v>1578729726424329</v>
      </c>
      <c r="C2618" t="s">
        <v>37</v>
      </c>
      <c r="D2618">
        <v>5.9243730000000001</v>
      </c>
      <c r="E2618">
        <v>0.51772359999999995</v>
      </c>
      <c r="F2618" t="s">
        <v>60</v>
      </c>
      <c r="G2618">
        <v>-314.14589999999998</v>
      </c>
      <c r="H2618" s="1">
        <v>2.744174E-6</v>
      </c>
      <c r="I2618">
        <v>214.25489999999999</v>
      </c>
      <c r="J2618">
        <v>-349.56760000000003</v>
      </c>
      <c r="K2618">
        <v>1.1029</v>
      </c>
      <c r="L2618">
        <v>214.33860000000001</v>
      </c>
      <c r="M2618">
        <v>0.99998519999999902</v>
      </c>
      <c r="N2618">
        <v>0</v>
      </c>
      <c r="O2618">
        <v>3.616757E-3</v>
      </c>
      <c r="P2618">
        <v>0.9987798</v>
      </c>
      <c r="Q2618">
        <v>2.4279599999999998E-2</v>
      </c>
      <c r="R2618">
        <v>4.3009270000000002E-2</v>
      </c>
      <c r="S2618">
        <v>3.0062259999999998</v>
      </c>
      <c r="T2618">
        <v>-9.2975260000000004E-2</v>
      </c>
      <c r="U2618">
        <v>-7.0495610000000002E-3</v>
      </c>
      <c r="V2618">
        <v>-3.9357160000000002E-2</v>
      </c>
      <c r="W2618">
        <v>2.841693E-2</v>
      </c>
      <c r="X2618">
        <v>0.99882109999999902</v>
      </c>
      <c r="Y2618">
        <v>5.9571650000000004E-3</v>
      </c>
      <c r="Z2618">
        <v>-2.0392969999999999E-4</v>
      </c>
      <c r="AA2618">
        <v>0.99998220000000004</v>
      </c>
      <c r="AB2618">
        <v>23</v>
      </c>
      <c r="AC2618">
        <v>35.421700000000001</v>
      </c>
      <c r="AD2618">
        <v>-1.102897255826</v>
      </c>
      <c r="AE2618">
        <v>-8.3700000000021604E-2</v>
      </c>
      <c r="AF2618">
        <v>0.211607048028609</v>
      </c>
      <c r="AG2618">
        <v>-1.102897255826</v>
      </c>
      <c r="AH2618">
        <v>35.386859530763502</v>
      </c>
      <c r="AI2618">
        <v>91.785119710409006</v>
      </c>
      <c r="AJ2618">
        <v>89.657385639249597</v>
      </c>
      <c r="AK2618">
        <v>35.404674653916402</v>
      </c>
    </row>
    <row r="2619" spans="1:37" x14ac:dyDescent="0.2">
      <c r="A2619" t="str">
        <f>"20200111160206450"</f>
        <v>20200111160206450</v>
      </c>
      <c r="B2619" t="str">
        <f>"1578729726444826"</f>
        <v>1578729726444826</v>
      </c>
      <c r="C2619" t="s">
        <v>37</v>
      </c>
      <c r="D2619">
        <v>6.2609240000000002</v>
      </c>
      <c r="E2619">
        <v>0.5161867</v>
      </c>
      <c r="F2619" t="s">
        <v>60</v>
      </c>
      <c r="G2619">
        <v>-311.71159999999998</v>
      </c>
      <c r="H2619" s="1">
        <v>1.6646539999999999E-6</v>
      </c>
      <c r="I2619">
        <v>214.29560000000001</v>
      </c>
      <c r="J2619">
        <v>-349.34870000000001</v>
      </c>
      <c r="K2619">
        <v>1.102908</v>
      </c>
      <c r="L2619">
        <v>214.33850000000001</v>
      </c>
      <c r="M2619">
        <v>0.99998829999999905</v>
      </c>
      <c r="N2619">
        <v>0</v>
      </c>
      <c r="O2619">
        <v>2.8134570000000001E-3</v>
      </c>
      <c r="P2619">
        <v>0.99882320000000002</v>
      </c>
      <c r="Q2619">
        <v>2.362672E-2</v>
      </c>
      <c r="R2619">
        <v>4.23633E-2</v>
      </c>
      <c r="S2619">
        <v>3.0059809999999998</v>
      </c>
      <c r="T2619">
        <v>-8.7576390000000004E-2</v>
      </c>
      <c r="U2619">
        <v>-3.4179689999999999E-3</v>
      </c>
      <c r="V2619">
        <v>-3.9516120000000002E-2</v>
      </c>
      <c r="W2619">
        <v>2.7652860000000001E-2</v>
      </c>
      <c r="X2619">
        <v>0.99883619999999995</v>
      </c>
      <c r="Y2619">
        <v>3.9476600000000004E-3</v>
      </c>
      <c r="Z2619">
        <v>-1.3944399999999999E-4</v>
      </c>
      <c r="AA2619">
        <v>0.999992199999999</v>
      </c>
      <c r="AB2619">
        <v>23</v>
      </c>
      <c r="AC2619">
        <v>37.637099999999997</v>
      </c>
      <c r="AD2619">
        <v>-1.102906335346</v>
      </c>
      <c r="AE2619">
        <v>-4.2900000000002998E-2</v>
      </c>
      <c r="AF2619">
        <v>0.14866335440957301</v>
      </c>
      <c r="AG2619">
        <v>-1.102906335346</v>
      </c>
      <c r="AH2619">
        <v>37.604539104599397</v>
      </c>
      <c r="AI2619">
        <v>91.679937491076799</v>
      </c>
      <c r="AJ2619">
        <v>89.773491748476502</v>
      </c>
      <c r="AK2619">
        <v>37.621002969708798</v>
      </c>
    </row>
    <row r="2620" spans="1:37" x14ac:dyDescent="0.2">
      <c r="A2620" t="str">
        <f>"20200111160206473"</f>
        <v>20200111160206473</v>
      </c>
      <c r="B2620" t="str">
        <f>"1578729726464346"</f>
        <v>1578729726464346</v>
      </c>
      <c r="C2620" t="s">
        <v>37</v>
      </c>
      <c r="D2620">
        <v>5.8939440000000003</v>
      </c>
      <c r="E2620">
        <v>0.51659560000000004</v>
      </c>
      <c r="F2620" t="s">
        <v>60</v>
      </c>
      <c r="G2620">
        <v>-311.14599999999899</v>
      </c>
      <c r="H2620" s="1">
        <v>1.4138440000000001E-6</v>
      </c>
      <c r="I2620">
        <v>214.42490000000001</v>
      </c>
      <c r="J2620">
        <v>-349.10930000000002</v>
      </c>
      <c r="K2620">
        <v>1.1029249999999999</v>
      </c>
      <c r="L2620">
        <v>214.3383</v>
      </c>
      <c r="M2620">
        <v>0.9999905</v>
      </c>
      <c r="N2620">
        <v>0</v>
      </c>
      <c r="O2620">
        <v>1.9705090000000001E-3</v>
      </c>
      <c r="P2620">
        <v>0.99887060000000005</v>
      </c>
      <c r="Q2620">
        <v>2.4211280000000002E-2</v>
      </c>
      <c r="R2620">
        <v>4.0884289999999997E-2</v>
      </c>
      <c r="S2620">
        <v>3.0053099999999899</v>
      </c>
      <c r="T2620">
        <v>-8.6762909999999999E-2</v>
      </c>
      <c r="U2620">
        <v>6.7901609999999899E-3</v>
      </c>
      <c r="V2620">
        <v>-3.8879259999999999E-2</v>
      </c>
      <c r="W2620">
        <v>2.8151909999999999E-2</v>
      </c>
      <c r="X2620">
        <v>0.99884719999999905</v>
      </c>
      <c r="Y2620">
        <v>-2.8955909999999998E-4</v>
      </c>
      <c r="Z2620" s="1">
        <v>-5.2697900000000002E-5</v>
      </c>
      <c r="AA2620">
        <v>0.99999989999999905</v>
      </c>
      <c r="AB2620">
        <v>23</v>
      </c>
      <c r="AC2620">
        <v>37.963299999999997</v>
      </c>
      <c r="AD2620">
        <v>-1.1029235861559901</v>
      </c>
      <c r="AE2620">
        <v>8.6600000000004201E-2</v>
      </c>
      <c r="AF2620">
        <v>-1.17822974359022E-2</v>
      </c>
      <c r="AG2620">
        <v>-1.1029235861559901</v>
      </c>
      <c r="AH2620">
        <v>37.931381512508104</v>
      </c>
      <c r="AI2620">
        <v>91.665509165315996</v>
      </c>
      <c r="AJ2620">
        <v>90.017797292569199</v>
      </c>
      <c r="AK2620">
        <v>37.947414703861803</v>
      </c>
    </row>
    <row r="2621" spans="1:37" x14ac:dyDescent="0.2">
      <c r="A2621" t="str">
        <f>"20200111160206496"</f>
        <v>20200111160206496</v>
      </c>
      <c r="B2621" t="str">
        <f>"1578729726494601"</f>
        <v>1578729726494601</v>
      </c>
      <c r="C2621" t="s">
        <v>37</v>
      </c>
      <c r="D2621">
        <v>5.9103620000000001</v>
      </c>
      <c r="E2621">
        <v>0.51820580000000005</v>
      </c>
      <c r="F2621" t="s">
        <v>60</v>
      </c>
      <c r="G2621">
        <v>-316.43869999999998</v>
      </c>
      <c r="H2621" s="1">
        <v>3.7609409999999999E-6</v>
      </c>
      <c r="I2621">
        <v>214.3391</v>
      </c>
      <c r="J2621">
        <v>-348.85739999999998</v>
      </c>
      <c r="K2621">
        <v>1.1029439999999999</v>
      </c>
      <c r="L2621">
        <v>214.33779999999999</v>
      </c>
      <c r="M2621">
        <v>0.99999210000000005</v>
      </c>
      <c r="N2621">
        <v>0</v>
      </c>
      <c r="O2621">
        <v>1.1148269999999899E-3</v>
      </c>
      <c r="P2621">
        <v>0.99894819999999995</v>
      </c>
      <c r="Q2621">
        <v>2.3971780000000002E-2</v>
      </c>
      <c r="R2621">
        <v>3.9091290000000001E-2</v>
      </c>
      <c r="S2621">
        <v>3.0058590000000001</v>
      </c>
      <c r="T2621">
        <v>-0.1014743</v>
      </c>
      <c r="U2621" s="1">
        <v>7.6293949999999995E-5</v>
      </c>
      <c r="V2621">
        <v>-3.7942709999999998E-2</v>
      </c>
      <c r="W2621">
        <v>2.7856390000000002E-2</v>
      </c>
      <c r="X2621">
        <v>0.99889159999999899</v>
      </c>
      <c r="Y2621">
        <v>1.088199E-3</v>
      </c>
      <c r="Z2621" s="1">
        <v>-5.5987769999999903E-5</v>
      </c>
      <c r="AA2621">
        <v>0.99999939999999998</v>
      </c>
      <c r="AB2621">
        <v>24</v>
      </c>
      <c r="AC2621">
        <v>32.418700000000001</v>
      </c>
      <c r="AD2621">
        <v>-1.102940239059</v>
      </c>
      <c r="AE2621">
        <v>1.3000000000147299E-3</v>
      </c>
      <c r="AF2621">
        <v>3.4801224277517598E-2</v>
      </c>
      <c r="AG2621">
        <v>-1.102940239059</v>
      </c>
      <c r="AH2621">
        <v>32.381200773599303</v>
      </c>
      <c r="AI2621">
        <v>91.950803597866994</v>
      </c>
      <c r="AJ2621">
        <v>89.9384222185206</v>
      </c>
      <c r="AK2621">
        <v>32.399997713523</v>
      </c>
    </row>
    <row r="2622" spans="1:37" x14ac:dyDescent="0.2">
      <c r="A2622" t="str">
        <f>"20200111160206516"</f>
        <v>20200111160206516</v>
      </c>
      <c r="B2622" t="str">
        <f>"1578729726504361"</f>
        <v>1578729726504361</v>
      </c>
      <c r="C2622" t="s">
        <v>37</v>
      </c>
      <c r="D2622">
        <v>6.7375629999999997</v>
      </c>
      <c r="E2622">
        <v>0.51827650000000003</v>
      </c>
      <c r="F2622" t="s">
        <v>57</v>
      </c>
      <c r="G2622">
        <v>-324.76490000000001</v>
      </c>
      <c r="H2622" s="1">
        <v>9.9882550000000004E-7</v>
      </c>
      <c r="I2622">
        <v>214.20949999999999</v>
      </c>
      <c r="J2622">
        <v>-348.6454</v>
      </c>
      <c r="K2622">
        <v>1.102957</v>
      </c>
      <c r="L2622">
        <v>214.3372</v>
      </c>
      <c r="M2622">
        <v>0.99999259999999901</v>
      </c>
      <c r="N2622">
        <v>0</v>
      </c>
      <c r="O2622">
        <v>4.18928399999999E-4</v>
      </c>
      <c r="P2622">
        <v>0.99905390000000005</v>
      </c>
      <c r="Q2622">
        <v>2.262581E-2</v>
      </c>
      <c r="R2622">
        <v>3.714344E-2</v>
      </c>
      <c r="S2622">
        <v>3.00707999999999</v>
      </c>
      <c r="T2622">
        <v>-0.1376626</v>
      </c>
      <c r="U2622">
        <v>-1.6006469999999998E-2</v>
      </c>
      <c r="V2622">
        <v>-3.669277E-2</v>
      </c>
      <c r="W2622">
        <v>2.6496949999999998E-2</v>
      </c>
      <c r="X2622">
        <v>0.99897530000000001</v>
      </c>
      <c r="Y2622">
        <v>5.7353319999999897E-3</v>
      </c>
      <c r="Z2622">
        <v>-1.5037899999999999E-4</v>
      </c>
      <c r="AA2622">
        <v>0.99998349999999903</v>
      </c>
      <c r="AB2622">
        <v>24</v>
      </c>
      <c r="AC2622">
        <v>23.880499999999898</v>
      </c>
      <c r="AD2622">
        <v>-1.1029560011744901</v>
      </c>
      <c r="AE2622">
        <v>-0.127700000000004</v>
      </c>
      <c r="AF2622">
        <v>0.13741116585719601</v>
      </c>
      <c r="AG2622">
        <v>-1.1029560011744901</v>
      </c>
      <c r="AH2622">
        <v>23.8296127681181</v>
      </c>
      <c r="AI2622">
        <v>92.650005538530195</v>
      </c>
      <c r="AJ2622">
        <v>89.669613070247095</v>
      </c>
      <c r="AK2622">
        <v>23.8555200833577</v>
      </c>
    </row>
    <row r="2623" spans="1:37" x14ac:dyDescent="0.2">
      <c r="A2623" t="str">
        <f>"20200111160206540"</f>
        <v>20200111160206540</v>
      </c>
      <c r="B2623" t="str">
        <f>"1578729726534618"</f>
        <v>1578729726534618</v>
      </c>
      <c r="C2623" t="s">
        <v>37</v>
      </c>
      <c r="D2623">
        <v>6.7361529999999998</v>
      </c>
      <c r="E2623">
        <v>0.51935529999999996</v>
      </c>
      <c r="F2623" t="s">
        <v>57</v>
      </c>
      <c r="G2623">
        <v>-324.5933</v>
      </c>
      <c r="H2623" s="1">
        <v>9.0754090000000002E-7</v>
      </c>
      <c r="I2623">
        <v>214.1567</v>
      </c>
      <c r="J2623">
        <v>-348.39359999999999</v>
      </c>
      <c r="K2623">
        <v>1.102978</v>
      </c>
      <c r="L2623">
        <v>214.3364</v>
      </c>
      <c r="M2623">
        <v>0.99999249999999995</v>
      </c>
      <c r="N2623">
        <v>0</v>
      </c>
      <c r="O2623">
        <v>-3.7430029999999998E-4</v>
      </c>
      <c r="P2623">
        <v>0.99916859999999996</v>
      </c>
      <c r="Q2623">
        <v>2.1197009999999999E-2</v>
      </c>
      <c r="R2623">
        <v>3.4828280000000003E-2</v>
      </c>
      <c r="S2623">
        <v>3.0068049999999999</v>
      </c>
      <c r="T2623">
        <v>-0.1378828</v>
      </c>
      <c r="U2623">
        <v>-2.2567750000000001E-2</v>
      </c>
      <c r="V2623">
        <v>-3.5172059999999998E-2</v>
      </c>
      <c r="W2623">
        <v>2.510743E-2</v>
      </c>
      <c r="X2623">
        <v>0.9990658</v>
      </c>
      <c r="Y2623">
        <v>7.1239609999999998E-3</v>
      </c>
      <c r="Z2623">
        <v>-1.4609820000000001E-4</v>
      </c>
      <c r="AA2623">
        <v>0.99997459999999905</v>
      </c>
      <c r="AB2623">
        <v>24</v>
      </c>
      <c r="AC2623">
        <v>23.8003</v>
      </c>
      <c r="AD2623">
        <v>-1.1029770924591</v>
      </c>
      <c r="AE2623">
        <v>-0.179699999999996</v>
      </c>
      <c r="AF2623">
        <v>0.17042546451674001</v>
      </c>
      <c r="AG2623">
        <v>-1.1029770924591</v>
      </c>
      <c r="AH2623">
        <v>23.749362641702501</v>
      </c>
      <c r="AI2623">
        <v>92.658973746665296</v>
      </c>
      <c r="AJ2623">
        <v>89.588852451306806</v>
      </c>
      <c r="AK2623">
        <v>23.775572110730302</v>
      </c>
    </row>
    <row r="2624" spans="1:37" x14ac:dyDescent="0.2">
      <c r="A2624" t="str">
        <f>"20200111160206561"</f>
        <v>20200111160206561</v>
      </c>
      <c r="B2624" t="str">
        <f>"1578729726554137"</f>
        <v>1578729726554137</v>
      </c>
      <c r="C2624" t="s">
        <v>37</v>
      </c>
      <c r="D2624">
        <v>5.8609749999999998</v>
      </c>
      <c r="E2624">
        <v>0.51966429999999997</v>
      </c>
      <c r="F2624" t="s">
        <v>57</v>
      </c>
      <c r="G2624">
        <v>-326.31450000000001</v>
      </c>
      <c r="H2624" s="1">
        <v>1.8235049999999999E-6</v>
      </c>
      <c r="I2624">
        <v>214.06129999999999</v>
      </c>
      <c r="J2624">
        <v>-348.14909999999998</v>
      </c>
      <c r="K2624">
        <v>1.103016</v>
      </c>
      <c r="L2624">
        <v>214.3355</v>
      </c>
      <c r="M2624">
        <v>0.99999150000000003</v>
      </c>
      <c r="N2624">
        <v>0</v>
      </c>
      <c r="O2624">
        <v>-1.107233E-3</v>
      </c>
      <c r="P2624">
        <v>0.99926479999999995</v>
      </c>
      <c r="Q2624">
        <v>2.0621770000000001E-2</v>
      </c>
      <c r="R2624">
        <v>3.2321559999999999E-2</v>
      </c>
      <c r="S2624">
        <v>3.0069889999999999</v>
      </c>
      <c r="T2624">
        <v>-0.15021660000000001</v>
      </c>
      <c r="U2624">
        <v>-3.7475590000000003E-2</v>
      </c>
      <c r="V2624">
        <v>-3.3399270000000002E-2</v>
      </c>
      <c r="W2624">
        <v>2.4631699999999999E-2</v>
      </c>
      <c r="X2624">
        <v>0.99913850000000004</v>
      </c>
      <c r="Y2624">
        <v>1.134194E-2</v>
      </c>
      <c r="Z2624">
        <v>-2.27834E-4</v>
      </c>
      <c r="AA2624">
        <v>0.99993559999999904</v>
      </c>
      <c r="AB2624">
        <v>24</v>
      </c>
      <c r="AC2624">
        <v>21.834599999999899</v>
      </c>
      <c r="AD2624">
        <v>-1.1030141764949899</v>
      </c>
      <c r="AE2624">
        <v>-0.27420000000000699</v>
      </c>
      <c r="AF2624">
        <v>0.249387328599668</v>
      </c>
      <c r="AG2624">
        <v>-1.1030141764949899</v>
      </c>
      <c r="AH2624">
        <v>21.779319309102199</v>
      </c>
      <c r="AI2624">
        <v>92.899079368024999</v>
      </c>
      <c r="AJ2624">
        <v>89.343954843852501</v>
      </c>
      <c r="AK2624">
        <v>21.808658461286601</v>
      </c>
    </row>
    <row r="2625" spans="1:37" x14ac:dyDescent="0.2">
      <c r="A2625" t="str">
        <f>"20200111160206585"</f>
        <v>20200111160206585</v>
      </c>
      <c r="B2625" t="str">
        <f>"1578729726574632"</f>
        <v>1578729726574632</v>
      </c>
      <c r="C2625" t="s">
        <v>37</v>
      </c>
      <c r="D2625">
        <v>5.8834669999999996</v>
      </c>
      <c r="E2625">
        <v>0.52004929999999905</v>
      </c>
      <c r="F2625" t="s">
        <v>57</v>
      </c>
      <c r="G2625">
        <v>-325.92270000000002</v>
      </c>
      <c r="H2625" s="1">
        <v>1.614985E-6</v>
      </c>
      <c r="I2625">
        <v>213.98310000000001</v>
      </c>
      <c r="J2625">
        <v>-347.90300000000002</v>
      </c>
      <c r="K2625">
        <v>1.1030679999999999</v>
      </c>
      <c r="L2625">
        <v>214.33439999999999</v>
      </c>
      <c r="M2625">
        <v>0.99998989999999999</v>
      </c>
      <c r="N2625">
        <v>0</v>
      </c>
      <c r="O2625">
        <v>-1.8056050000000001E-3</v>
      </c>
      <c r="P2625">
        <v>0.99932619999999905</v>
      </c>
      <c r="Q2625">
        <v>2.2024729999999999E-2</v>
      </c>
      <c r="R2625">
        <v>2.936534E-2</v>
      </c>
      <c r="S2625">
        <v>3.0068359999999998</v>
      </c>
      <c r="T2625">
        <v>-0.1492184</v>
      </c>
      <c r="U2625">
        <v>-4.7668460000000003E-2</v>
      </c>
      <c r="V2625">
        <v>-3.1141120000000001E-2</v>
      </c>
      <c r="W2625">
        <v>2.619235E-2</v>
      </c>
      <c r="X2625">
        <v>0.999171699999999</v>
      </c>
      <c r="Y2625">
        <v>1.4030910000000001E-2</v>
      </c>
      <c r="Z2625">
        <v>-2.5837050000000002E-4</v>
      </c>
      <c r="AA2625">
        <v>0.999901499999999</v>
      </c>
      <c r="AB2625">
        <v>24</v>
      </c>
      <c r="AC2625">
        <v>21.9803</v>
      </c>
      <c r="AD2625">
        <v>-1.103066385015</v>
      </c>
      <c r="AE2625">
        <v>-0.35129999999998002</v>
      </c>
      <c r="AF2625">
        <v>0.31082873993834298</v>
      </c>
      <c r="AG2625">
        <v>-1.103066385015</v>
      </c>
      <c r="AH2625">
        <v>21.925693474576999</v>
      </c>
      <c r="AI2625">
        <v>92.879793712451303</v>
      </c>
      <c r="AJ2625">
        <v>89.187803019068198</v>
      </c>
      <c r="AK2625">
        <v>21.955623523289699</v>
      </c>
    </row>
    <row r="2626" spans="1:37" x14ac:dyDescent="0.2">
      <c r="A2626" t="str">
        <f>"20200111160206605"</f>
        <v>20200111160206605</v>
      </c>
      <c r="B2626" t="str">
        <f>"1578729726594154"</f>
        <v>1578729726594154</v>
      </c>
      <c r="C2626" t="s">
        <v>37</v>
      </c>
      <c r="D2626">
        <v>5.7286760000000001</v>
      </c>
      <c r="E2626">
        <v>0.5203139</v>
      </c>
      <c r="F2626" t="s">
        <v>57</v>
      </c>
      <c r="G2626">
        <v>-326.0641</v>
      </c>
      <c r="H2626" s="1">
        <v>1.690232E-6</v>
      </c>
      <c r="I2626">
        <v>213.90599999999901</v>
      </c>
      <c r="J2626">
        <v>-347.67759999999998</v>
      </c>
      <c r="K2626">
        <v>1.1031229999999901</v>
      </c>
      <c r="L2626">
        <v>214.33330000000001</v>
      </c>
      <c r="M2626">
        <v>0.99998790000000004</v>
      </c>
      <c r="N2626">
        <v>0</v>
      </c>
      <c r="O2626">
        <v>-2.4047420000000001E-3</v>
      </c>
      <c r="P2626">
        <v>0.99938680000000002</v>
      </c>
      <c r="Q2626">
        <v>2.3410739999999999E-2</v>
      </c>
      <c r="R2626">
        <v>2.603857E-2</v>
      </c>
      <c r="S2626">
        <v>3.0071409999999998</v>
      </c>
      <c r="T2626">
        <v>-0.15188889999999999</v>
      </c>
      <c r="U2626">
        <v>-5.8990479999999998E-2</v>
      </c>
      <c r="V2626">
        <v>-2.841312E-2</v>
      </c>
      <c r="W2626">
        <v>2.776439E-2</v>
      </c>
      <c r="X2626">
        <v>0.99921059999999995</v>
      </c>
      <c r="Y2626">
        <v>1.718983E-2</v>
      </c>
      <c r="Z2626">
        <v>-3.1243239999999999E-4</v>
      </c>
      <c r="AA2626">
        <v>0.99985219999999897</v>
      </c>
      <c r="AB2626">
        <v>24</v>
      </c>
      <c r="AC2626">
        <v>21.613499999999899</v>
      </c>
      <c r="AD2626">
        <v>-1.1031213097679999</v>
      </c>
      <c r="AE2626">
        <v>-0.42730000000002999</v>
      </c>
      <c r="AF2626">
        <v>0.374348623031381</v>
      </c>
      <c r="AG2626">
        <v>-1.1031213097679999</v>
      </c>
      <c r="AH2626">
        <v>21.558329026854</v>
      </c>
      <c r="AI2626">
        <v>92.928780698161404</v>
      </c>
      <c r="AJ2626">
        <v>89.005190023218304</v>
      </c>
      <c r="AK2626">
        <v>21.589779154630701</v>
      </c>
    </row>
    <row r="2627" spans="1:37" x14ac:dyDescent="0.2">
      <c r="A2627" t="str">
        <f>"20200111160206628"</f>
        <v>20200111160206628</v>
      </c>
      <c r="B2627" t="str">
        <f>"1578729726624410"</f>
        <v>1578729726624410</v>
      </c>
      <c r="C2627" t="s">
        <v>37</v>
      </c>
      <c r="D2627">
        <v>5.824179</v>
      </c>
      <c r="E2627">
        <v>0.52015319999999998</v>
      </c>
      <c r="F2627" t="s">
        <v>57</v>
      </c>
      <c r="G2627">
        <v>-326.29649999999998</v>
      </c>
      <c r="H2627" s="1">
        <v>1.8139229999999999E-6</v>
      </c>
      <c r="I2627">
        <v>213.83510000000001</v>
      </c>
      <c r="J2627">
        <v>-347.43209999999999</v>
      </c>
      <c r="K2627">
        <v>1.103189</v>
      </c>
      <c r="L2627">
        <v>214.33199999999999</v>
      </c>
      <c r="M2627">
        <v>0.99998529999999997</v>
      </c>
      <c r="N2627">
        <v>0</v>
      </c>
      <c r="O2627">
        <v>-3.0080129999999999E-3</v>
      </c>
      <c r="P2627">
        <v>0.99944569999999999</v>
      </c>
      <c r="Q2627">
        <v>2.3472389999999999E-2</v>
      </c>
      <c r="R2627">
        <v>2.361044E-2</v>
      </c>
      <c r="S2627">
        <v>3.007263</v>
      </c>
      <c r="T2627">
        <v>-0.15515509999999999</v>
      </c>
      <c r="U2627">
        <v>-7.0068359999999996E-2</v>
      </c>
      <c r="V2627">
        <v>-2.658992E-2</v>
      </c>
      <c r="W2627">
        <v>2.8057530000000001E-2</v>
      </c>
      <c r="X2627">
        <v>0.99925259999999905</v>
      </c>
      <c r="Y2627">
        <v>2.0263119999999999E-2</v>
      </c>
      <c r="Z2627">
        <v>-3.6723430000000002E-4</v>
      </c>
      <c r="AA2627">
        <v>0.99979459999999998</v>
      </c>
      <c r="AB2627">
        <v>24</v>
      </c>
      <c r="AC2627">
        <v>21.1356</v>
      </c>
      <c r="AD2627">
        <v>-1.1031871860769999</v>
      </c>
      <c r="AE2627">
        <v>-0.49689999999998202</v>
      </c>
      <c r="AF2627">
        <v>0.43214426634835601</v>
      </c>
      <c r="AG2627">
        <v>-1.1031871860769999</v>
      </c>
      <c r="AH2627">
        <v>21.0796017474241</v>
      </c>
      <c r="AI2627">
        <v>92.9951759456833</v>
      </c>
      <c r="AJ2627">
        <v>88.825567242458604</v>
      </c>
      <c r="AK2627">
        <v>21.1128723878222</v>
      </c>
    </row>
    <row r="2628" spans="1:37" x14ac:dyDescent="0.2">
      <c r="A2628" t="str">
        <f>"20200111160206653"</f>
        <v>20200111160206653</v>
      </c>
      <c r="B2628" t="str">
        <f>"1578729726643930"</f>
        <v>1578729726643930</v>
      </c>
      <c r="C2628" t="s">
        <v>37</v>
      </c>
      <c r="D2628">
        <v>5.9362740000000001</v>
      </c>
      <c r="E2628">
        <v>0.5200612</v>
      </c>
      <c r="F2628" t="s">
        <v>57</v>
      </c>
      <c r="G2628">
        <v>-325.709</v>
      </c>
      <c r="H2628" s="1">
        <v>1.501232E-6</v>
      </c>
      <c r="I2628">
        <v>213.77979999999999</v>
      </c>
      <c r="J2628">
        <v>-347.16140000000001</v>
      </c>
      <c r="K2628">
        <v>1.1032679999999999</v>
      </c>
      <c r="L2628">
        <v>214.3305</v>
      </c>
      <c r="M2628">
        <v>0.99998189999999998</v>
      </c>
      <c r="N2628">
        <v>0</v>
      </c>
      <c r="O2628">
        <v>-3.5967920000000001E-3</v>
      </c>
      <c r="P2628">
        <v>0.99950599999999901</v>
      </c>
      <c r="Q2628">
        <v>2.2564089999999998E-2</v>
      </c>
      <c r="R2628">
        <v>2.188437E-2</v>
      </c>
      <c r="S2628">
        <v>3.0070189999999899</v>
      </c>
      <c r="T2628">
        <v>-0.15270810000000001</v>
      </c>
      <c r="U2628">
        <v>-7.6431269999999996E-2</v>
      </c>
      <c r="V2628">
        <v>-2.5455370000000001E-2</v>
      </c>
      <c r="W2628">
        <v>2.7422149999999999E-2</v>
      </c>
      <c r="X2628">
        <v>0.99929979999999996</v>
      </c>
      <c r="Y2628">
        <v>2.1790150000000001E-2</v>
      </c>
      <c r="Z2628">
        <v>-3.703372E-4</v>
      </c>
      <c r="AA2628">
        <v>0.9997625</v>
      </c>
      <c r="AB2628">
        <v>24</v>
      </c>
      <c r="AC2628">
        <v>21.452400000000001</v>
      </c>
      <c r="AD2628">
        <v>-1.1032664987680001</v>
      </c>
      <c r="AE2628">
        <v>-0.55070000000000596</v>
      </c>
      <c r="AF2628">
        <v>0.47228738973536699</v>
      </c>
      <c r="AG2628">
        <v>-1.1032664987680001</v>
      </c>
      <c r="AH2628">
        <v>21.3976845654587</v>
      </c>
      <c r="AI2628">
        <v>92.950844344019799</v>
      </c>
      <c r="AJ2628">
        <v>88.735579025897096</v>
      </c>
      <c r="AK2628">
        <v>21.4313125381689</v>
      </c>
    </row>
    <row r="2629" spans="1:37" x14ac:dyDescent="0.2">
      <c r="A2629" t="str">
        <f>"20200111160206675"</f>
        <v>20200111160206675</v>
      </c>
      <c r="B2629" t="str">
        <f>"1578729726664426"</f>
        <v>1578729726664426</v>
      </c>
      <c r="C2629" t="s">
        <v>37</v>
      </c>
      <c r="D2629">
        <v>5.8223949999999904</v>
      </c>
      <c r="E2629">
        <v>0.51985079999999995</v>
      </c>
      <c r="F2629" t="s">
        <v>57</v>
      </c>
      <c r="G2629">
        <v>-325.3349</v>
      </c>
      <c r="H2629" s="1">
        <v>1.302168E-6</v>
      </c>
      <c r="I2629">
        <v>213.74260000000001</v>
      </c>
      <c r="J2629">
        <v>-346.9246</v>
      </c>
      <c r="K2629">
        <v>1.103332</v>
      </c>
      <c r="L2629">
        <v>214.32910000000001</v>
      </c>
      <c r="M2629">
        <v>0.99997899999999995</v>
      </c>
      <c r="N2629">
        <v>0</v>
      </c>
      <c r="O2629">
        <v>-4.0484079999999999E-3</v>
      </c>
      <c r="P2629">
        <v>0.9995465</v>
      </c>
      <c r="Q2629">
        <v>2.171232E-2</v>
      </c>
      <c r="R2629">
        <v>2.086578E-2</v>
      </c>
      <c r="S2629">
        <v>3.0066830000000002</v>
      </c>
      <c r="T2629">
        <v>-0.15197910000000001</v>
      </c>
      <c r="U2629">
        <v>-8.0978389999999997E-2</v>
      </c>
      <c r="V2629">
        <v>-2.48916E-2</v>
      </c>
      <c r="W2629">
        <v>2.6809639999999999E-2</v>
      </c>
      <c r="X2629">
        <v>0.99933059999999996</v>
      </c>
      <c r="Y2629">
        <v>2.2851839999999998E-2</v>
      </c>
      <c r="Z2629">
        <v>-3.7260699999999898E-4</v>
      </c>
      <c r="AA2629">
        <v>0.99973880000000004</v>
      </c>
      <c r="AB2629">
        <v>24</v>
      </c>
      <c r="AC2629">
        <v>21.589700000000001</v>
      </c>
      <c r="AD2629">
        <v>-1.1033306978319899</v>
      </c>
      <c r="AE2629">
        <v>-0.58650000000000002</v>
      </c>
      <c r="AF2629">
        <v>0.49779105326787598</v>
      </c>
      <c r="AG2629">
        <v>-1.1033306978319899</v>
      </c>
      <c r="AH2629">
        <v>21.535694855701799</v>
      </c>
      <c r="AI2629">
        <v>92.932068513046303</v>
      </c>
      <c r="AJ2629">
        <v>88.675861229234698</v>
      </c>
      <c r="AK2629">
        <v>21.569684454794299</v>
      </c>
    </row>
    <row r="2630" spans="1:37" x14ac:dyDescent="0.2">
      <c r="A2630" t="str">
        <f>"20200111160206696"</f>
        <v>20200111160206696</v>
      </c>
      <c r="B2630" t="str">
        <f>"1578729726683946"</f>
        <v>1578729726683946</v>
      </c>
      <c r="C2630" t="s">
        <v>37</v>
      </c>
      <c r="D2630">
        <v>5.757593</v>
      </c>
      <c r="E2630">
        <v>0.51983429999999997</v>
      </c>
      <c r="F2630" t="s">
        <v>57</v>
      </c>
      <c r="G2630">
        <v>-325.68849999999998</v>
      </c>
      <c r="H2630" s="1">
        <v>1.490355E-6</v>
      </c>
      <c r="I2630">
        <v>213.74860000000001</v>
      </c>
      <c r="J2630">
        <v>-346.6857</v>
      </c>
      <c r="K2630">
        <v>1.1033919999999999</v>
      </c>
      <c r="L2630">
        <v>214.32759999999999</v>
      </c>
      <c r="M2630">
        <v>0.99997619999999898</v>
      </c>
      <c r="N2630">
        <v>0</v>
      </c>
      <c r="O2630">
        <v>-4.4503199999999998E-3</v>
      </c>
      <c r="P2630">
        <v>0.99954379999999998</v>
      </c>
      <c r="Q2630">
        <v>2.1880139999999999E-2</v>
      </c>
      <c r="R2630">
        <v>2.083202E-2</v>
      </c>
      <c r="S2630">
        <v>3.0065</v>
      </c>
      <c r="T2630">
        <v>-0.15620429999999999</v>
      </c>
      <c r="U2630">
        <v>-8.2183839999999994E-2</v>
      </c>
      <c r="V2630">
        <v>-2.5262050000000001E-2</v>
      </c>
      <c r="W2630">
        <v>2.7209560000000001E-2</v>
      </c>
      <c r="X2630">
        <v>0.99931049999999999</v>
      </c>
      <c r="Y2630">
        <v>2.2851389999999999E-2</v>
      </c>
      <c r="Z2630">
        <v>-3.6209839999999899E-4</v>
      </c>
      <c r="AA2630">
        <v>0.99973880000000004</v>
      </c>
      <c r="AB2630">
        <v>25</v>
      </c>
      <c r="AC2630">
        <v>20.997199999999999</v>
      </c>
      <c r="AD2630">
        <v>-1.1033905096449901</v>
      </c>
      <c r="AE2630">
        <v>-0.57899999999997898</v>
      </c>
      <c r="AF2630">
        <v>0.48421260002052002</v>
      </c>
      <c r="AG2630">
        <v>-1.1033905096449901</v>
      </c>
      <c r="AH2630">
        <v>20.941783282902598</v>
      </c>
      <c r="AI2630">
        <v>93.015233672224596</v>
      </c>
      <c r="AJ2630">
        <v>88.675452059886197</v>
      </c>
      <c r="AK2630">
        <v>20.976420560401898</v>
      </c>
    </row>
    <row r="2631" spans="1:37" x14ac:dyDescent="0.2">
      <c r="A2631" t="str">
        <f>"20200111160206718"</f>
        <v>20200111160206718</v>
      </c>
      <c r="B2631" t="str">
        <f>"1578729726714202"</f>
        <v>1578729726714202</v>
      </c>
      <c r="C2631" t="s">
        <v>37</v>
      </c>
      <c r="D2631">
        <v>5.7293079999999996</v>
      </c>
      <c r="E2631">
        <v>0.51980509999999902</v>
      </c>
      <c r="F2631" t="s">
        <v>57</v>
      </c>
      <c r="G2631">
        <v>-326.40429999999998</v>
      </c>
      <c r="H2631" s="1">
        <v>1.871238E-6</v>
      </c>
      <c r="I2631">
        <v>213.7782</v>
      </c>
      <c r="J2631">
        <v>-346.44549999999998</v>
      </c>
      <c r="K2631">
        <v>1.1034489999999999</v>
      </c>
      <c r="L2631">
        <v>214.3261</v>
      </c>
      <c r="M2631">
        <v>0.99997320000000001</v>
      </c>
      <c r="N2631">
        <v>0</v>
      </c>
      <c r="O2631">
        <v>-4.7994170000000003E-3</v>
      </c>
      <c r="P2631">
        <v>0.99953130000000001</v>
      </c>
      <c r="Q2631">
        <v>2.1961620000000001E-2</v>
      </c>
      <c r="R2631">
        <v>2.1333970000000001E-2</v>
      </c>
      <c r="S2631">
        <v>3.006653</v>
      </c>
      <c r="T2631">
        <v>-0.16357349999999901</v>
      </c>
      <c r="U2631">
        <v>-8.1451419999999997E-2</v>
      </c>
      <c r="V2631">
        <v>-2.6114780000000001E-2</v>
      </c>
      <c r="W2631">
        <v>2.751224E-2</v>
      </c>
      <c r="X2631">
        <v>0.99928030000000001</v>
      </c>
      <c r="Y2631">
        <v>2.2256629999999999E-2</v>
      </c>
      <c r="Z2631">
        <v>-3.4400000000000001E-4</v>
      </c>
      <c r="AA2631">
        <v>0.99975219999999898</v>
      </c>
      <c r="AB2631">
        <v>25</v>
      </c>
      <c r="AC2631">
        <v>20.0412</v>
      </c>
      <c r="AD2631">
        <v>-1.10344712876199</v>
      </c>
      <c r="AE2631">
        <v>-0.54789999999999806</v>
      </c>
      <c r="AF2631">
        <v>0.45034195763438301</v>
      </c>
      <c r="AG2631">
        <v>-1.10344712876199</v>
      </c>
      <c r="AH2631">
        <v>19.983065666187201</v>
      </c>
      <c r="AI2631">
        <v>93.159811571233902</v>
      </c>
      <c r="AJ2631">
        <v>88.708990549651901</v>
      </c>
      <c r="AK2631">
        <v>20.018574296486001</v>
      </c>
    </row>
    <row r="2632" spans="1:37" x14ac:dyDescent="0.2">
      <c r="A2632" t="str">
        <f>"20200111160206740"</f>
        <v>20200111160206740</v>
      </c>
      <c r="B2632" t="str">
        <f>"1578729726734698"</f>
        <v>1578729726734698</v>
      </c>
      <c r="C2632" t="s">
        <v>37</v>
      </c>
      <c r="D2632">
        <v>5.7657150000000001</v>
      </c>
      <c r="E2632">
        <v>0.51975799999999905</v>
      </c>
      <c r="F2632" t="s">
        <v>57</v>
      </c>
      <c r="G2632">
        <v>-326.94119999999998</v>
      </c>
      <c r="H2632" s="1">
        <v>2.1569710000000001E-6</v>
      </c>
      <c r="I2632">
        <v>213.81450000000001</v>
      </c>
      <c r="J2632">
        <v>-346.19349999999997</v>
      </c>
      <c r="K2632">
        <v>1.1034919999999999</v>
      </c>
      <c r="L2632">
        <v>214.3245</v>
      </c>
      <c r="M2632">
        <v>0.99997049999999998</v>
      </c>
      <c r="N2632">
        <v>0</v>
      </c>
      <c r="O2632">
        <v>-5.1046319999999996E-3</v>
      </c>
      <c r="P2632">
        <v>0.99953479999999995</v>
      </c>
      <c r="Q2632">
        <v>2.110851E-2</v>
      </c>
      <c r="R2632">
        <v>2.201966E-2</v>
      </c>
      <c r="S2632">
        <v>3.006866</v>
      </c>
      <c r="T2632">
        <v>-0.17011180000000001</v>
      </c>
      <c r="U2632">
        <v>-7.8872680000000001E-2</v>
      </c>
      <c r="V2632">
        <v>-2.7108730000000001E-2</v>
      </c>
      <c r="W2632">
        <v>2.6874470000000001E-2</v>
      </c>
      <c r="X2632">
        <v>0.99927119999999903</v>
      </c>
      <c r="Y2632">
        <v>2.1092989999999999E-2</v>
      </c>
      <c r="Z2632">
        <v>-3.075725E-4</v>
      </c>
      <c r="AA2632">
        <v>0.99977749999999999</v>
      </c>
      <c r="AB2632">
        <v>25</v>
      </c>
      <c r="AC2632">
        <v>19.252299999999899</v>
      </c>
      <c r="AD2632">
        <v>-1.1034898430290001</v>
      </c>
      <c r="AE2632">
        <v>-0.50999999999999002</v>
      </c>
      <c r="AF2632">
        <v>0.410368602335136</v>
      </c>
      <c r="AG2632">
        <v>-1.1034898430290001</v>
      </c>
      <c r="AH2632">
        <v>19.191646981564499</v>
      </c>
      <c r="AI2632">
        <v>93.290044442949593</v>
      </c>
      <c r="AJ2632">
        <v>88.775050076159104</v>
      </c>
      <c r="AK2632">
        <v>19.227724932722602</v>
      </c>
    </row>
    <row r="2633" spans="1:37" x14ac:dyDescent="0.2">
      <c r="A2633" t="str">
        <f>"20200111160206763"</f>
        <v>20200111160206763</v>
      </c>
      <c r="B2633" t="str">
        <f>"1578729726754217"</f>
        <v>1578729726754217</v>
      </c>
      <c r="C2633" t="s">
        <v>37</v>
      </c>
      <c r="D2633">
        <v>5.7578309999999897</v>
      </c>
      <c r="E2633">
        <v>0.51942770000000005</v>
      </c>
      <c r="F2633" t="s">
        <v>57</v>
      </c>
      <c r="G2633">
        <v>-327.65710000000001</v>
      </c>
      <c r="H2633" s="1">
        <v>2.5379560000000002E-6</v>
      </c>
      <c r="I2633">
        <v>213.85579999999999</v>
      </c>
      <c r="J2633">
        <v>-345.93889999999999</v>
      </c>
      <c r="K2633">
        <v>1.103532</v>
      </c>
      <c r="L2633">
        <v>214.3229</v>
      </c>
      <c r="M2633">
        <v>0.99996799999999997</v>
      </c>
      <c r="N2633">
        <v>0</v>
      </c>
      <c r="O2633">
        <v>-5.3540180000000003E-3</v>
      </c>
      <c r="P2633">
        <v>0.99954050000000005</v>
      </c>
      <c r="Q2633">
        <v>1.9402329999999999E-2</v>
      </c>
      <c r="R2633">
        <v>2.32979E-2</v>
      </c>
      <c r="S2633">
        <v>3.006866</v>
      </c>
      <c r="T2633">
        <v>-0.17900199999999999</v>
      </c>
      <c r="U2633">
        <v>-7.6034550000000006E-2</v>
      </c>
      <c r="V2633">
        <v>-2.8638879999999999E-2</v>
      </c>
      <c r="W2633">
        <v>2.5368180000000001E-2</v>
      </c>
      <c r="X2633">
        <v>0.99926789999999999</v>
      </c>
      <c r="Y2633">
        <v>1.990039E-2</v>
      </c>
      <c r="Z2633">
        <v>-2.733309E-4</v>
      </c>
      <c r="AA2633">
        <v>0.99980190000000002</v>
      </c>
      <c r="AB2633">
        <v>25</v>
      </c>
      <c r="AC2633">
        <v>18.281799999999901</v>
      </c>
      <c r="AD2633">
        <v>-1.1035294620439999</v>
      </c>
      <c r="AE2633">
        <v>-0.467100000000016</v>
      </c>
      <c r="AF2633">
        <v>0.36787099128258299</v>
      </c>
      <c r="AG2633">
        <v>-1.1035294620439999</v>
      </c>
      <c r="AH2633">
        <v>18.217704254904501</v>
      </c>
      <c r="AI2633">
        <v>93.465726346018002</v>
      </c>
      <c r="AJ2633">
        <v>88.843180744984707</v>
      </c>
      <c r="AK2633">
        <v>18.254803605051201</v>
      </c>
    </row>
    <row r="2634" spans="1:37" x14ac:dyDescent="0.2">
      <c r="A2634" t="str">
        <f>"20200111160206786"</f>
        <v>20200111160206786</v>
      </c>
      <c r="B2634" t="str">
        <f>"1578729726774713"</f>
        <v>1578729726774713</v>
      </c>
      <c r="C2634" t="s">
        <v>37</v>
      </c>
      <c r="D2634">
        <v>5.8078190000000003</v>
      </c>
      <c r="E2634">
        <v>0.5190958</v>
      </c>
      <c r="F2634" t="s">
        <v>57</v>
      </c>
      <c r="G2634">
        <v>-327.30029999999999</v>
      </c>
      <c r="H2634" s="1">
        <v>2.3480689999999998E-6</v>
      </c>
      <c r="I2634">
        <v>213.88829999999999</v>
      </c>
      <c r="J2634">
        <v>-345.68680000000001</v>
      </c>
      <c r="K2634">
        <v>1.1035629999999901</v>
      </c>
      <c r="L2634">
        <v>214.32130000000001</v>
      </c>
      <c r="M2634">
        <v>0.99996589999999996</v>
      </c>
      <c r="N2634">
        <v>0</v>
      </c>
      <c r="O2634">
        <v>-5.549844E-3</v>
      </c>
      <c r="P2634">
        <v>0.99955930000000004</v>
      </c>
      <c r="Q2634">
        <v>1.7291669999999999E-2</v>
      </c>
      <c r="R2634">
        <v>2.4138960000000001E-2</v>
      </c>
      <c r="S2634">
        <v>3.0064700000000002</v>
      </c>
      <c r="T2634">
        <v>-0.17800339999999901</v>
      </c>
      <c r="U2634">
        <v>-7.0098880000000002E-2</v>
      </c>
      <c r="V2634">
        <v>-2.9678530000000002E-2</v>
      </c>
      <c r="W2634">
        <v>2.3439950000000001E-2</v>
      </c>
      <c r="X2634">
        <v>0.99928459999999997</v>
      </c>
      <c r="Y2634">
        <v>1.7739540000000002E-2</v>
      </c>
      <c r="Z2634">
        <v>-1.9636400000000001E-4</v>
      </c>
      <c r="AA2634">
        <v>0.99984259999999903</v>
      </c>
      <c r="AB2634">
        <v>25</v>
      </c>
      <c r="AC2634">
        <v>18.386500000000002</v>
      </c>
      <c r="AD2634">
        <v>-1.1035606519309999</v>
      </c>
      <c r="AE2634">
        <v>-0.43300000000002098</v>
      </c>
      <c r="AF2634">
        <v>0.329761934132</v>
      </c>
      <c r="AG2634">
        <v>-1.1035606519309999</v>
      </c>
      <c r="AH2634">
        <v>18.322650668207402</v>
      </c>
      <c r="AI2634">
        <v>93.446164955405607</v>
      </c>
      <c r="AJ2634">
        <v>88.968930433358807</v>
      </c>
      <c r="AK2634">
        <v>18.358815772125698</v>
      </c>
    </row>
    <row r="2635" spans="1:37" x14ac:dyDescent="0.2">
      <c r="A2635" t="str">
        <f>"20200111160206810"</f>
        <v>20200111160206810</v>
      </c>
      <c r="B2635" t="str">
        <f>"1578729726803994"</f>
        <v>1578729726803994</v>
      </c>
      <c r="C2635" t="s">
        <v>37</v>
      </c>
      <c r="D2635">
        <v>5.853999</v>
      </c>
      <c r="E2635">
        <v>0.54990600000000001</v>
      </c>
      <c r="F2635" t="s">
        <v>57</v>
      </c>
      <c r="G2635">
        <v>-327.25</v>
      </c>
      <c r="H2635" s="1">
        <v>2.321294E-6</v>
      </c>
      <c r="I2635">
        <v>213.92</v>
      </c>
      <c r="J2635">
        <v>-345.42039999999997</v>
      </c>
      <c r="K2635">
        <v>1.103593</v>
      </c>
      <c r="L2635">
        <v>214.31960000000001</v>
      </c>
      <c r="M2635">
        <v>0.99996379999999996</v>
      </c>
      <c r="N2635">
        <v>0</v>
      </c>
      <c r="O2635">
        <v>-5.7114690000000003E-3</v>
      </c>
      <c r="P2635">
        <v>0.99957790000000002</v>
      </c>
      <c r="Q2635">
        <v>1.5546529999999999E-2</v>
      </c>
      <c r="R2635">
        <v>2.4548380000000002E-2</v>
      </c>
      <c r="S2635">
        <v>3.0060419999999999</v>
      </c>
      <c r="T2635">
        <v>-0.1799309</v>
      </c>
      <c r="U2635">
        <v>-6.5429689999999999E-2</v>
      </c>
      <c r="V2635">
        <v>-3.025187E-2</v>
      </c>
      <c r="W2635">
        <v>2.1873460000000001E-2</v>
      </c>
      <c r="X2635">
        <v>0.99930289999999999</v>
      </c>
      <c r="Y2635">
        <v>1.6031859999999998E-2</v>
      </c>
      <c r="Z2635">
        <v>-1.3779680000000001E-4</v>
      </c>
      <c r="AA2635">
        <v>0.99987150000000002</v>
      </c>
      <c r="AB2635">
        <v>25</v>
      </c>
      <c r="AC2635">
        <v>18.170399999999901</v>
      </c>
      <c r="AD2635">
        <v>-1.1035906787059999</v>
      </c>
      <c r="AE2635">
        <v>-0.39960000000001999</v>
      </c>
      <c r="AF2635">
        <v>0.294725080356738</v>
      </c>
      <c r="AG2635">
        <v>-1.1035906787059999</v>
      </c>
      <c r="AH2635">
        <v>18.105629903529302</v>
      </c>
      <c r="AI2635">
        <v>93.487567754488495</v>
      </c>
      <c r="AJ2635">
        <v>89.067416486427604</v>
      </c>
      <c r="AK2635">
        <v>18.1416264282641</v>
      </c>
    </row>
    <row r="2636" spans="1:37" x14ac:dyDescent="0.2">
      <c r="A2636" t="str">
        <f>"20200111160206831"</f>
        <v>20200111160206831</v>
      </c>
      <c r="B2636" t="str">
        <f>"1578729726824489"</f>
        <v>1578729726824489</v>
      </c>
      <c r="C2636" t="s">
        <v>37</v>
      </c>
      <c r="D2636">
        <v>5.8042879999999997</v>
      </c>
      <c r="E2636">
        <v>0.55905119999999997</v>
      </c>
      <c r="F2636" t="s">
        <v>42</v>
      </c>
      <c r="G2636">
        <v>-344.50099999999998</v>
      </c>
      <c r="H2636">
        <v>0.99622549999999899</v>
      </c>
      <c r="I2636">
        <v>214.22790000000001</v>
      </c>
      <c r="J2636">
        <v>-345.18579999999997</v>
      </c>
      <c r="K2636">
        <v>1.103615</v>
      </c>
      <c r="L2636">
        <v>214.31809999999999</v>
      </c>
      <c r="M2636">
        <v>0.99996209999999996</v>
      </c>
      <c r="N2636">
        <v>0</v>
      </c>
      <c r="O2636">
        <v>-5.8240779999999999E-3</v>
      </c>
      <c r="P2636">
        <v>0.9995771</v>
      </c>
      <c r="Q2636">
        <v>1.4641360000000001E-2</v>
      </c>
      <c r="R2636">
        <v>2.512342E-2</v>
      </c>
      <c r="S2636">
        <v>3.0140989999999999</v>
      </c>
      <c r="T2636">
        <v>-0.3520374</v>
      </c>
      <c r="U2636">
        <v>-0.29983520000000002</v>
      </c>
      <c r="V2636">
        <v>-3.094044E-2</v>
      </c>
      <c r="W2636">
        <v>2.111261E-2</v>
      </c>
      <c r="X2636">
        <v>0.99929820000000003</v>
      </c>
      <c r="Y2636">
        <v>9.2607629999999996E-2</v>
      </c>
      <c r="Z2636">
        <v>-4.700447E-3</v>
      </c>
      <c r="AA2636">
        <v>0.99569159999999901</v>
      </c>
      <c r="AB2636">
        <v>25</v>
      </c>
      <c r="AC2636">
        <v>0.68479999999999497</v>
      </c>
      <c r="AD2636">
        <v>-0.1073895</v>
      </c>
      <c r="AE2636">
        <v>-9.01999999999816E-2</v>
      </c>
      <c r="AF2636">
        <v>8.4175309643344506E-2</v>
      </c>
      <c r="AG2636">
        <v>-0.1073895</v>
      </c>
      <c r="AH2636">
        <v>0.66913880582326002</v>
      </c>
      <c r="AI2636">
        <v>99.047486993543899</v>
      </c>
      <c r="AJ2636">
        <v>82.830054925085193</v>
      </c>
      <c r="AK2636">
        <v>0.68290901950580596</v>
      </c>
    </row>
    <row r="2637" spans="1:37" x14ac:dyDescent="0.2">
      <c r="A2637" t="str">
        <f>"20200111160206852"</f>
        <v>20200111160206852</v>
      </c>
      <c r="B2637" t="str">
        <f>"1578729726844010"</f>
        <v>1578729726844010</v>
      </c>
      <c r="C2637" t="s">
        <v>37</v>
      </c>
      <c r="D2637">
        <v>5.811725</v>
      </c>
      <c r="E2637">
        <v>0.56226719999999997</v>
      </c>
      <c r="F2637" t="s">
        <v>42</v>
      </c>
      <c r="G2637">
        <v>-344.27109999999999</v>
      </c>
      <c r="H2637">
        <v>1.004518</v>
      </c>
      <c r="I2637">
        <v>214.2047</v>
      </c>
      <c r="J2637">
        <v>-344.93329999999997</v>
      </c>
      <c r="K2637">
        <v>1.1036250000000001</v>
      </c>
      <c r="L2637">
        <v>214.31649999999999</v>
      </c>
      <c r="M2637">
        <v>0.99996070000000004</v>
      </c>
      <c r="N2637">
        <v>0</v>
      </c>
      <c r="O2637">
        <v>-5.9270809999999998E-3</v>
      </c>
      <c r="P2637">
        <v>0.99956690000000004</v>
      </c>
      <c r="Q2637">
        <v>1.4386299999999999E-2</v>
      </c>
      <c r="R2637">
        <v>2.5678429999999999E-2</v>
      </c>
      <c r="S2637">
        <v>3.0154719999999999</v>
      </c>
      <c r="T2637">
        <v>-0.32677810000000002</v>
      </c>
      <c r="U2637">
        <v>-0.37289429999999901</v>
      </c>
      <c r="V2637">
        <v>-3.1599040000000002E-2</v>
      </c>
      <c r="W2637">
        <v>2.099676E-2</v>
      </c>
      <c r="X2637">
        <v>0.99927999999999995</v>
      </c>
      <c r="Y2637">
        <v>0.11620519999999999</v>
      </c>
      <c r="Z2637">
        <v>-5.6164489999999999E-3</v>
      </c>
      <c r="AA2637">
        <v>0.99320940000000002</v>
      </c>
      <c r="AB2637">
        <v>25</v>
      </c>
      <c r="AC2637">
        <v>0.66219999999998402</v>
      </c>
      <c r="AD2637">
        <v>-9.9107000000000001E-2</v>
      </c>
      <c r="AE2637">
        <v>-0.11179999999998801</v>
      </c>
      <c r="AF2637">
        <v>0.105573817582497</v>
      </c>
      <c r="AG2637">
        <v>-9.9107000000000001E-2</v>
      </c>
      <c r="AH2637">
        <v>0.64872293534251302</v>
      </c>
      <c r="AI2637">
        <v>98.574956349734194</v>
      </c>
      <c r="AJ2637">
        <v>80.756661372180702</v>
      </c>
      <c r="AK2637">
        <v>0.66468750194910997</v>
      </c>
    </row>
    <row r="2638" spans="1:37" x14ac:dyDescent="0.2">
      <c r="A2638" t="str">
        <f>"20200111160206919"</f>
        <v>20200111160206919</v>
      </c>
      <c r="B2638" t="str">
        <f>"1578729726914281"</f>
        <v>1578729726914281</v>
      </c>
      <c r="C2638" t="s">
        <v>37</v>
      </c>
      <c r="D2638">
        <v>5.8199529999999999</v>
      </c>
      <c r="E2638">
        <v>0.57101789999999997</v>
      </c>
      <c r="F2638" t="s">
        <v>42</v>
      </c>
      <c r="G2638">
        <v>-344.04160000000002</v>
      </c>
      <c r="H2638">
        <v>1.0110539999999999</v>
      </c>
      <c r="I2638">
        <v>214.19890000000001</v>
      </c>
      <c r="J2638">
        <v>-344.18699999999899</v>
      </c>
      <c r="K2638">
        <v>1.103634</v>
      </c>
      <c r="L2638">
        <v>214.3116</v>
      </c>
      <c r="M2638">
        <v>0.99995669999999903</v>
      </c>
      <c r="N2638">
        <v>0</v>
      </c>
      <c r="O2638">
        <v>-6.197073E-3</v>
      </c>
      <c r="P2638">
        <v>0.99957439999999997</v>
      </c>
      <c r="Q2638">
        <v>1.4741509999999999E-2</v>
      </c>
      <c r="R2638">
        <v>2.517484E-2</v>
      </c>
      <c r="S2638">
        <v>3.016022</v>
      </c>
      <c r="T2638">
        <v>-0.31310589999999999</v>
      </c>
      <c r="U2638">
        <v>-0.39788820000000003</v>
      </c>
      <c r="V2638">
        <v>-3.1365570000000002E-2</v>
      </c>
      <c r="W2638">
        <v>2.1690399999999999E-2</v>
      </c>
      <c r="X2638">
        <v>0.99927259999999996</v>
      </c>
      <c r="Y2638">
        <v>0.1240228</v>
      </c>
      <c r="Z2638">
        <v>-5.7541160000000001E-3</v>
      </c>
      <c r="AA2638">
        <v>0.99226270000000005</v>
      </c>
      <c r="AB2638">
        <v>25</v>
      </c>
      <c r="AC2638">
        <v>0.145399999999938</v>
      </c>
      <c r="AD2638">
        <v>-9.2579999999999801E-2</v>
      </c>
      <c r="AE2638">
        <v>-0.112699999999989</v>
      </c>
      <c r="AF2638">
        <v>8.9204514584369399E-2</v>
      </c>
      <c r="AG2638">
        <v>-9.2579999999999801E-2</v>
      </c>
      <c r="AH2638">
        <v>0.11657216384953201</v>
      </c>
      <c r="AI2638">
        <v>122.239977137568</v>
      </c>
      <c r="AJ2638">
        <v>52.575700001103101</v>
      </c>
      <c r="AK2638">
        <v>0.173544147716928</v>
      </c>
    </row>
    <row r="2639" spans="1:37" x14ac:dyDescent="0.2">
      <c r="A2639" t="str">
        <f>"20200111160206941"</f>
        <v>20200111160206941</v>
      </c>
      <c r="B2639" t="str">
        <f>"1578729726934778"</f>
        <v>1578729726934778</v>
      </c>
      <c r="C2639" t="s">
        <v>37</v>
      </c>
      <c r="D2639">
        <v>6.6560459999999999</v>
      </c>
      <c r="E2639">
        <v>0.57078459999999998</v>
      </c>
      <c r="F2639" t="s">
        <v>57</v>
      </c>
      <c r="G2639">
        <v>-323.19540000000001</v>
      </c>
      <c r="H2639" s="1">
        <v>1.6364419999999999E-7</v>
      </c>
      <c r="I2639">
        <v>210.98140000000001</v>
      </c>
      <c r="J2639">
        <v>-343.9228</v>
      </c>
      <c r="K2639">
        <v>1.1036319999999999</v>
      </c>
      <c r="L2639">
        <v>214.3099</v>
      </c>
      <c r="M2639">
        <v>0.99995540000000005</v>
      </c>
      <c r="N2639">
        <v>0</v>
      </c>
      <c r="O2639">
        <v>-6.2984460000000001E-3</v>
      </c>
      <c r="P2639">
        <v>0.99960550000000004</v>
      </c>
      <c r="Q2639">
        <v>1.490176E-2</v>
      </c>
      <c r="R2639">
        <v>2.3807169999999999E-2</v>
      </c>
      <c r="S2639">
        <v>3.0156559999999999</v>
      </c>
      <c r="T2639">
        <v>-0.15854849999999901</v>
      </c>
      <c r="U2639">
        <v>-0.47842410000000002</v>
      </c>
      <c r="V2639">
        <v>-3.0098860000000002E-2</v>
      </c>
      <c r="W2639">
        <v>2.1952119999999999E-2</v>
      </c>
      <c r="X2639">
        <v>0.99930580000000002</v>
      </c>
      <c r="Y2639">
        <v>0.1502694</v>
      </c>
      <c r="Z2639">
        <v>-3.5941859999999901E-3</v>
      </c>
      <c r="AA2639">
        <v>0.98863849999999998</v>
      </c>
      <c r="AB2639">
        <v>25</v>
      </c>
      <c r="AC2639">
        <v>20.7273999999999</v>
      </c>
      <c r="AD2639">
        <v>-1.1036318363558</v>
      </c>
      <c r="AE2639">
        <v>-3.3284999999999898</v>
      </c>
      <c r="AF2639">
        <v>3.1890664952096599</v>
      </c>
      <c r="AG2639">
        <v>-1.1036318363558</v>
      </c>
      <c r="AH2639">
        <v>20.690769274818301</v>
      </c>
      <c r="AI2639">
        <v>93.017658920806696</v>
      </c>
      <c r="AJ2639">
        <v>81.2379560524315</v>
      </c>
      <c r="AK2639">
        <v>20.964161836926699</v>
      </c>
    </row>
    <row r="2640" spans="1:37" x14ac:dyDescent="0.2">
      <c r="A2640" t="str">
        <f>"20200111160206965"</f>
        <v>20200111160206965</v>
      </c>
      <c r="B2640" t="str">
        <f>"1578729726954297"</f>
        <v>1578729726954297</v>
      </c>
      <c r="C2640" t="s">
        <v>37</v>
      </c>
      <c r="D2640">
        <v>5.7695069999999999</v>
      </c>
      <c r="E2640">
        <v>0.57086179999999997</v>
      </c>
      <c r="F2640" t="s">
        <v>57</v>
      </c>
      <c r="G2640">
        <v>-322.08580000000001</v>
      </c>
      <c r="H2640" s="1">
        <v>-4.2682829999999899E-7</v>
      </c>
      <c r="I2640">
        <v>210.8244</v>
      </c>
      <c r="J2640">
        <v>-343.65940000000001</v>
      </c>
      <c r="K2640">
        <v>1.103634</v>
      </c>
      <c r="L2640">
        <v>214.3081</v>
      </c>
      <c r="M2640">
        <v>0.99995409999999996</v>
      </c>
      <c r="N2640">
        <v>0</v>
      </c>
      <c r="O2640">
        <v>-6.4062149999999998E-3</v>
      </c>
      <c r="P2640">
        <v>0.99962960000000001</v>
      </c>
      <c r="Q2640">
        <v>1.502353E-2</v>
      </c>
      <c r="R2640">
        <v>2.2699110000000002E-2</v>
      </c>
      <c r="S2640">
        <v>3.014923</v>
      </c>
      <c r="T2640">
        <v>-0.1523727</v>
      </c>
      <c r="U2640">
        <v>-0.48121639999999999</v>
      </c>
      <c r="V2640">
        <v>-2.9098039999999999E-2</v>
      </c>
      <c r="W2640">
        <v>2.216427E-2</v>
      </c>
      <c r="X2640">
        <v>0.99933079999999996</v>
      </c>
      <c r="Y2640">
        <v>0.15110689999999999</v>
      </c>
      <c r="Z2640">
        <v>-3.4705479999999999E-3</v>
      </c>
      <c r="AA2640">
        <v>0.98851129999999998</v>
      </c>
      <c r="AB2640">
        <v>26</v>
      </c>
      <c r="AC2640">
        <v>21.573599999999999</v>
      </c>
      <c r="AD2640">
        <v>-1.1036344268283</v>
      </c>
      <c r="AE2640">
        <v>-3.48369999999999</v>
      </c>
      <c r="AF2640">
        <v>3.3369090868732201</v>
      </c>
      <c r="AG2640">
        <v>-1.1036344268283</v>
      </c>
      <c r="AH2640">
        <v>21.5405359848295</v>
      </c>
      <c r="AI2640">
        <v>92.898485330795495</v>
      </c>
      <c r="AJ2640">
        <v>81.194134769269397</v>
      </c>
      <c r="AK2640">
        <v>21.825390299279299</v>
      </c>
    </row>
    <row r="2641" spans="1:37" x14ac:dyDescent="0.2">
      <c r="A2641" t="str">
        <f>"20200111160206986"</f>
        <v>20200111160206986</v>
      </c>
      <c r="B2641" t="str">
        <f>"1578729726974793"</f>
        <v>1578729726974793</v>
      </c>
      <c r="C2641" t="s">
        <v>37</v>
      </c>
      <c r="D2641">
        <v>6.3459190000000003</v>
      </c>
      <c r="E2641">
        <v>0.56836640000000005</v>
      </c>
      <c r="F2641" t="s">
        <v>57</v>
      </c>
      <c r="G2641">
        <v>-321.93560000000002</v>
      </c>
      <c r="H2641" s="1">
        <v>-5.0675189999999997E-7</v>
      </c>
      <c r="I2641">
        <v>210.81360000000001</v>
      </c>
      <c r="J2641">
        <v>-343.41890000000001</v>
      </c>
      <c r="K2641">
        <v>1.1036379999999999</v>
      </c>
      <c r="L2641">
        <v>214.3064</v>
      </c>
      <c r="M2641">
        <v>0.99995279999999998</v>
      </c>
      <c r="N2641">
        <v>0</v>
      </c>
      <c r="O2641">
        <v>-6.5098619999999999E-3</v>
      </c>
      <c r="P2641">
        <v>0.9996524</v>
      </c>
      <c r="Q2641">
        <v>1.536012E-2</v>
      </c>
      <c r="R2641">
        <v>2.142498E-2</v>
      </c>
      <c r="S2641">
        <v>3.014465</v>
      </c>
      <c r="T2641">
        <v>-0.15314420000000001</v>
      </c>
      <c r="U2641">
        <v>-0.48490909999999898</v>
      </c>
      <c r="V2641">
        <v>-2.792791E-2</v>
      </c>
      <c r="W2641">
        <v>2.2573280000000001E-2</v>
      </c>
      <c r="X2641">
        <v>0.99935499999999899</v>
      </c>
      <c r="Y2641">
        <v>0.15220520000000001</v>
      </c>
      <c r="Z2641">
        <v>-3.5107620000000002E-3</v>
      </c>
      <c r="AA2641">
        <v>0.98834270000000002</v>
      </c>
      <c r="AB2641">
        <v>26</v>
      </c>
      <c r="AC2641">
        <v>21.4832999999999</v>
      </c>
      <c r="AD2641">
        <v>-1.1036385067518999</v>
      </c>
      <c r="AE2641">
        <v>-3.4927999999999799</v>
      </c>
      <c r="AF2641">
        <v>3.34427053327029</v>
      </c>
      <c r="AG2641">
        <v>-1.1036385067518999</v>
      </c>
      <c r="AH2641">
        <v>21.450431517883199</v>
      </c>
      <c r="AI2641">
        <v>92.9102123292203</v>
      </c>
      <c r="AJ2641">
        <v>81.138530880616699</v>
      </c>
      <c r="AK2641">
        <v>21.7375982034972</v>
      </c>
    </row>
    <row r="2642" spans="1:37" x14ac:dyDescent="0.2">
      <c r="A2642" t="str">
        <f>"20200111160207008"</f>
        <v>20200111160207008</v>
      </c>
      <c r="B2642" t="str">
        <f>"1578729727004073"</f>
        <v>1578729727004073</v>
      </c>
      <c r="C2642" t="s">
        <v>37</v>
      </c>
      <c r="D2642">
        <v>5.7312050000000001</v>
      </c>
      <c r="E2642">
        <v>0.51077649999999997</v>
      </c>
      <c r="F2642" t="s">
        <v>60</v>
      </c>
      <c r="G2642">
        <v>-319.265999999999</v>
      </c>
      <c r="H2642" s="1">
        <v>5.0147469999999998E-6</v>
      </c>
      <c r="I2642">
        <v>210.54089999999999</v>
      </c>
      <c r="J2642">
        <v>-343.15640000000002</v>
      </c>
      <c r="K2642">
        <v>1.1036360000000001</v>
      </c>
      <c r="L2642">
        <v>214.30459999999999</v>
      </c>
      <c r="M2642">
        <v>0.9999517</v>
      </c>
      <c r="N2642">
        <v>0</v>
      </c>
      <c r="O2642">
        <v>-6.6268400000000002E-3</v>
      </c>
      <c r="P2642">
        <v>0.99966599999999906</v>
      </c>
      <c r="Q2642">
        <v>1.5928319999999999E-2</v>
      </c>
      <c r="R2642">
        <v>2.0355410000000001E-2</v>
      </c>
      <c r="S2642">
        <v>3.0132140000000001</v>
      </c>
      <c r="T2642">
        <v>-0.1376848</v>
      </c>
      <c r="U2642">
        <v>-0.46977229999999998</v>
      </c>
      <c r="V2642">
        <v>-2.6974930000000001E-2</v>
      </c>
      <c r="W2642">
        <v>2.3207789999999999E-2</v>
      </c>
      <c r="X2642">
        <v>0.99936669999999905</v>
      </c>
      <c r="Y2642">
        <v>0.1473486</v>
      </c>
      <c r="Z2642">
        <v>-3.0437239999999998E-3</v>
      </c>
      <c r="AA2642">
        <v>0.98907999999999996</v>
      </c>
      <c r="AB2642">
        <v>26</v>
      </c>
      <c r="AC2642">
        <v>23.8904</v>
      </c>
      <c r="AD2642">
        <v>-1.103630985253</v>
      </c>
      <c r="AE2642">
        <v>-3.7637</v>
      </c>
      <c r="AF2642">
        <v>3.5978034374685999</v>
      </c>
      <c r="AG2642">
        <v>-1.103630985253</v>
      </c>
      <c r="AH2642">
        <v>23.8651219443238</v>
      </c>
      <c r="AI2642">
        <v>92.618186050459201</v>
      </c>
      <c r="AJ2642">
        <v>81.426892806857595</v>
      </c>
      <c r="AK2642">
        <v>24.160013169361399</v>
      </c>
    </row>
    <row r="2643" spans="1:37" x14ac:dyDescent="0.2">
      <c r="A2643" t="str">
        <f>"20200111160207031"</f>
        <v>20200111160207031</v>
      </c>
      <c r="B2643" t="str">
        <f>"1578729727024569"</f>
        <v>1578729727024569</v>
      </c>
      <c r="C2643" t="s">
        <v>37</v>
      </c>
      <c r="D2643">
        <v>5.6768130000000001</v>
      </c>
      <c r="E2643">
        <v>0.51024449999999999</v>
      </c>
      <c r="F2643" t="s">
        <v>57</v>
      </c>
      <c r="G2643">
        <v>-239.73609999999999</v>
      </c>
      <c r="H2643" s="1">
        <v>3.6873459999999998E-6</v>
      </c>
      <c r="I2643">
        <v>213.63120000000001</v>
      </c>
      <c r="J2643">
        <v>-342.8931</v>
      </c>
      <c r="K2643">
        <v>1.1036440000000001</v>
      </c>
      <c r="L2643">
        <v>214.30269999999999</v>
      </c>
      <c r="M2643">
        <v>0.99995040000000002</v>
      </c>
      <c r="N2643">
        <v>0</v>
      </c>
      <c r="O2643">
        <v>-6.7454200000000002E-3</v>
      </c>
      <c r="P2643">
        <v>0.99965720000000002</v>
      </c>
      <c r="Q2643">
        <v>1.6907299999999899E-2</v>
      </c>
      <c r="R2643">
        <v>1.9998220000000001E-2</v>
      </c>
      <c r="S2643">
        <v>3.0019230000000001</v>
      </c>
      <c r="T2643">
        <v>-3.2034519999999997E-2</v>
      </c>
      <c r="U2643">
        <v>-1.954651E-2</v>
      </c>
      <c r="V2643">
        <v>-2.6736010000000001E-2</v>
      </c>
      <c r="W2643">
        <v>2.4235079999999999E-2</v>
      </c>
      <c r="X2643">
        <v>0.99934869999999898</v>
      </c>
      <c r="Y2643">
        <v>-2.3401729999999901E-4</v>
      </c>
      <c r="Z2643" s="1">
        <v>7.3229539999999997E-5</v>
      </c>
      <c r="AA2643">
        <v>0.99999989999999905</v>
      </c>
      <c r="AB2643">
        <v>26</v>
      </c>
      <c r="AC2643">
        <v>103.157</v>
      </c>
      <c r="AD2643">
        <v>-1.103640312654</v>
      </c>
      <c r="AE2643">
        <v>-0.67149999999998</v>
      </c>
      <c r="AF2643">
        <v>-2.4368462557024601E-2</v>
      </c>
      <c r="AG2643">
        <v>-1.103640312654</v>
      </c>
      <c r="AH2643">
        <v>103.14737680481799</v>
      </c>
      <c r="AI2643">
        <v>90.613021089998398</v>
      </c>
      <c r="AJ2643">
        <v>90.013536069214794</v>
      </c>
      <c r="AK2643">
        <v>103.153283793958</v>
      </c>
    </row>
    <row r="2644" spans="1:37" x14ac:dyDescent="0.2">
      <c r="A2644" t="str">
        <f>"20200111160207053"</f>
        <v>20200111160207053</v>
      </c>
      <c r="B2644" t="str">
        <f>"1578729727044089"</f>
        <v>1578729727044089</v>
      </c>
      <c r="C2644" t="s">
        <v>37</v>
      </c>
      <c r="D2644">
        <v>5.7047840000000001</v>
      </c>
      <c r="E2644">
        <v>0.51002669999999894</v>
      </c>
      <c r="F2644" t="s">
        <v>60</v>
      </c>
      <c r="G2644">
        <v>-300.46039999999999</v>
      </c>
      <c r="H2644" s="1">
        <v>2.5715939999999999E-6</v>
      </c>
      <c r="I2644">
        <v>214.1147</v>
      </c>
      <c r="J2644">
        <v>-342.63130000000001</v>
      </c>
      <c r="K2644">
        <v>1.103642</v>
      </c>
      <c r="L2644">
        <v>214.30090000000001</v>
      </c>
      <c r="M2644">
        <v>0.99994939999999999</v>
      </c>
      <c r="N2644">
        <v>0</v>
      </c>
      <c r="O2644">
        <v>-6.8644259999999999E-3</v>
      </c>
      <c r="P2644">
        <v>0.99965890000000002</v>
      </c>
      <c r="Q2644">
        <v>1.7563840000000001E-2</v>
      </c>
      <c r="R2644">
        <v>1.9333820000000002E-2</v>
      </c>
      <c r="S2644">
        <v>3.0026549999999999</v>
      </c>
      <c r="T2644">
        <v>-7.809663E-2</v>
      </c>
      <c r="U2644">
        <v>-1.330566E-2</v>
      </c>
      <c r="V2644">
        <v>-2.6189939999999998E-2</v>
      </c>
      <c r="W2644">
        <v>2.4926770000000001E-2</v>
      </c>
      <c r="X2644">
        <v>0.99934609999999902</v>
      </c>
      <c r="Y2644">
        <v>-2.4302489999999898E-3</v>
      </c>
      <c r="Z2644">
        <v>2.101091E-4</v>
      </c>
      <c r="AA2644">
        <v>0.99999699999999903</v>
      </c>
      <c r="AB2644">
        <v>26</v>
      </c>
      <c r="AC2644">
        <v>42.170900000000003</v>
      </c>
      <c r="AD2644">
        <v>-1.103639428406</v>
      </c>
      <c r="AE2644">
        <v>-0.18620000000001299</v>
      </c>
      <c r="AF2644">
        <v>-0.103220542389188</v>
      </c>
      <c r="AG2644">
        <v>-1.103639428406</v>
      </c>
      <c r="AH2644">
        <v>42.142321757776202</v>
      </c>
      <c r="AI2644">
        <v>91.500136660315405</v>
      </c>
      <c r="AJ2644">
        <v>90.140336112597296</v>
      </c>
      <c r="AK2644">
        <v>42.156896916213299</v>
      </c>
    </row>
    <row r="2645" spans="1:37" x14ac:dyDescent="0.2">
      <c r="A2645" t="str">
        <f>"20200111160207077"</f>
        <v>20200111160207077</v>
      </c>
      <c r="B2645" t="str">
        <f>"1578729727074345"</f>
        <v>1578729727074345</v>
      </c>
      <c r="C2645" t="s">
        <v>37</v>
      </c>
      <c r="D2645">
        <v>5.6248009999999997</v>
      </c>
      <c r="E2645">
        <v>0.50927359999999999</v>
      </c>
      <c r="F2645" t="s">
        <v>60</v>
      </c>
      <c r="G2645">
        <v>-315.69130000000001</v>
      </c>
      <c r="H2645" s="1">
        <v>3.4295270000000001E-6</v>
      </c>
      <c r="I2645">
        <v>214.2089</v>
      </c>
      <c r="J2645">
        <v>-342.36380000000003</v>
      </c>
      <c r="K2645">
        <v>1.103642</v>
      </c>
      <c r="L2645">
        <v>214.2989</v>
      </c>
      <c r="M2645">
        <v>0.99994830000000001</v>
      </c>
      <c r="N2645">
        <v>0</v>
      </c>
      <c r="O2645">
        <v>-6.9853099999999998E-3</v>
      </c>
      <c r="P2645">
        <v>0.99964209999999998</v>
      </c>
      <c r="Q2645">
        <v>1.7919049999999999E-2</v>
      </c>
      <c r="R2645">
        <v>1.9865899999999999E-2</v>
      </c>
      <c r="S2645">
        <v>3.0034179999999999</v>
      </c>
      <c r="T2645">
        <v>-0.1230398</v>
      </c>
      <c r="U2645">
        <v>-1.025391E-2</v>
      </c>
      <c r="V2645">
        <v>-2.684251E-2</v>
      </c>
      <c r="W2645">
        <v>2.5310019999999999E-2</v>
      </c>
      <c r="X2645">
        <v>0.99931919999999996</v>
      </c>
      <c r="Y2645">
        <v>-3.562637E-3</v>
      </c>
      <c r="Z2645">
        <v>3.5899249999999999E-4</v>
      </c>
      <c r="AA2645">
        <v>0.99999359999999904</v>
      </c>
      <c r="AB2645">
        <v>26</v>
      </c>
      <c r="AC2645">
        <v>26.672499999999999</v>
      </c>
      <c r="AD2645">
        <v>-1.1036385704730001</v>
      </c>
      <c r="AE2645">
        <v>-9.0000000000003397E-2</v>
      </c>
      <c r="AF2645">
        <v>-9.6158334026648404E-2</v>
      </c>
      <c r="AG2645">
        <v>-1.1036385704730001</v>
      </c>
      <c r="AH2645">
        <v>26.626890832017299</v>
      </c>
      <c r="AI2645">
        <v>92.373436958983902</v>
      </c>
      <c r="AJ2645">
        <v>90.206912733026698</v>
      </c>
      <c r="AK2645">
        <v>26.6499264520487</v>
      </c>
    </row>
    <row r="2646" spans="1:37" x14ac:dyDescent="0.2">
      <c r="A2646" t="str">
        <f>"20200111160207096"</f>
        <v>20200111160207096</v>
      </c>
      <c r="B2646" t="str">
        <f>"1578729727084105"</f>
        <v>1578729727084105</v>
      </c>
      <c r="C2646" t="s">
        <v>37</v>
      </c>
      <c r="D2646">
        <v>5.590382</v>
      </c>
      <c r="E2646">
        <v>0.50903370000000003</v>
      </c>
      <c r="F2646" t="s">
        <v>57</v>
      </c>
      <c r="G2646">
        <v>-320.68790000000001</v>
      </c>
      <c r="H2646" s="1">
        <v>-1.1707309999999899E-6</v>
      </c>
      <c r="I2646">
        <v>214.29409999999999</v>
      </c>
      <c r="J2646">
        <v>-342.12709999999998</v>
      </c>
      <c r="K2646">
        <v>1.103639</v>
      </c>
      <c r="L2646">
        <v>214.2971</v>
      </c>
      <c r="M2646">
        <v>0.99994749999999999</v>
      </c>
      <c r="N2646">
        <v>0</v>
      </c>
      <c r="O2646">
        <v>-7.0919549999999996E-3</v>
      </c>
      <c r="P2646">
        <v>0.999615699999999</v>
      </c>
      <c r="Q2646">
        <v>1.846012E-2</v>
      </c>
      <c r="R2646">
        <v>2.0680279999999999E-2</v>
      </c>
      <c r="S2646">
        <v>3.003784</v>
      </c>
      <c r="T2646">
        <v>-0.152939299999999</v>
      </c>
      <c r="U2646">
        <v>-6.5612789999999895E-4</v>
      </c>
      <c r="V2646">
        <v>-2.7762720000000001E-2</v>
      </c>
      <c r="W2646">
        <v>2.586726E-2</v>
      </c>
      <c r="X2646">
        <v>0.99927980000000005</v>
      </c>
      <c r="Y2646">
        <v>-6.8556540000000001E-3</v>
      </c>
      <c r="Z2646">
        <v>5.3528129999999997E-4</v>
      </c>
      <c r="AA2646">
        <v>0.99997630000000004</v>
      </c>
      <c r="AB2646">
        <v>26</v>
      </c>
      <c r="AC2646">
        <v>21.4391999999999</v>
      </c>
      <c r="AD2646">
        <v>-1.103640170731</v>
      </c>
      <c r="AE2646">
        <v>-3.0000000000143202E-3</v>
      </c>
      <c r="AF2646">
        <v>-0.14865614432229701</v>
      </c>
      <c r="AG2646">
        <v>-1.103640170731</v>
      </c>
      <c r="AH2646">
        <v>21.3820207822051</v>
      </c>
      <c r="AI2646">
        <v>92.954647517722805</v>
      </c>
      <c r="AJ2646">
        <v>90.398336178231801</v>
      </c>
      <c r="AK2646">
        <v>21.411000280378001</v>
      </c>
    </row>
    <row r="2647" spans="1:37" x14ac:dyDescent="0.2">
      <c r="A2647" t="str">
        <f>"20200111160207123"</f>
        <v>20200111160207123</v>
      </c>
      <c r="B2647" t="str">
        <f>"1578729727114361"</f>
        <v>1578729727114361</v>
      </c>
      <c r="C2647" t="s">
        <v>37</v>
      </c>
      <c r="D2647">
        <v>5.6686709999999998</v>
      </c>
      <c r="E2647">
        <v>0.509293</v>
      </c>
      <c r="F2647" t="s">
        <v>57</v>
      </c>
      <c r="G2647">
        <v>-321.14080000000001</v>
      </c>
      <c r="H2647" s="1">
        <v>-9.2972899999999897E-7</v>
      </c>
      <c r="I2647">
        <v>214.32560000000001</v>
      </c>
      <c r="J2647">
        <v>-341.83600000000001</v>
      </c>
      <c r="K2647">
        <v>1.103639</v>
      </c>
      <c r="L2647">
        <v>214.29490000000001</v>
      </c>
      <c r="M2647">
        <v>0.99994649999999996</v>
      </c>
      <c r="N2647">
        <v>0</v>
      </c>
      <c r="O2647">
        <v>-7.2226440000000003E-3</v>
      </c>
      <c r="P2647">
        <v>0.99959869999999995</v>
      </c>
      <c r="Q2647">
        <v>1.8443970000000001E-2</v>
      </c>
      <c r="R2647">
        <v>2.1503890000000001E-2</v>
      </c>
      <c r="S2647">
        <v>3.0039980000000002</v>
      </c>
      <c r="T2647">
        <v>-0.15797539999999999</v>
      </c>
      <c r="U2647">
        <v>4.0740969999999996E-3</v>
      </c>
      <c r="V2647">
        <v>-2.8717139999999999E-2</v>
      </c>
      <c r="W2647">
        <v>2.5856299999999999E-2</v>
      </c>
      <c r="X2647">
        <v>0.99925309999999901</v>
      </c>
      <c r="Y2647">
        <v>-8.5572180000000001E-3</v>
      </c>
      <c r="Z2647">
        <v>6.0442310000000002E-4</v>
      </c>
      <c r="AA2647">
        <v>0.99996319999999905</v>
      </c>
      <c r="AB2647">
        <v>26</v>
      </c>
      <c r="AC2647">
        <v>20.6952</v>
      </c>
      <c r="AD2647">
        <v>-1.103639929729</v>
      </c>
      <c r="AE2647">
        <v>3.0699999999995901E-2</v>
      </c>
      <c r="AF2647">
        <v>-0.17966640572113099</v>
      </c>
      <c r="AG2647">
        <v>-1.103639929729</v>
      </c>
      <c r="AH2647">
        <v>20.6357523695198</v>
      </c>
      <c r="AI2647">
        <v>93.0612566383016</v>
      </c>
      <c r="AJ2647">
        <v>90.498836508744503</v>
      </c>
      <c r="AK2647">
        <v>20.666024701620199</v>
      </c>
    </row>
    <row r="2648" spans="1:37" x14ac:dyDescent="0.2">
      <c r="A2648" t="str">
        <f>"20200111160207142"</f>
        <v>20200111160207142</v>
      </c>
      <c r="B2648" t="str">
        <f>"1578729727134857"</f>
        <v>1578729727134857</v>
      </c>
      <c r="C2648" t="s">
        <v>37</v>
      </c>
      <c r="D2648">
        <v>5.6429109999999998</v>
      </c>
      <c r="E2648">
        <v>0.50928960000000001</v>
      </c>
      <c r="F2648" t="s">
        <v>60</v>
      </c>
      <c r="G2648">
        <v>-319.93939999999998</v>
      </c>
      <c r="H2648" s="1">
        <v>5.3133649999999999E-6</v>
      </c>
      <c r="I2648">
        <v>214.32579999999999</v>
      </c>
      <c r="J2648">
        <v>-341.58850000000001</v>
      </c>
      <c r="K2648">
        <v>1.103634</v>
      </c>
      <c r="L2648">
        <v>214.29300000000001</v>
      </c>
      <c r="M2648">
        <v>0.9999458</v>
      </c>
      <c r="N2648">
        <v>0</v>
      </c>
      <c r="O2648">
        <v>-7.3333829999999997E-3</v>
      </c>
      <c r="P2648">
        <v>0.99959560000000003</v>
      </c>
      <c r="Q2648">
        <v>1.7811770000000001E-2</v>
      </c>
      <c r="R2648">
        <v>2.2175730000000001E-2</v>
      </c>
      <c r="S2648">
        <v>3.0039370000000001</v>
      </c>
      <c r="T2648">
        <v>-0.15140490000000001</v>
      </c>
      <c r="U2648">
        <v>4.2419429999999998E-3</v>
      </c>
      <c r="V2648">
        <v>-2.949951E-2</v>
      </c>
      <c r="W2648">
        <v>2.5220880000000001E-2</v>
      </c>
      <c r="X2648">
        <v>0.99924650000000004</v>
      </c>
      <c r="Y2648">
        <v>-8.7252819999999991E-3</v>
      </c>
      <c r="Z2648">
        <v>5.8913870000000003E-4</v>
      </c>
      <c r="AA2648">
        <v>0.99996169999999995</v>
      </c>
      <c r="AB2648">
        <v>26</v>
      </c>
      <c r="AC2648">
        <v>21.649100000000001</v>
      </c>
      <c r="AD2648">
        <v>-1.103628686635</v>
      </c>
      <c r="AE2648">
        <v>3.27999999999804E-2</v>
      </c>
      <c r="AF2648">
        <v>-0.191068056716028</v>
      </c>
      <c r="AG2648">
        <v>-1.103628686635</v>
      </c>
      <c r="AH2648">
        <v>21.592164553734399</v>
      </c>
      <c r="AI2648">
        <v>92.925867737085994</v>
      </c>
      <c r="AJ2648">
        <v>90.506994446726495</v>
      </c>
      <c r="AK2648">
        <v>21.62119500388</v>
      </c>
    </row>
    <row r="2649" spans="1:37" x14ac:dyDescent="0.2">
      <c r="A2649" t="str">
        <f>"20200111160207169"</f>
        <v>20200111160207169</v>
      </c>
      <c r="B2649" t="str">
        <f>"1578729727164137"</f>
        <v>1578729727164137</v>
      </c>
      <c r="C2649" t="s">
        <v>37</v>
      </c>
      <c r="D2649">
        <v>5.6632259999999999</v>
      </c>
      <c r="E2649">
        <v>0.50915820000000001</v>
      </c>
      <c r="F2649" t="s">
        <v>57</v>
      </c>
      <c r="G2649">
        <v>-320.29880000000003</v>
      </c>
      <c r="H2649" s="1">
        <v>-1.3778E-6</v>
      </c>
      <c r="I2649">
        <v>214.3389</v>
      </c>
      <c r="J2649">
        <v>-341.28919999999999</v>
      </c>
      <c r="K2649">
        <v>1.1036280000000001</v>
      </c>
      <c r="L2649">
        <v>214.29069999999999</v>
      </c>
      <c r="M2649">
        <v>0.99994490000000003</v>
      </c>
      <c r="N2649">
        <v>0</v>
      </c>
      <c r="O2649">
        <v>-7.4667290000000001E-3</v>
      </c>
      <c r="P2649">
        <v>0.99957969999999896</v>
      </c>
      <c r="Q2649">
        <v>1.7520930000000001E-2</v>
      </c>
      <c r="R2649">
        <v>2.3103129999999999E-2</v>
      </c>
      <c r="S2649">
        <v>3.0038450000000001</v>
      </c>
      <c r="T2649">
        <v>-0.1557161</v>
      </c>
      <c r="U2649">
        <v>6.4697269999999998E-3</v>
      </c>
      <c r="V2649">
        <v>-3.05598999999999E-2</v>
      </c>
      <c r="W2649">
        <v>2.4914370000000002E-2</v>
      </c>
      <c r="X2649">
        <v>0.99922239999999996</v>
      </c>
      <c r="Y2649">
        <v>-9.5977519999999993E-3</v>
      </c>
      <c r="Z2649">
        <v>6.3541710000000003E-4</v>
      </c>
      <c r="AA2649">
        <v>0.99995369999999995</v>
      </c>
      <c r="AB2649">
        <v>26</v>
      </c>
      <c r="AC2649">
        <v>20.990399999999902</v>
      </c>
      <c r="AD2649">
        <v>-1.1036293777999999</v>
      </c>
      <c r="AE2649">
        <v>4.8200000000008403E-2</v>
      </c>
      <c r="AF2649">
        <v>-0.20436759517241801</v>
      </c>
      <c r="AG2649">
        <v>-1.1036293777999999</v>
      </c>
      <c r="AH2649">
        <v>20.9315913804746</v>
      </c>
      <c r="AI2649">
        <v>93.018012376289093</v>
      </c>
      <c r="AJ2649">
        <v>90.559395050472901</v>
      </c>
      <c r="AK2649">
        <v>20.961662186874801</v>
      </c>
    </row>
    <row r="2650" spans="1:37" x14ac:dyDescent="0.2">
      <c r="A2650" t="str">
        <f>"20200111160207189"</f>
        <v>20200111160207189</v>
      </c>
      <c r="B2650" t="str">
        <f>"1578729727184633"</f>
        <v>1578729727184633</v>
      </c>
      <c r="C2650" t="s">
        <v>37</v>
      </c>
      <c r="D2650">
        <v>5.7623680000000004</v>
      </c>
      <c r="E2650">
        <v>0.50896220000000003</v>
      </c>
      <c r="F2650" t="s">
        <v>57</v>
      </c>
      <c r="G2650">
        <v>-321.80840000000001</v>
      </c>
      <c r="H2650" s="1">
        <v>-5.7445480000000001E-7</v>
      </c>
      <c r="I2650">
        <v>214.3631</v>
      </c>
      <c r="J2650">
        <v>-341.04450000000003</v>
      </c>
      <c r="K2650">
        <v>1.103623</v>
      </c>
      <c r="L2650">
        <v>214.28870000000001</v>
      </c>
      <c r="M2650">
        <v>0.99994419999999995</v>
      </c>
      <c r="N2650">
        <v>0</v>
      </c>
      <c r="O2650">
        <v>-7.57560099999999E-3</v>
      </c>
      <c r="P2650">
        <v>0.99956449999999997</v>
      </c>
      <c r="Q2650">
        <v>1.743457E-2</v>
      </c>
      <c r="R2650">
        <v>2.3810629999999999E-2</v>
      </c>
      <c r="S2650">
        <v>3.0040279999999999</v>
      </c>
      <c r="T2650">
        <v>-0.170184</v>
      </c>
      <c r="U2650">
        <v>1.1169429999999999E-2</v>
      </c>
      <c r="V2650">
        <v>-3.1376639999999997E-2</v>
      </c>
      <c r="W2650">
        <v>2.4804260000000002E-2</v>
      </c>
      <c r="X2650">
        <v>0.99919979999999997</v>
      </c>
      <c r="Y2650">
        <v>-1.1263570000000001E-2</v>
      </c>
      <c r="Z2650">
        <v>7.4763189999999999E-4</v>
      </c>
      <c r="AA2650">
        <v>0.9999363</v>
      </c>
      <c r="AB2650">
        <v>26</v>
      </c>
      <c r="AC2650">
        <v>19.2361</v>
      </c>
      <c r="AD2650">
        <v>-1.1036235744548</v>
      </c>
      <c r="AE2650">
        <v>7.4399999999997093E-2</v>
      </c>
      <c r="AF2650">
        <v>-0.21940465025506301</v>
      </c>
      <c r="AG2650">
        <v>-1.1036235744548</v>
      </c>
      <c r="AH2650">
        <v>19.171879011057602</v>
      </c>
      <c r="AI2650">
        <v>93.294363578743102</v>
      </c>
      <c r="AJ2650">
        <v>90.655669259483702</v>
      </c>
      <c r="AK2650">
        <v>19.2048709500813</v>
      </c>
    </row>
    <row r="2651" spans="1:37" x14ac:dyDescent="0.2">
      <c r="A2651" t="str">
        <f>"20200111160207210"</f>
        <v>20200111160207210</v>
      </c>
      <c r="B2651" t="str">
        <f>"1578729727204153"</f>
        <v>1578729727204153</v>
      </c>
      <c r="C2651" t="s">
        <v>37</v>
      </c>
      <c r="D2651">
        <v>5.5688329999999997</v>
      </c>
      <c r="E2651">
        <v>0.50902650000000005</v>
      </c>
      <c r="F2651" t="s">
        <v>57</v>
      </c>
      <c r="G2651">
        <v>-322.43639999999999</v>
      </c>
      <c r="H2651" s="1">
        <v>-2.4027979999999999E-7</v>
      </c>
      <c r="I2651">
        <v>214.38200000000001</v>
      </c>
      <c r="J2651">
        <v>-340.80239999999998</v>
      </c>
      <c r="K2651">
        <v>1.1036109999999999</v>
      </c>
      <c r="L2651">
        <v>214.2868</v>
      </c>
      <c r="M2651">
        <v>0.99994369999999999</v>
      </c>
      <c r="N2651">
        <v>0</v>
      </c>
      <c r="O2651">
        <v>-7.6831269999999997E-3</v>
      </c>
      <c r="P2651">
        <v>0.99953609999999904</v>
      </c>
      <c r="Q2651">
        <v>1.8554210000000002E-2</v>
      </c>
      <c r="R2651">
        <v>2.4157419999999999E-2</v>
      </c>
      <c r="S2651">
        <v>3.0040589999999998</v>
      </c>
      <c r="T2651">
        <v>-0.17816689999999999</v>
      </c>
      <c r="U2651">
        <v>1.506042E-2</v>
      </c>
      <c r="V2651">
        <v>-3.1830299999999999E-2</v>
      </c>
      <c r="W2651">
        <v>2.58911E-2</v>
      </c>
      <c r="X2651">
        <v>0.99915789999999904</v>
      </c>
      <c r="Y2651">
        <v>-1.2660640000000001E-2</v>
      </c>
      <c r="Z2651">
        <v>8.3039599999999996E-4</v>
      </c>
      <c r="AA2651">
        <v>0.99991949999999996</v>
      </c>
      <c r="AB2651">
        <v>26</v>
      </c>
      <c r="AC2651">
        <v>18.3659999999999</v>
      </c>
      <c r="AD2651">
        <v>-1.1036112402798</v>
      </c>
      <c r="AE2651">
        <v>9.5200000000005502E-2</v>
      </c>
      <c r="AF2651">
        <v>-0.235459107732615</v>
      </c>
      <c r="AG2651">
        <v>-1.1036112402798</v>
      </c>
      <c r="AH2651">
        <v>18.298655478479201</v>
      </c>
      <c r="AI2651">
        <v>93.451103309063996</v>
      </c>
      <c r="AJ2651">
        <v>90.737216383685805</v>
      </c>
      <c r="AK2651">
        <v>18.333417332324199</v>
      </c>
    </row>
    <row r="2652" spans="1:37" x14ac:dyDescent="0.2">
      <c r="A2652" t="str">
        <f>"20200111160207232"</f>
        <v>20200111160207232</v>
      </c>
      <c r="B2652" t="str">
        <f>"1578729727224650"</f>
        <v>1578729727224650</v>
      </c>
      <c r="C2652" t="s">
        <v>37</v>
      </c>
      <c r="D2652">
        <v>5.6538170000000001</v>
      </c>
      <c r="E2652">
        <v>0.50894870000000003</v>
      </c>
      <c r="F2652" t="s">
        <v>57</v>
      </c>
      <c r="G2652">
        <v>-322.44170000000003</v>
      </c>
      <c r="H2652" s="1">
        <v>-2.374679E-7</v>
      </c>
      <c r="I2652">
        <v>214.38640000000001</v>
      </c>
      <c r="J2652">
        <v>-340.52659999999997</v>
      </c>
      <c r="K2652">
        <v>1.103602</v>
      </c>
      <c r="L2652">
        <v>214.28460000000001</v>
      </c>
      <c r="M2652">
        <v>0.99994309999999997</v>
      </c>
      <c r="N2652">
        <v>0</v>
      </c>
      <c r="O2652">
        <v>-7.8054830000000002E-3</v>
      </c>
      <c r="P2652">
        <v>0.99949200000000005</v>
      </c>
      <c r="Q2652">
        <v>1.982157E-2</v>
      </c>
      <c r="R2652">
        <v>2.4960619999999999E-2</v>
      </c>
      <c r="S2652">
        <v>3.0043950000000001</v>
      </c>
      <c r="T2652">
        <v>-0.18058560000000001</v>
      </c>
      <c r="U2652">
        <v>1.6296390000000001E-2</v>
      </c>
      <c r="V2652">
        <v>-3.2754940000000003E-2</v>
      </c>
      <c r="W2652">
        <v>2.710661E-2</v>
      </c>
      <c r="X2652">
        <v>0.99909570000000003</v>
      </c>
      <c r="Y2652">
        <v>-1.3191619999999999E-2</v>
      </c>
      <c r="Z2652">
        <v>8.6484539999999996E-4</v>
      </c>
      <c r="AA2652">
        <v>0.99991260000000004</v>
      </c>
      <c r="AB2652">
        <v>27</v>
      </c>
      <c r="AC2652">
        <v>18.084899999999902</v>
      </c>
      <c r="AD2652">
        <v>-1.1036022374679</v>
      </c>
      <c r="AE2652">
        <v>0.101799999999997</v>
      </c>
      <c r="AF2652">
        <v>-0.24206063952508</v>
      </c>
      <c r="AG2652">
        <v>-1.1036022374679</v>
      </c>
      <c r="AH2652">
        <v>18.016465821747602</v>
      </c>
      <c r="AI2652">
        <v>93.504969156030697</v>
      </c>
      <c r="AJ2652">
        <v>90.769752444377303</v>
      </c>
      <c r="AK2652">
        <v>18.051857853361</v>
      </c>
    </row>
    <row r="2653" spans="1:37" x14ac:dyDescent="0.2">
      <c r="A2653" t="str">
        <f>"20200111160207255"</f>
        <v>20200111160207255</v>
      </c>
      <c r="B2653" t="str">
        <f>"1578729727244169"</f>
        <v>1578729727244169</v>
      </c>
      <c r="C2653" t="s">
        <v>37</v>
      </c>
      <c r="D2653">
        <v>5.8473879999999996</v>
      </c>
      <c r="E2653">
        <v>0.50882740000000004</v>
      </c>
      <c r="F2653" t="s">
        <v>57</v>
      </c>
      <c r="G2653">
        <v>-320.55410000000001</v>
      </c>
      <c r="H2653" s="1">
        <v>-1.241919E-6</v>
      </c>
      <c r="I2653">
        <v>214.40880000000001</v>
      </c>
      <c r="J2653">
        <v>-340.255</v>
      </c>
      <c r="K2653">
        <v>1.103593</v>
      </c>
      <c r="L2653">
        <v>214.28229999999999</v>
      </c>
      <c r="M2653">
        <v>0.99994249999999996</v>
      </c>
      <c r="N2653">
        <v>0</v>
      </c>
      <c r="O2653">
        <v>-7.9262659999999995E-3</v>
      </c>
      <c r="P2653">
        <v>0.99945899999999999</v>
      </c>
      <c r="Q2653">
        <v>2.0081450000000001E-2</v>
      </c>
      <c r="R2653">
        <v>2.6048350000000001E-2</v>
      </c>
      <c r="S2653">
        <v>3.0043329999999999</v>
      </c>
      <c r="T2653">
        <v>-0.16600789999999899</v>
      </c>
      <c r="U2653">
        <v>1.869202E-2</v>
      </c>
      <c r="V2653">
        <v>-3.3962890000000003E-2</v>
      </c>
      <c r="W2653">
        <v>2.7307749999999999E-2</v>
      </c>
      <c r="X2653">
        <v>0.99904999999999999</v>
      </c>
      <c r="Y2653">
        <v>-1.4114069999999999E-2</v>
      </c>
      <c r="Z2653">
        <v>8.2729089999999895E-4</v>
      </c>
      <c r="AA2653">
        <v>0.99990000000000001</v>
      </c>
      <c r="AB2653">
        <v>27</v>
      </c>
      <c r="AC2653">
        <v>19.700899999999901</v>
      </c>
      <c r="AD2653">
        <v>-1.1035942419189999</v>
      </c>
      <c r="AE2653">
        <v>0.12650000000002101</v>
      </c>
      <c r="AF2653">
        <v>-0.28177052657966301</v>
      </c>
      <c r="AG2653">
        <v>-1.1035942419189999</v>
      </c>
      <c r="AH2653">
        <v>19.637658847586199</v>
      </c>
      <c r="AI2653">
        <v>93.216186081056193</v>
      </c>
      <c r="AJ2653">
        <v>90.8220508516672</v>
      </c>
      <c r="AK2653">
        <v>19.6706624162642</v>
      </c>
    </row>
    <row r="2654" spans="1:37" x14ac:dyDescent="0.2">
      <c r="A2654" t="str">
        <f>"20200111160207277"</f>
        <v>20200111160207277</v>
      </c>
      <c r="B2654" t="str">
        <f>"1578729727264665"</f>
        <v>1578729727264665</v>
      </c>
      <c r="C2654" t="s">
        <v>37</v>
      </c>
      <c r="D2654">
        <v>5.6270530000000001</v>
      </c>
      <c r="E2654">
        <v>0.50885779999999903</v>
      </c>
      <c r="F2654" t="s">
        <v>60</v>
      </c>
      <c r="G2654">
        <v>-318.68779999999998</v>
      </c>
      <c r="H2654" s="1">
        <v>4.7583249999999999E-6</v>
      </c>
      <c r="I2654">
        <v>214.44149999999999</v>
      </c>
      <c r="J2654">
        <v>-339.9957</v>
      </c>
      <c r="K2654">
        <v>1.103583</v>
      </c>
      <c r="L2654">
        <v>214.2801</v>
      </c>
      <c r="M2654">
        <v>0.99994209999999994</v>
      </c>
      <c r="N2654">
        <v>0</v>
      </c>
      <c r="O2654">
        <v>-8.0413169999999992E-3</v>
      </c>
      <c r="P2654">
        <v>0.99942119999999901</v>
      </c>
      <c r="Q2654">
        <v>2.029709E-2</v>
      </c>
      <c r="R2654">
        <v>2.7301059999999999E-2</v>
      </c>
      <c r="S2654">
        <v>3.004181</v>
      </c>
      <c r="T2654">
        <v>-0.153723</v>
      </c>
      <c r="U2654">
        <v>2.217102E-2</v>
      </c>
      <c r="V2654">
        <v>-3.5329930000000002E-2</v>
      </c>
      <c r="W2654">
        <v>2.7462199999999999E-2</v>
      </c>
      <c r="X2654">
        <v>0.99899830000000001</v>
      </c>
      <c r="Y2654">
        <v>-1.5390259999999999E-2</v>
      </c>
      <c r="Z2654">
        <v>8.0470219999999998E-4</v>
      </c>
      <c r="AA2654">
        <v>0.99988129999999997</v>
      </c>
      <c r="AB2654">
        <v>27</v>
      </c>
      <c r="AC2654">
        <v>21.3079</v>
      </c>
      <c r="AD2654">
        <v>-1.103578241675</v>
      </c>
      <c r="AE2654">
        <v>0.161399999999986</v>
      </c>
      <c r="AF2654">
        <v>-0.331852627440609</v>
      </c>
      <c r="AG2654">
        <v>-1.103578241675</v>
      </c>
      <c r="AH2654">
        <v>21.2489181238698</v>
      </c>
      <c r="AI2654">
        <v>92.972665587703901</v>
      </c>
      <c r="AJ2654">
        <v>90.894737758020497</v>
      </c>
      <c r="AK2654">
        <v>21.280144091071399</v>
      </c>
    </row>
    <row r="2655" spans="1:37" x14ac:dyDescent="0.2">
      <c r="A2655" t="str">
        <f>"20200111160207300"</f>
        <v>20200111160207300</v>
      </c>
      <c r="B2655" t="str">
        <f>"1578729727294921"</f>
        <v>1578729727294921</v>
      </c>
      <c r="C2655" t="s">
        <v>37</v>
      </c>
      <c r="D2655">
        <v>5.6984820000000003</v>
      </c>
      <c r="E2655">
        <v>0.50926320000000003</v>
      </c>
      <c r="F2655" t="s">
        <v>60</v>
      </c>
      <c r="G2655">
        <v>-317.07240000000002</v>
      </c>
      <c r="H2655" s="1">
        <v>4.0419639999999901E-6</v>
      </c>
      <c r="I2655">
        <v>214.4725</v>
      </c>
      <c r="J2655">
        <v>-339.71350000000001</v>
      </c>
      <c r="K2655">
        <v>1.1035740000000001</v>
      </c>
      <c r="L2655">
        <v>214.27770000000001</v>
      </c>
      <c r="M2655">
        <v>0.99994169999999905</v>
      </c>
      <c r="N2655">
        <v>0</v>
      </c>
      <c r="O2655">
        <v>-8.1667939999999998E-3</v>
      </c>
      <c r="P2655">
        <v>0.99936849999999999</v>
      </c>
      <c r="Q2655">
        <v>2.1337749999999999E-2</v>
      </c>
      <c r="R2655">
        <v>2.8416799999999999E-2</v>
      </c>
      <c r="S2655">
        <v>3.0039980000000002</v>
      </c>
      <c r="T2655">
        <v>-0.1446192</v>
      </c>
      <c r="U2655">
        <v>2.5207520000000001E-2</v>
      </c>
      <c r="V2655">
        <v>-3.6570320000000003E-2</v>
      </c>
      <c r="W2655">
        <v>2.842312E-2</v>
      </c>
      <c r="X2655">
        <v>0.9989268</v>
      </c>
      <c r="Y2655">
        <v>-1.6528859999999999E-2</v>
      </c>
      <c r="Z2655">
        <v>7.9057399999999897E-4</v>
      </c>
      <c r="AA2655">
        <v>0.99986309999999901</v>
      </c>
      <c r="AB2655">
        <v>27</v>
      </c>
      <c r="AC2655">
        <v>22.641099999999899</v>
      </c>
      <c r="AD2655">
        <v>-1.1035699580360001</v>
      </c>
      <c r="AE2655">
        <v>0.19479999999998601</v>
      </c>
      <c r="AF2655">
        <v>-0.378803432687634</v>
      </c>
      <c r="AG2655">
        <v>-1.1035699580360001</v>
      </c>
      <c r="AH2655">
        <v>22.585100906813899</v>
      </c>
      <c r="AI2655">
        <v>92.797011216012706</v>
      </c>
      <c r="AJ2655">
        <v>90.960890244806095</v>
      </c>
      <c r="AK2655">
        <v>22.615219248635601</v>
      </c>
    </row>
    <row r="2656" spans="1:37" x14ac:dyDescent="0.2">
      <c r="A2656" t="str">
        <f>"20200111160207324"</f>
        <v>20200111160207324</v>
      </c>
      <c r="B2656" t="str">
        <f>"1578729727314441"</f>
        <v>1578729727314441</v>
      </c>
      <c r="C2656" t="s">
        <v>37</v>
      </c>
      <c r="D2656">
        <v>5.6455109999999999</v>
      </c>
      <c r="E2656">
        <v>0.50921570000000005</v>
      </c>
      <c r="F2656" t="s">
        <v>60</v>
      </c>
      <c r="G2656">
        <v>-314.9024</v>
      </c>
      <c r="H2656" s="1">
        <v>3.0796780000000002E-6</v>
      </c>
      <c r="I2656">
        <v>214.4819</v>
      </c>
      <c r="J2656">
        <v>-339.4271</v>
      </c>
      <c r="K2656">
        <v>1.103566</v>
      </c>
      <c r="L2656">
        <v>214.27529999999999</v>
      </c>
      <c r="M2656">
        <v>0.99994130000000003</v>
      </c>
      <c r="N2656">
        <v>0</v>
      </c>
      <c r="O2656">
        <v>-8.2972250000000001E-3</v>
      </c>
      <c r="P2656">
        <v>0.99929469999999998</v>
      </c>
      <c r="Q2656">
        <v>2.302889E-2</v>
      </c>
      <c r="R2656">
        <v>2.9662150000000002E-2</v>
      </c>
      <c r="S2656">
        <v>3.0040589999999998</v>
      </c>
      <c r="T2656">
        <v>-0.133617299999999</v>
      </c>
      <c r="U2656">
        <v>2.471924E-2</v>
      </c>
      <c r="V2656">
        <v>-3.7945099999999898E-2</v>
      </c>
      <c r="W2656">
        <v>3.0015549999999998E-2</v>
      </c>
      <c r="X2656">
        <v>0.99882890000000002</v>
      </c>
      <c r="Y2656">
        <v>-1.650068E-2</v>
      </c>
      <c r="Z2656">
        <v>7.356509E-4</v>
      </c>
      <c r="AA2656">
        <v>0.99986359999999996</v>
      </c>
      <c r="AB2656">
        <v>27</v>
      </c>
      <c r="AC2656">
        <v>24.524699999999999</v>
      </c>
      <c r="AD2656">
        <v>-1.1035629203220001</v>
      </c>
      <c r="AE2656">
        <v>0.206600000000008</v>
      </c>
      <c r="AF2656">
        <v>-0.40925617002034398</v>
      </c>
      <c r="AG2656">
        <v>-1.1035629203220001</v>
      </c>
      <c r="AH2656">
        <v>24.472592387184999</v>
      </c>
      <c r="AI2656">
        <v>92.581576536751896</v>
      </c>
      <c r="AJ2656">
        <v>90.958070374952996</v>
      </c>
      <c r="AK2656">
        <v>24.500879981770399</v>
      </c>
    </row>
    <row r="2657" spans="1:37" x14ac:dyDescent="0.2">
      <c r="A2657" t="str">
        <f>"20200111160207344"</f>
        <v>20200111160207344</v>
      </c>
      <c r="B2657" t="str">
        <f>"1578729727334937"</f>
        <v>1578729727334937</v>
      </c>
      <c r="C2657" t="s">
        <v>37</v>
      </c>
      <c r="D2657">
        <v>5.610843</v>
      </c>
      <c r="E2657">
        <v>0.50950359999999995</v>
      </c>
      <c r="F2657" t="s">
        <v>60</v>
      </c>
      <c r="G2657">
        <v>-313.5498</v>
      </c>
      <c r="H2657" s="1">
        <v>2.479841E-6</v>
      </c>
      <c r="I2657">
        <v>214.52109999999999</v>
      </c>
      <c r="J2657">
        <v>-339.17439999999999</v>
      </c>
      <c r="K2657">
        <v>1.1035469999999901</v>
      </c>
      <c r="L2657">
        <v>214.2731</v>
      </c>
      <c r="M2657">
        <v>0.99994079999999996</v>
      </c>
      <c r="N2657">
        <v>0</v>
      </c>
      <c r="O2657">
        <v>-8.4214949999999993E-3</v>
      </c>
      <c r="P2657">
        <v>0.99924740000000001</v>
      </c>
      <c r="Q2657">
        <v>2.507156E-2</v>
      </c>
      <c r="R2657">
        <v>2.9596020000000001E-2</v>
      </c>
      <c r="S2657">
        <v>3.0042110000000002</v>
      </c>
      <c r="T2657">
        <v>-0.1281177</v>
      </c>
      <c r="U2657">
        <v>2.8533940000000001E-2</v>
      </c>
      <c r="V2657">
        <v>-3.8001859999999998E-2</v>
      </c>
      <c r="W2657">
        <v>3.1961070000000001E-2</v>
      </c>
      <c r="X2657">
        <v>0.99876640000000005</v>
      </c>
      <c r="Y2657">
        <v>-1.7894609999999998E-2</v>
      </c>
      <c r="Z2657">
        <v>7.403663E-4</v>
      </c>
      <c r="AA2657">
        <v>0.99983960000000005</v>
      </c>
      <c r="AB2657">
        <v>27</v>
      </c>
      <c r="AC2657">
        <v>25.624599999999901</v>
      </c>
      <c r="AD2657">
        <v>-1.10354452015899</v>
      </c>
      <c r="AE2657">
        <v>0.24799999999999001</v>
      </c>
      <c r="AF2657">
        <v>-0.46293525908406202</v>
      </c>
      <c r="AG2657">
        <v>-1.10354452015899</v>
      </c>
      <c r="AH2657">
        <v>25.5741756002725</v>
      </c>
      <c r="AI2657">
        <v>92.470418109743505</v>
      </c>
      <c r="AJ2657">
        <v>91.037035971288603</v>
      </c>
      <c r="AK2657">
        <v>25.6021596197596</v>
      </c>
    </row>
    <row r="2658" spans="1:37" x14ac:dyDescent="0.2">
      <c r="A2658" t="str">
        <f>"20200111160207368"</f>
        <v>20200111160207368</v>
      </c>
      <c r="B2658" t="str">
        <f>"1578729727364218"</f>
        <v>1578729727364218</v>
      </c>
      <c r="C2658" t="s">
        <v>37</v>
      </c>
      <c r="D2658">
        <v>5.6596000000000002</v>
      </c>
      <c r="E2658">
        <v>0.50986160000000003</v>
      </c>
      <c r="F2658" t="s">
        <v>60</v>
      </c>
      <c r="G2658">
        <v>-313.4898</v>
      </c>
      <c r="H2658" s="1">
        <v>2.4532390000000001E-6</v>
      </c>
      <c r="I2658">
        <v>214.4999</v>
      </c>
      <c r="J2658">
        <v>-338.89479999999998</v>
      </c>
      <c r="K2658">
        <v>1.1035280000000001</v>
      </c>
      <c r="L2658">
        <v>214.2706</v>
      </c>
      <c r="M2658">
        <v>0.99994039999999995</v>
      </c>
      <c r="N2658">
        <v>0</v>
      </c>
      <c r="O2658">
        <v>-8.5760449999999992E-3</v>
      </c>
      <c r="P2658">
        <v>0.99920520000000002</v>
      </c>
      <c r="Q2658">
        <v>2.6157630000000001E-2</v>
      </c>
      <c r="R2658">
        <v>3.0087490000000001E-2</v>
      </c>
      <c r="S2658">
        <v>3.0046689999999998</v>
      </c>
      <c r="T2658">
        <v>-0.12909660000000001</v>
      </c>
      <c r="U2658">
        <v>2.6535030000000001E-2</v>
      </c>
      <c r="V2658">
        <v>-3.8645949999999998E-2</v>
      </c>
      <c r="W2658">
        <v>3.2934739999999997E-2</v>
      </c>
      <c r="X2658">
        <v>0.99870999999999999</v>
      </c>
      <c r="Y2658">
        <v>-1.7382559999999998E-2</v>
      </c>
      <c r="Z2658">
        <v>7.4154799999999997E-4</v>
      </c>
      <c r="AA2658">
        <v>0.99984869999999904</v>
      </c>
      <c r="AB2658">
        <v>27</v>
      </c>
      <c r="AC2658">
        <v>25.404999999999902</v>
      </c>
      <c r="AD2658">
        <v>-1.1035255467609999</v>
      </c>
      <c r="AE2658">
        <v>0.22929999999999401</v>
      </c>
      <c r="AF2658">
        <v>-0.44632889750132498</v>
      </c>
      <c r="AG2658">
        <v>-1.1035255467609999</v>
      </c>
      <c r="AH2658">
        <v>25.354264571217701</v>
      </c>
      <c r="AI2658">
        <v>92.491797797146504</v>
      </c>
      <c r="AJ2658">
        <v>91.008513614629905</v>
      </c>
      <c r="AK2658">
        <v>25.3821927749437</v>
      </c>
    </row>
    <row r="2659" spans="1:37" x14ac:dyDescent="0.2">
      <c r="A2659" t="str">
        <f>"20200111160207388"</f>
        <v>20200111160207388</v>
      </c>
      <c r="B2659" t="str">
        <f>"1578729727384713"</f>
        <v>1578729727384713</v>
      </c>
      <c r="C2659" t="s">
        <v>37</v>
      </c>
      <c r="D2659">
        <v>5.6734599999999897</v>
      </c>
      <c r="E2659">
        <v>0.51008560000000003</v>
      </c>
      <c r="F2659" t="s">
        <v>60</v>
      </c>
      <c r="G2659">
        <v>-314.36799999999999</v>
      </c>
      <c r="H2659" s="1">
        <v>2.8426699999999999E-6</v>
      </c>
      <c r="I2659">
        <v>214.47890000000001</v>
      </c>
      <c r="J2659">
        <v>-338.63900000000001</v>
      </c>
      <c r="K2659">
        <v>1.103499</v>
      </c>
      <c r="L2659">
        <v>214.26820000000001</v>
      </c>
      <c r="M2659">
        <v>0.99993960000000004</v>
      </c>
      <c r="N2659">
        <v>0</v>
      </c>
      <c r="O2659">
        <v>-8.7390200000000001E-3</v>
      </c>
      <c r="P2659">
        <v>0.99919979999999997</v>
      </c>
      <c r="Q2659">
        <v>2.670206E-2</v>
      </c>
      <c r="R2659">
        <v>2.9778780000000001E-2</v>
      </c>
      <c r="S2659">
        <v>3.005188</v>
      </c>
      <c r="T2659">
        <v>-0.1352112</v>
      </c>
      <c r="U2659">
        <v>2.5527950000000001E-2</v>
      </c>
      <c r="V2659">
        <v>-3.8498699999999997E-2</v>
      </c>
      <c r="W2659">
        <v>3.3378899999999899E-2</v>
      </c>
      <c r="X2659">
        <v>0.99870099999999995</v>
      </c>
      <c r="Y2659">
        <v>-1.720665E-2</v>
      </c>
      <c r="Z2659">
        <v>7.7987740000000003E-4</v>
      </c>
      <c r="AA2659">
        <v>0.99985159999999995</v>
      </c>
      <c r="AB2659">
        <v>27</v>
      </c>
      <c r="AC2659">
        <v>24.271000000000001</v>
      </c>
      <c r="AD2659">
        <v>-1.1034961573299999</v>
      </c>
      <c r="AE2659">
        <v>0.210700000000002</v>
      </c>
      <c r="AF2659">
        <v>-0.421929305877911</v>
      </c>
      <c r="AG2659">
        <v>-1.1034961573299999</v>
      </c>
      <c r="AH2659">
        <v>24.218173624725299</v>
      </c>
      <c r="AI2659">
        <v>92.608470783524893</v>
      </c>
      <c r="AJ2659">
        <v>90.998106769129294</v>
      </c>
      <c r="AK2659">
        <v>24.246972219758501</v>
      </c>
    </row>
    <row r="2660" spans="1:37" x14ac:dyDescent="0.2">
      <c r="A2660" t="str">
        <f>"20200111160207412"</f>
        <v>20200111160207412</v>
      </c>
      <c r="B2660" t="str">
        <f>"1578729727404233"</f>
        <v>1578729727404233</v>
      </c>
      <c r="C2660" t="s">
        <v>37</v>
      </c>
      <c r="D2660">
        <v>6.6965890000000003</v>
      </c>
      <c r="E2660">
        <v>0.51028419999999997</v>
      </c>
      <c r="F2660" t="s">
        <v>60</v>
      </c>
      <c r="G2660">
        <v>-314.9033</v>
      </c>
      <c r="H2660" s="1">
        <v>3.0800349999999899E-6</v>
      </c>
      <c r="I2660">
        <v>214.44909999999999</v>
      </c>
      <c r="J2660">
        <v>-338.35090000000002</v>
      </c>
      <c r="K2660">
        <v>1.103461</v>
      </c>
      <c r="L2660">
        <v>214.2655</v>
      </c>
      <c r="M2660">
        <v>0.99993840000000001</v>
      </c>
      <c r="N2660">
        <v>0</v>
      </c>
      <c r="O2660">
        <v>-8.9560549999999992E-3</v>
      </c>
      <c r="P2660">
        <v>0.99919190000000002</v>
      </c>
      <c r="Q2660">
        <v>2.6835009999999999E-2</v>
      </c>
      <c r="R2660">
        <v>2.9926370000000001E-2</v>
      </c>
      <c r="S2660">
        <v>3.0054319999999999</v>
      </c>
      <c r="T2660">
        <v>-0.13972499999999999</v>
      </c>
      <c r="U2660">
        <v>2.2903440000000001E-2</v>
      </c>
      <c r="V2660">
        <v>-3.886059E-2</v>
      </c>
      <c r="W2660">
        <v>3.3407979999999997E-2</v>
      </c>
      <c r="X2660">
        <v>0.99868599999999996</v>
      </c>
      <c r="Y2660">
        <v>-1.6548589999999998E-2</v>
      </c>
      <c r="Z2660">
        <v>8.0061740000000002E-4</v>
      </c>
      <c r="AA2660">
        <v>0.99986269999999999</v>
      </c>
      <c r="AB2660">
        <v>27</v>
      </c>
      <c r="AC2660">
        <v>23.447600000000001</v>
      </c>
      <c r="AD2660">
        <v>-1.1034579199650001</v>
      </c>
      <c r="AE2660">
        <v>0.183599999999984</v>
      </c>
      <c r="AF2660">
        <v>-0.392725429558131</v>
      </c>
      <c r="AG2660">
        <v>-1.1034579199650001</v>
      </c>
      <c r="AH2660">
        <v>23.393209449766101</v>
      </c>
      <c r="AI2660">
        <v>92.700260759545898</v>
      </c>
      <c r="AJ2660">
        <v>90.961791758650406</v>
      </c>
      <c r="AK2660">
        <v>23.4225126962241</v>
      </c>
    </row>
    <row r="2661" spans="1:37" x14ac:dyDescent="0.2">
      <c r="A2661" t="str">
        <f>"20200111160207434"</f>
        <v>20200111160207434</v>
      </c>
      <c r="B2661" t="str">
        <f>"1578729727424729"</f>
        <v>1578729727424729</v>
      </c>
      <c r="C2661" t="s">
        <v>37</v>
      </c>
      <c r="D2661">
        <v>5.7034739999999999</v>
      </c>
      <c r="E2661">
        <v>0.51047810000000005</v>
      </c>
      <c r="F2661" t="s">
        <v>60</v>
      </c>
      <c r="G2661">
        <v>-314.73930000000001</v>
      </c>
      <c r="H2661" s="1">
        <v>3.0073500000000001E-6</v>
      </c>
      <c r="I2661">
        <v>214.43510000000001</v>
      </c>
      <c r="J2661">
        <v>-338.07299999999998</v>
      </c>
      <c r="K2661">
        <v>1.1034269999999999</v>
      </c>
      <c r="L2661">
        <v>214.2628</v>
      </c>
      <c r="M2661">
        <v>0.99993670000000001</v>
      </c>
      <c r="N2661">
        <v>0</v>
      </c>
      <c r="O2661">
        <v>-9.2027299999999992E-3</v>
      </c>
      <c r="P2661">
        <v>0.99921079999999995</v>
      </c>
      <c r="Q2661">
        <v>2.6825649999999999E-2</v>
      </c>
      <c r="R2661">
        <v>2.9294199999999999E-2</v>
      </c>
      <c r="S2661">
        <v>3.0055540000000001</v>
      </c>
      <c r="T2661">
        <v>-0.1404608</v>
      </c>
      <c r="U2661">
        <v>2.159119E-2</v>
      </c>
      <c r="V2661">
        <v>-3.8473069999999998E-2</v>
      </c>
      <c r="W2661">
        <v>3.3308850000000001E-2</v>
      </c>
      <c r="X2661">
        <v>0.99870429999999999</v>
      </c>
      <c r="Y2661">
        <v>-1.6358060000000001E-2</v>
      </c>
      <c r="Z2661">
        <v>8.1186949999999996E-4</v>
      </c>
      <c r="AA2661">
        <v>0.99986589999999997</v>
      </c>
      <c r="AB2661">
        <v>28</v>
      </c>
      <c r="AC2661">
        <v>23.3337</v>
      </c>
      <c r="AD2661">
        <v>-1.10342399265</v>
      </c>
      <c r="AE2661">
        <v>0.172300000000007</v>
      </c>
      <c r="AF2661">
        <v>-0.386167429500687</v>
      </c>
      <c r="AG2661">
        <v>-1.10342399265</v>
      </c>
      <c r="AH2661">
        <v>23.279071547257601</v>
      </c>
      <c r="AI2661">
        <v>92.7134061782549</v>
      </c>
      <c r="AJ2661">
        <v>90.950370148948494</v>
      </c>
      <c r="AK2661">
        <v>23.3084071075975</v>
      </c>
    </row>
    <row r="2662" spans="1:37" x14ac:dyDescent="0.2">
      <c r="A2662" t="str">
        <f>"20200111160207455"</f>
        <v>20200111160207455</v>
      </c>
      <c r="B2662" t="str">
        <f>"1578729727444249"</f>
        <v>1578729727444249</v>
      </c>
      <c r="C2662" t="s">
        <v>37</v>
      </c>
      <c r="D2662">
        <v>5.9448829999999999</v>
      </c>
      <c r="E2662">
        <v>0.51088769999999994</v>
      </c>
      <c r="F2662" t="s">
        <v>60</v>
      </c>
      <c r="G2662">
        <v>-313.42649999999998</v>
      </c>
      <c r="H2662" s="1">
        <v>2.425173E-6</v>
      </c>
      <c r="I2662">
        <v>214.40989999999999</v>
      </c>
      <c r="J2662">
        <v>-337.79989999999998</v>
      </c>
      <c r="K2662">
        <v>1.103391</v>
      </c>
      <c r="L2662">
        <v>214.26</v>
      </c>
      <c r="M2662">
        <v>0.99993480000000001</v>
      </c>
      <c r="N2662">
        <v>0</v>
      </c>
      <c r="O2662">
        <v>-9.4773289999999996E-3</v>
      </c>
      <c r="P2662">
        <v>0.99921289999999996</v>
      </c>
      <c r="Q2662">
        <v>2.7285319999999998E-2</v>
      </c>
      <c r="R2662">
        <v>2.880067E-2</v>
      </c>
      <c r="S2662">
        <v>3.0054630000000002</v>
      </c>
      <c r="T2662">
        <v>-0.13455490000000001</v>
      </c>
      <c r="U2662">
        <v>1.794434E-2</v>
      </c>
      <c r="V2662">
        <v>-3.8252099999999997E-2</v>
      </c>
      <c r="W2662">
        <v>3.3690100000000001E-2</v>
      </c>
      <c r="X2662">
        <v>0.99870000000000003</v>
      </c>
      <c r="Y2662">
        <v>-1.542261E-2</v>
      </c>
      <c r="Z2662">
        <v>7.6915169999999995E-4</v>
      </c>
      <c r="AA2662">
        <v>0.99988080000000001</v>
      </c>
      <c r="AB2662">
        <v>28</v>
      </c>
      <c r="AC2662">
        <v>24.3734</v>
      </c>
      <c r="AD2662">
        <v>-1.103388574827</v>
      </c>
      <c r="AE2662">
        <v>0.149900000000002</v>
      </c>
      <c r="AF2662">
        <v>-0.38011371280017597</v>
      </c>
      <c r="AG2662">
        <v>-1.103388574827</v>
      </c>
      <c r="AH2662">
        <v>24.3210432126303</v>
      </c>
      <c r="AI2662">
        <v>92.597276943398398</v>
      </c>
      <c r="AJ2662">
        <v>90.895403139858402</v>
      </c>
      <c r="AK2662">
        <v>24.349026586957201</v>
      </c>
    </row>
    <row r="2663" spans="1:37" x14ac:dyDescent="0.2">
      <c r="A2663" t="str">
        <f>"20200111160207478"</f>
        <v>20200111160207478</v>
      </c>
      <c r="B2663" t="str">
        <f>"1578729727474505"</f>
        <v>1578729727474505</v>
      </c>
      <c r="C2663" t="s">
        <v>37</v>
      </c>
      <c r="D2663">
        <v>5.7116920000000002</v>
      </c>
      <c r="E2663">
        <v>0.51138409999999901</v>
      </c>
      <c r="F2663" t="s">
        <v>60</v>
      </c>
      <c r="G2663">
        <v>-313.34059999999999</v>
      </c>
      <c r="H2663" s="1">
        <v>2.3870760000000002E-6</v>
      </c>
      <c r="I2663">
        <v>214.36709999999999</v>
      </c>
      <c r="J2663">
        <v>-337.52140000000003</v>
      </c>
      <c r="K2663">
        <v>1.1033629999999901</v>
      </c>
      <c r="L2663">
        <v>214.25700000000001</v>
      </c>
      <c r="M2663">
        <v>0.99993209999999999</v>
      </c>
      <c r="N2663">
        <v>0</v>
      </c>
      <c r="O2663">
        <v>-9.7939199999999994E-3</v>
      </c>
      <c r="P2663">
        <v>0.9992181</v>
      </c>
      <c r="Q2663">
        <v>2.786224E-2</v>
      </c>
      <c r="R2663">
        <v>2.805523E-2</v>
      </c>
      <c r="S2663">
        <v>3.0056150000000001</v>
      </c>
      <c r="T2663">
        <v>-0.13558709999999999</v>
      </c>
      <c r="U2663">
        <v>1.3168330000000001E-2</v>
      </c>
      <c r="V2663">
        <v>-3.7820470000000002E-2</v>
      </c>
      <c r="W2663">
        <v>3.4196219999999999E-2</v>
      </c>
      <c r="X2663">
        <v>0.99869920000000001</v>
      </c>
      <c r="Y2663">
        <v>-1.4150670000000001E-2</v>
      </c>
      <c r="Z2663">
        <v>7.6060880000000002E-4</v>
      </c>
      <c r="AA2663">
        <v>0.999899599999999</v>
      </c>
      <c r="AB2663">
        <v>28</v>
      </c>
      <c r="AC2663">
        <v>24.180800000000001</v>
      </c>
      <c r="AD2663">
        <v>-1.1033606129239999</v>
      </c>
      <c r="AE2663">
        <v>0.110099999999988</v>
      </c>
      <c r="AF2663">
        <v>-0.346203459667138</v>
      </c>
      <c r="AG2663">
        <v>-1.1033606129239999</v>
      </c>
      <c r="AH2663">
        <v>24.1283262464218</v>
      </c>
      <c r="AI2663">
        <v>92.617976995394898</v>
      </c>
      <c r="AJ2663">
        <v>90.822047737458405</v>
      </c>
      <c r="AK2663">
        <v>24.1560217943974</v>
      </c>
    </row>
    <row r="2664" spans="1:37" x14ac:dyDescent="0.2">
      <c r="A2664" t="str">
        <f>"20200111160207499"</f>
        <v>20200111160207499</v>
      </c>
      <c r="B2664" t="str">
        <f>"1578729727494025"</f>
        <v>1578729727494025</v>
      </c>
      <c r="C2664" t="s">
        <v>37</v>
      </c>
      <c r="D2664">
        <v>5.6872910000000001</v>
      </c>
      <c r="E2664">
        <v>0.51178800000000002</v>
      </c>
      <c r="F2664" t="s">
        <v>60</v>
      </c>
      <c r="G2664">
        <v>-313.53070000000002</v>
      </c>
      <c r="H2664" s="1">
        <v>2.47138E-6</v>
      </c>
      <c r="I2664">
        <v>214.3141</v>
      </c>
      <c r="J2664">
        <v>-337.25139999999999</v>
      </c>
      <c r="K2664">
        <v>1.10334</v>
      </c>
      <c r="L2664">
        <v>214.25399999999999</v>
      </c>
      <c r="M2664">
        <v>0.99992909999999902</v>
      </c>
      <c r="N2664">
        <v>0</v>
      </c>
      <c r="O2664">
        <v>-1.0138090000000001E-2</v>
      </c>
      <c r="P2664">
        <v>0.99921779999999905</v>
      </c>
      <c r="Q2664">
        <v>2.8741929999999999E-2</v>
      </c>
      <c r="R2664">
        <v>2.7161999999999999E-2</v>
      </c>
      <c r="S2664">
        <v>3.0060419999999999</v>
      </c>
      <c r="T2664">
        <v>-0.1382515</v>
      </c>
      <c r="U2664">
        <v>7.1563719999999898E-3</v>
      </c>
      <c r="V2664">
        <v>-3.7268419999999997E-2</v>
      </c>
      <c r="W2664">
        <v>3.5016829999999999E-2</v>
      </c>
      <c r="X2664">
        <v>0.99869159999999901</v>
      </c>
      <c r="Y2664">
        <v>-1.249487E-2</v>
      </c>
      <c r="Z2664">
        <v>7.5319509999999896E-4</v>
      </c>
      <c r="AA2664">
        <v>0.99992169999999903</v>
      </c>
      <c r="AB2664">
        <v>28</v>
      </c>
      <c r="AC2664">
        <v>23.720699999999901</v>
      </c>
      <c r="AD2664">
        <v>-1.10333752862</v>
      </c>
      <c r="AE2664">
        <v>6.0099999999977102E-2</v>
      </c>
      <c r="AF2664">
        <v>-0.29993528083660698</v>
      </c>
      <c r="AG2664">
        <v>-1.10333752862</v>
      </c>
      <c r="AH2664">
        <v>23.6676663501975</v>
      </c>
      <c r="AI2664">
        <v>92.668864054765294</v>
      </c>
      <c r="AJ2664">
        <v>90.726058310289005</v>
      </c>
      <c r="AK2664">
        <v>23.695268416690801</v>
      </c>
    </row>
    <row r="2665" spans="1:37" x14ac:dyDescent="0.2">
      <c r="A2665" t="str">
        <f>"20200111160207523"</f>
        <v>20200111160207523</v>
      </c>
      <c r="B2665" t="str">
        <f>"1578729727514521"</f>
        <v>1578729727514521</v>
      </c>
      <c r="C2665" t="s">
        <v>37</v>
      </c>
      <c r="D2665">
        <v>5.7950089999999896</v>
      </c>
      <c r="E2665">
        <v>0.51187260000000001</v>
      </c>
      <c r="F2665" t="s">
        <v>60</v>
      </c>
      <c r="G2665">
        <v>-313.46769999999998</v>
      </c>
      <c r="H2665" s="1">
        <v>2.443433E-6</v>
      </c>
      <c r="I2665">
        <v>214.26589999999999</v>
      </c>
      <c r="J2665">
        <v>-336.95909999999998</v>
      </c>
      <c r="K2665">
        <v>1.1033090000000001</v>
      </c>
      <c r="L2665">
        <v>214.25069999999999</v>
      </c>
      <c r="M2665">
        <v>0.99992499999999995</v>
      </c>
      <c r="N2665">
        <v>0</v>
      </c>
      <c r="O2665">
        <v>-1.055097E-2</v>
      </c>
      <c r="P2665">
        <v>0.99924029999999997</v>
      </c>
      <c r="Q2665">
        <v>2.8969229999999999E-2</v>
      </c>
      <c r="R2665">
        <v>2.6067460000000001E-2</v>
      </c>
      <c r="S2665">
        <v>3.0062869999999999</v>
      </c>
      <c r="T2665">
        <v>-0.139463</v>
      </c>
      <c r="U2665">
        <v>1.495361E-3</v>
      </c>
      <c r="V2665">
        <v>-3.658339E-2</v>
      </c>
      <c r="W2665">
        <v>3.5191720000000003E-2</v>
      </c>
      <c r="X2665">
        <v>0.99871080000000001</v>
      </c>
      <c r="Y2665">
        <v>-1.102535E-2</v>
      </c>
      <c r="Z2665">
        <v>7.4480219999999999E-4</v>
      </c>
      <c r="AA2665">
        <v>0.99993899999999902</v>
      </c>
      <c r="AB2665">
        <v>28</v>
      </c>
      <c r="AC2665">
        <v>23.491399999999999</v>
      </c>
      <c r="AD2665">
        <v>-1.1033065565669999</v>
      </c>
      <c r="AE2665">
        <v>1.51999999999929E-2</v>
      </c>
      <c r="AF2665">
        <v>-0.26248200931645099</v>
      </c>
      <c r="AG2665">
        <v>-1.1033065565669999</v>
      </c>
      <c r="AH2665">
        <v>23.438230933033701</v>
      </c>
      <c r="AI2665">
        <v>92.694922867096494</v>
      </c>
      <c r="AJ2665">
        <v>90.641621917296206</v>
      </c>
      <c r="AK2665">
        <v>23.465652589118299</v>
      </c>
    </row>
    <row r="2666" spans="1:37" x14ac:dyDescent="0.2">
      <c r="A2666" t="str">
        <f>"20200111160207545"</f>
        <v>20200111160207545</v>
      </c>
      <c r="B2666" t="str">
        <f>"1578729727534041"</f>
        <v>1578729727534041</v>
      </c>
      <c r="C2666" t="s">
        <v>37</v>
      </c>
      <c r="D2666">
        <v>5.7749280000000001</v>
      </c>
      <c r="E2666">
        <v>0.51671210000000001</v>
      </c>
      <c r="F2666" t="s">
        <v>60</v>
      </c>
      <c r="G2666">
        <v>-312.57650000000001</v>
      </c>
      <c r="H2666" s="1">
        <v>2.048219E-6</v>
      </c>
      <c r="I2666">
        <v>214.22890000000001</v>
      </c>
      <c r="J2666">
        <v>-336.67540000000002</v>
      </c>
      <c r="K2666">
        <v>1.103281</v>
      </c>
      <c r="L2666">
        <v>214.24719999999999</v>
      </c>
      <c r="M2666">
        <v>0.9999207</v>
      </c>
      <c r="N2666">
        <v>0</v>
      </c>
      <c r="O2666">
        <v>-1.098643E-2</v>
      </c>
      <c r="P2666">
        <v>0.99928039999999996</v>
      </c>
      <c r="Q2666">
        <v>2.8600790000000001E-2</v>
      </c>
      <c r="R2666">
        <v>2.4913290000000001E-2</v>
      </c>
      <c r="S2666">
        <v>3.0063169999999899</v>
      </c>
      <c r="T2666">
        <v>-0.13603509999999999</v>
      </c>
      <c r="U2666">
        <v>-2.6855469999999999E-3</v>
      </c>
      <c r="V2666">
        <v>-3.5862890000000001E-2</v>
      </c>
      <c r="W2666">
        <v>3.478904E-2</v>
      </c>
      <c r="X2666">
        <v>0.99875100000000006</v>
      </c>
      <c r="Y2666">
        <v>-1.007184E-2</v>
      </c>
      <c r="Z2666">
        <v>7.2463810000000003E-4</v>
      </c>
      <c r="AA2666">
        <v>0.99994899999999998</v>
      </c>
      <c r="AB2666">
        <v>28</v>
      </c>
      <c r="AC2666">
        <v>24.0989</v>
      </c>
      <c r="AD2666">
        <v>-1.103278951781</v>
      </c>
      <c r="AE2666">
        <v>-1.8299999999982199E-2</v>
      </c>
      <c r="AF2666">
        <v>-0.24595150254756601</v>
      </c>
      <c r="AG2666">
        <v>-1.103278951781</v>
      </c>
      <c r="AH2666">
        <v>24.047245317757799</v>
      </c>
      <c r="AI2666">
        <v>92.626730428162702</v>
      </c>
      <c r="AJ2666">
        <v>90.585991930619002</v>
      </c>
      <c r="AK2666">
        <v>24.0737974561446</v>
      </c>
    </row>
    <row r="2667" spans="1:37" x14ac:dyDescent="0.2">
      <c r="A2667" t="str">
        <f>"20200111160207567"</f>
        <v>20200111160207567</v>
      </c>
      <c r="B2667" t="str">
        <f>"1578729727564297"</f>
        <v>1578729727564297</v>
      </c>
      <c r="C2667" t="s">
        <v>37</v>
      </c>
      <c r="D2667">
        <v>5.7679790000000004</v>
      </c>
      <c r="E2667">
        <v>0.51502460000000005</v>
      </c>
      <c r="F2667" t="s">
        <v>76</v>
      </c>
      <c r="G2667">
        <v>-107.39749999999999</v>
      </c>
      <c r="H2667">
        <v>2.2030609999999999</v>
      </c>
      <c r="I2667">
        <v>210.10120000000001</v>
      </c>
      <c r="J2667">
        <v>-336.39920000000001</v>
      </c>
      <c r="K2667">
        <v>1.1032569999999999</v>
      </c>
      <c r="L2667">
        <v>214.24379999999999</v>
      </c>
      <c r="M2667">
        <v>0.99991580000000002</v>
      </c>
      <c r="N2667">
        <v>0</v>
      </c>
      <c r="O2667">
        <v>-1.143597E-2</v>
      </c>
      <c r="P2667">
        <v>0.99930839999999999</v>
      </c>
      <c r="Q2667">
        <v>2.8397349999999998E-2</v>
      </c>
      <c r="R2667">
        <v>2.4017050000000002E-2</v>
      </c>
      <c r="S2667">
        <v>3.0031129999999999</v>
      </c>
      <c r="T2667">
        <v>1.440573E-2</v>
      </c>
      <c r="U2667">
        <v>-5.4306029999999998E-2</v>
      </c>
      <c r="V2667">
        <v>-3.5414540000000001E-2</v>
      </c>
      <c r="W2667">
        <v>3.4565070000000003E-2</v>
      </c>
      <c r="X2667">
        <v>0.99877479999999996</v>
      </c>
      <c r="Y2667">
        <v>6.6448449999999999E-3</v>
      </c>
      <c r="Z2667" s="1">
        <v>-3.8915460000000001E-5</v>
      </c>
      <c r="AA2667">
        <v>0.99997789999999998</v>
      </c>
      <c r="AB2667">
        <v>28</v>
      </c>
      <c r="AC2667">
        <v>229.0017</v>
      </c>
      <c r="AD2667">
        <v>1.099804</v>
      </c>
      <c r="AE2667">
        <v>-4.1425999999999803</v>
      </c>
      <c r="AF2667">
        <v>1.5233881458876699</v>
      </c>
      <c r="AG2667">
        <v>1.099804</v>
      </c>
      <c r="AH2667">
        <v>229.028819086586</v>
      </c>
      <c r="AI2667">
        <v>89.724871963649505</v>
      </c>
      <c r="AJ2667">
        <v>89.618902003329694</v>
      </c>
      <c r="AK2667">
        <v>229.036526022548</v>
      </c>
    </row>
    <row r="2668" spans="1:37" x14ac:dyDescent="0.2">
      <c r="A2668" t="str">
        <f>"20200111160207589"</f>
        <v>20200111160207589</v>
      </c>
      <c r="B2668" t="str">
        <f>"1578729727584793"</f>
        <v>1578729727584793</v>
      </c>
      <c r="C2668" t="s">
        <v>37</v>
      </c>
      <c r="D2668">
        <v>6.014761</v>
      </c>
      <c r="E2668">
        <v>0.53062810000000005</v>
      </c>
      <c r="F2668" t="s">
        <v>76</v>
      </c>
      <c r="G2668">
        <v>-107.39749999999999</v>
      </c>
      <c r="H2668">
        <v>0.86599809999999999</v>
      </c>
      <c r="I2668">
        <v>211.00210000000001</v>
      </c>
      <c r="J2668">
        <v>-336.12329999999997</v>
      </c>
      <c r="K2668">
        <v>1.103237</v>
      </c>
      <c r="L2668">
        <v>214.24019999999999</v>
      </c>
      <c r="M2668">
        <v>0.99991039999999998</v>
      </c>
      <c r="N2668">
        <v>0</v>
      </c>
      <c r="O2668">
        <v>-1.1901719999999999E-2</v>
      </c>
      <c r="P2668">
        <v>0.999351199999999</v>
      </c>
      <c r="Q2668">
        <v>2.7768020000000001E-2</v>
      </c>
      <c r="R2668">
        <v>2.2941929999999999E-2</v>
      </c>
      <c r="S2668">
        <v>3.0031430000000001</v>
      </c>
      <c r="T2668">
        <v>-3.1107659999999901E-3</v>
      </c>
      <c r="U2668">
        <v>-4.2510989999999999E-2</v>
      </c>
      <c r="V2668">
        <v>-3.4803779999999999E-2</v>
      </c>
      <c r="W2668">
        <v>3.3926480000000002E-2</v>
      </c>
      <c r="X2668">
        <v>0.99881819999999899</v>
      </c>
      <c r="Y2668">
        <v>2.2523320000000001E-3</v>
      </c>
      <c r="Z2668" s="1">
        <v>1.1160909999999999E-5</v>
      </c>
      <c r="AA2668">
        <v>0.99999740000000004</v>
      </c>
      <c r="AB2668">
        <v>28</v>
      </c>
      <c r="AC2668">
        <v>228.72579999999999</v>
      </c>
      <c r="AD2668">
        <v>-0.2372389</v>
      </c>
      <c r="AE2668">
        <v>-3.23809999999997</v>
      </c>
      <c r="AF2668">
        <v>0.515588561257045</v>
      </c>
      <c r="AG2668">
        <v>-0.2372389</v>
      </c>
      <c r="AH2668">
        <v>228.747892845542</v>
      </c>
      <c r="AI2668">
        <v>90.059422397889193</v>
      </c>
      <c r="AJ2668">
        <v>89.8708578333475</v>
      </c>
      <c r="AK2668">
        <v>228.748596924955</v>
      </c>
    </row>
    <row r="2669" spans="1:37" x14ac:dyDescent="0.2">
      <c r="A2669" t="str">
        <f>"20200111160207612"</f>
        <v>20200111160207612</v>
      </c>
      <c r="B2669" t="str">
        <f>"1578729727604315"</f>
        <v>1578729727604315</v>
      </c>
      <c r="C2669" t="s">
        <v>37</v>
      </c>
      <c r="D2669">
        <v>5.8440810000000001</v>
      </c>
      <c r="E2669">
        <v>0.54406889999999997</v>
      </c>
      <c r="F2669" t="s">
        <v>42</v>
      </c>
      <c r="G2669">
        <v>-335.40410000000003</v>
      </c>
      <c r="H2669">
        <v>1.0298119999999999</v>
      </c>
      <c r="I2669">
        <v>214.20410000000001</v>
      </c>
      <c r="J2669">
        <v>-335.83179999999999</v>
      </c>
      <c r="K2669">
        <v>1.1032219999999999</v>
      </c>
      <c r="L2669">
        <v>214.2362</v>
      </c>
      <c r="M2669">
        <v>0.99990419999999902</v>
      </c>
      <c r="N2669">
        <v>0</v>
      </c>
      <c r="O2669">
        <v>-1.240609E-2</v>
      </c>
      <c r="P2669">
        <v>0.99938799999999905</v>
      </c>
      <c r="Q2669">
        <v>2.6691650000000001E-2</v>
      </c>
      <c r="R2669">
        <v>2.2609270000000001E-2</v>
      </c>
      <c r="S2669">
        <v>3.013916</v>
      </c>
      <c r="T2669">
        <v>-0.30776490000000001</v>
      </c>
      <c r="U2669">
        <v>-0.15080260000000001</v>
      </c>
      <c r="V2669">
        <v>-3.4976019999999997E-2</v>
      </c>
      <c r="W2669">
        <v>3.2856099999999999E-2</v>
      </c>
      <c r="X2669">
        <v>0.99884789999999901</v>
      </c>
      <c r="Y2669">
        <v>3.7448380000000003E-2</v>
      </c>
      <c r="Z2669">
        <v>-6.4319569999999996E-4</v>
      </c>
      <c r="AA2669">
        <v>0.99929829999999997</v>
      </c>
      <c r="AB2669">
        <v>28</v>
      </c>
      <c r="AC2669">
        <v>0.427699999999958</v>
      </c>
      <c r="AD2669">
        <v>-7.3409999999999698E-2</v>
      </c>
      <c r="AE2669">
        <v>-3.2099999999985501E-2</v>
      </c>
      <c r="AF2669">
        <v>2.60288320426929E-2</v>
      </c>
      <c r="AG2669">
        <v>-7.3409999999999698E-2</v>
      </c>
      <c r="AH2669">
        <v>0.41588208954962702</v>
      </c>
      <c r="AI2669">
        <v>99.991369479018203</v>
      </c>
      <c r="AJ2669">
        <v>86.418697610917803</v>
      </c>
      <c r="AK2669">
        <v>0.42311279891498299</v>
      </c>
    </row>
    <row r="2670" spans="1:37" x14ac:dyDescent="0.2">
      <c r="A2670" t="str">
        <f>"20200111160207636"</f>
        <v>20200111160207636</v>
      </c>
      <c r="B2670" t="str">
        <f>"1578729727624809"</f>
        <v>1578729727624809</v>
      </c>
      <c r="C2670" t="s">
        <v>37</v>
      </c>
      <c r="D2670">
        <v>5.8734459999999897</v>
      </c>
      <c r="E2670">
        <v>0.55064829999999998</v>
      </c>
      <c r="F2670" t="s">
        <v>42</v>
      </c>
      <c r="G2670">
        <v>-334.90170000000001</v>
      </c>
      <c r="H2670">
        <v>1.0124139999999999</v>
      </c>
      <c r="I2670">
        <v>214.1558</v>
      </c>
      <c r="J2670">
        <v>-335.52730000000003</v>
      </c>
      <c r="K2670">
        <v>1.1032120000000001</v>
      </c>
      <c r="L2670">
        <v>214.2319</v>
      </c>
      <c r="M2670">
        <v>0.99989729999999999</v>
      </c>
      <c r="N2670">
        <v>0</v>
      </c>
      <c r="O2670">
        <v>-1.2939310000000001E-2</v>
      </c>
      <c r="P2670">
        <v>0.99940669999999898</v>
      </c>
      <c r="Q2670">
        <v>2.6155950000000001E-2</v>
      </c>
      <c r="R2670">
        <v>2.2403329999999999E-2</v>
      </c>
      <c r="S2670">
        <v>3.0155639999999999</v>
      </c>
      <c r="T2670">
        <v>-0.29442109999999999</v>
      </c>
      <c r="U2670">
        <v>-0.26057429999999998</v>
      </c>
      <c r="V2670">
        <v>-3.530287E-2</v>
      </c>
      <c r="W2670">
        <v>3.2334719999999997E-2</v>
      </c>
      <c r="X2670">
        <v>0.9988534</v>
      </c>
      <c r="Y2670">
        <v>7.2907360000000004E-2</v>
      </c>
      <c r="Z2670">
        <v>-2.286302E-3</v>
      </c>
      <c r="AA2670">
        <v>0.99733609999999995</v>
      </c>
      <c r="AB2670">
        <v>29</v>
      </c>
      <c r="AC2670">
        <v>0.62560000000001903</v>
      </c>
      <c r="AD2670">
        <v>-9.0798000000000101E-2</v>
      </c>
      <c r="AE2670">
        <v>-7.6099999999996698E-2</v>
      </c>
      <c r="AF2670">
        <v>6.661584907425E-2</v>
      </c>
      <c r="AG2670">
        <v>-9.0798000000000101E-2</v>
      </c>
      <c r="AH2670">
        <v>0.61379140831378798</v>
      </c>
      <c r="AI2670">
        <v>98.366294997730193</v>
      </c>
      <c r="AJ2670">
        <v>83.805834118281197</v>
      </c>
      <c r="AK2670">
        <v>0.62403673054693398</v>
      </c>
    </row>
    <row r="2671" spans="1:37" x14ac:dyDescent="0.2">
      <c r="A2671" t="str">
        <f>"20200111160207656"</f>
        <v>20200111160207656</v>
      </c>
      <c r="B2671" t="str">
        <f>"1578729727644837"</f>
        <v>1578729727644837</v>
      </c>
      <c r="C2671" t="s">
        <v>37</v>
      </c>
      <c r="D2671">
        <v>5.8141850000000002</v>
      </c>
      <c r="E2671">
        <v>0.55259559999999996</v>
      </c>
      <c r="F2671" t="s">
        <v>42</v>
      </c>
      <c r="G2671">
        <v>-334.64139999999998</v>
      </c>
      <c r="H2671">
        <v>1.019142</v>
      </c>
      <c r="I2671">
        <v>214.13919999999999</v>
      </c>
      <c r="J2671">
        <v>-335.25779999999997</v>
      </c>
      <c r="K2671">
        <v>1.10321</v>
      </c>
      <c r="L2671">
        <v>214.22790000000001</v>
      </c>
      <c r="M2671">
        <v>0.99989119999999998</v>
      </c>
      <c r="N2671">
        <v>0</v>
      </c>
      <c r="O2671">
        <v>-1.341301E-2</v>
      </c>
      <c r="P2671">
        <v>0.99940819999999997</v>
      </c>
      <c r="Q2671">
        <v>2.6170450000000001E-2</v>
      </c>
      <c r="R2671">
        <v>2.233108E-2</v>
      </c>
      <c r="S2671">
        <v>3.016327</v>
      </c>
      <c r="T2671">
        <v>-0.28629699999999902</v>
      </c>
      <c r="U2671">
        <v>-0.31480409999999998</v>
      </c>
      <c r="V2671">
        <v>-3.5703399999999899E-2</v>
      </c>
      <c r="W2671">
        <v>3.2367130000000001E-2</v>
      </c>
      <c r="X2671">
        <v>0.99883809999999995</v>
      </c>
      <c r="Y2671">
        <v>9.0111869999999997E-2</v>
      </c>
      <c r="Z2671">
        <v>-2.98884E-3</v>
      </c>
      <c r="AA2671">
        <v>0.99592719999999901</v>
      </c>
      <c r="AB2671">
        <v>29</v>
      </c>
      <c r="AC2671">
        <v>0.61639999999999795</v>
      </c>
      <c r="AD2671">
        <v>-8.4068000000000004E-2</v>
      </c>
      <c r="AE2671">
        <v>-8.8700000000017099E-2</v>
      </c>
      <c r="AF2671">
        <v>7.8984697055365496E-2</v>
      </c>
      <c r="AG2671">
        <v>-8.4068000000000004E-2</v>
      </c>
      <c r="AH2671">
        <v>0.606481998055589</v>
      </c>
      <c r="AI2671">
        <v>97.826548184764405</v>
      </c>
      <c r="AJ2671">
        <v>82.579892674047997</v>
      </c>
      <c r="AK2671">
        <v>0.61735437550763905</v>
      </c>
    </row>
    <row r="2672" spans="1:37" x14ac:dyDescent="0.2">
      <c r="A2672" t="str">
        <f>"20200111160207770"</f>
        <v>20200111160207770</v>
      </c>
      <c r="B2672" t="str">
        <f>"1578729727764417"</f>
        <v>1578729727764417</v>
      </c>
      <c r="C2672" t="s">
        <v>37</v>
      </c>
      <c r="D2672">
        <v>5.8662700000000001</v>
      </c>
      <c r="E2672">
        <v>0.57084999999999997</v>
      </c>
      <c r="F2672" t="s">
        <v>63</v>
      </c>
      <c r="G2672">
        <v>-285.77249999999998</v>
      </c>
      <c r="H2672">
        <v>0.52384330000000001</v>
      </c>
      <c r="I2672">
        <v>205.92259999999999</v>
      </c>
      <c r="J2672">
        <v>-333.7919</v>
      </c>
      <c r="K2672">
        <v>1.1032029999999999</v>
      </c>
      <c r="L2672">
        <v>214.20410000000001</v>
      </c>
      <c r="M2672">
        <v>0.99985279999999999</v>
      </c>
      <c r="N2672">
        <v>0</v>
      </c>
      <c r="O2672">
        <v>-1.5955029999999999E-2</v>
      </c>
      <c r="P2672">
        <v>0.99952730000000001</v>
      </c>
      <c r="Q2672">
        <v>2.520522E-2</v>
      </c>
      <c r="R2672">
        <v>1.7608059999999998E-2</v>
      </c>
      <c r="S2672">
        <v>3.0126650000000001</v>
      </c>
      <c r="T2672">
        <v>-3.613305E-2</v>
      </c>
      <c r="U2672">
        <v>-0.51679989999999998</v>
      </c>
      <c r="V2672">
        <v>-3.352231E-2</v>
      </c>
      <c r="W2672">
        <v>3.15736E-2</v>
      </c>
      <c r="X2672">
        <v>0.99893909999999997</v>
      </c>
      <c r="Y2672">
        <v>0.15331610000000001</v>
      </c>
      <c r="Z2672">
        <v>-7.2281750000000001E-4</v>
      </c>
      <c r="AA2672">
        <v>0.98817690000000002</v>
      </c>
      <c r="AB2672">
        <v>29</v>
      </c>
      <c r="AC2672">
        <v>48.019399999999997</v>
      </c>
      <c r="AD2672">
        <v>-0.57935970000000003</v>
      </c>
      <c r="AE2672">
        <v>-8.2815000000000207</v>
      </c>
      <c r="AF2672">
        <v>7.5132175016173202</v>
      </c>
      <c r="AG2672">
        <v>-0.57935970000000003</v>
      </c>
      <c r="AH2672">
        <v>48.138616602275</v>
      </c>
      <c r="AI2672">
        <v>90.681287913673003</v>
      </c>
      <c r="AJ2672">
        <v>81.129148763007095</v>
      </c>
      <c r="AK2672">
        <v>48.724844825503801</v>
      </c>
    </row>
    <row r="2673" spans="1:37" x14ac:dyDescent="0.2">
      <c r="A2673" t="str">
        <f>"20200111160207790"</f>
        <v>20200111160207790</v>
      </c>
      <c r="B2673" t="str">
        <f>"1578729727784914"</f>
        <v>1578729727784914</v>
      </c>
      <c r="C2673" t="s">
        <v>37</v>
      </c>
      <c r="D2673">
        <v>5.8508680000000002</v>
      </c>
      <c r="E2673">
        <v>0.56984619999999997</v>
      </c>
      <c r="F2673" t="s">
        <v>63</v>
      </c>
      <c r="G2673">
        <v>-286.0575</v>
      </c>
      <c r="H2673">
        <v>8.3002980000000004E-2</v>
      </c>
      <c r="I2673">
        <v>206.21369999999999</v>
      </c>
      <c r="J2673">
        <v>-333.50990000000002</v>
      </c>
      <c r="K2673">
        <v>1.103199</v>
      </c>
      <c r="L2673">
        <v>214.19909999999999</v>
      </c>
      <c r="M2673">
        <v>0.99984439999999997</v>
      </c>
      <c r="N2673">
        <v>0</v>
      </c>
      <c r="O2673">
        <v>-1.643907E-2</v>
      </c>
      <c r="P2673">
        <v>0.99959240000000005</v>
      </c>
      <c r="Q2673">
        <v>2.415639E-2</v>
      </c>
      <c r="R2673">
        <v>1.5220879999999999E-2</v>
      </c>
      <c r="S2673">
        <v>3.0119630000000002</v>
      </c>
      <c r="T2673">
        <v>-6.4373020000000003E-2</v>
      </c>
      <c r="U2673">
        <v>-0.50418090000000004</v>
      </c>
      <c r="V2673">
        <v>-3.1620780000000001E-2</v>
      </c>
      <c r="W2673">
        <v>3.0565100000000001E-2</v>
      </c>
      <c r="X2673">
        <v>0.99903249999999999</v>
      </c>
      <c r="Y2673">
        <v>0.1488302</v>
      </c>
      <c r="Z2673">
        <v>-1.2305160000000001E-3</v>
      </c>
      <c r="AA2673">
        <v>0.98886200000000002</v>
      </c>
      <c r="AB2673">
        <v>29</v>
      </c>
      <c r="AC2673">
        <v>47.452399999999997</v>
      </c>
      <c r="AD2673">
        <v>-1.02019602</v>
      </c>
      <c r="AE2673">
        <v>-7.9853999999999896</v>
      </c>
      <c r="AF2673">
        <v>7.2009947949383903</v>
      </c>
      <c r="AG2673">
        <v>-1.02019602</v>
      </c>
      <c r="AH2673">
        <v>47.5558866566627</v>
      </c>
      <c r="AI2673">
        <v>91.215106122900394</v>
      </c>
      <c r="AJ2673">
        <v>81.389584229095703</v>
      </c>
      <c r="AK2673">
        <v>48.108808774041698</v>
      </c>
    </row>
    <row r="2674" spans="1:37" x14ac:dyDescent="0.2">
      <c r="A2674" t="str">
        <f>"20200111160207836"</f>
        <v>20200111160207836</v>
      </c>
      <c r="B2674" t="str">
        <f>"1578729727823953"</f>
        <v>1578729727823953</v>
      </c>
      <c r="C2674" t="s">
        <v>37</v>
      </c>
      <c r="D2674">
        <v>5.7766580000000003</v>
      </c>
      <c r="E2674">
        <v>0.56940459999999904</v>
      </c>
      <c r="F2674" t="s">
        <v>60</v>
      </c>
      <c r="G2674">
        <v>-310.02690000000001</v>
      </c>
      <c r="H2674" s="1">
        <v>9.1759969999999998E-7</v>
      </c>
      <c r="I2674">
        <v>210.31030000000001</v>
      </c>
      <c r="J2674">
        <v>-332.91969999999998</v>
      </c>
      <c r="K2674">
        <v>1.1031879999999901</v>
      </c>
      <c r="L2674">
        <v>214.18819999999999</v>
      </c>
      <c r="M2674">
        <v>0.99982680000000002</v>
      </c>
      <c r="N2674">
        <v>0</v>
      </c>
      <c r="O2674">
        <v>-1.7451749999999999E-2</v>
      </c>
      <c r="P2674">
        <v>0.99968729999999995</v>
      </c>
      <c r="Q2674">
        <v>2.2056889999999999E-2</v>
      </c>
      <c r="R2674">
        <v>1.180579E-2</v>
      </c>
      <c r="S2674">
        <v>3.0122680000000002</v>
      </c>
      <c r="T2674">
        <v>-0.14151229999999901</v>
      </c>
      <c r="U2674">
        <v>-0.49884030000000001</v>
      </c>
      <c r="V2674">
        <v>-2.9222439999999999E-2</v>
      </c>
      <c r="W2674">
        <v>2.8554199999999998E-2</v>
      </c>
      <c r="X2674">
        <v>0.99916499999999997</v>
      </c>
      <c r="Y2674">
        <v>0.1459974</v>
      </c>
      <c r="Z2674">
        <v>-2.5907769999999998E-3</v>
      </c>
      <c r="AA2674">
        <v>0.98928159999999898</v>
      </c>
      <c r="AB2674">
        <v>29</v>
      </c>
      <c r="AC2674">
        <v>22.892799999999902</v>
      </c>
      <c r="AD2674">
        <v>-1.1031870824002901</v>
      </c>
      <c r="AE2674">
        <v>-3.8778999999999799</v>
      </c>
      <c r="AF2674">
        <v>3.46994845914063</v>
      </c>
      <c r="AG2674">
        <v>-1.1031870824002901</v>
      </c>
      <c r="AH2674">
        <v>22.905283926367201</v>
      </c>
      <c r="AI2674">
        <v>92.726346531203006</v>
      </c>
      <c r="AJ2674">
        <v>81.385694540437697</v>
      </c>
      <c r="AK2674">
        <v>23.192878126600998</v>
      </c>
    </row>
    <row r="2675" spans="1:37" x14ac:dyDescent="0.2">
      <c r="A2675" t="str">
        <f>"20200111160207856"</f>
        <v>20200111160207856</v>
      </c>
      <c r="B2675" t="str">
        <f>"1578729727843978"</f>
        <v>1578729727843978</v>
      </c>
      <c r="C2675" t="s">
        <v>37</v>
      </c>
      <c r="D2675">
        <v>5.9600730000000004</v>
      </c>
      <c r="E2675">
        <v>0.56911999999999996</v>
      </c>
      <c r="F2675" t="s">
        <v>42</v>
      </c>
      <c r="G2675">
        <v>-332.0129</v>
      </c>
      <c r="H2675">
        <v>1.041892</v>
      </c>
      <c r="I2675">
        <v>214.03710000000001</v>
      </c>
      <c r="J2675">
        <v>-332.6404</v>
      </c>
      <c r="K2675">
        <v>1.1031789999999999</v>
      </c>
      <c r="L2675">
        <v>214.18279999999999</v>
      </c>
      <c r="M2675">
        <v>0.99981799999999998</v>
      </c>
      <c r="N2675">
        <v>0</v>
      </c>
      <c r="O2675">
        <v>-1.7930669999999999E-2</v>
      </c>
      <c r="P2675">
        <v>0.99970559999999997</v>
      </c>
      <c r="Q2675">
        <v>2.1482210000000002E-2</v>
      </c>
      <c r="R2675">
        <v>1.128963E-2</v>
      </c>
      <c r="S2675">
        <v>3.0113829999999999</v>
      </c>
      <c r="T2675">
        <v>-0.20352089999999901</v>
      </c>
      <c r="U2675">
        <v>-0.50195310000000004</v>
      </c>
      <c r="V2675">
        <v>-2.9185240000000001E-2</v>
      </c>
      <c r="W2675">
        <v>2.802369E-2</v>
      </c>
      <c r="X2675">
        <v>0.99918109999999905</v>
      </c>
      <c r="Y2675">
        <v>0.1464184</v>
      </c>
      <c r="Z2675">
        <v>-3.7066669999999999E-3</v>
      </c>
      <c r="AA2675">
        <v>0.98921579999999998</v>
      </c>
      <c r="AB2675">
        <v>30</v>
      </c>
      <c r="AC2675">
        <v>0.62749999999999695</v>
      </c>
      <c r="AD2675">
        <v>-6.1287000000000001E-2</v>
      </c>
      <c r="AE2675">
        <v>-0.14569999999997599</v>
      </c>
      <c r="AF2675">
        <v>0.133219052951636</v>
      </c>
      <c r="AG2675">
        <v>-6.1287000000000001E-2</v>
      </c>
      <c r="AH2675">
        <v>0.62436047703878494</v>
      </c>
      <c r="AI2675">
        <v>95.483518358819296</v>
      </c>
      <c r="AJ2675">
        <v>77.955480605967196</v>
      </c>
      <c r="AK2675">
        <v>0.64134968443621299</v>
      </c>
    </row>
    <row r="2676" spans="1:37" x14ac:dyDescent="0.2">
      <c r="A2676" t="str">
        <f>"20200111160207879"</f>
        <v>20200111160207879</v>
      </c>
      <c r="B2676" t="str">
        <f>"1578729727874234"</f>
        <v>1578729727874234</v>
      </c>
      <c r="C2676" t="s">
        <v>37</v>
      </c>
      <c r="D2676">
        <v>5.7350959999999898</v>
      </c>
      <c r="E2676">
        <v>0.56846609999999997</v>
      </c>
      <c r="F2676" t="s">
        <v>42</v>
      </c>
      <c r="G2676">
        <v>-331.74880000000002</v>
      </c>
      <c r="H2676">
        <v>1.040303</v>
      </c>
      <c r="I2676">
        <v>214.03460000000001</v>
      </c>
      <c r="J2676">
        <v>-332.34230000000002</v>
      </c>
      <c r="K2676">
        <v>1.103167</v>
      </c>
      <c r="L2676">
        <v>214.17699999999999</v>
      </c>
      <c r="M2676">
        <v>0.99980840000000004</v>
      </c>
      <c r="N2676">
        <v>0</v>
      </c>
      <c r="O2676">
        <v>-1.8441909999999999E-2</v>
      </c>
      <c r="P2676">
        <v>0.99973289999999904</v>
      </c>
      <c r="Q2676">
        <v>2.0322980000000001E-2</v>
      </c>
      <c r="R2676">
        <v>1.101179E-2</v>
      </c>
      <c r="S2676">
        <v>3.0110779999999999</v>
      </c>
      <c r="T2676">
        <v>-0.2123787</v>
      </c>
      <c r="U2676">
        <v>-0.50059509999999996</v>
      </c>
      <c r="V2676">
        <v>-2.9420080000000001E-2</v>
      </c>
      <c r="W2676">
        <v>2.6912129999999999E-2</v>
      </c>
      <c r="X2676">
        <v>0.9992048</v>
      </c>
      <c r="Y2676">
        <v>0.14547279999999899</v>
      </c>
      <c r="Z2676">
        <v>-3.7993139999999998E-3</v>
      </c>
      <c r="AA2676">
        <v>0.98935499999999899</v>
      </c>
      <c r="AB2676">
        <v>30</v>
      </c>
      <c r="AC2676">
        <v>0.59350000000000502</v>
      </c>
      <c r="AD2676">
        <v>-6.2864000000000003E-2</v>
      </c>
      <c r="AE2676">
        <v>-0.14240000000000899</v>
      </c>
      <c r="AF2676">
        <v>0.13005062876838799</v>
      </c>
      <c r="AG2676">
        <v>-6.2864000000000003E-2</v>
      </c>
      <c r="AH2676">
        <v>0.58976867841064795</v>
      </c>
      <c r="AI2676">
        <v>95.942533134672402</v>
      </c>
      <c r="AJ2676">
        <v>77.564644282561503</v>
      </c>
      <c r="AK2676">
        <v>0.60720024915450699</v>
      </c>
    </row>
    <row r="2677" spans="1:37" x14ac:dyDescent="0.2">
      <c r="A2677" t="str">
        <f>"20200111160207904"</f>
        <v>20200111160207904</v>
      </c>
      <c r="B2677" t="str">
        <f>"1578729727894730"</f>
        <v>1578729727894730</v>
      </c>
      <c r="C2677" t="s">
        <v>37</v>
      </c>
      <c r="D2677">
        <v>5.676005</v>
      </c>
      <c r="E2677">
        <v>0.56833520000000004</v>
      </c>
      <c r="F2677" t="s">
        <v>42</v>
      </c>
      <c r="G2677">
        <v>-331.48489999999998</v>
      </c>
      <c r="H2677">
        <v>1.0375369999999999</v>
      </c>
      <c r="I2677">
        <v>214.0359</v>
      </c>
      <c r="J2677">
        <v>-332.01310000000001</v>
      </c>
      <c r="K2677">
        <v>1.103172</v>
      </c>
      <c r="L2677">
        <v>214.1703</v>
      </c>
      <c r="M2677">
        <v>0.99979750000000001</v>
      </c>
      <c r="N2677">
        <v>0</v>
      </c>
      <c r="O2677">
        <v>-1.9006229999999999E-2</v>
      </c>
      <c r="P2677">
        <v>0.99975990000000003</v>
      </c>
      <c r="Q2677">
        <v>1.922053E-2</v>
      </c>
      <c r="R2677">
        <v>1.054776E-2</v>
      </c>
      <c r="S2677">
        <v>3.0109249999999999</v>
      </c>
      <c r="T2677">
        <v>-0.2305122</v>
      </c>
      <c r="U2677">
        <v>-0.49514769999999902</v>
      </c>
      <c r="V2677">
        <v>-2.952142E-2</v>
      </c>
      <c r="W2677">
        <v>2.586393E-2</v>
      </c>
      <c r="X2677">
        <v>0.99922949999999999</v>
      </c>
      <c r="Y2677">
        <v>0.14313329999999999</v>
      </c>
      <c r="Z2677">
        <v>-3.991975E-3</v>
      </c>
      <c r="AA2677">
        <v>0.9896954</v>
      </c>
      <c r="AB2677">
        <v>30</v>
      </c>
      <c r="AC2677">
        <v>0.52820000000002598</v>
      </c>
      <c r="AD2677">
        <v>-6.5634999999999805E-2</v>
      </c>
      <c r="AE2677">
        <v>-0.13439999999999899</v>
      </c>
      <c r="AF2677">
        <v>0.12255905616148299</v>
      </c>
      <c r="AG2677">
        <v>-6.5634999999999805E-2</v>
      </c>
      <c r="AH2677">
        <v>0.523073449996456</v>
      </c>
      <c r="AI2677">
        <v>96.965352667686503</v>
      </c>
      <c r="AJ2677">
        <v>76.813156791384202</v>
      </c>
      <c r="AK2677">
        <v>0.54123424648056895</v>
      </c>
    </row>
    <row r="2678" spans="1:37" x14ac:dyDescent="0.2">
      <c r="A2678" t="str">
        <f>"20200111160207927"</f>
        <v>20200111160207927</v>
      </c>
      <c r="B2678" t="str">
        <f>"1578729727924010"</f>
        <v>1578729727924010</v>
      </c>
      <c r="C2678" t="s">
        <v>37</v>
      </c>
      <c r="D2678">
        <v>5.6444669999999997</v>
      </c>
      <c r="E2678">
        <v>0.56808910000000001</v>
      </c>
      <c r="F2678" t="s">
        <v>42</v>
      </c>
      <c r="G2678">
        <v>-331.21660000000003</v>
      </c>
      <c r="H2678">
        <v>1.0395589999999999</v>
      </c>
      <c r="I2678">
        <v>214.0395</v>
      </c>
      <c r="J2678">
        <v>-331.695999999999</v>
      </c>
      <c r="K2678">
        <v>1.103173</v>
      </c>
      <c r="L2678">
        <v>214.16370000000001</v>
      </c>
      <c r="M2678">
        <v>0.99978670000000003</v>
      </c>
      <c r="N2678">
        <v>0</v>
      </c>
      <c r="O2678">
        <v>-1.9549560000000001E-2</v>
      </c>
      <c r="P2678">
        <v>0.99978109999999998</v>
      </c>
      <c r="Q2678">
        <v>1.8478950000000001E-2</v>
      </c>
      <c r="R2678">
        <v>9.8078369999999998E-3</v>
      </c>
      <c r="S2678">
        <v>3.0105590000000002</v>
      </c>
      <c r="T2678">
        <v>-0.24043039999999999</v>
      </c>
      <c r="U2678">
        <v>-0.49485779999999902</v>
      </c>
      <c r="V2678">
        <v>-2.9325629999999998E-2</v>
      </c>
      <c r="W2678">
        <v>2.5173210000000001E-2</v>
      </c>
      <c r="X2678">
        <v>0.9992529</v>
      </c>
      <c r="Y2678">
        <v>0.1424945</v>
      </c>
      <c r="Z2678">
        <v>-4.0954479999999998E-3</v>
      </c>
      <c r="AA2678">
        <v>0.98978709999999903</v>
      </c>
      <c r="AB2678">
        <v>30</v>
      </c>
      <c r="AC2678">
        <v>0.47939999999994098</v>
      </c>
      <c r="AD2678">
        <v>-6.3613999999999796E-2</v>
      </c>
      <c r="AE2678">
        <v>-0.124200000000001</v>
      </c>
      <c r="AF2678">
        <v>0.11294042554638201</v>
      </c>
      <c r="AG2678">
        <v>-6.3613999999999796E-2</v>
      </c>
      <c r="AH2678">
        <v>0.47391663790934901</v>
      </c>
      <c r="AI2678">
        <v>97.439235263259405</v>
      </c>
      <c r="AJ2678">
        <v>76.595703375027298</v>
      </c>
      <c r="AK2678">
        <v>0.49132398720793102</v>
      </c>
    </row>
    <row r="2679" spans="1:37" x14ac:dyDescent="0.2">
      <c r="A2679" t="str">
        <f>"20200111160207969"</f>
        <v>20200111160207969</v>
      </c>
      <c r="B2679" t="str">
        <f>"1578729727964534"</f>
        <v>1578729727964534</v>
      </c>
      <c r="C2679" t="s">
        <v>37</v>
      </c>
      <c r="D2679">
        <v>5.6234929999999999</v>
      </c>
      <c r="E2679">
        <v>0.5676776</v>
      </c>
      <c r="F2679" t="s">
        <v>42</v>
      </c>
      <c r="G2679">
        <v>-330.94760000000002</v>
      </c>
      <c r="H2679">
        <v>1.041469</v>
      </c>
      <c r="I2679">
        <v>214.04040000000001</v>
      </c>
      <c r="J2679">
        <v>-331.14350000000002</v>
      </c>
      <c r="K2679">
        <v>1.1031599999999999</v>
      </c>
      <c r="L2679">
        <v>214.15180000000001</v>
      </c>
      <c r="M2679">
        <v>0.99976730000000003</v>
      </c>
      <c r="N2679">
        <v>0</v>
      </c>
      <c r="O2679">
        <v>-2.049571E-2</v>
      </c>
      <c r="P2679">
        <v>0.99982879999999996</v>
      </c>
      <c r="Q2679">
        <v>1.6983149999999999E-2</v>
      </c>
      <c r="R2679">
        <v>7.3729809999999998E-3</v>
      </c>
      <c r="S2679">
        <v>3.010132</v>
      </c>
      <c r="T2679">
        <v>-0.24839359999999999</v>
      </c>
      <c r="U2679">
        <v>-0.49450680000000002</v>
      </c>
      <c r="V2679">
        <v>-2.7839470000000002E-2</v>
      </c>
      <c r="W2679">
        <v>2.3761250000000001E-2</v>
      </c>
      <c r="X2679">
        <v>0.99932999999999905</v>
      </c>
      <c r="Y2679">
        <v>0.14144870000000001</v>
      </c>
      <c r="Z2679">
        <v>-4.1111350000000001E-3</v>
      </c>
      <c r="AA2679">
        <v>0.98993709999999902</v>
      </c>
      <c r="AB2679">
        <v>30</v>
      </c>
      <c r="AC2679">
        <v>0.195899999999994</v>
      </c>
      <c r="AD2679">
        <v>-6.16910000000001E-2</v>
      </c>
      <c r="AE2679">
        <v>-0.111400000000003</v>
      </c>
      <c r="AF2679">
        <v>9.9876973555062407E-2</v>
      </c>
      <c r="AG2679">
        <v>-6.16910000000001E-2</v>
      </c>
      <c r="AH2679">
        <v>0.18432915185465101</v>
      </c>
      <c r="AI2679">
        <v>106.396977808931</v>
      </c>
      <c r="AJ2679">
        <v>61.549377691134197</v>
      </c>
      <c r="AK2679">
        <v>0.21853701185605601</v>
      </c>
    </row>
    <row r="2680" spans="1:37" x14ac:dyDescent="0.2">
      <c r="A2680" t="str">
        <f>"20200111160207991"</f>
        <v>20200111160207991</v>
      </c>
      <c r="B2680" t="str">
        <f>"1578729727984054"</f>
        <v>1578729727984054</v>
      </c>
      <c r="C2680" t="s">
        <v>37</v>
      </c>
      <c r="D2680">
        <v>5.607532</v>
      </c>
      <c r="E2680">
        <v>0.56769999999999998</v>
      </c>
      <c r="F2680" t="s">
        <v>42</v>
      </c>
      <c r="G2680">
        <v>-330.40969999999999</v>
      </c>
      <c r="H2680">
        <v>1.040713</v>
      </c>
      <c r="I2680">
        <v>214.03020000000001</v>
      </c>
      <c r="J2680">
        <v>-330.83089999999999</v>
      </c>
      <c r="K2680">
        <v>1.1031519999999999</v>
      </c>
      <c r="L2680">
        <v>214.14490000000001</v>
      </c>
      <c r="M2680">
        <v>0.99975569999999903</v>
      </c>
      <c r="N2680">
        <v>0</v>
      </c>
      <c r="O2680">
        <v>-2.1030460000000001E-2</v>
      </c>
      <c r="P2680">
        <v>0.99984619999999902</v>
      </c>
      <c r="Q2680">
        <v>1.6430119999999999E-2</v>
      </c>
      <c r="R2680">
        <v>6.1640549999999999E-3</v>
      </c>
      <c r="S2680">
        <v>3.0085139999999999</v>
      </c>
      <c r="T2680">
        <v>-0.25613930000000001</v>
      </c>
      <c r="U2680">
        <v>-0.49806210000000001</v>
      </c>
      <c r="V2680">
        <v>-2.716646E-2</v>
      </c>
      <c r="W2680">
        <v>2.3256889999999999E-2</v>
      </c>
      <c r="X2680">
        <v>0.99936029999999998</v>
      </c>
      <c r="Y2680">
        <v>0.1421171</v>
      </c>
      <c r="Z2680">
        <v>-4.2238470000000002E-3</v>
      </c>
      <c r="AA2680">
        <v>0.98984089999999902</v>
      </c>
      <c r="AB2680">
        <v>30</v>
      </c>
      <c r="AC2680">
        <v>0.42119999999999802</v>
      </c>
      <c r="AD2680">
        <v>-6.2439000000000099E-2</v>
      </c>
      <c r="AE2680">
        <v>-0.114699999999999</v>
      </c>
      <c r="AF2680">
        <v>0.103694983353301</v>
      </c>
      <c r="AG2680">
        <v>-6.2439000000000099E-2</v>
      </c>
      <c r="AH2680">
        <v>0.41502835545767203</v>
      </c>
      <c r="AI2680">
        <v>98.304159405046803</v>
      </c>
      <c r="AJ2680">
        <v>75.971826305723496</v>
      </c>
      <c r="AK2680">
        <v>0.43231911145303498</v>
      </c>
    </row>
    <row r="2681" spans="1:37" x14ac:dyDescent="0.2">
      <c r="A2681" t="str">
        <f>"20200111160208014"</f>
        <v>20200111160208014</v>
      </c>
      <c r="B2681" t="str">
        <f>"1578729728004550"</f>
        <v>1578729728004550</v>
      </c>
      <c r="C2681" t="s">
        <v>37</v>
      </c>
      <c r="D2681">
        <v>5.5634129999999997</v>
      </c>
      <c r="E2681">
        <v>0.56758109999999995</v>
      </c>
      <c r="F2681" t="s">
        <v>42</v>
      </c>
      <c r="G2681">
        <v>-329.87810000000002</v>
      </c>
      <c r="H2681">
        <v>1.021064</v>
      </c>
      <c r="I2681">
        <v>213.98580000000001</v>
      </c>
      <c r="J2681">
        <v>-330.52159999999998</v>
      </c>
      <c r="K2681">
        <v>1.103146</v>
      </c>
      <c r="L2681">
        <v>214.1378</v>
      </c>
      <c r="M2681">
        <v>0.99974419999999897</v>
      </c>
      <c r="N2681">
        <v>0</v>
      </c>
      <c r="O2681">
        <v>-2.1559579999999998E-2</v>
      </c>
      <c r="P2681">
        <v>0.99986209999999898</v>
      </c>
      <c r="Q2681">
        <v>1.575932E-2</v>
      </c>
      <c r="R2681">
        <v>5.2576769999999997E-3</v>
      </c>
      <c r="S2681">
        <v>3.0078130000000001</v>
      </c>
      <c r="T2681">
        <v>-0.25924339999999901</v>
      </c>
      <c r="U2681">
        <v>-0.50144960000000005</v>
      </c>
      <c r="V2681">
        <v>-2.678991E-2</v>
      </c>
      <c r="W2681">
        <v>2.26324E-2</v>
      </c>
      <c r="X2681">
        <v>0.99938479999999996</v>
      </c>
      <c r="Y2681">
        <v>0.14270469999999999</v>
      </c>
      <c r="Z2681">
        <v>-4.2553820000000003E-3</v>
      </c>
      <c r="AA2681">
        <v>0.98975619999999997</v>
      </c>
      <c r="AB2681">
        <v>30</v>
      </c>
      <c r="AC2681">
        <v>0.64349999999995999</v>
      </c>
      <c r="AD2681">
        <v>-8.2081999999999905E-2</v>
      </c>
      <c r="AE2681">
        <v>-0.15199999999998601</v>
      </c>
      <c r="AF2681">
        <v>0.13599499060358899</v>
      </c>
      <c r="AG2681">
        <v>-8.2081999999999905E-2</v>
      </c>
      <c r="AH2681">
        <v>0.63681387272148804</v>
      </c>
      <c r="AI2681">
        <v>97.184383765863799</v>
      </c>
      <c r="AJ2681">
        <v>77.945260142882404</v>
      </c>
      <c r="AK2681">
        <v>0.65632613896127101</v>
      </c>
    </row>
    <row r="2682" spans="1:37" x14ac:dyDescent="0.2">
      <c r="A2682" t="str">
        <f>"20200111160208035"</f>
        <v>20200111160208035</v>
      </c>
      <c r="B2682" t="str">
        <f>"1578729728024074"</f>
        <v>1578729728024074</v>
      </c>
      <c r="C2682" t="s">
        <v>37</v>
      </c>
      <c r="D2682">
        <v>5.5208570000000003</v>
      </c>
      <c r="E2682">
        <v>0.56740760000000001</v>
      </c>
      <c r="F2682" t="s">
        <v>42</v>
      </c>
      <c r="G2682">
        <v>-329.60559999999998</v>
      </c>
      <c r="H2682">
        <v>1.022807</v>
      </c>
      <c r="I2682">
        <v>213.98480000000001</v>
      </c>
      <c r="J2682">
        <v>-330.22930000000002</v>
      </c>
      <c r="K2682">
        <v>1.103143</v>
      </c>
      <c r="L2682">
        <v>214.13099999999901</v>
      </c>
      <c r="M2682">
        <v>0.99973299999999998</v>
      </c>
      <c r="N2682">
        <v>0</v>
      </c>
      <c r="O2682">
        <v>-2.205913E-2</v>
      </c>
      <c r="P2682">
        <v>0.99987019999999904</v>
      </c>
      <c r="Q2682">
        <v>1.5270890000000001E-2</v>
      </c>
      <c r="R2682">
        <v>5.1473859999999899E-3</v>
      </c>
      <c r="S2682">
        <v>3.0071720000000002</v>
      </c>
      <c r="T2682">
        <v>-0.26380779999999998</v>
      </c>
      <c r="U2682">
        <v>-0.50248720000000002</v>
      </c>
      <c r="V2682">
        <v>-2.7179990000000001E-2</v>
      </c>
      <c r="W2682">
        <v>2.2186669999999999E-2</v>
      </c>
      <c r="X2682">
        <v>0.9993843</v>
      </c>
      <c r="Y2682">
        <v>0.142563299999999</v>
      </c>
      <c r="Z2682">
        <v>-4.2812750000000002E-3</v>
      </c>
      <c r="AA2682">
        <v>0.9897764</v>
      </c>
      <c r="AB2682">
        <v>30</v>
      </c>
      <c r="AC2682">
        <v>0.623700000000042</v>
      </c>
      <c r="AD2682">
        <v>-8.0335999999999894E-2</v>
      </c>
      <c r="AE2682">
        <v>-0.146199999999964</v>
      </c>
      <c r="AF2682">
        <v>0.13035574907900299</v>
      </c>
      <c r="AG2682">
        <v>-8.0335999999999894E-2</v>
      </c>
      <c r="AH2682">
        <v>0.61706887460640703</v>
      </c>
      <c r="AI2682">
        <v>97.259156734947794</v>
      </c>
      <c r="AJ2682">
        <v>78.071647959670699</v>
      </c>
      <c r="AK2682">
        <v>0.63578336736813601</v>
      </c>
    </row>
    <row r="2683" spans="1:37" x14ac:dyDescent="0.2">
      <c r="A2683" t="str">
        <f>"20200111160208057"</f>
        <v>20200111160208057</v>
      </c>
      <c r="B2683" t="str">
        <f>"1578729728044566"</f>
        <v>1578729728044566</v>
      </c>
      <c r="C2683" t="s">
        <v>37</v>
      </c>
      <c r="D2683">
        <v>5.5320269999999896</v>
      </c>
      <c r="E2683">
        <v>0.567169699999999</v>
      </c>
      <c r="F2683" t="s">
        <v>42</v>
      </c>
      <c r="G2683">
        <v>-329.33280000000002</v>
      </c>
      <c r="H2683">
        <v>1.023568</v>
      </c>
      <c r="I2683">
        <v>213.9813</v>
      </c>
      <c r="J2683">
        <v>-329.9393</v>
      </c>
      <c r="K2683">
        <v>1.103137</v>
      </c>
      <c r="L2683">
        <v>214.1241</v>
      </c>
      <c r="M2683">
        <v>0.99972169999999905</v>
      </c>
      <c r="N2683">
        <v>0</v>
      </c>
      <c r="O2683">
        <v>-2.255451E-2</v>
      </c>
      <c r="P2683">
        <v>0.99987329999999996</v>
      </c>
      <c r="Q2683">
        <v>1.4879420000000001E-2</v>
      </c>
      <c r="R2683">
        <v>5.6948619999999898E-3</v>
      </c>
      <c r="S2683">
        <v>3.0070189999999899</v>
      </c>
      <c r="T2683">
        <v>-0.26699809999999902</v>
      </c>
      <c r="U2683">
        <v>-0.50100710000000004</v>
      </c>
      <c r="V2683">
        <v>-2.8222399999999901E-2</v>
      </c>
      <c r="W2683">
        <v>2.1838659999999999E-2</v>
      </c>
      <c r="X2683">
        <v>0.99936309999999995</v>
      </c>
      <c r="Y2683">
        <v>0.14160149999999999</v>
      </c>
      <c r="Z2683">
        <v>-4.247359E-3</v>
      </c>
      <c r="AA2683">
        <v>0.98991459999999998</v>
      </c>
      <c r="AB2683">
        <v>30</v>
      </c>
      <c r="AC2683">
        <v>0.60649999999998205</v>
      </c>
      <c r="AD2683">
        <v>-7.9569000000000001E-2</v>
      </c>
      <c r="AE2683">
        <v>-0.14279999999999399</v>
      </c>
      <c r="AF2683">
        <v>0.127012742198229</v>
      </c>
      <c r="AG2683">
        <v>-7.9569000000000001E-2</v>
      </c>
      <c r="AH2683">
        <v>0.59978541636024296</v>
      </c>
      <c r="AI2683">
        <v>97.394760945398005</v>
      </c>
      <c r="AJ2683">
        <v>78.043474278448301</v>
      </c>
      <c r="AK2683">
        <v>0.61822811980703596</v>
      </c>
    </row>
    <row r="2684" spans="1:37" x14ac:dyDescent="0.2">
      <c r="A2684" t="str">
        <f>"20200111160208080"</f>
        <v>20200111160208080</v>
      </c>
      <c r="B2684" t="str">
        <f>"1578729728074822"</f>
        <v>1578729728074822</v>
      </c>
      <c r="C2684" t="s">
        <v>37</v>
      </c>
      <c r="D2684">
        <v>5.5288190000000004</v>
      </c>
      <c r="E2684">
        <v>0.56697330000000001</v>
      </c>
      <c r="F2684" t="s">
        <v>42</v>
      </c>
      <c r="G2684">
        <v>-329.05950000000001</v>
      </c>
      <c r="H2684">
        <v>1.0242279999999999</v>
      </c>
      <c r="I2684">
        <v>213.97839999999999</v>
      </c>
      <c r="J2684">
        <v>-329.61130000000003</v>
      </c>
      <c r="K2684">
        <v>1.1031309999999901</v>
      </c>
      <c r="L2684">
        <v>214.11609999999999</v>
      </c>
      <c r="M2684">
        <v>0.999708499999999</v>
      </c>
      <c r="N2684">
        <v>0</v>
      </c>
      <c r="O2684">
        <v>-2.3112239999999999E-2</v>
      </c>
      <c r="P2684">
        <v>0.99986390000000003</v>
      </c>
      <c r="Q2684">
        <v>1.541578E-2</v>
      </c>
      <c r="R2684">
        <v>5.8773699999999998E-3</v>
      </c>
      <c r="S2684">
        <v>3.0072019999999999</v>
      </c>
      <c r="T2684">
        <v>-0.26974029999999999</v>
      </c>
      <c r="U2684">
        <v>-0.49726870000000001</v>
      </c>
      <c r="V2684">
        <v>-2.8961589999999999E-2</v>
      </c>
      <c r="W2684">
        <v>2.2424079999999999E-2</v>
      </c>
      <c r="X2684">
        <v>0.99932900000000002</v>
      </c>
      <c r="Y2684">
        <v>0.139841299999999</v>
      </c>
      <c r="Z2684">
        <v>-4.163183E-3</v>
      </c>
      <c r="AA2684">
        <v>0.99016519999999997</v>
      </c>
      <c r="AB2684">
        <v>30</v>
      </c>
      <c r="AC2684">
        <v>0.55180000000001395</v>
      </c>
      <c r="AD2684">
        <v>-7.8902999999999696E-2</v>
      </c>
      <c r="AE2684">
        <v>-0.13769999999999499</v>
      </c>
      <c r="AF2684">
        <v>0.122550705728618</v>
      </c>
      <c r="AG2684">
        <v>-7.8902999999999696E-2</v>
      </c>
      <c r="AH2684">
        <v>0.54435739703013097</v>
      </c>
      <c r="AI2684">
        <v>98.048708109228599</v>
      </c>
      <c r="AJ2684">
        <v>77.312574752791505</v>
      </c>
      <c r="AK2684">
        <v>0.56353290461604999</v>
      </c>
    </row>
    <row r="2685" spans="1:37" x14ac:dyDescent="0.2">
      <c r="A2685" t="str">
        <f>"20200111160208103"</f>
        <v>20200111160208103</v>
      </c>
      <c r="B2685" t="str">
        <f>"1578729728094342"</f>
        <v>1578729728094342</v>
      </c>
      <c r="C2685" t="s">
        <v>37</v>
      </c>
      <c r="D2685">
        <v>5.5244780000000002</v>
      </c>
      <c r="E2685">
        <v>0.56685419999999997</v>
      </c>
      <c r="F2685" t="s">
        <v>42</v>
      </c>
      <c r="G2685">
        <v>-328.7833</v>
      </c>
      <c r="H2685">
        <v>1.029126</v>
      </c>
      <c r="I2685">
        <v>213.9794</v>
      </c>
      <c r="J2685">
        <v>-329.30590000000001</v>
      </c>
      <c r="K2685">
        <v>1.1031309999999901</v>
      </c>
      <c r="L2685">
        <v>214.1086</v>
      </c>
      <c r="M2685">
        <v>0.99969629999999998</v>
      </c>
      <c r="N2685">
        <v>0</v>
      </c>
      <c r="O2685">
        <v>-2.3625009999999998E-2</v>
      </c>
      <c r="P2685">
        <v>0.99985900000000005</v>
      </c>
      <c r="Q2685">
        <v>1.5797780000000001E-2</v>
      </c>
      <c r="R2685">
        <v>5.6899749999999999E-3</v>
      </c>
      <c r="S2685">
        <v>3.0074770000000002</v>
      </c>
      <c r="T2685">
        <v>-0.26889879999999999</v>
      </c>
      <c r="U2685">
        <v>-0.4955292</v>
      </c>
      <c r="V2685">
        <v>-2.928629E-2</v>
      </c>
      <c r="W2685">
        <v>2.2851690000000001E-2</v>
      </c>
      <c r="X2685">
        <v>0.99930980000000003</v>
      </c>
      <c r="Y2685">
        <v>0.13877029999999899</v>
      </c>
      <c r="Z2685">
        <v>-4.057199E-3</v>
      </c>
      <c r="AA2685">
        <v>0.99031630000000004</v>
      </c>
      <c r="AB2685">
        <v>31</v>
      </c>
      <c r="AC2685">
        <v>0.52260000000001094</v>
      </c>
      <c r="AD2685">
        <v>-7.4004999999999793E-2</v>
      </c>
      <c r="AE2685">
        <v>-0.12919999999999701</v>
      </c>
      <c r="AF2685">
        <v>0.11465052393082099</v>
      </c>
      <c r="AG2685">
        <v>-7.4004999999999793E-2</v>
      </c>
      <c r="AH2685">
        <v>0.51575966738912704</v>
      </c>
      <c r="AI2685">
        <v>97.973452582173906</v>
      </c>
      <c r="AJ2685">
        <v>77.467247444158303</v>
      </c>
      <c r="AK2685">
        <v>0.53350681079809603</v>
      </c>
    </row>
    <row r="2686" spans="1:37" x14ac:dyDescent="0.2">
      <c r="A2686" t="str">
        <f>"20200111160208126"</f>
        <v>20200111160208126</v>
      </c>
      <c r="B2686" t="str">
        <f>"1578729728114837"</f>
        <v>1578729728114837</v>
      </c>
      <c r="C2686" t="s">
        <v>37</v>
      </c>
      <c r="D2686">
        <v>5.5533619999999999</v>
      </c>
      <c r="E2686">
        <v>0.56683839999999996</v>
      </c>
      <c r="F2686" t="s">
        <v>42</v>
      </c>
      <c r="G2686">
        <v>-328.50740000000002</v>
      </c>
      <c r="H2686">
        <v>1.032157</v>
      </c>
      <c r="I2686">
        <v>213.9768</v>
      </c>
      <c r="J2686">
        <v>-328.986999999999</v>
      </c>
      <c r="K2686">
        <v>1.1031420000000001</v>
      </c>
      <c r="L2686">
        <v>214.10050000000001</v>
      </c>
      <c r="M2686">
        <v>0.9996834</v>
      </c>
      <c r="N2686">
        <v>0</v>
      </c>
      <c r="O2686">
        <v>-2.4147990000000001E-2</v>
      </c>
      <c r="P2686">
        <v>0.99987000000000004</v>
      </c>
      <c r="Q2686">
        <v>1.5336549999999999E-2</v>
      </c>
      <c r="R2686">
        <v>5.0239300000000002E-3</v>
      </c>
      <c r="S2686">
        <v>3.0074459999999998</v>
      </c>
      <c r="T2686">
        <v>-0.2674338</v>
      </c>
      <c r="U2686">
        <v>-0.49530029999999903</v>
      </c>
      <c r="V2686">
        <v>-2.9144570000000002E-2</v>
      </c>
      <c r="W2686">
        <v>2.2438380000000001E-2</v>
      </c>
      <c r="X2686">
        <v>0.99932330000000003</v>
      </c>
      <c r="Y2686">
        <v>0.1381896</v>
      </c>
      <c r="Z2686">
        <v>-3.9635900000000003E-3</v>
      </c>
      <c r="AA2686">
        <v>0.99039789999999905</v>
      </c>
      <c r="AB2686">
        <v>31</v>
      </c>
      <c r="AC2686">
        <v>0.47959999999994801</v>
      </c>
      <c r="AD2686">
        <v>-7.0985000000000006E-2</v>
      </c>
      <c r="AE2686">
        <v>-0.12370000000001299</v>
      </c>
      <c r="AF2686">
        <v>0.109826408187885</v>
      </c>
      <c r="AG2686">
        <v>-7.0985000000000006E-2</v>
      </c>
      <c r="AH2686">
        <v>0.472737217561012</v>
      </c>
      <c r="AI2686">
        <v>98.321204302595405</v>
      </c>
      <c r="AJ2686">
        <v>76.921040687668395</v>
      </c>
      <c r="AK2686">
        <v>0.490490761409203</v>
      </c>
    </row>
    <row r="2687" spans="1:37" x14ac:dyDescent="0.2">
      <c r="A2687" t="str">
        <f>"20200111160208148"</f>
        <v>20200111160208148</v>
      </c>
      <c r="B2687" t="str">
        <f>"1578729728144118"</f>
        <v>1578729728144118</v>
      </c>
      <c r="C2687" t="s">
        <v>37</v>
      </c>
      <c r="D2687">
        <v>5.3846080000000001</v>
      </c>
      <c r="E2687">
        <v>0.565079199999999</v>
      </c>
      <c r="F2687" t="s">
        <v>42</v>
      </c>
      <c r="G2687">
        <v>-328.23059999999998</v>
      </c>
      <c r="H2687">
        <v>1.0355240000000001</v>
      </c>
      <c r="I2687">
        <v>213.9752</v>
      </c>
      <c r="J2687">
        <v>-328.68869999999998</v>
      </c>
      <c r="K2687">
        <v>1.1031580000000001</v>
      </c>
      <c r="L2687">
        <v>214.09280000000001</v>
      </c>
      <c r="M2687">
        <v>0.99967169999999905</v>
      </c>
      <c r="N2687">
        <v>0</v>
      </c>
      <c r="O2687">
        <v>-2.461762E-2</v>
      </c>
      <c r="P2687">
        <v>0.99988109999999997</v>
      </c>
      <c r="Q2687">
        <v>1.499963E-2</v>
      </c>
      <c r="R2687">
        <v>3.56820099999999E-3</v>
      </c>
      <c r="S2687">
        <v>3.0070189999999899</v>
      </c>
      <c r="T2687">
        <v>-0.2688393</v>
      </c>
      <c r="U2687">
        <v>-0.49772640000000001</v>
      </c>
      <c r="V2687">
        <v>-2.8159770000000001E-2</v>
      </c>
      <c r="W2687">
        <v>2.2144239999999999E-2</v>
      </c>
      <c r="X2687">
        <v>0.99935810000000003</v>
      </c>
      <c r="Y2687">
        <v>0.13852059999999999</v>
      </c>
      <c r="Z2687">
        <v>-3.9577409999999999E-3</v>
      </c>
      <c r="AA2687">
        <v>0.9903516</v>
      </c>
      <c r="AB2687">
        <v>31</v>
      </c>
      <c r="AC2687">
        <v>0.45810000000000101</v>
      </c>
      <c r="AD2687">
        <v>-6.7634000000000194E-2</v>
      </c>
      <c r="AE2687">
        <v>-0.11760000000001</v>
      </c>
      <c r="AF2687">
        <v>0.104156740430665</v>
      </c>
      <c r="AG2687">
        <v>-6.7634000000000194E-2</v>
      </c>
      <c r="AH2687">
        <v>0.45162064036050398</v>
      </c>
      <c r="AI2687">
        <v>98.302444028283205</v>
      </c>
      <c r="AJ2687">
        <v>77.013021011520493</v>
      </c>
      <c r="AK2687">
        <v>0.46838465744809898</v>
      </c>
    </row>
    <row r="2688" spans="1:37" x14ac:dyDescent="0.2">
      <c r="A2688" t="str">
        <f>"20200111160208170"</f>
        <v>20200111160208170</v>
      </c>
      <c r="B2688" t="str">
        <f>"1578729728164614"</f>
        <v>1578729728164614</v>
      </c>
      <c r="C2688" t="s">
        <v>37</v>
      </c>
      <c r="D2688">
        <v>5.353523</v>
      </c>
      <c r="E2688">
        <v>0.49851079999999998</v>
      </c>
      <c r="F2688" t="s">
        <v>42</v>
      </c>
      <c r="G2688">
        <v>-327.95359999999999</v>
      </c>
      <c r="H2688">
        <v>1.037757</v>
      </c>
      <c r="I2688">
        <v>213.9734</v>
      </c>
      <c r="J2688">
        <v>-328.38240000000002</v>
      </c>
      <c r="K2688">
        <v>1.103186</v>
      </c>
      <c r="L2688">
        <v>214.0847</v>
      </c>
      <c r="M2688">
        <v>0.99966010000000005</v>
      </c>
      <c r="N2688">
        <v>0</v>
      </c>
      <c r="O2688">
        <v>-2.506916E-2</v>
      </c>
      <c r="P2688">
        <v>0.99987950000000003</v>
      </c>
      <c r="Q2688">
        <v>1.5330689999999999E-2</v>
      </c>
      <c r="R2688">
        <v>2.479991E-3</v>
      </c>
      <c r="S2688">
        <v>3.0061040000000001</v>
      </c>
      <c r="T2688">
        <v>-0.26750489999999999</v>
      </c>
      <c r="U2688">
        <v>-0.48780820000000003</v>
      </c>
      <c r="V2688">
        <v>-2.7523849999999999E-2</v>
      </c>
      <c r="W2688">
        <v>2.2516080000000001E-2</v>
      </c>
      <c r="X2688">
        <v>0.99936749999999996</v>
      </c>
      <c r="Y2688">
        <v>0.1349582</v>
      </c>
      <c r="Z2688">
        <v>-3.7434040000000001E-3</v>
      </c>
      <c r="AA2688">
        <v>0.99084419999999995</v>
      </c>
      <c r="AB2688">
        <v>31</v>
      </c>
      <c r="AC2688">
        <v>0.428800000000023</v>
      </c>
      <c r="AD2688">
        <v>-6.5428999999999904E-2</v>
      </c>
      <c r="AE2688">
        <v>-0.111299999999999</v>
      </c>
      <c r="AF2688">
        <v>9.8369358191997006E-2</v>
      </c>
      <c r="AG2688">
        <v>-6.5428999999999904E-2</v>
      </c>
      <c r="AH2688">
        <v>0.42224507258581201</v>
      </c>
      <c r="AI2688">
        <v>98.581963974683603</v>
      </c>
      <c r="AJ2688">
        <v>76.885860409200106</v>
      </c>
      <c r="AK2688">
        <v>0.438461384839193</v>
      </c>
    </row>
    <row r="2689" spans="1:37" x14ac:dyDescent="0.2">
      <c r="A2689" t="str">
        <f>"20200111160208191"</f>
        <v>20200111160208191</v>
      </c>
      <c r="B2689" t="str">
        <f>"1578729728184134"</f>
        <v>1578729728184134</v>
      </c>
      <c r="C2689" t="s">
        <v>37</v>
      </c>
      <c r="D2689">
        <v>5.356744</v>
      </c>
      <c r="E2689">
        <v>0.49871399999999999</v>
      </c>
      <c r="F2689" t="s">
        <v>60</v>
      </c>
      <c r="G2689">
        <v>-309.59629999999999</v>
      </c>
      <c r="H2689" s="1">
        <v>9.5103950000000001E-7</v>
      </c>
      <c r="I2689">
        <v>214.30340000000001</v>
      </c>
      <c r="J2689">
        <v>-328.08330000000001</v>
      </c>
      <c r="K2689">
        <v>1.1032169999999999</v>
      </c>
      <c r="L2689">
        <v>214.07679999999999</v>
      </c>
      <c r="M2689">
        <v>0.99964959999999903</v>
      </c>
      <c r="N2689">
        <v>0</v>
      </c>
      <c r="O2689">
        <v>-2.5471649999999998E-2</v>
      </c>
      <c r="P2689">
        <v>0.99986280000000005</v>
      </c>
      <c r="Q2689">
        <v>1.656293E-2</v>
      </c>
      <c r="R2689">
        <v>8.3130020000000005E-4</v>
      </c>
      <c r="S2689">
        <v>3.0030209999999999</v>
      </c>
      <c r="T2689">
        <v>-0.176348</v>
      </c>
      <c r="U2689">
        <v>3.4957889999999998E-2</v>
      </c>
      <c r="V2689">
        <v>-2.6278340000000001E-2</v>
      </c>
      <c r="W2689">
        <v>2.3788900000000002E-2</v>
      </c>
      <c r="X2689">
        <v>0.99937160000000003</v>
      </c>
      <c r="Y2689">
        <v>-3.6999320000000002E-2</v>
      </c>
      <c r="Z2689">
        <v>2.5798129999999998E-3</v>
      </c>
      <c r="AA2689">
        <v>0.99931199999999998</v>
      </c>
      <c r="AB2689">
        <v>31</v>
      </c>
      <c r="AC2689">
        <v>18.486999999999998</v>
      </c>
      <c r="AD2689">
        <v>-1.1032160489605001</v>
      </c>
      <c r="AE2689">
        <v>0.22660000000001901</v>
      </c>
      <c r="AF2689">
        <v>-0.69495861320072005</v>
      </c>
      <c r="AG2689">
        <v>-1.1032160489605001</v>
      </c>
      <c r="AH2689">
        <v>18.4096799808767</v>
      </c>
      <c r="AI2689">
        <v>93.426963040460294</v>
      </c>
      <c r="AJ2689">
        <v>92.161867972044604</v>
      </c>
      <c r="AK2689">
        <v>18.4557950282029</v>
      </c>
    </row>
    <row r="2690" spans="1:37" x14ac:dyDescent="0.2">
      <c r="A2690" t="str">
        <f>"20200111160208215"</f>
        <v>20200111160208215</v>
      </c>
      <c r="B2690" t="str">
        <f>"1578729728204630"</f>
        <v>1578729728204630</v>
      </c>
      <c r="C2690" t="s">
        <v>37</v>
      </c>
      <c r="D2690">
        <v>5.3377349999999897</v>
      </c>
      <c r="E2690">
        <v>0.4971276</v>
      </c>
      <c r="F2690" t="s">
        <v>60</v>
      </c>
      <c r="G2690">
        <v>-312.3442</v>
      </c>
      <c r="H2690" s="1">
        <v>1.9452079999999998E-6</v>
      </c>
      <c r="I2690">
        <v>214.24109999999999</v>
      </c>
      <c r="J2690">
        <v>-327.76029999999997</v>
      </c>
      <c r="K2690">
        <v>1.1032580000000001</v>
      </c>
      <c r="L2690">
        <v>214.06819999999999</v>
      </c>
      <c r="M2690">
        <v>0.99963919999999995</v>
      </c>
      <c r="N2690">
        <v>0</v>
      </c>
      <c r="O2690">
        <v>-2.5867790000000002E-2</v>
      </c>
      <c r="P2690">
        <v>0.99985800000000002</v>
      </c>
      <c r="Q2690">
        <v>1.6840730000000002E-2</v>
      </c>
      <c r="R2690">
        <v>-9.6669720000000005E-4</v>
      </c>
      <c r="S2690">
        <v>3.0038450000000001</v>
      </c>
      <c r="T2690">
        <v>-0.21055079999999901</v>
      </c>
      <c r="U2690">
        <v>3.1341550000000003E-2</v>
      </c>
      <c r="V2690">
        <v>-2.487806E-2</v>
      </c>
      <c r="W2690">
        <v>2.411114E-2</v>
      </c>
      <c r="X2690">
        <v>0.999399699999999</v>
      </c>
      <c r="Y2690">
        <v>-3.614469E-2</v>
      </c>
      <c r="Z2690">
        <v>3.07603E-3</v>
      </c>
      <c r="AA2690">
        <v>0.99934179999999995</v>
      </c>
      <c r="AB2690">
        <v>31</v>
      </c>
      <c r="AC2690">
        <v>15.416099999999901</v>
      </c>
      <c r="AD2690">
        <v>-1.1032560547920001</v>
      </c>
      <c r="AE2690">
        <v>0.172899999999998</v>
      </c>
      <c r="AF2690">
        <v>-0.56872063183048605</v>
      </c>
      <c r="AG2690">
        <v>-1.1032560547920001</v>
      </c>
      <c r="AH2690">
        <v>15.3279749134448</v>
      </c>
      <c r="AI2690">
        <v>94.114036764771996</v>
      </c>
      <c r="AJ2690">
        <v>92.124895913122103</v>
      </c>
      <c r="AK2690">
        <v>15.3781478737427</v>
      </c>
    </row>
    <row r="2691" spans="1:37" x14ac:dyDescent="0.2">
      <c r="A2691" t="str">
        <f>"20200111160208236"</f>
        <v>20200111160208236</v>
      </c>
      <c r="B2691" t="str">
        <f>"1578729728224149"</f>
        <v>1578729728224149</v>
      </c>
      <c r="C2691" t="s">
        <v>37</v>
      </c>
      <c r="D2691">
        <v>5.4008820000000002</v>
      </c>
      <c r="E2691">
        <v>0.49684040000000002</v>
      </c>
      <c r="F2691" t="s">
        <v>60</v>
      </c>
      <c r="G2691">
        <v>-310.6096</v>
      </c>
      <c r="H2691" s="1">
        <v>1.1759940000000001E-6</v>
      </c>
      <c r="I2691">
        <v>214.28299999999999</v>
      </c>
      <c r="J2691">
        <v>-327.46800000000002</v>
      </c>
      <c r="K2691">
        <v>1.1032979999999999</v>
      </c>
      <c r="L2691">
        <v>214.06030000000001</v>
      </c>
      <c r="M2691">
        <v>0.99963049999999998</v>
      </c>
      <c r="N2691">
        <v>0</v>
      </c>
      <c r="O2691">
        <v>-2.6187749999999999E-2</v>
      </c>
      <c r="P2691">
        <v>0.99983789999999995</v>
      </c>
      <c r="Q2691">
        <v>1.7851260000000001E-2</v>
      </c>
      <c r="R2691">
        <v>-2.390774E-3</v>
      </c>
      <c r="S2691">
        <v>3.0036930000000002</v>
      </c>
      <c r="T2691">
        <v>-0.193219</v>
      </c>
      <c r="U2691">
        <v>3.7612920000000001E-2</v>
      </c>
      <c r="V2691">
        <v>-2.3775170000000002E-2</v>
      </c>
      <c r="W2691">
        <v>2.515939E-2</v>
      </c>
      <c r="X2691">
        <v>0.99940069999999903</v>
      </c>
      <c r="Y2691">
        <v>-3.8569520000000003E-2</v>
      </c>
      <c r="Z2691">
        <v>2.9219529999999902E-3</v>
      </c>
      <c r="AA2691">
        <v>0.99925169999999996</v>
      </c>
      <c r="AB2691">
        <v>31</v>
      </c>
      <c r="AC2691">
        <v>16.8584</v>
      </c>
      <c r="AD2691">
        <v>-1.1032968240059999</v>
      </c>
      <c r="AE2691">
        <v>0.222699999999974</v>
      </c>
      <c r="AF2691">
        <v>-0.66128707383936802</v>
      </c>
      <c r="AG2691">
        <v>-1.1032968240059999</v>
      </c>
      <c r="AH2691">
        <v>16.7749505726838</v>
      </c>
      <c r="AI2691">
        <v>93.760040149877497</v>
      </c>
      <c r="AJ2691">
        <v>92.257493976915995</v>
      </c>
      <c r="AK2691">
        <v>16.824194815558801</v>
      </c>
    </row>
    <row r="2692" spans="1:37" x14ac:dyDescent="0.2">
      <c r="A2692" t="str">
        <f>"20200111160208259"</f>
        <v>20200111160208259</v>
      </c>
      <c r="B2692" t="str">
        <f>"1578729728254406"</f>
        <v>1578729728254406</v>
      </c>
      <c r="C2692" t="s">
        <v>37</v>
      </c>
      <c r="D2692">
        <v>5.3995139999999999</v>
      </c>
      <c r="E2692">
        <v>0.49598490000000001</v>
      </c>
      <c r="F2692" t="s">
        <v>60</v>
      </c>
      <c r="G2692">
        <v>-311.325999999999</v>
      </c>
      <c r="H2692" s="1">
        <v>1.4936500000000001E-6</v>
      </c>
      <c r="I2692">
        <v>214.2595</v>
      </c>
      <c r="J2692">
        <v>-327.15230000000003</v>
      </c>
      <c r="K2692">
        <v>1.1033440000000001</v>
      </c>
      <c r="L2692">
        <v>214.05170000000001</v>
      </c>
      <c r="M2692">
        <v>0.99962240000000002</v>
      </c>
      <c r="N2692">
        <v>0</v>
      </c>
      <c r="O2692">
        <v>-2.648441E-2</v>
      </c>
      <c r="P2692">
        <v>0.9998068</v>
      </c>
      <c r="Q2692">
        <v>1.9381889999999999E-2</v>
      </c>
      <c r="R2692">
        <v>-3.292793E-3</v>
      </c>
      <c r="S2692">
        <v>3.0042419999999899</v>
      </c>
      <c r="T2692">
        <v>-0.20533750000000001</v>
      </c>
      <c r="U2692">
        <v>3.7078859999999998E-2</v>
      </c>
      <c r="V2692">
        <v>-2.316996E-2</v>
      </c>
      <c r="W2692">
        <v>2.672861E-2</v>
      </c>
      <c r="X2692">
        <v>0.99937419999999999</v>
      </c>
      <c r="Y2692">
        <v>-3.8668019999999997E-2</v>
      </c>
      <c r="Z2692">
        <v>3.127847E-3</v>
      </c>
      <c r="AA2692">
        <v>0.9992472</v>
      </c>
      <c r="AB2692">
        <v>31</v>
      </c>
      <c r="AC2692">
        <v>15.8263</v>
      </c>
      <c r="AD2692">
        <v>-1.10334250635</v>
      </c>
      <c r="AE2692">
        <v>0.20779999999999099</v>
      </c>
      <c r="AF2692">
        <v>-0.62385696280467196</v>
      </c>
      <c r="AG2692">
        <v>-1.10334250635</v>
      </c>
      <c r="AH2692">
        <v>15.7387629284742</v>
      </c>
      <c r="AI2692">
        <v>94.0069382656784</v>
      </c>
      <c r="AJ2692">
        <v>92.269915899542994</v>
      </c>
      <c r="AK2692">
        <v>15.7897188295128</v>
      </c>
    </row>
    <row r="2693" spans="1:37" x14ac:dyDescent="0.2">
      <c r="A2693" t="str">
        <f>"20200111160208281"</f>
        <v>20200111160208281</v>
      </c>
      <c r="B2693" t="str">
        <f>"1578729728274902"</f>
        <v>1578729728274902</v>
      </c>
      <c r="C2693" t="s">
        <v>37</v>
      </c>
      <c r="D2693">
        <v>5.3906460000000003</v>
      </c>
      <c r="E2693">
        <v>0.49586910000000001</v>
      </c>
      <c r="F2693" t="s">
        <v>60</v>
      </c>
      <c r="G2693">
        <v>-311.49029999999999</v>
      </c>
      <c r="H2693" s="1">
        <v>1.5665139999999999E-6</v>
      </c>
      <c r="I2693">
        <v>214.27010000000001</v>
      </c>
      <c r="J2693">
        <v>-326.83370000000002</v>
      </c>
      <c r="K2693">
        <v>1.1033899999999901</v>
      </c>
      <c r="L2693">
        <v>214.04300000000001</v>
      </c>
      <c r="M2693">
        <v>0.99961559999999905</v>
      </c>
      <c r="N2693">
        <v>0</v>
      </c>
      <c r="O2693">
        <v>-2.6732039999999999E-2</v>
      </c>
      <c r="P2693">
        <v>0.99976180000000003</v>
      </c>
      <c r="Q2693">
        <v>2.15650999999999E-2</v>
      </c>
      <c r="R2693">
        <v>-3.3804270000000001E-3</v>
      </c>
      <c r="S2693">
        <v>3.0048520000000001</v>
      </c>
      <c r="T2693">
        <v>-0.21168200000000001</v>
      </c>
      <c r="U2693">
        <v>4.188538E-2</v>
      </c>
      <c r="V2693">
        <v>-2.3329579999999999E-2</v>
      </c>
      <c r="W2693">
        <v>2.894743E-2</v>
      </c>
      <c r="X2693">
        <v>0.99930859999999899</v>
      </c>
      <c r="Y2693">
        <v>-4.0496490000000003E-2</v>
      </c>
      <c r="Z2693">
        <v>3.305321E-3</v>
      </c>
      <c r="AA2693">
        <v>0.99917420000000001</v>
      </c>
      <c r="AB2693">
        <v>31</v>
      </c>
      <c r="AC2693">
        <v>15.343400000000001</v>
      </c>
      <c r="AD2693">
        <v>-1.10338843348599</v>
      </c>
      <c r="AE2693">
        <v>0.22710000000000699</v>
      </c>
      <c r="AF2693">
        <v>-0.63391276565018295</v>
      </c>
      <c r="AG2693">
        <v>-1.10338843348599</v>
      </c>
      <c r="AH2693">
        <v>15.252982504174801</v>
      </c>
      <c r="AI2693">
        <v>94.133967067473506</v>
      </c>
      <c r="AJ2693">
        <v>92.379838593513995</v>
      </c>
      <c r="AK2693">
        <v>15.305972256026999</v>
      </c>
    </row>
    <row r="2694" spans="1:37" x14ac:dyDescent="0.2">
      <c r="A2694" t="str">
        <f>"20200111160208304"</f>
        <v>20200111160208304</v>
      </c>
      <c r="B2694" t="str">
        <f>"1578729728294421"</f>
        <v>1578729728294421</v>
      </c>
      <c r="C2694" t="s">
        <v>37</v>
      </c>
      <c r="D2694">
        <v>5.4290129999999897</v>
      </c>
      <c r="E2694">
        <v>0.49585319999999999</v>
      </c>
      <c r="F2694" t="s">
        <v>60</v>
      </c>
      <c r="G2694">
        <v>-311.2201</v>
      </c>
      <c r="H2694" s="1">
        <v>1.4467009999999899E-6</v>
      </c>
      <c r="I2694">
        <v>214.2653</v>
      </c>
      <c r="J2694">
        <v>-326.51240000000001</v>
      </c>
      <c r="K2694">
        <v>1.1034389999999901</v>
      </c>
      <c r="L2694">
        <v>214.0342</v>
      </c>
      <c r="M2694">
        <v>0.99960990000000005</v>
      </c>
      <c r="N2694">
        <v>0</v>
      </c>
      <c r="O2694">
        <v>-2.6931360000000001E-2</v>
      </c>
      <c r="P2694">
        <v>0.99969969999999997</v>
      </c>
      <c r="Q2694">
        <v>2.4304289999999999E-2</v>
      </c>
      <c r="R2694">
        <v>-3.1847289999999999E-3</v>
      </c>
      <c r="S2694">
        <v>3.0054319999999999</v>
      </c>
      <c r="T2694">
        <v>-0.212388299999999</v>
      </c>
      <c r="U2694">
        <v>4.278564E-2</v>
      </c>
      <c r="V2694">
        <v>-2.3724039999999998E-2</v>
      </c>
      <c r="W2694">
        <v>3.1719440000000002E-2</v>
      </c>
      <c r="X2694">
        <v>0.99921519999999997</v>
      </c>
      <c r="Y2694">
        <v>-4.098951E-2</v>
      </c>
      <c r="Z2694">
        <v>3.347142E-3</v>
      </c>
      <c r="AA2694">
        <v>0.99915399999999999</v>
      </c>
      <c r="AB2694">
        <v>31</v>
      </c>
      <c r="AC2694">
        <v>15.292299999999999</v>
      </c>
      <c r="AD2694">
        <v>-1.10343755329899</v>
      </c>
      <c r="AE2694">
        <v>0.231099999999997</v>
      </c>
      <c r="AF2694">
        <v>-0.63954084310419201</v>
      </c>
      <c r="AG2694">
        <v>-1.10343755329899</v>
      </c>
      <c r="AH2694">
        <v>15.2014001910612</v>
      </c>
      <c r="AI2694">
        <v>94.148041610047997</v>
      </c>
      <c r="AJ2694">
        <v>92.409080376453105</v>
      </c>
      <c r="AK2694">
        <v>15.2548075927828</v>
      </c>
    </row>
    <row r="2695" spans="1:37" x14ac:dyDescent="0.2">
      <c r="A2695" t="str">
        <f>"20200111160208325"</f>
        <v>20200111160208325</v>
      </c>
      <c r="B2695" t="str">
        <f>"1578729728314917"</f>
        <v>1578729728314917</v>
      </c>
      <c r="C2695" t="s">
        <v>37</v>
      </c>
      <c r="D2695">
        <v>5.5405989999999896</v>
      </c>
      <c r="E2695">
        <v>0.49523450000000002</v>
      </c>
      <c r="F2695" t="s">
        <v>60</v>
      </c>
      <c r="G2695">
        <v>-310.68880000000001</v>
      </c>
      <c r="H2695" s="1">
        <v>1.211094E-6</v>
      </c>
      <c r="I2695">
        <v>214.26490000000001</v>
      </c>
      <c r="J2695">
        <v>-326.21839999999997</v>
      </c>
      <c r="K2695">
        <v>1.1034790000000001</v>
      </c>
      <c r="L2695">
        <v>214.02619999999999</v>
      </c>
      <c r="M2695">
        <v>0.99960579999999999</v>
      </c>
      <c r="N2695">
        <v>0</v>
      </c>
      <c r="O2695">
        <v>-2.7073130000000001E-2</v>
      </c>
      <c r="P2695">
        <v>0.99966869999999997</v>
      </c>
      <c r="Q2695">
        <v>2.5550710000000001E-2</v>
      </c>
      <c r="R2695">
        <v>-3.125114E-3</v>
      </c>
      <c r="S2695">
        <v>3.0061339999999999</v>
      </c>
      <c r="T2695">
        <v>-0.2096287</v>
      </c>
      <c r="U2695">
        <v>4.3823239999999999E-2</v>
      </c>
      <c r="V2695">
        <v>-2.39265E-2</v>
      </c>
      <c r="W2695">
        <v>3.2993349999999998E-2</v>
      </c>
      <c r="X2695">
        <v>0.99916909999999903</v>
      </c>
      <c r="Y2695">
        <v>-4.1475619999999998E-2</v>
      </c>
      <c r="Z2695">
        <v>3.3297840000000001E-3</v>
      </c>
      <c r="AA2695">
        <v>0.99913390000000002</v>
      </c>
      <c r="AB2695">
        <v>31</v>
      </c>
      <c r="AC2695">
        <v>15.529599999999901</v>
      </c>
      <c r="AD2695">
        <v>-1.1034777889059999</v>
      </c>
      <c r="AE2695">
        <v>0.23870000000002201</v>
      </c>
      <c r="AF2695">
        <v>-0.65574890018850795</v>
      </c>
      <c r="AG2695">
        <v>-1.1034777889059999</v>
      </c>
      <c r="AH2695">
        <v>15.439508965094699</v>
      </c>
      <c r="AI2695">
        <v>94.084368066169404</v>
      </c>
      <c r="AJ2695">
        <v>92.432012397495896</v>
      </c>
      <c r="AK2695">
        <v>15.4927759595866</v>
      </c>
    </row>
    <row r="2696" spans="1:37" x14ac:dyDescent="0.2">
      <c r="A2696" t="str">
        <f>"20200111160208348"</f>
        <v>20200111160208348</v>
      </c>
      <c r="B2696" t="str">
        <f>"1578729728344199"</f>
        <v>1578729728344199</v>
      </c>
      <c r="C2696" t="s">
        <v>37</v>
      </c>
      <c r="D2696">
        <v>5.4930629999999896</v>
      </c>
      <c r="E2696">
        <v>0.4942454</v>
      </c>
      <c r="F2696" t="s">
        <v>60</v>
      </c>
      <c r="G2696">
        <v>-308.72899999999998</v>
      </c>
      <c r="H2696" s="1">
        <v>1.104884E-6</v>
      </c>
      <c r="I2696">
        <v>214.30680000000001</v>
      </c>
      <c r="J2696">
        <v>-325.90019999999998</v>
      </c>
      <c r="K2696">
        <v>1.10351</v>
      </c>
      <c r="L2696">
        <v>214.01740000000001</v>
      </c>
      <c r="M2696">
        <v>0.999602399999999</v>
      </c>
      <c r="N2696">
        <v>0</v>
      </c>
      <c r="O2696">
        <v>-2.719299E-2</v>
      </c>
      <c r="P2696">
        <v>0.99968590000000002</v>
      </c>
      <c r="Q2696">
        <v>2.4995119999999999E-2</v>
      </c>
      <c r="R2696">
        <v>-1.927598E-3</v>
      </c>
      <c r="S2696">
        <v>3.0060119999999899</v>
      </c>
      <c r="T2696">
        <v>-0.18966159999999899</v>
      </c>
      <c r="U2696">
        <v>4.8233030000000003E-2</v>
      </c>
      <c r="V2696">
        <v>-2.5246649999999999E-2</v>
      </c>
      <c r="W2696">
        <v>3.2466259999999997E-2</v>
      </c>
      <c r="X2696">
        <v>0.99915390000000004</v>
      </c>
      <c r="Y2696">
        <v>-4.3088050000000003E-2</v>
      </c>
      <c r="Z2696">
        <v>3.071748E-3</v>
      </c>
      <c r="AA2696">
        <v>0.99906649999999997</v>
      </c>
      <c r="AB2696">
        <v>31</v>
      </c>
      <c r="AC2696">
        <v>17.171199999999899</v>
      </c>
      <c r="AD2696">
        <v>-1.1035088951159999</v>
      </c>
      <c r="AE2696">
        <v>0.28939999999999999</v>
      </c>
      <c r="AF2696">
        <v>-0.75313266491586395</v>
      </c>
      <c r="AG2696">
        <v>-1.1035088951159999</v>
      </c>
      <c r="AH2696">
        <v>17.086432923272</v>
      </c>
      <c r="AI2696">
        <v>93.691679736313105</v>
      </c>
      <c r="AJ2696">
        <v>92.523839251010102</v>
      </c>
      <c r="AK2696">
        <v>17.138586019098501</v>
      </c>
    </row>
    <row r="2697" spans="1:37" x14ac:dyDescent="0.2">
      <c r="A2697" t="str">
        <f>"20200111160208371"</f>
        <v>20200111160208371</v>
      </c>
      <c r="B2697" t="str">
        <f>"1578729728364693"</f>
        <v>1578729728364693</v>
      </c>
      <c r="C2697" t="s">
        <v>37</v>
      </c>
      <c r="D2697">
        <v>6.9802140000000001</v>
      </c>
      <c r="E2697">
        <v>0.4942454</v>
      </c>
      <c r="F2697" t="s">
        <v>60</v>
      </c>
      <c r="G2697">
        <v>-308.99689999999998</v>
      </c>
      <c r="H2697" s="1">
        <v>1.0573569999999999E-6</v>
      </c>
      <c r="I2697">
        <v>214.35419999999999</v>
      </c>
      <c r="J2697">
        <v>-325.56959999999998</v>
      </c>
      <c r="K2697">
        <v>1.1035299999999999</v>
      </c>
      <c r="L2697">
        <v>214.00829999999999</v>
      </c>
      <c r="M2697">
        <v>0.99959949999999997</v>
      </c>
      <c r="N2697">
        <v>0</v>
      </c>
      <c r="O2697">
        <v>-2.7290140000000001E-2</v>
      </c>
      <c r="P2697">
        <v>0.999710399999999</v>
      </c>
      <c r="Q2697">
        <v>2.4060970000000001E-2</v>
      </c>
      <c r="R2697">
        <v>-3.677043E-4</v>
      </c>
      <c r="S2697">
        <v>3.0059200000000001</v>
      </c>
      <c r="T2697">
        <v>-0.1962371</v>
      </c>
      <c r="U2697">
        <v>5.989075E-2</v>
      </c>
      <c r="V2697">
        <v>-2.6905869999999998E-2</v>
      </c>
      <c r="W2697">
        <v>3.1559299999999998E-2</v>
      </c>
      <c r="X2697">
        <v>0.99913969999999896</v>
      </c>
      <c r="Y2697">
        <v>-4.7040209999999999E-2</v>
      </c>
      <c r="Z2697">
        <v>3.3132220000000002E-3</v>
      </c>
      <c r="AA2697">
        <v>0.99888750000000004</v>
      </c>
      <c r="AB2697">
        <v>32</v>
      </c>
      <c r="AC2697">
        <v>16.572699999999902</v>
      </c>
      <c r="AD2697">
        <v>-1.1035289426429999</v>
      </c>
      <c r="AE2697">
        <v>0.34589999999999999</v>
      </c>
      <c r="AF2697">
        <v>-0.79453384187933396</v>
      </c>
      <c r="AG2697">
        <v>-1.1035289426429999</v>
      </c>
      <c r="AH2697">
        <v>16.4840314220423</v>
      </c>
      <c r="AI2697">
        <v>93.825542115792402</v>
      </c>
      <c r="AJ2697">
        <v>92.759533117122103</v>
      </c>
      <c r="AK2697">
        <v>16.540022735051501</v>
      </c>
    </row>
    <row r="2698" spans="1:37" x14ac:dyDescent="0.2">
      <c r="A2698" t="str">
        <f>"20200111160208459"</f>
        <v>20200111160208459</v>
      </c>
      <c r="B2698" t="str">
        <f>"1578729728454587"</f>
        <v>1578729728454587</v>
      </c>
      <c r="C2698" t="s">
        <v>37</v>
      </c>
      <c r="D2698">
        <v>5.6898540000000004</v>
      </c>
      <c r="E2698">
        <v>0.39834619999999998</v>
      </c>
      <c r="F2698" t="s">
        <v>60</v>
      </c>
      <c r="G2698">
        <v>-308.91379999999998</v>
      </c>
      <c r="H2698" s="1">
        <v>1.07209E-6</v>
      </c>
      <c r="I2698">
        <v>214.36510000000001</v>
      </c>
      <c r="J2698">
        <v>-324.315</v>
      </c>
      <c r="K2698">
        <v>1.1035440000000001</v>
      </c>
      <c r="L2698">
        <v>213.97370000000001</v>
      </c>
      <c r="M2698">
        <v>0.99959140000000002</v>
      </c>
      <c r="N2698">
        <v>0</v>
      </c>
      <c r="O2698">
        <v>-2.7563509999999999E-2</v>
      </c>
      <c r="P2698">
        <v>0.99971499999999902</v>
      </c>
      <c r="Q2698">
        <v>2.3243969999999999E-2</v>
      </c>
      <c r="R2698">
        <v>5.4508150000000003E-3</v>
      </c>
      <c r="S2698">
        <v>3.0056759999999998</v>
      </c>
      <c r="T2698">
        <v>-0.19914100000000001</v>
      </c>
      <c r="U2698">
        <v>6.4376829999999996E-2</v>
      </c>
      <c r="V2698">
        <v>-3.2998149999999997E-2</v>
      </c>
      <c r="W2698">
        <v>3.0827230000000001E-2</v>
      </c>
      <c r="X2698">
        <v>0.99897990000000003</v>
      </c>
      <c r="Y2698">
        <v>-4.8795999999999999E-2</v>
      </c>
      <c r="Z2698">
        <v>3.4385589999999999E-3</v>
      </c>
      <c r="AA2698">
        <v>0.99880279999999999</v>
      </c>
      <c r="AB2698">
        <v>32</v>
      </c>
      <c r="AC2698">
        <v>15.401199999999999</v>
      </c>
      <c r="AD2698">
        <v>-1.10354292791</v>
      </c>
      <c r="AE2698">
        <v>0.39140000000000402</v>
      </c>
      <c r="AF2698">
        <v>-0.81161032348830198</v>
      </c>
      <c r="AG2698">
        <v>-1.10354292791</v>
      </c>
      <c r="AH2698">
        <v>15.3060265194378</v>
      </c>
      <c r="AI2698">
        <v>94.118043953442196</v>
      </c>
      <c r="AJ2698">
        <v>93.035296996376005</v>
      </c>
      <c r="AK2698">
        <v>15.367204239049601</v>
      </c>
    </row>
    <row r="2699" spans="1:37" x14ac:dyDescent="0.2">
      <c r="A2699" t="str">
        <f>"20200111160208482"</f>
        <v>20200111160208482</v>
      </c>
      <c r="B2699" t="str">
        <f>"1578729728474107"</f>
        <v>1578729728474107</v>
      </c>
      <c r="C2699" t="s">
        <v>37</v>
      </c>
      <c r="D2699">
        <v>5.3126280000000001</v>
      </c>
      <c r="E2699">
        <v>0.39876539999999999</v>
      </c>
      <c r="F2699" t="s">
        <v>60</v>
      </c>
      <c r="G2699">
        <v>-299.1413</v>
      </c>
      <c r="H2699" s="1">
        <v>2.2073730000000001E-6</v>
      </c>
      <c r="I2699">
        <v>221.04810000000001</v>
      </c>
      <c r="J2699">
        <v>-323.96980000000002</v>
      </c>
      <c r="K2699">
        <v>1.1035440000000001</v>
      </c>
      <c r="L2699">
        <v>213.9641</v>
      </c>
      <c r="M2699">
        <v>0.99958899999999995</v>
      </c>
      <c r="N2699">
        <v>0</v>
      </c>
      <c r="O2699">
        <v>-2.76394999999999E-2</v>
      </c>
      <c r="P2699">
        <v>0.99972240000000001</v>
      </c>
      <c r="Q2699">
        <v>2.2862730000000001E-2</v>
      </c>
      <c r="R2699">
        <v>5.7114969999999899E-3</v>
      </c>
      <c r="S2699">
        <v>2.999298</v>
      </c>
      <c r="T2699">
        <v>-0.1314806</v>
      </c>
      <c r="U2699">
        <v>0.84288019999999997</v>
      </c>
      <c r="V2699">
        <v>-3.333531E-2</v>
      </c>
      <c r="W2699">
        <v>3.046596E-2</v>
      </c>
      <c r="X2699">
        <v>0.99897969999999903</v>
      </c>
      <c r="Y2699">
        <v>-0.29676239999999998</v>
      </c>
      <c r="Z2699">
        <v>7.5672509999999997E-3</v>
      </c>
      <c r="AA2699">
        <v>0.95492140000000003</v>
      </c>
      <c r="AB2699">
        <v>32</v>
      </c>
      <c r="AC2699">
        <v>24.828499999999998</v>
      </c>
      <c r="AD2699">
        <v>-1.1035417926269999</v>
      </c>
      <c r="AE2699">
        <v>7.0839999999999996</v>
      </c>
      <c r="AF2699">
        <v>-7.7533968310948298</v>
      </c>
      <c r="AG2699">
        <v>-1.1035417926269999</v>
      </c>
      <c r="AH2699">
        <v>24.5783106547572</v>
      </c>
      <c r="AI2699">
        <v>92.451850503947995</v>
      </c>
      <c r="AJ2699">
        <v>107.508237753039</v>
      </c>
      <c r="AK2699">
        <v>25.795858612386901</v>
      </c>
    </row>
    <row r="2700" spans="1:37" x14ac:dyDescent="0.2">
      <c r="A2700" t="str">
        <f>"20200111160208504"</f>
        <v>20200111160208504</v>
      </c>
      <c r="B2700" t="str">
        <f>"1578729728494602"</f>
        <v>1578729728494602</v>
      </c>
      <c r="C2700" t="s">
        <v>37</v>
      </c>
      <c r="D2700">
        <v>5.2351409999999996</v>
      </c>
      <c r="E2700">
        <v>0.39811360000000001</v>
      </c>
      <c r="F2700" t="s">
        <v>60</v>
      </c>
      <c r="G2700">
        <v>-306.4581</v>
      </c>
      <c r="H2700" s="1">
        <v>1.5077049999999999E-6</v>
      </c>
      <c r="I2700">
        <v>218.8903</v>
      </c>
      <c r="J2700">
        <v>-323.66719999999998</v>
      </c>
      <c r="K2700">
        <v>1.103542</v>
      </c>
      <c r="L2700">
        <v>213.95570000000001</v>
      </c>
      <c r="M2700">
        <v>0.99958689999999994</v>
      </c>
      <c r="N2700">
        <v>0</v>
      </c>
      <c r="O2700">
        <v>-2.7712879999999999E-2</v>
      </c>
      <c r="P2700">
        <v>0.99972190000000005</v>
      </c>
      <c r="Q2700">
        <v>2.2885030000000001E-2</v>
      </c>
      <c r="R2700">
        <v>5.7200829999999999E-3</v>
      </c>
      <c r="S2700">
        <v>3.000305</v>
      </c>
      <c r="T2700">
        <v>-0.18907060000000001</v>
      </c>
      <c r="U2700">
        <v>0.84400940000000002</v>
      </c>
      <c r="V2700">
        <v>-3.3417679999999998E-2</v>
      </c>
      <c r="W2700">
        <v>3.0504570000000002E-2</v>
      </c>
      <c r="X2700">
        <v>0.99897579999999997</v>
      </c>
      <c r="Y2700">
        <v>-0.29677369999999997</v>
      </c>
      <c r="Z2700">
        <v>1.0877370000000001E-2</v>
      </c>
      <c r="AA2700">
        <v>0.95488589999999995</v>
      </c>
      <c r="AB2700">
        <v>32</v>
      </c>
      <c r="AC2700">
        <v>17.2090999999999</v>
      </c>
      <c r="AD2700">
        <v>-1.1035404922950001</v>
      </c>
      <c r="AE2700">
        <v>4.9345999999999801</v>
      </c>
      <c r="AF2700">
        <v>-5.3891552723501501</v>
      </c>
      <c r="AG2700">
        <v>-1.1035404922950001</v>
      </c>
      <c r="AH2700">
        <v>17.001135663804799</v>
      </c>
      <c r="AI2700">
        <v>93.540693223011601</v>
      </c>
      <c r="AJ2700">
        <v>107.587988114281</v>
      </c>
      <c r="AK2700">
        <v>17.868951005213699</v>
      </c>
    </row>
    <row r="2701" spans="1:37" x14ac:dyDescent="0.2">
      <c r="A2701" t="str">
        <f>"20200111160208526"</f>
        <v>20200111160208526</v>
      </c>
      <c r="B2701" t="str">
        <f>"1578729728514122"</f>
        <v>1578729728514122</v>
      </c>
      <c r="C2701" t="s">
        <v>37</v>
      </c>
      <c r="D2701">
        <v>5.208062</v>
      </c>
      <c r="E2701">
        <v>0.3972772</v>
      </c>
      <c r="F2701" t="s">
        <v>60</v>
      </c>
      <c r="G2701">
        <v>-307.31630000000001</v>
      </c>
      <c r="H2701" s="1">
        <v>1.3554800000000001E-6</v>
      </c>
      <c r="I2701">
        <v>218.58599999999899</v>
      </c>
      <c r="J2701">
        <v>-323.35610000000003</v>
      </c>
      <c r="K2701">
        <v>1.103542</v>
      </c>
      <c r="L2701">
        <v>213.947</v>
      </c>
      <c r="M2701">
        <v>0.99958449999999999</v>
      </c>
      <c r="N2701">
        <v>0</v>
      </c>
      <c r="O2701">
        <v>-2.779498E-2</v>
      </c>
      <c r="P2701">
        <v>0.999718199999999</v>
      </c>
      <c r="Q2701">
        <v>2.301081E-2</v>
      </c>
      <c r="R2701">
        <v>5.8150369999999899E-3</v>
      </c>
      <c r="S2701">
        <v>3.0005799999999998</v>
      </c>
      <c r="T2701">
        <v>-0.20251129999999901</v>
      </c>
      <c r="U2701">
        <v>0.84971620000000003</v>
      </c>
      <c r="V2701">
        <v>-3.3593779999999997E-2</v>
      </c>
      <c r="W2701">
        <v>3.06466E-2</v>
      </c>
      <c r="X2701">
        <v>0.99896559999999901</v>
      </c>
      <c r="Y2701">
        <v>-0.29841999999999902</v>
      </c>
      <c r="Z2701">
        <v>1.1704930000000001E-2</v>
      </c>
      <c r="AA2701">
        <v>0.95436290000000001</v>
      </c>
      <c r="AB2701">
        <v>32</v>
      </c>
      <c r="AC2701">
        <v>16.0398</v>
      </c>
      <c r="AD2701">
        <v>-1.10354064452</v>
      </c>
      <c r="AE2701">
        <v>4.6389999999999798</v>
      </c>
      <c r="AF2701">
        <v>-5.0609398969892503</v>
      </c>
      <c r="AG2701">
        <v>-1.10354064452</v>
      </c>
      <c r="AH2701">
        <v>15.8354871864736</v>
      </c>
      <c r="AI2701">
        <v>93.797732041807706</v>
      </c>
      <c r="AJ2701">
        <v>107.723611177495</v>
      </c>
      <c r="AK2701">
        <v>16.6611394876826</v>
      </c>
    </row>
    <row r="2702" spans="1:37" x14ac:dyDescent="0.2">
      <c r="A2702" t="str">
        <f>"20200111160208549"</f>
        <v>20200111160208549</v>
      </c>
      <c r="B2702" t="str">
        <f>"1578729728544197"</f>
        <v>1578729728544197</v>
      </c>
      <c r="C2702" t="s">
        <v>37</v>
      </c>
      <c r="D2702">
        <v>5.2326969999999999</v>
      </c>
      <c r="E2702">
        <v>0.3967215</v>
      </c>
      <c r="F2702" t="s">
        <v>60</v>
      </c>
      <c r="G2702">
        <v>-307.25529999999998</v>
      </c>
      <c r="H2702" s="1">
        <v>1.3662809999999901E-6</v>
      </c>
      <c r="I2702">
        <v>218.5419</v>
      </c>
      <c r="J2702">
        <v>-323.02319999999997</v>
      </c>
      <c r="K2702">
        <v>1.1035360000000001</v>
      </c>
      <c r="L2702">
        <v>213.9376</v>
      </c>
      <c r="M2702">
        <v>0.99958179999999996</v>
      </c>
      <c r="N2702">
        <v>0</v>
      </c>
      <c r="O2702">
        <v>-2.78908E-2</v>
      </c>
      <c r="P2702">
        <v>0.999710399999999</v>
      </c>
      <c r="Q2702">
        <v>2.3279049999999999E-2</v>
      </c>
      <c r="R2702">
        <v>6.1327830000000002E-3</v>
      </c>
      <c r="S2702">
        <v>3.00061</v>
      </c>
      <c r="T2702">
        <v>-0.20566029999999999</v>
      </c>
      <c r="U2702">
        <v>0.85632319999999995</v>
      </c>
      <c r="V2702">
        <v>-3.4006460000000002E-2</v>
      </c>
      <c r="W2702">
        <v>3.0931130000000001E-2</v>
      </c>
      <c r="X2702">
        <v>0.99894289999999997</v>
      </c>
      <c r="Y2702">
        <v>-0.300427</v>
      </c>
      <c r="Z2702">
        <v>1.195674E-2</v>
      </c>
      <c r="AA2702">
        <v>0.95372990000000002</v>
      </c>
      <c r="AB2702">
        <v>32</v>
      </c>
      <c r="AC2702">
        <v>15.7678999999999</v>
      </c>
      <c r="AD2702">
        <v>-1.103534633719</v>
      </c>
      <c r="AE2702">
        <v>4.6042999999999896</v>
      </c>
      <c r="AF2702">
        <v>-5.0196460524233499</v>
      </c>
      <c r="AG2702">
        <v>-1.103534633719</v>
      </c>
      <c r="AH2702">
        <v>15.563104280937299</v>
      </c>
      <c r="AI2702">
        <v>93.860683448428503</v>
      </c>
      <c r="AJ2702">
        <v>107.87632849152401</v>
      </c>
      <c r="AK2702">
        <v>16.389778828244001</v>
      </c>
    </row>
    <row r="2703" spans="1:37" x14ac:dyDescent="0.2">
      <c r="A2703" t="str">
        <f>"20200111160208593"</f>
        <v>20200111160208593</v>
      </c>
      <c r="B2703" t="str">
        <f>"1578729728584213"</f>
        <v>1578729728584213</v>
      </c>
      <c r="C2703" t="s">
        <v>37</v>
      </c>
      <c r="D2703">
        <v>5.9446050000000001</v>
      </c>
      <c r="E2703">
        <v>0.43265409999999999</v>
      </c>
      <c r="F2703" t="s">
        <v>60</v>
      </c>
      <c r="G2703">
        <v>-307.05259999999998</v>
      </c>
      <c r="H2703" s="1">
        <v>1.402235E-6</v>
      </c>
      <c r="I2703">
        <v>218.5206</v>
      </c>
      <c r="J2703">
        <v>-322.36689999999999</v>
      </c>
      <c r="K2703">
        <v>1.1035219999999999</v>
      </c>
      <c r="L2703">
        <v>213.91909999999999</v>
      </c>
      <c r="M2703">
        <v>0.99957549999999995</v>
      </c>
      <c r="N2703">
        <v>0</v>
      </c>
      <c r="O2703">
        <v>-2.810607E-2</v>
      </c>
      <c r="P2703">
        <v>0.99970870000000001</v>
      </c>
      <c r="Q2703">
        <v>2.305662E-2</v>
      </c>
      <c r="R2703">
        <v>7.1479739999999996E-3</v>
      </c>
      <c r="S2703">
        <v>3.0004270000000002</v>
      </c>
      <c r="T2703">
        <v>-0.20732390000000001</v>
      </c>
      <c r="U2703">
        <v>0.86102289999999904</v>
      </c>
      <c r="V2703">
        <v>-3.5235580000000002E-2</v>
      </c>
      <c r="W2703">
        <v>3.0739059999999999E-2</v>
      </c>
      <c r="X2703">
        <v>0.99890619999999997</v>
      </c>
      <c r="Y2703">
        <v>-0.30201279999999903</v>
      </c>
      <c r="Z2703">
        <v>1.2119649999999999E-2</v>
      </c>
      <c r="AA2703">
        <v>0.95322689999999999</v>
      </c>
      <c r="AB2703">
        <v>32</v>
      </c>
      <c r="AC2703">
        <v>15.314299999999999</v>
      </c>
      <c r="AD2703">
        <v>-1.103520597765</v>
      </c>
      <c r="AE2703">
        <v>4.6015000000000104</v>
      </c>
      <c r="AF2703">
        <v>-5.0062775276766196</v>
      </c>
      <c r="AG2703">
        <v>-1.103520597765</v>
      </c>
      <c r="AH2703">
        <v>15.106970087489101</v>
      </c>
      <c r="AI2703">
        <v>93.966479188133505</v>
      </c>
      <c r="AJ2703">
        <v>108.334607395527</v>
      </c>
      <c r="AK2703">
        <v>15.953091161843901</v>
      </c>
    </row>
    <row r="2704" spans="1:37" x14ac:dyDescent="0.2">
      <c r="A2704" t="str">
        <f>"20200111160208618"</f>
        <v>20200111160208618</v>
      </c>
      <c r="B2704" t="str">
        <f>"1578729728614469"</f>
        <v>1578729728614469</v>
      </c>
      <c r="C2704" t="s">
        <v>37</v>
      </c>
      <c r="D2704">
        <v>5.4485130000000002</v>
      </c>
      <c r="E2704">
        <v>0.50402389999999997</v>
      </c>
      <c r="F2704" t="s">
        <v>39</v>
      </c>
      <c r="G2704">
        <v>-256.76069999999999</v>
      </c>
      <c r="H2704">
        <v>-0.05</v>
      </c>
      <c r="I2704">
        <v>226.31739999999999</v>
      </c>
      <c r="J2704">
        <v>-322.03210000000001</v>
      </c>
      <c r="K2704">
        <v>1.1035159999999999</v>
      </c>
      <c r="L2704">
        <v>213.90950000000001</v>
      </c>
      <c r="M2704">
        <v>0.99957199999999902</v>
      </c>
      <c r="N2704">
        <v>0</v>
      </c>
      <c r="O2704">
        <v>-2.8228739999999999E-2</v>
      </c>
      <c r="P2704">
        <v>0.99971790000000005</v>
      </c>
      <c r="Q2704">
        <v>2.2705019999999999E-2</v>
      </c>
      <c r="R2704">
        <v>6.976515E-3</v>
      </c>
      <c r="S2704">
        <v>2.9980470000000001</v>
      </c>
      <c r="T2704">
        <v>-5.2713160000000002E-2</v>
      </c>
      <c r="U2704">
        <v>0.56657409999999997</v>
      </c>
      <c r="V2704">
        <v>-3.5186889999999998E-2</v>
      </c>
      <c r="W2704">
        <v>3.040209E-2</v>
      </c>
      <c r="X2704">
        <v>0.99891819999999898</v>
      </c>
      <c r="Y2704">
        <v>-0.2133227</v>
      </c>
      <c r="Z2704">
        <v>2.3510129999999999E-3</v>
      </c>
      <c r="AA2704">
        <v>0.97697900000000004</v>
      </c>
      <c r="AB2704">
        <v>32</v>
      </c>
      <c r="AC2704">
        <v>65.2714</v>
      </c>
      <c r="AD2704">
        <v>-1.153516</v>
      </c>
      <c r="AE2704">
        <v>12.4078999999999</v>
      </c>
      <c r="AF2704">
        <v>-14.241246011416001</v>
      </c>
      <c r="AG2704">
        <v>-1.153516</v>
      </c>
      <c r="AH2704">
        <v>64.875562092715498</v>
      </c>
      <c r="AI2704">
        <v>90.994951686114106</v>
      </c>
      <c r="AJ2704">
        <v>102.38098355046</v>
      </c>
      <c r="AK2704">
        <v>66.4302810769735</v>
      </c>
    </row>
    <row r="2705" spans="1:37" x14ac:dyDescent="0.2">
      <c r="A2705" t="str">
        <f>"20200111160208639"</f>
        <v>20200111160208639</v>
      </c>
      <c r="B2705" t="str">
        <f>"1578729728634495"</f>
        <v>1578729728634495</v>
      </c>
      <c r="C2705" t="s">
        <v>37</v>
      </c>
      <c r="D2705">
        <v>5.4125239999999897</v>
      </c>
      <c r="E2705">
        <v>0.50603180000000003</v>
      </c>
      <c r="F2705" t="s">
        <v>42</v>
      </c>
      <c r="G2705">
        <v>-321.14089999999999</v>
      </c>
      <c r="H2705">
        <v>1.0221579999999999</v>
      </c>
      <c r="I2705">
        <v>213.91210000000001</v>
      </c>
      <c r="J2705">
        <v>-321.71350000000001</v>
      </c>
      <c r="K2705">
        <v>1.103512</v>
      </c>
      <c r="L2705">
        <v>213.90039999999999</v>
      </c>
      <c r="M2705">
        <v>0.99956840000000002</v>
      </c>
      <c r="N2705">
        <v>0</v>
      </c>
      <c r="O2705">
        <v>-2.8352470000000001E-2</v>
      </c>
      <c r="P2705">
        <v>0.99972549999999905</v>
      </c>
      <c r="Q2705">
        <v>2.251966E-2</v>
      </c>
      <c r="R2705">
        <v>6.4922840000000001E-3</v>
      </c>
      <c r="S2705">
        <v>3.0070189999999899</v>
      </c>
      <c r="T2705">
        <v>-0.27455439999999998</v>
      </c>
      <c r="U2705">
        <v>9.1552730000000002E-3</v>
      </c>
      <c r="V2705">
        <v>-3.4826019999999999E-2</v>
      </c>
      <c r="W2705">
        <v>3.0230989999999999E-2</v>
      </c>
      <c r="X2705">
        <v>0.99893609999999899</v>
      </c>
      <c r="Y2705">
        <v>-3.1149079999999999E-2</v>
      </c>
      <c r="Z2705">
        <v>4.0022440000000003E-3</v>
      </c>
      <c r="AA2705">
        <v>0.99950669999999897</v>
      </c>
      <c r="AB2705">
        <v>33</v>
      </c>
      <c r="AC2705">
        <v>0.57260000000002198</v>
      </c>
      <c r="AD2705">
        <v>-8.1354000000000107E-2</v>
      </c>
      <c r="AE2705">
        <v>1.17000000000189E-2</v>
      </c>
      <c r="AF2705">
        <v>-2.7377973354967899E-2</v>
      </c>
      <c r="AG2705">
        <v>-8.1354000000000107E-2</v>
      </c>
      <c r="AH2705">
        <v>0.56072388518968797</v>
      </c>
      <c r="AI2705">
        <v>98.245607073019201</v>
      </c>
      <c r="AJ2705">
        <v>92.795310853686701</v>
      </c>
      <c r="AK2705">
        <v>0.56725594061520701</v>
      </c>
    </row>
    <row r="2706" spans="1:37" x14ac:dyDescent="0.2">
      <c r="A2706" t="str">
        <f>"20200111160208661"</f>
        <v>20200111160208661</v>
      </c>
      <c r="B2706" t="str">
        <f>"1578729728654991"</f>
        <v>1578729728654991</v>
      </c>
      <c r="C2706" t="s">
        <v>37</v>
      </c>
      <c r="D2706">
        <v>5.4242220000000003</v>
      </c>
      <c r="E2706">
        <v>0.50678029999999996</v>
      </c>
      <c r="F2706" t="s">
        <v>42</v>
      </c>
      <c r="G2706">
        <v>-320.84840000000003</v>
      </c>
      <c r="H2706">
        <v>1.024286</v>
      </c>
      <c r="I2706">
        <v>213.89789999999999</v>
      </c>
      <c r="J2706">
        <v>-321.38279999999997</v>
      </c>
      <c r="K2706">
        <v>1.1035090000000001</v>
      </c>
      <c r="L2706">
        <v>213.89099999999999</v>
      </c>
      <c r="M2706">
        <v>0.99956449999999997</v>
      </c>
      <c r="N2706">
        <v>0</v>
      </c>
      <c r="O2706">
        <v>-2.8486210000000001E-2</v>
      </c>
      <c r="P2706">
        <v>0.99973389999999995</v>
      </c>
      <c r="Q2706">
        <v>2.2216690000000001E-2</v>
      </c>
      <c r="R2706">
        <v>6.2241219999999899E-3</v>
      </c>
      <c r="S2706">
        <v>3.00705</v>
      </c>
      <c r="T2706">
        <v>-0.27545320000000001</v>
      </c>
      <c r="U2706">
        <v>-8.2092290000000002E-3</v>
      </c>
      <c r="V2706">
        <v>-3.4691989999999999E-2</v>
      </c>
      <c r="W2706">
        <v>2.9944060000000002E-2</v>
      </c>
      <c r="X2706">
        <v>0.99894930000000004</v>
      </c>
      <c r="Y2706">
        <v>-2.5531950000000001E-2</v>
      </c>
      <c r="Z2706">
        <v>3.7706900000000002E-3</v>
      </c>
      <c r="AA2706">
        <v>0.99966690000000002</v>
      </c>
      <c r="AB2706">
        <v>33</v>
      </c>
      <c r="AC2706">
        <v>0.53439999999994803</v>
      </c>
      <c r="AD2706">
        <v>-7.9223000000000002E-2</v>
      </c>
      <c r="AE2706">
        <v>6.90000000000168E-3</v>
      </c>
      <c r="AF2706">
        <v>-2.1645066358507398E-2</v>
      </c>
      <c r="AG2706">
        <v>-7.9223000000000002E-2</v>
      </c>
      <c r="AH2706">
        <v>0.52250534006173799</v>
      </c>
      <c r="AI2706">
        <v>98.614322742654196</v>
      </c>
      <c r="AJ2706">
        <v>92.372152349776201</v>
      </c>
      <c r="AK2706">
        <v>0.52892024258832904</v>
      </c>
    </row>
    <row r="2707" spans="1:37" x14ac:dyDescent="0.2">
      <c r="A2707" t="str">
        <f>"20200111160208684"</f>
        <v>20200111160208684</v>
      </c>
      <c r="B2707" t="str">
        <f>"1578729728674511"</f>
        <v>1578729728674511</v>
      </c>
      <c r="C2707" t="s">
        <v>37</v>
      </c>
      <c r="D2707">
        <v>5.3796499999999998</v>
      </c>
      <c r="E2707">
        <v>0.50688840000000002</v>
      </c>
      <c r="F2707" t="s">
        <v>42</v>
      </c>
      <c r="G2707">
        <v>-320.55450000000002</v>
      </c>
      <c r="H2707">
        <v>1.026454</v>
      </c>
      <c r="I2707">
        <v>213.88679999999999</v>
      </c>
      <c r="J2707">
        <v>-321.05</v>
      </c>
      <c r="K2707">
        <v>1.103494</v>
      </c>
      <c r="L2707">
        <v>213.88130000000001</v>
      </c>
      <c r="M2707">
        <v>0.99956039999999902</v>
      </c>
      <c r="N2707">
        <v>0</v>
      </c>
      <c r="O2707">
        <v>-2.8624489999999999E-2</v>
      </c>
      <c r="P2707">
        <v>0.99974979999999902</v>
      </c>
      <c r="Q2707">
        <v>2.1547360000000002E-2</v>
      </c>
      <c r="R2707">
        <v>5.9903939999999996E-3</v>
      </c>
      <c r="S2707">
        <v>3.0071110000000001</v>
      </c>
      <c r="T2707">
        <v>-0.27974450000000001</v>
      </c>
      <c r="U2707">
        <v>-1.4709470000000001E-2</v>
      </c>
      <c r="V2707">
        <v>-3.4596910000000002E-2</v>
      </c>
      <c r="W2707">
        <v>2.9294899999999999E-2</v>
      </c>
      <c r="X2707">
        <v>0.99897190000000002</v>
      </c>
      <c r="Y2707">
        <v>-2.3510440000000001E-2</v>
      </c>
      <c r="Z2707">
        <v>3.7480769999999998E-3</v>
      </c>
      <c r="AA2707">
        <v>0.99971659999999996</v>
      </c>
      <c r="AB2707">
        <v>33</v>
      </c>
      <c r="AC2707">
        <v>0.495499999999992</v>
      </c>
      <c r="AD2707">
        <v>-7.7039999999999997E-2</v>
      </c>
      <c r="AE2707">
        <v>5.4999999999836204E-3</v>
      </c>
      <c r="AF2707">
        <v>-1.9217110283009702E-2</v>
      </c>
      <c r="AG2707">
        <v>-7.7039999999999997E-2</v>
      </c>
      <c r="AH2707">
        <v>0.48345402080632599</v>
      </c>
      <c r="AI2707">
        <v>99.047119478570593</v>
      </c>
      <c r="AJ2707">
        <v>92.276286704719496</v>
      </c>
      <c r="AK2707">
        <v>0.48993086161358801</v>
      </c>
    </row>
    <row r="2708" spans="1:37" x14ac:dyDescent="0.2">
      <c r="A2708" t="str">
        <f>"20200111160208705"</f>
        <v>20200111160208705</v>
      </c>
      <c r="B2708" t="str">
        <f>"1578729728694032"</f>
        <v>1578729728694032</v>
      </c>
      <c r="C2708" t="s">
        <v>37</v>
      </c>
      <c r="D2708">
        <v>5.3308599999999897</v>
      </c>
      <c r="E2708">
        <v>0.50684870000000004</v>
      </c>
      <c r="F2708" t="s">
        <v>42</v>
      </c>
      <c r="G2708">
        <v>-320.2593</v>
      </c>
      <c r="H2708">
        <v>1.0290629999999901</v>
      </c>
      <c r="I2708">
        <v>213.8768</v>
      </c>
      <c r="J2708">
        <v>-320.7439</v>
      </c>
      <c r="K2708">
        <v>1.10349599999999</v>
      </c>
      <c r="L2708">
        <v>213.8725</v>
      </c>
      <c r="M2708">
        <v>0.99955640000000001</v>
      </c>
      <c r="N2708">
        <v>0</v>
      </c>
      <c r="O2708">
        <v>-2.8753620000000001E-2</v>
      </c>
      <c r="P2708">
        <v>0.99976080000000001</v>
      </c>
      <c r="Q2708">
        <v>2.109422E-2</v>
      </c>
      <c r="R2708">
        <v>5.7723929999999998E-3</v>
      </c>
      <c r="S2708">
        <v>3.0069889999999999</v>
      </c>
      <c r="T2708">
        <v>-0.28318300000000002</v>
      </c>
      <c r="U2708">
        <v>-1.638794E-2</v>
      </c>
      <c r="V2708">
        <v>-3.4508259999999999E-2</v>
      </c>
      <c r="W2708">
        <v>2.887164E-2</v>
      </c>
      <c r="X2708">
        <v>0.99898729999999902</v>
      </c>
      <c r="Y2708">
        <v>-2.3077150000000001E-2</v>
      </c>
      <c r="Z2708">
        <v>3.7858589999999999E-3</v>
      </c>
      <c r="AA2708">
        <v>0.99972649999999996</v>
      </c>
      <c r="AB2708">
        <v>33</v>
      </c>
      <c r="AC2708">
        <v>0.48459999999999998</v>
      </c>
      <c r="AD2708">
        <v>-7.4432999999999902E-2</v>
      </c>
      <c r="AE2708">
        <v>4.3000000000006297E-3</v>
      </c>
      <c r="AF2708">
        <v>-1.7812448201176601E-2</v>
      </c>
      <c r="AG2708">
        <v>-7.4432999999999902E-2</v>
      </c>
      <c r="AH2708">
        <v>0.47311513583121101</v>
      </c>
      <c r="AI2708">
        <v>98.934565626356104</v>
      </c>
      <c r="AJ2708">
        <v>92.156126964841306</v>
      </c>
      <c r="AK2708">
        <v>0.479265569963569</v>
      </c>
    </row>
    <row r="2709" spans="1:37" x14ac:dyDescent="0.2">
      <c r="A2709" t="str">
        <f>"20200111160208728"</f>
        <v>20200111160208728</v>
      </c>
      <c r="B2709" t="str">
        <f>"1578729728724288"</f>
        <v>1578729728724288</v>
      </c>
      <c r="C2709" t="s">
        <v>37</v>
      </c>
      <c r="D2709">
        <v>6.5770419999999996</v>
      </c>
      <c r="E2709">
        <v>0.50702079999999905</v>
      </c>
      <c r="F2709" t="s">
        <v>42</v>
      </c>
      <c r="G2709">
        <v>-319.96499999999997</v>
      </c>
      <c r="H2709">
        <v>1.02959</v>
      </c>
      <c r="I2709">
        <v>213.86789999999999</v>
      </c>
      <c r="J2709">
        <v>-320.41340000000002</v>
      </c>
      <c r="K2709">
        <v>1.103502</v>
      </c>
      <c r="L2709">
        <v>213.86279999999999</v>
      </c>
      <c r="M2709">
        <v>0.99955179999999999</v>
      </c>
      <c r="N2709">
        <v>0</v>
      </c>
      <c r="O2709">
        <v>-2.8894059999999999E-2</v>
      </c>
      <c r="P2709">
        <v>0.9997876</v>
      </c>
      <c r="Q2709">
        <v>1.9915660000000002E-2</v>
      </c>
      <c r="R2709">
        <v>5.3327089999999997E-3</v>
      </c>
      <c r="S2709">
        <v>3.0068359999999998</v>
      </c>
      <c r="T2709">
        <v>-0.28532370000000001</v>
      </c>
      <c r="U2709">
        <v>-1.6922E-2</v>
      </c>
      <c r="V2709">
        <v>-3.4210199999999899E-2</v>
      </c>
      <c r="W2709">
        <v>2.775248E-2</v>
      </c>
      <c r="X2709">
        <v>0.99902930000000001</v>
      </c>
      <c r="Y2709">
        <v>-2.303585E-2</v>
      </c>
      <c r="Z2709">
        <v>3.8258799999999998E-3</v>
      </c>
      <c r="AA2709">
        <v>0.99972729999999999</v>
      </c>
      <c r="AB2709">
        <v>33</v>
      </c>
      <c r="AC2709">
        <v>0.44840000000004898</v>
      </c>
      <c r="AD2709">
        <v>-7.3911999999999894E-2</v>
      </c>
      <c r="AE2709">
        <v>5.0999999999987696E-3</v>
      </c>
      <c r="AF2709">
        <v>-1.7576853060972598E-2</v>
      </c>
      <c r="AG2709">
        <v>-7.3911999999999894E-2</v>
      </c>
      <c r="AH2709">
        <v>0.436214739353607</v>
      </c>
      <c r="AI2709">
        <v>99.609177200171501</v>
      </c>
      <c r="AJ2709">
        <v>92.307430039496296</v>
      </c>
      <c r="AK2709">
        <v>0.44278124207882003</v>
      </c>
    </row>
    <row r="2710" spans="1:37" x14ac:dyDescent="0.2">
      <c r="A2710" t="str">
        <f>"20200111160208752"</f>
        <v>20200111160208752</v>
      </c>
      <c r="B2710" t="str">
        <f>"1578729728744313"</f>
        <v>1578729728744313</v>
      </c>
      <c r="C2710" t="s">
        <v>37</v>
      </c>
      <c r="D2710">
        <v>5.3028680000000001</v>
      </c>
      <c r="E2710">
        <v>0.50717709999999905</v>
      </c>
      <c r="F2710" t="s">
        <v>42</v>
      </c>
      <c r="G2710">
        <v>-319.66919999999999</v>
      </c>
      <c r="H2710">
        <v>1.0318229999999999</v>
      </c>
      <c r="I2710">
        <v>213.85749999999999</v>
      </c>
      <c r="J2710">
        <v>-320.07089999999999</v>
      </c>
      <c r="K2710">
        <v>1.1035219999999999</v>
      </c>
      <c r="L2710">
        <v>213.8528</v>
      </c>
      <c r="M2710">
        <v>0.99954669999999901</v>
      </c>
      <c r="N2710">
        <v>0</v>
      </c>
      <c r="O2710">
        <v>-2.9034609999999999E-2</v>
      </c>
      <c r="P2710">
        <v>0.99981390000000003</v>
      </c>
      <c r="Q2710">
        <v>1.8582749999999999E-2</v>
      </c>
      <c r="R2710">
        <v>5.1789459999999898E-3</v>
      </c>
      <c r="S2710">
        <v>3.0065309999999998</v>
      </c>
      <c r="T2710">
        <v>-0.28974629999999901</v>
      </c>
      <c r="U2710">
        <v>-2.0065309999999999E-2</v>
      </c>
      <c r="V2710">
        <v>-3.4197980000000003E-2</v>
      </c>
      <c r="W2710">
        <v>2.6540330000000001E-2</v>
      </c>
      <c r="X2710">
        <v>0.99906260000000002</v>
      </c>
      <c r="Y2710">
        <v>-2.2126940000000001E-2</v>
      </c>
      <c r="Z2710">
        <v>3.855097E-3</v>
      </c>
      <c r="AA2710">
        <v>0.99974779999999996</v>
      </c>
      <c r="AB2710">
        <v>33</v>
      </c>
      <c r="AC2710">
        <v>0.401700000000005</v>
      </c>
      <c r="AD2710">
        <v>-7.1698999999999902E-2</v>
      </c>
      <c r="AE2710">
        <v>4.6999999999854901E-3</v>
      </c>
      <c r="AF2710">
        <v>-1.5856499000223099E-2</v>
      </c>
      <c r="AG2710">
        <v>-7.1698999999999902E-2</v>
      </c>
      <c r="AH2710">
        <v>0.38900289549933498</v>
      </c>
      <c r="AI2710">
        <v>100.434780208137</v>
      </c>
      <c r="AJ2710">
        <v>92.334192903856504</v>
      </c>
      <c r="AK2710">
        <v>0.39587299461874198</v>
      </c>
    </row>
    <row r="2711" spans="1:37" x14ac:dyDescent="0.2">
      <c r="A2711" t="str">
        <f>"20200111160208773"</f>
        <v>20200111160208773</v>
      </c>
      <c r="B2711" t="str">
        <f>"1578729728764810"</f>
        <v>1578729728764810</v>
      </c>
      <c r="C2711" t="s">
        <v>37</v>
      </c>
      <c r="D2711">
        <v>5.2423679999999999</v>
      </c>
      <c r="E2711">
        <v>0.50750740000000005</v>
      </c>
      <c r="F2711" t="s">
        <v>42</v>
      </c>
      <c r="G2711">
        <v>-319.09280000000001</v>
      </c>
      <c r="H2711">
        <v>1.0075510000000001</v>
      </c>
      <c r="I2711">
        <v>213.84549999999999</v>
      </c>
      <c r="J2711">
        <v>-319.7355</v>
      </c>
      <c r="K2711">
        <v>1.1035619999999999</v>
      </c>
      <c r="L2711">
        <v>213.84289999999999</v>
      </c>
      <c r="M2711">
        <v>0.99954149999999997</v>
      </c>
      <c r="N2711">
        <v>0</v>
      </c>
      <c r="O2711">
        <v>-2.9162980000000002E-2</v>
      </c>
      <c r="P2711">
        <v>0.99983369999999905</v>
      </c>
      <c r="Q2711">
        <v>1.7674599999999999E-2</v>
      </c>
      <c r="R2711">
        <v>4.542056E-3</v>
      </c>
      <c r="S2711">
        <v>3.0061339999999999</v>
      </c>
      <c r="T2711">
        <v>-0.29501620000000001</v>
      </c>
      <c r="U2711">
        <v>-2.1713260000000002E-2</v>
      </c>
      <c r="V2711">
        <v>-3.3691230000000003E-2</v>
      </c>
      <c r="W2711">
        <v>2.5842469999999999E-2</v>
      </c>
      <c r="X2711">
        <v>0.99909809999999999</v>
      </c>
      <c r="Y2711">
        <v>-2.1699179999999998E-2</v>
      </c>
      <c r="Z2711">
        <v>3.9170120000000001E-3</v>
      </c>
      <c r="AA2711">
        <v>0.99975689999999995</v>
      </c>
      <c r="AB2711">
        <v>33</v>
      </c>
      <c r="AC2711">
        <v>0.64269999999998995</v>
      </c>
      <c r="AD2711">
        <v>-9.6010999999999999E-2</v>
      </c>
      <c r="AE2711">
        <v>2.6000000000010398E-3</v>
      </c>
      <c r="AF2711">
        <v>-2.08766767888359E-2</v>
      </c>
      <c r="AG2711">
        <v>-9.6010999999999999E-2</v>
      </c>
      <c r="AH2711">
        <v>0.62832894498858105</v>
      </c>
      <c r="AI2711">
        <v>98.683088607731804</v>
      </c>
      <c r="AJ2711">
        <v>91.902993026710504</v>
      </c>
      <c r="AK2711">
        <v>0.63596478744126095</v>
      </c>
    </row>
    <row r="2712" spans="1:37" x14ac:dyDescent="0.2">
      <c r="A2712" t="str">
        <f>"20200111160208796"</f>
        <v>20200111160208796</v>
      </c>
      <c r="B2712" t="str">
        <f>"1578729728784329"</f>
        <v>1578729728784329</v>
      </c>
      <c r="C2712" t="s">
        <v>37</v>
      </c>
      <c r="D2712">
        <v>5.151224</v>
      </c>
      <c r="E2712">
        <v>0.507552</v>
      </c>
      <c r="F2712" t="s">
        <v>42</v>
      </c>
      <c r="G2712">
        <v>-318.7962</v>
      </c>
      <c r="H2712">
        <v>1.0108090000000001</v>
      </c>
      <c r="I2712">
        <v>213.83449999999999</v>
      </c>
      <c r="J2712">
        <v>-319.40750000000003</v>
      </c>
      <c r="K2712">
        <v>1.103613</v>
      </c>
      <c r="L2712">
        <v>213.83320000000001</v>
      </c>
      <c r="M2712">
        <v>0.99953570000000003</v>
      </c>
      <c r="N2712">
        <v>0</v>
      </c>
      <c r="O2712">
        <v>-2.927946E-2</v>
      </c>
      <c r="P2712">
        <v>0.99985519999999894</v>
      </c>
      <c r="Q2712">
        <v>1.6544570000000001E-2</v>
      </c>
      <c r="R2712">
        <v>3.9507550000000002E-3</v>
      </c>
      <c r="S2712">
        <v>3.0058590000000001</v>
      </c>
      <c r="T2712">
        <v>-0.29696919999999999</v>
      </c>
      <c r="U2712">
        <v>-2.6092529999999999E-2</v>
      </c>
      <c r="V2712">
        <v>-3.3217459999999997E-2</v>
      </c>
      <c r="W2712">
        <v>2.498158E-2</v>
      </c>
      <c r="X2712">
        <v>0.99913589999999997</v>
      </c>
      <c r="Y2712">
        <v>-2.0361270000000001E-2</v>
      </c>
      <c r="Z2712">
        <v>3.8886900000000002E-3</v>
      </c>
      <c r="AA2712">
        <v>0.99978509999999998</v>
      </c>
      <c r="AB2712">
        <v>33</v>
      </c>
      <c r="AC2712">
        <v>0.61130000000002804</v>
      </c>
      <c r="AD2712">
        <v>-9.2803999999999803E-2</v>
      </c>
      <c r="AE2712">
        <v>1.2999999999863099E-3</v>
      </c>
      <c r="AF2712">
        <v>-1.8766102250236501E-2</v>
      </c>
      <c r="AG2712">
        <v>-9.2803999999999803E-2</v>
      </c>
      <c r="AH2712">
        <v>0.59723509269373698</v>
      </c>
      <c r="AI2712">
        <v>98.828230597232704</v>
      </c>
      <c r="AJ2712">
        <v>91.799734841858694</v>
      </c>
      <c r="AK2712">
        <v>0.60469372822492795</v>
      </c>
    </row>
    <row r="2713" spans="1:37" x14ac:dyDescent="0.2">
      <c r="A2713" t="str">
        <f>"20200111160208818"</f>
        <v>20200111160208818</v>
      </c>
      <c r="B2713" t="str">
        <f>"1578729728814586"</f>
        <v>1578729728814586</v>
      </c>
      <c r="C2713" t="s">
        <v>37</v>
      </c>
      <c r="D2713">
        <v>5.1606759999999996</v>
      </c>
      <c r="E2713">
        <v>0.50756979999999996</v>
      </c>
      <c r="F2713" t="s">
        <v>42</v>
      </c>
      <c r="G2713">
        <v>-318.5</v>
      </c>
      <c r="H2713">
        <v>1.0133190000000001</v>
      </c>
      <c r="I2713">
        <v>213.8244</v>
      </c>
      <c r="J2713">
        <v>-319.075999999999</v>
      </c>
      <c r="K2713">
        <v>1.103688</v>
      </c>
      <c r="L2713">
        <v>213.82339999999999</v>
      </c>
      <c r="M2713">
        <v>0.99952940000000001</v>
      </c>
      <c r="N2713">
        <v>0</v>
      </c>
      <c r="O2713">
        <v>-2.938286E-2</v>
      </c>
      <c r="P2713">
        <v>0.9998918</v>
      </c>
      <c r="Q2713">
        <v>1.4301039999999999E-2</v>
      </c>
      <c r="R2713">
        <v>3.4794359999999998E-3</v>
      </c>
      <c r="S2713">
        <v>3.0054630000000002</v>
      </c>
      <c r="T2713">
        <v>-0.29915359999999902</v>
      </c>
      <c r="U2713">
        <v>-2.8305049999999998E-2</v>
      </c>
      <c r="V2713">
        <v>-3.2852079999999999E-2</v>
      </c>
      <c r="W2713">
        <v>2.3121030000000001E-2</v>
      </c>
      <c r="X2713">
        <v>0.99919279999999999</v>
      </c>
      <c r="Y2713">
        <v>-1.97267E-2</v>
      </c>
      <c r="Z2713">
        <v>3.896418E-3</v>
      </c>
      <c r="AA2713">
        <v>0.99979779999999996</v>
      </c>
      <c r="AB2713">
        <v>33</v>
      </c>
      <c r="AC2713">
        <v>0.57599999999996498</v>
      </c>
      <c r="AD2713">
        <v>-9.0368999999999894E-2</v>
      </c>
      <c r="AE2713">
        <v>1.0000000000047701E-3</v>
      </c>
      <c r="AF2713">
        <v>-1.7494141301673E-2</v>
      </c>
      <c r="AG2713">
        <v>-9.0368999999999894E-2</v>
      </c>
      <c r="AH2713">
        <v>0.56189117434751201</v>
      </c>
      <c r="AI2713">
        <v>99.132293084151996</v>
      </c>
      <c r="AJ2713">
        <v>91.783293320305603</v>
      </c>
      <c r="AK2713">
        <v>0.56938062221198704</v>
      </c>
    </row>
    <row r="2714" spans="1:37" x14ac:dyDescent="0.2">
      <c r="A2714" t="str">
        <f>"20200111160208839"</f>
        <v>20200111160208839</v>
      </c>
      <c r="B2714" t="str">
        <f>"1578729728834612"</f>
        <v>1578729728834612</v>
      </c>
      <c r="C2714" t="s">
        <v>37</v>
      </c>
      <c r="D2714">
        <v>5.1393779999999998</v>
      </c>
      <c r="E2714">
        <v>0.50737879999999902</v>
      </c>
      <c r="F2714" t="s">
        <v>42</v>
      </c>
      <c r="G2714">
        <v>-318.20409999999998</v>
      </c>
      <c r="H2714">
        <v>1.0155730000000001</v>
      </c>
      <c r="I2714">
        <v>213.81469999999999</v>
      </c>
      <c r="J2714">
        <v>-318.77190000000002</v>
      </c>
      <c r="K2714">
        <v>1.1037779999999999</v>
      </c>
      <c r="L2714">
        <v>213.81440000000001</v>
      </c>
      <c r="M2714">
        <v>0.99952289999999899</v>
      </c>
      <c r="N2714">
        <v>0</v>
      </c>
      <c r="O2714">
        <v>-2.9460670000000001E-2</v>
      </c>
      <c r="P2714">
        <v>0.99992060000000005</v>
      </c>
      <c r="Q2714">
        <v>1.236287E-2</v>
      </c>
      <c r="R2714">
        <v>2.4382599999999998E-3</v>
      </c>
      <c r="S2714">
        <v>3.0047609999999998</v>
      </c>
      <c r="T2714">
        <v>-0.30364479999999999</v>
      </c>
      <c r="U2714">
        <v>-3.015137E-2</v>
      </c>
      <c r="V2714">
        <v>-3.1890689999999999E-2</v>
      </c>
      <c r="W2714">
        <v>2.1640820000000002E-2</v>
      </c>
      <c r="X2714">
        <v>0.99925699999999995</v>
      </c>
      <c r="Y2714">
        <v>-1.9183099999999901E-2</v>
      </c>
      <c r="Z2714">
        <v>3.935979E-3</v>
      </c>
      <c r="AA2714">
        <v>0.99980829999999998</v>
      </c>
      <c r="AB2714">
        <v>33</v>
      </c>
      <c r="AC2714">
        <v>0.56780000000003295</v>
      </c>
      <c r="AD2714">
        <v>-8.8205000000000006E-2</v>
      </c>
      <c r="AE2714">
        <v>2.9999999998153699E-4</v>
      </c>
      <c r="AF2714">
        <v>-1.6627110426577399E-2</v>
      </c>
      <c r="AG2714">
        <v>-8.8205000000000006E-2</v>
      </c>
      <c r="AH2714">
        <v>0.55417135048432697</v>
      </c>
      <c r="AI2714">
        <v>99.039654347281498</v>
      </c>
      <c r="AJ2714">
        <v>91.718561487715604</v>
      </c>
      <c r="AK2714">
        <v>0.56139332782262397</v>
      </c>
    </row>
    <row r="2715" spans="1:37" x14ac:dyDescent="0.2">
      <c r="A2715" t="str">
        <f>"20200111160208861"</f>
        <v>20200111160208861</v>
      </c>
      <c r="B2715" t="str">
        <f>"1578729728854132"</f>
        <v>1578729728854132</v>
      </c>
      <c r="C2715" t="s">
        <v>37</v>
      </c>
      <c r="D2715">
        <v>5.1483019999999904</v>
      </c>
      <c r="E2715">
        <v>0.50747279999999995</v>
      </c>
      <c r="F2715" t="s">
        <v>42</v>
      </c>
      <c r="G2715">
        <v>-317.90980000000002</v>
      </c>
      <c r="H2715">
        <v>1.015773</v>
      </c>
      <c r="I2715">
        <v>213.8049</v>
      </c>
      <c r="J2715">
        <v>-318.43150000000003</v>
      </c>
      <c r="K2715">
        <v>1.10388</v>
      </c>
      <c r="L2715">
        <v>213.80420000000001</v>
      </c>
      <c r="M2715">
        <v>0.99951540000000005</v>
      </c>
      <c r="N2715">
        <v>0</v>
      </c>
      <c r="O2715">
        <v>-2.953764E-2</v>
      </c>
      <c r="P2715">
        <v>0.99993279999999995</v>
      </c>
      <c r="Q2715">
        <v>1.141824E-2</v>
      </c>
      <c r="R2715">
        <v>2.0905400000000001E-3</v>
      </c>
      <c r="S2715">
        <v>3.0041199999999999</v>
      </c>
      <c r="T2715">
        <v>-0.30676599999999998</v>
      </c>
      <c r="U2715">
        <v>-3.20282E-2</v>
      </c>
      <c r="V2715">
        <v>-3.1621740000000002E-2</v>
      </c>
      <c r="W2715">
        <v>2.1248949999999999E-2</v>
      </c>
      <c r="X2715">
        <v>0.999274</v>
      </c>
      <c r="Y2715">
        <v>-1.8630810000000001E-2</v>
      </c>
      <c r="Z2715">
        <v>3.95678E-3</v>
      </c>
      <c r="AA2715">
        <v>0.9998186</v>
      </c>
      <c r="AB2715">
        <v>33</v>
      </c>
      <c r="AC2715">
        <v>0.52170000000000905</v>
      </c>
      <c r="AD2715">
        <v>-8.8106999999999894E-2</v>
      </c>
      <c r="AE2715">
        <v>6.9999999999481501E-4</v>
      </c>
      <c r="AF2715">
        <v>-1.5663472922780301E-2</v>
      </c>
      <c r="AG2715">
        <v>-8.8106999999999894E-2</v>
      </c>
      <c r="AH2715">
        <v>0.50699131377247197</v>
      </c>
      <c r="AI2715">
        <v>99.854023092729093</v>
      </c>
      <c r="AJ2715">
        <v>91.769587548419096</v>
      </c>
      <c r="AK2715">
        <v>0.51482849578645096</v>
      </c>
    </row>
    <row r="2716" spans="1:37" x14ac:dyDescent="0.2">
      <c r="A2716" t="str">
        <f>"20200111160208885"</f>
        <v>20200111160208885</v>
      </c>
      <c r="B2716" t="str">
        <f>"1578729728874628"</f>
        <v>1578729728874628</v>
      </c>
      <c r="C2716" t="s">
        <v>37</v>
      </c>
      <c r="D2716">
        <v>5.0737909999999999</v>
      </c>
      <c r="E2716">
        <v>0.50759920000000003</v>
      </c>
      <c r="F2716" t="s">
        <v>42</v>
      </c>
      <c r="G2716">
        <v>-317.61360000000002</v>
      </c>
      <c r="H2716">
        <v>1.0202869999999999</v>
      </c>
      <c r="I2716">
        <v>213.79499999999999</v>
      </c>
      <c r="J2716">
        <v>-318.1026</v>
      </c>
      <c r="K2716">
        <v>1.1039669999999999</v>
      </c>
      <c r="L2716">
        <v>213.7944</v>
      </c>
      <c r="M2716">
        <v>0.99950819999999996</v>
      </c>
      <c r="N2716">
        <v>0</v>
      </c>
      <c r="O2716">
        <v>-2.9604539999999999E-2</v>
      </c>
      <c r="P2716">
        <v>0.99993600000000005</v>
      </c>
      <c r="Q2716">
        <v>1.1122730000000001E-2</v>
      </c>
      <c r="R2716">
        <v>2.101819E-3</v>
      </c>
      <c r="S2716">
        <v>3.0038149999999999</v>
      </c>
      <c r="T2716">
        <v>-0.30702579999999902</v>
      </c>
      <c r="U2716">
        <v>-3.3950809999999998E-2</v>
      </c>
      <c r="V2716">
        <v>-3.1700689999999997E-2</v>
      </c>
      <c r="W2716">
        <v>2.1466820000000001E-2</v>
      </c>
      <c r="X2716">
        <v>0.99926689999999996</v>
      </c>
      <c r="Y2716">
        <v>-1.805909E-2</v>
      </c>
      <c r="Z2716">
        <v>3.938184E-3</v>
      </c>
      <c r="AA2716">
        <v>0.99982919999999997</v>
      </c>
      <c r="AB2716">
        <v>33</v>
      </c>
      <c r="AC2716">
        <v>0.48899999999997501</v>
      </c>
      <c r="AD2716">
        <v>-8.3679999999999699E-2</v>
      </c>
      <c r="AE2716">
        <v>5.9999999999149601E-4</v>
      </c>
      <c r="AF2716">
        <v>-1.4648179176882201E-2</v>
      </c>
      <c r="AG2716">
        <v>-8.3679999999999699E-2</v>
      </c>
      <c r="AH2716">
        <v>0.47486218902106397</v>
      </c>
      <c r="AI2716">
        <v>99.989374224570497</v>
      </c>
      <c r="AJ2716">
        <v>91.766855332142299</v>
      </c>
      <c r="AK2716">
        <v>0.48240129572283902</v>
      </c>
    </row>
    <row r="2717" spans="1:37" x14ac:dyDescent="0.2">
      <c r="A2717" t="str">
        <f>"20200111160208906"</f>
        <v>20200111160208906</v>
      </c>
      <c r="B2717" t="str">
        <f>"1578729728894149"</f>
        <v>1578729728894149</v>
      </c>
      <c r="C2717" t="s">
        <v>37</v>
      </c>
      <c r="D2717">
        <v>5.0616810000000001</v>
      </c>
      <c r="E2717">
        <v>0.50777119999999998</v>
      </c>
      <c r="F2717" t="s">
        <v>42</v>
      </c>
      <c r="G2717">
        <v>-317.31810000000002</v>
      </c>
      <c r="H2717">
        <v>1.0242329999999999</v>
      </c>
      <c r="I2717">
        <v>213.78489999999999</v>
      </c>
      <c r="J2717">
        <v>-317.78059999999999</v>
      </c>
      <c r="K2717">
        <v>1.1040459999999901</v>
      </c>
      <c r="L2717">
        <v>213.78479999999999</v>
      </c>
      <c r="M2717">
        <v>0.99950159999999999</v>
      </c>
      <c r="N2717">
        <v>0</v>
      </c>
      <c r="O2717">
        <v>-2.9662170000000002E-2</v>
      </c>
      <c r="P2717">
        <v>0.99992930000000002</v>
      </c>
      <c r="Q2717">
        <v>1.1648769999999999E-2</v>
      </c>
      <c r="R2717">
        <v>2.422881E-3</v>
      </c>
      <c r="S2717">
        <v>3.0036619999999998</v>
      </c>
      <c r="T2717">
        <v>-0.30544359999999998</v>
      </c>
      <c r="U2717">
        <v>-3.533936E-2</v>
      </c>
      <c r="V2717">
        <v>-3.2079749999999997E-2</v>
      </c>
      <c r="W2717">
        <v>2.2460310000000001E-2</v>
      </c>
      <c r="X2717">
        <v>0.99923289999999998</v>
      </c>
      <c r="Y2717">
        <v>-1.7658460000000001E-2</v>
      </c>
      <c r="Z2717">
        <v>3.903718E-3</v>
      </c>
      <c r="AA2717">
        <v>0.99983639999999996</v>
      </c>
      <c r="AB2717">
        <v>33</v>
      </c>
      <c r="AC2717">
        <v>0.46249999999997699</v>
      </c>
      <c r="AD2717">
        <v>-7.9812999999999898E-2</v>
      </c>
      <c r="AE2717">
        <v>1.0000000000331901E-4</v>
      </c>
      <c r="AF2717">
        <v>-1.3419867419477699E-2</v>
      </c>
      <c r="AG2717">
        <v>-7.9812999999999898E-2</v>
      </c>
      <c r="AH2717">
        <v>0.448924556032752</v>
      </c>
      <c r="AI2717">
        <v>100.076707345834</v>
      </c>
      <c r="AJ2717">
        <v>91.712253971151796</v>
      </c>
      <c r="AK2717">
        <v>0.45616166522381002</v>
      </c>
    </row>
    <row r="2718" spans="1:37" x14ac:dyDescent="0.2">
      <c r="A2718" t="str">
        <f>"20200111160208929"</f>
        <v>20200111160208929</v>
      </c>
      <c r="B2718" t="str">
        <f>"1578729728924405"</f>
        <v>1578729728924405</v>
      </c>
      <c r="C2718" t="s">
        <v>37</v>
      </c>
      <c r="D2718">
        <v>5.2343589999999898</v>
      </c>
      <c r="E2718">
        <v>0.5077777</v>
      </c>
      <c r="F2718" t="s">
        <v>42</v>
      </c>
      <c r="G2718">
        <v>-317.02229999999997</v>
      </c>
      <c r="H2718">
        <v>1.02782</v>
      </c>
      <c r="I2718">
        <v>213.7758</v>
      </c>
      <c r="J2718">
        <v>-317.44310000000002</v>
      </c>
      <c r="K2718">
        <v>1.1041000000000001</v>
      </c>
      <c r="L2718">
        <v>213.7748</v>
      </c>
      <c r="M2718">
        <v>0.99949500000000002</v>
      </c>
      <c r="N2718">
        <v>0</v>
      </c>
      <c r="O2718">
        <v>-2.971379E-2</v>
      </c>
      <c r="P2718">
        <v>0.99992389999999998</v>
      </c>
      <c r="Q2718">
        <v>1.2005099999999999E-2</v>
      </c>
      <c r="R2718">
        <v>2.844479E-3</v>
      </c>
      <c r="S2718">
        <v>3.0038149999999999</v>
      </c>
      <c r="T2718">
        <v>-0.30203829999999998</v>
      </c>
      <c r="U2718">
        <v>-3.5476679999999997E-2</v>
      </c>
      <c r="V2718">
        <v>-3.2552749999999998E-2</v>
      </c>
      <c r="W2718">
        <v>2.3269769999999999E-2</v>
      </c>
      <c r="X2718">
        <v>0.99919910000000001</v>
      </c>
      <c r="Y2718">
        <v>-1.767024E-2</v>
      </c>
      <c r="Z2718">
        <v>3.8659999999999901E-3</v>
      </c>
      <c r="AA2718">
        <v>0.99983639999999996</v>
      </c>
      <c r="AB2718">
        <v>33</v>
      </c>
      <c r="AC2718">
        <v>0.42080000000004197</v>
      </c>
      <c r="AD2718">
        <v>-7.6279999999999903E-2</v>
      </c>
      <c r="AE2718">
        <v>1.0000000000047701E-3</v>
      </c>
      <c r="AF2718">
        <v>-1.3074293081570199E-2</v>
      </c>
      <c r="AG2718">
        <v>-7.6279999999999903E-2</v>
      </c>
      <c r="AH2718">
        <v>0.40720374383025298</v>
      </c>
      <c r="AI2718">
        <v>100.60470398907199</v>
      </c>
      <c r="AJ2718">
        <v>91.838992322489801</v>
      </c>
      <c r="AK2718">
        <v>0.41449302108594899</v>
      </c>
    </row>
    <row r="2719" spans="1:37" x14ac:dyDescent="0.2">
      <c r="A2719" t="str">
        <f>"20200111160208953"</f>
        <v>20200111160208953</v>
      </c>
      <c r="B2719" t="str">
        <f>"1578729728944433"</f>
        <v>1578729728944433</v>
      </c>
      <c r="C2719" t="s">
        <v>37</v>
      </c>
      <c r="D2719">
        <v>5.132568</v>
      </c>
      <c r="E2719">
        <v>0.50778509999999999</v>
      </c>
      <c r="F2719" t="s">
        <v>42</v>
      </c>
      <c r="G2719">
        <v>-316.44799999999998</v>
      </c>
      <c r="H2719">
        <v>1.005539</v>
      </c>
      <c r="I2719">
        <v>213.76349999999999</v>
      </c>
      <c r="J2719">
        <v>-317.10550000000001</v>
      </c>
      <c r="K2719">
        <v>1.104139</v>
      </c>
      <c r="L2719">
        <v>213.7647</v>
      </c>
      <c r="M2719">
        <v>0.99948890000000001</v>
      </c>
      <c r="N2719">
        <v>0</v>
      </c>
      <c r="O2719">
        <v>-2.9758960000000001E-2</v>
      </c>
      <c r="P2719">
        <v>0.99992000000000003</v>
      </c>
      <c r="Q2719">
        <v>1.226376E-2</v>
      </c>
      <c r="R2719">
        <v>3.16320599999999E-3</v>
      </c>
      <c r="S2719">
        <v>3.0039370000000001</v>
      </c>
      <c r="T2719">
        <v>-0.29759099999999999</v>
      </c>
      <c r="U2719">
        <v>-3.3752440000000002E-2</v>
      </c>
      <c r="V2719">
        <v>-3.2916729999999998E-2</v>
      </c>
      <c r="W2719">
        <v>2.3935250000000002E-2</v>
      </c>
      <c r="X2719">
        <v>0.99917140000000004</v>
      </c>
      <c r="Y2719">
        <v>-1.829358E-2</v>
      </c>
      <c r="Z2719">
        <v>3.8444959999999898E-3</v>
      </c>
      <c r="AA2719">
        <v>0.99982519999999997</v>
      </c>
      <c r="AB2719">
        <v>33</v>
      </c>
      <c r="AC2719">
        <v>0.65750000000002695</v>
      </c>
      <c r="AD2719">
        <v>-9.8599999999999993E-2</v>
      </c>
      <c r="AE2719">
        <v>-1.20000000001141E-3</v>
      </c>
      <c r="AF2719">
        <v>-1.79643892422672E-2</v>
      </c>
      <c r="AG2719">
        <v>-9.8599999999999993E-2</v>
      </c>
      <c r="AH2719">
        <v>0.64278909419264896</v>
      </c>
      <c r="AI2719">
        <v>98.717502383922096</v>
      </c>
      <c r="AJ2719">
        <v>91.600860749375698</v>
      </c>
      <c r="AK2719">
        <v>0.650555530983985</v>
      </c>
    </row>
    <row r="2720" spans="1:37" x14ac:dyDescent="0.2">
      <c r="A2720" t="str">
        <f>"20200111160208974"</f>
        <v>20200111160208974</v>
      </c>
      <c r="B2720" t="str">
        <f>"1578729728964928"</f>
        <v>1578729728964928</v>
      </c>
      <c r="C2720" t="s">
        <v>37</v>
      </c>
      <c r="D2720">
        <v>5.2358640000000003</v>
      </c>
      <c r="E2720">
        <v>0.50777470000000002</v>
      </c>
      <c r="F2720" t="s">
        <v>42</v>
      </c>
      <c r="G2720">
        <v>-316.1533</v>
      </c>
      <c r="H2720">
        <v>1.0107569999999999</v>
      </c>
      <c r="I2720">
        <v>213.75399999999999</v>
      </c>
      <c r="J2720">
        <v>-316.78399999999999</v>
      </c>
      <c r="K2720">
        <v>1.104171</v>
      </c>
      <c r="L2720">
        <v>213.7551</v>
      </c>
      <c r="M2720">
        <v>0.99948379999999903</v>
      </c>
      <c r="N2720">
        <v>0</v>
      </c>
      <c r="O2720">
        <v>-2.9800670000000001E-2</v>
      </c>
      <c r="P2720">
        <v>0.99992630000000005</v>
      </c>
      <c r="Q2720">
        <v>1.1693469999999999E-2</v>
      </c>
      <c r="R2720">
        <v>3.3535709999999901E-3</v>
      </c>
      <c r="S2720">
        <v>3.0039669999999998</v>
      </c>
      <c r="T2720">
        <v>-0.29463729999999999</v>
      </c>
      <c r="U2720">
        <v>-3.3233640000000002E-2</v>
      </c>
      <c r="V2720">
        <v>-3.314893E-2</v>
      </c>
      <c r="W2720">
        <v>2.3713580000000001E-2</v>
      </c>
      <c r="X2720">
        <v>0.99916909999999903</v>
      </c>
      <c r="Y2720">
        <v>-1.8511570000000001E-2</v>
      </c>
      <c r="Z2720">
        <v>3.8212440000000001E-3</v>
      </c>
      <c r="AA2720">
        <v>0.99982139999999997</v>
      </c>
      <c r="AB2720">
        <v>33</v>
      </c>
      <c r="AC2720">
        <v>0.63069999999999005</v>
      </c>
      <c r="AD2720">
        <v>-9.3414000000000094E-2</v>
      </c>
      <c r="AE2720">
        <v>-1.09999999997967E-3</v>
      </c>
      <c r="AF2720">
        <v>-1.7317237116770599E-2</v>
      </c>
      <c r="AG2720">
        <v>-9.3414000000000094E-2</v>
      </c>
      <c r="AH2720">
        <v>0.61691927511390299</v>
      </c>
      <c r="AI2720">
        <v>98.6069867634546</v>
      </c>
      <c r="AJ2720">
        <v>91.607899378590304</v>
      </c>
      <c r="AK2720">
        <v>0.62419184078648604</v>
      </c>
    </row>
    <row r="2721" spans="1:37" x14ac:dyDescent="0.2">
      <c r="A2721" t="str">
        <f>"20200111160208997"</f>
        <v>20200111160208997</v>
      </c>
      <c r="B2721" t="str">
        <f>"1578729728994209"</f>
        <v>1578729728994209</v>
      </c>
      <c r="C2721" t="s">
        <v>37</v>
      </c>
      <c r="D2721">
        <v>5.079396</v>
      </c>
      <c r="E2721">
        <v>0.48925809999999997</v>
      </c>
      <c r="F2721" t="s">
        <v>42</v>
      </c>
      <c r="G2721">
        <v>-315.86</v>
      </c>
      <c r="H2721">
        <v>1.013703</v>
      </c>
      <c r="I2721">
        <v>213.745</v>
      </c>
      <c r="J2721">
        <v>-316.46109999999999</v>
      </c>
      <c r="K2721">
        <v>1.1041879999999999</v>
      </c>
      <c r="L2721">
        <v>213.74539999999999</v>
      </c>
      <c r="M2721">
        <v>0.99947859999999999</v>
      </c>
      <c r="N2721">
        <v>0</v>
      </c>
      <c r="O2721">
        <v>-2.984328E-2</v>
      </c>
      <c r="P2721">
        <v>0.99993359999999998</v>
      </c>
      <c r="Q2721">
        <v>1.1226130000000001E-2</v>
      </c>
      <c r="R2721">
        <v>2.6426349999999999E-3</v>
      </c>
      <c r="S2721">
        <v>3.0037539999999998</v>
      </c>
      <c r="T2721">
        <v>-0.29405779999999998</v>
      </c>
      <c r="U2721">
        <v>-3.2882689999999999E-2</v>
      </c>
      <c r="V2721">
        <v>-3.2481070000000001E-2</v>
      </c>
      <c r="W2721">
        <v>2.355817E-2</v>
      </c>
      <c r="X2721">
        <v>0.99919469999999999</v>
      </c>
      <c r="Y2721">
        <v>-1.8670240000000001E-2</v>
      </c>
      <c r="Z2721">
        <v>3.8259570000000001E-3</v>
      </c>
      <c r="AA2721">
        <v>0.9998184</v>
      </c>
      <c r="AB2721">
        <v>33</v>
      </c>
      <c r="AC2721">
        <v>0.60109999999997399</v>
      </c>
      <c r="AD2721">
        <v>-9.0484999999999899E-2</v>
      </c>
      <c r="AE2721">
        <v>-3.9999999998485599E-4</v>
      </c>
      <c r="AF2721">
        <v>-1.7151679736993001E-2</v>
      </c>
      <c r="AG2721">
        <v>-9.0484999999999899E-2</v>
      </c>
      <c r="AH2721">
        <v>0.58753072680076301</v>
      </c>
      <c r="AI2721">
        <v>98.751604229065507</v>
      </c>
      <c r="AJ2721">
        <v>91.672150568195207</v>
      </c>
      <c r="AK2721">
        <v>0.59470502795741798</v>
      </c>
    </row>
    <row r="2722" spans="1:37" x14ac:dyDescent="0.2">
      <c r="A2722" t="str">
        <f>"20200111160209020"</f>
        <v>20200111160209020</v>
      </c>
      <c r="B2722" t="str">
        <f>"1578729729014705"</f>
        <v>1578729729014705</v>
      </c>
      <c r="C2722" t="s">
        <v>37</v>
      </c>
      <c r="D2722">
        <v>5.1776710000000001</v>
      </c>
      <c r="E2722">
        <v>0.48105169999999903</v>
      </c>
      <c r="F2722" t="s">
        <v>60</v>
      </c>
      <c r="G2722">
        <v>-302.12860000000001</v>
      </c>
      <c r="H2722" s="1">
        <v>2.2756829999999998E-6</v>
      </c>
      <c r="I2722">
        <v>214.26570000000001</v>
      </c>
      <c r="J2722">
        <v>-316.11989999999997</v>
      </c>
      <c r="K2722">
        <v>1.104193</v>
      </c>
      <c r="L2722">
        <v>213.73509999999999</v>
      </c>
      <c r="M2722">
        <v>0.99947350000000001</v>
      </c>
      <c r="N2722">
        <v>0</v>
      </c>
      <c r="O2722">
        <v>-2.988998E-2</v>
      </c>
      <c r="P2722">
        <v>0.99994150000000004</v>
      </c>
      <c r="Q2722">
        <v>1.066985E-2</v>
      </c>
      <c r="R2722">
        <v>1.904967E-3</v>
      </c>
      <c r="S2722">
        <v>3.0025019999999998</v>
      </c>
      <c r="T2722">
        <v>-0.231315299999999</v>
      </c>
      <c r="U2722">
        <v>0.1090088</v>
      </c>
      <c r="V2722">
        <v>-3.179183E-2</v>
      </c>
      <c r="W2722">
        <v>2.3292650000000002E-2</v>
      </c>
      <c r="X2722">
        <v>0.99922310000000003</v>
      </c>
      <c r="Y2722">
        <v>-6.5855120000000003E-2</v>
      </c>
      <c r="Z2722">
        <v>4.8310079999999899E-3</v>
      </c>
      <c r="AA2722">
        <v>0.99781749999999902</v>
      </c>
      <c r="AB2722">
        <v>33</v>
      </c>
      <c r="AC2722">
        <v>13.991299999999899</v>
      </c>
      <c r="AD2722">
        <v>-1.1041907243169999</v>
      </c>
      <c r="AE2722">
        <v>0.53060000000002105</v>
      </c>
      <c r="AF2722">
        <v>-0.942732657065116</v>
      </c>
      <c r="AG2722">
        <v>-1.1041907243169999</v>
      </c>
      <c r="AH2722">
        <v>13.8828438883044</v>
      </c>
      <c r="AI2722">
        <v>94.537118887491005</v>
      </c>
      <c r="AJ2722">
        <v>93.884780856677295</v>
      </c>
      <c r="AK2722">
        <v>13.9585578211144</v>
      </c>
    </row>
    <row r="2723" spans="1:37" x14ac:dyDescent="0.2">
      <c r="A2723" t="str">
        <f>"20200111160209041"</f>
        <v>20200111160209041</v>
      </c>
      <c r="B2723" t="str">
        <f>"1578729729034732"</f>
        <v>1578729729034732</v>
      </c>
      <c r="C2723" t="s">
        <v>37</v>
      </c>
      <c r="D2723">
        <v>5.1082769999999904</v>
      </c>
      <c r="E2723">
        <v>0.47955799999999998</v>
      </c>
      <c r="F2723" t="s">
        <v>60</v>
      </c>
      <c r="G2723">
        <v>-298.62860000000001</v>
      </c>
      <c r="H2723" s="1">
        <v>2.42498099999999E-6</v>
      </c>
      <c r="I2723">
        <v>214.7251</v>
      </c>
      <c r="J2723">
        <v>-315.81740000000002</v>
      </c>
      <c r="K2723">
        <v>1.1042049999999899</v>
      </c>
      <c r="L2723">
        <v>213.726</v>
      </c>
      <c r="M2723">
        <v>0.9994693</v>
      </c>
      <c r="N2723">
        <v>0</v>
      </c>
      <c r="O2723">
        <v>-2.993262E-2</v>
      </c>
      <c r="P2723">
        <v>0.99994139999999998</v>
      </c>
      <c r="Q2723">
        <v>1.061716E-2</v>
      </c>
      <c r="R2723">
        <v>2.174853E-3</v>
      </c>
      <c r="S2723">
        <v>3.001862</v>
      </c>
      <c r="T2723">
        <v>-0.18950159999999999</v>
      </c>
      <c r="U2723">
        <v>0.1698914</v>
      </c>
      <c r="V2723">
        <v>-3.2103779999999998E-2</v>
      </c>
      <c r="W2723">
        <v>2.3466170000000001E-2</v>
      </c>
      <c r="X2723">
        <v>0.99920900000000001</v>
      </c>
      <c r="Y2723">
        <v>-8.6136459999999998E-2</v>
      </c>
      <c r="Z2723">
        <v>4.6004920000000003E-3</v>
      </c>
      <c r="AA2723">
        <v>0.99627269999999901</v>
      </c>
      <c r="AB2723">
        <v>33</v>
      </c>
      <c r="AC2723">
        <v>17.188800000000001</v>
      </c>
      <c r="AD2723">
        <v>-1.1042025750190001</v>
      </c>
      <c r="AE2723">
        <v>0.99909999999999799</v>
      </c>
      <c r="AF2723">
        <v>-1.50700250197057</v>
      </c>
      <c r="AG2723">
        <v>-1.1042025750190001</v>
      </c>
      <c r="AH2723">
        <v>17.0809374706878</v>
      </c>
      <c r="AI2723">
        <v>93.684484408905703</v>
      </c>
      <c r="AJ2723">
        <v>95.041988281761704</v>
      </c>
      <c r="AK2723">
        <v>17.182803750993902</v>
      </c>
    </row>
    <row r="2724" spans="1:37" x14ac:dyDescent="0.2">
      <c r="A2724" t="str">
        <f>"20200111160209064"</f>
        <v>20200111160209064</v>
      </c>
      <c r="B2724" t="str">
        <f>"1578729729054252"</f>
        <v>1578729729054252</v>
      </c>
      <c r="C2724" t="s">
        <v>37</v>
      </c>
      <c r="D2724">
        <v>5.1077269999999997</v>
      </c>
      <c r="E2724">
        <v>0.47892829999999897</v>
      </c>
      <c r="F2724" t="s">
        <v>60</v>
      </c>
      <c r="G2724">
        <v>-298.32220000000001</v>
      </c>
      <c r="H2724" s="1">
        <v>2.3706249999999999E-6</v>
      </c>
      <c r="I2724">
        <v>214.7911</v>
      </c>
      <c r="J2724">
        <v>-315.49470000000002</v>
      </c>
      <c r="K2724">
        <v>1.1042149999999999</v>
      </c>
      <c r="L2724">
        <v>213.71629999999999</v>
      </c>
      <c r="M2724">
        <v>0.9994651</v>
      </c>
      <c r="N2724">
        <v>0</v>
      </c>
      <c r="O2724">
        <v>-2.9979019999999999E-2</v>
      </c>
      <c r="P2724">
        <v>0.99993009999999904</v>
      </c>
      <c r="Q2724">
        <v>1.155903E-2</v>
      </c>
      <c r="R2724">
        <v>2.4623050000000001E-3</v>
      </c>
      <c r="S2724">
        <v>3.00177</v>
      </c>
      <c r="T2724">
        <v>-0.1894554</v>
      </c>
      <c r="U2724">
        <v>0.18273929999999999</v>
      </c>
      <c r="V2724">
        <v>-3.2437359999999998E-2</v>
      </c>
      <c r="W2724">
        <v>2.4620260000000001E-2</v>
      </c>
      <c r="X2724">
        <v>0.99917049999999996</v>
      </c>
      <c r="Y2724">
        <v>-9.0424749999999998E-2</v>
      </c>
      <c r="Z2724">
        <v>4.7369619999999999E-3</v>
      </c>
      <c r="AA2724">
        <v>0.995892</v>
      </c>
      <c r="AB2724">
        <v>33</v>
      </c>
      <c r="AC2724">
        <v>17.172499999999999</v>
      </c>
      <c r="AD2724">
        <v>-1.1042126293750001</v>
      </c>
      <c r="AE2724">
        <v>1.07480000000001</v>
      </c>
      <c r="AF2724">
        <v>-1.5826573152539001</v>
      </c>
      <c r="AG2724">
        <v>-1.1042126293750001</v>
      </c>
      <c r="AH2724">
        <v>17.062284685150601</v>
      </c>
      <c r="AI2724">
        <v>93.6870392568851</v>
      </c>
      <c r="AJ2724">
        <v>95.299457380463195</v>
      </c>
      <c r="AK2724">
        <v>17.171070100186601</v>
      </c>
    </row>
    <row r="2725" spans="1:37" x14ac:dyDescent="0.2">
      <c r="A2725" t="str">
        <f>"20200111160209085"</f>
        <v>20200111160209085</v>
      </c>
      <c r="B2725" t="str">
        <f>"1578729729074748"</f>
        <v>1578729729074748</v>
      </c>
      <c r="C2725" t="s">
        <v>37</v>
      </c>
      <c r="D2725">
        <v>5.0478489999999896</v>
      </c>
      <c r="E2725">
        <v>0.4782247</v>
      </c>
      <c r="F2725" t="s">
        <v>60</v>
      </c>
      <c r="G2725">
        <v>-297.7559</v>
      </c>
      <c r="H2725" s="1">
        <v>2.270174E-6</v>
      </c>
      <c r="I2725">
        <v>214.8313</v>
      </c>
      <c r="J2725">
        <v>-315.17250000000001</v>
      </c>
      <c r="K2725">
        <v>1.104222</v>
      </c>
      <c r="L2725">
        <v>213.70660000000001</v>
      </c>
      <c r="M2725">
        <v>0.99946139999999895</v>
      </c>
      <c r="N2725">
        <v>0</v>
      </c>
      <c r="O2725">
        <v>-3.00255E-2</v>
      </c>
      <c r="P2725">
        <v>0.99992209999999904</v>
      </c>
      <c r="Q2725">
        <v>1.2085240000000001E-2</v>
      </c>
      <c r="R2725">
        <v>3.15686E-3</v>
      </c>
      <c r="S2725">
        <v>3.0018919999999998</v>
      </c>
      <c r="T2725">
        <v>-0.1868631</v>
      </c>
      <c r="U2725">
        <v>0.1886902</v>
      </c>
      <c r="V2725">
        <v>-3.317763E-2</v>
      </c>
      <c r="W2725">
        <v>2.5330999999999999E-2</v>
      </c>
      <c r="X2725">
        <v>0.99912839999999903</v>
      </c>
      <c r="Y2725">
        <v>-9.2437770000000002E-2</v>
      </c>
      <c r="Z2725">
        <v>4.7372359999999997E-3</v>
      </c>
      <c r="AA2725">
        <v>0.99570720000000001</v>
      </c>
      <c r="AB2725">
        <v>33</v>
      </c>
      <c r="AC2725">
        <v>17.416599999999999</v>
      </c>
      <c r="AD2725">
        <v>-1.1042197298259999</v>
      </c>
      <c r="AE2725">
        <v>1.12469999999999</v>
      </c>
      <c r="AF2725">
        <v>-1.64061356125158</v>
      </c>
      <c r="AG2725">
        <v>-1.1042197298259999</v>
      </c>
      <c r="AH2725">
        <v>17.305700069816901</v>
      </c>
      <c r="AI2725">
        <v>93.634653195929104</v>
      </c>
      <c r="AJ2725">
        <v>95.415564544857403</v>
      </c>
      <c r="AK2725">
        <v>17.418328535642001</v>
      </c>
    </row>
    <row r="2726" spans="1:37" x14ac:dyDescent="0.2">
      <c r="A2726" t="str">
        <f>"20200111160209106"</f>
        <v>20200111160209106</v>
      </c>
      <c r="B2726" t="str">
        <f>"1578729729105005"</f>
        <v>1578729729105005</v>
      </c>
      <c r="C2726" t="s">
        <v>37</v>
      </c>
      <c r="D2726">
        <v>5.0910519999999897</v>
      </c>
      <c r="E2726">
        <v>0.4779217</v>
      </c>
      <c r="F2726" t="s">
        <v>60</v>
      </c>
      <c r="G2726">
        <v>-297.08350000000002</v>
      </c>
      <c r="H2726" s="1">
        <v>2.15090399999999E-6</v>
      </c>
      <c r="I2726">
        <v>214.88990000000001</v>
      </c>
      <c r="J2726">
        <v>-314.86290000000002</v>
      </c>
      <c r="K2726">
        <v>1.1042299999999901</v>
      </c>
      <c r="L2726">
        <v>213.69730000000001</v>
      </c>
      <c r="M2726">
        <v>0.99945799999999996</v>
      </c>
      <c r="N2726">
        <v>0</v>
      </c>
      <c r="O2726">
        <v>-3.0069909999999998E-2</v>
      </c>
      <c r="P2726">
        <v>0.99990669999999904</v>
      </c>
      <c r="Q2726">
        <v>1.311446E-2</v>
      </c>
      <c r="R2726">
        <v>3.8360029999999902E-3</v>
      </c>
      <c r="S2726">
        <v>3.0018310000000001</v>
      </c>
      <c r="T2726">
        <v>-0.183242299999999</v>
      </c>
      <c r="U2726">
        <v>0.1963654</v>
      </c>
      <c r="V2726">
        <v>-3.3900260000000002E-2</v>
      </c>
      <c r="W2726">
        <v>2.6514579999999999E-2</v>
      </c>
      <c r="X2726">
        <v>0.9990734</v>
      </c>
      <c r="Y2726">
        <v>-9.5022670000000004E-2</v>
      </c>
      <c r="Z2726">
        <v>4.7267979999999999E-3</v>
      </c>
      <c r="AA2726">
        <v>0.99546389999999996</v>
      </c>
      <c r="AB2726">
        <v>32</v>
      </c>
      <c r="AC2726">
        <v>17.779399999999999</v>
      </c>
      <c r="AD2726">
        <v>-1.10422784909599</v>
      </c>
      <c r="AE2726">
        <v>1.1925999999999899</v>
      </c>
      <c r="AF2726">
        <v>-1.72012822868433</v>
      </c>
      <c r="AG2726">
        <v>-1.10422784909599</v>
      </c>
      <c r="AH2726">
        <v>17.667649950297399</v>
      </c>
      <c r="AI2726">
        <v>93.559546334199595</v>
      </c>
      <c r="AJ2726">
        <v>95.560809824407301</v>
      </c>
      <c r="AK2726">
        <v>17.785500134437601</v>
      </c>
    </row>
    <row r="2727" spans="1:37" x14ac:dyDescent="0.2">
      <c r="A2727" t="str">
        <f>"20200111160209131"</f>
        <v>20200111160209131</v>
      </c>
      <c r="B2727" t="str">
        <f>"1578729729124525"</f>
        <v>1578729729124525</v>
      </c>
      <c r="C2727" t="s">
        <v>37</v>
      </c>
      <c r="D2727">
        <v>5.0914659999999996</v>
      </c>
      <c r="E2727">
        <v>0.4778579</v>
      </c>
      <c r="F2727" t="s">
        <v>60</v>
      </c>
      <c r="G2727">
        <v>-295.27910000000003</v>
      </c>
      <c r="H2727" s="1">
        <v>1.8308279999999901E-6</v>
      </c>
      <c r="I2727">
        <v>215.00290000000001</v>
      </c>
      <c r="J2727">
        <v>-314.51670000000001</v>
      </c>
      <c r="K2727">
        <v>1.104244</v>
      </c>
      <c r="L2727">
        <v>213.68680000000001</v>
      </c>
      <c r="M2727">
        <v>0.99945439999999997</v>
      </c>
      <c r="N2727">
        <v>0</v>
      </c>
      <c r="O2727">
        <v>-3.0119529999999999E-2</v>
      </c>
      <c r="P2727">
        <v>0.99988690000000002</v>
      </c>
      <c r="Q2727">
        <v>1.425455E-2</v>
      </c>
      <c r="R2727">
        <v>4.7999289999999997E-3</v>
      </c>
      <c r="S2727">
        <v>3.0017399999999999</v>
      </c>
      <c r="T2727">
        <v>-0.16925229999999999</v>
      </c>
      <c r="U2727">
        <v>0.20011899999999999</v>
      </c>
      <c r="V2727">
        <v>-3.4912789999999999E-2</v>
      </c>
      <c r="W2727">
        <v>2.7803479999999998E-2</v>
      </c>
      <c r="X2727">
        <v>0.99900349999999905</v>
      </c>
      <c r="Y2727">
        <v>-9.6345340000000002E-2</v>
      </c>
      <c r="Z2727">
        <v>4.4064919999999997E-3</v>
      </c>
      <c r="AA2727">
        <v>0.99533819999999995</v>
      </c>
      <c r="AB2727">
        <v>32</v>
      </c>
      <c r="AC2727">
        <v>19.237599999999901</v>
      </c>
      <c r="AD2727">
        <v>-1.1042421691719999</v>
      </c>
      <c r="AE2727">
        <v>1.3161</v>
      </c>
      <c r="AF2727">
        <v>-1.8887893226678201</v>
      </c>
      <c r="AG2727">
        <v>-1.1042421691719999</v>
      </c>
      <c r="AH2727">
        <v>19.1265023052004</v>
      </c>
      <c r="AI2727">
        <v>93.288265288828498</v>
      </c>
      <c r="AJ2727">
        <v>95.639813865631197</v>
      </c>
      <c r="AK2727">
        <v>19.2512328515459</v>
      </c>
    </row>
    <row r="2728" spans="1:37" x14ac:dyDescent="0.2">
      <c r="A2728" t="str">
        <f>"20200111160209153"</f>
        <v>20200111160209153</v>
      </c>
      <c r="B2728" t="str">
        <f>"1578729729144552"</f>
        <v>1578729729144552</v>
      </c>
      <c r="C2728" t="s">
        <v>37</v>
      </c>
      <c r="D2728">
        <v>5.1613730000000002</v>
      </c>
      <c r="E2728">
        <v>0.47809929999999901</v>
      </c>
      <c r="F2728" t="s">
        <v>60</v>
      </c>
      <c r="G2728">
        <v>-294.62380000000002</v>
      </c>
      <c r="H2728" s="1">
        <v>1.71459E-6</v>
      </c>
      <c r="I2728">
        <v>215.03559999999999</v>
      </c>
      <c r="J2728">
        <v>-314.19330000000002</v>
      </c>
      <c r="K2728">
        <v>1.1042510000000001</v>
      </c>
      <c r="L2728">
        <v>213.67699999999999</v>
      </c>
      <c r="M2728">
        <v>0.99945149999999905</v>
      </c>
      <c r="N2728">
        <v>0</v>
      </c>
      <c r="O2728">
        <v>-3.0165979999999998E-2</v>
      </c>
      <c r="P2728">
        <v>0.99986659999999905</v>
      </c>
      <c r="Q2728">
        <v>1.529703E-2</v>
      </c>
      <c r="R2728">
        <v>5.7527259999999997E-3</v>
      </c>
      <c r="S2728">
        <v>3.0017399999999999</v>
      </c>
      <c r="T2728">
        <v>-0.16662449999999901</v>
      </c>
      <c r="U2728">
        <v>0.203537</v>
      </c>
      <c r="V2728">
        <v>-3.5910520000000001E-2</v>
      </c>
      <c r="W2728">
        <v>2.8964589999999998E-2</v>
      </c>
      <c r="X2728">
        <v>0.99893519999999902</v>
      </c>
      <c r="Y2728">
        <v>-9.7524130000000001E-2</v>
      </c>
      <c r="Z2728">
        <v>4.3732570000000002E-3</v>
      </c>
      <c r="AA2728">
        <v>0.99522350000000004</v>
      </c>
      <c r="AB2728">
        <v>32</v>
      </c>
      <c r="AC2728">
        <v>19.569500000000001</v>
      </c>
      <c r="AD2728">
        <v>-1.1042492854099999</v>
      </c>
      <c r="AE2728">
        <v>1.3585999999999601</v>
      </c>
      <c r="AF2728">
        <v>-1.94221547850288</v>
      </c>
      <c r="AG2728">
        <v>-1.1042492854099999</v>
      </c>
      <c r="AH2728">
        <v>19.4579478121995</v>
      </c>
      <c r="AI2728">
        <v>93.232056495980302</v>
      </c>
      <c r="AJ2728">
        <v>95.700157702446006</v>
      </c>
      <c r="AK2728">
        <v>19.585793333729001</v>
      </c>
    </row>
    <row r="2729" spans="1:37" x14ac:dyDescent="0.2">
      <c r="A2729" t="str">
        <f>"20200111160209175"</f>
        <v>20200111160209175</v>
      </c>
      <c r="B2729" t="str">
        <f>"1578729729164072"</f>
        <v>1578729729164072</v>
      </c>
      <c r="C2729" t="s">
        <v>37</v>
      </c>
      <c r="D2729">
        <v>5.2032669999999897</v>
      </c>
      <c r="E2729">
        <v>0.47859069999999998</v>
      </c>
      <c r="F2729" t="s">
        <v>60</v>
      </c>
      <c r="G2729">
        <v>-294.0779</v>
      </c>
      <c r="H2729" s="1">
        <v>1.617755E-6</v>
      </c>
      <c r="I2729">
        <v>215.04859999999999</v>
      </c>
      <c r="J2729">
        <v>-313.87090000000001</v>
      </c>
      <c r="K2729">
        <v>1.1042590000000001</v>
      </c>
      <c r="L2729">
        <v>213.66720000000001</v>
      </c>
      <c r="M2729">
        <v>0.99944869999999997</v>
      </c>
      <c r="N2729">
        <v>0</v>
      </c>
      <c r="O2729">
        <v>-3.0211729999999999E-2</v>
      </c>
      <c r="P2729">
        <v>0.99986079999999999</v>
      </c>
      <c r="Q2729">
        <v>1.558179E-2</v>
      </c>
      <c r="R2729">
        <v>5.9814759999999899E-3</v>
      </c>
      <c r="S2729">
        <v>3.0017399999999999</v>
      </c>
      <c r="T2729">
        <v>-0.16478199999999901</v>
      </c>
      <c r="U2729">
        <v>0.20468139999999899</v>
      </c>
      <c r="V2729">
        <v>-3.618495E-2</v>
      </c>
      <c r="W2729">
        <v>2.9352570000000001E-2</v>
      </c>
      <c r="X2729">
        <v>0.99891390000000002</v>
      </c>
      <c r="Y2729">
        <v>-9.7951010000000005E-2</v>
      </c>
      <c r="Z2729">
        <v>4.3391209999999996E-3</v>
      </c>
      <c r="AA2729">
        <v>0.99518180000000001</v>
      </c>
      <c r="AB2729">
        <v>32</v>
      </c>
      <c r="AC2729">
        <v>19.792999999999999</v>
      </c>
      <c r="AD2729">
        <v>-1.1042573822449999</v>
      </c>
      <c r="AE2729">
        <v>1.38139999999998</v>
      </c>
      <c r="AF2729">
        <v>-1.9726963864696501</v>
      </c>
      <c r="AG2729">
        <v>-1.1042573822449999</v>
      </c>
      <c r="AH2729">
        <v>19.681262652500699</v>
      </c>
      <c r="AI2729">
        <v>93.195352131678206</v>
      </c>
      <c r="AJ2729">
        <v>95.723765571424593</v>
      </c>
      <c r="AK2729">
        <v>19.810679316877401</v>
      </c>
    </row>
    <row r="2730" spans="1:37" x14ac:dyDescent="0.2">
      <c r="A2730" t="str">
        <f>"20200111160209198"</f>
        <v>20200111160209198</v>
      </c>
      <c r="B2730" t="str">
        <f>"1578729729194328"</f>
        <v>1578729729194328</v>
      </c>
      <c r="C2730" t="s">
        <v>37</v>
      </c>
      <c r="D2730">
        <v>5.2471860000000001</v>
      </c>
      <c r="E2730">
        <v>0.51583679999999998</v>
      </c>
      <c r="F2730" t="s">
        <v>60</v>
      </c>
      <c r="G2730">
        <v>-293.90910000000002</v>
      </c>
      <c r="H2730" s="1">
        <v>1.5878159999999899E-6</v>
      </c>
      <c r="I2730">
        <v>215.00810000000001</v>
      </c>
      <c r="J2730">
        <v>-313.55290000000002</v>
      </c>
      <c r="K2730">
        <v>1.1042639999999999</v>
      </c>
      <c r="L2730">
        <v>213.6575</v>
      </c>
      <c r="M2730">
        <v>0.99944619999999995</v>
      </c>
      <c r="N2730">
        <v>0</v>
      </c>
      <c r="O2730">
        <v>-3.0253289999999999E-2</v>
      </c>
      <c r="P2730">
        <v>0.99986339999999996</v>
      </c>
      <c r="Q2730">
        <v>1.53721E-2</v>
      </c>
      <c r="R2730">
        <v>6.0893299999999996E-3</v>
      </c>
      <c r="S2730">
        <v>3.0018009999999999</v>
      </c>
      <c r="T2730">
        <v>-0.1660547</v>
      </c>
      <c r="U2730">
        <v>0.20164489999999999</v>
      </c>
      <c r="V2730">
        <v>-3.6334650000000003E-2</v>
      </c>
      <c r="W2730">
        <v>2.923007E-2</v>
      </c>
      <c r="X2730">
        <v>0.99891209999999997</v>
      </c>
      <c r="Y2730">
        <v>-9.6987329999999997E-2</v>
      </c>
      <c r="Z2730">
        <v>4.3483289999999997E-3</v>
      </c>
      <c r="AA2730">
        <v>0.9952761</v>
      </c>
      <c r="AB2730">
        <v>32</v>
      </c>
      <c r="AC2730">
        <v>19.643799999999999</v>
      </c>
      <c r="AD2730">
        <v>-1.1042624121839999</v>
      </c>
      <c r="AE2730">
        <v>1.35060000000001</v>
      </c>
      <c r="AF2730">
        <v>-1.9382322231593301</v>
      </c>
      <c r="AG2730">
        <v>-1.1042624121839999</v>
      </c>
      <c r="AH2730">
        <v>19.532509344445799</v>
      </c>
      <c r="AI2730">
        <v>93.219968177059101</v>
      </c>
      <c r="AJ2730">
        <v>95.666970806729793</v>
      </c>
      <c r="AK2730">
        <v>19.6594776359067</v>
      </c>
    </row>
    <row r="2731" spans="1:37" x14ac:dyDescent="0.2">
      <c r="A2731" t="str">
        <f>"20200111160209220"</f>
        <v>20200111160209220</v>
      </c>
      <c r="B2731" t="str">
        <f>"1578729729214824"</f>
        <v>1578729729214824</v>
      </c>
      <c r="C2731" t="s">
        <v>37</v>
      </c>
      <c r="D2731">
        <v>5.166366</v>
      </c>
      <c r="E2731">
        <v>0.51760969999999995</v>
      </c>
      <c r="F2731" t="s">
        <v>60</v>
      </c>
      <c r="G2731">
        <v>-296.3381</v>
      </c>
      <c r="H2731" s="1">
        <v>2.0186809999999999E-6</v>
      </c>
      <c r="I2731">
        <v>213.11680000000001</v>
      </c>
      <c r="J2731">
        <v>-313.23419999999999</v>
      </c>
      <c r="K2731">
        <v>1.1042719999999999</v>
      </c>
      <c r="L2731">
        <v>213.64779999999999</v>
      </c>
      <c r="M2731">
        <v>0.99944419999999901</v>
      </c>
      <c r="N2731">
        <v>0</v>
      </c>
      <c r="O2731">
        <v>-3.0287459999999999E-2</v>
      </c>
      <c r="P2731">
        <v>0.99986549999999996</v>
      </c>
      <c r="Q2731">
        <v>1.535357E-2</v>
      </c>
      <c r="R2731">
        <v>5.7677290000000001E-3</v>
      </c>
      <c r="S2731">
        <v>3.0039370000000001</v>
      </c>
      <c r="T2731">
        <v>-0.19269049999999999</v>
      </c>
      <c r="U2731">
        <v>-9.4360349999999996E-2</v>
      </c>
      <c r="V2731">
        <v>-3.6047839999999998E-2</v>
      </c>
      <c r="W2731">
        <v>2.928679E-2</v>
      </c>
      <c r="X2731">
        <v>0.9989209</v>
      </c>
      <c r="Y2731">
        <v>1.1666409999999999E-3</v>
      </c>
      <c r="Z2731">
        <v>1.9027129999999899E-3</v>
      </c>
      <c r="AA2731">
        <v>0.99999749999999998</v>
      </c>
      <c r="AB2731">
        <v>32</v>
      </c>
      <c r="AC2731">
        <v>16.896099999999901</v>
      </c>
      <c r="AD2731">
        <v>-1.104269981319</v>
      </c>
      <c r="AE2731">
        <v>-0.53099999999997705</v>
      </c>
      <c r="AF2731">
        <v>1.8886164658115299E-2</v>
      </c>
      <c r="AG2731">
        <v>-1.104269981319</v>
      </c>
      <c r="AH2731">
        <v>16.8326022179909</v>
      </c>
      <c r="AI2731">
        <v>93.753396905544903</v>
      </c>
      <c r="AJ2731">
        <v>89.935714213523895</v>
      </c>
      <c r="AK2731">
        <v>16.868795638929601</v>
      </c>
    </row>
    <row r="2732" spans="1:37" x14ac:dyDescent="0.2">
      <c r="A2732" t="str">
        <f>"20200111160209242"</f>
        <v>20200111160209242</v>
      </c>
      <c r="B2732" t="str">
        <f>"1578729729234852"</f>
        <v>1578729729234852</v>
      </c>
      <c r="C2732" t="s">
        <v>37</v>
      </c>
      <c r="D2732">
        <v>5.1952530000000001</v>
      </c>
      <c r="E2732">
        <v>0.51883199999999996</v>
      </c>
      <c r="F2732" t="s">
        <v>60</v>
      </c>
      <c r="G2732">
        <v>-295.12790000000001</v>
      </c>
      <c r="H2732" s="1">
        <v>1.804008E-6</v>
      </c>
      <c r="I2732">
        <v>212.98509999999999</v>
      </c>
      <c r="J2732">
        <v>-312.9144</v>
      </c>
      <c r="K2732">
        <v>1.104284</v>
      </c>
      <c r="L2732">
        <v>213.63810000000001</v>
      </c>
      <c r="M2732">
        <v>0.99944249999999901</v>
      </c>
      <c r="N2732">
        <v>0</v>
      </c>
      <c r="O2732">
        <v>-3.0311850000000001E-2</v>
      </c>
      <c r="P2732">
        <v>0.99986980000000003</v>
      </c>
      <c r="Q2732">
        <v>1.5220879999999999E-2</v>
      </c>
      <c r="R2732">
        <v>5.4230379999999998E-3</v>
      </c>
      <c r="S2732">
        <v>3.0038149999999999</v>
      </c>
      <c r="T2732">
        <v>-0.18319730000000001</v>
      </c>
      <c r="U2732">
        <v>-0.10995480000000001</v>
      </c>
      <c r="V2732">
        <v>-3.5728299999999998E-2</v>
      </c>
      <c r="W2732">
        <v>2.9218629999999999E-2</v>
      </c>
      <c r="X2732">
        <v>0.99893430000000005</v>
      </c>
      <c r="Y2732">
        <v>6.313735E-3</v>
      </c>
      <c r="Z2732">
        <v>1.6537570000000001E-3</v>
      </c>
      <c r="AA2732">
        <v>0.9999787</v>
      </c>
      <c r="AB2732">
        <v>32</v>
      </c>
      <c r="AC2732">
        <v>17.786499999999901</v>
      </c>
      <c r="AD2732">
        <v>-1.1042821959919999</v>
      </c>
      <c r="AE2732">
        <v>-0.65300000000002001</v>
      </c>
      <c r="AF2732">
        <v>0.113070096624239</v>
      </c>
      <c r="AG2732">
        <v>-1.1042821959919999</v>
      </c>
      <c r="AH2732">
        <v>17.729871361584301</v>
      </c>
      <c r="AI2732">
        <v>93.563917734074295</v>
      </c>
      <c r="AJ2732">
        <v>89.634608093447099</v>
      </c>
      <c r="AK2732">
        <v>17.764587316159702</v>
      </c>
    </row>
    <row r="2733" spans="1:37" x14ac:dyDescent="0.2">
      <c r="A2733" t="str">
        <f>"20200111160209265"</f>
        <v>20200111160209265</v>
      </c>
      <c r="B2733" t="str">
        <f>"1578729729254371"</f>
        <v>1578729729254371</v>
      </c>
      <c r="C2733" t="s">
        <v>37</v>
      </c>
      <c r="D2733">
        <v>6.545725</v>
      </c>
      <c r="E2733">
        <v>0.51933009999999902</v>
      </c>
      <c r="F2733" t="s">
        <v>60</v>
      </c>
      <c r="G2733">
        <v>-294.52099999999899</v>
      </c>
      <c r="H2733" s="1">
        <v>1.6963669999999999E-6</v>
      </c>
      <c r="I2733">
        <v>212.89869999999999</v>
      </c>
      <c r="J2733">
        <v>-312.58629999999999</v>
      </c>
      <c r="K2733">
        <v>1.1043019999999999</v>
      </c>
      <c r="L2733">
        <v>213.62809999999999</v>
      </c>
      <c r="M2733">
        <v>0.99944120000000003</v>
      </c>
      <c r="N2733">
        <v>0</v>
      </c>
      <c r="O2733">
        <v>-3.0327699999999999E-2</v>
      </c>
      <c r="P2733">
        <v>0.99987689999999996</v>
      </c>
      <c r="Q2733">
        <v>1.5010910000000001E-2</v>
      </c>
      <c r="R2733">
        <v>4.605596E-3</v>
      </c>
      <c r="S2733">
        <v>3.0037539999999998</v>
      </c>
      <c r="T2733">
        <v>-0.18033669999999999</v>
      </c>
      <c r="U2733">
        <v>-0.1207428</v>
      </c>
      <c r="V2733">
        <v>-3.4927729999999997E-2</v>
      </c>
      <c r="W2733">
        <v>2.9066109999999999E-2</v>
      </c>
      <c r="X2733">
        <v>0.9989671</v>
      </c>
      <c r="Y2733">
        <v>9.8769119999999998E-3</v>
      </c>
      <c r="Z2733">
        <v>1.522006E-3</v>
      </c>
      <c r="AA2733">
        <v>0.99995009999999995</v>
      </c>
      <c r="AB2733">
        <v>32</v>
      </c>
      <c r="AC2733">
        <v>18.065300000000001</v>
      </c>
      <c r="AD2733">
        <v>-1.1043003036329999</v>
      </c>
      <c r="AE2733">
        <v>-0.72939999999999805</v>
      </c>
      <c r="AF2733">
        <v>0.180458087997003</v>
      </c>
      <c r="AG2733">
        <v>-1.1043003036329999</v>
      </c>
      <c r="AH2733">
        <v>18.011916764661802</v>
      </c>
      <c r="AI2733">
        <v>93.508204386526302</v>
      </c>
      <c r="AJ2733">
        <v>89.425983307087506</v>
      </c>
      <c r="AK2733">
        <v>18.0466392943183</v>
      </c>
    </row>
    <row r="2734" spans="1:37" x14ac:dyDescent="0.2">
      <c r="A2734" t="str">
        <f>"20200111160209286"</f>
        <v>20200111160209286</v>
      </c>
      <c r="B2734" t="str">
        <f>"1578729729274868"</f>
        <v>1578729729274868</v>
      </c>
      <c r="C2734" t="s">
        <v>37</v>
      </c>
      <c r="D2734">
        <v>5.3194739999999996</v>
      </c>
      <c r="E2734">
        <v>0.5250804</v>
      </c>
      <c r="F2734" t="s">
        <v>60</v>
      </c>
      <c r="G2734">
        <v>-294.06950000000001</v>
      </c>
      <c r="H2734" s="1">
        <v>1.616281E-6</v>
      </c>
      <c r="I2734">
        <v>212.8443</v>
      </c>
      <c r="J2734">
        <v>-312.28640000000001</v>
      </c>
      <c r="K2734">
        <v>1.1043179999999999</v>
      </c>
      <c r="L2734">
        <v>213.619</v>
      </c>
      <c r="M2734">
        <v>0.99944069999999996</v>
      </c>
      <c r="N2734">
        <v>0</v>
      </c>
      <c r="O2734">
        <v>-3.0321460000000001E-2</v>
      </c>
      <c r="P2734">
        <v>0.99989249999999996</v>
      </c>
      <c r="Q2734">
        <v>1.4291770000000001E-2</v>
      </c>
      <c r="R2734">
        <v>3.3347770000000001E-3</v>
      </c>
      <c r="S2734">
        <v>3.0036320000000001</v>
      </c>
      <c r="T2734">
        <v>-0.17913029999999999</v>
      </c>
      <c r="U2734">
        <v>-0.1271515</v>
      </c>
      <c r="V2734">
        <v>-3.3653179999999998E-2</v>
      </c>
      <c r="W2734">
        <v>2.839071E-2</v>
      </c>
      <c r="X2734">
        <v>0.99903019999999998</v>
      </c>
      <c r="Y2734">
        <v>1.2010369999999999E-2</v>
      </c>
      <c r="Z2734">
        <v>1.447921E-3</v>
      </c>
      <c r="AA2734">
        <v>0.9999268</v>
      </c>
      <c r="AB2734">
        <v>32</v>
      </c>
      <c r="AC2734">
        <v>18.216899999999999</v>
      </c>
      <c r="AD2734">
        <v>-1.104316383719</v>
      </c>
      <c r="AE2734">
        <v>-0.77470000000002404</v>
      </c>
      <c r="AF2734">
        <v>0.22111468325441799</v>
      </c>
      <c r="AG2734">
        <v>-1.104316383719</v>
      </c>
      <c r="AH2734">
        <v>18.1653802489923</v>
      </c>
      <c r="AI2734">
        <v>93.478607333664101</v>
      </c>
      <c r="AJ2734">
        <v>89.302612314067403</v>
      </c>
      <c r="AK2734">
        <v>18.200259502792299</v>
      </c>
    </row>
    <row r="2735" spans="1:37" x14ac:dyDescent="0.2">
      <c r="A2735" t="str">
        <f>"20200111160209308"</f>
        <v>20200111160209308</v>
      </c>
      <c r="B2735" t="str">
        <f>"1578729729304148"</f>
        <v>1578729729304148</v>
      </c>
      <c r="C2735" t="s">
        <v>37</v>
      </c>
      <c r="D2735">
        <v>5.2122729999999997</v>
      </c>
      <c r="E2735">
        <v>0.52394059999999998</v>
      </c>
      <c r="F2735" t="s">
        <v>67</v>
      </c>
      <c r="G2735">
        <v>-168.41319999999999</v>
      </c>
      <c r="H2735">
        <v>5.9544489999999897</v>
      </c>
      <c r="I2735">
        <v>204.31950000000001</v>
      </c>
      <c r="J2735">
        <v>-311.9742</v>
      </c>
      <c r="K2735">
        <v>1.104349</v>
      </c>
      <c r="L2735">
        <v>213.6096</v>
      </c>
      <c r="M2735">
        <v>0.99944159999999904</v>
      </c>
      <c r="N2735">
        <v>0</v>
      </c>
      <c r="O2735">
        <v>-3.027326E-2</v>
      </c>
      <c r="P2735">
        <v>0.99990990000000002</v>
      </c>
      <c r="Q2735">
        <v>1.32319E-2</v>
      </c>
      <c r="R2735">
        <v>2.3134000000000002E-3</v>
      </c>
      <c r="S2735">
        <v>2.99951199999999</v>
      </c>
      <c r="T2735">
        <v>0.1011176</v>
      </c>
      <c r="U2735">
        <v>-0.1938782</v>
      </c>
      <c r="V2735">
        <v>-3.258606E-2</v>
      </c>
      <c r="W2735">
        <v>2.7370200000000001E-2</v>
      </c>
      <c r="X2735">
        <v>0.99909409999999899</v>
      </c>
      <c r="Y2735">
        <v>3.4256910000000002E-2</v>
      </c>
      <c r="Z2735">
        <v>-4.422785E-4</v>
      </c>
      <c r="AA2735">
        <v>0.999412999999999</v>
      </c>
      <c r="AB2735">
        <v>32</v>
      </c>
      <c r="AC2735">
        <v>143.56100000000001</v>
      </c>
      <c r="AD2735">
        <v>4.8500999999999896</v>
      </c>
      <c r="AE2735">
        <v>-9.29009999999999</v>
      </c>
      <c r="AF2735">
        <v>4.93373916857725</v>
      </c>
      <c r="AG2735">
        <v>4.8500999999999896</v>
      </c>
      <c r="AH2735">
        <v>143.61322378820401</v>
      </c>
      <c r="AI2735">
        <v>88.066883941053902</v>
      </c>
      <c r="AJ2735">
        <v>88.032414470495198</v>
      </c>
      <c r="AK2735">
        <v>143.779773608927</v>
      </c>
    </row>
    <row r="2736" spans="1:37" x14ac:dyDescent="0.2">
      <c r="A2736" t="str">
        <f>"20200111160209331"</f>
        <v>20200111160209331</v>
      </c>
      <c r="B2736" t="str">
        <f>"1578729729324644"</f>
        <v>1578729729324644</v>
      </c>
      <c r="C2736" t="s">
        <v>37</v>
      </c>
      <c r="D2736">
        <v>5.277482</v>
      </c>
      <c r="E2736">
        <v>0.52395159999999996</v>
      </c>
      <c r="F2736" t="s">
        <v>67</v>
      </c>
      <c r="G2736">
        <v>-168.41249999999999</v>
      </c>
      <c r="H2736">
        <v>4.191109</v>
      </c>
      <c r="I2736">
        <v>204.7139</v>
      </c>
      <c r="J2736">
        <v>-311.6388</v>
      </c>
      <c r="K2736">
        <v>1.1044020000000001</v>
      </c>
      <c r="L2736">
        <v>213.59950000000001</v>
      </c>
      <c r="M2736">
        <v>0.99944500000000003</v>
      </c>
      <c r="N2736">
        <v>0</v>
      </c>
      <c r="O2736">
        <v>-3.0145729999999999E-2</v>
      </c>
      <c r="P2736">
        <v>0.99993099999999902</v>
      </c>
      <c r="Q2736">
        <v>1.169742E-2</v>
      </c>
      <c r="R2736">
        <v>1.218252E-3</v>
      </c>
      <c r="S2736">
        <v>2.99981699999999</v>
      </c>
      <c r="T2736">
        <v>6.4500569999999993E-2</v>
      </c>
      <c r="U2736">
        <v>-0.18588260000000001</v>
      </c>
      <c r="V2736">
        <v>-3.1367689999999997E-2</v>
      </c>
      <c r="W2736">
        <v>2.5869650000000001E-2</v>
      </c>
      <c r="X2736">
        <v>0.99917299999999998</v>
      </c>
      <c r="Y2736">
        <v>3.1726499999999998E-2</v>
      </c>
      <c r="Z2736">
        <v>-3.0660570000000002E-4</v>
      </c>
      <c r="AA2736">
        <v>0.99949650000000001</v>
      </c>
      <c r="AB2736">
        <v>32</v>
      </c>
      <c r="AC2736">
        <v>143.22630000000001</v>
      </c>
      <c r="AD2736">
        <v>3.0867070000000001</v>
      </c>
      <c r="AE2736">
        <v>-8.8856000000000002</v>
      </c>
      <c r="AF2736">
        <v>4.5613551784393298</v>
      </c>
      <c r="AG2736">
        <v>3.0867070000000001</v>
      </c>
      <c r="AH2736">
        <v>143.36275190725701</v>
      </c>
      <c r="AI2736">
        <v>88.767193337794595</v>
      </c>
      <c r="AJ2736">
        <v>88.177641943585101</v>
      </c>
      <c r="AK2736">
        <v>143.46850649389799</v>
      </c>
    </row>
    <row r="2737" spans="1:37" x14ac:dyDescent="0.2">
      <c r="A2737" t="str">
        <f>"20200111160209354"</f>
        <v>20200111160209354</v>
      </c>
      <c r="B2737" t="str">
        <f>"1578729729344671"</f>
        <v>1578729729344671</v>
      </c>
      <c r="C2737" t="s">
        <v>37</v>
      </c>
      <c r="D2737">
        <v>5.2448300000000003</v>
      </c>
      <c r="E2737">
        <v>0.52384140000000001</v>
      </c>
      <c r="F2737" t="s">
        <v>67</v>
      </c>
      <c r="G2737">
        <v>-168.41210000000001</v>
      </c>
      <c r="H2737">
        <v>2.941408</v>
      </c>
      <c r="I2737">
        <v>204.6318</v>
      </c>
      <c r="J2737">
        <v>-311.30669999999998</v>
      </c>
      <c r="K2737">
        <v>1.1044719999999999</v>
      </c>
      <c r="L2737">
        <v>213.58969999999999</v>
      </c>
      <c r="M2737">
        <v>0.99945130000000004</v>
      </c>
      <c r="N2737">
        <v>0</v>
      </c>
      <c r="O2737">
        <v>-2.992245E-2</v>
      </c>
      <c r="P2737">
        <v>0.99994559999999999</v>
      </c>
      <c r="Q2737">
        <v>1.0440090000000001E-2</v>
      </c>
      <c r="R2737">
        <v>5.3156660000000001E-4</v>
      </c>
      <c r="S2737">
        <v>3</v>
      </c>
      <c r="T2737">
        <v>3.847826E-2</v>
      </c>
      <c r="U2737">
        <v>-0.18783569999999999</v>
      </c>
      <c r="V2737">
        <v>-3.0462909999999999E-2</v>
      </c>
      <c r="W2737">
        <v>2.4638839999999999E-2</v>
      </c>
      <c r="X2737">
        <v>0.99923220000000001</v>
      </c>
      <c r="Y2737">
        <v>3.2594350000000001E-2</v>
      </c>
      <c r="Z2737">
        <v>-1.7448689999999999E-4</v>
      </c>
      <c r="AA2737">
        <v>0.99946859999999904</v>
      </c>
      <c r="AB2737">
        <v>32</v>
      </c>
      <c r="AC2737">
        <v>142.894599999999</v>
      </c>
      <c r="AD2737">
        <v>1.8369359999999999</v>
      </c>
      <c r="AE2737">
        <v>-8.9578999999999898</v>
      </c>
      <c r="AF2737">
        <v>4.6769302898979603</v>
      </c>
      <c r="AG2737">
        <v>1.8369359999999999</v>
      </c>
      <c r="AH2737">
        <v>143.07512013927001</v>
      </c>
      <c r="AI2737">
        <v>89.264814733778294</v>
      </c>
      <c r="AJ2737">
        <v>88.127745886274894</v>
      </c>
      <c r="AK2737">
        <v>143.16332635724501</v>
      </c>
    </row>
    <row r="2738" spans="1:37" x14ac:dyDescent="0.2">
      <c r="A2738" t="str">
        <f>"20200111160209376"</f>
        <v>20200111160209376</v>
      </c>
      <c r="B2738" t="str">
        <f>"1578729729374927"</f>
        <v>1578729729374927</v>
      </c>
      <c r="C2738" t="s">
        <v>37</v>
      </c>
      <c r="D2738">
        <v>6.0983289999999997</v>
      </c>
      <c r="E2738">
        <v>0.51983409999999997</v>
      </c>
      <c r="F2738" t="s">
        <v>67</v>
      </c>
      <c r="G2738">
        <v>-168.4119</v>
      </c>
      <c r="H2738">
        <v>2.3376769999999998</v>
      </c>
      <c r="I2738">
        <v>204.60579999999999</v>
      </c>
      <c r="J2738">
        <v>-310.98390000000001</v>
      </c>
      <c r="K2738">
        <v>1.10454599999999</v>
      </c>
      <c r="L2738">
        <v>213.58029999999999</v>
      </c>
      <c r="M2738">
        <v>0.99945969999999995</v>
      </c>
      <c r="N2738">
        <v>0</v>
      </c>
      <c r="O2738">
        <v>-2.962101E-2</v>
      </c>
      <c r="P2738">
        <v>0.99994899999999998</v>
      </c>
      <c r="Q2738">
        <v>1.0062669999999999E-2</v>
      </c>
      <c r="R2738">
        <v>9.1071509999999904E-4</v>
      </c>
      <c r="S2738">
        <v>3.0000309999999999</v>
      </c>
      <c r="T2738">
        <v>2.5891419999999998E-2</v>
      </c>
      <c r="U2738">
        <v>-0.1886139</v>
      </c>
      <c r="V2738">
        <v>-3.054465E-2</v>
      </c>
      <c r="W2738">
        <v>2.428133E-2</v>
      </c>
      <c r="X2738">
        <v>0.99923839999999997</v>
      </c>
      <c r="Y2738">
        <v>3.3153460000000003E-2</v>
      </c>
      <c r="Z2738">
        <v>-1.1240250000000001E-4</v>
      </c>
      <c r="AA2738">
        <v>0.99945030000000001</v>
      </c>
      <c r="AB2738">
        <v>32</v>
      </c>
      <c r="AC2738">
        <v>142.572</v>
      </c>
      <c r="AD2738">
        <v>1.233131</v>
      </c>
      <c r="AE2738">
        <v>-8.9745000000000008</v>
      </c>
      <c r="AF2738">
        <v>4.7466523695513896</v>
      </c>
      <c r="AG2738">
        <v>1.233131</v>
      </c>
      <c r="AH2738">
        <v>142.76464983072299</v>
      </c>
      <c r="AI2738">
        <v>89.505392763859106</v>
      </c>
      <c r="AJ2738">
        <v>88.095726065676899</v>
      </c>
      <c r="AK2738">
        <v>142.84885915564499</v>
      </c>
    </row>
    <row r="2739" spans="1:37" x14ac:dyDescent="0.2">
      <c r="A2739" t="str">
        <f>"20200111160209398"</f>
        <v>20200111160209398</v>
      </c>
      <c r="B2739" t="str">
        <f>"1578729729394447"</f>
        <v>1578729729394447</v>
      </c>
      <c r="C2739" t="s">
        <v>37</v>
      </c>
      <c r="D2739">
        <v>5.317539</v>
      </c>
      <c r="E2739">
        <v>0.51860200000000001</v>
      </c>
      <c r="F2739" t="s">
        <v>60</v>
      </c>
      <c r="G2739">
        <v>-293.2337</v>
      </c>
      <c r="H2739" s="1">
        <v>1.4680129999999999E-6</v>
      </c>
      <c r="I2739">
        <v>212.73400000000001</v>
      </c>
      <c r="J2739">
        <v>-310.68689999999998</v>
      </c>
      <c r="K2739">
        <v>1.104616</v>
      </c>
      <c r="L2739">
        <v>213.5719</v>
      </c>
      <c r="M2739">
        <v>0.99947030000000003</v>
      </c>
      <c r="N2739">
        <v>0</v>
      </c>
      <c r="O2739">
        <v>-2.9251490000000002E-2</v>
      </c>
      <c r="P2739">
        <v>0.99995909999999999</v>
      </c>
      <c r="Q2739">
        <v>8.9757669999999904E-3</v>
      </c>
      <c r="R2739">
        <v>1.1968059999999999E-3</v>
      </c>
      <c r="S2739">
        <v>3.002167</v>
      </c>
      <c r="T2739">
        <v>-0.186815799999999</v>
      </c>
      <c r="U2739">
        <v>-0.14314270000000001</v>
      </c>
      <c r="V2739">
        <v>-3.04649E-2</v>
      </c>
      <c r="W2739">
        <v>2.32097E-2</v>
      </c>
      <c r="X2739">
        <v>0.99926630000000005</v>
      </c>
      <c r="Y2739">
        <v>1.8404960000000001E-2</v>
      </c>
      <c r="Z2739">
        <v>1.2453519999999999E-3</v>
      </c>
      <c r="AA2739">
        <v>0.99982979999999999</v>
      </c>
      <c r="AB2739">
        <v>32</v>
      </c>
      <c r="AC2739">
        <v>17.453199999999899</v>
      </c>
      <c r="AD2739">
        <v>-1.104614531987</v>
      </c>
      <c r="AE2739">
        <v>-0.83789999999998999</v>
      </c>
      <c r="AF2739">
        <v>0.32565586483355602</v>
      </c>
      <c r="AG2739">
        <v>-1.104614531987</v>
      </c>
      <c r="AH2739">
        <v>17.400701704368799</v>
      </c>
      <c r="AI2739">
        <v>93.631687068053793</v>
      </c>
      <c r="AJ2739">
        <v>88.9278289480213</v>
      </c>
      <c r="AK2739">
        <v>17.438768443069598</v>
      </c>
    </row>
    <row r="2740" spans="1:37" x14ac:dyDescent="0.2">
      <c r="A2740" t="str">
        <f>"20200111160209422"</f>
        <v>20200111160209422</v>
      </c>
      <c r="B2740" t="str">
        <f>"1578729729414944"</f>
        <v>1578729729414944</v>
      </c>
      <c r="C2740" t="s">
        <v>37</v>
      </c>
      <c r="D2740">
        <v>5.3510210000000002</v>
      </c>
      <c r="E2740">
        <v>0.52227230000000002</v>
      </c>
      <c r="F2740" t="s">
        <v>67</v>
      </c>
      <c r="G2740">
        <v>-168.41069999999999</v>
      </c>
      <c r="H2740">
        <v>0.99386980000000003</v>
      </c>
      <c r="I2740">
        <v>206.7774</v>
      </c>
      <c r="J2740">
        <v>-310.33519999999999</v>
      </c>
      <c r="K2740">
        <v>1.1047069999999899</v>
      </c>
      <c r="L2740">
        <v>213.56209999999999</v>
      </c>
      <c r="M2740">
        <v>0.99948680000000001</v>
      </c>
      <c r="N2740">
        <v>0</v>
      </c>
      <c r="O2740">
        <v>-2.8675249999999999E-2</v>
      </c>
      <c r="P2740">
        <v>0.99997230000000004</v>
      </c>
      <c r="Q2740">
        <v>7.3028879999999996E-3</v>
      </c>
      <c r="R2740">
        <v>1.4726089999999999E-3</v>
      </c>
      <c r="S2740">
        <v>3.0002749999999998</v>
      </c>
      <c r="T2740">
        <v>-2.3347139999999999E-3</v>
      </c>
      <c r="U2740">
        <v>-0.14327999999999999</v>
      </c>
      <c r="V2740">
        <v>-3.0168690000000001E-2</v>
      </c>
      <c r="W2740">
        <v>2.1550239999999998E-2</v>
      </c>
      <c r="X2740">
        <v>0.99931250000000005</v>
      </c>
      <c r="Y2740">
        <v>1.903614E-2</v>
      </c>
      <c r="Z2740" s="1">
        <v>1.4895149999999999E-5</v>
      </c>
      <c r="AA2740">
        <v>0.99981880000000001</v>
      </c>
      <c r="AB2740">
        <v>32</v>
      </c>
      <c r="AC2740">
        <v>141.92449999999999</v>
      </c>
      <c r="AD2740">
        <v>-0.110837199999999</v>
      </c>
      <c r="AE2740">
        <v>-6.7846999999999804</v>
      </c>
      <c r="AF2740">
        <v>2.7117723574535901</v>
      </c>
      <c r="AG2740">
        <v>-0.110837199999999</v>
      </c>
      <c r="AH2740">
        <v>142.060612328942</v>
      </c>
      <c r="AI2740">
        <v>90.0446946249685</v>
      </c>
      <c r="AJ2740">
        <v>88.906422823019</v>
      </c>
      <c r="AK2740">
        <v>142.08653549677899</v>
      </c>
    </row>
    <row r="2741" spans="1:37" x14ac:dyDescent="0.2">
      <c r="A2741" t="str">
        <f>"20200111160209445"</f>
        <v>20200111160209445</v>
      </c>
      <c r="B2741" t="str">
        <f>"1578729729434974"</f>
        <v>1578729729434974</v>
      </c>
      <c r="C2741" t="s">
        <v>37</v>
      </c>
      <c r="D2741">
        <v>5.3042989999999897</v>
      </c>
      <c r="E2741">
        <v>0.52208729999999903</v>
      </c>
      <c r="F2741" t="s">
        <v>42</v>
      </c>
      <c r="G2741">
        <v>-309.51580000000001</v>
      </c>
      <c r="H2741">
        <v>1.040786</v>
      </c>
      <c r="I2741">
        <v>213.5187</v>
      </c>
      <c r="J2741">
        <v>-310.00439999999998</v>
      </c>
      <c r="K2741">
        <v>1.104814</v>
      </c>
      <c r="L2741">
        <v>213.55330000000001</v>
      </c>
      <c r="M2741">
        <v>0.99950609999999995</v>
      </c>
      <c r="N2741">
        <v>0</v>
      </c>
      <c r="O2741">
        <v>-2.7986110000000002E-2</v>
      </c>
      <c r="P2741">
        <v>0.99998050000000005</v>
      </c>
      <c r="Q2741">
        <v>6.1385260000000001E-3</v>
      </c>
      <c r="R2741">
        <v>1.2046979999999999E-3</v>
      </c>
      <c r="S2741">
        <v>3.0020449999999999</v>
      </c>
      <c r="T2741">
        <v>-0.2343267</v>
      </c>
      <c r="U2741">
        <v>-0.15878299999999901</v>
      </c>
      <c r="V2741">
        <v>-2.9215890000000001E-2</v>
      </c>
      <c r="W2741">
        <v>2.03956E-2</v>
      </c>
      <c r="X2741">
        <v>0.99936499999999995</v>
      </c>
      <c r="Y2741">
        <v>2.4856670000000001E-2</v>
      </c>
      <c r="Z2741">
        <v>1.211293E-3</v>
      </c>
      <c r="AA2741">
        <v>0.99969030000000003</v>
      </c>
      <c r="AB2741">
        <v>32</v>
      </c>
      <c r="AC2741">
        <v>0.48859999999996201</v>
      </c>
      <c r="AD2741">
        <v>-6.4027999999999904E-2</v>
      </c>
      <c r="AE2741">
        <v>-3.4600000000011698E-2</v>
      </c>
      <c r="AF2741">
        <v>2.0559734334519599E-2</v>
      </c>
      <c r="AG2741">
        <v>-6.4027999999999904E-2</v>
      </c>
      <c r="AH2741">
        <v>0.48115559497951998</v>
      </c>
      <c r="AI2741">
        <v>97.573061486580599</v>
      </c>
      <c r="AJ2741">
        <v>87.553245016824704</v>
      </c>
      <c r="AK2741">
        <v>0.48583226945109598</v>
      </c>
    </row>
    <row r="2742" spans="1:37" x14ac:dyDescent="0.2">
      <c r="A2742" t="str">
        <f>"20200111160209465"</f>
        <v>20200111160209465</v>
      </c>
      <c r="B2742" t="str">
        <f>"1578729729454492"</f>
        <v>1578729729454492</v>
      </c>
      <c r="C2742" t="s">
        <v>37</v>
      </c>
      <c r="D2742">
        <v>5.4774940000000001</v>
      </c>
      <c r="E2742">
        <v>0.4835257</v>
      </c>
      <c r="F2742" t="s">
        <v>42</v>
      </c>
      <c r="G2742">
        <v>-309.2269</v>
      </c>
      <c r="H2742">
        <v>1.0466660000000001</v>
      </c>
      <c r="I2742">
        <v>213.512</v>
      </c>
      <c r="J2742">
        <v>-309.7396</v>
      </c>
      <c r="K2742">
        <v>1.104914</v>
      </c>
      <c r="L2742">
        <v>213.54660000000001</v>
      </c>
      <c r="M2742">
        <v>0.99952450000000004</v>
      </c>
      <c r="N2742">
        <v>0</v>
      </c>
      <c r="O2742">
        <v>-2.732039E-2</v>
      </c>
      <c r="P2742">
        <v>0.99997839999999905</v>
      </c>
      <c r="Q2742">
        <v>6.5757649999999999E-3</v>
      </c>
      <c r="R2742">
        <v>-1.40765E-4</v>
      </c>
      <c r="S2742">
        <v>3.0015869999999998</v>
      </c>
      <c r="T2742">
        <v>-0.22469600000000001</v>
      </c>
      <c r="U2742">
        <v>-0.1588745</v>
      </c>
      <c r="V2742">
        <v>-2.7210330000000001E-2</v>
      </c>
      <c r="W2742">
        <v>2.084039E-2</v>
      </c>
      <c r="X2742">
        <v>0.99941250000000004</v>
      </c>
      <c r="Y2742">
        <v>2.5556369999999998E-2</v>
      </c>
      <c r="Z2742">
        <v>1.085988E-3</v>
      </c>
      <c r="AA2742">
        <v>0.99967280000000003</v>
      </c>
      <c r="AB2742">
        <v>32</v>
      </c>
      <c r="AC2742">
        <v>0.51269999999999505</v>
      </c>
      <c r="AD2742">
        <v>-5.82479999999998E-2</v>
      </c>
      <c r="AE2742">
        <v>-3.4600000000011698E-2</v>
      </c>
      <c r="AF2742">
        <v>2.0317432405854902E-2</v>
      </c>
      <c r="AG2742">
        <v>-5.82479999999998E-2</v>
      </c>
      <c r="AH2742">
        <v>0.50694039989626105</v>
      </c>
      <c r="AI2742">
        <v>96.549390417177094</v>
      </c>
      <c r="AJ2742">
        <v>87.704897001520195</v>
      </c>
      <c r="AK2742">
        <v>0.51068013140374602</v>
      </c>
    </row>
    <row r="2743" spans="1:37" x14ac:dyDescent="0.2">
      <c r="A2743" t="str">
        <f>"20200111160209486"</f>
        <v>20200111160209486</v>
      </c>
      <c r="B2743" t="str">
        <f>"1578729729474988"</f>
        <v>1578729729474988</v>
      </c>
      <c r="C2743" t="s">
        <v>37</v>
      </c>
      <c r="D2743">
        <v>5.407788</v>
      </c>
      <c r="E2743">
        <v>0.47947329999999999</v>
      </c>
      <c r="F2743" t="s">
        <v>60</v>
      </c>
      <c r="G2743">
        <v>-295.92200000000003</v>
      </c>
      <c r="H2743" s="1">
        <v>1.9448809999999999E-6</v>
      </c>
      <c r="I2743">
        <v>214.22069999999999</v>
      </c>
      <c r="J2743">
        <v>-309.43520000000001</v>
      </c>
      <c r="K2743">
        <v>1.105032</v>
      </c>
      <c r="L2743">
        <v>213.53909999999999</v>
      </c>
      <c r="M2743">
        <v>0.99954799999999999</v>
      </c>
      <c r="N2743">
        <v>0</v>
      </c>
      <c r="O2743">
        <v>-2.643829E-2</v>
      </c>
      <c r="P2743">
        <v>0.99997899999999995</v>
      </c>
      <c r="Q2743">
        <v>6.4502300000000004E-3</v>
      </c>
      <c r="R2743">
        <v>-8.4582600000000004E-4</v>
      </c>
      <c r="S2743">
        <v>3.0016780000000001</v>
      </c>
      <c r="T2743">
        <v>-0.240027299999999</v>
      </c>
      <c r="U2743">
        <v>0.1464539</v>
      </c>
      <c r="V2743">
        <v>-2.5629140000000002E-2</v>
      </c>
      <c r="W2743">
        <v>2.072216E-2</v>
      </c>
      <c r="X2743">
        <v>0.99945669999999898</v>
      </c>
      <c r="Y2743">
        <v>-7.4802729999999998E-2</v>
      </c>
      <c r="Z2743">
        <v>5.0941190000000003E-3</v>
      </c>
      <c r="AA2743">
        <v>0.99718530000000005</v>
      </c>
      <c r="AB2743">
        <v>32</v>
      </c>
      <c r="AC2743">
        <v>13.5131999999999</v>
      </c>
      <c r="AD2743">
        <v>-1.105030055119</v>
      </c>
      <c r="AE2743">
        <v>0.68160000000000298</v>
      </c>
      <c r="AF2743">
        <v>-1.0317821628488599</v>
      </c>
      <c r="AG2743">
        <v>-1.105030055119</v>
      </c>
      <c r="AH2743">
        <v>13.4010676512729</v>
      </c>
      <c r="AI2743">
        <v>94.700004248359406</v>
      </c>
      <c r="AJ2743">
        <v>94.402661547752402</v>
      </c>
      <c r="AK2743">
        <v>13.486077266880899</v>
      </c>
    </row>
    <row r="2744" spans="1:37" x14ac:dyDescent="0.2">
      <c r="A2744" t="str">
        <f>"20200111160209511"</f>
        <v>20200111160209511</v>
      </c>
      <c r="B2744" t="str">
        <f>"1578729729504268"</f>
        <v>1578729729504268</v>
      </c>
      <c r="C2744" t="s">
        <v>37</v>
      </c>
      <c r="D2744">
        <v>5.6239179999999998</v>
      </c>
      <c r="E2744">
        <v>0.47736459999999997</v>
      </c>
      <c r="F2744" t="s">
        <v>60</v>
      </c>
      <c r="G2744">
        <v>-295.7801</v>
      </c>
      <c r="H2744" s="1">
        <v>1.9196950000000001E-6</v>
      </c>
      <c r="I2744">
        <v>214.34350000000001</v>
      </c>
      <c r="J2744">
        <v>-309.10550000000001</v>
      </c>
      <c r="K2744">
        <v>1.1051530000000001</v>
      </c>
      <c r="L2744">
        <v>213.53149999999999</v>
      </c>
      <c r="M2744">
        <v>0.99957609999999997</v>
      </c>
      <c r="N2744">
        <v>0</v>
      </c>
      <c r="O2744">
        <v>-2.5345349999999999E-2</v>
      </c>
      <c r="P2744">
        <v>0.99998399999999998</v>
      </c>
      <c r="Q2744">
        <v>5.6782940000000004E-3</v>
      </c>
      <c r="R2744">
        <v>-1.23788E-4</v>
      </c>
      <c r="S2744">
        <v>3.0017399999999999</v>
      </c>
      <c r="T2744">
        <v>-0.2429132</v>
      </c>
      <c r="U2744">
        <v>0.1768188</v>
      </c>
      <c r="V2744">
        <v>-2.5262090000000001E-2</v>
      </c>
      <c r="W2744">
        <v>1.9953660000000002E-2</v>
      </c>
      <c r="X2744">
        <v>0.99948169999999903</v>
      </c>
      <c r="Y2744">
        <v>-8.3733260000000004E-2</v>
      </c>
      <c r="Z2744">
        <v>5.4259449999999997E-3</v>
      </c>
      <c r="AA2744">
        <v>0.99647339999999995</v>
      </c>
      <c r="AB2744">
        <v>32</v>
      </c>
      <c r="AC2744">
        <v>13.3254</v>
      </c>
      <c r="AD2744">
        <v>-1.105151080305</v>
      </c>
      <c r="AE2744">
        <v>0.81200000000001105</v>
      </c>
      <c r="AF2744">
        <v>-1.14168684190352</v>
      </c>
      <c r="AG2744">
        <v>-1.105151080305</v>
      </c>
      <c r="AH2744">
        <v>13.2100092541008</v>
      </c>
      <c r="AI2744">
        <v>94.764557129776193</v>
      </c>
      <c r="AJ2744">
        <v>94.939564706215094</v>
      </c>
      <c r="AK2744">
        <v>13.305230259138799</v>
      </c>
    </row>
    <row r="2745" spans="1:37" x14ac:dyDescent="0.2">
      <c r="A2745" t="str">
        <f>"20200111160209531"</f>
        <v>20200111160209531</v>
      </c>
      <c r="B2745" t="str">
        <f>"1578729729524765"</f>
        <v>1578729729524765</v>
      </c>
      <c r="C2745" t="s">
        <v>37</v>
      </c>
      <c r="D2745">
        <v>5.4991859999999999</v>
      </c>
      <c r="E2745">
        <v>0.47729129999999997</v>
      </c>
      <c r="F2745" t="s">
        <v>60</v>
      </c>
      <c r="G2745">
        <v>-295.58519999999999</v>
      </c>
      <c r="H2745" s="1">
        <v>1.8851289999999999E-6</v>
      </c>
      <c r="I2745">
        <v>214.41319999999999</v>
      </c>
      <c r="J2745">
        <v>-308.79360000000003</v>
      </c>
      <c r="K2745">
        <v>1.105259</v>
      </c>
      <c r="L2745">
        <v>213.5248</v>
      </c>
      <c r="M2745">
        <v>0.99960490000000002</v>
      </c>
      <c r="N2745">
        <v>0</v>
      </c>
      <c r="O2745">
        <v>-2.4176280000000001E-2</v>
      </c>
      <c r="P2745">
        <v>0.99998899999999902</v>
      </c>
      <c r="Q2745">
        <v>4.5524479999999997E-3</v>
      </c>
      <c r="R2745">
        <v>1.1871029999999999E-3</v>
      </c>
      <c r="S2745">
        <v>3.0014340000000002</v>
      </c>
      <c r="T2745">
        <v>-0.24533739999999901</v>
      </c>
      <c r="U2745">
        <v>0.19573969999999999</v>
      </c>
      <c r="V2745">
        <v>-2.54060999999999E-2</v>
      </c>
      <c r="W2745">
        <v>1.8829490000000001E-2</v>
      </c>
      <c r="X2745">
        <v>0.9994999</v>
      </c>
      <c r="Y2745">
        <v>-8.8810269999999997E-2</v>
      </c>
      <c r="Z2745">
        <v>5.5910539999999998E-3</v>
      </c>
      <c r="AA2745">
        <v>0.9960329</v>
      </c>
      <c r="AB2745">
        <v>32</v>
      </c>
      <c r="AC2745">
        <v>13.208399999999999</v>
      </c>
      <c r="AD2745">
        <v>-1.105257114871</v>
      </c>
      <c r="AE2745">
        <v>0.88839999999998998</v>
      </c>
      <c r="AF2745">
        <v>-1.1991444038602499</v>
      </c>
      <c r="AG2745">
        <v>-1.105257114871</v>
      </c>
      <c r="AH2745">
        <v>13.091801302144599</v>
      </c>
      <c r="AI2745">
        <v>94.805651477679604</v>
      </c>
      <c r="AJ2745">
        <v>95.233407806742093</v>
      </c>
      <c r="AK2745">
        <v>13.192983056387099</v>
      </c>
    </row>
    <row r="2746" spans="1:37" x14ac:dyDescent="0.2">
      <c r="A2746" t="str">
        <f>"20200111160209554"</f>
        <v>20200111160209554</v>
      </c>
      <c r="B2746" t="str">
        <f>"1578729729544792"</f>
        <v>1578729729544792</v>
      </c>
      <c r="C2746" t="s">
        <v>37</v>
      </c>
      <c r="D2746">
        <v>5.3708210000000003</v>
      </c>
      <c r="E2746">
        <v>0.47596339999999998</v>
      </c>
      <c r="F2746" t="s">
        <v>60</v>
      </c>
      <c r="G2746">
        <v>-295.44220000000001</v>
      </c>
      <c r="H2746" s="1">
        <v>1.8597649999999901E-6</v>
      </c>
      <c r="I2746">
        <v>214.41810000000001</v>
      </c>
      <c r="J2746">
        <v>-308.46910000000003</v>
      </c>
      <c r="K2746">
        <v>1.105345</v>
      </c>
      <c r="L2746">
        <v>213.51840000000001</v>
      </c>
      <c r="M2746">
        <v>0.99963590000000002</v>
      </c>
      <c r="N2746">
        <v>0</v>
      </c>
      <c r="O2746">
        <v>-2.2860490000000001E-2</v>
      </c>
      <c r="P2746">
        <v>0.99998519999999902</v>
      </c>
      <c r="Q2746">
        <v>4.0921789999999996E-3</v>
      </c>
      <c r="R2746">
        <v>3.6388329999999902E-3</v>
      </c>
      <c r="S2746">
        <v>3.0009160000000001</v>
      </c>
      <c r="T2746">
        <v>-0.24842129999999901</v>
      </c>
      <c r="U2746">
        <v>0.20077509999999901</v>
      </c>
      <c r="V2746">
        <v>-2.654395E-2</v>
      </c>
      <c r="W2746">
        <v>1.8367990000000001E-2</v>
      </c>
      <c r="X2746">
        <v>0.99947889999999995</v>
      </c>
      <c r="Y2746">
        <v>-8.9168150000000002E-2</v>
      </c>
      <c r="Z2746">
        <v>5.5678919999999996E-3</v>
      </c>
      <c r="AA2746">
        <v>0.99600100000000003</v>
      </c>
      <c r="AB2746">
        <v>32</v>
      </c>
      <c r="AC2746">
        <v>13.026899999999999</v>
      </c>
      <c r="AD2746">
        <v>-1.105343140235</v>
      </c>
      <c r="AE2746">
        <v>0.89969999999999495</v>
      </c>
      <c r="AF2746">
        <v>-1.18877857208273</v>
      </c>
      <c r="AG2746">
        <v>-1.105343140235</v>
      </c>
      <c r="AH2746">
        <v>12.9104158569061</v>
      </c>
      <c r="AI2746">
        <v>94.8730095194135</v>
      </c>
      <c r="AJ2746">
        <v>95.260905004033503</v>
      </c>
      <c r="AK2746">
        <v>13.0120642309112</v>
      </c>
    </row>
    <row r="2747" spans="1:37" x14ac:dyDescent="0.2">
      <c r="A2747" t="str">
        <f>"20200111160209576"</f>
        <v>20200111160209576</v>
      </c>
      <c r="B2747" t="str">
        <f>"1578729729564311"</f>
        <v>1578729729564311</v>
      </c>
      <c r="C2747" t="s">
        <v>37</v>
      </c>
      <c r="D2747">
        <v>5.3178099999999997</v>
      </c>
      <c r="E2747">
        <v>0.47573140000000003</v>
      </c>
      <c r="F2747" t="s">
        <v>60</v>
      </c>
      <c r="G2747">
        <v>-295.0883</v>
      </c>
      <c r="H2747" s="1">
        <v>1.7969859999999999E-6</v>
      </c>
      <c r="I2747">
        <v>214.49340000000001</v>
      </c>
      <c r="J2747">
        <v>-308.16890000000001</v>
      </c>
      <c r="K2747">
        <v>1.1054109999999999</v>
      </c>
      <c r="L2747">
        <v>213.5128</v>
      </c>
      <c r="M2747">
        <v>0.99966429999999995</v>
      </c>
      <c r="N2747">
        <v>0</v>
      </c>
      <c r="O2747">
        <v>-2.1573169999999999E-2</v>
      </c>
      <c r="P2747">
        <v>0.99996759999999996</v>
      </c>
      <c r="Q2747">
        <v>4.2795150000000002E-3</v>
      </c>
      <c r="R2747">
        <v>6.8378459999999999E-3</v>
      </c>
      <c r="S2747">
        <v>3.0002439999999999</v>
      </c>
      <c r="T2747">
        <v>-0.2478399</v>
      </c>
      <c r="U2747">
        <v>0.21861269999999999</v>
      </c>
      <c r="V2747">
        <v>-2.8457779999999998E-2</v>
      </c>
      <c r="W2747">
        <v>1.8550589999999999E-2</v>
      </c>
      <c r="X2747">
        <v>0.99942279999999994</v>
      </c>
      <c r="Y2747">
        <v>-9.3782740000000003E-2</v>
      </c>
      <c r="Z2747">
        <v>5.6389989999999996E-3</v>
      </c>
      <c r="AA2747">
        <v>0.99557669999999998</v>
      </c>
      <c r="AB2747">
        <v>32</v>
      </c>
      <c r="AC2747">
        <v>13.0806</v>
      </c>
      <c r="AD2747">
        <v>-1.1054092030139999</v>
      </c>
      <c r="AE2747">
        <v>0.98060000000000902</v>
      </c>
      <c r="AF2747">
        <v>-1.2536875980803801</v>
      </c>
      <c r="AG2747">
        <v>-1.1054092030139999</v>
      </c>
      <c r="AH2747">
        <v>12.964330672703399</v>
      </c>
      <c r="AI2747">
        <v>94.851040809738194</v>
      </c>
      <c r="AJ2747">
        <v>95.523489813645497</v>
      </c>
      <c r="AK2747">
        <v>13.071630804566301</v>
      </c>
    </row>
    <row r="2748" spans="1:37" x14ac:dyDescent="0.2">
      <c r="A2748" t="str">
        <f>"20200111160209598"</f>
        <v>20200111160209598</v>
      </c>
      <c r="B2748" t="str">
        <f>"1578729729594567"</f>
        <v>1578729729594567</v>
      </c>
      <c r="C2748" t="s">
        <v>37</v>
      </c>
      <c r="D2748">
        <v>6.3430910000000003</v>
      </c>
      <c r="E2748">
        <v>0.4756977</v>
      </c>
      <c r="F2748" t="s">
        <v>60</v>
      </c>
      <c r="G2748">
        <v>-294.75869999999998</v>
      </c>
      <c r="H2748" s="1">
        <v>1.738518E-6</v>
      </c>
      <c r="I2748">
        <v>214.53970000000001</v>
      </c>
      <c r="J2748">
        <v>-307.85879999999997</v>
      </c>
      <c r="K2748">
        <v>1.105467</v>
      </c>
      <c r="L2748">
        <v>213.5076</v>
      </c>
      <c r="M2748">
        <v>0.99969319999999895</v>
      </c>
      <c r="N2748">
        <v>0</v>
      </c>
      <c r="O2748">
        <v>-2.0189720000000001E-2</v>
      </c>
      <c r="P2748">
        <v>0.99993460000000001</v>
      </c>
      <c r="Q2748">
        <v>4.6207569999999996E-3</v>
      </c>
      <c r="R2748">
        <v>1.046089E-2</v>
      </c>
      <c r="S2748">
        <v>2.9995729999999998</v>
      </c>
      <c r="T2748">
        <v>-0.2472549</v>
      </c>
      <c r="U2748">
        <v>0.22969059999999999</v>
      </c>
      <c r="V2748">
        <v>-3.0699259999999999E-2</v>
      </c>
      <c r="W2748">
        <v>1.8884789999999999E-2</v>
      </c>
      <c r="X2748">
        <v>0.99935019999999997</v>
      </c>
      <c r="Y2748">
        <v>-9.6075999999999995E-2</v>
      </c>
      <c r="Z2748">
        <v>5.606733E-3</v>
      </c>
      <c r="AA2748">
        <v>0.99535819999999997</v>
      </c>
      <c r="AB2748">
        <v>32</v>
      </c>
      <c r="AC2748">
        <v>13.1000999999999</v>
      </c>
      <c r="AD2748">
        <v>-1.105465261482</v>
      </c>
      <c r="AE2748">
        <v>1.03210000000001</v>
      </c>
      <c r="AF2748">
        <v>-1.28729389156336</v>
      </c>
      <c r="AG2748">
        <v>-1.105465261482</v>
      </c>
      <c r="AH2748">
        <v>12.984695644007299</v>
      </c>
      <c r="AI2748">
        <v>94.842574131493194</v>
      </c>
      <c r="AJ2748">
        <v>95.661763885785405</v>
      </c>
      <c r="AK2748">
        <v>13.095094500426599</v>
      </c>
    </row>
    <row r="2749" spans="1:37" x14ac:dyDescent="0.2">
      <c r="A2749" t="str">
        <f>"20200111160209621"</f>
        <v>20200111160209621</v>
      </c>
      <c r="B2749" t="str">
        <f>"1578729729614088"</f>
        <v>1578729729614088</v>
      </c>
      <c r="C2749" t="s">
        <v>37</v>
      </c>
      <c r="D2749">
        <v>5.7918830000000003</v>
      </c>
      <c r="E2749">
        <v>0.47389890000000001</v>
      </c>
      <c r="F2749" t="s">
        <v>60</v>
      </c>
      <c r="G2749">
        <v>-293.80700000000002</v>
      </c>
      <c r="H2749" s="1">
        <v>1.5697059999999999E-6</v>
      </c>
      <c r="I2749">
        <v>214.63130000000001</v>
      </c>
      <c r="J2749">
        <v>-307.52519999999998</v>
      </c>
      <c r="K2749">
        <v>1.1055079999999999</v>
      </c>
      <c r="L2749">
        <v>213.5025</v>
      </c>
      <c r="M2749">
        <v>0.99972280000000002</v>
      </c>
      <c r="N2749">
        <v>0</v>
      </c>
      <c r="O2749">
        <v>-1.8666350000000002E-2</v>
      </c>
      <c r="P2749">
        <v>0.99988929999999998</v>
      </c>
      <c r="Q2749">
        <v>4.6463609999999999E-3</v>
      </c>
      <c r="R2749">
        <v>1.414869E-2</v>
      </c>
      <c r="S2749">
        <v>2.9987789999999999</v>
      </c>
      <c r="T2749">
        <v>-0.2359156</v>
      </c>
      <c r="U2749">
        <v>0.2398071</v>
      </c>
      <c r="V2749">
        <v>-3.2864999999999998E-2</v>
      </c>
      <c r="W2749">
        <v>1.8904339999999999E-2</v>
      </c>
      <c r="X2749">
        <v>0.99928099999999997</v>
      </c>
      <c r="Y2749">
        <v>-9.7950609999999994E-2</v>
      </c>
      <c r="Z2749">
        <v>5.3051289999999996E-3</v>
      </c>
      <c r="AA2749">
        <v>0.99517710000000004</v>
      </c>
      <c r="AB2749">
        <v>32</v>
      </c>
      <c r="AC2749">
        <v>13.7181999999999</v>
      </c>
      <c r="AD2749">
        <v>-1.1055064302940001</v>
      </c>
      <c r="AE2749">
        <v>1.12880000000001</v>
      </c>
      <c r="AF2749">
        <v>-1.3758235371638801</v>
      </c>
      <c r="AG2749">
        <v>-1.1055064302940001</v>
      </c>
      <c r="AH2749">
        <v>13.6069640301329</v>
      </c>
      <c r="AI2749">
        <v>94.621369404120799</v>
      </c>
      <c r="AJ2749">
        <v>95.773652373417505</v>
      </c>
      <c r="AK2749">
        <v>13.720951315057</v>
      </c>
    </row>
    <row r="2750" spans="1:37" x14ac:dyDescent="0.2">
      <c r="A2750" t="str">
        <f>"20200111160209642"</f>
        <v>20200111160209642</v>
      </c>
      <c r="B2750" t="str">
        <f>"1578729729634115"</f>
        <v>1578729729634115</v>
      </c>
      <c r="C2750" t="s">
        <v>37</v>
      </c>
      <c r="D2750">
        <v>5.6651069999999999</v>
      </c>
      <c r="E2750">
        <v>0.47325519999999999</v>
      </c>
      <c r="F2750" t="s">
        <v>60</v>
      </c>
      <c r="G2750">
        <v>-292.71690000000001</v>
      </c>
      <c r="H2750" s="1">
        <v>1.3763390000000001E-6</v>
      </c>
      <c r="I2750">
        <v>214.80799999999999</v>
      </c>
      <c r="J2750">
        <v>-307.22359999999998</v>
      </c>
      <c r="K2750">
        <v>1.105532</v>
      </c>
      <c r="L2750">
        <v>213.4983</v>
      </c>
      <c r="M2750">
        <v>0.99974779999999996</v>
      </c>
      <c r="N2750">
        <v>0</v>
      </c>
      <c r="O2750">
        <v>-1.7273719999999999E-2</v>
      </c>
      <c r="P2750">
        <v>0.99983230000000001</v>
      </c>
      <c r="Q2750">
        <v>3.5522359999999998E-3</v>
      </c>
      <c r="R2750">
        <v>1.7967770000000001E-2</v>
      </c>
      <c r="S2750">
        <v>2.99762</v>
      </c>
      <c r="T2750">
        <v>-0.22378499999999901</v>
      </c>
      <c r="U2750">
        <v>0.26426699999999997</v>
      </c>
      <c r="V2750">
        <v>-3.528763E-2</v>
      </c>
      <c r="W2750">
        <v>1.7801600000000001E-2</v>
      </c>
      <c r="X2750">
        <v>0.99921859999999996</v>
      </c>
      <c r="Y2750">
        <v>-0.1046771</v>
      </c>
      <c r="Z2750">
        <v>5.1799569999999998E-3</v>
      </c>
      <c r="AA2750">
        <v>0.99449279999999995</v>
      </c>
      <c r="AB2750">
        <v>31</v>
      </c>
      <c r="AC2750">
        <v>14.506699999999899</v>
      </c>
      <c r="AD2750">
        <v>-1.1055306236610001</v>
      </c>
      <c r="AE2750">
        <v>1.3096999999999901</v>
      </c>
      <c r="AF2750">
        <v>-1.55117908350852</v>
      </c>
      <c r="AG2750">
        <v>-1.1055306236610001</v>
      </c>
      <c r="AH2750">
        <v>14.3989606481846</v>
      </c>
      <c r="AI2750">
        <v>94.365311303609005</v>
      </c>
      <c r="AJ2750">
        <v>96.148678106303606</v>
      </c>
      <c r="AK2750">
        <v>14.5244078108863</v>
      </c>
    </row>
    <row r="2751" spans="1:37" x14ac:dyDescent="0.2">
      <c r="A2751" t="str">
        <f>"20200111160209665"</f>
        <v>20200111160209665</v>
      </c>
      <c r="B2751" t="str">
        <f>"1578729729654611"</f>
        <v>1578729729654611</v>
      </c>
      <c r="C2751" t="s">
        <v>37</v>
      </c>
      <c r="D2751">
        <v>5.3438049999999997</v>
      </c>
      <c r="E2751">
        <v>0.4737247</v>
      </c>
      <c r="F2751" t="s">
        <v>60</v>
      </c>
      <c r="G2751">
        <v>-292.33120000000002</v>
      </c>
      <c r="H2751" s="1">
        <v>1.3079209999999999E-6</v>
      </c>
      <c r="I2751">
        <v>214.89240000000001</v>
      </c>
      <c r="J2751">
        <v>-306.91579999999999</v>
      </c>
      <c r="K2751">
        <v>1.1055429999999999</v>
      </c>
      <c r="L2751">
        <v>213.49449999999999</v>
      </c>
      <c r="M2751">
        <v>0.99977139999999998</v>
      </c>
      <c r="N2751">
        <v>0</v>
      </c>
      <c r="O2751">
        <v>-1.584783E-2</v>
      </c>
      <c r="P2751">
        <v>0.99977119999999997</v>
      </c>
      <c r="Q2751">
        <v>3.0376299999999999E-3</v>
      </c>
      <c r="R2751">
        <v>2.11878E-2</v>
      </c>
      <c r="S2751">
        <v>2.99624599999999</v>
      </c>
      <c r="T2751">
        <v>-0.22242500000000001</v>
      </c>
      <c r="U2751">
        <v>0.28048709999999999</v>
      </c>
      <c r="V2751">
        <v>-3.708086E-2</v>
      </c>
      <c r="W2751">
        <v>1.728145E-2</v>
      </c>
      <c r="X2751">
        <v>0.99916289999999996</v>
      </c>
      <c r="Y2751">
        <v>-0.10863440000000001</v>
      </c>
      <c r="Z2751">
        <v>5.1905129999999999E-3</v>
      </c>
      <c r="AA2751">
        <v>0.99406819999999896</v>
      </c>
      <c r="AB2751">
        <v>31</v>
      </c>
      <c r="AC2751">
        <v>14.584599999999901</v>
      </c>
      <c r="AD2751">
        <v>-1.105541692079</v>
      </c>
      <c r="AE2751">
        <v>1.3979000000000199</v>
      </c>
      <c r="AF2751">
        <v>-1.6196607225022499</v>
      </c>
      <c r="AG2751">
        <v>-1.105541692079</v>
      </c>
      <c r="AH2751">
        <v>14.4781785853642</v>
      </c>
      <c r="AI2751">
        <v>94.339618814390306</v>
      </c>
      <c r="AJ2751">
        <v>96.383087770494498</v>
      </c>
      <c r="AK2751">
        <v>14.6103791339801</v>
      </c>
    </row>
    <row r="2752" spans="1:37" x14ac:dyDescent="0.2">
      <c r="A2752" t="str">
        <f>"20200111160209686"</f>
        <v>20200111160209686</v>
      </c>
      <c r="B2752" t="str">
        <f>"1578729729684868"</f>
        <v>1578729729684868</v>
      </c>
      <c r="C2752" t="s">
        <v>37</v>
      </c>
      <c r="D2752">
        <v>5.3054389999999998</v>
      </c>
      <c r="E2752">
        <v>0.47427330000000001</v>
      </c>
      <c r="F2752" t="s">
        <v>60</v>
      </c>
      <c r="G2752">
        <v>-291.05869999999999</v>
      </c>
      <c r="H2752" s="1">
        <v>1.082201E-6</v>
      </c>
      <c r="I2752">
        <v>215.00640000000001</v>
      </c>
      <c r="J2752">
        <v>-306.61079999999998</v>
      </c>
      <c r="K2752">
        <v>1.1055520000000001</v>
      </c>
      <c r="L2752">
        <v>213.49109999999999</v>
      </c>
      <c r="M2752">
        <v>0.99979280000000004</v>
      </c>
      <c r="N2752">
        <v>0</v>
      </c>
      <c r="O2752">
        <v>-1.443442E-2</v>
      </c>
      <c r="P2752">
        <v>0.99972989999999995</v>
      </c>
      <c r="Q2752">
        <v>3.2094459999999999E-3</v>
      </c>
      <c r="R2752">
        <v>2.3017180000000002E-2</v>
      </c>
      <c r="S2752">
        <v>2.9952700000000001</v>
      </c>
      <c r="T2752">
        <v>-0.20882709999999999</v>
      </c>
      <c r="U2752">
        <v>0.28558349999999999</v>
      </c>
      <c r="V2752">
        <v>-3.7497139999999998E-2</v>
      </c>
      <c r="W2752">
        <v>1.745118E-2</v>
      </c>
      <c r="X2752">
        <v>0.99914429999999999</v>
      </c>
      <c r="Y2752">
        <v>-0.1089783</v>
      </c>
      <c r="Z2752">
        <v>4.7888840000000002E-3</v>
      </c>
      <c r="AA2752">
        <v>0.99403259999999904</v>
      </c>
      <c r="AB2752">
        <v>31</v>
      </c>
      <c r="AC2752">
        <v>15.5520999999999</v>
      </c>
      <c r="AD2752">
        <v>-1.1055509177989999</v>
      </c>
      <c r="AE2752">
        <v>1.5153000000000201</v>
      </c>
      <c r="AF2752">
        <v>-1.73098575270041</v>
      </c>
      <c r="AG2752">
        <v>-1.1055509177989999</v>
      </c>
      <c r="AH2752">
        <v>15.451258344437701</v>
      </c>
      <c r="AI2752">
        <v>94.0672311030781</v>
      </c>
      <c r="AJ2752">
        <v>96.392124332951795</v>
      </c>
      <c r="AK2752">
        <v>15.587172255879301</v>
      </c>
    </row>
    <row r="2753" spans="1:37" x14ac:dyDescent="0.2">
      <c r="A2753" t="str">
        <f>"20200111160209711"</f>
        <v>20200111160209711</v>
      </c>
      <c r="B2753" t="str">
        <f>"1578729729704387"</f>
        <v>1578729729704387</v>
      </c>
      <c r="C2753" t="s">
        <v>37</v>
      </c>
      <c r="D2753">
        <v>5.313593</v>
      </c>
      <c r="E2753">
        <v>0.47474719999999998</v>
      </c>
      <c r="F2753" t="s">
        <v>60</v>
      </c>
      <c r="G2753">
        <v>-291.12090000000001</v>
      </c>
      <c r="H2753" s="1">
        <v>1.0932439999999999E-6</v>
      </c>
      <c r="I2753">
        <v>214.9768</v>
      </c>
      <c r="J2753">
        <v>-306.28410000000002</v>
      </c>
      <c r="K2753">
        <v>1.105567</v>
      </c>
      <c r="L2753">
        <v>213.488</v>
      </c>
      <c r="M2753">
        <v>0.99981359999999997</v>
      </c>
      <c r="N2753">
        <v>0</v>
      </c>
      <c r="O2753">
        <v>-1.292225E-2</v>
      </c>
      <c r="P2753">
        <v>0.99971480000000001</v>
      </c>
      <c r="Q2753">
        <v>3.44553E-3</v>
      </c>
      <c r="R2753">
        <v>2.3643520000000001E-2</v>
      </c>
      <c r="S2753">
        <v>2.9948730000000001</v>
      </c>
      <c r="T2753">
        <v>-0.2137511</v>
      </c>
      <c r="U2753">
        <v>0.28724670000000002</v>
      </c>
      <c r="V2753">
        <v>-3.6612730000000003E-2</v>
      </c>
      <c r="W2753">
        <v>1.7690040000000001E-2</v>
      </c>
      <c r="X2753">
        <v>0.99917289999999903</v>
      </c>
      <c r="Y2753">
        <v>-0.10802629999999901</v>
      </c>
      <c r="Z2753">
        <v>4.7606039999999999E-3</v>
      </c>
      <c r="AA2753">
        <v>0.99413660000000004</v>
      </c>
      <c r="AB2753">
        <v>31</v>
      </c>
      <c r="AC2753">
        <v>15.1632</v>
      </c>
      <c r="AD2753">
        <v>-1.105565906756</v>
      </c>
      <c r="AE2753">
        <v>1.4887999999999899</v>
      </c>
      <c r="AF2753">
        <v>-1.6758148686149099</v>
      </c>
      <c r="AG2753">
        <v>-1.105565906756</v>
      </c>
      <c r="AH2753">
        <v>15.063380246545099</v>
      </c>
      <c r="AI2753">
        <v>94.172009052034596</v>
      </c>
      <c r="AJ2753">
        <v>96.348104236922495</v>
      </c>
      <c r="AK2753">
        <v>15.196580401526401</v>
      </c>
    </row>
    <row r="2754" spans="1:37" x14ac:dyDescent="0.2">
      <c r="A2754" t="str">
        <f>"20200111160209733"</f>
        <v>20200111160209733</v>
      </c>
      <c r="B2754" t="str">
        <f>"1578729729724884"</f>
        <v>1578729729724884</v>
      </c>
      <c r="C2754" t="s">
        <v>37</v>
      </c>
      <c r="D2754">
        <v>5.4302339999999996</v>
      </c>
      <c r="E2754">
        <v>0.47521219999999997</v>
      </c>
      <c r="F2754" t="s">
        <v>60</v>
      </c>
      <c r="G2754">
        <v>-290.87110000000001</v>
      </c>
      <c r="H2754" s="1">
        <v>1.048922E-6</v>
      </c>
      <c r="I2754">
        <v>214.95679999999999</v>
      </c>
      <c r="J2754">
        <v>-305.96499999999997</v>
      </c>
      <c r="K2754">
        <v>1.10558</v>
      </c>
      <c r="L2754">
        <v>213.4855</v>
      </c>
      <c r="M2754">
        <v>0.99983140000000004</v>
      </c>
      <c r="N2754">
        <v>0</v>
      </c>
      <c r="O2754">
        <v>-1.144922E-2</v>
      </c>
      <c r="P2754">
        <v>0.99970999999999999</v>
      </c>
      <c r="Q2754">
        <v>4.1235539999999998E-3</v>
      </c>
      <c r="R2754">
        <v>2.3730689999999999E-2</v>
      </c>
      <c r="S2754">
        <v>2.9948429999999999</v>
      </c>
      <c r="T2754">
        <v>-0.2148185</v>
      </c>
      <c r="U2754">
        <v>0.2854004</v>
      </c>
      <c r="V2754">
        <v>-3.5229610000000001E-2</v>
      </c>
      <c r="W2754">
        <v>1.8372280000000001E-2</v>
      </c>
      <c r="X2754">
        <v>0.99921039999999905</v>
      </c>
      <c r="Y2754">
        <v>-0.105960999999999</v>
      </c>
      <c r="Z2754">
        <v>4.6053730000000003E-3</v>
      </c>
      <c r="AA2754">
        <v>0.99435960000000001</v>
      </c>
      <c r="AB2754">
        <v>31</v>
      </c>
      <c r="AC2754">
        <v>15.0938999999999</v>
      </c>
      <c r="AD2754">
        <v>-1.1055789510780001</v>
      </c>
      <c r="AE2754">
        <v>1.4712999999999801</v>
      </c>
      <c r="AF2754">
        <v>-1.6353435601653299</v>
      </c>
      <c r="AG2754">
        <v>-1.1055789510780001</v>
      </c>
      <c r="AH2754">
        <v>14.9963640146399</v>
      </c>
      <c r="AI2754">
        <v>94.191636661220898</v>
      </c>
      <c r="AJ2754">
        <v>96.223475188056398</v>
      </c>
      <c r="AK2754">
        <v>15.125726000309101</v>
      </c>
    </row>
    <row r="2755" spans="1:37" x14ac:dyDescent="0.2">
      <c r="A2755" t="str">
        <f>"20200111160209756"</f>
        <v>20200111160209756</v>
      </c>
      <c r="B2755" t="str">
        <f>"1578729729744912"</f>
        <v>1578729729744912</v>
      </c>
      <c r="C2755" t="s">
        <v>37</v>
      </c>
      <c r="D2755">
        <v>5.4008719999999997</v>
      </c>
      <c r="E2755">
        <v>0.4755529</v>
      </c>
      <c r="F2755" t="s">
        <v>60</v>
      </c>
      <c r="G2755">
        <v>-290.62009999999998</v>
      </c>
      <c r="H2755" s="1">
        <v>1.004413E-6</v>
      </c>
      <c r="I2755">
        <v>214.9306</v>
      </c>
      <c r="J2755">
        <v>-305.65140000000002</v>
      </c>
      <c r="K2755">
        <v>1.105585</v>
      </c>
      <c r="L2755">
        <v>213.48349999999999</v>
      </c>
      <c r="M2755">
        <v>0.99984689999999998</v>
      </c>
      <c r="N2755">
        <v>0</v>
      </c>
      <c r="O2755">
        <v>-1.0004580000000001E-2</v>
      </c>
      <c r="P2755">
        <v>0.99971690000000002</v>
      </c>
      <c r="Q2755">
        <v>4.4396669999999996E-3</v>
      </c>
      <c r="R2755">
        <v>2.3385550000000001E-2</v>
      </c>
      <c r="S2755">
        <v>2.9950559999999999</v>
      </c>
      <c r="T2755">
        <v>-0.21579090000000001</v>
      </c>
      <c r="U2755">
        <v>0.2820587</v>
      </c>
      <c r="V2755">
        <v>-3.3441690000000003E-2</v>
      </c>
      <c r="W2755">
        <v>1.869314E-2</v>
      </c>
      <c r="X2755">
        <v>0.99926579999999998</v>
      </c>
      <c r="Y2755">
        <v>-0.10342519999999999</v>
      </c>
      <c r="Z2755">
        <v>4.4312930000000002E-3</v>
      </c>
      <c r="AA2755">
        <v>0.99462739999999905</v>
      </c>
      <c r="AB2755">
        <v>31</v>
      </c>
      <c r="AC2755">
        <v>15.0313</v>
      </c>
      <c r="AD2755">
        <v>-1.1055839955869999</v>
      </c>
      <c r="AE2755">
        <v>1.4471000000000001</v>
      </c>
      <c r="AF2755">
        <v>-1.5889079851572401</v>
      </c>
      <c r="AG2755">
        <v>-1.1055839955869999</v>
      </c>
      <c r="AH2755">
        <v>14.936007958173199</v>
      </c>
      <c r="AI2755">
        <v>94.209724961268904</v>
      </c>
      <c r="AJ2755">
        <v>96.072346285548505</v>
      </c>
      <c r="AK2755">
        <v>15.060918905671301</v>
      </c>
    </row>
    <row r="2756" spans="1:37" x14ac:dyDescent="0.2">
      <c r="A2756" t="str">
        <f>"20200111160209779"</f>
        <v>20200111160209779</v>
      </c>
      <c r="B2756" t="str">
        <f>"1578729729774191"</f>
        <v>1578729729774191</v>
      </c>
      <c r="C2756" t="s">
        <v>37</v>
      </c>
      <c r="D2756">
        <v>5.3507800000000003</v>
      </c>
      <c r="E2756">
        <v>0.47577219999999998</v>
      </c>
      <c r="F2756" t="s">
        <v>60</v>
      </c>
      <c r="G2756">
        <v>-290.41000000000003</v>
      </c>
      <c r="H2756" s="1">
        <v>9.6714390000000003E-7</v>
      </c>
      <c r="I2756">
        <v>214.8998</v>
      </c>
      <c r="J2756">
        <v>-305.3415</v>
      </c>
      <c r="K2756">
        <v>1.105591</v>
      </c>
      <c r="L2756">
        <v>213.4819</v>
      </c>
      <c r="M2756">
        <v>0.99986010000000003</v>
      </c>
      <c r="N2756">
        <v>0</v>
      </c>
      <c r="O2756">
        <v>-8.5789049999999995E-3</v>
      </c>
      <c r="P2756">
        <v>0.99971169999999998</v>
      </c>
      <c r="Q2756">
        <v>4.9231329999999997E-3</v>
      </c>
      <c r="R2756">
        <v>2.3501950000000001E-2</v>
      </c>
      <c r="S2756">
        <v>2.9952999999999999</v>
      </c>
      <c r="T2756">
        <v>-0.21727479999999999</v>
      </c>
      <c r="U2756">
        <v>0.27833559999999902</v>
      </c>
      <c r="V2756">
        <v>-3.2133879999999997E-2</v>
      </c>
      <c r="W2756">
        <v>1.91799E-2</v>
      </c>
      <c r="X2756">
        <v>0.99929950000000001</v>
      </c>
      <c r="Y2756">
        <v>-0.1007801</v>
      </c>
      <c r="Z2756">
        <v>4.2628880000000003E-3</v>
      </c>
      <c r="AA2756">
        <v>0.994899599999999</v>
      </c>
      <c r="AB2756">
        <v>31</v>
      </c>
      <c r="AC2756">
        <v>14.9314999999999</v>
      </c>
      <c r="AD2756">
        <v>-1.1055900328560999</v>
      </c>
      <c r="AE2756">
        <v>1.4178999999999999</v>
      </c>
      <c r="AF2756">
        <v>-1.5376023190044299</v>
      </c>
      <c r="AG2756">
        <v>-1.1055900328560999</v>
      </c>
      <c r="AH2756">
        <v>14.838161424815601</v>
      </c>
      <c r="AI2756">
        <v>94.238615921207099</v>
      </c>
      <c r="AJ2756">
        <v>95.916151021240097</v>
      </c>
      <c r="AK2756">
        <v>14.9585288274296</v>
      </c>
    </row>
    <row r="2757" spans="1:37" x14ac:dyDescent="0.2">
      <c r="A2757" t="str">
        <f>"20200111160209801"</f>
        <v>20200111160209801</v>
      </c>
      <c r="B2757" t="str">
        <f>"1578729729794688"</f>
        <v>1578729729794688</v>
      </c>
      <c r="C2757" t="s">
        <v>37</v>
      </c>
      <c r="D2757">
        <v>5.3601599999999996</v>
      </c>
      <c r="E2757">
        <v>0.4762981</v>
      </c>
      <c r="F2757" t="s">
        <v>60</v>
      </c>
      <c r="G2757">
        <v>-290.07209999999998</v>
      </c>
      <c r="H2757" s="1">
        <v>9.0719240000000004E-7</v>
      </c>
      <c r="I2757">
        <v>214.89340000000001</v>
      </c>
      <c r="J2757">
        <v>-305.02370000000002</v>
      </c>
      <c r="K2757">
        <v>1.1055950000000001</v>
      </c>
      <c r="L2757">
        <v>213.48070000000001</v>
      </c>
      <c r="M2757">
        <v>0.99987159999999997</v>
      </c>
      <c r="N2757">
        <v>0</v>
      </c>
      <c r="O2757">
        <v>-7.1177180000000003E-3</v>
      </c>
      <c r="P2757">
        <v>0.99969050000000004</v>
      </c>
      <c r="Q2757">
        <v>5.2628329999999997E-3</v>
      </c>
      <c r="R2757">
        <v>2.4317760000000001E-2</v>
      </c>
      <c r="S2757">
        <v>2.9954529999999999</v>
      </c>
      <c r="T2757">
        <v>-0.2168871</v>
      </c>
      <c r="U2757">
        <v>0.27690120000000001</v>
      </c>
      <c r="V2757">
        <v>-3.1490379999999998E-2</v>
      </c>
      <c r="W2757">
        <v>1.9520780000000001E-2</v>
      </c>
      <c r="X2757">
        <v>0.99931340000000002</v>
      </c>
      <c r="Y2757">
        <v>-9.8858860000000007E-2</v>
      </c>
      <c r="Z2757">
        <v>4.0803979999999998E-3</v>
      </c>
      <c r="AA2757">
        <v>0.99509309999999995</v>
      </c>
      <c r="AB2757">
        <v>31</v>
      </c>
      <c r="AC2757">
        <v>14.951599999999999</v>
      </c>
      <c r="AD2757">
        <v>-1.1055940928076</v>
      </c>
      <c r="AE2757">
        <v>1.4127000000000001</v>
      </c>
      <c r="AF2757">
        <v>-1.5109081400473501</v>
      </c>
      <c r="AG2757">
        <v>-1.1055940928076</v>
      </c>
      <c r="AH2757">
        <v>14.860628333188499</v>
      </c>
      <c r="AI2757">
        <v>94.233083211920999</v>
      </c>
      <c r="AJ2757">
        <v>95.805421045116603</v>
      </c>
      <c r="AK2757">
        <v>14.9780992172865</v>
      </c>
    </row>
    <row r="2758" spans="1:37" x14ac:dyDescent="0.2">
      <c r="A2758" t="str">
        <f>"20200111160209823"</f>
        <v>20200111160209823</v>
      </c>
      <c r="B2758" t="str">
        <f>"1578729729814207"</f>
        <v>1578729729814207</v>
      </c>
      <c r="C2758" t="s">
        <v>37</v>
      </c>
      <c r="D2758">
        <v>5.8077610000000002</v>
      </c>
      <c r="E2758">
        <v>0.47660200000000003</v>
      </c>
      <c r="F2758" t="s">
        <v>60</v>
      </c>
      <c r="G2758">
        <v>-289.86930000000001</v>
      </c>
      <c r="H2758" s="1">
        <v>2.68372099999999E-6</v>
      </c>
      <c r="I2758">
        <v>214.87289999999999</v>
      </c>
      <c r="J2758">
        <v>-304.71010000000001</v>
      </c>
      <c r="K2758">
        <v>1.105591</v>
      </c>
      <c r="L2758">
        <v>213.48009999999999</v>
      </c>
      <c r="M2758">
        <v>0.99988099999999902</v>
      </c>
      <c r="N2758">
        <v>0</v>
      </c>
      <c r="O2758">
        <v>-5.6754919999999999E-3</v>
      </c>
      <c r="P2758">
        <v>0.99964719999999996</v>
      </c>
      <c r="Q2758">
        <v>5.9420540000000004E-3</v>
      </c>
      <c r="R2758">
        <v>2.5891959999999999E-2</v>
      </c>
      <c r="S2758">
        <v>2.9953609999999999</v>
      </c>
      <c r="T2758">
        <v>-0.218526</v>
      </c>
      <c r="U2758">
        <v>0.27516170000000001</v>
      </c>
      <c r="V2758">
        <v>-3.1624340000000001E-2</v>
      </c>
      <c r="W2758">
        <v>2.0198230000000001E-2</v>
      </c>
      <c r="X2758">
        <v>0.99929570000000001</v>
      </c>
      <c r="Y2758">
        <v>-9.6858E-2</v>
      </c>
      <c r="Z2758">
        <v>3.9337629999999998E-3</v>
      </c>
      <c r="AA2758">
        <v>0.99529049999999997</v>
      </c>
      <c r="AB2758">
        <v>31</v>
      </c>
      <c r="AC2758">
        <v>14.8408</v>
      </c>
      <c r="AD2758">
        <v>-1.1055883162789999</v>
      </c>
      <c r="AE2758">
        <v>1.39279999999999</v>
      </c>
      <c r="AF2758">
        <v>-1.46893405275074</v>
      </c>
      <c r="AG2758">
        <v>-1.1055883162789999</v>
      </c>
      <c r="AH2758">
        <v>14.751503119656601</v>
      </c>
      <c r="AI2758">
        <v>94.265146456459405</v>
      </c>
      <c r="AJ2758">
        <v>95.6866868469059</v>
      </c>
      <c r="AK2758">
        <v>14.865629386799</v>
      </c>
    </row>
    <row r="2759" spans="1:37" x14ac:dyDescent="0.2">
      <c r="A2759" t="str">
        <f>"20200111160209845"</f>
        <v>20200111160209845</v>
      </c>
      <c r="B2759" t="str">
        <f>"1578729729834703"</f>
        <v>1578729729834703</v>
      </c>
      <c r="C2759" t="s">
        <v>37</v>
      </c>
      <c r="D2759">
        <v>5.3206100000000003</v>
      </c>
      <c r="E2759">
        <v>0.47675450000000003</v>
      </c>
      <c r="F2759" t="s">
        <v>60</v>
      </c>
      <c r="G2759">
        <v>-289.2235</v>
      </c>
      <c r="H2759" s="1">
        <v>2.9652559999999999E-6</v>
      </c>
      <c r="I2759">
        <v>214.91319999999999</v>
      </c>
      <c r="J2759">
        <v>-304.41379999999998</v>
      </c>
      <c r="K2759">
        <v>1.105586</v>
      </c>
      <c r="L2759">
        <v>213.47989999999999</v>
      </c>
      <c r="M2759">
        <v>0.99988779999999999</v>
      </c>
      <c r="N2759">
        <v>0</v>
      </c>
      <c r="O2759">
        <v>-4.3132550000000002E-3</v>
      </c>
      <c r="P2759">
        <v>0.99960179999999998</v>
      </c>
      <c r="Q2759">
        <v>5.896887E-3</v>
      </c>
      <c r="R2759">
        <v>2.7604469999999999E-2</v>
      </c>
      <c r="S2759">
        <v>2.9951779999999899</v>
      </c>
      <c r="T2759">
        <v>-0.2138263</v>
      </c>
      <c r="U2759">
        <v>0.27717589999999998</v>
      </c>
      <c r="V2759">
        <v>-3.1974589999999997E-2</v>
      </c>
      <c r="W2759">
        <v>2.01495999999999E-2</v>
      </c>
      <c r="X2759">
        <v>0.9992856</v>
      </c>
      <c r="Y2759">
        <v>-9.6187830000000002E-2</v>
      </c>
      <c r="Z2759">
        <v>3.7287129999999998E-3</v>
      </c>
      <c r="AA2759">
        <v>0.99535620000000002</v>
      </c>
      <c r="AB2759">
        <v>31</v>
      </c>
      <c r="AC2759">
        <v>15.190299999999899</v>
      </c>
      <c r="AD2759">
        <v>-1.1055830347439899</v>
      </c>
      <c r="AE2759">
        <v>1.4333</v>
      </c>
      <c r="AF2759">
        <v>-1.4909846312556501</v>
      </c>
      <c r="AG2759">
        <v>-1.1055830347439899</v>
      </c>
      <c r="AH2759">
        <v>15.1046687974868</v>
      </c>
      <c r="AI2759">
        <v>94.166111463356003</v>
      </c>
      <c r="AJ2759">
        <v>95.6374144932972</v>
      </c>
      <c r="AK2759">
        <v>15.218290590573099</v>
      </c>
    </row>
    <row r="2760" spans="1:37" x14ac:dyDescent="0.2">
      <c r="A2760" t="str">
        <f>"20200111160209865"</f>
        <v>20200111160209865</v>
      </c>
      <c r="B2760" t="str">
        <f>"1578729729854223"</f>
        <v>1578729729854223</v>
      </c>
      <c r="C2760" t="s">
        <v>37</v>
      </c>
      <c r="D2760">
        <v>5.5413410000000001</v>
      </c>
      <c r="E2760">
        <v>0.47667309999999902</v>
      </c>
      <c r="F2760" t="s">
        <v>60</v>
      </c>
      <c r="G2760">
        <v>-289.03109999999998</v>
      </c>
      <c r="H2760" s="1">
        <v>3.0491420000000001E-6</v>
      </c>
      <c r="I2760">
        <v>214.9256</v>
      </c>
      <c r="J2760">
        <v>-304.1266</v>
      </c>
      <c r="K2760">
        <v>1.105588</v>
      </c>
      <c r="L2760">
        <v>213.48</v>
      </c>
      <c r="M2760">
        <v>0.99989269999999997</v>
      </c>
      <c r="N2760">
        <v>0</v>
      </c>
      <c r="O2760">
        <v>-2.9925059999999998E-3</v>
      </c>
      <c r="P2760">
        <v>0.99954659999999995</v>
      </c>
      <c r="Q2760">
        <v>6.0762669999999998E-3</v>
      </c>
      <c r="R2760">
        <v>2.9493450000000001E-2</v>
      </c>
      <c r="S2760">
        <v>2.9946899999999999</v>
      </c>
      <c r="T2760">
        <v>-0.2152328</v>
      </c>
      <c r="U2760">
        <v>0.28144839999999999</v>
      </c>
      <c r="V2760">
        <v>-3.2543879999999997E-2</v>
      </c>
      <c r="W2760">
        <v>2.032552E-2</v>
      </c>
      <c r="X2760">
        <v>0.99926360000000003</v>
      </c>
      <c r="Y2760">
        <v>-9.6295510000000001E-2</v>
      </c>
      <c r="Z2760">
        <v>3.6627829999999902E-3</v>
      </c>
      <c r="AA2760">
        <v>0.99534609999999901</v>
      </c>
      <c r="AB2760">
        <v>31</v>
      </c>
      <c r="AC2760">
        <v>15.095499999999999</v>
      </c>
      <c r="AD2760">
        <v>-1.105584950858</v>
      </c>
      <c r="AE2760">
        <v>1.44560000000001</v>
      </c>
      <c r="AF2760">
        <v>-1.48288959999563</v>
      </c>
      <c r="AG2760">
        <v>-1.105584950858</v>
      </c>
      <c r="AH2760">
        <v>15.0113169134793</v>
      </c>
      <c r="AI2760">
        <v>94.191904237913604</v>
      </c>
      <c r="AJ2760">
        <v>95.641647127411005</v>
      </c>
      <c r="AK2760">
        <v>15.1248443008927</v>
      </c>
    </row>
    <row r="2761" spans="1:37" x14ac:dyDescent="0.2">
      <c r="A2761" t="str">
        <f>"20200111160209889"</f>
        <v>20200111160209889</v>
      </c>
      <c r="B2761" t="str">
        <f>"1578729729884479"</f>
        <v>1578729729884479</v>
      </c>
      <c r="C2761" t="s">
        <v>37</v>
      </c>
      <c r="D2761">
        <v>5.3398320000000004</v>
      </c>
      <c r="E2761">
        <v>0.47693679999999899</v>
      </c>
      <c r="F2761" t="s">
        <v>60</v>
      </c>
      <c r="G2761">
        <v>-288.6669</v>
      </c>
      <c r="H2761" s="1">
        <v>3.2057949999999999E-6</v>
      </c>
      <c r="I2761">
        <v>214.96599999999901</v>
      </c>
      <c r="J2761">
        <v>-303.8141</v>
      </c>
      <c r="K2761">
        <v>1.105588</v>
      </c>
      <c r="L2761">
        <v>213.48060000000001</v>
      </c>
      <c r="M2761">
        <v>0.99989589999999995</v>
      </c>
      <c r="N2761">
        <v>0</v>
      </c>
      <c r="O2761">
        <v>-1.5564979999999999E-3</v>
      </c>
      <c r="P2761">
        <v>0.99948309999999996</v>
      </c>
      <c r="Q2761">
        <v>6.0632580000000002E-3</v>
      </c>
      <c r="R2761">
        <v>3.1575890000000002E-2</v>
      </c>
      <c r="S2761">
        <v>2.994202</v>
      </c>
      <c r="T2761">
        <v>-0.2141275</v>
      </c>
      <c r="U2761">
        <v>0.28781129999999999</v>
      </c>
      <c r="V2761">
        <v>-3.3190480000000001E-2</v>
      </c>
      <c r="W2761">
        <v>2.0308349999999999E-2</v>
      </c>
      <c r="X2761">
        <v>0.99924269999999904</v>
      </c>
      <c r="Y2761">
        <v>-9.6981919999999999E-2</v>
      </c>
      <c r="Z2761">
        <v>3.5663579999999999E-3</v>
      </c>
      <c r="AA2761">
        <v>0.99527969999999899</v>
      </c>
      <c r="AB2761">
        <v>31</v>
      </c>
      <c r="AC2761">
        <v>15.1471999999999</v>
      </c>
      <c r="AD2761">
        <v>-1.1055847942050001</v>
      </c>
      <c r="AE2761">
        <v>1.4853999999999701</v>
      </c>
      <c r="AF2761">
        <v>-1.50105657839899</v>
      </c>
      <c r="AG2761">
        <v>-1.1055847942050001</v>
      </c>
      <c r="AH2761">
        <v>15.0653738375701</v>
      </c>
      <c r="AI2761">
        <v>94.176567634767594</v>
      </c>
      <c r="AJ2761">
        <v>95.689954484484502</v>
      </c>
      <c r="AK2761">
        <v>15.1802825222218</v>
      </c>
    </row>
    <row r="2762" spans="1:37" x14ac:dyDescent="0.2">
      <c r="A2762" t="str">
        <f>"20200111160209912"</f>
        <v>20200111160209912</v>
      </c>
      <c r="B2762" t="str">
        <f>"1578729729904975"</f>
        <v>1578729729904975</v>
      </c>
      <c r="C2762" t="s">
        <v>37</v>
      </c>
      <c r="D2762">
        <v>5.2961400000000003</v>
      </c>
      <c r="E2762">
        <v>0.47724349999999999</v>
      </c>
      <c r="F2762" t="s">
        <v>60</v>
      </c>
      <c r="G2762">
        <v>-288.46210000000002</v>
      </c>
      <c r="H2762" s="1">
        <v>3.29516799999999E-6</v>
      </c>
      <c r="I2762">
        <v>214.97839999999999</v>
      </c>
      <c r="J2762">
        <v>-303.48700000000002</v>
      </c>
      <c r="K2762">
        <v>1.1055889999999999</v>
      </c>
      <c r="L2762">
        <v>213.48179999999999</v>
      </c>
      <c r="M2762">
        <v>0.99989699999999904</v>
      </c>
      <c r="N2762">
        <v>0</v>
      </c>
      <c r="O2762" s="1">
        <v>-5.3859819999999997E-5</v>
      </c>
      <c r="P2762">
        <v>0.99943199999999999</v>
      </c>
      <c r="Q2762">
        <v>5.44049599999999E-3</v>
      </c>
      <c r="R2762">
        <v>3.3256679999999997E-2</v>
      </c>
      <c r="S2762">
        <v>2.9935909999999999</v>
      </c>
      <c r="T2762">
        <v>-0.21558479999999999</v>
      </c>
      <c r="U2762">
        <v>0.29205320000000001</v>
      </c>
      <c r="V2762">
        <v>-3.3366720000000002E-2</v>
      </c>
      <c r="W2762">
        <v>1.9683349999999999E-2</v>
      </c>
      <c r="X2762">
        <v>0.99924930000000001</v>
      </c>
      <c r="Y2762">
        <v>-9.6903379999999997E-2</v>
      </c>
      <c r="Z2762">
        <v>3.4804009999999902E-3</v>
      </c>
      <c r="AA2762">
        <v>0.9952877</v>
      </c>
      <c r="AB2762">
        <v>31</v>
      </c>
      <c r="AC2762">
        <v>15.024900000000001</v>
      </c>
      <c r="AD2762">
        <v>-1.1055857048319999</v>
      </c>
      <c r="AE2762">
        <v>1.4965999999999999</v>
      </c>
      <c r="AF2762">
        <v>-1.48942400057958</v>
      </c>
      <c r="AG2762">
        <v>-1.1055857048319999</v>
      </c>
      <c r="AH2762">
        <v>14.944695662826099</v>
      </c>
      <c r="AI2762">
        <v>94.210165179415299</v>
      </c>
      <c r="AJ2762">
        <v>95.691440060682297</v>
      </c>
      <c r="AK2762">
        <v>15.059370241106601</v>
      </c>
    </row>
    <row r="2763" spans="1:37" x14ac:dyDescent="0.2">
      <c r="A2763" t="str">
        <f>"20200111160209935"</f>
        <v>20200111160209935</v>
      </c>
      <c r="B2763" t="str">
        <f>"1578729729924495"</f>
        <v>1578729729924495</v>
      </c>
      <c r="C2763" t="s">
        <v>37</v>
      </c>
      <c r="D2763">
        <v>5.4402669999999897</v>
      </c>
      <c r="E2763">
        <v>0.47751779999999999</v>
      </c>
      <c r="F2763" t="s">
        <v>60</v>
      </c>
      <c r="G2763">
        <v>-288.41800000000001</v>
      </c>
      <c r="H2763" s="1">
        <v>3.31613099999999E-6</v>
      </c>
      <c r="I2763">
        <v>214.96639999999999</v>
      </c>
      <c r="J2763">
        <v>-303.17790000000002</v>
      </c>
      <c r="K2763">
        <v>1.105577</v>
      </c>
      <c r="L2763">
        <v>213.48330000000001</v>
      </c>
      <c r="M2763">
        <v>0.99989619999999901</v>
      </c>
      <c r="N2763">
        <v>0</v>
      </c>
      <c r="O2763">
        <v>1.36300299999999E-3</v>
      </c>
      <c r="P2763">
        <v>0.9993841</v>
      </c>
      <c r="Q2763">
        <v>4.8792319999999998E-3</v>
      </c>
      <c r="R2763">
        <v>3.4751820000000003E-2</v>
      </c>
      <c r="S2763">
        <v>2.9931030000000001</v>
      </c>
      <c r="T2763">
        <v>-0.2195985</v>
      </c>
      <c r="U2763">
        <v>0.29489140000000003</v>
      </c>
      <c r="V2763">
        <v>-3.3443790000000001E-2</v>
      </c>
      <c r="W2763">
        <v>1.9119830000000001E-2</v>
      </c>
      <c r="X2763">
        <v>0.99925769999999903</v>
      </c>
      <c r="Y2763">
        <v>-9.6439159999999996E-2</v>
      </c>
      <c r="Z2763">
        <v>3.4249020000000001E-3</v>
      </c>
      <c r="AA2763">
        <v>0.99533300000000002</v>
      </c>
      <c r="AB2763">
        <v>31</v>
      </c>
      <c r="AC2763">
        <v>14.7599</v>
      </c>
      <c r="AD2763">
        <v>-1.105573683869</v>
      </c>
      <c r="AE2763">
        <v>1.4830999999999701</v>
      </c>
      <c r="AF2763">
        <v>-1.45489752329904</v>
      </c>
      <c r="AG2763">
        <v>-1.105573683869</v>
      </c>
      <c r="AH2763">
        <v>14.680365744321</v>
      </c>
      <c r="AI2763">
        <v>94.285879884791896</v>
      </c>
      <c r="AJ2763">
        <v>95.659816170206497</v>
      </c>
      <c r="AK2763">
        <v>14.793652637560401</v>
      </c>
    </row>
    <row r="2764" spans="1:37" x14ac:dyDescent="0.2">
      <c r="A2764" t="str">
        <f>"20200111160209955"</f>
        <v>20200111160209955</v>
      </c>
      <c r="B2764" t="str">
        <f>"1578729729944992"</f>
        <v>1578729729944992</v>
      </c>
      <c r="C2764" t="s">
        <v>37</v>
      </c>
      <c r="D2764">
        <v>5.4304350000000001</v>
      </c>
      <c r="E2764">
        <v>0.47774990000000001</v>
      </c>
      <c r="F2764" t="s">
        <v>60</v>
      </c>
      <c r="G2764">
        <v>-288.34969999999998</v>
      </c>
      <c r="H2764" s="1">
        <v>3.3477039999999998E-6</v>
      </c>
      <c r="I2764">
        <v>214.9556</v>
      </c>
      <c r="J2764">
        <v>-302.88709999999998</v>
      </c>
      <c r="K2764">
        <v>1.1055759999999999</v>
      </c>
      <c r="L2764">
        <v>213.48509999999999</v>
      </c>
      <c r="M2764">
        <v>0.99989349999999999</v>
      </c>
      <c r="N2764">
        <v>0</v>
      </c>
      <c r="O2764">
        <v>2.6926609999999998E-3</v>
      </c>
      <c r="P2764">
        <v>0.99934429999999996</v>
      </c>
      <c r="Q2764">
        <v>4.3747609999999996E-3</v>
      </c>
      <c r="R2764">
        <v>3.5942679999999998E-2</v>
      </c>
      <c r="S2764">
        <v>2.9925839999999999</v>
      </c>
      <c r="T2764">
        <v>-0.22312509999999999</v>
      </c>
      <c r="U2764">
        <v>0.29713440000000002</v>
      </c>
      <c r="V2764">
        <v>-3.3304029999999998E-2</v>
      </c>
      <c r="W2764">
        <v>1.8613520000000001E-2</v>
      </c>
      <c r="X2764">
        <v>0.99927189999999999</v>
      </c>
      <c r="Y2764">
        <v>-9.5868200000000001E-2</v>
      </c>
      <c r="Z2764">
        <v>3.3602559999999998E-3</v>
      </c>
      <c r="AA2764">
        <v>0.99538839999999995</v>
      </c>
      <c r="AB2764">
        <v>31</v>
      </c>
      <c r="AC2764">
        <v>14.5373999999999</v>
      </c>
      <c r="AD2764">
        <v>-1.1055726522960001</v>
      </c>
      <c r="AE2764">
        <v>1.4705000000000099</v>
      </c>
      <c r="AF2764">
        <v>-1.4231984546466301</v>
      </c>
      <c r="AG2764">
        <v>-1.1055726522960001</v>
      </c>
      <c r="AH2764">
        <v>14.458531299704401</v>
      </c>
      <c r="AI2764">
        <v>94.351667479080703</v>
      </c>
      <c r="AJ2764">
        <v>95.621693098197298</v>
      </c>
      <c r="AK2764">
        <v>14.5704122136385</v>
      </c>
    </row>
    <row r="2765" spans="1:37" x14ac:dyDescent="0.2">
      <c r="A2765" t="str">
        <f>"20200111160209984"</f>
        <v>20200111160209984</v>
      </c>
      <c r="B2765" t="str">
        <f>"1578729729975248"</f>
        <v>1578729729975248</v>
      </c>
      <c r="C2765" t="s">
        <v>37</v>
      </c>
      <c r="D2765">
        <v>5.5260119999999997</v>
      </c>
      <c r="E2765">
        <v>0.47784539999999998</v>
      </c>
      <c r="F2765" t="s">
        <v>60</v>
      </c>
      <c r="G2765">
        <v>-288.209</v>
      </c>
      <c r="H2765" s="1">
        <v>3.4105779999999998E-6</v>
      </c>
      <c r="I2765">
        <v>214.95179999999999</v>
      </c>
      <c r="J2765">
        <v>-302.50439999999998</v>
      </c>
      <c r="K2765">
        <v>1.1055709999999901</v>
      </c>
      <c r="L2765">
        <v>213.4881</v>
      </c>
      <c r="M2765">
        <v>0.99988750000000004</v>
      </c>
      <c r="N2765">
        <v>0</v>
      </c>
      <c r="O2765">
        <v>4.4342409999999898E-3</v>
      </c>
      <c r="P2765">
        <v>0.99929040000000002</v>
      </c>
      <c r="Q2765">
        <v>3.8338489999999999E-3</v>
      </c>
      <c r="R2765">
        <v>3.7474340000000002E-2</v>
      </c>
      <c r="S2765">
        <v>2.9921880000000001</v>
      </c>
      <c r="T2765">
        <v>-0.22537579999999999</v>
      </c>
      <c r="U2765">
        <v>0.29898069999999999</v>
      </c>
      <c r="V2765">
        <v>-3.3093749999999998E-2</v>
      </c>
      <c r="W2765">
        <v>1.8070969999999999E-2</v>
      </c>
      <c r="X2765">
        <v>0.99928890000000004</v>
      </c>
      <c r="Y2765">
        <v>-9.4758339999999996E-2</v>
      </c>
      <c r="Z2765">
        <v>3.222094E-3</v>
      </c>
      <c r="AA2765">
        <v>0.99549509999999997</v>
      </c>
      <c r="AB2765">
        <v>31</v>
      </c>
      <c r="AC2765">
        <v>14.2953999999999</v>
      </c>
      <c r="AD2765">
        <v>-1.1055675894219901</v>
      </c>
      <c r="AE2765">
        <v>1.46369999999998</v>
      </c>
      <c r="AF2765">
        <v>-1.39205029708905</v>
      </c>
      <c r="AG2765">
        <v>-1.1055675894219901</v>
      </c>
      <c r="AH2765">
        <v>14.217596471941199</v>
      </c>
      <c r="AI2765">
        <v>94.425325261726996</v>
      </c>
      <c r="AJ2765">
        <v>95.5920278746772</v>
      </c>
      <c r="AK2765">
        <v>14.328298334532301</v>
      </c>
    </row>
    <row r="2766" spans="1:37" x14ac:dyDescent="0.2">
      <c r="A2766" t="str">
        <f>"20200111160210002"</f>
        <v>20200111160210002</v>
      </c>
      <c r="B2766" t="str">
        <f>"1578729729994767"</f>
        <v>1578729729994767</v>
      </c>
      <c r="C2766" t="s">
        <v>37</v>
      </c>
      <c r="D2766">
        <v>5.3382350000000001</v>
      </c>
      <c r="E2766">
        <v>0.47814659999999898</v>
      </c>
      <c r="F2766" t="s">
        <v>60</v>
      </c>
      <c r="G2766">
        <v>-287.8648</v>
      </c>
      <c r="H2766" s="1">
        <v>3.5611519999999998E-6</v>
      </c>
      <c r="I2766">
        <v>214.96889999999999</v>
      </c>
      <c r="J2766">
        <v>-302.25170000000003</v>
      </c>
      <c r="K2766">
        <v>1.105564</v>
      </c>
      <c r="L2766">
        <v>213.49039999999999</v>
      </c>
      <c r="M2766">
        <v>0.99988169999999899</v>
      </c>
      <c r="N2766">
        <v>0</v>
      </c>
      <c r="O2766">
        <v>5.5737149999999999E-3</v>
      </c>
      <c r="P2766">
        <v>0.99925679999999995</v>
      </c>
      <c r="Q2766">
        <v>3.4676569999999999E-3</v>
      </c>
      <c r="R2766">
        <v>3.8391290000000002E-2</v>
      </c>
      <c r="S2766">
        <v>2.9916079999999998</v>
      </c>
      <c r="T2766">
        <v>-0.22592309999999999</v>
      </c>
      <c r="U2766">
        <v>0.3026123</v>
      </c>
      <c r="V2766">
        <v>-3.2870480000000001E-2</v>
      </c>
      <c r="W2766">
        <v>1.7703859999999998E-2</v>
      </c>
      <c r="X2766">
        <v>0.99930280000000005</v>
      </c>
      <c r="Y2766">
        <v>-9.4841060000000005E-2</v>
      </c>
      <c r="Z2766">
        <v>3.1477250000000001E-3</v>
      </c>
      <c r="AA2766">
        <v>0.99548749999999997</v>
      </c>
      <c r="AB2766">
        <v>31</v>
      </c>
      <c r="AC2766">
        <v>14.386900000000001</v>
      </c>
      <c r="AD2766">
        <v>-1.105560438848</v>
      </c>
      <c r="AE2766">
        <v>1.4784999999999899</v>
      </c>
      <c r="AF2766">
        <v>-1.39015702016109</v>
      </c>
      <c r="AG2766">
        <v>-1.105560438848</v>
      </c>
      <c r="AH2766">
        <v>14.311291013329299</v>
      </c>
      <c r="AI2766">
        <v>94.396765912469903</v>
      </c>
      <c r="AJ2766">
        <v>95.548138382426998</v>
      </c>
      <c r="AK2766">
        <v>14.421090489032</v>
      </c>
    </row>
    <row r="2767" spans="1:37" x14ac:dyDescent="0.2">
      <c r="A2767" t="str">
        <f>"20200111160210025"</f>
        <v>20200111160210025</v>
      </c>
      <c r="B2767" t="str">
        <f>"1578729730014286"</f>
        <v>1578729730014286</v>
      </c>
      <c r="C2767" t="s">
        <v>37</v>
      </c>
      <c r="D2767">
        <v>5.354749</v>
      </c>
      <c r="E2767">
        <v>0.47839110000000001</v>
      </c>
      <c r="F2767" t="s">
        <v>60</v>
      </c>
      <c r="G2767">
        <v>-287.77659999999997</v>
      </c>
      <c r="H2767" s="1">
        <v>3.6015889999999999E-6</v>
      </c>
      <c r="I2767">
        <v>214.9581</v>
      </c>
      <c r="J2767">
        <v>-301.94830000000002</v>
      </c>
      <c r="K2767">
        <v>1.1055489999999999</v>
      </c>
      <c r="L2767">
        <v>213.49359999999999</v>
      </c>
      <c r="M2767">
        <v>0.99987340000000002</v>
      </c>
      <c r="N2767">
        <v>0</v>
      </c>
      <c r="O2767">
        <v>6.9205480000000003E-3</v>
      </c>
      <c r="P2767">
        <v>0.99918909999999905</v>
      </c>
      <c r="Q2767">
        <v>4.0459609999999998E-3</v>
      </c>
      <c r="R2767">
        <v>4.0062590000000002E-2</v>
      </c>
      <c r="S2767">
        <v>2.991333</v>
      </c>
      <c r="T2767">
        <v>-0.228466799999999</v>
      </c>
      <c r="U2767">
        <v>0.30329899999999999</v>
      </c>
      <c r="V2767">
        <v>-3.3196549999999998E-2</v>
      </c>
      <c r="W2767">
        <v>1.827931E-2</v>
      </c>
      <c r="X2767">
        <v>0.99928159999999899</v>
      </c>
      <c r="Y2767">
        <v>-9.3736780000000006E-2</v>
      </c>
      <c r="Z2767">
        <v>3.038869E-3</v>
      </c>
      <c r="AA2767">
        <v>0.99559240000000004</v>
      </c>
      <c r="AB2767">
        <v>31</v>
      </c>
      <c r="AC2767">
        <v>14.1717</v>
      </c>
      <c r="AD2767">
        <v>-1.105545398411</v>
      </c>
      <c r="AE2767">
        <v>1.4645000000000099</v>
      </c>
      <c r="AF2767">
        <v>-1.35820068208232</v>
      </c>
      <c r="AG2767">
        <v>-1.105545398411</v>
      </c>
      <c r="AH2767">
        <v>14.096615671865599</v>
      </c>
      <c r="AI2767">
        <v>94.463730213728994</v>
      </c>
      <c r="AJ2767">
        <v>95.503427004360404</v>
      </c>
      <c r="AK2767">
        <v>14.204981982425901</v>
      </c>
    </row>
    <row r="2768" spans="1:37" x14ac:dyDescent="0.2">
      <c r="A2768" t="str">
        <f>"20200111160210046"</f>
        <v>20200111160210046</v>
      </c>
      <c r="B2768" t="str">
        <f>"1578729730034783"</f>
        <v>1578729730034783</v>
      </c>
      <c r="C2768" t="s">
        <v>37</v>
      </c>
      <c r="D2768">
        <v>5.4444470000000003</v>
      </c>
      <c r="E2768">
        <v>0.47851519999999997</v>
      </c>
      <c r="F2768" t="s">
        <v>60</v>
      </c>
      <c r="G2768">
        <v>-287.4212</v>
      </c>
      <c r="H2768" s="1">
        <v>3.7562090000000002E-6</v>
      </c>
      <c r="I2768">
        <v>214.9828</v>
      </c>
      <c r="J2768">
        <v>-301.64640000000003</v>
      </c>
      <c r="K2768">
        <v>1.1055299999999999</v>
      </c>
      <c r="L2768">
        <v>213.49709999999999</v>
      </c>
      <c r="M2768">
        <v>0.99986350000000002</v>
      </c>
      <c r="N2768">
        <v>0</v>
      </c>
      <c r="O2768">
        <v>8.2270750000000004E-3</v>
      </c>
      <c r="P2768">
        <v>0.9991177</v>
      </c>
      <c r="Q2768">
        <v>4.4505350000000003E-3</v>
      </c>
      <c r="R2768">
        <v>4.1763540000000002E-2</v>
      </c>
      <c r="S2768">
        <v>2.9910580000000002</v>
      </c>
      <c r="T2768">
        <v>-0.22762640000000001</v>
      </c>
      <c r="U2768">
        <v>0.30662539999999999</v>
      </c>
      <c r="V2768">
        <v>-3.3591780000000002E-2</v>
      </c>
      <c r="W2768">
        <v>1.8681699999999999E-2</v>
      </c>
      <c r="X2768">
        <v>0.99926099999999995</v>
      </c>
      <c r="Y2768">
        <v>-9.3546989999999997E-2</v>
      </c>
      <c r="Z2768">
        <v>2.9216200000000002E-3</v>
      </c>
      <c r="AA2768">
        <v>0.99561060000000001</v>
      </c>
      <c r="AB2768">
        <v>31</v>
      </c>
      <c r="AC2768">
        <v>14.225199999999999</v>
      </c>
      <c r="AD2768">
        <v>-1.1055262437909901</v>
      </c>
      <c r="AE2768">
        <v>1.4857</v>
      </c>
      <c r="AF2768">
        <v>-1.36047758113096</v>
      </c>
      <c r="AG2768">
        <v>-1.1055262437909901</v>
      </c>
      <c r="AH2768">
        <v>14.152387671962099</v>
      </c>
      <c r="AI2768">
        <v>94.446225806198498</v>
      </c>
      <c r="AJ2768">
        <v>95.4910051010025</v>
      </c>
      <c r="AK2768">
        <v>14.260545723848599</v>
      </c>
    </row>
    <row r="2769" spans="1:37" x14ac:dyDescent="0.2">
      <c r="A2769" t="str">
        <f>"20200111160210067"</f>
        <v>20200111160210067</v>
      </c>
      <c r="B2769" t="str">
        <f>"1578729730064063"</f>
        <v>1578729730064063</v>
      </c>
      <c r="C2769" t="s">
        <v>37</v>
      </c>
      <c r="D2769">
        <v>5.3820199999999998</v>
      </c>
      <c r="E2769">
        <v>0.47900369999999998</v>
      </c>
      <c r="F2769" t="s">
        <v>60</v>
      </c>
      <c r="G2769">
        <v>-287.07369999999997</v>
      </c>
      <c r="H2769" s="1">
        <v>3.9070360000000002E-6</v>
      </c>
      <c r="I2769">
        <v>215.0103</v>
      </c>
      <c r="J2769">
        <v>-301.3596</v>
      </c>
      <c r="K2769">
        <v>1.105497</v>
      </c>
      <c r="L2769">
        <v>213.5008</v>
      </c>
      <c r="M2769">
        <v>0.99985299999999999</v>
      </c>
      <c r="N2769">
        <v>0</v>
      </c>
      <c r="O2769">
        <v>9.4213530000000004E-3</v>
      </c>
      <c r="P2769">
        <v>0.99903519999999901</v>
      </c>
      <c r="Q2769">
        <v>5.45320099999999E-3</v>
      </c>
      <c r="R2769">
        <v>4.3577459999999998E-2</v>
      </c>
      <c r="S2769">
        <v>2.990723</v>
      </c>
      <c r="T2769">
        <v>-0.22688559999999999</v>
      </c>
      <c r="U2769">
        <v>0.31056209999999901</v>
      </c>
      <c r="V2769">
        <v>-3.4213889999999997E-2</v>
      </c>
      <c r="W2769">
        <v>1.9681440000000001E-2</v>
      </c>
      <c r="X2769">
        <v>0.99922069999999996</v>
      </c>
      <c r="Y2769">
        <v>-9.3670500000000004E-2</v>
      </c>
      <c r="Z2769">
        <v>2.8267179999999898E-3</v>
      </c>
      <c r="AA2769">
        <v>0.99559929999999996</v>
      </c>
      <c r="AB2769">
        <v>31</v>
      </c>
      <c r="AC2769">
        <v>14.2859</v>
      </c>
      <c r="AD2769">
        <v>-1.1054930929639999</v>
      </c>
      <c r="AE2769">
        <v>1.5095000000000001</v>
      </c>
      <c r="AF2769">
        <v>-1.3667327597688499</v>
      </c>
      <c r="AG2769">
        <v>-1.1054930929639999</v>
      </c>
      <c r="AH2769">
        <v>14.2153045307737</v>
      </c>
      <c r="AI2769">
        <v>94.426486898493906</v>
      </c>
      <c r="AJ2769">
        <v>95.491831560579996</v>
      </c>
      <c r="AK2769">
        <v>14.323580429412599</v>
      </c>
    </row>
    <row r="2770" spans="1:37" x14ac:dyDescent="0.2">
      <c r="A2770" t="str">
        <f>"20200111160210092"</f>
        <v>20200111160210092</v>
      </c>
      <c r="B2770" t="str">
        <f>"1578729730084559"</f>
        <v>1578729730084559</v>
      </c>
      <c r="C2770" t="s">
        <v>37</v>
      </c>
      <c r="D2770">
        <v>5.4925249999999997</v>
      </c>
      <c r="E2770">
        <v>0.479388699999999</v>
      </c>
      <c r="F2770" t="s">
        <v>60</v>
      </c>
      <c r="G2770">
        <v>-286.65359999999998</v>
      </c>
      <c r="H2770" s="1">
        <v>4.0904620000000003E-6</v>
      </c>
      <c r="I2770">
        <v>215.03440000000001</v>
      </c>
      <c r="J2770">
        <v>-301.02330000000001</v>
      </c>
      <c r="K2770">
        <v>1.1054489999999999</v>
      </c>
      <c r="L2770">
        <v>213.50540000000001</v>
      </c>
      <c r="M2770">
        <v>0.999839699999999</v>
      </c>
      <c r="N2770">
        <v>0</v>
      </c>
      <c r="O2770">
        <v>1.0743050000000001E-2</v>
      </c>
      <c r="P2770">
        <v>0.99893989999999999</v>
      </c>
      <c r="Q2770">
        <v>5.9448560000000001E-3</v>
      </c>
      <c r="R2770">
        <v>4.564824E-2</v>
      </c>
      <c r="S2770">
        <v>2.9905089999999999</v>
      </c>
      <c r="T2770">
        <v>-0.22480549999999999</v>
      </c>
      <c r="U2770">
        <v>0.3118744</v>
      </c>
      <c r="V2770">
        <v>-3.4962529999999999E-2</v>
      </c>
      <c r="W2770">
        <v>2.017153E-2</v>
      </c>
      <c r="X2770">
        <v>0.99918499999999999</v>
      </c>
      <c r="Y2770">
        <v>-9.2804360000000002E-2</v>
      </c>
      <c r="Z2770">
        <v>2.6696599999999999E-3</v>
      </c>
      <c r="AA2770">
        <v>0.99568080000000003</v>
      </c>
      <c r="AB2770">
        <v>31</v>
      </c>
      <c r="AC2770">
        <v>14.3697</v>
      </c>
      <c r="AD2770">
        <v>-1.1054449095379999</v>
      </c>
      <c r="AE2770">
        <v>1.5289999999999899</v>
      </c>
      <c r="AF2770">
        <v>-1.3665248734623501</v>
      </c>
      <c r="AG2770">
        <v>-1.1054449095379999</v>
      </c>
      <c r="AH2770">
        <v>14.3016082535962</v>
      </c>
      <c r="AI2770">
        <v>94.399936791160002</v>
      </c>
      <c r="AJ2770">
        <v>95.458066332116601</v>
      </c>
      <c r="AK2770">
        <v>14.409212237910401</v>
      </c>
    </row>
    <row r="2771" spans="1:37" x14ac:dyDescent="0.2">
      <c r="A2771" t="str">
        <f>"20200111160210113"</f>
        <v>20200111160210113</v>
      </c>
      <c r="B2771" t="str">
        <f>"1578729730104079"</f>
        <v>1578729730104079</v>
      </c>
      <c r="C2771" t="s">
        <v>37</v>
      </c>
      <c r="D2771">
        <v>5.4095240000000002</v>
      </c>
      <c r="E2771">
        <v>0.47964409999999902</v>
      </c>
      <c r="F2771" t="s">
        <v>60</v>
      </c>
      <c r="G2771">
        <v>-285.91950000000003</v>
      </c>
      <c r="H2771" s="1">
        <v>4.4087849999999998E-6</v>
      </c>
      <c r="I2771">
        <v>215.0951</v>
      </c>
      <c r="J2771">
        <v>-300.72969999999998</v>
      </c>
      <c r="K2771">
        <v>1.105397</v>
      </c>
      <c r="L2771">
        <v>213.50980000000001</v>
      </c>
      <c r="M2771">
        <v>0.99982769999999999</v>
      </c>
      <c r="N2771">
        <v>0</v>
      </c>
      <c r="O2771">
        <v>1.1814299999999899E-2</v>
      </c>
      <c r="P2771">
        <v>0.99886849999999905</v>
      </c>
      <c r="Q2771">
        <v>6.5374489999999999E-3</v>
      </c>
      <c r="R2771">
        <v>4.7108990000000003E-2</v>
      </c>
      <c r="S2771">
        <v>2.9900820000000001</v>
      </c>
      <c r="T2771">
        <v>-0.2188438</v>
      </c>
      <c r="U2771">
        <v>0.31469730000000001</v>
      </c>
      <c r="V2771">
        <v>-3.5351849999999997E-2</v>
      </c>
      <c r="W2771">
        <v>2.0764589999999999E-2</v>
      </c>
      <c r="X2771">
        <v>0.99915919999999903</v>
      </c>
      <c r="Y2771">
        <v>-9.2697109999999999E-2</v>
      </c>
      <c r="Z2771">
        <v>2.5173190000000001E-3</v>
      </c>
      <c r="AA2771">
        <v>0.9956912</v>
      </c>
      <c r="AB2771">
        <v>31</v>
      </c>
      <c r="AC2771">
        <v>14.810199999999901</v>
      </c>
      <c r="AD2771">
        <v>-1.105392591215</v>
      </c>
      <c r="AE2771">
        <v>1.5852999999999799</v>
      </c>
      <c r="AF2771">
        <v>-1.40247496399873</v>
      </c>
      <c r="AG2771">
        <v>-1.105392591215</v>
      </c>
      <c r="AH2771">
        <v>14.746678284962799</v>
      </c>
      <c r="AI2771">
        <v>94.267618233836302</v>
      </c>
      <c r="AJ2771">
        <v>95.432744367154996</v>
      </c>
      <c r="AK2771">
        <v>14.854405045155699</v>
      </c>
    </row>
    <row r="2772" spans="1:37" x14ac:dyDescent="0.2">
      <c r="A2772" t="str">
        <f>"20200111160210156"</f>
        <v>20200111160210156</v>
      </c>
      <c r="B2772" t="str">
        <f>"1578729730144094"</f>
        <v>1578729730144094</v>
      </c>
      <c r="C2772" t="s">
        <v>37</v>
      </c>
      <c r="D2772">
        <v>5.4197480000000002</v>
      </c>
      <c r="E2772">
        <v>0.48033239999999999</v>
      </c>
      <c r="F2772" t="s">
        <v>60</v>
      </c>
      <c r="G2772">
        <v>-285.3734</v>
      </c>
      <c r="H2772" s="1">
        <v>4.6460329999999902E-6</v>
      </c>
      <c r="I2772">
        <v>215.13650000000001</v>
      </c>
      <c r="J2772">
        <v>-300.14920000000001</v>
      </c>
      <c r="K2772">
        <v>1.105267</v>
      </c>
      <c r="L2772">
        <v>213.51910000000001</v>
      </c>
      <c r="M2772">
        <v>0.99980360000000001</v>
      </c>
      <c r="N2772">
        <v>0</v>
      </c>
      <c r="O2772">
        <v>1.37094E-2</v>
      </c>
      <c r="P2772">
        <v>0.998841599999999</v>
      </c>
      <c r="Q2772">
        <v>5.360549E-3</v>
      </c>
      <c r="R2772">
        <v>4.781676E-2</v>
      </c>
      <c r="S2772">
        <v>2.9898380000000002</v>
      </c>
      <c r="T2772">
        <v>-0.21521650000000001</v>
      </c>
      <c r="U2772">
        <v>0.31671139999999998</v>
      </c>
      <c r="V2772">
        <v>-3.4156300000000001E-2</v>
      </c>
      <c r="W2772">
        <v>1.9594190000000001E-2</v>
      </c>
      <c r="X2772">
        <v>0.99922440000000001</v>
      </c>
      <c r="Y2772">
        <v>-9.1496560000000005E-2</v>
      </c>
      <c r="Z2772">
        <v>2.2969650000000002E-3</v>
      </c>
      <c r="AA2772">
        <v>0.99580279999999999</v>
      </c>
      <c r="AB2772">
        <v>31</v>
      </c>
      <c r="AC2772">
        <v>14.7758</v>
      </c>
      <c r="AD2772">
        <v>-1.1052623539669999</v>
      </c>
      <c r="AE2772">
        <v>1.6173999999999999</v>
      </c>
      <c r="AF2772">
        <v>-1.40688105602276</v>
      </c>
      <c r="AG2772">
        <v>-1.1052623539669999</v>
      </c>
      <c r="AH2772">
        <v>14.715224741381901</v>
      </c>
      <c r="AI2772">
        <v>94.276001995601007</v>
      </c>
      <c r="AJ2772">
        <v>95.461287887526396</v>
      </c>
      <c r="AK2772">
        <v>14.823587904629299</v>
      </c>
    </row>
    <row r="2773" spans="1:37" x14ac:dyDescent="0.2">
      <c r="A2773" t="str">
        <f>"20200111160210204"</f>
        <v>20200111160210204</v>
      </c>
      <c r="B2773" t="str">
        <f>"1578729730194847"</f>
        <v>1578729730194847</v>
      </c>
      <c r="C2773" t="s">
        <v>37</v>
      </c>
      <c r="D2773">
        <v>5.371613</v>
      </c>
      <c r="E2773">
        <v>0.52486429999999995</v>
      </c>
      <c r="F2773" t="s">
        <v>60</v>
      </c>
      <c r="G2773">
        <v>-285.11750000000001</v>
      </c>
      <c r="H2773" s="1">
        <v>4.7642920000000001E-6</v>
      </c>
      <c r="I2773">
        <v>215.09630000000001</v>
      </c>
      <c r="J2773">
        <v>-299.49</v>
      </c>
      <c r="K2773">
        <v>1.1051010000000001</v>
      </c>
      <c r="L2773">
        <v>213.53049999999999</v>
      </c>
      <c r="M2773">
        <v>0.99977850000000001</v>
      </c>
      <c r="N2773">
        <v>0</v>
      </c>
      <c r="O2773">
        <v>1.5437920000000001E-2</v>
      </c>
      <c r="P2773">
        <v>0.99880480000000005</v>
      </c>
      <c r="Q2773">
        <v>4.8000919999999997E-3</v>
      </c>
      <c r="R2773">
        <v>4.8642459999999998E-2</v>
      </c>
      <c r="S2773">
        <v>2.989716</v>
      </c>
      <c r="T2773">
        <v>-0.21982960000000001</v>
      </c>
      <c r="U2773">
        <v>0.31370540000000002</v>
      </c>
      <c r="V2773">
        <v>-3.3246579999999998E-2</v>
      </c>
      <c r="W2773">
        <v>1.9040689999999999E-2</v>
      </c>
      <c r="X2773">
        <v>0.99926579999999998</v>
      </c>
      <c r="Y2773">
        <v>-8.8791880000000004E-2</v>
      </c>
      <c r="Z2773">
        <v>2.12072E-3</v>
      </c>
      <c r="AA2773">
        <v>0.99604799999999905</v>
      </c>
      <c r="AB2773">
        <v>30</v>
      </c>
      <c r="AC2773">
        <v>14.3725</v>
      </c>
      <c r="AD2773">
        <v>-1.1050962357080001</v>
      </c>
      <c r="AE2773">
        <v>1.5658000000000201</v>
      </c>
      <c r="AF2773">
        <v>-1.33590390758901</v>
      </c>
      <c r="AG2773">
        <v>-1.1050962357080001</v>
      </c>
      <c r="AH2773">
        <v>14.311345554421999</v>
      </c>
      <c r="AI2773">
        <v>94.396477139264903</v>
      </c>
      <c r="AJ2773">
        <v>95.332866633531097</v>
      </c>
      <c r="AK2773">
        <v>14.4159803176392</v>
      </c>
    </row>
    <row r="2774" spans="1:37" x14ac:dyDescent="0.2">
      <c r="A2774" t="str">
        <f>"20200111160210224"</f>
        <v>20200111160210224</v>
      </c>
      <c r="B2774" t="str">
        <f>"1578729730214367"</f>
        <v>1578729730214367</v>
      </c>
      <c r="C2774" t="s">
        <v>37</v>
      </c>
      <c r="D2774">
        <v>5.3471970000000004</v>
      </c>
      <c r="E2774">
        <v>0.52726470000000003</v>
      </c>
      <c r="F2774" t="s">
        <v>42</v>
      </c>
      <c r="G2774">
        <v>-298.69740000000002</v>
      </c>
      <c r="H2774">
        <v>1.044983</v>
      </c>
      <c r="I2774">
        <v>213.52</v>
      </c>
      <c r="J2774">
        <v>-299.22140000000002</v>
      </c>
      <c r="K2774">
        <v>1.1050219999999999</v>
      </c>
      <c r="L2774">
        <v>213.53530000000001</v>
      </c>
      <c r="M2774">
        <v>0.99976989999999999</v>
      </c>
      <c r="N2774">
        <v>0</v>
      </c>
      <c r="O2774">
        <v>1.5989159999999999E-2</v>
      </c>
      <c r="P2774">
        <v>0.99877099999999996</v>
      </c>
      <c r="Q2774">
        <v>5.6325910000000002E-3</v>
      </c>
      <c r="R2774">
        <v>4.9245219999999999E-2</v>
      </c>
      <c r="S2774">
        <v>3.006561</v>
      </c>
      <c r="T2774">
        <v>-0.2281541</v>
      </c>
      <c r="U2774">
        <v>-3.8864139999999998E-2</v>
      </c>
      <c r="V2774">
        <v>-3.3296069999999997E-2</v>
      </c>
      <c r="W2774">
        <v>1.9875480000000001E-2</v>
      </c>
      <c r="X2774">
        <v>0.99924789999999997</v>
      </c>
      <c r="Y2774">
        <v>2.8784460000000001E-2</v>
      </c>
      <c r="Z2774">
        <v>-2.3022149999999998E-3</v>
      </c>
      <c r="AA2774">
        <v>0.999583</v>
      </c>
      <c r="AB2774">
        <v>30</v>
      </c>
      <c r="AC2774">
        <v>0.52400000000000002</v>
      </c>
      <c r="AD2774">
        <v>-6.0038999999999898E-2</v>
      </c>
      <c r="AE2774">
        <v>-1.5299999999996299E-2</v>
      </c>
      <c r="AF2774">
        <v>2.33706675171441E-2</v>
      </c>
      <c r="AG2774">
        <v>-6.0038999999999898E-2</v>
      </c>
      <c r="AH2774">
        <v>0.51690806320828997</v>
      </c>
      <c r="AI2774">
        <v>96.618530909444502</v>
      </c>
      <c r="AJ2774">
        <v>87.411281773590503</v>
      </c>
      <c r="AK2774">
        <v>0.52090768417344602</v>
      </c>
    </row>
    <row r="2775" spans="1:37" x14ac:dyDescent="0.2">
      <c r="A2775" t="str">
        <f>"20200111160210245"</f>
        <v>20200111160210245</v>
      </c>
      <c r="B2775" t="str">
        <f>"1578729730234863"</f>
        <v>1578729730234863</v>
      </c>
      <c r="C2775" t="s">
        <v>37</v>
      </c>
      <c r="D2775">
        <v>5.3244230000000003</v>
      </c>
      <c r="E2775">
        <v>0.52765519999999999</v>
      </c>
      <c r="F2775" t="s">
        <v>42</v>
      </c>
      <c r="G2775">
        <v>-298.42809999999997</v>
      </c>
      <c r="H2775">
        <v>1.043652</v>
      </c>
      <c r="I2775">
        <v>213.5204</v>
      </c>
      <c r="J2775">
        <v>-298.93400000000003</v>
      </c>
      <c r="K2775">
        <v>1.10493</v>
      </c>
      <c r="L2775">
        <v>213.54050000000001</v>
      </c>
      <c r="M2775">
        <v>0.99976209999999899</v>
      </c>
      <c r="N2775">
        <v>0</v>
      </c>
      <c r="O2775">
        <v>1.647562E-2</v>
      </c>
      <c r="P2775">
        <v>0.99871149999999997</v>
      </c>
      <c r="Q2775">
        <v>7.1312490000000001E-3</v>
      </c>
      <c r="R2775">
        <v>5.0246970000000002E-2</v>
      </c>
      <c r="S2775">
        <v>3.0077509999999998</v>
      </c>
      <c r="T2775">
        <v>-0.23283499999999999</v>
      </c>
      <c r="U2775">
        <v>-5.5557250000000002E-2</v>
      </c>
      <c r="V2775">
        <v>-3.3809609999999997E-2</v>
      </c>
      <c r="W2775">
        <v>2.137671E-2</v>
      </c>
      <c r="X2775">
        <v>0.99919959999999997</v>
      </c>
      <c r="Y2775">
        <v>3.4786860000000003E-2</v>
      </c>
      <c r="Z2775">
        <v>-2.617856E-3</v>
      </c>
      <c r="AA2775">
        <v>0.99939129999999998</v>
      </c>
      <c r="AB2775">
        <v>30</v>
      </c>
      <c r="AC2775">
        <v>0.50590000000005297</v>
      </c>
      <c r="AD2775">
        <v>-6.1277999999999902E-2</v>
      </c>
      <c r="AE2775">
        <v>-2.0100000000013499E-2</v>
      </c>
      <c r="AF2775">
        <v>2.8022647630881001E-2</v>
      </c>
      <c r="AG2775">
        <v>-6.1277999999999902E-2</v>
      </c>
      <c r="AH2775">
        <v>0.498202183189554</v>
      </c>
      <c r="AI2775">
        <v>97.001105534661093</v>
      </c>
      <c r="AJ2775">
        <v>86.780645559926597</v>
      </c>
      <c r="AK2775">
        <v>0.50273817977062596</v>
      </c>
    </row>
    <row r="2776" spans="1:37" x14ac:dyDescent="0.2">
      <c r="A2776" t="str">
        <f>"20200111160210268"</f>
        <v>20200111160210268</v>
      </c>
      <c r="B2776" t="str">
        <f>"1578729730265120"</f>
        <v>1578729730265120</v>
      </c>
      <c r="C2776" t="s">
        <v>37</v>
      </c>
      <c r="D2776">
        <v>5.5489850000000001</v>
      </c>
      <c r="E2776">
        <v>0.52749760000000001</v>
      </c>
      <c r="F2776" t="s">
        <v>42</v>
      </c>
      <c r="G2776">
        <v>-298.15550000000002</v>
      </c>
      <c r="H2776">
        <v>1.0456399999999999</v>
      </c>
      <c r="I2776">
        <v>213.5258</v>
      </c>
      <c r="J2776">
        <v>-298.63720000000001</v>
      </c>
      <c r="K2776">
        <v>1.104843</v>
      </c>
      <c r="L2776">
        <v>213.54580000000001</v>
      </c>
      <c r="M2776">
        <v>0.99975559999999997</v>
      </c>
      <c r="N2776">
        <v>0</v>
      </c>
      <c r="O2776">
        <v>1.6872410000000001E-2</v>
      </c>
      <c r="P2776">
        <v>0.99864179999999902</v>
      </c>
      <c r="Q2776">
        <v>8.2741569999999903E-3</v>
      </c>
      <c r="R2776">
        <v>5.1444219999999999E-2</v>
      </c>
      <c r="S2776">
        <v>3.0083009999999999</v>
      </c>
      <c r="T2776">
        <v>-0.22932829999999901</v>
      </c>
      <c r="U2776">
        <v>-5.5603029999999998E-2</v>
      </c>
      <c r="V2776">
        <v>-3.4607279999999997E-2</v>
      </c>
      <c r="W2776">
        <v>2.2522279999999999E-2</v>
      </c>
      <c r="X2776">
        <v>0.99914720000000001</v>
      </c>
      <c r="Y2776">
        <v>3.5197619999999999E-2</v>
      </c>
      <c r="Z2776">
        <v>-2.6239100000000001E-3</v>
      </c>
      <c r="AA2776">
        <v>0.99937699999999996</v>
      </c>
      <c r="AB2776">
        <v>30</v>
      </c>
      <c r="AC2776">
        <v>0.48169999999998903</v>
      </c>
      <c r="AD2776">
        <v>-5.9203000000000103E-2</v>
      </c>
      <c r="AE2776">
        <v>-2.0000000000010201E-2</v>
      </c>
      <c r="AF2776">
        <v>2.7707605669761E-2</v>
      </c>
      <c r="AG2776">
        <v>-5.9203000000000103E-2</v>
      </c>
      <c r="AH2776">
        <v>0.47414409160675702</v>
      </c>
      <c r="AI2776">
        <v>97.105283716868101</v>
      </c>
      <c r="AJ2776">
        <v>86.6556042653026</v>
      </c>
      <c r="AK2776">
        <v>0.47862858901923899</v>
      </c>
    </row>
    <row r="2777" spans="1:37" x14ac:dyDescent="0.2">
      <c r="A2777" t="str">
        <f>"20200111160210290"</f>
        <v>20200111160210290</v>
      </c>
      <c r="B2777" t="str">
        <f>"1578729730284639"</f>
        <v>1578729730284639</v>
      </c>
      <c r="C2777" t="s">
        <v>37</v>
      </c>
      <c r="D2777">
        <v>5.3470079999999998</v>
      </c>
      <c r="E2777">
        <v>0.52654990000000002</v>
      </c>
      <c r="F2777" t="s">
        <v>42</v>
      </c>
      <c r="G2777">
        <v>-297.8732</v>
      </c>
      <c r="H2777">
        <v>1.04921</v>
      </c>
      <c r="I2777">
        <v>213.53280000000001</v>
      </c>
      <c r="J2777">
        <v>-298.32819999999998</v>
      </c>
      <c r="K2777">
        <v>1.1047549999999999</v>
      </c>
      <c r="L2777">
        <v>213.5515</v>
      </c>
      <c r="M2777">
        <v>0.99975049999999899</v>
      </c>
      <c r="N2777">
        <v>0</v>
      </c>
      <c r="O2777">
        <v>1.71796E-2</v>
      </c>
      <c r="P2777">
        <v>0.99857960000000001</v>
      </c>
      <c r="Q2777">
        <v>8.985346E-3</v>
      </c>
      <c r="R2777">
        <v>5.2517179999999997E-2</v>
      </c>
      <c r="S2777">
        <v>3.0085139999999999</v>
      </c>
      <c r="T2777">
        <v>-0.21914549999999999</v>
      </c>
      <c r="U2777">
        <v>-5.1025389999999997E-2</v>
      </c>
      <c r="V2777">
        <v>-3.5369449999999997E-2</v>
      </c>
      <c r="W2777">
        <v>2.3236389999999999E-2</v>
      </c>
      <c r="X2777">
        <v>0.99910409999999905</v>
      </c>
      <c r="Y2777">
        <v>3.3998689999999998E-2</v>
      </c>
      <c r="Z2777">
        <v>-2.4863089999999999E-3</v>
      </c>
      <c r="AA2777">
        <v>0.99941880000000005</v>
      </c>
      <c r="AB2777">
        <v>30</v>
      </c>
      <c r="AC2777">
        <v>0.45499999999998397</v>
      </c>
      <c r="AD2777">
        <v>-5.55449999999999E-2</v>
      </c>
      <c r="AE2777">
        <v>-1.8699999999995401E-2</v>
      </c>
      <c r="AF2777">
        <v>2.6126060081323801E-2</v>
      </c>
      <c r="AG2777">
        <v>-5.55449999999999E-2</v>
      </c>
      <c r="AH2777">
        <v>0.44794714740193697</v>
      </c>
      <c r="AI2777">
        <v>97.056668011050405</v>
      </c>
      <c r="AJ2777">
        <v>86.662063594716201</v>
      </c>
      <c r="AK2777">
        <v>0.45213323800170502</v>
      </c>
    </row>
    <row r="2778" spans="1:37" x14ac:dyDescent="0.2">
      <c r="A2778" t="str">
        <f>"20200111160210313"</f>
        <v>20200111160210313</v>
      </c>
      <c r="B2778" t="str">
        <f>"1578729730304159"</f>
        <v>1578729730304159</v>
      </c>
      <c r="C2778" t="s">
        <v>37</v>
      </c>
      <c r="D2778">
        <v>5.4129149999999999</v>
      </c>
      <c r="E2778">
        <v>0.52927769999999996</v>
      </c>
      <c r="F2778" t="s">
        <v>67</v>
      </c>
      <c r="G2778">
        <v>-121.2556</v>
      </c>
      <c r="H2778">
        <v>8.8450530000000001</v>
      </c>
      <c r="I2778">
        <v>210.0095</v>
      </c>
      <c r="J2778">
        <v>-298.01420000000002</v>
      </c>
      <c r="K2778">
        <v>1.104684</v>
      </c>
      <c r="L2778">
        <v>213.55719999999999</v>
      </c>
      <c r="M2778">
        <v>0.99974669999999899</v>
      </c>
      <c r="N2778">
        <v>0</v>
      </c>
      <c r="O2778">
        <v>1.7394759999999999E-2</v>
      </c>
      <c r="P2778">
        <v>0.99853910000000001</v>
      </c>
      <c r="Q2778">
        <v>9.4411879999999997E-3</v>
      </c>
      <c r="R2778">
        <v>5.3204790000000002E-2</v>
      </c>
      <c r="S2778">
        <v>3.0062869999999999</v>
      </c>
      <c r="T2778">
        <v>0.131413</v>
      </c>
      <c r="U2778">
        <v>-6.0134890000000003E-2</v>
      </c>
      <c r="V2778">
        <v>-3.5838799999999997E-2</v>
      </c>
      <c r="W2778">
        <v>2.3693550000000001E-2</v>
      </c>
      <c r="X2778">
        <v>0.99907669999999904</v>
      </c>
      <c r="Y2778">
        <v>3.7336830000000001E-2</v>
      </c>
      <c r="Z2778">
        <v>1.575592E-3</v>
      </c>
      <c r="AA2778">
        <v>0.99930149999999995</v>
      </c>
      <c r="AB2778">
        <v>30</v>
      </c>
      <c r="AC2778">
        <v>176.7586</v>
      </c>
      <c r="AD2778">
        <v>7.7403690000000003</v>
      </c>
      <c r="AE2778">
        <v>-3.5476999999999901</v>
      </c>
      <c r="AF2778">
        <v>6.6094807884731397</v>
      </c>
      <c r="AG2778">
        <v>7.7403690000000003</v>
      </c>
      <c r="AH2778">
        <v>176.33213162619401</v>
      </c>
      <c r="AI2778">
        <v>87.488289157180802</v>
      </c>
      <c r="AJ2778">
        <v>87.853379608015302</v>
      </c>
      <c r="AK2778">
        <v>176.62564704024999</v>
      </c>
    </row>
    <row r="2779" spans="1:37" x14ac:dyDescent="0.2">
      <c r="A2779" t="str">
        <f>"20200111160210335"</f>
        <v>20200111160210335</v>
      </c>
      <c r="B2779" t="str">
        <f>"1578729730324655"</f>
        <v>1578729730324655</v>
      </c>
      <c r="C2779" t="s">
        <v>37</v>
      </c>
      <c r="D2779">
        <v>5.3895439999999999</v>
      </c>
      <c r="E2779">
        <v>0.52805119999999905</v>
      </c>
      <c r="F2779" t="s">
        <v>67</v>
      </c>
      <c r="G2779">
        <v>-151.66980000000001</v>
      </c>
      <c r="H2779">
        <v>4.60154</v>
      </c>
      <c r="I2779">
        <v>209.84059999999999</v>
      </c>
      <c r="J2779">
        <v>-297.72969999999998</v>
      </c>
      <c r="K2779">
        <v>1.1046370000000001</v>
      </c>
      <c r="L2779">
        <v>213.56229999999999</v>
      </c>
      <c r="M2779">
        <v>0.99974439999999998</v>
      </c>
      <c r="N2779">
        <v>0</v>
      </c>
      <c r="O2779">
        <v>1.75348E-2</v>
      </c>
      <c r="P2779">
        <v>0.99851329999999905</v>
      </c>
      <c r="Q2779">
        <v>1.0437129999999999E-2</v>
      </c>
      <c r="R2779">
        <v>5.3503910000000002E-2</v>
      </c>
      <c r="S2779">
        <v>3.0077509999999998</v>
      </c>
      <c r="T2779">
        <v>7.1869970000000005E-2</v>
      </c>
      <c r="U2779">
        <v>-7.6385499999999995E-2</v>
      </c>
      <c r="V2779">
        <v>-3.5995149999999997E-2</v>
      </c>
      <c r="W2779">
        <v>2.469033E-2</v>
      </c>
      <c r="X2779">
        <v>0.99904689999999996</v>
      </c>
      <c r="Y2779">
        <v>4.2897810000000001E-2</v>
      </c>
      <c r="Z2779">
        <v>9.3127929999999904E-4</v>
      </c>
      <c r="AA2779">
        <v>0.99907900000000005</v>
      </c>
      <c r="AB2779">
        <v>30</v>
      </c>
      <c r="AC2779">
        <v>146.059899999999</v>
      </c>
      <c r="AD2779">
        <v>3.4969030000000001</v>
      </c>
      <c r="AE2779">
        <v>-3.72169999999999</v>
      </c>
      <c r="AF2779">
        <v>6.2789229316585597</v>
      </c>
      <c r="AG2779">
        <v>3.4969030000000001</v>
      </c>
      <c r="AH2779">
        <v>145.888604430372</v>
      </c>
      <c r="AI2779">
        <v>88.628170986110305</v>
      </c>
      <c r="AJ2779">
        <v>87.5355587345896</v>
      </c>
      <c r="AK2779">
        <v>146.06552675568199</v>
      </c>
    </row>
    <row r="2780" spans="1:37" x14ac:dyDescent="0.2">
      <c r="A2780" t="str">
        <f>"20200111160210357"</f>
        <v>20200111160210357</v>
      </c>
      <c r="B2780" t="str">
        <f>"1578729730354911"</f>
        <v>1578729730354911</v>
      </c>
      <c r="C2780" t="s">
        <v>37</v>
      </c>
      <c r="D2780">
        <v>5.3607620000000002</v>
      </c>
      <c r="E2780">
        <v>0.52843229999999997</v>
      </c>
      <c r="F2780" t="s">
        <v>67</v>
      </c>
      <c r="G2780">
        <v>-138.91489999999999</v>
      </c>
      <c r="H2780">
        <v>6.2460690000000003</v>
      </c>
      <c r="I2780">
        <v>210.00919999999999</v>
      </c>
      <c r="J2780">
        <v>-297.42840000000001</v>
      </c>
      <c r="K2780">
        <v>1.1046039999999999</v>
      </c>
      <c r="L2780">
        <v>213.56780000000001</v>
      </c>
      <c r="M2780">
        <v>0.99974240000000003</v>
      </c>
      <c r="N2780">
        <v>0</v>
      </c>
      <c r="O2780">
        <v>1.7644420000000001E-2</v>
      </c>
      <c r="P2780">
        <v>0.99855039999999995</v>
      </c>
      <c r="Q2780">
        <v>1.112641E-2</v>
      </c>
      <c r="R2780">
        <v>5.2661560000000003E-2</v>
      </c>
      <c r="S2780">
        <v>3.00705</v>
      </c>
      <c r="T2780">
        <v>9.7350119999999998E-2</v>
      </c>
      <c r="U2780">
        <v>-6.7276000000000002E-2</v>
      </c>
      <c r="V2780">
        <v>-3.504032E-2</v>
      </c>
      <c r="W2780">
        <v>2.5380099999999999E-2</v>
      </c>
      <c r="X2780">
        <v>0.99906360000000005</v>
      </c>
      <c r="Y2780">
        <v>3.997531E-2</v>
      </c>
      <c r="Z2780">
        <v>1.2178919999999999E-3</v>
      </c>
      <c r="AA2780">
        <v>0.99919990000000003</v>
      </c>
      <c r="AB2780">
        <v>30</v>
      </c>
      <c r="AC2780">
        <v>158.51349999999999</v>
      </c>
      <c r="AD2780">
        <v>5.1414650000000002</v>
      </c>
      <c r="AE2780">
        <v>-3.55860000000001</v>
      </c>
      <c r="AF2780">
        <v>6.3485340431540003</v>
      </c>
      <c r="AG2780">
        <v>5.1414650000000002</v>
      </c>
      <c r="AH2780">
        <v>158.25960754698099</v>
      </c>
      <c r="AI2780">
        <v>88.140749930694795</v>
      </c>
      <c r="AJ2780">
        <v>87.702829612350499</v>
      </c>
      <c r="AK2780">
        <v>158.47031875959499</v>
      </c>
    </row>
    <row r="2781" spans="1:37" x14ac:dyDescent="0.2">
      <c r="A2781" t="str">
        <f>"20200111160210381"</f>
        <v>20200111160210381</v>
      </c>
      <c r="B2781" t="str">
        <f>"1578729730374430"</f>
        <v>1578729730374430</v>
      </c>
      <c r="C2781" t="s">
        <v>37</v>
      </c>
      <c r="D2781">
        <v>6.5231659999999998</v>
      </c>
      <c r="E2781">
        <v>0.52902759999999904</v>
      </c>
      <c r="F2781" t="s">
        <v>57</v>
      </c>
      <c r="G2781">
        <v>-277.99349999999998</v>
      </c>
      <c r="H2781" s="1">
        <v>2.7787259999999899E-6</v>
      </c>
      <c r="I2781">
        <v>213.2029</v>
      </c>
      <c r="J2781">
        <v>-297.11880000000002</v>
      </c>
      <c r="K2781">
        <v>1.104582</v>
      </c>
      <c r="L2781">
        <v>213.57339999999999</v>
      </c>
      <c r="M2781">
        <v>0.99974099999999999</v>
      </c>
      <c r="N2781">
        <v>0</v>
      </c>
      <c r="O2781">
        <v>1.773572E-2</v>
      </c>
      <c r="P2781">
        <v>0.99860040000000005</v>
      </c>
      <c r="Q2781">
        <v>1.1999030000000001E-2</v>
      </c>
      <c r="R2781">
        <v>5.1512099999999998E-2</v>
      </c>
      <c r="S2781">
        <v>3.0092469999999998</v>
      </c>
      <c r="T2781">
        <v>-0.1710333</v>
      </c>
      <c r="U2781">
        <v>-5.6503299999999999E-2</v>
      </c>
      <c r="V2781">
        <v>-3.3798080000000001E-2</v>
      </c>
      <c r="W2781">
        <v>2.6251460000000001E-2</v>
      </c>
      <c r="X2781">
        <v>0.99908390000000002</v>
      </c>
      <c r="Y2781">
        <v>3.6417320000000003E-2</v>
      </c>
      <c r="Z2781">
        <v>-2.041209E-3</v>
      </c>
      <c r="AA2781">
        <v>0.99933459999999996</v>
      </c>
      <c r="AB2781">
        <v>30</v>
      </c>
      <c r="AC2781">
        <v>19.125299999999999</v>
      </c>
      <c r="AD2781">
        <v>-1.104579221274</v>
      </c>
      <c r="AE2781">
        <v>-0.370499999999992</v>
      </c>
      <c r="AF2781">
        <v>0.70731871103444099</v>
      </c>
      <c r="AG2781">
        <v>-1.104579221274</v>
      </c>
      <c r="AH2781">
        <v>19.052192283158799</v>
      </c>
      <c r="AI2781">
        <v>93.315814611702393</v>
      </c>
      <c r="AJ2781">
        <v>87.873852380376903</v>
      </c>
      <c r="AK2781">
        <v>19.097288441281499</v>
      </c>
    </row>
    <row r="2782" spans="1:37" x14ac:dyDescent="0.2">
      <c r="A2782" t="str">
        <f>"20200111160210404"</f>
        <v>20200111160210404</v>
      </c>
      <c r="B2782" t="str">
        <f>"1578729730394927"</f>
        <v>1578729730394927</v>
      </c>
      <c r="C2782" t="s">
        <v>37</v>
      </c>
      <c r="D2782">
        <v>5.3887229999999997</v>
      </c>
      <c r="E2782">
        <v>0.52813710000000003</v>
      </c>
      <c r="F2782" t="s">
        <v>57</v>
      </c>
      <c r="G2782">
        <v>-277.94099999999997</v>
      </c>
      <c r="H2782" s="1">
        <v>2.7525189999999998E-6</v>
      </c>
      <c r="I2782">
        <v>213.16370000000001</v>
      </c>
      <c r="J2782">
        <v>-296.79770000000002</v>
      </c>
      <c r="K2782">
        <v>1.1045719999999899</v>
      </c>
      <c r="L2782">
        <v>213.57919999999999</v>
      </c>
      <c r="M2782">
        <v>0.9997395</v>
      </c>
      <c r="N2782">
        <v>0</v>
      </c>
      <c r="O2782">
        <v>1.7823479999999999E-2</v>
      </c>
      <c r="P2782">
        <v>0.99866369999999904</v>
      </c>
      <c r="Q2782">
        <v>1.192405E-2</v>
      </c>
      <c r="R2782">
        <v>5.0290170000000002E-2</v>
      </c>
      <c r="S2782">
        <v>3.0096129999999999</v>
      </c>
      <c r="T2782">
        <v>-0.17334379999999999</v>
      </c>
      <c r="U2782">
        <v>-6.4300540000000003E-2</v>
      </c>
      <c r="V2782">
        <v>-3.2486099999999997E-2</v>
      </c>
      <c r="W2782">
        <v>2.6174719999999999E-2</v>
      </c>
      <c r="X2782">
        <v>0.99912939999999995</v>
      </c>
      <c r="Y2782">
        <v>3.9083729999999997E-2</v>
      </c>
      <c r="Z2782">
        <v>-2.150206E-3</v>
      </c>
      <c r="AA2782">
        <v>0.99923359999999894</v>
      </c>
      <c r="AB2782">
        <v>30</v>
      </c>
      <c r="AC2782">
        <v>18.8567</v>
      </c>
      <c r="AD2782">
        <v>-1.1045692474809901</v>
      </c>
      <c r="AE2782">
        <v>-0.41549999999998</v>
      </c>
      <c r="AF2782">
        <v>0.74899141854739404</v>
      </c>
      <c r="AG2782">
        <v>-1.1045692474809901</v>
      </c>
      <c r="AH2782">
        <v>18.7818831986656</v>
      </c>
      <c r="AI2782">
        <v>93.363041620482093</v>
      </c>
      <c r="AJ2782">
        <v>87.716346126925998</v>
      </c>
      <c r="AK2782">
        <v>18.829237845857101</v>
      </c>
    </row>
    <row r="2783" spans="1:37" x14ac:dyDescent="0.2">
      <c r="A2783" t="str">
        <f>"20200111160210425"</f>
        <v>20200111160210425</v>
      </c>
      <c r="B2783" t="str">
        <f>"1578729730414447"</f>
        <v>1578729730414447</v>
      </c>
      <c r="C2783" t="s">
        <v>37</v>
      </c>
      <c r="D2783">
        <v>5.3729750000000003</v>
      </c>
      <c r="E2783">
        <v>0.50118039999999997</v>
      </c>
      <c r="F2783" t="s">
        <v>67</v>
      </c>
      <c r="G2783">
        <v>-169.71029999999999</v>
      </c>
      <c r="H2783">
        <v>7.7029509999999997</v>
      </c>
      <c r="I2783">
        <v>210.16099999999901</v>
      </c>
      <c r="J2783">
        <v>-296.5215</v>
      </c>
      <c r="K2783">
        <v>1.1045700000000001</v>
      </c>
      <c r="L2783">
        <v>213.58420000000001</v>
      </c>
      <c r="M2783">
        <v>0.99973809999999996</v>
      </c>
      <c r="N2783">
        <v>0</v>
      </c>
      <c r="O2783">
        <v>1.7900900000000001E-2</v>
      </c>
      <c r="P2783">
        <v>0.99868599999999996</v>
      </c>
      <c r="Q2783">
        <v>1.213094E-2</v>
      </c>
      <c r="R2783">
        <v>4.979364E-2</v>
      </c>
      <c r="S2783">
        <v>3.0062259999999998</v>
      </c>
      <c r="T2783">
        <v>0.1560841</v>
      </c>
      <c r="U2783">
        <v>-8.0856319999999995E-2</v>
      </c>
      <c r="V2783">
        <v>-3.1910880000000003E-2</v>
      </c>
      <c r="W2783">
        <v>2.637921E-2</v>
      </c>
      <c r="X2783">
        <v>0.99914249999999905</v>
      </c>
      <c r="Y2783">
        <v>4.4694240000000003E-2</v>
      </c>
      <c r="Z2783">
        <v>2.088019E-3</v>
      </c>
      <c r="AA2783">
        <v>0.99899850000000001</v>
      </c>
      <c r="AB2783">
        <v>30</v>
      </c>
      <c r="AC2783">
        <v>126.8112</v>
      </c>
      <c r="AD2783">
        <v>6.5983809999999998</v>
      </c>
      <c r="AE2783">
        <v>-3.4232000000000302</v>
      </c>
      <c r="AF2783">
        <v>5.6775562826321204</v>
      </c>
      <c r="AG2783">
        <v>6.5983809999999998</v>
      </c>
      <c r="AH2783">
        <v>126.38765343983</v>
      </c>
      <c r="AI2783">
        <v>87.014450332555697</v>
      </c>
      <c r="AJ2783">
        <v>87.427901745247397</v>
      </c>
      <c r="AK2783">
        <v>126.687064135176</v>
      </c>
    </row>
    <row r="2784" spans="1:37" x14ac:dyDescent="0.2">
      <c r="A2784" t="str">
        <f>"20200111160210447"</f>
        <v>20200111160210447</v>
      </c>
      <c r="B2784" t="str">
        <f>"1578729730444704"</f>
        <v>1578729730444704</v>
      </c>
      <c r="C2784" t="s">
        <v>37</v>
      </c>
      <c r="D2784">
        <v>5.3655660000000003</v>
      </c>
      <c r="E2784">
        <v>0.490288</v>
      </c>
      <c r="F2784" t="s">
        <v>57</v>
      </c>
      <c r="G2784">
        <v>-276.83670000000001</v>
      </c>
      <c r="H2784" s="1">
        <v>2.1027799999999999E-6</v>
      </c>
      <c r="I2784">
        <v>214.58359999999999</v>
      </c>
      <c r="J2784">
        <v>-296.22179999999997</v>
      </c>
      <c r="K2784">
        <v>1.1045659999999999</v>
      </c>
      <c r="L2784">
        <v>213.58969999999999</v>
      </c>
      <c r="M2784">
        <v>0.99973659999999998</v>
      </c>
      <c r="N2784">
        <v>0</v>
      </c>
      <c r="O2784">
        <v>1.798953E-2</v>
      </c>
      <c r="P2784">
        <v>0.99868020000000002</v>
      </c>
      <c r="Q2784">
        <v>1.2285839999999999E-2</v>
      </c>
      <c r="R2784">
        <v>4.9873559999999997E-2</v>
      </c>
      <c r="S2784">
        <v>2.9984130000000002</v>
      </c>
      <c r="T2784">
        <v>-0.1682485</v>
      </c>
      <c r="U2784">
        <v>0.15222169999999999</v>
      </c>
      <c r="V2784">
        <v>-3.1902649999999998E-2</v>
      </c>
      <c r="W2784">
        <v>2.6531269999999999E-2</v>
      </c>
      <c r="X2784">
        <v>0.99913879999999999</v>
      </c>
      <c r="Y2784">
        <v>-3.2702620000000002E-2</v>
      </c>
      <c r="Z2784" s="1">
        <v>-9.1740280000000005E-5</v>
      </c>
      <c r="AA2784">
        <v>0.9994651</v>
      </c>
      <c r="AB2784">
        <v>30</v>
      </c>
      <c r="AC2784">
        <v>19.385099999999898</v>
      </c>
      <c r="AD2784">
        <v>-1.10456389722</v>
      </c>
      <c r="AE2784">
        <v>0.99389999999999601</v>
      </c>
      <c r="AF2784">
        <v>-0.64289304688582305</v>
      </c>
      <c r="AG2784">
        <v>-1.10456389722</v>
      </c>
      <c r="AH2784">
        <v>19.337225923929299</v>
      </c>
      <c r="AI2784">
        <v>93.267444840682202</v>
      </c>
      <c r="AJ2784">
        <v>91.904176734571706</v>
      </c>
      <c r="AK2784">
        <v>19.379413801915199</v>
      </c>
    </row>
    <row r="2785" spans="1:37" x14ac:dyDescent="0.2">
      <c r="A2785" t="str">
        <f>"20200111160210473"</f>
        <v>20200111160210473</v>
      </c>
      <c r="B2785" t="str">
        <f>"1578729730464223"</f>
        <v>1578729730464223</v>
      </c>
      <c r="C2785" t="s">
        <v>37</v>
      </c>
      <c r="D2785">
        <v>5.4257960000000001</v>
      </c>
      <c r="E2785">
        <v>0.48778179999999999</v>
      </c>
      <c r="F2785" t="s">
        <v>57</v>
      </c>
      <c r="G2785">
        <v>-279.11329999999998</v>
      </c>
      <c r="H2785" s="1">
        <v>3.2976389999999898E-6</v>
      </c>
      <c r="I2785">
        <v>214.96469999999999</v>
      </c>
      <c r="J2785">
        <v>-295.8895</v>
      </c>
      <c r="K2785">
        <v>1.104563</v>
      </c>
      <c r="L2785">
        <v>213.5958</v>
      </c>
      <c r="M2785">
        <v>0.99973480000000003</v>
      </c>
      <c r="N2785">
        <v>0</v>
      </c>
      <c r="O2785">
        <v>1.8094229999999999E-2</v>
      </c>
      <c r="P2785">
        <v>0.99866499999999903</v>
      </c>
      <c r="Q2785">
        <v>1.2152079999999999E-2</v>
      </c>
      <c r="R2785">
        <v>5.0203570000000003E-2</v>
      </c>
      <c r="S2785">
        <v>2.9943240000000002</v>
      </c>
      <c r="T2785">
        <v>-0.19332070000000001</v>
      </c>
      <c r="U2785">
        <v>0.24064639999999901</v>
      </c>
      <c r="V2785">
        <v>-3.2127639999999999E-2</v>
      </c>
      <c r="W2785">
        <v>2.639304E-2</v>
      </c>
      <c r="X2785">
        <v>0.99913529999999995</v>
      </c>
      <c r="Y2785">
        <v>-6.1967469999999997E-2</v>
      </c>
      <c r="Z2785">
        <v>8.3011890000000001E-4</v>
      </c>
      <c r="AA2785">
        <v>0.99807780000000001</v>
      </c>
      <c r="AB2785">
        <v>30</v>
      </c>
      <c r="AC2785">
        <v>16.776199999999999</v>
      </c>
      <c r="AD2785">
        <v>-1.1045597023610001</v>
      </c>
      <c r="AE2785">
        <v>1.36889999999999</v>
      </c>
      <c r="AF2785">
        <v>-1.06052562781376</v>
      </c>
      <c r="AG2785">
        <v>-1.1045597023610001</v>
      </c>
      <c r="AH2785">
        <v>16.7261958215975</v>
      </c>
      <c r="AI2785">
        <v>93.770646475219195</v>
      </c>
      <c r="AJ2785">
        <v>93.627986401965103</v>
      </c>
      <c r="AK2785">
        <v>16.7961422179546</v>
      </c>
    </row>
    <row r="2786" spans="1:37" x14ac:dyDescent="0.2">
      <c r="A2786" t="str">
        <f>"20200111160210491"</f>
        <v>20200111160210491</v>
      </c>
      <c r="B2786" t="str">
        <f>"1578729730484719"</f>
        <v>1578729730484719</v>
      </c>
      <c r="C2786" t="s">
        <v>37</v>
      </c>
      <c r="D2786">
        <v>5.2555519999999998</v>
      </c>
      <c r="E2786">
        <v>0.48713719999999999</v>
      </c>
      <c r="F2786" t="s">
        <v>57</v>
      </c>
      <c r="G2786">
        <v>-279.53899999999999</v>
      </c>
      <c r="H2786" s="1">
        <v>3.521351E-6</v>
      </c>
      <c r="I2786">
        <v>215.02940000000001</v>
      </c>
      <c r="J2786">
        <v>-295.62689999999998</v>
      </c>
      <c r="K2786">
        <v>1.104562</v>
      </c>
      <c r="L2786">
        <v>213.60069999999999</v>
      </c>
      <c r="M2786">
        <v>0.99973319999999999</v>
      </c>
      <c r="N2786">
        <v>0</v>
      </c>
      <c r="O2786">
        <v>1.8181320000000001E-2</v>
      </c>
      <c r="P2786">
        <v>0.99865630000000005</v>
      </c>
      <c r="Q2786">
        <v>1.18444E-2</v>
      </c>
      <c r="R2786">
        <v>5.0454520000000003E-2</v>
      </c>
      <c r="S2786">
        <v>2.9932859999999999</v>
      </c>
      <c r="T2786">
        <v>-0.20221259999999999</v>
      </c>
      <c r="U2786">
        <v>0.2624512</v>
      </c>
      <c r="V2786">
        <v>-3.2291790000000001E-2</v>
      </c>
      <c r="W2786">
        <v>2.608272E-2</v>
      </c>
      <c r="X2786">
        <v>0.99913809999999903</v>
      </c>
      <c r="Y2786">
        <v>-6.9101609999999994E-2</v>
      </c>
      <c r="Z2786">
        <v>1.1026499999999999E-3</v>
      </c>
      <c r="AA2786">
        <v>0.99760899999999997</v>
      </c>
      <c r="AB2786">
        <v>30</v>
      </c>
      <c r="AC2786">
        <v>16.087899999999902</v>
      </c>
      <c r="AD2786">
        <v>-1.1045584786489999</v>
      </c>
      <c r="AE2786">
        <v>1.4287000000000201</v>
      </c>
      <c r="AF2786">
        <v>-1.13064681834812</v>
      </c>
      <c r="AG2786">
        <v>-1.1045584786489999</v>
      </c>
      <c r="AH2786">
        <v>16.036217177966702</v>
      </c>
      <c r="AI2786">
        <v>93.930525495367306</v>
      </c>
      <c r="AJ2786">
        <v>94.033012584719501</v>
      </c>
      <c r="AK2786">
        <v>16.113927920885999</v>
      </c>
    </row>
    <row r="2787" spans="1:37" x14ac:dyDescent="0.2">
      <c r="A2787" t="str">
        <f>"20200111160210513"</f>
        <v>20200111160210513</v>
      </c>
      <c r="B2787" t="str">
        <f>"1578729730504239"</f>
        <v>1578729730504239</v>
      </c>
      <c r="C2787" t="s">
        <v>37</v>
      </c>
      <c r="D2787">
        <v>5.3137480000000004</v>
      </c>
      <c r="E2787">
        <v>0.48661529999999997</v>
      </c>
      <c r="F2787" t="s">
        <v>60</v>
      </c>
      <c r="G2787">
        <v>-280.0086</v>
      </c>
      <c r="H2787" s="1">
        <v>7.0409919999999998E-6</v>
      </c>
      <c r="I2787">
        <v>215.00309999999999</v>
      </c>
      <c r="J2787">
        <v>-295.32549999999998</v>
      </c>
      <c r="K2787">
        <v>1.104563</v>
      </c>
      <c r="L2787">
        <v>213.6063</v>
      </c>
      <c r="M2787">
        <v>0.99973120000000004</v>
      </c>
      <c r="N2787">
        <v>0</v>
      </c>
      <c r="O2787">
        <v>1.828368E-2</v>
      </c>
      <c r="P2787">
        <v>0.99864640000000005</v>
      </c>
      <c r="Q2787">
        <v>1.1389740000000001E-2</v>
      </c>
      <c r="R2787">
        <v>5.0752350000000002E-2</v>
      </c>
      <c r="S2787">
        <v>2.9929199999999998</v>
      </c>
      <c r="T2787">
        <v>-0.21166489999999999</v>
      </c>
      <c r="U2787">
        <v>0.26873779999999903</v>
      </c>
      <c r="V2787">
        <v>-3.2487519999999999E-2</v>
      </c>
      <c r="W2787">
        <v>2.562416E-2</v>
      </c>
      <c r="X2787">
        <v>0.99914360000000002</v>
      </c>
      <c r="Y2787">
        <v>-7.1073440000000002E-2</v>
      </c>
      <c r="Z2787">
        <v>1.216394E-3</v>
      </c>
      <c r="AA2787">
        <v>0.99747030000000003</v>
      </c>
      <c r="AB2787">
        <v>30</v>
      </c>
      <c r="AC2787">
        <v>15.316899999999899</v>
      </c>
      <c r="AD2787">
        <v>-1.1045559590080001</v>
      </c>
      <c r="AE2787">
        <v>1.3967999999999801</v>
      </c>
      <c r="AF2787">
        <v>-1.11075998816099</v>
      </c>
      <c r="AG2787">
        <v>-1.1045559590080001</v>
      </c>
      <c r="AH2787">
        <v>15.2611712661739</v>
      </c>
      <c r="AI2787">
        <v>94.128787777775898</v>
      </c>
      <c r="AJ2787">
        <v>94.162841423565794</v>
      </c>
      <c r="AK2787">
        <v>15.3413552215367</v>
      </c>
    </row>
    <row r="2788" spans="1:37" x14ac:dyDescent="0.2">
      <c r="A2788" t="str">
        <f>"20200111160210535"</f>
        <v>20200111160210535</v>
      </c>
      <c r="B2788" t="str">
        <f>"1578729730524735"</f>
        <v>1578729730524735</v>
      </c>
      <c r="C2788" t="s">
        <v>37</v>
      </c>
      <c r="D2788">
        <v>5.2819190000000003</v>
      </c>
      <c r="E2788">
        <v>0.48632019999999998</v>
      </c>
      <c r="F2788" t="s">
        <v>60</v>
      </c>
      <c r="G2788">
        <v>-280.26089999999999</v>
      </c>
      <c r="H2788" s="1">
        <v>6.931137E-6</v>
      </c>
      <c r="I2788">
        <v>214.98599999999999</v>
      </c>
      <c r="J2788">
        <v>-295.04160000000002</v>
      </c>
      <c r="K2788">
        <v>1.10456</v>
      </c>
      <c r="L2788">
        <v>213.61160000000001</v>
      </c>
      <c r="M2788">
        <v>0.9997296</v>
      </c>
      <c r="N2788">
        <v>0</v>
      </c>
      <c r="O2788">
        <v>1.8381459999999999E-2</v>
      </c>
      <c r="P2788">
        <v>0.99861869999999997</v>
      </c>
      <c r="Q2788">
        <v>1.116407E-2</v>
      </c>
      <c r="R2788">
        <v>5.1341810000000002E-2</v>
      </c>
      <c r="S2788">
        <v>2.992645</v>
      </c>
      <c r="T2788">
        <v>-0.21942439999999999</v>
      </c>
      <c r="U2788">
        <v>0.2740784</v>
      </c>
      <c r="V2788">
        <v>-3.2979380000000003E-2</v>
      </c>
      <c r="W2788">
        <v>2.5395350000000001E-2</v>
      </c>
      <c r="X2788">
        <v>0.9991333</v>
      </c>
      <c r="Y2788">
        <v>-7.2735540000000001E-2</v>
      </c>
      <c r="Z2788">
        <v>1.3144739999999999E-3</v>
      </c>
      <c r="AA2788">
        <v>0.99735039999999997</v>
      </c>
      <c r="AB2788">
        <v>30</v>
      </c>
      <c r="AC2788">
        <v>14.7807</v>
      </c>
      <c r="AD2788">
        <v>-1.1045530688630001</v>
      </c>
      <c r="AE2788">
        <v>1.3743999999999801</v>
      </c>
      <c r="AF2788">
        <v>-1.0963791098350599</v>
      </c>
      <c r="AG2788">
        <v>-1.1045530688630001</v>
      </c>
      <c r="AH2788">
        <v>14.721958490433</v>
      </c>
      <c r="AI2788">
        <v>94.278920152969803</v>
      </c>
      <c r="AJ2788">
        <v>94.2590901583972</v>
      </c>
      <c r="AK2788">
        <v>14.803990895310999</v>
      </c>
    </row>
    <row r="2789" spans="1:37" x14ac:dyDescent="0.2">
      <c r="A2789" t="str">
        <f>"20200111160210557"</f>
        <v>20200111160210557</v>
      </c>
      <c r="B2789" t="str">
        <f>"1578729730554991"</f>
        <v>1578729730554991</v>
      </c>
      <c r="C2789" t="s">
        <v>37</v>
      </c>
      <c r="D2789">
        <v>5.3210870000000003</v>
      </c>
      <c r="E2789">
        <v>0.48558299999999999</v>
      </c>
      <c r="F2789" t="s">
        <v>60</v>
      </c>
      <c r="G2789">
        <v>-280.303</v>
      </c>
      <c r="H2789" s="1">
        <v>6.9129560000000002E-6</v>
      </c>
      <c r="I2789">
        <v>214.9819</v>
      </c>
      <c r="J2789">
        <v>-294.74450000000002</v>
      </c>
      <c r="K2789">
        <v>1.104562</v>
      </c>
      <c r="L2789">
        <v>213.6172</v>
      </c>
      <c r="M2789">
        <v>0.99972780000000006</v>
      </c>
      <c r="N2789">
        <v>0</v>
      </c>
      <c r="O2789">
        <v>1.8484190000000001E-2</v>
      </c>
      <c r="P2789">
        <v>0.99857459999999898</v>
      </c>
      <c r="Q2789">
        <v>1.1308739999999999E-2</v>
      </c>
      <c r="R2789">
        <v>5.2165099999999902E-2</v>
      </c>
      <c r="S2789">
        <v>2.99234</v>
      </c>
      <c r="T2789">
        <v>-0.22425519999999999</v>
      </c>
      <c r="U2789">
        <v>0.2782135</v>
      </c>
      <c r="V2789">
        <v>-3.370103E-2</v>
      </c>
      <c r="W2789">
        <v>2.5535970000000002E-2</v>
      </c>
      <c r="X2789">
        <v>0.99910569999999899</v>
      </c>
      <c r="Y2789">
        <v>-7.3999200000000001E-2</v>
      </c>
      <c r="Z2789">
        <v>1.382905E-3</v>
      </c>
      <c r="AA2789">
        <v>0.99725739999999996</v>
      </c>
      <c r="AB2789">
        <v>30</v>
      </c>
      <c r="AC2789">
        <v>14.4415</v>
      </c>
      <c r="AD2789">
        <v>-1.104555087044</v>
      </c>
      <c r="AE2789">
        <v>1.36469999999999</v>
      </c>
      <c r="AF2789">
        <v>-1.0911735312572901</v>
      </c>
      <c r="AG2789">
        <v>-1.104555087044</v>
      </c>
      <c r="AH2789">
        <v>14.3808777146634</v>
      </c>
      <c r="AI2789">
        <v>94.379565736527397</v>
      </c>
      <c r="AJ2789">
        <v>94.339100239355005</v>
      </c>
      <c r="AK2789">
        <v>14.4644510943117</v>
      </c>
    </row>
    <row r="2790" spans="1:37" x14ac:dyDescent="0.2">
      <c r="A2790" t="str">
        <f>"20200111160210583"</f>
        <v>20200111160210583</v>
      </c>
      <c r="B2790" t="str">
        <f>"1578729730574511"</f>
        <v>1578729730574511</v>
      </c>
      <c r="C2790" t="s">
        <v>37</v>
      </c>
      <c r="D2790">
        <v>5.2661699999999998</v>
      </c>
      <c r="E2790">
        <v>0.4854214</v>
      </c>
      <c r="F2790" t="s">
        <v>60</v>
      </c>
      <c r="G2790">
        <v>-280.11110000000002</v>
      </c>
      <c r="H2790" s="1">
        <v>6.9936399999999904E-6</v>
      </c>
      <c r="I2790">
        <v>215.01900000000001</v>
      </c>
      <c r="J2790">
        <v>-294.4194</v>
      </c>
      <c r="K2790">
        <v>1.1045609999999999</v>
      </c>
      <c r="L2790">
        <v>213.6233</v>
      </c>
      <c r="M2790">
        <v>0.9997258</v>
      </c>
      <c r="N2790">
        <v>0</v>
      </c>
      <c r="O2790">
        <v>1.8596809999999998E-2</v>
      </c>
      <c r="P2790">
        <v>0.99854140000000002</v>
      </c>
      <c r="Q2790">
        <v>1.157889E-2</v>
      </c>
      <c r="R2790">
        <v>5.2739620000000001E-2</v>
      </c>
      <c r="S2790">
        <v>2.9918520000000002</v>
      </c>
      <c r="T2790">
        <v>-0.22583020000000001</v>
      </c>
      <c r="U2790">
        <v>0.28660580000000002</v>
      </c>
      <c r="V2790">
        <v>-3.4163390000000002E-2</v>
      </c>
      <c r="W2790">
        <v>2.5801959999999999E-2</v>
      </c>
      <c r="X2790">
        <v>0.99908319999999995</v>
      </c>
      <c r="Y2790">
        <v>-7.6664880000000005E-2</v>
      </c>
      <c r="Z2790">
        <v>1.48441E-3</v>
      </c>
      <c r="AA2790">
        <v>0.99705580000000005</v>
      </c>
      <c r="AB2790">
        <v>30</v>
      </c>
      <c r="AC2790">
        <v>14.3082999999999</v>
      </c>
      <c r="AD2790">
        <v>-1.1045540063599999</v>
      </c>
      <c r="AE2790">
        <v>1.3956999999999999</v>
      </c>
      <c r="AF2790">
        <v>-1.1227153289340399</v>
      </c>
      <c r="AG2790">
        <v>-1.1045540063599999</v>
      </c>
      <c r="AH2790">
        <v>14.247676864705699</v>
      </c>
      <c r="AI2790">
        <v>94.419354914807698</v>
      </c>
      <c r="AJ2790">
        <v>94.5055906462065</v>
      </c>
      <c r="AK2790">
        <v>14.3344628536914</v>
      </c>
    </row>
    <row r="2791" spans="1:37" x14ac:dyDescent="0.2">
      <c r="A2791" t="str">
        <f>"20200111160210603"</f>
        <v>20200111160210603</v>
      </c>
      <c r="B2791" t="str">
        <f>"1578729730595007"</f>
        <v>1578729730595007</v>
      </c>
      <c r="C2791" t="s">
        <v>37</v>
      </c>
      <c r="D2791">
        <v>5.2146919999999897</v>
      </c>
      <c r="E2791">
        <v>0.48534440000000001</v>
      </c>
      <c r="F2791" t="s">
        <v>57</v>
      </c>
      <c r="G2791">
        <v>-279.86020000000002</v>
      </c>
      <c r="H2791" s="1">
        <v>3.6920800000000001E-6</v>
      </c>
      <c r="I2791">
        <v>215.03380000000001</v>
      </c>
      <c r="J2791">
        <v>-294.137</v>
      </c>
      <c r="K2791">
        <v>1.1045639999999901</v>
      </c>
      <c r="L2791">
        <v>213.62870000000001</v>
      </c>
      <c r="M2791">
        <v>0.9997239</v>
      </c>
      <c r="N2791">
        <v>0</v>
      </c>
      <c r="O2791">
        <v>1.8694829999999999E-2</v>
      </c>
      <c r="P2791">
        <v>0.99850519999999998</v>
      </c>
      <c r="Q2791">
        <v>1.169123E-2</v>
      </c>
      <c r="R2791">
        <v>5.3392450000000001E-2</v>
      </c>
      <c r="S2791">
        <v>2.99173</v>
      </c>
      <c r="T2791">
        <v>-0.22697229999999999</v>
      </c>
      <c r="U2791">
        <v>0.28984070000000001</v>
      </c>
      <c r="V2791">
        <v>-3.4718760000000001E-2</v>
      </c>
      <c r="W2791">
        <v>2.5910639999999999E-2</v>
      </c>
      <c r="X2791">
        <v>0.99906119999999898</v>
      </c>
      <c r="Y2791">
        <v>-7.7634999999999996E-2</v>
      </c>
      <c r="Z2791">
        <v>1.52114E-3</v>
      </c>
      <c r="AA2791">
        <v>0.99698069999999905</v>
      </c>
      <c r="AB2791">
        <v>30</v>
      </c>
      <c r="AC2791">
        <v>14.2767999999999</v>
      </c>
      <c r="AD2791">
        <v>-1.1045603079199999</v>
      </c>
      <c r="AE2791">
        <v>1.4051</v>
      </c>
      <c r="AF2791">
        <v>-1.1312187835401399</v>
      </c>
      <c r="AG2791">
        <v>-1.1045603079199999</v>
      </c>
      <c r="AH2791">
        <v>14.216296622863601</v>
      </c>
      <c r="AI2791">
        <v>94.428828320151695</v>
      </c>
      <c r="AJ2791">
        <v>94.549552298074801</v>
      </c>
      <c r="AK2791">
        <v>14.3039434800096</v>
      </c>
    </row>
    <row r="2792" spans="1:37" x14ac:dyDescent="0.2">
      <c r="A2792" t="str">
        <f>"20200111160210625"</f>
        <v>20200111160210625</v>
      </c>
      <c r="B2792" t="str">
        <f>"1578729730614527"</f>
        <v>1578729730614527</v>
      </c>
      <c r="C2792" t="s">
        <v>37</v>
      </c>
      <c r="D2792">
        <v>5.5360820000000004</v>
      </c>
      <c r="E2792">
        <v>0.4855196</v>
      </c>
      <c r="F2792" t="s">
        <v>57</v>
      </c>
      <c r="G2792">
        <v>-279.64659999999998</v>
      </c>
      <c r="H2792" s="1">
        <v>3.5779300000000001E-6</v>
      </c>
      <c r="I2792">
        <v>215.0446</v>
      </c>
      <c r="J2792">
        <v>-293.85789999999997</v>
      </c>
      <c r="K2792">
        <v>1.1045659999999999</v>
      </c>
      <c r="L2792">
        <v>213.63399999999999</v>
      </c>
      <c r="M2792">
        <v>0.99972209999999995</v>
      </c>
      <c r="N2792">
        <v>0</v>
      </c>
      <c r="O2792">
        <v>1.879171E-2</v>
      </c>
      <c r="P2792">
        <v>0.99847529999999995</v>
      </c>
      <c r="Q2792">
        <v>1.164979E-2</v>
      </c>
      <c r="R2792">
        <v>5.3956360000000002E-2</v>
      </c>
      <c r="S2792">
        <v>2.9915159999999998</v>
      </c>
      <c r="T2792">
        <v>-0.22803399999999999</v>
      </c>
      <c r="U2792">
        <v>0.29231259999999998</v>
      </c>
      <c r="V2792">
        <v>-3.5186620000000002E-2</v>
      </c>
      <c r="W2792">
        <v>2.5865829999999999E-2</v>
      </c>
      <c r="X2792">
        <v>0.99904599999999899</v>
      </c>
      <c r="Y2792">
        <v>-7.8357919999999998E-2</v>
      </c>
      <c r="Z2792">
        <v>1.5483809999999999E-3</v>
      </c>
      <c r="AA2792">
        <v>0.99692409999999998</v>
      </c>
      <c r="AB2792">
        <v>30</v>
      </c>
      <c r="AC2792">
        <v>14.2112999999999</v>
      </c>
      <c r="AD2792">
        <v>-1.1045624220700001</v>
      </c>
      <c r="AE2792">
        <v>1.4105999999999801</v>
      </c>
      <c r="AF2792">
        <v>-1.1364706792156301</v>
      </c>
      <c r="AG2792">
        <v>-1.1045624220700001</v>
      </c>
      <c r="AH2792">
        <v>14.1506494695026</v>
      </c>
      <c r="AI2792">
        <v>94.449039962919301</v>
      </c>
      <c r="AJ2792">
        <v>94.591698383118597</v>
      </c>
      <c r="AK2792">
        <v>14.2391187984966</v>
      </c>
    </row>
    <row r="2793" spans="1:37" x14ac:dyDescent="0.2">
      <c r="A2793" t="str">
        <f>"20200111160210647"</f>
        <v>20200111160210647</v>
      </c>
      <c r="B2793" t="str">
        <f>"1578729730644783"</f>
        <v>1578729730644783</v>
      </c>
      <c r="C2793" t="s">
        <v>37</v>
      </c>
      <c r="D2793">
        <v>5.222099</v>
      </c>
      <c r="E2793">
        <v>0.4853325</v>
      </c>
      <c r="F2793" t="s">
        <v>57</v>
      </c>
      <c r="G2793">
        <v>-279.38889999999998</v>
      </c>
      <c r="H2793" s="1">
        <v>3.440624E-6</v>
      </c>
      <c r="I2793">
        <v>215.04900000000001</v>
      </c>
      <c r="J2793">
        <v>-293.56229999999999</v>
      </c>
      <c r="K2793">
        <v>1.104568</v>
      </c>
      <c r="L2793">
        <v>213.6397</v>
      </c>
      <c r="M2793">
        <v>0.99972030000000001</v>
      </c>
      <c r="N2793">
        <v>0</v>
      </c>
      <c r="O2793">
        <v>1.889412E-2</v>
      </c>
      <c r="P2793">
        <v>0.99844120000000003</v>
      </c>
      <c r="Q2793">
        <v>1.1814750000000001E-2</v>
      </c>
      <c r="R2793">
        <v>5.4552339999999998E-2</v>
      </c>
      <c r="S2793">
        <v>2.9913939999999899</v>
      </c>
      <c r="T2793">
        <v>-0.22836319999999999</v>
      </c>
      <c r="U2793">
        <v>0.29252620000000001</v>
      </c>
      <c r="V2793">
        <v>-3.5680469999999999E-2</v>
      </c>
      <c r="W2793">
        <v>2.6027430000000001E-2</v>
      </c>
      <c r="X2793">
        <v>0.99902429999999998</v>
      </c>
      <c r="Y2793">
        <v>-7.8330109999999994E-2</v>
      </c>
      <c r="Z2793">
        <v>1.5418249999999999E-3</v>
      </c>
      <c r="AA2793">
        <v>0.99692630000000004</v>
      </c>
      <c r="AB2793">
        <v>30</v>
      </c>
      <c r="AC2793">
        <v>14.173400000000001</v>
      </c>
      <c r="AD2793">
        <v>-1.1045645593760001</v>
      </c>
      <c r="AE2793">
        <v>1.4093</v>
      </c>
      <c r="AF2793">
        <v>-1.1344050784890201</v>
      </c>
      <c r="AG2793">
        <v>-1.1045645593760001</v>
      </c>
      <c r="AH2793">
        <v>14.112626634216699</v>
      </c>
      <c r="AI2793">
        <v>94.460962198545005</v>
      </c>
      <c r="AJ2793">
        <v>94.595684230607901</v>
      </c>
      <c r="AK2793">
        <v>14.201167848621999</v>
      </c>
    </row>
    <row r="2794" spans="1:37" x14ac:dyDescent="0.2">
      <c r="A2794" t="str">
        <f>"20200111160210670"</f>
        <v>20200111160210670</v>
      </c>
      <c r="B2794" t="str">
        <f>"1578729730664303"</f>
        <v>1578729730664303</v>
      </c>
      <c r="C2794" t="s">
        <v>37</v>
      </c>
      <c r="D2794">
        <v>5.1752039999999999</v>
      </c>
      <c r="E2794">
        <v>0.48508409999999902</v>
      </c>
      <c r="F2794" t="s">
        <v>57</v>
      </c>
      <c r="G2794">
        <v>-279.15789999999998</v>
      </c>
      <c r="H2794" s="1">
        <v>3.3170479999999998E-6</v>
      </c>
      <c r="I2794">
        <v>215.0635</v>
      </c>
      <c r="J2794">
        <v>-293.25619999999998</v>
      </c>
      <c r="K2794">
        <v>1.1045689999999999</v>
      </c>
      <c r="L2794">
        <v>213.6456</v>
      </c>
      <c r="M2794">
        <v>0.99971829999999995</v>
      </c>
      <c r="N2794">
        <v>0</v>
      </c>
      <c r="O2794">
        <v>1.9E-2</v>
      </c>
      <c r="P2794">
        <v>0.9984016</v>
      </c>
      <c r="Q2794">
        <v>1.204246E-2</v>
      </c>
      <c r="R2794">
        <v>5.5222859999999999E-2</v>
      </c>
      <c r="S2794">
        <v>2.9912719999999999</v>
      </c>
      <c r="T2794">
        <v>-0.229379</v>
      </c>
      <c r="U2794">
        <v>0.29566959999999998</v>
      </c>
      <c r="V2794">
        <v>-3.6246189999999998E-2</v>
      </c>
      <c r="W2794">
        <v>2.6250989999999998E-2</v>
      </c>
      <c r="X2794">
        <v>0.99899799999999905</v>
      </c>
      <c r="Y2794">
        <v>-7.9262089999999993E-2</v>
      </c>
      <c r="Z2794">
        <v>1.5761620000000001E-3</v>
      </c>
      <c r="AA2794">
        <v>0.99685259999999998</v>
      </c>
      <c r="AB2794">
        <v>30</v>
      </c>
      <c r="AC2794">
        <v>14.098299999999901</v>
      </c>
      <c r="AD2794">
        <v>-1.1045656829520001</v>
      </c>
      <c r="AE2794">
        <v>1.4178999999999999</v>
      </c>
      <c r="AF2794">
        <v>-1.14280453524109</v>
      </c>
      <c r="AG2794">
        <v>-1.1045656829520001</v>
      </c>
      <c r="AH2794">
        <v>14.0373941320362</v>
      </c>
      <c r="AI2794">
        <v>94.484408272520895</v>
      </c>
      <c r="AJ2794">
        <v>94.654267737833905</v>
      </c>
      <c r="AK2794">
        <v>14.1270839727046</v>
      </c>
    </row>
    <row r="2795" spans="1:37" x14ac:dyDescent="0.2">
      <c r="A2795" t="str">
        <f>"20200111160210692"</f>
        <v>20200111160210692</v>
      </c>
      <c r="B2795" t="str">
        <f>"1578729730684798"</f>
        <v>1578729730684798</v>
      </c>
      <c r="C2795" t="s">
        <v>37</v>
      </c>
      <c r="D2795">
        <v>5.2589769999999998</v>
      </c>
      <c r="E2795">
        <v>0.48528119999999902</v>
      </c>
      <c r="F2795" t="s">
        <v>57</v>
      </c>
      <c r="G2795">
        <v>-278.76549999999997</v>
      </c>
      <c r="H2795" s="1">
        <v>3.1067569999999999E-6</v>
      </c>
      <c r="I2795">
        <v>215.09739999999999</v>
      </c>
      <c r="J2795">
        <v>-292.95859999999999</v>
      </c>
      <c r="K2795">
        <v>1.104568</v>
      </c>
      <c r="L2795">
        <v>213.6514</v>
      </c>
      <c r="M2795">
        <v>0.99971639999999995</v>
      </c>
      <c r="N2795">
        <v>0</v>
      </c>
      <c r="O2795">
        <v>1.9102830000000001E-2</v>
      </c>
      <c r="P2795">
        <v>0.99836499999999995</v>
      </c>
      <c r="Q2795">
        <v>1.297824E-2</v>
      </c>
      <c r="R2795">
        <v>5.5672630000000001E-2</v>
      </c>
      <c r="S2795">
        <v>2.9909669999999999</v>
      </c>
      <c r="T2795">
        <v>-0.22798939999999901</v>
      </c>
      <c r="U2795">
        <v>0.29965209999999998</v>
      </c>
      <c r="V2795">
        <v>-3.6593489999999999E-2</v>
      </c>
      <c r="W2795">
        <v>2.7183349999999998E-2</v>
      </c>
      <c r="X2795">
        <v>0.99896039999999997</v>
      </c>
      <c r="Y2795">
        <v>-8.0482650000000003E-2</v>
      </c>
      <c r="Z2795">
        <v>1.605235E-3</v>
      </c>
      <c r="AA2795">
        <v>0.99675469999999899</v>
      </c>
      <c r="AB2795">
        <v>30</v>
      </c>
      <c r="AC2795">
        <v>14.193099999999999</v>
      </c>
      <c r="AD2795">
        <v>-1.1045648932429999</v>
      </c>
      <c r="AE2795">
        <v>1.44599999999999</v>
      </c>
      <c r="AF2795">
        <v>-1.16758138300041</v>
      </c>
      <c r="AG2795">
        <v>-1.1045648932429999</v>
      </c>
      <c r="AH2795">
        <v>14.1334141873478</v>
      </c>
      <c r="AI2795">
        <v>94.453628162035301</v>
      </c>
      <c r="AJ2795">
        <v>94.722561784803105</v>
      </c>
      <c r="AK2795">
        <v>14.2245107641858</v>
      </c>
    </row>
    <row r="2796" spans="1:37" x14ac:dyDescent="0.2">
      <c r="A2796" t="str">
        <f>"20200111160210715"</f>
        <v>20200111160210715</v>
      </c>
      <c r="B2796" t="str">
        <f>"1578729730704319"</f>
        <v>1578729730704319</v>
      </c>
      <c r="C2796" t="s">
        <v>37</v>
      </c>
      <c r="D2796">
        <v>5.3281130000000001</v>
      </c>
      <c r="E2796">
        <v>0.48546229999999901</v>
      </c>
      <c r="F2796" t="s">
        <v>57</v>
      </c>
      <c r="G2796">
        <v>-278.26130000000001</v>
      </c>
      <c r="H2796" s="1">
        <v>2.8373890000000001E-6</v>
      </c>
      <c r="I2796">
        <v>215.1208</v>
      </c>
      <c r="J2796">
        <v>-292.6712</v>
      </c>
      <c r="K2796">
        <v>1.1045769999999999</v>
      </c>
      <c r="L2796">
        <v>213.65700000000001</v>
      </c>
      <c r="M2796">
        <v>0.99971460000000001</v>
      </c>
      <c r="N2796">
        <v>0</v>
      </c>
      <c r="O2796">
        <v>1.9202029999999998E-2</v>
      </c>
      <c r="P2796">
        <v>0.99834469999999997</v>
      </c>
      <c r="Q2796">
        <v>1.353882E-2</v>
      </c>
      <c r="R2796">
        <v>5.5901859999999998E-2</v>
      </c>
      <c r="S2796">
        <v>2.9911500000000002</v>
      </c>
      <c r="T2796">
        <v>-0.22479730000000001</v>
      </c>
      <c r="U2796">
        <v>0.29904169999999902</v>
      </c>
      <c r="V2796">
        <v>-3.6724399999999997E-2</v>
      </c>
      <c r="W2796">
        <v>2.774008E-2</v>
      </c>
      <c r="X2796">
        <v>0.9989403</v>
      </c>
      <c r="Y2796">
        <v>-8.0182349999999999E-2</v>
      </c>
      <c r="Z2796">
        <v>1.5640789999999999E-3</v>
      </c>
      <c r="AA2796">
        <v>0.99677899999999997</v>
      </c>
      <c r="AB2796">
        <v>30</v>
      </c>
      <c r="AC2796">
        <v>14.409899999999899</v>
      </c>
      <c r="AD2796">
        <v>-1.1045741626109999</v>
      </c>
      <c r="AE2796">
        <v>1.46379999999999</v>
      </c>
      <c r="AF2796">
        <v>-1.1799404781482301</v>
      </c>
      <c r="AG2796">
        <v>-1.1045741626109999</v>
      </c>
      <c r="AH2796">
        <v>14.3518857354562</v>
      </c>
      <c r="AI2796">
        <v>94.3862778359549</v>
      </c>
      <c r="AJ2796">
        <v>94.700002711744901</v>
      </c>
      <c r="AK2796">
        <v>14.442609451767</v>
      </c>
    </row>
    <row r="2797" spans="1:37" x14ac:dyDescent="0.2">
      <c r="A2797" t="str">
        <f>"20200111160210736"</f>
        <v>20200111160210736</v>
      </c>
      <c r="B2797" t="str">
        <f>"1578729730724814"</f>
        <v>1578729730724814</v>
      </c>
      <c r="C2797" t="s">
        <v>37</v>
      </c>
      <c r="D2797">
        <v>5.2705380000000002</v>
      </c>
      <c r="E2797">
        <v>0.4858169</v>
      </c>
      <c r="F2797" t="s">
        <v>57</v>
      </c>
      <c r="G2797">
        <v>-277.7953</v>
      </c>
      <c r="H2797" s="1">
        <v>2.58854199999999E-6</v>
      </c>
      <c r="I2797">
        <v>215.14160000000001</v>
      </c>
      <c r="J2797">
        <v>-292.38470000000001</v>
      </c>
      <c r="K2797">
        <v>1.1045750000000001</v>
      </c>
      <c r="L2797">
        <v>213.6626</v>
      </c>
      <c r="M2797">
        <v>0.99971259999999995</v>
      </c>
      <c r="N2797">
        <v>0</v>
      </c>
      <c r="O2797">
        <v>1.930105E-2</v>
      </c>
      <c r="P2797">
        <v>0.99836719999999901</v>
      </c>
      <c r="Q2797">
        <v>1.278893E-2</v>
      </c>
      <c r="R2797">
        <v>5.5669799999999998E-2</v>
      </c>
      <c r="S2797">
        <v>2.9912719999999999</v>
      </c>
      <c r="T2797">
        <v>-0.22211030000000001</v>
      </c>
      <c r="U2797">
        <v>0.29852289999999998</v>
      </c>
      <c r="V2797">
        <v>-3.6392670000000002E-2</v>
      </c>
      <c r="W2797">
        <v>2.6987919999999999E-2</v>
      </c>
      <c r="X2797">
        <v>0.99897309999999995</v>
      </c>
      <c r="Y2797">
        <v>-7.9913479999999995E-2</v>
      </c>
      <c r="Z2797">
        <v>1.52812E-3</v>
      </c>
      <c r="AA2797">
        <v>0.99680069999999998</v>
      </c>
      <c r="AB2797">
        <v>29</v>
      </c>
      <c r="AC2797">
        <v>14.589399999999999</v>
      </c>
      <c r="AD2797">
        <v>-1.104572411458</v>
      </c>
      <c r="AE2797">
        <v>1.4790000000000101</v>
      </c>
      <c r="AF2797">
        <v>-1.1903514205271499</v>
      </c>
      <c r="AG2797">
        <v>-1.104572411458</v>
      </c>
      <c r="AH2797">
        <v>14.5327749539022</v>
      </c>
      <c r="AI2797">
        <v>94.331992157828793</v>
      </c>
      <c r="AJ2797">
        <v>94.682533287492504</v>
      </c>
      <c r="AK2797">
        <v>14.623220048172399</v>
      </c>
    </row>
    <row r="2798" spans="1:37" x14ac:dyDescent="0.2">
      <c r="A2798" t="str">
        <f>"20200111160210759"</f>
        <v>20200111160210759</v>
      </c>
      <c r="B2798" t="str">
        <f>"1578729730755071"</f>
        <v>1578729730755071</v>
      </c>
      <c r="C2798" t="s">
        <v>37</v>
      </c>
      <c r="D2798">
        <v>5.3911319999999998</v>
      </c>
      <c r="E2798">
        <v>0.48622189999999998</v>
      </c>
      <c r="F2798" t="s">
        <v>57</v>
      </c>
      <c r="G2798">
        <v>-277.72570000000002</v>
      </c>
      <c r="H2798" s="1">
        <v>2.55294E-6</v>
      </c>
      <c r="I2798">
        <v>215.10830000000001</v>
      </c>
      <c r="J2798">
        <v>-292.0763</v>
      </c>
      <c r="K2798">
        <v>1.1045739999999999</v>
      </c>
      <c r="L2798">
        <v>213.6687</v>
      </c>
      <c r="M2798">
        <v>0.99971069999999995</v>
      </c>
      <c r="N2798">
        <v>0</v>
      </c>
      <c r="O2798">
        <v>1.9407270000000001E-2</v>
      </c>
      <c r="P2798">
        <v>0.9983938</v>
      </c>
      <c r="Q2798">
        <v>1.21272999999999E-2</v>
      </c>
      <c r="R2798">
        <v>5.5342860000000001E-2</v>
      </c>
      <c r="S2798">
        <v>2.9913639999999999</v>
      </c>
      <c r="T2798">
        <v>-0.2254032</v>
      </c>
      <c r="U2798">
        <v>0.29501339999999998</v>
      </c>
      <c r="V2798">
        <v>-3.5959350000000001E-2</v>
      </c>
      <c r="W2798">
        <v>2.632344E-2</v>
      </c>
      <c r="X2798">
        <v>0.99900650000000002</v>
      </c>
      <c r="Y2798">
        <v>-7.8645329999999999E-2</v>
      </c>
      <c r="Z2798">
        <v>1.495185E-3</v>
      </c>
      <c r="AA2798">
        <v>0.9969015</v>
      </c>
      <c r="AB2798">
        <v>29</v>
      </c>
      <c r="AC2798">
        <v>14.350599999999901</v>
      </c>
      <c r="AD2798">
        <v>-1.1045714470600001</v>
      </c>
      <c r="AE2798">
        <v>1.43960000000001</v>
      </c>
      <c r="AF2798">
        <v>-1.1540258851209699</v>
      </c>
      <c r="AG2798">
        <v>-1.1045714470600001</v>
      </c>
      <c r="AH2798">
        <v>14.2920096115718</v>
      </c>
      <c r="AI2798">
        <v>94.405092742158402</v>
      </c>
      <c r="AJ2798">
        <v>94.616402624174199</v>
      </c>
      <c r="AK2798">
        <v>14.3810080509835</v>
      </c>
    </row>
    <row r="2799" spans="1:37" x14ac:dyDescent="0.2">
      <c r="A2799" t="str">
        <f>"20200111160210784"</f>
        <v>20200111160210784</v>
      </c>
      <c r="B2799" t="str">
        <f>"1578729730774590"</f>
        <v>1578729730774590</v>
      </c>
      <c r="C2799" t="s">
        <v>37</v>
      </c>
      <c r="D2799">
        <v>5.2384339999999998</v>
      </c>
      <c r="E2799">
        <v>0.48660179999999997</v>
      </c>
      <c r="F2799" t="s">
        <v>57</v>
      </c>
      <c r="G2799">
        <v>-277.55930000000001</v>
      </c>
      <c r="H2799" s="1">
        <v>2.46564E-6</v>
      </c>
      <c r="I2799">
        <v>215.0795</v>
      </c>
      <c r="J2799">
        <v>-291.7627</v>
      </c>
      <c r="K2799">
        <v>1.104576</v>
      </c>
      <c r="L2799">
        <v>213.67490000000001</v>
      </c>
      <c r="M2799">
        <v>0.99970870000000001</v>
      </c>
      <c r="N2799">
        <v>0</v>
      </c>
      <c r="O2799">
        <v>1.9515589999999999E-2</v>
      </c>
      <c r="P2799">
        <v>0.99838859999999996</v>
      </c>
      <c r="Q2799">
        <v>1.2214849999999999E-2</v>
      </c>
      <c r="R2799">
        <v>5.5420549999999999E-2</v>
      </c>
      <c r="S2799">
        <v>2.9914860000000001</v>
      </c>
      <c r="T2799">
        <v>-0.22761599999999901</v>
      </c>
      <c r="U2799">
        <v>0.29072569999999998</v>
      </c>
      <c r="V2799">
        <v>-3.5928309999999998E-2</v>
      </c>
      <c r="W2799">
        <v>2.6407340000000001E-2</v>
      </c>
      <c r="X2799">
        <v>0.99900540000000004</v>
      </c>
      <c r="Y2799">
        <v>-7.7119350000000003E-2</v>
      </c>
      <c r="Z2799">
        <v>1.4438179999999999E-3</v>
      </c>
      <c r="AA2799">
        <v>0.99702080000000004</v>
      </c>
      <c r="AB2799">
        <v>29</v>
      </c>
      <c r="AC2799">
        <v>14.203399999999901</v>
      </c>
      <c r="AD2799">
        <v>-1.1045735343600001</v>
      </c>
      <c r="AE2799">
        <v>1.4045999999999801</v>
      </c>
      <c r="AF2799">
        <v>-1.12040628032685</v>
      </c>
      <c r="AG2799">
        <v>-1.1045735343600001</v>
      </c>
      <c r="AH2799">
        <v>14.143399370688</v>
      </c>
      <c r="AI2799">
        <v>94.451740716638099</v>
      </c>
      <c r="AJ2799">
        <v>94.529375865223102</v>
      </c>
      <c r="AK2799">
        <v>14.230640838858299</v>
      </c>
    </row>
    <row r="2800" spans="1:37" x14ac:dyDescent="0.2">
      <c r="A2800" t="str">
        <f>"20200111160210806"</f>
        <v>20200111160210806</v>
      </c>
      <c r="B2800" t="str">
        <f>"1578729730795087"</f>
        <v>1578729730795087</v>
      </c>
      <c r="C2800" t="s">
        <v>37</v>
      </c>
      <c r="D2800">
        <v>5.2846529999999996</v>
      </c>
      <c r="E2800">
        <v>0.48677539999999903</v>
      </c>
      <c r="F2800" t="s">
        <v>57</v>
      </c>
      <c r="G2800">
        <v>-277.14049999999997</v>
      </c>
      <c r="H2800" s="1">
        <v>2.2427889999999998E-6</v>
      </c>
      <c r="I2800">
        <v>215.0796</v>
      </c>
      <c r="J2800">
        <v>-291.46879999999999</v>
      </c>
      <c r="K2800">
        <v>1.104573</v>
      </c>
      <c r="L2800">
        <v>213.6808</v>
      </c>
      <c r="M2800">
        <v>0.999706599999999</v>
      </c>
      <c r="N2800">
        <v>0</v>
      </c>
      <c r="O2800">
        <v>1.9617289999999999E-2</v>
      </c>
      <c r="P2800">
        <v>0.99838189999999905</v>
      </c>
      <c r="Q2800">
        <v>1.245422E-2</v>
      </c>
      <c r="R2800">
        <v>5.5485130000000001E-2</v>
      </c>
      <c r="S2800">
        <v>2.9916689999999999</v>
      </c>
      <c r="T2800">
        <v>-0.22599420000000001</v>
      </c>
      <c r="U2800">
        <v>0.28739929999999902</v>
      </c>
      <c r="V2800">
        <v>-3.5891880000000001E-2</v>
      </c>
      <c r="W2800">
        <v>2.664329E-2</v>
      </c>
      <c r="X2800">
        <v>0.99900040000000001</v>
      </c>
      <c r="Y2800">
        <v>-7.5919669999999995E-2</v>
      </c>
      <c r="Z2800">
        <v>1.3807509999999999E-3</v>
      </c>
      <c r="AA2800">
        <v>0.99711299999999903</v>
      </c>
      <c r="AB2800">
        <v>29</v>
      </c>
      <c r="AC2800">
        <v>14.3283</v>
      </c>
      <c r="AD2800">
        <v>-1.104570757211</v>
      </c>
      <c r="AE2800">
        <v>1.3987999999999901</v>
      </c>
      <c r="AF2800">
        <v>-1.1108804560157299</v>
      </c>
      <c r="AG2800">
        <v>-1.104570757211</v>
      </c>
      <c r="AH2800">
        <v>14.268987102392201</v>
      </c>
      <c r="AI2800">
        <v>94.413171593828395</v>
      </c>
      <c r="AJ2800">
        <v>94.451656864330602</v>
      </c>
      <c r="AK2800">
        <v>14.3547248275081</v>
      </c>
    </row>
    <row r="2801" spans="1:37" x14ac:dyDescent="0.2">
      <c r="A2801" t="str">
        <f>"20200111160210827"</f>
        <v>20200111160210827</v>
      </c>
      <c r="B2801" t="str">
        <f>"1578729730824367"</f>
        <v>1578729730824367</v>
      </c>
      <c r="C2801" t="s">
        <v>37</v>
      </c>
      <c r="D2801">
        <v>5.3246789999999997</v>
      </c>
      <c r="E2801">
        <v>0.4870989</v>
      </c>
      <c r="F2801" t="s">
        <v>57</v>
      </c>
      <c r="G2801">
        <v>-276.78750000000002</v>
      </c>
      <c r="H2801" s="1">
        <v>2.0547559999999998E-6</v>
      </c>
      <c r="I2801">
        <v>215.0838</v>
      </c>
      <c r="J2801">
        <v>-291.19909999999999</v>
      </c>
      <c r="K2801">
        <v>1.104571</v>
      </c>
      <c r="L2801">
        <v>213.68620000000001</v>
      </c>
      <c r="M2801">
        <v>0.99970499999999995</v>
      </c>
      <c r="N2801">
        <v>0</v>
      </c>
      <c r="O2801">
        <v>1.9710289999999998E-2</v>
      </c>
      <c r="P2801">
        <v>0.99833729999999998</v>
      </c>
      <c r="Q2801">
        <v>1.2522459999999999E-2</v>
      </c>
      <c r="R2801">
        <v>5.6267209999999998E-2</v>
      </c>
      <c r="S2801">
        <v>2.9917910000000001</v>
      </c>
      <c r="T2801">
        <v>-0.2250926</v>
      </c>
      <c r="U2801">
        <v>0.28590389999999999</v>
      </c>
      <c r="V2801">
        <v>-3.6581099999999998E-2</v>
      </c>
      <c r="W2801">
        <v>2.6708590000000001E-2</v>
      </c>
      <c r="X2801">
        <v>0.99897369999999996</v>
      </c>
      <c r="Y2801">
        <v>-7.5332350000000006E-2</v>
      </c>
      <c r="Z2801">
        <v>1.3462529999999999E-3</v>
      </c>
      <c r="AA2801">
        <v>0.99715759999999898</v>
      </c>
      <c r="AB2801">
        <v>29</v>
      </c>
      <c r="AC2801">
        <v>14.4115999999999</v>
      </c>
      <c r="AD2801">
        <v>-1.104568945244</v>
      </c>
      <c r="AE2801">
        <v>1.39759999999998</v>
      </c>
      <c r="AF2801">
        <v>-1.1068018256242</v>
      </c>
      <c r="AG2801">
        <v>-1.104568945244</v>
      </c>
      <c r="AH2801">
        <v>14.3528213943598</v>
      </c>
      <c r="AI2801">
        <v>94.387736929336398</v>
      </c>
      <c r="AJ2801">
        <v>94.409573413531703</v>
      </c>
      <c r="AK2801">
        <v>14.4377479135215</v>
      </c>
    </row>
    <row r="2802" spans="1:37" x14ac:dyDescent="0.2">
      <c r="A2802" t="str">
        <f>"20200111160210848"</f>
        <v>20200111160210848</v>
      </c>
      <c r="B2802" t="str">
        <f>"1578729730844865"</f>
        <v>1578729730844865</v>
      </c>
      <c r="C2802" t="s">
        <v>37</v>
      </c>
      <c r="D2802">
        <v>5.4725409999999997</v>
      </c>
      <c r="E2802">
        <v>0.48742869999999999</v>
      </c>
      <c r="F2802" t="s">
        <v>57</v>
      </c>
      <c r="G2802">
        <v>-276.55549999999999</v>
      </c>
      <c r="H2802" s="1">
        <v>1.9311879999999999E-6</v>
      </c>
      <c r="I2802">
        <v>215.08609999999999</v>
      </c>
      <c r="J2802">
        <v>-290.92129999999997</v>
      </c>
      <c r="K2802">
        <v>1.104568</v>
      </c>
      <c r="L2802">
        <v>213.6918</v>
      </c>
      <c r="M2802">
        <v>0.99970289999999995</v>
      </c>
      <c r="N2802">
        <v>0</v>
      </c>
      <c r="O2802">
        <v>1.9806440000000002E-2</v>
      </c>
      <c r="P2802">
        <v>0.99826949999999903</v>
      </c>
      <c r="Q2802">
        <v>1.271865E-2</v>
      </c>
      <c r="R2802">
        <v>5.7414099999999899E-2</v>
      </c>
      <c r="S2802">
        <v>2.9916689999999999</v>
      </c>
      <c r="T2802">
        <v>-0.2256621</v>
      </c>
      <c r="U2802">
        <v>0.28601070000000001</v>
      </c>
      <c r="V2802">
        <v>-3.7633609999999998E-2</v>
      </c>
      <c r="W2802">
        <v>2.6901169999999999E-2</v>
      </c>
      <c r="X2802">
        <v>0.99892939999999997</v>
      </c>
      <c r="Y2802">
        <v>-7.5275229999999999E-2</v>
      </c>
      <c r="Z2802">
        <v>1.3403320000000001E-3</v>
      </c>
      <c r="AA2802">
        <v>0.99716190000000005</v>
      </c>
      <c r="AB2802">
        <v>29</v>
      </c>
      <c r="AC2802">
        <v>14.365799999999901</v>
      </c>
      <c r="AD2802">
        <v>-1.104566068812</v>
      </c>
      <c r="AE2802">
        <v>1.3942999999999801</v>
      </c>
      <c r="AF2802">
        <v>-1.1030024200127799</v>
      </c>
      <c r="AG2802">
        <v>-1.104566068812</v>
      </c>
      <c r="AH2802">
        <v>14.306809771569</v>
      </c>
      <c r="AI2802">
        <v>94.401787287772905</v>
      </c>
      <c r="AJ2802">
        <v>94.408573074568693</v>
      </c>
      <c r="AK2802">
        <v>14.391715894179701</v>
      </c>
    </row>
    <row r="2803" spans="1:37" x14ac:dyDescent="0.2">
      <c r="A2803" t="str">
        <f>"20200111160210872"</f>
        <v>20200111160210872</v>
      </c>
      <c r="B2803" t="str">
        <f>"1578729730864383"</f>
        <v>1578729730864383</v>
      </c>
      <c r="C2803" t="s">
        <v>37</v>
      </c>
      <c r="D2803">
        <v>5.4338899999999999</v>
      </c>
      <c r="E2803">
        <v>0.48751670000000003</v>
      </c>
      <c r="F2803" t="s">
        <v>57</v>
      </c>
      <c r="G2803">
        <v>-276.32569999999998</v>
      </c>
      <c r="H2803" s="1">
        <v>1.8086740000000001E-6</v>
      </c>
      <c r="I2803">
        <v>215.09139999999999</v>
      </c>
      <c r="J2803">
        <v>-290.61309999999997</v>
      </c>
      <c r="K2803">
        <v>1.104568</v>
      </c>
      <c r="L2803">
        <v>213.69799999999901</v>
      </c>
      <c r="M2803">
        <v>0.99970099999999995</v>
      </c>
      <c r="N2803">
        <v>0</v>
      </c>
      <c r="O2803">
        <v>1.9912909999999999E-2</v>
      </c>
      <c r="P2803">
        <v>0.99820640000000005</v>
      </c>
      <c r="Q2803">
        <v>1.266318E-2</v>
      </c>
      <c r="R2803">
        <v>5.851232E-2</v>
      </c>
      <c r="S2803">
        <v>2.9915769999999999</v>
      </c>
      <c r="T2803">
        <v>-0.2263974</v>
      </c>
      <c r="U2803">
        <v>0.28688049999999998</v>
      </c>
      <c r="V2803">
        <v>-3.8625840000000002E-2</v>
      </c>
      <c r="W2803">
        <v>2.684158E-2</v>
      </c>
      <c r="X2803">
        <v>0.99889319999999904</v>
      </c>
      <c r="Y2803">
        <v>-7.5457940000000001E-2</v>
      </c>
      <c r="Z2803">
        <v>1.343576E-3</v>
      </c>
      <c r="AA2803">
        <v>0.99714809999999998</v>
      </c>
      <c r="AB2803">
        <v>29</v>
      </c>
      <c r="AC2803">
        <v>14.2873999999999</v>
      </c>
      <c r="AD2803">
        <v>-1.1045661913260001</v>
      </c>
      <c r="AE2803">
        <v>1.39340000000001</v>
      </c>
      <c r="AF2803">
        <v>-1.10206640013917</v>
      </c>
      <c r="AG2803">
        <v>-1.1045661913260001</v>
      </c>
      <c r="AH2803">
        <v>14.228077164442601</v>
      </c>
      <c r="AI2803">
        <v>94.425926827388096</v>
      </c>
      <c r="AJ2803">
        <v>94.429124614556997</v>
      </c>
      <c r="AK2803">
        <v>14.3133782392093</v>
      </c>
    </row>
    <row r="2804" spans="1:37" x14ac:dyDescent="0.2">
      <c r="A2804" t="str">
        <f>"20200111160210893"</f>
        <v>20200111160210893</v>
      </c>
      <c r="B2804" t="str">
        <f>"1578729730884879"</f>
        <v>1578729730884879</v>
      </c>
      <c r="C2804" t="s">
        <v>37</v>
      </c>
      <c r="D2804">
        <v>5.372382</v>
      </c>
      <c r="E2804">
        <v>0.4877455</v>
      </c>
      <c r="F2804" t="s">
        <v>57</v>
      </c>
      <c r="G2804">
        <v>-276.01179999999999</v>
      </c>
      <c r="H2804" s="1">
        <v>1.6408179999999899E-6</v>
      </c>
      <c r="I2804">
        <v>215.1104</v>
      </c>
      <c r="J2804">
        <v>-290.32279999999997</v>
      </c>
      <c r="K2804">
        <v>1.104571</v>
      </c>
      <c r="L2804">
        <v>213.7039</v>
      </c>
      <c r="M2804">
        <v>0.99969909999999995</v>
      </c>
      <c r="N2804">
        <v>0</v>
      </c>
      <c r="O2804">
        <v>2.0013240000000002E-2</v>
      </c>
      <c r="P2804">
        <v>0.998179699999999</v>
      </c>
      <c r="Q2804">
        <v>1.2558740000000001E-2</v>
      </c>
      <c r="R2804">
        <v>5.8989710000000001E-2</v>
      </c>
      <c r="S2804">
        <v>2.9913020000000001</v>
      </c>
      <c r="T2804">
        <v>-0.226288299999999</v>
      </c>
      <c r="U2804">
        <v>0.28935240000000001</v>
      </c>
      <c r="V2804">
        <v>-3.900319E-2</v>
      </c>
      <c r="W2804">
        <v>2.6733380000000001E-2</v>
      </c>
      <c r="X2804">
        <v>0.99888140000000003</v>
      </c>
      <c r="Y2804">
        <v>-7.6181349999999995E-2</v>
      </c>
      <c r="Z2804">
        <v>1.362706E-3</v>
      </c>
      <c r="AA2804">
        <v>0.99709300000000001</v>
      </c>
      <c r="AB2804">
        <v>29</v>
      </c>
      <c r="AC2804">
        <v>14.3109999999999</v>
      </c>
      <c r="AD2804">
        <v>-1.1045693591820001</v>
      </c>
      <c r="AE2804">
        <v>1.4064999999999901</v>
      </c>
      <c r="AF2804">
        <v>-1.11321171093657</v>
      </c>
      <c r="AG2804">
        <v>-1.1045693591820001</v>
      </c>
      <c r="AH2804">
        <v>14.2521929400469</v>
      </c>
      <c r="AI2804">
        <v>94.4182586459238</v>
      </c>
      <c r="AJ2804">
        <v>94.466196633851794</v>
      </c>
      <c r="AK2804">
        <v>14.338211791675199</v>
      </c>
    </row>
    <row r="2805" spans="1:37" x14ac:dyDescent="0.2">
      <c r="A2805" t="str">
        <f>"20200111160210916"</f>
        <v>20200111160210916</v>
      </c>
      <c r="B2805" t="str">
        <f>"1578729730904399"</f>
        <v>1578729730904399</v>
      </c>
      <c r="C2805" t="s">
        <v>37</v>
      </c>
      <c r="D2805">
        <v>5.3555820000000001</v>
      </c>
      <c r="E2805">
        <v>0.48796459999999903</v>
      </c>
      <c r="F2805" t="s">
        <v>57</v>
      </c>
      <c r="G2805">
        <v>-275.77359999999999</v>
      </c>
      <c r="H2805" s="1">
        <v>1.51412E-6</v>
      </c>
      <c r="I2805">
        <v>215.10890000000001</v>
      </c>
      <c r="J2805">
        <v>-290.04070000000002</v>
      </c>
      <c r="K2805">
        <v>1.1045849999999999</v>
      </c>
      <c r="L2805">
        <v>213.70959999999999</v>
      </c>
      <c r="M2805">
        <v>0.99969710000000001</v>
      </c>
      <c r="N2805">
        <v>0</v>
      </c>
      <c r="O2805">
        <v>2.0110530000000001E-2</v>
      </c>
      <c r="P2805">
        <v>0.99816819999999895</v>
      </c>
      <c r="Q2805">
        <v>1.3609939999999999E-2</v>
      </c>
      <c r="R2805">
        <v>5.8950580000000002E-2</v>
      </c>
      <c r="S2805">
        <v>2.991241</v>
      </c>
      <c r="T2805">
        <v>-0.22709459999999901</v>
      </c>
      <c r="U2805">
        <v>0.28886409999999901</v>
      </c>
      <c r="V2805">
        <v>-3.8867289999999999E-2</v>
      </c>
      <c r="W2805">
        <v>2.7781070000000001E-2</v>
      </c>
      <c r="X2805">
        <v>0.99885809999999997</v>
      </c>
      <c r="Y2805">
        <v>-7.592488E-2</v>
      </c>
      <c r="Z2805">
        <v>1.350532E-3</v>
      </c>
      <c r="AA2805">
        <v>0.99711260000000002</v>
      </c>
      <c r="AB2805">
        <v>29</v>
      </c>
      <c r="AC2805">
        <v>14.267099999999999</v>
      </c>
      <c r="AD2805">
        <v>-1.1045834858800001</v>
      </c>
      <c r="AE2805">
        <v>1.39930000000001</v>
      </c>
      <c r="AF2805">
        <v>-1.1055057293872701</v>
      </c>
      <c r="AG2805">
        <v>-1.1045834858800001</v>
      </c>
      <c r="AH2805">
        <v>14.208004476364801</v>
      </c>
      <c r="AI2805">
        <v>94.432104139586698</v>
      </c>
      <c r="AJ2805">
        <v>94.449143386069295</v>
      </c>
      <c r="AK2805">
        <v>14.293692273005901</v>
      </c>
    </row>
    <row r="2806" spans="1:37" x14ac:dyDescent="0.2">
      <c r="A2806" t="str">
        <f>"20200111160210938"</f>
        <v>20200111160210938</v>
      </c>
      <c r="B2806" t="str">
        <f>"1578729730934654"</f>
        <v>1578729730934654</v>
      </c>
      <c r="C2806" t="s">
        <v>37</v>
      </c>
      <c r="D2806">
        <v>5.3680979999999998</v>
      </c>
      <c r="E2806">
        <v>0.48803159999999901</v>
      </c>
      <c r="F2806" t="s">
        <v>57</v>
      </c>
      <c r="G2806">
        <v>-275.31720000000001</v>
      </c>
      <c r="H2806" s="1">
        <v>1.270608E-6</v>
      </c>
      <c r="I2806">
        <v>215.12270000000001</v>
      </c>
      <c r="J2806">
        <v>-289.76</v>
      </c>
      <c r="K2806">
        <v>1.104595</v>
      </c>
      <c r="L2806">
        <v>213.71539999999999</v>
      </c>
      <c r="M2806">
        <v>0.99969529999999995</v>
      </c>
      <c r="N2806">
        <v>0</v>
      </c>
      <c r="O2806">
        <v>2.020752E-2</v>
      </c>
      <c r="P2806">
        <v>0.9981833</v>
      </c>
      <c r="Q2806">
        <v>1.437883E-2</v>
      </c>
      <c r="R2806">
        <v>5.8513860000000001E-2</v>
      </c>
      <c r="S2806">
        <v>2.9916079999999998</v>
      </c>
      <c r="T2806">
        <v>-0.22443560000000001</v>
      </c>
      <c r="U2806">
        <v>0.28712459999999901</v>
      </c>
      <c r="V2806">
        <v>-3.8333480000000003E-2</v>
      </c>
      <c r="W2806">
        <v>2.8547530000000002E-2</v>
      </c>
      <c r="X2806">
        <v>0.99885709999999905</v>
      </c>
      <c r="Y2806">
        <v>-7.5247889999999998E-2</v>
      </c>
      <c r="Z2806">
        <v>1.3020900000000001E-3</v>
      </c>
      <c r="AA2806">
        <v>0.99716399999999905</v>
      </c>
      <c r="AB2806">
        <v>29</v>
      </c>
      <c r="AC2806">
        <v>14.442799999999901</v>
      </c>
      <c r="AD2806">
        <v>-1.1045937293920001</v>
      </c>
      <c r="AE2806">
        <v>1.40730000000002</v>
      </c>
      <c r="AF2806">
        <v>-1.10870594469533</v>
      </c>
      <c r="AG2806">
        <v>-1.1045937293920001</v>
      </c>
      <c r="AH2806">
        <v>14.384941021515401</v>
      </c>
      <c r="AI2806">
        <v>94.378088996311106</v>
      </c>
      <c r="AJ2806">
        <v>94.407305605964297</v>
      </c>
      <c r="AK2806">
        <v>14.469826687673001</v>
      </c>
    </row>
    <row r="2807" spans="1:37" x14ac:dyDescent="0.2">
      <c r="A2807" t="str">
        <f>"20200111160210960"</f>
        <v>20200111160210960</v>
      </c>
      <c r="B2807" t="str">
        <f>"1578729730954683"</f>
        <v>1578729730954683</v>
      </c>
      <c r="C2807" t="s">
        <v>37</v>
      </c>
      <c r="D2807">
        <v>5.4096459999999897</v>
      </c>
      <c r="E2807">
        <v>0.48818199999999901</v>
      </c>
      <c r="F2807" t="s">
        <v>57</v>
      </c>
      <c r="G2807">
        <v>-274.90370000000001</v>
      </c>
      <c r="H2807" s="1">
        <v>1.050128E-6</v>
      </c>
      <c r="I2807">
        <v>215.13310000000001</v>
      </c>
      <c r="J2807">
        <v>-289.457999999999</v>
      </c>
      <c r="K2807">
        <v>1.104598</v>
      </c>
      <c r="L2807">
        <v>213.7216</v>
      </c>
      <c r="M2807">
        <v>0.99969300000000005</v>
      </c>
      <c r="N2807">
        <v>0</v>
      </c>
      <c r="O2807">
        <v>2.0312139999999999E-2</v>
      </c>
      <c r="P2807">
        <v>0.99820259999999905</v>
      </c>
      <c r="Q2807">
        <v>1.499464E-2</v>
      </c>
      <c r="R2807">
        <v>5.8024689999999997E-2</v>
      </c>
      <c r="S2807">
        <v>2.9919739999999999</v>
      </c>
      <c r="T2807">
        <v>-0.22245879999999901</v>
      </c>
      <c r="U2807">
        <v>0.28552250000000001</v>
      </c>
      <c r="V2807">
        <v>-3.7739830000000002E-2</v>
      </c>
      <c r="W2807">
        <v>2.916001E-2</v>
      </c>
      <c r="X2807">
        <v>0.99886200000000003</v>
      </c>
      <c r="Y2807">
        <v>-7.4607510000000002E-2</v>
      </c>
      <c r="Z2807">
        <v>1.2590589999999899E-3</v>
      </c>
      <c r="AA2807">
        <v>0.99721219999999999</v>
      </c>
      <c r="AB2807">
        <v>29</v>
      </c>
      <c r="AC2807">
        <v>14.5542999999999</v>
      </c>
      <c r="AD2807">
        <v>-1.1045969498720001</v>
      </c>
      <c r="AE2807">
        <v>1.41150000000001</v>
      </c>
      <c r="AF2807">
        <v>-1.1092203746508</v>
      </c>
      <c r="AG2807">
        <v>-1.1045969498720001</v>
      </c>
      <c r="AH2807">
        <v>14.497243594896901</v>
      </c>
      <c r="AI2807">
        <v>94.344502724136106</v>
      </c>
      <c r="AJ2807">
        <v>94.3753187702236</v>
      </c>
      <c r="AK2807">
        <v>14.581514877096501</v>
      </c>
    </row>
    <row r="2808" spans="1:37" x14ac:dyDescent="0.2">
      <c r="A2808" t="str">
        <f>"20200111160210983"</f>
        <v>20200111160210983</v>
      </c>
      <c r="B2808" t="str">
        <f>"1578729730974210"</f>
        <v>1578729730974210</v>
      </c>
      <c r="C2808" t="s">
        <v>37</v>
      </c>
      <c r="D2808">
        <v>5.4879350000000002</v>
      </c>
      <c r="E2808">
        <v>0.48837789999999998</v>
      </c>
      <c r="F2808" t="s">
        <v>57</v>
      </c>
      <c r="G2808">
        <v>-274.50290000000001</v>
      </c>
      <c r="H2808" s="1">
        <v>8.3671359999999996E-7</v>
      </c>
      <c r="I2808">
        <v>215.13560000000001</v>
      </c>
      <c r="J2808">
        <v>-289.1558</v>
      </c>
      <c r="K2808">
        <v>1.104598</v>
      </c>
      <c r="L2808">
        <v>213.72790000000001</v>
      </c>
      <c r="M2808">
        <v>0.999691</v>
      </c>
      <c r="N2808">
        <v>0</v>
      </c>
      <c r="O2808">
        <v>2.0416759999999999E-2</v>
      </c>
      <c r="P2808">
        <v>0.998254999999999</v>
      </c>
      <c r="Q2808">
        <v>1.5004669999999999E-2</v>
      </c>
      <c r="R2808">
        <v>5.7114650000000003E-2</v>
      </c>
      <c r="S2808">
        <v>2.9923099999999998</v>
      </c>
      <c r="T2808">
        <v>-0.22101390000000001</v>
      </c>
      <c r="U2808">
        <v>0.28291319999999998</v>
      </c>
      <c r="V2808">
        <v>-3.6724809999999997E-2</v>
      </c>
      <c r="W2808">
        <v>2.916763E-2</v>
      </c>
      <c r="X2808">
        <v>0.998899599999999</v>
      </c>
      <c r="Y2808">
        <v>-7.3635619999999999E-2</v>
      </c>
      <c r="Z2808">
        <v>1.2073520000000001E-3</v>
      </c>
      <c r="AA2808">
        <v>0.99728449999999902</v>
      </c>
      <c r="AB2808">
        <v>29</v>
      </c>
      <c r="AC2808">
        <v>14.652899999999899</v>
      </c>
      <c r="AD2808">
        <v>-1.10459716328639</v>
      </c>
      <c r="AE2808">
        <v>1.4077</v>
      </c>
      <c r="AF2808">
        <v>-1.1020065044573299</v>
      </c>
      <c r="AG2808">
        <v>-1.10459716328639</v>
      </c>
      <c r="AH2808">
        <v>14.5963991092461</v>
      </c>
      <c r="AI2808">
        <v>94.315431961865997</v>
      </c>
      <c r="AJ2808">
        <v>94.317555493811994</v>
      </c>
      <c r="AK2808">
        <v>14.6795579015652</v>
      </c>
    </row>
    <row r="2809" spans="1:37" x14ac:dyDescent="0.2">
      <c r="A2809" t="str">
        <f>"20200111160211019"</f>
        <v>20200111160211019</v>
      </c>
      <c r="B2809" t="str">
        <f>"1578729731004459"</f>
        <v>1578729731004459</v>
      </c>
      <c r="C2809" t="s">
        <v>37</v>
      </c>
      <c r="D2809">
        <v>5.5070819999999996</v>
      </c>
      <c r="E2809">
        <v>0.48851660000000002</v>
      </c>
      <c r="F2809" t="s">
        <v>57</v>
      </c>
      <c r="G2809">
        <v>-274.27140000000003</v>
      </c>
      <c r="H2809" s="1">
        <v>7.1444630000000002E-7</v>
      </c>
      <c r="I2809">
        <v>215.11429999999999</v>
      </c>
      <c r="J2809">
        <v>-288.88479999999998</v>
      </c>
      <c r="K2809">
        <v>1.1045969999999901</v>
      </c>
      <c r="L2809">
        <v>213.73349999999999</v>
      </c>
      <c r="M2809">
        <v>0.9996891</v>
      </c>
      <c r="N2809">
        <v>0</v>
      </c>
      <c r="O2809">
        <v>2.051089E-2</v>
      </c>
      <c r="P2809">
        <v>0.99829100000000004</v>
      </c>
      <c r="Q2809">
        <v>1.4980169999999999E-2</v>
      </c>
      <c r="R2809">
        <v>5.6486469999999997E-2</v>
      </c>
      <c r="S2809">
        <v>2.992645</v>
      </c>
      <c r="T2809">
        <v>-0.2220886</v>
      </c>
      <c r="U2809">
        <v>0.27876279999999998</v>
      </c>
      <c r="V2809">
        <v>-3.6001310000000002E-2</v>
      </c>
      <c r="W2809">
        <v>2.914046E-2</v>
      </c>
      <c r="X2809">
        <v>0.9989268</v>
      </c>
      <c r="Y2809">
        <v>-7.2163000000000005E-2</v>
      </c>
      <c r="Z2809">
        <v>1.1517369999999999E-3</v>
      </c>
      <c r="AA2809">
        <v>0.99739219999999895</v>
      </c>
      <c r="AB2809">
        <v>29</v>
      </c>
      <c r="AC2809">
        <v>14.613399999999899</v>
      </c>
      <c r="AD2809">
        <v>-1.1045962855536999</v>
      </c>
      <c r="AE2809">
        <v>1.38079999999999</v>
      </c>
      <c r="AF2809">
        <v>-1.0746597257028201</v>
      </c>
      <c r="AG2809">
        <v>-1.1045962855536999</v>
      </c>
      <c r="AH2809">
        <v>14.556217987054399</v>
      </c>
      <c r="AI2809">
        <v>94.327830367912597</v>
      </c>
      <c r="AJ2809">
        <v>94.222385256510506</v>
      </c>
      <c r="AK2809">
        <v>14.6375718125225</v>
      </c>
    </row>
    <row r="2810" spans="1:37" x14ac:dyDescent="0.2">
      <c r="A2810" t="str">
        <f>"20200111160211035"</f>
        <v>20200111160211035</v>
      </c>
      <c r="B2810" t="str">
        <f>"1578729731024956"</f>
        <v>1578729731024956</v>
      </c>
      <c r="C2810" t="s">
        <v>37</v>
      </c>
      <c r="D2810">
        <v>5.4433319999999998</v>
      </c>
      <c r="E2810">
        <v>0.48869970000000001</v>
      </c>
      <c r="F2810" t="s">
        <v>57</v>
      </c>
      <c r="G2810">
        <v>-273.96929999999998</v>
      </c>
      <c r="H2810" s="1">
        <v>5.5400059999999996E-7</v>
      </c>
      <c r="I2810">
        <v>215.10749999999999</v>
      </c>
      <c r="J2810">
        <v>-288.49009999999998</v>
      </c>
      <c r="K2810">
        <v>1.104595</v>
      </c>
      <c r="L2810">
        <v>213.74170000000001</v>
      </c>
      <c r="M2810">
        <v>0.99968639999999998</v>
      </c>
      <c r="N2810">
        <v>0</v>
      </c>
      <c r="O2810">
        <v>2.064788E-2</v>
      </c>
      <c r="P2810">
        <v>0.99833539999999998</v>
      </c>
      <c r="Q2810">
        <v>1.501399E-2</v>
      </c>
      <c r="R2810">
        <v>5.568816E-2</v>
      </c>
      <c r="S2810">
        <v>2.9928590000000002</v>
      </c>
      <c r="T2810">
        <v>-0.22164200000000001</v>
      </c>
      <c r="U2810">
        <v>0.27571109999999999</v>
      </c>
      <c r="V2810">
        <v>-3.5065760000000001E-2</v>
      </c>
      <c r="W2810">
        <v>2.9170970000000001E-2</v>
      </c>
      <c r="X2810">
        <v>0.99895919999999905</v>
      </c>
      <c r="Y2810">
        <v>-7.1015400000000006E-2</v>
      </c>
      <c r="Z2810">
        <v>1.096945E-3</v>
      </c>
      <c r="AA2810">
        <v>0.99747459999999899</v>
      </c>
      <c r="AB2810">
        <v>29</v>
      </c>
      <c r="AC2810">
        <v>14.520799999999999</v>
      </c>
      <c r="AD2810">
        <v>-1.1045944459993999</v>
      </c>
      <c r="AE2810">
        <v>1.3657999999999699</v>
      </c>
      <c r="AF2810">
        <v>-1.05957733019669</v>
      </c>
      <c r="AG2810">
        <v>-1.1045944459993999</v>
      </c>
      <c r="AH2810">
        <v>14.4629497841405</v>
      </c>
      <c r="AI2810">
        <v>94.355805129559897</v>
      </c>
      <c r="AJ2810">
        <v>94.190088777540694</v>
      </c>
      <c r="AK2810">
        <v>14.543718557073699</v>
      </c>
    </row>
    <row r="2811" spans="1:37" x14ac:dyDescent="0.2">
      <c r="A2811" t="str">
        <f>"20200111160211052"</f>
        <v>20200111160211052</v>
      </c>
      <c r="B2811" t="str">
        <f>"1578729731044982"</f>
        <v>1578729731044982</v>
      </c>
      <c r="C2811" t="s">
        <v>37</v>
      </c>
      <c r="D2811">
        <v>5.6593279999999897</v>
      </c>
      <c r="E2811">
        <v>0.48888799999999999</v>
      </c>
      <c r="F2811" t="s">
        <v>57</v>
      </c>
      <c r="G2811">
        <v>-273.62720000000002</v>
      </c>
      <c r="H2811" s="1">
        <v>3.7260339999999999E-7</v>
      </c>
      <c r="I2811">
        <v>215.09219999999999</v>
      </c>
      <c r="J2811">
        <v>-288.2697</v>
      </c>
      <c r="K2811">
        <v>1.10459</v>
      </c>
      <c r="L2811">
        <v>213.74639999999999</v>
      </c>
      <c r="M2811">
        <v>0.99968489999999999</v>
      </c>
      <c r="N2811">
        <v>0</v>
      </c>
      <c r="O2811">
        <v>2.0724119999999999E-2</v>
      </c>
      <c r="P2811">
        <v>0.99836069999999999</v>
      </c>
      <c r="Q2811">
        <v>1.442241E-2</v>
      </c>
      <c r="R2811">
        <v>5.5390809999999999E-2</v>
      </c>
      <c r="S2811">
        <v>2.9931640000000002</v>
      </c>
      <c r="T2811">
        <v>-0.22244829999999899</v>
      </c>
      <c r="U2811">
        <v>0.27195740000000002</v>
      </c>
      <c r="V2811">
        <v>-3.4691479999999997E-2</v>
      </c>
      <c r="W2811">
        <v>2.857755E-2</v>
      </c>
      <c r="X2811">
        <v>0.99898940000000003</v>
      </c>
      <c r="Y2811">
        <v>-6.9692270000000001E-2</v>
      </c>
      <c r="Z2811">
        <v>1.0462289999999901E-3</v>
      </c>
      <c r="AA2811">
        <v>0.99756800000000001</v>
      </c>
      <c r="AB2811">
        <v>29</v>
      </c>
      <c r="AC2811">
        <v>14.642499999999901</v>
      </c>
      <c r="AD2811">
        <v>-1.1045896273966</v>
      </c>
      <c r="AE2811">
        <v>1.3457999999999899</v>
      </c>
      <c r="AF2811">
        <v>-1.0361802637708699</v>
      </c>
      <c r="AG2811">
        <v>-1.1045896273966</v>
      </c>
      <c r="AH2811">
        <v>14.584943582329601</v>
      </c>
      <c r="AI2811">
        <v>94.320176108377893</v>
      </c>
      <c r="AJ2811">
        <v>94.063723151352306</v>
      </c>
      <c r="AK2811">
        <v>14.6633682039195</v>
      </c>
    </row>
    <row r="2812" spans="1:37" x14ac:dyDescent="0.2">
      <c r="A2812" t="str">
        <f>"20200111160211073"</f>
        <v>20200111160211073</v>
      </c>
      <c r="B2812" t="str">
        <f>"1578729731064501"</f>
        <v>1578729731064501</v>
      </c>
      <c r="C2812" t="s">
        <v>37</v>
      </c>
      <c r="D2812">
        <v>5.5363480000000003</v>
      </c>
      <c r="E2812">
        <v>0.48896099999999998</v>
      </c>
      <c r="F2812" t="s">
        <v>57</v>
      </c>
      <c r="G2812">
        <v>-273.59800000000001</v>
      </c>
      <c r="H2812" s="1">
        <v>3.5807859999999999E-7</v>
      </c>
      <c r="I2812">
        <v>215.06880000000001</v>
      </c>
      <c r="J2812">
        <v>-287.99979999999999</v>
      </c>
      <c r="K2812">
        <v>1.104581</v>
      </c>
      <c r="L2812">
        <v>213.75200000000001</v>
      </c>
      <c r="M2812">
        <v>0.99968299999999999</v>
      </c>
      <c r="N2812">
        <v>0</v>
      </c>
      <c r="O2812">
        <v>2.081742E-2</v>
      </c>
      <c r="P2812">
        <v>0.99837109999999996</v>
      </c>
      <c r="Q2812">
        <v>1.371286E-2</v>
      </c>
      <c r="R2812">
        <v>5.5384389999999999E-2</v>
      </c>
      <c r="S2812">
        <v>2.9932249999999998</v>
      </c>
      <c r="T2812">
        <v>-0.2253512</v>
      </c>
      <c r="U2812">
        <v>0.26980589999999999</v>
      </c>
      <c r="V2812">
        <v>-3.4591179999999999E-2</v>
      </c>
      <c r="W2812">
        <v>2.7865439999999998E-2</v>
      </c>
      <c r="X2812">
        <v>0.99901299999999904</v>
      </c>
      <c r="Y2812">
        <v>-6.8885119999999994E-2</v>
      </c>
      <c r="Z2812">
        <v>1.022577E-3</v>
      </c>
      <c r="AA2812">
        <v>0.99762410000000001</v>
      </c>
      <c r="AB2812">
        <v>29</v>
      </c>
      <c r="AC2812">
        <v>14.4017999999999</v>
      </c>
      <c r="AD2812">
        <v>-1.1045806419213999</v>
      </c>
      <c r="AE2812">
        <v>1.3168</v>
      </c>
      <c r="AF2812">
        <v>-1.0107795927974299</v>
      </c>
      <c r="AG2812">
        <v>-1.1045806419213999</v>
      </c>
      <c r="AH2812">
        <v>14.342423838402601</v>
      </c>
      <c r="AI2812">
        <v>94.393083417430702</v>
      </c>
      <c r="AJ2812">
        <v>94.031243991253106</v>
      </c>
      <c r="AK2812">
        <v>14.420363911500401</v>
      </c>
    </row>
    <row r="2813" spans="1:37" x14ac:dyDescent="0.2">
      <c r="A2813" t="str">
        <f>"20200111160211094"</f>
        <v>20200111160211094</v>
      </c>
      <c r="B2813" t="str">
        <f>"1578729731084997"</f>
        <v>1578729731084997</v>
      </c>
      <c r="C2813" t="s">
        <v>37</v>
      </c>
      <c r="D2813">
        <v>5.5332330000000001</v>
      </c>
      <c r="E2813">
        <v>0.48889709999999997</v>
      </c>
      <c r="F2813" t="s">
        <v>57</v>
      </c>
      <c r="G2813">
        <v>-273.4923</v>
      </c>
      <c r="H2813" s="1">
        <v>3.023487E-7</v>
      </c>
      <c r="I2813">
        <v>215.05770000000001</v>
      </c>
      <c r="J2813">
        <v>-287.72019999999998</v>
      </c>
      <c r="K2813">
        <v>1.104581</v>
      </c>
      <c r="L2813">
        <v>213.75799999999899</v>
      </c>
      <c r="M2813">
        <v>0.99968089999999998</v>
      </c>
      <c r="N2813">
        <v>0</v>
      </c>
      <c r="O2813">
        <v>2.0914350000000002E-2</v>
      </c>
      <c r="P2813">
        <v>0.99835379999999996</v>
      </c>
      <c r="Q2813">
        <v>1.3296489999999999E-2</v>
      </c>
      <c r="R2813">
        <v>5.5794240000000002E-2</v>
      </c>
      <c r="S2813">
        <v>2.9930729999999999</v>
      </c>
      <c r="T2813">
        <v>-0.22788820000000001</v>
      </c>
      <c r="U2813">
        <v>0.26936339999999998</v>
      </c>
      <c r="V2813">
        <v>-3.4904560000000001E-2</v>
      </c>
      <c r="W2813">
        <v>2.7446459999999999E-2</v>
      </c>
      <c r="X2813">
        <v>0.99901369999999901</v>
      </c>
      <c r="Y2813">
        <v>-6.8644529999999995E-2</v>
      </c>
      <c r="Z2813">
        <v>1.0176370000000001E-3</v>
      </c>
      <c r="AA2813">
        <v>0.99764069999999905</v>
      </c>
      <c r="AB2813">
        <v>29</v>
      </c>
      <c r="AC2813">
        <v>14.227899999999901</v>
      </c>
      <c r="AD2813">
        <v>-1.1045806976513</v>
      </c>
      <c r="AE2813">
        <v>1.2997000000000201</v>
      </c>
      <c r="AF2813">
        <v>-0.99586593751781904</v>
      </c>
      <c r="AG2813">
        <v>-1.1045806976513</v>
      </c>
      <c r="AH2813">
        <v>14.167290428088601</v>
      </c>
      <c r="AI2813">
        <v>94.4472298922623</v>
      </c>
      <c r="AJ2813">
        <v>94.020896881834801</v>
      </c>
      <c r="AK2813">
        <v>14.2451383130155</v>
      </c>
    </row>
    <row r="2814" spans="1:37" x14ac:dyDescent="0.2">
      <c r="A2814" t="str">
        <f>"20200111160211119"</f>
        <v>20200111160211119</v>
      </c>
      <c r="B2814" t="str">
        <f>"1578729731114278"</f>
        <v>1578729731114278</v>
      </c>
      <c r="C2814" t="s">
        <v>37</v>
      </c>
      <c r="D2814">
        <v>5.5109639999999898</v>
      </c>
      <c r="E2814">
        <v>0.48905739999999998</v>
      </c>
      <c r="F2814" t="s">
        <v>57</v>
      </c>
      <c r="G2814">
        <v>-273.25259999999997</v>
      </c>
      <c r="H2814" s="1">
        <v>1.7434070000000001E-7</v>
      </c>
      <c r="I2814">
        <v>215.0684</v>
      </c>
      <c r="J2814">
        <v>-287.41289999999998</v>
      </c>
      <c r="K2814">
        <v>1.104581</v>
      </c>
      <c r="L2814">
        <v>213.7646</v>
      </c>
      <c r="M2814">
        <v>0.99967870000000003</v>
      </c>
      <c r="N2814">
        <v>0</v>
      </c>
      <c r="O2814">
        <v>2.102093E-2</v>
      </c>
      <c r="P2814">
        <v>0.99836499999999995</v>
      </c>
      <c r="Q2814">
        <v>1.322123E-2</v>
      </c>
      <c r="R2814">
        <v>5.5609140000000001E-2</v>
      </c>
      <c r="S2814">
        <v>2.9928590000000002</v>
      </c>
      <c r="T2814">
        <v>-0.22850139999999999</v>
      </c>
      <c r="U2814">
        <v>0.27108759999999998</v>
      </c>
      <c r="V2814">
        <v>-3.4612619999999997E-2</v>
      </c>
      <c r="W2814">
        <v>2.736829E-2</v>
      </c>
      <c r="X2814">
        <v>0.99902599999999997</v>
      </c>
      <c r="Y2814">
        <v>-6.9112839999999995E-2</v>
      </c>
      <c r="Z2814">
        <v>1.0301259999999999E-3</v>
      </c>
      <c r="AA2814">
        <v>0.9976083</v>
      </c>
      <c r="AB2814">
        <v>29</v>
      </c>
      <c r="AC2814">
        <v>14.160299999999999</v>
      </c>
      <c r="AD2814">
        <v>-1.1045808256592999</v>
      </c>
      <c r="AE2814">
        <v>1.3037999999999901</v>
      </c>
      <c r="AF2814">
        <v>-0.99978689599358095</v>
      </c>
      <c r="AG2814">
        <v>-1.1045808256592999</v>
      </c>
      <c r="AH2814">
        <v>14.0995080723954</v>
      </c>
      <c r="AI2814">
        <v>94.468331163671493</v>
      </c>
      <c r="AJ2814">
        <v>94.056017275666406</v>
      </c>
      <c r="AK2814">
        <v>14.1780041092305</v>
      </c>
    </row>
    <row r="2815" spans="1:37" x14ac:dyDescent="0.2">
      <c r="A2815" t="str">
        <f>"20200111160211141"</f>
        <v>20200111160211141</v>
      </c>
      <c r="B2815" t="str">
        <f>"1578729731134774"</f>
        <v>1578729731134774</v>
      </c>
      <c r="C2815" t="s">
        <v>37</v>
      </c>
      <c r="D2815">
        <v>5.5734639999999898</v>
      </c>
      <c r="E2815">
        <v>0.48891380000000001</v>
      </c>
      <c r="F2815" t="s">
        <v>57</v>
      </c>
      <c r="G2815">
        <v>-272.91090000000003</v>
      </c>
      <c r="H2815" s="1">
        <v>-7.5098080000000008E-9</v>
      </c>
      <c r="I2815">
        <v>215.06819999999999</v>
      </c>
      <c r="J2815">
        <v>-287.13569999999999</v>
      </c>
      <c r="K2815">
        <v>1.104579</v>
      </c>
      <c r="L2815">
        <v>213.7705</v>
      </c>
      <c r="M2815">
        <v>0.99967680000000003</v>
      </c>
      <c r="N2815">
        <v>0</v>
      </c>
      <c r="O2815">
        <v>2.1117029999999998E-2</v>
      </c>
      <c r="P2815">
        <v>0.99836179999999997</v>
      </c>
      <c r="Q2815">
        <v>1.2487150000000001E-2</v>
      </c>
      <c r="R2815">
        <v>5.5840189999999998E-2</v>
      </c>
      <c r="S2815">
        <v>2.9929809999999999</v>
      </c>
      <c r="T2815">
        <v>-0.22796759999999999</v>
      </c>
      <c r="U2815">
        <v>0.26904299999999998</v>
      </c>
      <c r="V2815">
        <v>-3.4747640000000003E-2</v>
      </c>
      <c r="W2815">
        <v>2.6631370000000001E-2</v>
      </c>
      <c r="X2815">
        <v>0.99904119999999996</v>
      </c>
      <c r="Y2815">
        <v>-6.8340380000000006E-2</v>
      </c>
      <c r="Z2815">
        <v>9.9110639999999998E-4</v>
      </c>
      <c r="AA2815">
        <v>0.99766160000000004</v>
      </c>
      <c r="AB2815">
        <v>29</v>
      </c>
      <c r="AC2815">
        <v>14.224799999999901</v>
      </c>
      <c r="AD2815">
        <v>-1.1045790075098001</v>
      </c>
      <c r="AE2815">
        <v>1.2976999999999901</v>
      </c>
      <c r="AF2815">
        <v>-0.99106834577121705</v>
      </c>
      <c r="AG2815">
        <v>-1.1045790075098001</v>
      </c>
      <c r="AH2815">
        <v>14.1643308912211</v>
      </c>
      <c r="AI2815">
        <v>94.448248784674007</v>
      </c>
      <c r="AJ2815">
        <v>94.002422647607901</v>
      </c>
      <c r="AK2815">
        <v>14.241860161011999</v>
      </c>
    </row>
    <row r="2816" spans="1:37" x14ac:dyDescent="0.2">
      <c r="A2816" t="str">
        <f>"20200111160211161"</f>
        <v>20200111160211161</v>
      </c>
      <c r="B2816" t="str">
        <f>"1578729731154803"</f>
        <v>1578729731154803</v>
      </c>
      <c r="C2816" t="s">
        <v>37</v>
      </c>
      <c r="D2816">
        <v>5.6648139999999998</v>
      </c>
      <c r="E2816">
        <v>0.47121669999999999</v>
      </c>
      <c r="F2816" t="s">
        <v>57</v>
      </c>
      <c r="G2816">
        <v>-272.81189999999998</v>
      </c>
      <c r="H2816" s="1">
        <v>-6.0192789999999994E-8</v>
      </c>
      <c r="I2816">
        <v>215.0685</v>
      </c>
      <c r="J2816">
        <v>-286.86399999999998</v>
      </c>
      <c r="K2816">
        <v>1.1045780000000001</v>
      </c>
      <c r="L2816">
        <v>213.77629999999999</v>
      </c>
      <c r="M2816">
        <v>0.99967469999999903</v>
      </c>
      <c r="N2816">
        <v>0</v>
      </c>
      <c r="O2816">
        <v>2.1211270000000001E-2</v>
      </c>
      <c r="P2816">
        <v>0.99837949999999998</v>
      </c>
      <c r="Q2816">
        <v>1.211625E-2</v>
      </c>
      <c r="R2816">
        <v>5.5603039999999999E-2</v>
      </c>
      <c r="S2816">
        <v>2.9926149999999998</v>
      </c>
      <c r="T2816">
        <v>-0.23077539999999999</v>
      </c>
      <c r="U2816">
        <v>0.27117920000000001</v>
      </c>
      <c r="V2816">
        <v>-3.4415460000000002E-2</v>
      </c>
      <c r="W2816">
        <v>2.6258139999999999E-2</v>
      </c>
      <c r="X2816">
        <v>0.99906260000000002</v>
      </c>
      <c r="Y2816">
        <v>-6.8958699999999998E-2</v>
      </c>
      <c r="Z2816">
        <v>1.019889E-3</v>
      </c>
      <c r="AA2816">
        <v>0.99761900000000003</v>
      </c>
      <c r="AB2816">
        <v>29</v>
      </c>
      <c r="AC2816">
        <v>14.052099999999999</v>
      </c>
      <c r="AD2816">
        <v>-1.1045780601927899</v>
      </c>
      <c r="AE2816">
        <v>1.2922</v>
      </c>
      <c r="AF2816">
        <v>-0.987764325492128</v>
      </c>
      <c r="AG2816">
        <v>-1.1045780601927899</v>
      </c>
      <c r="AH2816">
        <v>13.9906281663042</v>
      </c>
      <c r="AI2816">
        <v>94.503048649669395</v>
      </c>
      <c r="AJ2816">
        <v>94.038487202088007</v>
      </c>
      <c r="AK2816">
        <v>14.0688822420816</v>
      </c>
    </row>
    <row r="2817" spans="1:37" x14ac:dyDescent="0.2">
      <c r="A2817" t="str">
        <f>"20200111160211185"</f>
        <v>20200111160211185</v>
      </c>
      <c r="B2817" t="str">
        <f>"1578729731174323"</f>
        <v>1578729731174323</v>
      </c>
      <c r="C2817" t="s">
        <v>37</v>
      </c>
      <c r="D2817">
        <v>5.5969419999999896</v>
      </c>
      <c r="E2817">
        <v>0.47099429999999998</v>
      </c>
      <c r="F2817" t="s">
        <v>57</v>
      </c>
      <c r="G2817">
        <v>-275.82690000000002</v>
      </c>
      <c r="H2817" s="1">
        <v>1.5336119999999999E-6</v>
      </c>
      <c r="I2817">
        <v>215.31200000000001</v>
      </c>
      <c r="J2817">
        <v>-286.57150000000001</v>
      </c>
      <c r="K2817">
        <v>1.1045780000000001</v>
      </c>
      <c r="L2817">
        <v>213.78270000000001</v>
      </c>
      <c r="M2817">
        <v>0.99967269999999897</v>
      </c>
      <c r="N2817">
        <v>0</v>
      </c>
      <c r="O2817">
        <v>2.1312669999999999E-2</v>
      </c>
      <c r="P2817">
        <v>0.99839959999999905</v>
      </c>
      <c r="Q2817">
        <v>1.181886E-2</v>
      </c>
      <c r="R2817">
        <v>5.5307340000000003E-2</v>
      </c>
      <c r="S2817">
        <v>2.9853519999999998</v>
      </c>
      <c r="T2817">
        <v>-0.29876950000000002</v>
      </c>
      <c r="U2817">
        <v>0.41535949999999999</v>
      </c>
      <c r="V2817">
        <v>-3.4018420000000001E-2</v>
      </c>
      <c r="W2817">
        <v>2.5958309999999998E-2</v>
      </c>
      <c r="X2817">
        <v>0.99908410000000003</v>
      </c>
      <c r="Y2817">
        <v>-0.116197699999999</v>
      </c>
      <c r="Z2817">
        <v>3.6555479999999998E-3</v>
      </c>
      <c r="AA2817">
        <v>0.99321939999999997</v>
      </c>
      <c r="AB2817">
        <v>29</v>
      </c>
      <c r="AC2817">
        <v>10.744599999999901</v>
      </c>
      <c r="AD2817">
        <v>-1.104576466388</v>
      </c>
      <c r="AE2817">
        <v>1.5293000000000001</v>
      </c>
      <c r="AF2817">
        <v>-1.2866060842214899</v>
      </c>
      <c r="AG2817">
        <v>-1.104576466388</v>
      </c>
      <c r="AH2817">
        <v>10.664288647567</v>
      </c>
      <c r="AI2817">
        <v>95.871171972178203</v>
      </c>
      <c r="AJ2817">
        <v>96.879270535780407</v>
      </c>
      <c r="AK2817">
        <v>10.798263598592101</v>
      </c>
    </row>
    <row r="2818" spans="1:37" x14ac:dyDescent="0.2">
      <c r="A2818" t="str">
        <f>"20200111160211207"</f>
        <v>20200111160211207</v>
      </c>
      <c r="B2818" t="str">
        <f>"1578729731204579"</f>
        <v>1578729731204579</v>
      </c>
      <c r="C2818" t="s">
        <v>37</v>
      </c>
      <c r="D2818">
        <v>5.5684059999999898</v>
      </c>
      <c r="E2818">
        <v>0.47201109999999902</v>
      </c>
      <c r="F2818" t="s">
        <v>57</v>
      </c>
      <c r="G2818">
        <v>-275.53469999999999</v>
      </c>
      <c r="H2818" s="1">
        <v>1.3776669999999899E-6</v>
      </c>
      <c r="I2818">
        <v>215.3218</v>
      </c>
      <c r="J2818">
        <v>-286.2833</v>
      </c>
      <c r="K2818">
        <v>1.1045739999999999</v>
      </c>
      <c r="L2818">
        <v>213.78890000000001</v>
      </c>
      <c r="M2818">
        <v>0.99967059999999996</v>
      </c>
      <c r="N2818">
        <v>0</v>
      </c>
      <c r="O2818">
        <v>2.1412580000000001E-2</v>
      </c>
      <c r="P2818">
        <v>0.99841869999999999</v>
      </c>
      <c r="Q2818">
        <v>1.159177E-2</v>
      </c>
      <c r="R2818">
        <v>5.5006800000000002E-2</v>
      </c>
      <c r="S2818">
        <v>2.9852599999999998</v>
      </c>
      <c r="T2818">
        <v>-0.29876759999999902</v>
      </c>
      <c r="U2818">
        <v>0.41632079999999899</v>
      </c>
      <c r="V2818">
        <v>-3.3617010000000003E-2</v>
      </c>
      <c r="W2818">
        <v>2.5728069999999999E-2</v>
      </c>
      <c r="X2818">
        <v>0.99910359999999998</v>
      </c>
      <c r="Y2818">
        <v>-0.1164158</v>
      </c>
      <c r="Z2818">
        <v>3.656472E-3</v>
      </c>
      <c r="AA2818">
        <v>0.99319389999999996</v>
      </c>
      <c r="AB2818">
        <v>29</v>
      </c>
      <c r="AC2818">
        <v>10.7486</v>
      </c>
      <c r="AD2818">
        <v>-1.1045726223329999</v>
      </c>
      <c r="AE2818">
        <v>1.5328999999999799</v>
      </c>
      <c r="AF2818">
        <v>-1.2890287264352001</v>
      </c>
      <c r="AG2818">
        <v>-1.1045726223329999</v>
      </c>
      <c r="AH2818">
        <v>10.668542325539301</v>
      </c>
      <c r="AI2818">
        <v>95.868703000461693</v>
      </c>
      <c r="AJ2818">
        <v>96.889377977480507</v>
      </c>
      <c r="AK2818">
        <v>10.802752940218801</v>
      </c>
    </row>
    <row r="2819" spans="1:37" x14ac:dyDescent="0.2">
      <c r="A2819" t="str">
        <f>"20200111160211228"</f>
        <v>20200111160211228</v>
      </c>
      <c r="B2819" t="str">
        <f>"1578729731225074"</f>
        <v>1578729731225074</v>
      </c>
      <c r="C2819" t="s">
        <v>37</v>
      </c>
      <c r="D2819">
        <v>5.5565889999999998</v>
      </c>
      <c r="E2819">
        <v>0.47576390000000002</v>
      </c>
      <c r="F2819" t="s">
        <v>57</v>
      </c>
      <c r="G2819">
        <v>-275.33600000000001</v>
      </c>
      <c r="H2819" s="1">
        <v>1.273656E-6</v>
      </c>
      <c r="I2819">
        <v>215.28270000000001</v>
      </c>
      <c r="J2819">
        <v>-286.01679999999999</v>
      </c>
      <c r="K2819">
        <v>1.104573</v>
      </c>
      <c r="L2819">
        <v>213.79470000000001</v>
      </c>
      <c r="M2819">
        <v>0.99966869999999997</v>
      </c>
      <c r="N2819">
        <v>0</v>
      </c>
      <c r="O2819">
        <v>2.1505340000000001E-2</v>
      </c>
      <c r="P2819">
        <v>0.9984556</v>
      </c>
      <c r="Q2819">
        <v>1.1198039999999999E-2</v>
      </c>
      <c r="R2819">
        <v>5.4414339999999999E-2</v>
      </c>
      <c r="S2819">
        <v>2.985779</v>
      </c>
      <c r="T2819">
        <v>-0.3012628</v>
      </c>
      <c r="U2819">
        <v>0.40742489999999998</v>
      </c>
      <c r="V2819">
        <v>-3.2931790000000002E-2</v>
      </c>
      <c r="W2819">
        <v>2.533243E-2</v>
      </c>
      <c r="X2819">
        <v>0.99913649999999998</v>
      </c>
      <c r="Y2819">
        <v>-0.1134032</v>
      </c>
      <c r="Z2819">
        <v>3.5267620000000001E-3</v>
      </c>
      <c r="AA2819">
        <v>0.99354279999999995</v>
      </c>
      <c r="AB2819">
        <v>29</v>
      </c>
      <c r="AC2819">
        <v>10.6807999999999</v>
      </c>
      <c r="AD2819">
        <v>-1.104571726344</v>
      </c>
      <c r="AE2819">
        <v>1.48799999999999</v>
      </c>
      <c r="AF2819">
        <v>-1.2448781287719</v>
      </c>
      <c r="AG2819">
        <v>-1.104571726344</v>
      </c>
      <c r="AH2819">
        <v>10.5991331881118</v>
      </c>
      <c r="AI2819">
        <v>95.909184211474397</v>
      </c>
      <c r="AJ2819">
        <v>96.698753032064801</v>
      </c>
      <c r="AK2819">
        <v>10.728999235411701</v>
      </c>
    </row>
    <row r="2820" spans="1:37" x14ac:dyDescent="0.2">
      <c r="A2820" t="str">
        <f>"20200111160211250"</f>
        <v>20200111160211250</v>
      </c>
      <c r="B2820" t="str">
        <f>"1578729731245103"</f>
        <v>1578729731245103</v>
      </c>
      <c r="C2820" t="s">
        <v>37</v>
      </c>
      <c r="D2820">
        <v>5.5313480000000004</v>
      </c>
      <c r="E2820">
        <v>0.477485099999999</v>
      </c>
      <c r="F2820" t="s">
        <v>57</v>
      </c>
      <c r="G2820">
        <v>-268.5016</v>
      </c>
      <c r="H2820" s="1">
        <v>2.92863699999999E-6</v>
      </c>
      <c r="I2820">
        <v>215.95939999999999</v>
      </c>
      <c r="J2820">
        <v>-285.7242</v>
      </c>
      <c r="K2820">
        <v>1.1045769999999999</v>
      </c>
      <c r="L2820">
        <v>213.80109999999999</v>
      </c>
      <c r="M2820">
        <v>0.99966650000000001</v>
      </c>
      <c r="N2820">
        <v>0</v>
      </c>
      <c r="O2820">
        <v>2.1606920000000002E-2</v>
      </c>
      <c r="P2820">
        <v>0.99848239999999999</v>
      </c>
      <c r="Q2820">
        <v>1.072008E-2</v>
      </c>
      <c r="R2820">
        <v>5.4020140000000001E-2</v>
      </c>
      <c r="S2820">
        <v>2.98666399999999</v>
      </c>
      <c r="T2820">
        <v>-0.18835009999999999</v>
      </c>
      <c r="U2820">
        <v>0.36912539999999999</v>
      </c>
      <c r="V2820">
        <v>-3.2435270000000002E-2</v>
      </c>
      <c r="W2820">
        <v>2.4851930000000001E-2</v>
      </c>
      <c r="X2820">
        <v>0.99916479999999996</v>
      </c>
      <c r="Y2820">
        <v>-0.1010281</v>
      </c>
      <c r="Z2820">
        <v>1.814696E-3</v>
      </c>
      <c r="AA2820">
        <v>0.99488189999999999</v>
      </c>
      <c r="AB2820">
        <v>29</v>
      </c>
      <c r="AC2820">
        <v>17.2226</v>
      </c>
      <c r="AD2820">
        <v>-1.1045740713629999</v>
      </c>
      <c r="AE2820">
        <v>2.1582999999999899</v>
      </c>
      <c r="AF2820">
        <v>-1.77842932685164</v>
      </c>
      <c r="AG2820">
        <v>-1.1045740713629999</v>
      </c>
      <c r="AH2820">
        <v>17.195580082538999</v>
      </c>
      <c r="AI2820">
        <v>93.6559504783921</v>
      </c>
      <c r="AJ2820">
        <v>95.904744006714594</v>
      </c>
      <c r="AK2820">
        <v>17.322553770294501</v>
      </c>
    </row>
    <row r="2821" spans="1:37" x14ac:dyDescent="0.2">
      <c r="A2821" t="str">
        <f>"20200111160211273"</f>
        <v>20200111160211273</v>
      </c>
      <c r="B2821" t="str">
        <f>"1578729731264622"</f>
        <v>1578729731264622</v>
      </c>
      <c r="C2821" t="s">
        <v>37</v>
      </c>
      <c r="D2821">
        <v>5.7484640000000002</v>
      </c>
      <c r="E2821">
        <v>0.53465269999999898</v>
      </c>
      <c r="F2821" t="s">
        <v>57</v>
      </c>
      <c r="G2821">
        <v>-267.0958</v>
      </c>
      <c r="H2821" s="1">
        <v>2.1784670000000001E-6</v>
      </c>
      <c r="I2821">
        <v>216.00630000000001</v>
      </c>
      <c r="J2821">
        <v>-285.43889999999999</v>
      </c>
      <c r="K2821">
        <v>1.1045739999999999</v>
      </c>
      <c r="L2821">
        <v>213.8074</v>
      </c>
      <c r="M2821">
        <v>0.99966449999999996</v>
      </c>
      <c r="N2821">
        <v>0</v>
      </c>
      <c r="O2821">
        <v>2.1706110000000001E-2</v>
      </c>
      <c r="P2821">
        <v>0.99848409999999999</v>
      </c>
      <c r="Q2821">
        <v>1.096479E-2</v>
      </c>
      <c r="R2821">
        <v>5.3940009999999997E-2</v>
      </c>
      <c r="S2821">
        <v>2.9873349999999999</v>
      </c>
      <c r="T2821">
        <v>-0.17713389999999901</v>
      </c>
      <c r="U2821">
        <v>0.3536377</v>
      </c>
      <c r="V2821">
        <v>-3.2255930000000002E-2</v>
      </c>
      <c r="W2821">
        <v>2.5093609999999999E-2</v>
      </c>
      <c r="X2821">
        <v>0.99916459999999996</v>
      </c>
      <c r="Y2821">
        <v>-9.5844349999999995E-2</v>
      </c>
      <c r="Z2821">
        <v>1.5480839999999999E-3</v>
      </c>
      <c r="AA2821">
        <v>0.99539509999999898</v>
      </c>
      <c r="AB2821">
        <v>29</v>
      </c>
      <c r="AC2821">
        <v>18.3431</v>
      </c>
      <c r="AD2821">
        <v>-1.104571821533</v>
      </c>
      <c r="AE2821">
        <v>2.1989000000000001</v>
      </c>
      <c r="AF2821">
        <v>-1.7937724173882299</v>
      </c>
      <c r="AG2821">
        <v>-1.104571821533</v>
      </c>
      <c r="AH2821">
        <v>18.321018636211502</v>
      </c>
      <c r="AI2821">
        <v>93.433799490869802</v>
      </c>
      <c r="AJ2821">
        <v>95.5918869015632</v>
      </c>
      <c r="AK2821">
        <v>18.441730457381599</v>
      </c>
    </row>
    <row r="2822" spans="1:37" x14ac:dyDescent="0.2">
      <c r="A2822" t="str">
        <f>"20200111160211294"</f>
        <v>20200111160211294</v>
      </c>
      <c r="B2822" t="str">
        <f>"1578729731284142"</f>
        <v>1578729731284142</v>
      </c>
      <c r="C2822" t="s">
        <v>37</v>
      </c>
      <c r="D2822">
        <v>5.9912019999999897</v>
      </c>
      <c r="E2822">
        <v>0.58775109999999997</v>
      </c>
      <c r="F2822" t="s">
        <v>42</v>
      </c>
      <c r="G2822">
        <v>-284.50819999999999</v>
      </c>
      <c r="H2822">
        <v>1.042867</v>
      </c>
      <c r="I2822">
        <v>213.7758</v>
      </c>
      <c r="J2822">
        <v>-285.16359999999997</v>
      </c>
      <c r="K2822">
        <v>1.104576</v>
      </c>
      <c r="L2822">
        <v>213.8135</v>
      </c>
      <c r="M2822">
        <v>0.99966250000000001</v>
      </c>
      <c r="N2822">
        <v>0</v>
      </c>
      <c r="O2822">
        <v>2.1801669999999999E-2</v>
      </c>
      <c r="P2822">
        <v>0.99850130000000004</v>
      </c>
      <c r="Q2822">
        <v>1.1299399999999999E-2</v>
      </c>
      <c r="R2822">
        <v>5.3551809999999998E-2</v>
      </c>
      <c r="S2822">
        <v>3.012238</v>
      </c>
      <c r="T2822">
        <v>-0.1998588</v>
      </c>
      <c r="U2822">
        <v>-0.1013184</v>
      </c>
      <c r="V2822">
        <v>-3.1772069999999999E-2</v>
      </c>
      <c r="W2822">
        <v>2.5425860000000002E-2</v>
      </c>
      <c r="X2822">
        <v>0.999171699999999</v>
      </c>
      <c r="Y2822">
        <v>5.5230889999999998E-2</v>
      </c>
      <c r="Z2822">
        <v>-3.2744419999999998E-3</v>
      </c>
      <c r="AA2822">
        <v>0.99846819999999903</v>
      </c>
      <c r="AB2822">
        <v>29</v>
      </c>
      <c r="AC2822">
        <v>0.65539999999998599</v>
      </c>
      <c r="AD2822">
        <v>-6.1709E-2</v>
      </c>
      <c r="AE2822">
        <v>-3.7700000000000899E-2</v>
      </c>
      <c r="AF2822">
        <v>5.1526000802651899E-2</v>
      </c>
      <c r="AG2822">
        <v>-6.1709E-2</v>
      </c>
      <c r="AH2822">
        <v>0.64869043828142903</v>
      </c>
      <c r="AI2822">
        <v>95.417153339500899</v>
      </c>
      <c r="AJ2822">
        <v>85.458485536677401</v>
      </c>
      <c r="AK2822">
        <v>0.65365297685963897</v>
      </c>
    </row>
    <row r="2823" spans="1:37" x14ac:dyDescent="0.2">
      <c r="A2823" t="str">
        <f>"20200111160211318"</f>
        <v>20200111160211318</v>
      </c>
      <c r="B2823" t="str">
        <f>"1578729731314398"</f>
        <v>1578729731314398</v>
      </c>
      <c r="C2823" t="s">
        <v>37</v>
      </c>
      <c r="D2823">
        <v>5.6044529999999897</v>
      </c>
      <c r="E2823">
        <v>0.58322779999999996</v>
      </c>
      <c r="F2823" t="s">
        <v>57</v>
      </c>
      <c r="G2823">
        <v>-244.1371</v>
      </c>
      <c r="H2823">
        <v>8.0000589999999996E-2</v>
      </c>
      <c r="I2823">
        <v>206.6061</v>
      </c>
      <c r="J2823">
        <v>-284.87110000000001</v>
      </c>
      <c r="K2823">
        <v>1.1045769999999999</v>
      </c>
      <c r="L2823">
        <v>213.82</v>
      </c>
      <c r="M2823">
        <v>0.999660199999999</v>
      </c>
      <c r="N2823">
        <v>0</v>
      </c>
      <c r="O2823">
        <v>2.1903249999999999E-2</v>
      </c>
      <c r="P2823">
        <v>0.99852569999999996</v>
      </c>
      <c r="Q2823">
        <v>1.067802E-2</v>
      </c>
      <c r="R2823">
        <v>5.3220419999999997E-2</v>
      </c>
      <c r="S2823">
        <v>3.0339360000000002</v>
      </c>
      <c r="T2823">
        <v>-7.5767989999999993E-2</v>
      </c>
      <c r="U2823">
        <v>-0.5329895</v>
      </c>
      <c r="V2823">
        <v>-3.1338520000000002E-2</v>
      </c>
      <c r="W2823">
        <v>2.480187E-2</v>
      </c>
      <c r="X2823">
        <v>0.99920109999999995</v>
      </c>
      <c r="Y2823">
        <v>0.19449430000000001</v>
      </c>
      <c r="Z2823">
        <v>-2.9528229999999998E-3</v>
      </c>
      <c r="AA2823">
        <v>0.98089919999999997</v>
      </c>
      <c r="AB2823">
        <v>28</v>
      </c>
      <c r="AC2823">
        <v>40.734000000000002</v>
      </c>
      <c r="AD2823">
        <v>-1.0245764100000001</v>
      </c>
      <c r="AE2823">
        <v>-7.21389999999999</v>
      </c>
      <c r="AF2823">
        <v>8.09949665521059</v>
      </c>
      <c r="AG2823">
        <v>-1.0245764100000001</v>
      </c>
      <c r="AH2823">
        <v>40.541332979695902</v>
      </c>
      <c r="AI2823">
        <v>91.419650569261407</v>
      </c>
      <c r="AJ2823">
        <v>78.7019855975242</v>
      </c>
      <c r="AK2823">
        <v>41.3551844713365</v>
      </c>
    </row>
    <row r="2824" spans="1:37" x14ac:dyDescent="0.2">
      <c r="A2824" t="str">
        <f>"20200111160211340"</f>
        <v>20200111160211340</v>
      </c>
      <c r="B2824" t="str">
        <f>"1578729731334894"</f>
        <v>1578729731334894</v>
      </c>
      <c r="C2824" t="s">
        <v>37</v>
      </c>
      <c r="D2824">
        <v>5.5993440000000003</v>
      </c>
      <c r="E2824">
        <v>0.58318749999999997</v>
      </c>
      <c r="F2824" t="s">
        <v>57</v>
      </c>
      <c r="G2824">
        <v>-259.1105</v>
      </c>
      <c r="H2824">
        <v>1.1940299999999999E-2</v>
      </c>
      <c r="I2824">
        <v>209.6163</v>
      </c>
      <c r="J2824">
        <v>-284.59519999999998</v>
      </c>
      <c r="K2824">
        <v>1.1045700000000001</v>
      </c>
      <c r="L2824">
        <v>213.8261</v>
      </c>
      <c r="M2824">
        <v>0.99965820000000005</v>
      </c>
      <c r="N2824">
        <v>0</v>
      </c>
      <c r="O2824">
        <v>2.199893E-2</v>
      </c>
      <c r="P2824">
        <v>0.99856290000000003</v>
      </c>
      <c r="Q2824">
        <v>9.5447020000000004E-3</v>
      </c>
      <c r="R2824">
        <v>5.2734099999999999E-2</v>
      </c>
      <c r="S2824">
        <v>3.0321959999999999</v>
      </c>
      <c r="T2824">
        <v>-0.12861059999999999</v>
      </c>
      <c r="U2824">
        <v>-0.49479679999999998</v>
      </c>
      <c r="V2824">
        <v>-3.075522E-2</v>
      </c>
      <c r="W2824">
        <v>2.3665909999999998E-2</v>
      </c>
      <c r="X2824">
        <v>0.99924669999999904</v>
      </c>
      <c r="Y2824">
        <v>0.1825465</v>
      </c>
      <c r="Z2824">
        <v>-4.7712229999999998E-3</v>
      </c>
      <c r="AA2824">
        <v>0.98318559999999999</v>
      </c>
      <c r="AB2824">
        <v>28</v>
      </c>
      <c r="AC2824">
        <v>25.484699999999901</v>
      </c>
      <c r="AD2824">
        <v>-1.09262969999999</v>
      </c>
      <c r="AE2824">
        <v>-4.2098000000000004</v>
      </c>
      <c r="AF2824">
        <v>4.7609540663158603</v>
      </c>
      <c r="AG2824">
        <v>-1.09262969999999</v>
      </c>
      <c r="AH2824">
        <v>25.340567880694799</v>
      </c>
      <c r="AI2824">
        <v>92.426536084500498</v>
      </c>
      <c r="AJ2824">
        <v>79.359382724534896</v>
      </c>
      <c r="AK2824">
        <v>25.8070708101286</v>
      </c>
    </row>
    <row r="2825" spans="1:37" x14ac:dyDescent="0.2">
      <c r="A2825" t="str">
        <f>"20200111160211363"</f>
        <v>20200111160211363</v>
      </c>
      <c r="B2825" t="str">
        <f>"1578729731354921"</f>
        <v>1578729731354921</v>
      </c>
      <c r="C2825" t="s">
        <v>37</v>
      </c>
      <c r="D2825">
        <v>5.5943500000000004</v>
      </c>
      <c r="E2825">
        <v>0.58281850000000002</v>
      </c>
      <c r="F2825" t="s">
        <v>57</v>
      </c>
      <c r="G2825">
        <v>-264.76830000000001</v>
      </c>
      <c r="H2825" s="1">
        <v>1.176352E-6</v>
      </c>
      <c r="I2825">
        <v>210.59719999999999</v>
      </c>
      <c r="J2825">
        <v>-284.29640000000001</v>
      </c>
      <c r="K2825">
        <v>1.1045689999999999</v>
      </c>
      <c r="L2825">
        <v>213.83279999999999</v>
      </c>
      <c r="M2825">
        <v>0.99965590000000004</v>
      </c>
      <c r="N2825">
        <v>0</v>
      </c>
      <c r="O2825">
        <v>2.210283E-2</v>
      </c>
      <c r="P2825">
        <v>0.99856239999999996</v>
      </c>
      <c r="Q2825">
        <v>8.6659509999999999E-3</v>
      </c>
      <c r="R2825">
        <v>5.2900870000000003E-2</v>
      </c>
      <c r="S2825">
        <v>3.0320740000000002</v>
      </c>
      <c r="T2825">
        <v>-0.1689185</v>
      </c>
      <c r="U2825">
        <v>-0.4937897</v>
      </c>
      <c r="V2825">
        <v>-3.0818749999999999E-2</v>
      </c>
      <c r="W2825">
        <v>2.278399E-2</v>
      </c>
      <c r="X2825">
        <v>0.99926530000000002</v>
      </c>
      <c r="Y2825">
        <v>0.18220729999999999</v>
      </c>
      <c r="Z2825">
        <v>-6.26135699999999E-3</v>
      </c>
      <c r="AA2825">
        <v>0.98324020000000001</v>
      </c>
      <c r="AB2825">
        <v>28</v>
      </c>
      <c r="AC2825">
        <v>19.528099999999899</v>
      </c>
      <c r="AD2825">
        <v>-1.1045678236480001</v>
      </c>
      <c r="AE2825">
        <v>-3.2355999999999998</v>
      </c>
      <c r="AF2825">
        <v>3.65509718009225</v>
      </c>
      <c r="AG2825">
        <v>-1.1045678236480001</v>
      </c>
      <c r="AH2825">
        <v>19.391422633823701</v>
      </c>
      <c r="AI2825">
        <v>93.203843649479197</v>
      </c>
      <c r="AJ2825">
        <v>79.325535557953401</v>
      </c>
      <c r="AK2825">
        <v>19.763781956814999</v>
      </c>
    </row>
    <row r="2826" spans="1:37" x14ac:dyDescent="0.2">
      <c r="A2826" t="str">
        <f>"20200111160211385"</f>
        <v>20200111160211385</v>
      </c>
      <c r="B2826" t="str">
        <f>"1578729731374441"</f>
        <v>1578729731374441</v>
      </c>
      <c r="C2826" t="s">
        <v>37</v>
      </c>
      <c r="D2826">
        <v>5.5693779999999897</v>
      </c>
      <c r="E2826">
        <v>0.58317569999999996</v>
      </c>
      <c r="F2826" t="s">
        <v>57</v>
      </c>
      <c r="G2826">
        <v>-266.94490000000002</v>
      </c>
      <c r="H2826" s="1">
        <v>2.315627E-6</v>
      </c>
      <c r="I2826">
        <v>211.0324</v>
      </c>
      <c r="J2826">
        <v>-284.0258</v>
      </c>
      <c r="K2826">
        <v>1.1045659999999999</v>
      </c>
      <c r="L2826">
        <v>213.8389</v>
      </c>
      <c r="M2826">
        <v>0.99965380000000004</v>
      </c>
      <c r="N2826">
        <v>0</v>
      </c>
      <c r="O2826">
        <v>2.2197020000000001E-2</v>
      </c>
      <c r="P2826">
        <v>0.99858919999999995</v>
      </c>
      <c r="Q2826">
        <v>8.3076509999999992E-3</v>
      </c>
      <c r="R2826">
        <v>5.2448050000000003E-2</v>
      </c>
      <c r="S2826">
        <v>3.0318909999999999</v>
      </c>
      <c r="T2826">
        <v>-0.1930057</v>
      </c>
      <c r="U2826">
        <v>-0.4893188</v>
      </c>
      <c r="V2826">
        <v>-3.0270559999999998E-2</v>
      </c>
      <c r="W2826">
        <v>2.2423599999999998E-2</v>
      </c>
      <c r="X2826">
        <v>0.99929020000000002</v>
      </c>
      <c r="Y2826">
        <v>0.18080450000000001</v>
      </c>
      <c r="Z2826">
        <v>-7.1154410000000001E-3</v>
      </c>
      <c r="AA2826">
        <v>0.98349330000000001</v>
      </c>
      <c r="AB2826">
        <v>28</v>
      </c>
      <c r="AC2826">
        <v>17.0808999999999</v>
      </c>
      <c r="AD2826">
        <v>-1.104563684373</v>
      </c>
      <c r="AE2826">
        <v>-2.8065000000000002</v>
      </c>
      <c r="AF2826">
        <v>3.1720751108046001</v>
      </c>
      <c r="AG2826">
        <v>-1.104563684373</v>
      </c>
      <c r="AH2826">
        <v>16.945389575675399</v>
      </c>
      <c r="AI2826">
        <v>93.665976859314796</v>
      </c>
      <c r="AJ2826">
        <v>79.397283202071506</v>
      </c>
      <c r="AK2826">
        <v>17.275078851132001</v>
      </c>
    </row>
    <row r="2827" spans="1:37" x14ac:dyDescent="0.2">
      <c r="A2827" t="str">
        <f>"20200111160211406"</f>
        <v>20200111160211406</v>
      </c>
      <c r="B2827" t="str">
        <f>"1578729731394939"</f>
        <v>1578729731394939</v>
      </c>
      <c r="C2827" t="s">
        <v>37</v>
      </c>
      <c r="D2827">
        <v>5.5358519999999896</v>
      </c>
      <c r="E2827">
        <v>0.58354499999999998</v>
      </c>
      <c r="F2827" t="s">
        <v>57</v>
      </c>
      <c r="G2827">
        <v>-267.69139999999999</v>
      </c>
      <c r="H2827" s="1">
        <v>2.7062759999999898E-6</v>
      </c>
      <c r="I2827">
        <v>211.1833</v>
      </c>
      <c r="J2827">
        <v>-283.75139999999999</v>
      </c>
      <c r="K2827">
        <v>1.104565</v>
      </c>
      <c r="L2827">
        <v>213.845</v>
      </c>
      <c r="M2827">
        <v>0.99965170000000003</v>
      </c>
      <c r="N2827">
        <v>0</v>
      </c>
      <c r="O2827">
        <v>2.2292579999999999E-2</v>
      </c>
      <c r="P2827">
        <v>0.99858080000000005</v>
      </c>
      <c r="Q2827">
        <v>8.2611330000000004E-3</v>
      </c>
      <c r="R2827">
        <v>5.2614609999999999E-2</v>
      </c>
      <c r="S2827">
        <v>3.0318299999999998</v>
      </c>
      <c r="T2827">
        <v>-0.20501839999999899</v>
      </c>
      <c r="U2827">
        <v>-0.49290469999999997</v>
      </c>
      <c r="V2827">
        <v>-3.0342069999999999E-2</v>
      </c>
      <c r="W2827">
        <v>2.2374020000000001E-2</v>
      </c>
      <c r="X2827">
        <v>0.99928919999999999</v>
      </c>
      <c r="Y2827">
        <v>0.1819808</v>
      </c>
      <c r="Z2827">
        <v>-7.6026790000000002E-3</v>
      </c>
      <c r="AA2827">
        <v>0.983272699999999</v>
      </c>
      <c r="AB2827">
        <v>28</v>
      </c>
      <c r="AC2827">
        <v>16.059999999999999</v>
      </c>
      <c r="AD2827">
        <v>-1.1045622937240001</v>
      </c>
      <c r="AE2827">
        <v>-2.66169999999999</v>
      </c>
      <c r="AF2827">
        <v>3.0052572143894101</v>
      </c>
      <c r="AG2827">
        <v>-1.1045622937240001</v>
      </c>
      <c r="AH2827">
        <v>15.923357318184401</v>
      </c>
      <c r="AI2827">
        <v>93.899480145205303</v>
      </c>
      <c r="AJ2827">
        <v>79.312133676749795</v>
      </c>
      <c r="AK2827">
        <v>16.242073053275298</v>
      </c>
    </row>
    <row r="2828" spans="1:37" x14ac:dyDescent="0.2">
      <c r="A2828" t="str">
        <f>"20200111160211429"</f>
        <v>20200111160211429</v>
      </c>
      <c r="B2828" t="str">
        <f>"1578729731424218"</f>
        <v>1578729731424218</v>
      </c>
      <c r="C2828" t="s">
        <v>37</v>
      </c>
      <c r="D2828">
        <v>5.5967570000000002</v>
      </c>
      <c r="E2828">
        <v>0.58385259999999894</v>
      </c>
      <c r="F2828" t="s">
        <v>57</v>
      </c>
      <c r="G2828">
        <v>-268.05070000000001</v>
      </c>
      <c r="H2828" s="1">
        <v>2.8930819999999998E-6</v>
      </c>
      <c r="I2828">
        <v>211.28309999999999</v>
      </c>
      <c r="J2828">
        <v>-283.46109999999999</v>
      </c>
      <c r="K2828">
        <v>1.1045559999999901</v>
      </c>
      <c r="L2828">
        <v>213.85159999999999</v>
      </c>
      <c r="M2828">
        <v>0.99964949999999997</v>
      </c>
      <c r="N2828">
        <v>0</v>
      </c>
      <c r="O2828">
        <v>2.2393389999999999E-2</v>
      </c>
      <c r="P2828">
        <v>0.99853590000000003</v>
      </c>
      <c r="Q2828">
        <v>7.8221039999999999E-3</v>
      </c>
      <c r="R2828">
        <v>5.3523279999999999E-2</v>
      </c>
      <c r="S2828">
        <v>3.0321039999999999</v>
      </c>
      <c r="T2828">
        <v>-0.21331169999999999</v>
      </c>
      <c r="U2828">
        <v>-0.494751</v>
      </c>
      <c r="V2828">
        <v>-3.115002E-2</v>
      </c>
      <c r="W2828">
        <v>2.1931619999999999E-2</v>
      </c>
      <c r="X2828">
        <v>0.99927410000000005</v>
      </c>
      <c r="Y2828">
        <v>0.18260999999999999</v>
      </c>
      <c r="Z2828">
        <v>-7.9374049999999998E-3</v>
      </c>
      <c r="AA2828">
        <v>0.98315339999999996</v>
      </c>
      <c r="AB2828">
        <v>28</v>
      </c>
      <c r="AC2828">
        <v>15.4103999999999</v>
      </c>
      <c r="AD2828">
        <v>-1.1045531069179999</v>
      </c>
      <c r="AE2828">
        <v>-2.5684999999999998</v>
      </c>
      <c r="AF2828">
        <v>2.8984929937466601</v>
      </c>
      <c r="AG2828">
        <v>-1.1045531069179999</v>
      </c>
      <c r="AH2828">
        <v>15.2726702895662</v>
      </c>
      <c r="AI2828">
        <v>94.064259415187394</v>
      </c>
      <c r="AJ2828">
        <v>79.254034068273299</v>
      </c>
      <c r="AK2828">
        <v>15.5844716617086</v>
      </c>
    </row>
    <row r="2829" spans="1:37" x14ac:dyDescent="0.2">
      <c r="A2829" t="str">
        <f>"20200111160211454"</f>
        <v>20200111160211454</v>
      </c>
      <c r="B2829" t="str">
        <f>"1578729731444247"</f>
        <v>1578729731444247</v>
      </c>
      <c r="C2829" t="s">
        <v>37</v>
      </c>
      <c r="D2829">
        <v>5.5168879999999998</v>
      </c>
      <c r="E2829">
        <v>0.58405379999999996</v>
      </c>
      <c r="F2829" t="s">
        <v>57</v>
      </c>
      <c r="G2829">
        <v>-268.22750000000002</v>
      </c>
      <c r="H2829" s="1">
        <v>2.9833400000000001E-6</v>
      </c>
      <c r="I2829">
        <v>211.37049999999999</v>
      </c>
      <c r="J2829">
        <v>-283.14409999999998</v>
      </c>
      <c r="K2829">
        <v>1.1045529999999999</v>
      </c>
      <c r="L2829">
        <v>213.8588</v>
      </c>
      <c r="M2829">
        <v>0.99964709999999901</v>
      </c>
      <c r="N2829">
        <v>0</v>
      </c>
      <c r="O2829">
        <v>2.2503789999999999E-2</v>
      </c>
      <c r="P2829">
        <v>0.99850919999999899</v>
      </c>
      <c r="Q2829">
        <v>7.8772619999999995E-3</v>
      </c>
      <c r="R2829">
        <v>5.4012159999999997E-2</v>
      </c>
      <c r="S2829">
        <v>3.0325929999999999</v>
      </c>
      <c r="T2829">
        <v>-0.21988559999999999</v>
      </c>
      <c r="U2829">
        <v>-0.493927</v>
      </c>
      <c r="V2829">
        <v>-3.1529750000000002E-2</v>
      </c>
      <c r="W2829">
        <v>2.198311E-2</v>
      </c>
      <c r="X2829">
        <v>0.99926099999999995</v>
      </c>
      <c r="Y2829">
        <v>0.1824027</v>
      </c>
      <c r="Z2829">
        <v>-8.1807719999999993E-3</v>
      </c>
      <c r="AA2829">
        <v>0.98318989999999995</v>
      </c>
      <c r="AB2829">
        <v>28</v>
      </c>
      <c r="AC2829">
        <v>14.916599999999899</v>
      </c>
      <c r="AD2829">
        <v>-1.10455001666</v>
      </c>
      <c r="AE2829">
        <v>-2.4883000000000002</v>
      </c>
      <c r="AF2829">
        <v>2.80840119827237</v>
      </c>
      <c r="AG2829">
        <v>-1.10455001666</v>
      </c>
      <c r="AH2829">
        <v>14.7779836669066</v>
      </c>
      <c r="AI2829">
        <v>94.199621280835601</v>
      </c>
      <c r="AJ2829">
        <v>79.239846460990805</v>
      </c>
      <c r="AK2829">
        <v>15.0829688486424</v>
      </c>
    </row>
    <row r="2830" spans="1:37" x14ac:dyDescent="0.2">
      <c r="A2830" t="str">
        <f>"20200111160211474"</f>
        <v>20200111160211474</v>
      </c>
      <c r="B2830" t="str">
        <f>"1578729731464742"</f>
        <v>1578729731464742</v>
      </c>
      <c r="C2830" t="s">
        <v>37</v>
      </c>
      <c r="D2830">
        <v>5.4895659999999999</v>
      </c>
      <c r="E2830">
        <v>0.58430170000000003</v>
      </c>
      <c r="F2830" t="s">
        <v>57</v>
      </c>
      <c r="G2830">
        <v>-268.1558</v>
      </c>
      <c r="H2830" s="1">
        <v>2.943099E-6</v>
      </c>
      <c r="I2830">
        <v>211.41800000000001</v>
      </c>
      <c r="J2830">
        <v>-282.8956</v>
      </c>
      <c r="K2830">
        <v>1.104554</v>
      </c>
      <c r="L2830">
        <v>213.86449999999999</v>
      </c>
      <c r="M2830">
        <v>0.99964529999999996</v>
      </c>
      <c r="N2830">
        <v>0</v>
      </c>
      <c r="O2830">
        <v>2.2590280000000001E-2</v>
      </c>
      <c r="P2830">
        <v>0.99849829999999995</v>
      </c>
      <c r="Q2830">
        <v>8.5714850000000002E-3</v>
      </c>
      <c r="R2830">
        <v>5.4109860000000003E-2</v>
      </c>
      <c r="S2830">
        <v>3.032959</v>
      </c>
      <c r="T2830">
        <v>-0.2235105</v>
      </c>
      <c r="U2830">
        <v>-0.49391170000000001</v>
      </c>
      <c r="V2830">
        <v>-3.154071E-2</v>
      </c>
      <c r="W2830">
        <v>2.2674349999999999E-2</v>
      </c>
      <c r="X2830">
        <v>0.99924519999999994</v>
      </c>
      <c r="Y2830">
        <v>0.18244639999999901</v>
      </c>
      <c r="Z2830">
        <v>-8.3222260000000003E-3</v>
      </c>
      <c r="AA2830">
        <v>0.98318059999999996</v>
      </c>
      <c r="AB2830">
        <v>28</v>
      </c>
      <c r="AC2830">
        <v>14.739800000000001</v>
      </c>
      <c r="AD2830">
        <v>-1.104551056901</v>
      </c>
      <c r="AE2830">
        <v>-2.4464999999999799</v>
      </c>
      <c r="AF2830">
        <v>2.76378097147267</v>
      </c>
      <c r="AG2830">
        <v>-1.104551056901</v>
      </c>
      <c r="AH2830">
        <v>14.600971626573701</v>
      </c>
      <c r="AI2830">
        <v>94.250936205676695</v>
      </c>
      <c r="AJ2830">
        <v>79.281440612494507</v>
      </c>
      <c r="AK2830">
        <v>14.901237892725099</v>
      </c>
    </row>
    <row r="2831" spans="1:37" x14ac:dyDescent="0.2">
      <c r="A2831" t="str">
        <f>"20200111160211495"</f>
        <v>20200111160211495</v>
      </c>
      <c r="B2831" t="str">
        <f>"1578729731484262"</f>
        <v>1578729731484262</v>
      </c>
      <c r="C2831" t="s">
        <v>37</v>
      </c>
      <c r="D2831">
        <v>5.4587859999999999</v>
      </c>
      <c r="E2831">
        <v>0.5847483</v>
      </c>
      <c r="F2831" t="s">
        <v>57</v>
      </c>
      <c r="G2831">
        <v>-267.91059999999999</v>
      </c>
      <c r="H2831" s="1">
        <v>2.81268399999999E-6</v>
      </c>
      <c r="I2831">
        <v>211.41659999999999</v>
      </c>
      <c r="J2831">
        <v>-282.62200000000001</v>
      </c>
      <c r="K2831">
        <v>1.1045670000000001</v>
      </c>
      <c r="L2831">
        <v>213.8708</v>
      </c>
      <c r="M2831">
        <v>0.99964310000000001</v>
      </c>
      <c r="N2831">
        <v>0</v>
      </c>
      <c r="O2831">
        <v>2.2685480000000001E-2</v>
      </c>
      <c r="P2831">
        <v>0.99849940000000004</v>
      </c>
      <c r="Q2831">
        <v>9.6353719999999997E-3</v>
      </c>
      <c r="R2831">
        <v>5.391195E-2</v>
      </c>
      <c r="S2831">
        <v>3.0332949999999999</v>
      </c>
      <c r="T2831">
        <v>-0.22358549999999999</v>
      </c>
      <c r="U2831">
        <v>-0.49551390000000001</v>
      </c>
      <c r="V2831">
        <v>-3.1248330000000001E-2</v>
      </c>
      <c r="W2831">
        <v>2.3735510000000001E-2</v>
      </c>
      <c r="X2831">
        <v>0.99922979999999995</v>
      </c>
      <c r="Y2831">
        <v>0.18302669999999999</v>
      </c>
      <c r="Z2831">
        <v>-8.3519389999999992E-3</v>
      </c>
      <c r="AA2831">
        <v>0.98307250000000002</v>
      </c>
      <c r="AB2831">
        <v>28</v>
      </c>
      <c r="AC2831">
        <v>14.711399999999999</v>
      </c>
      <c r="AD2831">
        <v>-1.1045641873159999</v>
      </c>
      <c r="AE2831">
        <v>-2.4542000000000099</v>
      </c>
      <c r="AF2831">
        <v>2.7721323717018098</v>
      </c>
      <c r="AG2831">
        <v>-1.1045641873159999</v>
      </c>
      <c r="AH2831">
        <v>14.572009979109501</v>
      </c>
      <c r="AI2831">
        <v>94.258666411880796</v>
      </c>
      <c r="AJ2831">
        <v>79.228939235219599</v>
      </c>
      <c r="AK2831">
        <v>14.874416114974199</v>
      </c>
    </row>
    <row r="2832" spans="1:37" x14ac:dyDescent="0.2">
      <c r="A2832" t="str">
        <f>"20200111160211518"</f>
        <v>20200111160211518</v>
      </c>
      <c r="B2832" t="str">
        <f>"1578729731514518"</f>
        <v>1578729731514518</v>
      </c>
      <c r="C2832" t="s">
        <v>37</v>
      </c>
      <c r="D2832">
        <v>5.3824040000000002</v>
      </c>
      <c r="E2832">
        <v>0.58496400000000004</v>
      </c>
      <c r="F2832" t="s">
        <v>57</v>
      </c>
      <c r="G2832">
        <v>-267.44490000000002</v>
      </c>
      <c r="H2832" s="1">
        <v>2.5668679999999999E-6</v>
      </c>
      <c r="I2832">
        <v>211.37129999999999</v>
      </c>
      <c r="J2832">
        <v>-282.33710000000002</v>
      </c>
      <c r="K2832">
        <v>1.1045719999999899</v>
      </c>
      <c r="L2832">
        <v>213.87739999999999</v>
      </c>
      <c r="M2832">
        <v>0.99964089999999906</v>
      </c>
      <c r="N2832">
        <v>0</v>
      </c>
      <c r="O2832">
        <v>2.2784619999999998E-2</v>
      </c>
      <c r="P2832">
        <v>0.9985096</v>
      </c>
      <c r="Q2832">
        <v>1.060608E-2</v>
      </c>
      <c r="R2832">
        <v>5.3539780000000002E-2</v>
      </c>
      <c r="S2832">
        <v>3.0335999999999999</v>
      </c>
      <c r="T2832">
        <v>-0.22078010000000001</v>
      </c>
      <c r="U2832">
        <v>-0.49960329999999997</v>
      </c>
      <c r="V2832">
        <v>-3.0776850000000001E-2</v>
      </c>
      <c r="W2832">
        <v>2.4703200000000002E-2</v>
      </c>
      <c r="X2832">
        <v>0.99922099999999903</v>
      </c>
      <c r="Y2832">
        <v>0.18440870000000001</v>
      </c>
      <c r="Z2832">
        <v>-8.3027710000000005E-3</v>
      </c>
      <c r="AA2832">
        <v>0.98281459999999998</v>
      </c>
      <c r="AB2832">
        <v>28</v>
      </c>
      <c r="AC2832">
        <v>14.892200000000001</v>
      </c>
      <c r="AD2832">
        <v>-1.104569433132</v>
      </c>
      <c r="AE2832">
        <v>-2.5061</v>
      </c>
      <c r="AF2832">
        <v>2.8296579476456301</v>
      </c>
      <c r="AG2832">
        <v>-1.104569433132</v>
      </c>
      <c r="AH2832">
        <v>14.752304549266499</v>
      </c>
      <c r="AI2832">
        <v>94.205611093397295</v>
      </c>
      <c r="AJ2832">
        <v>79.141905214175694</v>
      </c>
      <c r="AK2832">
        <v>15.0617903068524</v>
      </c>
    </row>
    <row r="2833" spans="1:37" x14ac:dyDescent="0.2">
      <c r="A2833" t="str">
        <f>"20200111160211541"</f>
        <v>20200111160211541</v>
      </c>
      <c r="B2833" t="str">
        <f>"1578729731535015"</f>
        <v>1578729731535015</v>
      </c>
      <c r="C2833" t="s">
        <v>37</v>
      </c>
      <c r="D2833">
        <v>5.3461569999999998</v>
      </c>
      <c r="E2833">
        <v>0.58510490000000004</v>
      </c>
      <c r="F2833" t="s">
        <v>57</v>
      </c>
      <c r="G2833">
        <v>-265.90620000000001</v>
      </c>
      <c r="H2833" s="1">
        <v>1.7576429999999901E-6</v>
      </c>
      <c r="I2833">
        <v>211.15190000000001</v>
      </c>
      <c r="J2833">
        <v>-282.05329999999998</v>
      </c>
      <c r="K2833">
        <v>1.104579</v>
      </c>
      <c r="L2833">
        <v>213.88399999999999</v>
      </c>
      <c r="M2833">
        <v>0.99963860000000004</v>
      </c>
      <c r="N2833">
        <v>0</v>
      </c>
      <c r="O2833">
        <v>2.288364E-2</v>
      </c>
      <c r="P2833">
        <v>0.99854769999999904</v>
      </c>
      <c r="Q2833">
        <v>1.079573E-2</v>
      </c>
      <c r="R2833">
        <v>5.278397E-2</v>
      </c>
      <c r="S2833">
        <v>3.03363</v>
      </c>
      <c r="T2833">
        <v>-0.20393620000000001</v>
      </c>
      <c r="U2833">
        <v>-0.50320429999999905</v>
      </c>
      <c r="V2833">
        <v>-2.9921440000000001E-2</v>
      </c>
      <c r="W2833">
        <v>2.4890539999999999E-2</v>
      </c>
      <c r="X2833">
        <v>0.99924230000000003</v>
      </c>
      <c r="Y2833">
        <v>0.185715299999999</v>
      </c>
      <c r="Z2833">
        <v>-7.7201619999999896E-3</v>
      </c>
      <c r="AA2833">
        <v>0.98257329999999998</v>
      </c>
      <c r="AB2833">
        <v>28</v>
      </c>
      <c r="AC2833">
        <v>16.147099999999899</v>
      </c>
      <c r="AD2833">
        <v>-1.1045772423569999</v>
      </c>
      <c r="AE2833">
        <v>-2.7321</v>
      </c>
      <c r="AF2833">
        <v>3.0868824641323198</v>
      </c>
      <c r="AG2833">
        <v>-1.1045772423569999</v>
      </c>
      <c r="AH2833">
        <v>16.007521199188801</v>
      </c>
      <c r="AI2833">
        <v>93.876170073487799</v>
      </c>
      <c r="AJ2833">
        <v>79.085091907639693</v>
      </c>
      <c r="AK2833">
        <v>16.339818517173999</v>
      </c>
    </row>
    <row r="2834" spans="1:37" x14ac:dyDescent="0.2">
      <c r="A2834" t="str">
        <f>"20200111160211562"</f>
        <v>20200111160211562</v>
      </c>
      <c r="B2834" t="str">
        <f>"1578729731555040"</f>
        <v>1578729731555040</v>
      </c>
      <c r="C2834" t="s">
        <v>37</v>
      </c>
      <c r="D2834">
        <v>5.3466969999999998</v>
      </c>
      <c r="E2834">
        <v>0.58723029999999998</v>
      </c>
      <c r="F2834" t="s">
        <v>57</v>
      </c>
      <c r="G2834">
        <v>-265.79270000000002</v>
      </c>
      <c r="H2834" s="1">
        <v>1.6964209999999999E-6</v>
      </c>
      <c r="I2834">
        <v>211.17019999999999</v>
      </c>
      <c r="J2834">
        <v>-281.77659999999997</v>
      </c>
      <c r="K2834">
        <v>1.1045739999999999</v>
      </c>
      <c r="L2834">
        <v>213.8904</v>
      </c>
      <c r="M2834">
        <v>0.99963639999999998</v>
      </c>
      <c r="N2834">
        <v>0</v>
      </c>
      <c r="O2834">
        <v>2.2980150000000001E-2</v>
      </c>
      <c r="P2834">
        <v>0.9985771</v>
      </c>
      <c r="Q2834">
        <v>1.0850230000000001E-2</v>
      </c>
      <c r="R2834">
        <v>5.2210470000000002E-2</v>
      </c>
      <c r="S2834">
        <v>3.0333559999999999</v>
      </c>
      <c r="T2834">
        <v>-0.20605479999999901</v>
      </c>
      <c r="U2834">
        <v>-0.50624079999999905</v>
      </c>
      <c r="V2834">
        <v>-2.9250519999999999E-2</v>
      </c>
      <c r="W2834">
        <v>2.4942019999999999E-2</v>
      </c>
      <c r="X2834">
        <v>0.99926090000000001</v>
      </c>
      <c r="Y2834">
        <v>0.1867693</v>
      </c>
      <c r="Z2834">
        <v>-7.8422709999999996E-3</v>
      </c>
      <c r="AA2834">
        <v>0.98237249999999998</v>
      </c>
      <c r="AB2834">
        <v>28</v>
      </c>
      <c r="AC2834">
        <v>15.983899999999901</v>
      </c>
      <c r="AD2834">
        <v>-1.1045723035789901</v>
      </c>
      <c r="AE2834">
        <v>-2.7202000000000002</v>
      </c>
      <c r="AF2834">
        <v>3.07257029768284</v>
      </c>
      <c r="AG2834">
        <v>-1.1045723035789901</v>
      </c>
      <c r="AH2834">
        <v>15.8436290723543</v>
      </c>
      <c r="AI2834">
        <v>93.915330743406102</v>
      </c>
      <c r="AJ2834">
        <v>79.024810185657401</v>
      </c>
      <c r="AK2834">
        <v>16.176567942254799</v>
      </c>
    </row>
    <row r="2835" spans="1:37" x14ac:dyDescent="0.2">
      <c r="A2835" t="str">
        <f>"20200111160211585"</f>
        <v>20200111160211585</v>
      </c>
      <c r="B2835" t="str">
        <f>"1578729731574560"</f>
        <v>1578729731574560</v>
      </c>
      <c r="C2835" t="s">
        <v>37</v>
      </c>
      <c r="D2835">
        <v>5.2728799999999998</v>
      </c>
      <c r="E2835">
        <v>0.58720930000000005</v>
      </c>
      <c r="F2835" t="s">
        <v>67</v>
      </c>
      <c r="G2835">
        <v>-168.4177</v>
      </c>
      <c r="H2835">
        <v>8.7195</v>
      </c>
      <c r="I2835">
        <v>193.32939999999999</v>
      </c>
      <c r="J2835">
        <v>-281.50229999999999</v>
      </c>
      <c r="K2835">
        <v>1.1045739999999999</v>
      </c>
      <c r="L2835">
        <v>213.89680000000001</v>
      </c>
      <c r="M2835">
        <v>0.99963440000000003</v>
      </c>
      <c r="N2835">
        <v>0</v>
      </c>
      <c r="O2835">
        <v>2.3075470000000001E-2</v>
      </c>
      <c r="P2835">
        <v>0.99861499999999903</v>
      </c>
      <c r="Q2835">
        <v>1.071399E-2</v>
      </c>
      <c r="R2835">
        <v>5.1515030000000003E-2</v>
      </c>
      <c r="S2835">
        <v>3.0307309999999998</v>
      </c>
      <c r="T2835">
        <v>0.20359150000000001</v>
      </c>
      <c r="U2835">
        <v>-0.54971309999999995</v>
      </c>
      <c r="V2835">
        <v>-2.8459169999999999E-2</v>
      </c>
      <c r="W2835">
        <v>2.4803789999999999E-2</v>
      </c>
      <c r="X2835">
        <v>0.99928719999999904</v>
      </c>
      <c r="Y2835">
        <v>0.20063889999999901</v>
      </c>
      <c r="Z2835">
        <v>8.2138780000000008E-3</v>
      </c>
      <c r="AA2835">
        <v>0.97963080000000002</v>
      </c>
      <c r="AB2835">
        <v>28</v>
      </c>
      <c r="AC2835">
        <v>113.08459999999999</v>
      </c>
      <c r="AD2835">
        <v>7.6149259999999996</v>
      </c>
      <c r="AE2835">
        <v>-20.567399999999999</v>
      </c>
      <c r="AF2835">
        <v>23.0703998920069</v>
      </c>
      <c r="AG2835">
        <v>7.6149259999999996</v>
      </c>
      <c r="AH2835">
        <v>112.08785067624601</v>
      </c>
      <c r="AI2835">
        <v>86.193021886885703</v>
      </c>
      <c r="AJ2835">
        <v>78.369558692594296</v>
      </c>
      <c r="AK2835">
        <v>114.69052584404299</v>
      </c>
    </row>
    <row r="2836" spans="1:37" x14ac:dyDescent="0.2">
      <c r="A2836" t="str">
        <f>"20200111160211608"</f>
        <v>20200111160211608</v>
      </c>
      <c r="B2836" t="str">
        <f>"1578729731604816"</f>
        <v>1578729731604816</v>
      </c>
      <c r="C2836" t="s">
        <v>37</v>
      </c>
      <c r="D2836">
        <v>5.2832339999999904</v>
      </c>
      <c r="E2836">
        <v>0.58365180000000005</v>
      </c>
      <c r="F2836" t="s">
        <v>67</v>
      </c>
      <c r="G2836">
        <v>-168.41589999999999</v>
      </c>
      <c r="H2836">
        <v>3.4346299999999998</v>
      </c>
      <c r="I2836">
        <v>193.6353</v>
      </c>
      <c r="J2836">
        <v>-281.21080000000001</v>
      </c>
      <c r="K2836">
        <v>1.104579</v>
      </c>
      <c r="L2836">
        <v>213.90360000000001</v>
      </c>
      <c r="M2836">
        <v>0.99963199999999997</v>
      </c>
      <c r="N2836">
        <v>0</v>
      </c>
      <c r="O2836">
        <v>2.317729E-2</v>
      </c>
      <c r="P2836">
        <v>0.99862609999999996</v>
      </c>
      <c r="Q2836">
        <v>1.1220620000000001E-2</v>
      </c>
      <c r="R2836">
        <v>5.1188810000000001E-2</v>
      </c>
      <c r="S2836">
        <v>3.0315249999999998</v>
      </c>
      <c r="T2836">
        <v>6.2463049999999999E-2</v>
      </c>
      <c r="U2836">
        <v>-0.54315190000000002</v>
      </c>
      <c r="V2836">
        <v>-2.8030920000000001E-2</v>
      </c>
      <c r="W2836">
        <v>2.5307639999999999E-2</v>
      </c>
      <c r="X2836">
        <v>0.99928669999999997</v>
      </c>
      <c r="Y2836">
        <v>0.1990827</v>
      </c>
      <c r="Z2836">
        <v>2.508583E-3</v>
      </c>
      <c r="AA2836">
        <v>0.9799795</v>
      </c>
      <c r="AB2836">
        <v>28</v>
      </c>
      <c r="AC2836">
        <v>112.7949</v>
      </c>
      <c r="AD2836">
        <v>2.3300510000000001</v>
      </c>
      <c r="AE2836">
        <v>-20.2683</v>
      </c>
      <c r="AF2836">
        <v>22.867940927484501</v>
      </c>
      <c r="AG2836">
        <v>2.3300510000000001</v>
      </c>
      <c r="AH2836">
        <v>112.248381647626</v>
      </c>
      <c r="AI2836">
        <v>88.834754220365198</v>
      </c>
      <c r="AJ2836">
        <v>78.484928939321094</v>
      </c>
      <c r="AK2836">
        <v>114.57779471798401</v>
      </c>
    </row>
    <row r="2837" spans="1:37" x14ac:dyDescent="0.2">
      <c r="A2837" t="str">
        <f>"20200111160211631"</f>
        <v>20200111160211631</v>
      </c>
      <c r="B2837" t="str">
        <f>"1578729731624335"</f>
        <v>1578729731624335</v>
      </c>
      <c r="C2837" t="s">
        <v>37</v>
      </c>
      <c r="D2837">
        <v>5.1986889999999999</v>
      </c>
      <c r="E2837">
        <v>0.5831672</v>
      </c>
      <c r="F2837" t="s">
        <v>57</v>
      </c>
      <c r="G2837">
        <v>-236.1182</v>
      </c>
      <c r="H2837">
        <v>8.0001489999999995E-2</v>
      </c>
      <c r="I2837">
        <v>206.35140000000001</v>
      </c>
      <c r="J2837">
        <v>-280.93299999999999</v>
      </c>
      <c r="K2837">
        <v>1.104581</v>
      </c>
      <c r="L2837">
        <v>213.9102</v>
      </c>
      <c r="M2837">
        <v>0.99962989999999996</v>
      </c>
      <c r="N2837">
        <v>0</v>
      </c>
      <c r="O2837">
        <v>2.3274099999999999E-2</v>
      </c>
      <c r="P2837">
        <v>0.99862530000000005</v>
      </c>
      <c r="Q2837">
        <v>1.111612E-2</v>
      </c>
      <c r="R2837">
        <v>5.1224529999999997E-2</v>
      </c>
      <c r="S2837">
        <v>3.030945</v>
      </c>
      <c r="T2837">
        <v>-6.8868040000000005E-2</v>
      </c>
      <c r="U2837">
        <v>-0.50762940000000001</v>
      </c>
      <c r="V2837">
        <v>-2.7969999999999998E-2</v>
      </c>
      <c r="W2837">
        <v>2.5199909999999999E-2</v>
      </c>
      <c r="X2837">
        <v>0.99929109999999999</v>
      </c>
      <c r="Y2837">
        <v>0.1880404</v>
      </c>
      <c r="Z2837">
        <v>-2.6466240000000002E-3</v>
      </c>
      <c r="AA2837">
        <v>0.98215769999999902</v>
      </c>
      <c r="AB2837">
        <v>28</v>
      </c>
      <c r="AC2837">
        <v>44.814799999999899</v>
      </c>
      <c r="AD2837">
        <v>-1.0245795099999999</v>
      </c>
      <c r="AE2837">
        <v>-7.55879999999999</v>
      </c>
      <c r="AF2837">
        <v>8.5955111345288397</v>
      </c>
      <c r="AG2837">
        <v>-1.0245795099999999</v>
      </c>
      <c r="AH2837">
        <v>44.604047103050803</v>
      </c>
      <c r="AI2837">
        <v>91.292119109320495</v>
      </c>
      <c r="AJ2837">
        <v>79.092413065540697</v>
      </c>
      <c r="AK2837">
        <v>45.436258569641303</v>
      </c>
    </row>
    <row r="2838" spans="1:37" x14ac:dyDescent="0.2">
      <c r="A2838" t="str">
        <f>"20200111160211652"</f>
        <v>20200111160211652</v>
      </c>
      <c r="B2838" t="str">
        <f>"1578729731644832"</f>
        <v>1578729731644832</v>
      </c>
      <c r="C2838" t="s">
        <v>37</v>
      </c>
      <c r="D2838">
        <v>5.0743689999999999</v>
      </c>
      <c r="E2838">
        <v>0.58241430000000005</v>
      </c>
      <c r="F2838" t="s">
        <v>57</v>
      </c>
      <c r="G2838">
        <v>-252.35919999999999</v>
      </c>
      <c r="H2838">
        <v>8.0001009999999997E-2</v>
      </c>
      <c r="I2838">
        <v>209.1842</v>
      </c>
      <c r="J2838">
        <v>-280.6601</v>
      </c>
      <c r="K2838">
        <v>1.1045799999999999</v>
      </c>
      <c r="L2838">
        <v>213.91659999999999</v>
      </c>
      <c r="M2838">
        <v>0.99962770000000001</v>
      </c>
      <c r="N2838">
        <v>0</v>
      </c>
      <c r="O2838">
        <v>2.3369239999999999E-2</v>
      </c>
      <c r="P2838">
        <v>0.99864419999999898</v>
      </c>
      <c r="Q2838">
        <v>1.045335E-2</v>
      </c>
      <c r="R2838">
        <v>5.0999170000000003E-2</v>
      </c>
      <c r="S2838">
        <v>3.03106699999999</v>
      </c>
      <c r="T2838">
        <v>-0.1086862</v>
      </c>
      <c r="U2838">
        <v>-0.50132749999999904</v>
      </c>
      <c r="V2838">
        <v>-2.7649299999999901E-2</v>
      </c>
      <c r="W2838">
        <v>2.453493E-2</v>
      </c>
      <c r="X2838">
        <v>0.99931650000000005</v>
      </c>
      <c r="Y2838">
        <v>0.18606210000000001</v>
      </c>
      <c r="Z2838">
        <v>-4.1447709999999898E-3</v>
      </c>
      <c r="AA2838">
        <v>0.98252919999999999</v>
      </c>
      <c r="AB2838">
        <v>28</v>
      </c>
      <c r="AC2838">
        <v>28.300899999999999</v>
      </c>
      <c r="AD2838">
        <v>-1.02457899</v>
      </c>
      <c r="AE2838">
        <v>-4.7323999999999797</v>
      </c>
      <c r="AF2838">
        <v>5.3856766667777896</v>
      </c>
      <c r="AG2838">
        <v>-1.02457899</v>
      </c>
      <c r="AH2838">
        <v>28.1466786984323</v>
      </c>
      <c r="AI2838">
        <v>92.047612690345801</v>
      </c>
      <c r="AJ2838">
        <v>79.167770847498701</v>
      </c>
      <c r="AK2838">
        <v>28.6756132806014</v>
      </c>
    </row>
    <row r="2839" spans="1:37" x14ac:dyDescent="0.2">
      <c r="A2839" t="str">
        <f>"20200111160211675"</f>
        <v>20200111160211675</v>
      </c>
      <c r="B2839" t="str">
        <f>"1578729731664352"</f>
        <v>1578729731664352</v>
      </c>
      <c r="C2839" t="s">
        <v>37</v>
      </c>
      <c r="D2839">
        <v>5.0650879999999896</v>
      </c>
      <c r="E2839">
        <v>0.5820649</v>
      </c>
      <c r="F2839" t="s">
        <v>57</v>
      </c>
      <c r="G2839">
        <v>-256.18939999999998</v>
      </c>
      <c r="H2839" s="1">
        <v>1.961924E-6</v>
      </c>
      <c r="I2839">
        <v>209.92580000000001</v>
      </c>
      <c r="J2839">
        <v>-280.38909999999998</v>
      </c>
      <c r="K2839">
        <v>1.104582</v>
      </c>
      <c r="L2839">
        <v>213.92310000000001</v>
      </c>
      <c r="M2839">
        <v>0.9996254</v>
      </c>
      <c r="N2839">
        <v>0</v>
      </c>
      <c r="O2839">
        <v>2.3463899999999999E-2</v>
      </c>
      <c r="P2839">
        <v>0.99863459999999904</v>
      </c>
      <c r="Q2839">
        <v>1.0546140000000001E-2</v>
      </c>
      <c r="R2839">
        <v>5.1164999999999898E-2</v>
      </c>
      <c r="S2839">
        <v>3.0307919999999999</v>
      </c>
      <c r="T2839">
        <v>-0.13680629999999999</v>
      </c>
      <c r="U2839">
        <v>-0.494278</v>
      </c>
      <c r="V2839">
        <v>-2.7720709999999999E-2</v>
      </c>
      <c r="W2839">
        <v>2.4625020000000001E-2</v>
      </c>
      <c r="X2839">
        <v>0.99931229999999904</v>
      </c>
      <c r="Y2839">
        <v>0.18386910000000001</v>
      </c>
      <c r="Z2839">
        <v>-5.1727149999999996E-3</v>
      </c>
      <c r="AA2839">
        <v>0.98293719999999996</v>
      </c>
      <c r="AB2839">
        <v>28</v>
      </c>
      <c r="AC2839">
        <v>24.1997</v>
      </c>
      <c r="AD2839">
        <v>-1.104580038076</v>
      </c>
      <c r="AE2839">
        <v>-3.9972999999999899</v>
      </c>
      <c r="AF2839">
        <v>4.5548374244658598</v>
      </c>
      <c r="AG2839">
        <v>-1.104580038076</v>
      </c>
      <c r="AH2839">
        <v>24.050458469922901</v>
      </c>
      <c r="AI2839">
        <v>92.583746308642802</v>
      </c>
      <c r="AJ2839">
        <v>79.275950825512595</v>
      </c>
      <c r="AK2839">
        <v>24.502881333372201</v>
      </c>
    </row>
    <row r="2840" spans="1:37" x14ac:dyDescent="0.2">
      <c r="A2840" t="str">
        <f>"20200111160211697"</f>
        <v>20200111160211697</v>
      </c>
      <c r="B2840" t="str">
        <f>"1578729731694609"</f>
        <v>1578729731694609</v>
      </c>
      <c r="C2840" t="s">
        <v>37</v>
      </c>
      <c r="D2840">
        <v>5.1771729999999998</v>
      </c>
      <c r="E2840">
        <v>0.58121859999999903</v>
      </c>
      <c r="F2840" t="s">
        <v>57</v>
      </c>
      <c r="G2840">
        <v>-258.13099999999997</v>
      </c>
      <c r="H2840" s="1">
        <v>2.9777749999999899E-6</v>
      </c>
      <c r="I2840">
        <v>210.32380000000001</v>
      </c>
      <c r="J2840">
        <v>-280.1087</v>
      </c>
      <c r="K2840">
        <v>1.104589</v>
      </c>
      <c r="L2840">
        <v>213.9297</v>
      </c>
      <c r="M2840">
        <v>0.99962320000000005</v>
      </c>
      <c r="N2840">
        <v>0</v>
      </c>
      <c r="O2840">
        <v>2.3561490000000001E-2</v>
      </c>
      <c r="P2840">
        <v>0.99862549999999894</v>
      </c>
      <c r="Q2840">
        <v>1.081523E-2</v>
      </c>
      <c r="R2840">
        <v>5.1285329999999997E-2</v>
      </c>
      <c r="S2840">
        <v>3.03076199999999</v>
      </c>
      <c r="T2840">
        <v>-0.1504045</v>
      </c>
      <c r="U2840">
        <v>-0.490097</v>
      </c>
      <c r="V2840">
        <v>-2.7743400000000001E-2</v>
      </c>
      <c r="W2840">
        <v>2.489102E-2</v>
      </c>
      <c r="X2840">
        <v>0.99930509999999995</v>
      </c>
      <c r="Y2840">
        <v>0.18260370000000001</v>
      </c>
      <c r="Z2840">
        <v>-5.6605869999999999E-3</v>
      </c>
      <c r="AA2840">
        <v>0.98317030000000005</v>
      </c>
      <c r="AB2840">
        <v>28</v>
      </c>
      <c r="AC2840">
        <v>21.977699999999999</v>
      </c>
      <c r="AD2840">
        <v>-1.1045860222249999</v>
      </c>
      <c r="AE2840">
        <v>-3.6058999999999899</v>
      </c>
      <c r="AF2840">
        <v>4.1126611892092901</v>
      </c>
      <c r="AG2840">
        <v>-1.1045860222249999</v>
      </c>
      <c r="AH2840">
        <v>21.8329243046791</v>
      </c>
      <c r="AI2840">
        <v>92.846304031813503</v>
      </c>
      <c r="AJ2840">
        <v>79.332215059815994</v>
      </c>
      <c r="AK2840">
        <v>22.244340314596201</v>
      </c>
    </row>
    <row r="2841" spans="1:37" x14ac:dyDescent="0.2">
      <c r="A2841" t="str">
        <f>"20200111160211721"</f>
        <v>20200111160211721</v>
      </c>
      <c r="B2841" t="str">
        <f>"1578729731715105"</f>
        <v>1578729731715105</v>
      </c>
      <c r="C2841" t="s">
        <v>37</v>
      </c>
      <c r="D2841">
        <v>4.8806219999999998</v>
      </c>
      <c r="E2841">
        <v>0.58111639999999998</v>
      </c>
      <c r="F2841" t="s">
        <v>57</v>
      </c>
      <c r="G2841">
        <v>-259.65350000000001</v>
      </c>
      <c r="H2841" s="1">
        <v>3.7725849999999999E-6</v>
      </c>
      <c r="I2841">
        <v>210.67519999999999</v>
      </c>
      <c r="J2841">
        <v>-279.80549999999999</v>
      </c>
      <c r="K2841">
        <v>1.1045849999999999</v>
      </c>
      <c r="L2841">
        <v>213.93700000000001</v>
      </c>
      <c r="M2841">
        <v>0.99962070000000003</v>
      </c>
      <c r="N2841">
        <v>0</v>
      </c>
      <c r="O2841">
        <v>2.3667299999999999E-2</v>
      </c>
      <c r="P2841">
        <v>0.99860659999999901</v>
      </c>
      <c r="Q2841">
        <v>1.0954149999999999E-2</v>
      </c>
      <c r="R2841">
        <v>5.1625860000000003E-2</v>
      </c>
      <c r="S2841">
        <v>3.0306700000000002</v>
      </c>
      <c r="T2841">
        <v>-0.16365660000000001</v>
      </c>
      <c r="U2841">
        <v>-0.48219299999999998</v>
      </c>
      <c r="V2841">
        <v>-2.797871E-2</v>
      </c>
      <c r="W2841">
        <v>2.502687E-2</v>
      </c>
      <c r="X2841">
        <v>0.99929519999999905</v>
      </c>
      <c r="Y2841">
        <v>0.18016979999999999</v>
      </c>
      <c r="Z2841">
        <v>-6.1005130000000001E-3</v>
      </c>
      <c r="AA2841">
        <v>0.98361659999999995</v>
      </c>
      <c r="AB2841">
        <v>28</v>
      </c>
      <c r="AC2841">
        <v>20.151999999999902</v>
      </c>
      <c r="AD2841">
        <v>-1.104581227415</v>
      </c>
      <c r="AE2841">
        <v>-3.26180000000002</v>
      </c>
      <c r="AF2841">
        <v>3.72696542380208</v>
      </c>
      <c r="AG2841">
        <v>-1.104581227415</v>
      </c>
      <c r="AH2841">
        <v>20.010563390287899</v>
      </c>
      <c r="AI2841">
        <v>93.106206196125299</v>
      </c>
      <c r="AJ2841">
        <v>79.4495532708996</v>
      </c>
      <c r="AK2841">
        <v>20.384627005537801</v>
      </c>
    </row>
    <row r="2842" spans="1:37" x14ac:dyDescent="0.2">
      <c r="A2842" t="str">
        <f>"20200111160211744"</f>
        <v>20200111160211744</v>
      </c>
      <c r="B2842" t="str">
        <f>"1578729731734624"</f>
        <v>1578729731734624</v>
      </c>
      <c r="C2842" t="s">
        <v>37</v>
      </c>
      <c r="D2842">
        <v>4.9119999999999999</v>
      </c>
      <c r="E2842">
        <v>0.58089729999999995</v>
      </c>
      <c r="F2842" t="s">
        <v>57</v>
      </c>
      <c r="G2842">
        <v>-260.1438</v>
      </c>
      <c r="H2842" s="1">
        <v>-1.294507E-6</v>
      </c>
      <c r="I2842">
        <v>210.82390000000001</v>
      </c>
      <c r="J2842">
        <v>-279.52670000000001</v>
      </c>
      <c r="K2842">
        <v>1.1045799999999999</v>
      </c>
      <c r="L2842">
        <v>213.94370000000001</v>
      </c>
      <c r="M2842">
        <v>0.99961840000000002</v>
      </c>
      <c r="N2842">
        <v>0</v>
      </c>
      <c r="O2842">
        <v>2.3764939999999998E-2</v>
      </c>
      <c r="P2842">
        <v>0.99859789999999904</v>
      </c>
      <c r="Q2842">
        <v>1.0577919999999999E-2</v>
      </c>
      <c r="R2842">
        <v>5.1866780000000001E-2</v>
      </c>
      <c r="S2842">
        <v>3.0308839999999999</v>
      </c>
      <c r="T2842">
        <v>-0.1702736</v>
      </c>
      <c r="U2842">
        <v>-0.47988890000000001</v>
      </c>
      <c r="V2842">
        <v>-2.812191E-2</v>
      </c>
      <c r="W2842">
        <v>2.46479E-2</v>
      </c>
      <c r="X2842">
        <v>0.99930059999999998</v>
      </c>
      <c r="Y2842">
        <v>0.17950269999999999</v>
      </c>
      <c r="Z2842">
        <v>-6.3335709999999996E-3</v>
      </c>
      <c r="AA2842">
        <v>0.98373709999999903</v>
      </c>
      <c r="AB2842">
        <v>28</v>
      </c>
      <c r="AC2842">
        <v>19.382899999999999</v>
      </c>
      <c r="AD2842">
        <v>-1.1045812945069999</v>
      </c>
      <c r="AE2842">
        <v>-3.1197999999999899</v>
      </c>
      <c r="AF2842">
        <v>3.5683021847540499</v>
      </c>
      <c r="AG2842">
        <v>-1.1045812945069999</v>
      </c>
      <c r="AH2842">
        <v>19.2423627048166</v>
      </c>
      <c r="AI2842">
        <v>93.230424977311102</v>
      </c>
      <c r="AJ2842">
        <v>79.494412374051606</v>
      </c>
      <c r="AK2842">
        <v>19.6015663349032</v>
      </c>
    </row>
    <row r="2843" spans="1:37" x14ac:dyDescent="0.2">
      <c r="A2843" t="str">
        <f>"20200111160211765"</f>
        <v>20200111160211765</v>
      </c>
      <c r="B2843" t="str">
        <f>"1578729731755122"</f>
        <v>1578729731755122</v>
      </c>
      <c r="C2843" t="s">
        <v>37</v>
      </c>
      <c r="D2843">
        <v>4.8500620000000003</v>
      </c>
      <c r="E2843">
        <v>0.52259509999999998</v>
      </c>
      <c r="F2843" t="s">
        <v>57</v>
      </c>
      <c r="G2843">
        <v>-260.2901</v>
      </c>
      <c r="H2843" s="1">
        <v>-1.2205729999999999E-6</v>
      </c>
      <c r="I2843">
        <v>210.91419999999999</v>
      </c>
      <c r="J2843">
        <v>-279.26339999999999</v>
      </c>
      <c r="K2843">
        <v>1.104582</v>
      </c>
      <c r="L2843">
        <v>213.95009999999999</v>
      </c>
      <c r="M2843">
        <v>0.99961639999999996</v>
      </c>
      <c r="N2843">
        <v>0</v>
      </c>
      <c r="O2843">
        <v>2.3856860000000001E-2</v>
      </c>
      <c r="P2843">
        <v>0.99857799999999997</v>
      </c>
      <c r="Q2843">
        <v>1.048055E-2</v>
      </c>
      <c r="R2843">
        <v>5.2272010000000001E-2</v>
      </c>
      <c r="S2843">
        <v>3.030853</v>
      </c>
      <c r="T2843">
        <v>-0.17403460000000001</v>
      </c>
      <c r="U2843">
        <v>-0.47732540000000001</v>
      </c>
      <c r="V2843">
        <v>-2.8435519999999999E-2</v>
      </c>
      <c r="W2843">
        <v>2.4547799999999901E-2</v>
      </c>
      <c r="X2843">
        <v>0.99929419999999902</v>
      </c>
      <c r="Y2843">
        <v>0.17876979999999901</v>
      </c>
      <c r="Z2843">
        <v>-6.4580779999999999E-3</v>
      </c>
      <c r="AA2843">
        <v>0.98386969999999996</v>
      </c>
      <c r="AB2843">
        <v>28</v>
      </c>
      <c r="AC2843">
        <v>18.973299999999899</v>
      </c>
      <c r="AD2843">
        <v>-1.104583220573</v>
      </c>
      <c r="AE2843">
        <v>-3.0358999999999901</v>
      </c>
      <c r="AF2843">
        <v>3.4762360100267999</v>
      </c>
      <c r="AG2843">
        <v>-1.104583220573</v>
      </c>
      <c r="AH2843">
        <v>18.833226485928598</v>
      </c>
      <c r="AI2843">
        <v>93.300962174062207</v>
      </c>
      <c r="AJ2843">
        <v>79.542054236927399</v>
      </c>
      <c r="AK2843">
        <v>19.183189014313101</v>
      </c>
    </row>
    <row r="2844" spans="1:37" x14ac:dyDescent="0.2">
      <c r="A2844" t="str">
        <f>"20200111160211790"</f>
        <v>20200111160211790</v>
      </c>
      <c r="B2844" t="str">
        <f>"1578729731784400"</f>
        <v>1578729731784400</v>
      </c>
      <c r="C2844" t="s">
        <v>37</v>
      </c>
      <c r="D2844">
        <v>4.6029059999999999</v>
      </c>
      <c r="E2844">
        <v>0.50058100000000005</v>
      </c>
      <c r="F2844" t="s">
        <v>42</v>
      </c>
      <c r="G2844">
        <v>-278.49669999999998</v>
      </c>
      <c r="H2844">
        <v>1.028578</v>
      </c>
      <c r="I2844">
        <v>213.94900000000001</v>
      </c>
      <c r="J2844">
        <v>-278.97059999999999</v>
      </c>
      <c r="K2844">
        <v>1.104584</v>
      </c>
      <c r="L2844">
        <v>213.9572</v>
      </c>
      <c r="M2844">
        <v>0.99961390000000006</v>
      </c>
      <c r="N2844">
        <v>0</v>
      </c>
      <c r="O2844">
        <v>2.3959330000000001E-2</v>
      </c>
      <c r="P2844">
        <v>0.99857099999999899</v>
      </c>
      <c r="Q2844">
        <v>1.092746E-2</v>
      </c>
      <c r="R2844">
        <v>5.2313320000000003E-2</v>
      </c>
      <c r="S2844">
        <v>3.0075989999999999</v>
      </c>
      <c r="T2844">
        <v>-0.29834179999999999</v>
      </c>
      <c r="U2844">
        <v>-3.0975339999999999E-3</v>
      </c>
      <c r="V2844">
        <v>-2.8374690000000001E-2</v>
      </c>
      <c r="W2844">
        <v>2.4991590000000001E-2</v>
      </c>
      <c r="X2844">
        <v>0.99928490000000003</v>
      </c>
      <c r="Y2844">
        <v>2.475223E-2</v>
      </c>
      <c r="Z2844">
        <v>-3.5955779999999999E-3</v>
      </c>
      <c r="AA2844">
        <v>0.99968709999999905</v>
      </c>
      <c r="AB2844">
        <v>28</v>
      </c>
      <c r="AC2844">
        <v>0.47390000000001398</v>
      </c>
      <c r="AD2844">
        <v>-7.6006000000000004E-2</v>
      </c>
      <c r="AE2844">
        <v>-8.1999999999879895E-3</v>
      </c>
      <c r="AF2844">
        <v>1.9062887631720499E-2</v>
      </c>
      <c r="AG2844">
        <v>-7.6006000000000004E-2</v>
      </c>
      <c r="AH2844">
        <v>0.46169480605773899</v>
      </c>
      <c r="AI2844">
        <v>99.340588076984901</v>
      </c>
      <c r="AJ2844">
        <v>87.635661131346097</v>
      </c>
      <c r="AK2844">
        <v>0.46829734107888399</v>
      </c>
    </row>
    <row r="2845" spans="1:37" x14ac:dyDescent="0.2">
      <c r="A2845" t="str">
        <f>"20200111160211812"</f>
        <v>20200111160211812</v>
      </c>
      <c r="B2845" t="str">
        <f>"1578729731804897"</f>
        <v>1578729731804897</v>
      </c>
      <c r="C2845" t="s">
        <v>37</v>
      </c>
      <c r="D2845">
        <v>4.7681649999999998</v>
      </c>
      <c r="E2845">
        <v>0.49601299999999998</v>
      </c>
      <c r="F2845" t="s">
        <v>57</v>
      </c>
      <c r="G2845">
        <v>-264.52910000000003</v>
      </c>
      <c r="H2845" s="1">
        <v>8.667345E-7</v>
      </c>
      <c r="I2845">
        <v>214.7688</v>
      </c>
      <c r="J2845">
        <v>-278.685</v>
      </c>
      <c r="K2845">
        <v>1.1045879999999999</v>
      </c>
      <c r="L2845">
        <v>213.96420000000001</v>
      </c>
      <c r="M2845">
        <v>0.99961149999999999</v>
      </c>
      <c r="N2845">
        <v>0</v>
      </c>
      <c r="O2845">
        <v>2.4059250000000001E-2</v>
      </c>
      <c r="P2845">
        <v>0.99855879999999997</v>
      </c>
      <c r="Q2845">
        <v>1.1563520000000001E-2</v>
      </c>
      <c r="R2845">
        <v>5.2411060000000002E-2</v>
      </c>
      <c r="S2845">
        <v>2.9979550000000001</v>
      </c>
      <c r="T2845">
        <v>-0.2293046</v>
      </c>
      <c r="U2845">
        <v>0.16848750000000001</v>
      </c>
      <c r="V2845">
        <v>-2.8372339999999999E-2</v>
      </c>
      <c r="W2845">
        <v>2.5624640000000001E-2</v>
      </c>
      <c r="X2845">
        <v>0.99926890000000002</v>
      </c>
      <c r="Y2845">
        <v>-3.2049059999999997E-2</v>
      </c>
      <c r="Z2845">
        <v>-6.1291239999999999E-4</v>
      </c>
      <c r="AA2845">
        <v>0.99948609999999904</v>
      </c>
      <c r="AB2845">
        <v>28</v>
      </c>
      <c r="AC2845">
        <v>14.1558999999999</v>
      </c>
      <c r="AD2845">
        <v>-1.1045871332655</v>
      </c>
      <c r="AE2845">
        <v>0.80459999999999299</v>
      </c>
      <c r="AF2845">
        <v>-0.46095540607653901</v>
      </c>
      <c r="AG2845">
        <v>-1.1045871332655</v>
      </c>
      <c r="AH2845">
        <v>14.0856741817936</v>
      </c>
      <c r="AI2845">
        <v>94.481522876090096</v>
      </c>
      <c r="AJ2845">
        <v>91.874342466946899</v>
      </c>
      <c r="AK2845">
        <v>14.1364355400155</v>
      </c>
    </row>
    <row r="2846" spans="1:37" x14ac:dyDescent="0.2">
      <c r="A2846" t="str">
        <f>"20200111160211832"</f>
        <v>20200111160211832</v>
      </c>
      <c r="B2846" t="str">
        <f>"1578729731824416"</f>
        <v>1578729731824416</v>
      </c>
      <c r="C2846" t="s">
        <v>37</v>
      </c>
      <c r="D2846">
        <v>4.6415620000000004</v>
      </c>
      <c r="E2846">
        <v>0.4939885</v>
      </c>
      <c r="F2846" t="s">
        <v>57</v>
      </c>
      <c r="G2846">
        <v>-263.70909999999998</v>
      </c>
      <c r="H2846" s="1">
        <v>4.2079450000000002E-7</v>
      </c>
      <c r="I2846">
        <v>214.9871</v>
      </c>
      <c r="J2846">
        <v>-278.43770000000001</v>
      </c>
      <c r="K2846">
        <v>1.104589</v>
      </c>
      <c r="L2846">
        <v>213.97020000000001</v>
      </c>
      <c r="M2846">
        <v>0.99960939999999998</v>
      </c>
      <c r="N2846">
        <v>0</v>
      </c>
      <c r="O2846">
        <v>2.4145389999999999E-2</v>
      </c>
      <c r="P2846">
        <v>0.99855300000000002</v>
      </c>
      <c r="Q2846">
        <v>1.151667E-2</v>
      </c>
      <c r="R2846">
        <v>5.2528279999999997E-2</v>
      </c>
      <c r="S2846">
        <v>2.9961549999999999</v>
      </c>
      <c r="T2846">
        <v>-0.22098879999999901</v>
      </c>
      <c r="U2846">
        <v>0.2046509</v>
      </c>
      <c r="V2846">
        <v>-2.840382E-2</v>
      </c>
      <c r="W2846">
        <v>2.5575540000000001E-2</v>
      </c>
      <c r="X2846">
        <v>0.99926930000000003</v>
      </c>
      <c r="Y2846">
        <v>-4.398059E-2</v>
      </c>
      <c r="Z2846">
        <v>-1.582353E-4</v>
      </c>
      <c r="AA2846">
        <v>0.99903240000000004</v>
      </c>
      <c r="AB2846">
        <v>28</v>
      </c>
      <c r="AC2846">
        <v>14.7286</v>
      </c>
      <c r="AD2846">
        <v>-1.1045885792054999</v>
      </c>
      <c r="AE2846">
        <v>1.0168999999999899</v>
      </c>
      <c r="AF2846">
        <v>-0.65726128090197999</v>
      </c>
      <c r="AG2846">
        <v>-1.1045885792054999</v>
      </c>
      <c r="AH2846">
        <v>14.666760280866599</v>
      </c>
      <c r="AI2846">
        <v>94.302648793137294</v>
      </c>
      <c r="AJ2846">
        <v>92.565878117285294</v>
      </c>
      <c r="AK2846">
        <v>14.722974069701101</v>
      </c>
    </row>
    <row r="2847" spans="1:37" x14ac:dyDescent="0.2">
      <c r="A2847" t="str">
        <f>"20200111160211852"</f>
        <v>20200111160211852</v>
      </c>
      <c r="B2847" t="str">
        <f>"1578729731844913"</f>
        <v>1578729731844913</v>
      </c>
      <c r="C2847" t="s">
        <v>37</v>
      </c>
      <c r="D2847">
        <v>4.8040219999999998</v>
      </c>
      <c r="E2847">
        <v>0.492137299999999</v>
      </c>
      <c r="F2847" t="s">
        <v>57</v>
      </c>
      <c r="G2847">
        <v>-263.3519</v>
      </c>
      <c r="H2847" s="1">
        <v>2.2651070000000001E-7</v>
      </c>
      <c r="I2847">
        <v>215.0831</v>
      </c>
      <c r="J2847">
        <v>-278.18009999999998</v>
      </c>
      <c r="K2847">
        <v>1.10459</v>
      </c>
      <c r="L2847">
        <v>213.97659999999999</v>
      </c>
      <c r="M2847">
        <v>0.99960729999999998</v>
      </c>
      <c r="N2847">
        <v>0</v>
      </c>
      <c r="O2847">
        <v>2.4235340000000001E-2</v>
      </c>
      <c r="P2847">
        <v>0.99853320000000001</v>
      </c>
      <c r="Q2847">
        <v>1.1800079999999999E-2</v>
      </c>
      <c r="R2847">
        <v>5.2840770000000002E-2</v>
      </c>
      <c r="S2847">
        <v>2.99523899999999</v>
      </c>
      <c r="T2847">
        <v>-0.2193127</v>
      </c>
      <c r="U2847">
        <v>0.22096250000000001</v>
      </c>
      <c r="V2847">
        <v>-2.862661E-2</v>
      </c>
      <c r="W2847">
        <v>2.5855820000000002E-2</v>
      </c>
      <c r="X2847">
        <v>0.99925569999999897</v>
      </c>
      <c r="Y2847">
        <v>-4.9310920000000001E-2</v>
      </c>
      <c r="Z2847" s="1">
        <v>3.10277099999999E-5</v>
      </c>
      <c r="AA2847">
        <v>0.99878349999999905</v>
      </c>
      <c r="AB2847">
        <v>28</v>
      </c>
      <c r="AC2847">
        <v>14.828199999999899</v>
      </c>
      <c r="AD2847">
        <v>-1.1045897734893</v>
      </c>
      <c r="AE2847">
        <v>1.10650000000001</v>
      </c>
      <c r="AF2847">
        <v>-0.74267452464788097</v>
      </c>
      <c r="AG2847">
        <v>-1.1045897734893</v>
      </c>
      <c r="AH2847">
        <v>14.7691606608089</v>
      </c>
      <c r="AI2847">
        <v>94.271827207845405</v>
      </c>
      <c r="AJ2847">
        <v>92.878721743979895</v>
      </c>
      <c r="AK2847">
        <v>14.8290185326623</v>
      </c>
    </row>
    <row r="2848" spans="1:37" x14ac:dyDescent="0.2">
      <c r="A2848" t="str">
        <f>"20200111160211876"</f>
        <v>20200111160211876</v>
      </c>
      <c r="B2848" t="str">
        <f>"1578729731864432"</f>
        <v>1578729731864432</v>
      </c>
      <c r="C2848" t="s">
        <v>37</v>
      </c>
      <c r="D2848">
        <v>4.6694239999999896</v>
      </c>
      <c r="E2848">
        <v>0.4917434</v>
      </c>
      <c r="F2848" t="s">
        <v>57</v>
      </c>
      <c r="G2848">
        <v>-262.89659999999998</v>
      </c>
      <c r="H2848" s="1">
        <v>-2.0126189999999999E-8</v>
      </c>
      <c r="I2848">
        <v>215.18350000000001</v>
      </c>
      <c r="J2848">
        <v>-277.91019999999997</v>
      </c>
      <c r="K2848">
        <v>1.1045940000000001</v>
      </c>
      <c r="L2848">
        <v>213.98320000000001</v>
      </c>
      <c r="M2848">
        <v>0.99960499999999997</v>
      </c>
      <c r="N2848">
        <v>0</v>
      </c>
      <c r="O2848">
        <v>2.4329239999999999E-2</v>
      </c>
      <c r="P2848">
        <v>0.99849560000000004</v>
      </c>
      <c r="Q2848">
        <v>1.2731330000000001E-2</v>
      </c>
      <c r="R2848">
        <v>5.3332589999999999E-2</v>
      </c>
      <c r="S2848">
        <v>2.9944759999999899</v>
      </c>
      <c r="T2848">
        <v>-0.216420899999999</v>
      </c>
      <c r="U2848">
        <v>0.2364655</v>
      </c>
      <c r="V2848">
        <v>-2.9025659999999998E-2</v>
      </c>
      <c r="W2848">
        <v>2.6783899999999999E-2</v>
      </c>
      <c r="X2848">
        <v>0.99921979999999999</v>
      </c>
      <c r="Y2848">
        <v>-5.4364889999999999E-2</v>
      </c>
      <c r="Z2848">
        <v>2.0599990000000001E-4</v>
      </c>
      <c r="AA2848">
        <v>0.99852109999999905</v>
      </c>
      <c r="AB2848">
        <v>28</v>
      </c>
      <c r="AC2848">
        <v>15.013599999999901</v>
      </c>
      <c r="AD2848">
        <v>-1.1045940201261899</v>
      </c>
      <c r="AE2848">
        <v>1.2002999999999899</v>
      </c>
      <c r="AF2848">
        <v>-0.83017384155775997</v>
      </c>
      <c r="AG2848">
        <v>-1.1045940201261899</v>
      </c>
      <c r="AH2848">
        <v>14.957907875533801</v>
      </c>
      <c r="AI2848">
        <v>94.216978907860096</v>
      </c>
      <c r="AJ2848">
        <v>93.176694818557195</v>
      </c>
      <c r="AK2848">
        <v>15.021595273787</v>
      </c>
    </row>
    <row r="2849" spans="1:37" x14ac:dyDescent="0.2">
      <c r="A2849" t="str">
        <f>"20200111160211898"</f>
        <v>20200111160211898</v>
      </c>
      <c r="B2849" t="str">
        <f>"1578729731894688"</f>
        <v>1578729731894688</v>
      </c>
      <c r="C2849" t="s">
        <v>37</v>
      </c>
      <c r="D2849">
        <v>4.6736089999999999</v>
      </c>
      <c r="E2849">
        <v>0.49031419999999998</v>
      </c>
      <c r="F2849" t="s">
        <v>57</v>
      </c>
      <c r="G2849">
        <v>-262.3263</v>
      </c>
      <c r="H2849" s="1">
        <v>-3.2599959999999901E-7</v>
      </c>
      <c r="I2849">
        <v>215.23699999999999</v>
      </c>
      <c r="J2849">
        <v>-277.63459999999998</v>
      </c>
      <c r="K2849">
        <v>1.1045940000000001</v>
      </c>
      <c r="L2849">
        <v>213.99</v>
      </c>
      <c r="M2849">
        <v>0.99960269999999996</v>
      </c>
      <c r="N2849">
        <v>0</v>
      </c>
      <c r="O2849">
        <v>2.4425329999999999E-2</v>
      </c>
      <c r="P2849">
        <v>0.99849359999999998</v>
      </c>
      <c r="Q2849">
        <v>1.292069E-2</v>
      </c>
      <c r="R2849">
        <v>5.3327840000000001E-2</v>
      </c>
      <c r="S2849">
        <v>2.994354</v>
      </c>
      <c r="T2849">
        <v>-0.2122405</v>
      </c>
      <c r="U2849">
        <v>0.2409058</v>
      </c>
      <c r="V2849">
        <v>-2.8924979999999999E-2</v>
      </c>
      <c r="W2849">
        <v>2.6970279999999999E-2</v>
      </c>
      <c r="X2849">
        <v>0.99921769999999999</v>
      </c>
      <c r="Y2849">
        <v>-5.5743180000000003E-2</v>
      </c>
      <c r="Z2849">
        <v>2.4395450000000001E-4</v>
      </c>
      <c r="AA2849">
        <v>0.99844509999999898</v>
      </c>
      <c r="AB2849">
        <v>28</v>
      </c>
      <c r="AC2849">
        <v>15.3082999999999</v>
      </c>
      <c r="AD2849">
        <v>-1.1045943259996001</v>
      </c>
      <c r="AE2849">
        <v>1.2469999999999799</v>
      </c>
      <c r="AF2849">
        <v>-0.86819012450605504</v>
      </c>
      <c r="AG2849">
        <v>-1.1045943259996001</v>
      </c>
      <c r="AH2849">
        <v>15.2552892220641</v>
      </c>
      <c r="AI2849">
        <v>94.134738134644607</v>
      </c>
      <c r="AJ2849">
        <v>93.257232920882799</v>
      </c>
      <c r="AK2849">
        <v>15.3198476482681</v>
      </c>
    </row>
    <row r="2850" spans="1:37" x14ac:dyDescent="0.2">
      <c r="A2850" t="str">
        <f>"20200111160211921"</f>
        <v>20200111160211921</v>
      </c>
      <c r="B2850" t="str">
        <f>"1578729731914208"</f>
        <v>1578729731914208</v>
      </c>
      <c r="C2850" t="s">
        <v>37</v>
      </c>
      <c r="D2850">
        <v>4.7384269999999997</v>
      </c>
      <c r="E2850">
        <v>0.48949419999999999</v>
      </c>
      <c r="F2850" t="s">
        <v>57</v>
      </c>
      <c r="G2850">
        <v>-261.63</v>
      </c>
      <c r="H2850" s="1">
        <v>-7.0098409999999996E-7</v>
      </c>
      <c r="I2850">
        <v>215.33920000000001</v>
      </c>
      <c r="J2850">
        <v>-277.35039999999998</v>
      </c>
      <c r="K2850">
        <v>1.104592</v>
      </c>
      <c r="L2850">
        <v>213.99709999999999</v>
      </c>
      <c r="M2850">
        <v>0.99960039999999994</v>
      </c>
      <c r="N2850">
        <v>0</v>
      </c>
      <c r="O2850">
        <v>2.4524589999999999E-2</v>
      </c>
      <c r="P2850">
        <v>0.99850059999999996</v>
      </c>
      <c r="Q2850">
        <v>1.237137E-2</v>
      </c>
      <c r="R2850">
        <v>5.332464E-2</v>
      </c>
      <c r="S2850">
        <v>2.9937130000000001</v>
      </c>
      <c r="T2850">
        <v>-0.20661750000000001</v>
      </c>
      <c r="U2850">
        <v>0.25236510000000001</v>
      </c>
      <c r="V2850">
        <v>-2.882202E-2</v>
      </c>
      <c r="W2850">
        <v>2.6418299999999999E-2</v>
      </c>
      <c r="X2850">
        <v>0.999235399999999</v>
      </c>
      <c r="Y2850">
        <v>-5.9452350000000001E-2</v>
      </c>
      <c r="Z2850">
        <v>3.5833489999999898E-4</v>
      </c>
      <c r="AA2850">
        <v>0.99823109999999904</v>
      </c>
      <c r="AB2850">
        <v>27</v>
      </c>
      <c r="AC2850">
        <v>15.7203999999999</v>
      </c>
      <c r="AD2850">
        <v>-1.1045927009840999</v>
      </c>
      <c r="AE2850">
        <v>1.3421000000000101</v>
      </c>
      <c r="AF2850">
        <v>-0.95145828352540196</v>
      </c>
      <c r="AG2850">
        <v>-1.1045927009840999</v>
      </c>
      <c r="AH2850">
        <v>15.6717743153055</v>
      </c>
      <c r="AI2850">
        <v>94.024322027947207</v>
      </c>
      <c r="AJ2850">
        <v>93.474253287644601</v>
      </c>
      <c r="AK2850">
        <v>15.7394379852086</v>
      </c>
    </row>
    <row r="2851" spans="1:37" x14ac:dyDescent="0.2">
      <c r="A2851" t="str">
        <f>"20200111160211942"</f>
        <v>20200111160211942</v>
      </c>
      <c r="B2851" t="str">
        <f>"1578729731934704"</f>
        <v>1578729731934704</v>
      </c>
      <c r="C2851" t="s">
        <v>37</v>
      </c>
      <c r="D2851">
        <v>4.6266230000000004</v>
      </c>
      <c r="E2851">
        <v>0.48964279999999999</v>
      </c>
      <c r="F2851" t="s">
        <v>57</v>
      </c>
      <c r="G2851">
        <v>-261.35520000000002</v>
      </c>
      <c r="H2851" s="1">
        <v>-8.4901419999999999E-7</v>
      </c>
      <c r="I2851">
        <v>215.3802</v>
      </c>
      <c r="J2851">
        <v>-277.08179999999999</v>
      </c>
      <c r="K2851">
        <v>1.1045849999999999</v>
      </c>
      <c r="L2851">
        <v>214.00380000000001</v>
      </c>
      <c r="M2851">
        <v>0.99959809999999905</v>
      </c>
      <c r="N2851">
        <v>0</v>
      </c>
      <c r="O2851">
        <v>2.4618359999999999E-2</v>
      </c>
      <c r="P2851">
        <v>0.99852649999999998</v>
      </c>
      <c r="Q2851">
        <v>1.1764810000000001E-2</v>
      </c>
      <c r="R2851">
        <v>5.2978360000000002E-2</v>
      </c>
      <c r="S2851">
        <v>2.9932560000000001</v>
      </c>
      <c r="T2851">
        <v>-0.20670740000000001</v>
      </c>
      <c r="U2851">
        <v>0.25881959999999998</v>
      </c>
      <c r="V2851">
        <v>-2.838125E-2</v>
      </c>
      <c r="W2851">
        <v>2.580911E-2</v>
      </c>
      <c r="X2851">
        <v>0.99926389999999998</v>
      </c>
      <c r="Y2851">
        <v>-6.1503620000000002E-2</v>
      </c>
      <c r="Z2851">
        <v>4.2268390000000001E-4</v>
      </c>
      <c r="AA2851">
        <v>0.99810679999999996</v>
      </c>
      <c r="AB2851">
        <v>27</v>
      </c>
      <c r="AC2851">
        <v>15.7265999999999</v>
      </c>
      <c r="AD2851">
        <v>-1.1045858490142</v>
      </c>
      <c r="AE2851">
        <v>1.3763999999999801</v>
      </c>
      <c r="AF2851">
        <v>-0.98396420908268301</v>
      </c>
      <c r="AG2851">
        <v>-1.1045858490142</v>
      </c>
      <c r="AH2851">
        <v>15.678961151643801</v>
      </c>
      <c r="AI2851">
        <v>94.021954270263393</v>
      </c>
      <c r="AJ2851">
        <v>93.5910005640457</v>
      </c>
      <c r="AK2851">
        <v>15.7485909927635</v>
      </c>
    </row>
    <row r="2852" spans="1:37" x14ac:dyDescent="0.2">
      <c r="A2852" t="str">
        <f>"20200111160211964"</f>
        <v>20200111160211964</v>
      </c>
      <c r="B2852" t="str">
        <f>"1578729731954224"</f>
        <v>1578729731954224</v>
      </c>
      <c r="C2852" t="s">
        <v>37</v>
      </c>
      <c r="D2852">
        <v>4.8625369999999997</v>
      </c>
      <c r="E2852">
        <v>0.48940519999999998</v>
      </c>
      <c r="F2852" t="s">
        <v>57</v>
      </c>
      <c r="G2852">
        <v>-261.41739999999999</v>
      </c>
      <c r="H2852" s="1">
        <v>-8.1442599999999996E-7</v>
      </c>
      <c r="I2852">
        <v>215.3467</v>
      </c>
      <c r="J2852">
        <v>-276.81529999999998</v>
      </c>
      <c r="K2852">
        <v>1.104582</v>
      </c>
      <c r="L2852">
        <v>214.01050000000001</v>
      </c>
      <c r="M2852">
        <v>0.99959589999999998</v>
      </c>
      <c r="N2852">
        <v>0</v>
      </c>
      <c r="O2852">
        <v>2.4711589999999999E-2</v>
      </c>
      <c r="P2852">
        <v>0.99854739999999997</v>
      </c>
      <c r="Q2852">
        <v>1.1404829999999999E-2</v>
      </c>
      <c r="R2852">
        <v>5.266241E-2</v>
      </c>
      <c r="S2852">
        <v>2.9932560000000001</v>
      </c>
      <c r="T2852">
        <v>-0.21107199999999901</v>
      </c>
      <c r="U2852">
        <v>0.25660709999999998</v>
      </c>
      <c r="V2852">
        <v>-2.797173E-2</v>
      </c>
      <c r="W2852">
        <v>2.5446360000000001E-2</v>
      </c>
      <c r="X2852">
        <v>0.99928479999999997</v>
      </c>
      <c r="Y2852">
        <v>-6.0676710000000002E-2</v>
      </c>
      <c r="Z2852">
        <v>3.9598109999999998E-4</v>
      </c>
      <c r="AA2852">
        <v>0.99815739999999997</v>
      </c>
      <c r="AB2852">
        <v>27</v>
      </c>
      <c r="AC2852">
        <v>15.3978999999999</v>
      </c>
      <c r="AD2852">
        <v>-1.1045828144259999</v>
      </c>
      <c r="AE2852">
        <v>1.3361999999999901</v>
      </c>
      <c r="AF2852">
        <v>-0.95039351172286402</v>
      </c>
      <c r="AG2852">
        <v>-1.1045828144259999</v>
      </c>
      <c r="AH2852">
        <v>15.347829470621599</v>
      </c>
      <c r="AI2852">
        <v>94.108635143985097</v>
      </c>
      <c r="AJ2852">
        <v>93.543438863519995</v>
      </c>
      <c r="AK2852">
        <v>15.4168485910815</v>
      </c>
    </row>
    <row r="2853" spans="1:37" x14ac:dyDescent="0.2">
      <c r="A2853" t="str">
        <f>"20200111160211987"</f>
        <v>20200111160211987</v>
      </c>
      <c r="B2853" t="str">
        <f>"1578729731984479"</f>
        <v>1578729731984479</v>
      </c>
      <c r="C2853" t="s">
        <v>37</v>
      </c>
      <c r="D2853">
        <v>4.8298230000000002</v>
      </c>
      <c r="E2853">
        <v>0.48965059999999899</v>
      </c>
      <c r="F2853" t="s">
        <v>57</v>
      </c>
      <c r="G2853">
        <v>-261.14139999999998</v>
      </c>
      <c r="H2853" s="1">
        <v>-9.6174229999999996E-7</v>
      </c>
      <c r="I2853">
        <v>215.35669999999999</v>
      </c>
      <c r="J2853">
        <v>-276.54140000000001</v>
      </c>
      <c r="K2853">
        <v>1.1045769999999999</v>
      </c>
      <c r="L2853">
        <v>214.01730000000001</v>
      </c>
      <c r="M2853">
        <v>0.99959359999999997</v>
      </c>
      <c r="N2853">
        <v>0</v>
      </c>
      <c r="O2853">
        <v>2.48075E-2</v>
      </c>
      <c r="P2853">
        <v>0.99857980000000002</v>
      </c>
      <c r="Q2853">
        <v>1.074579E-2</v>
      </c>
      <c r="R2853">
        <v>5.2185179999999998E-2</v>
      </c>
      <c r="S2853">
        <v>2.9931950000000001</v>
      </c>
      <c r="T2853">
        <v>-0.21093890000000001</v>
      </c>
      <c r="U2853">
        <v>0.25708009999999998</v>
      </c>
      <c r="V2853">
        <v>-2.739801E-2</v>
      </c>
      <c r="W2853">
        <v>2.4785189999999999E-2</v>
      </c>
      <c r="X2853">
        <v>0.99931729999999996</v>
      </c>
      <c r="Y2853">
        <v>-6.0739439999999999E-2</v>
      </c>
      <c r="Z2853">
        <v>3.9120799999999999E-4</v>
      </c>
      <c r="AA2853">
        <v>0.99815359999999997</v>
      </c>
      <c r="AB2853">
        <v>27</v>
      </c>
      <c r="AC2853">
        <v>15.4</v>
      </c>
      <c r="AD2853">
        <v>-1.1045779617422999</v>
      </c>
      <c r="AE2853">
        <v>1.3393999999999799</v>
      </c>
      <c r="AF2853">
        <v>-0.95205337696561998</v>
      </c>
      <c r="AG2853">
        <v>-1.1045779617422999</v>
      </c>
      <c r="AH2853">
        <v>15.350112853876601</v>
      </c>
      <c r="AI2853">
        <v>94.107983074990898</v>
      </c>
      <c r="AJ2853">
        <v>93.549085013923104</v>
      </c>
      <c r="AK2853">
        <v>15.419223804488499</v>
      </c>
    </row>
    <row r="2854" spans="1:37" x14ac:dyDescent="0.2">
      <c r="A2854" t="str">
        <f>"20200111160212011"</f>
        <v>20200111160212011</v>
      </c>
      <c r="B2854" t="str">
        <f>"1578729732004977"</f>
        <v>1578729732004977</v>
      </c>
      <c r="C2854" t="s">
        <v>37</v>
      </c>
      <c r="D2854">
        <v>4.7808169999999999</v>
      </c>
      <c r="E2854">
        <v>0.48931269999999999</v>
      </c>
      <c r="F2854" t="s">
        <v>57</v>
      </c>
      <c r="G2854">
        <v>-261.17500000000001</v>
      </c>
      <c r="H2854" s="1">
        <v>-9.4231560000000001E-7</v>
      </c>
      <c r="I2854">
        <v>215.32079999999999</v>
      </c>
      <c r="J2854">
        <v>-276.24489999999997</v>
      </c>
      <c r="K2854">
        <v>1.1045769999999999</v>
      </c>
      <c r="L2854">
        <v>214.0248</v>
      </c>
      <c r="M2854">
        <v>0.99959109999999995</v>
      </c>
      <c r="N2854">
        <v>0</v>
      </c>
      <c r="O2854">
        <v>2.4911050000000001E-2</v>
      </c>
      <c r="P2854">
        <v>0.99858799999999903</v>
      </c>
      <c r="Q2854">
        <v>1.01551E-2</v>
      </c>
      <c r="R2854">
        <v>5.2141970000000003E-2</v>
      </c>
      <c r="S2854">
        <v>2.9933169999999998</v>
      </c>
      <c r="T2854">
        <v>-0.21516679999999899</v>
      </c>
      <c r="U2854">
        <v>0.25390629999999997</v>
      </c>
      <c r="V2854">
        <v>-2.725116E-2</v>
      </c>
      <c r="W2854">
        <v>2.4191230000000001E-2</v>
      </c>
      <c r="X2854">
        <v>0.99933590000000005</v>
      </c>
      <c r="Y2854">
        <v>-5.9581500000000003E-2</v>
      </c>
      <c r="Z2854">
        <v>3.5011949999999998E-4</v>
      </c>
      <c r="AA2854">
        <v>0.99822339999999998</v>
      </c>
      <c r="AB2854">
        <v>27</v>
      </c>
      <c r="AC2854">
        <v>15.069899999999899</v>
      </c>
      <c r="AD2854">
        <v>-1.1045779423155999</v>
      </c>
      <c r="AE2854">
        <v>1.29599999999999</v>
      </c>
      <c r="AF2854">
        <v>-0.91527255485968095</v>
      </c>
      <c r="AG2854">
        <v>-1.1045779423155999</v>
      </c>
      <c r="AH2854">
        <v>15.0174224048569</v>
      </c>
      <c r="AI2854">
        <v>94.198943335722205</v>
      </c>
      <c r="AJ2854">
        <v>93.4877134673211</v>
      </c>
      <c r="AK2854">
        <v>15.085781118862499</v>
      </c>
    </row>
    <row r="2855" spans="1:37" x14ac:dyDescent="0.2">
      <c r="A2855" t="str">
        <f>"20200111160212032"</f>
        <v>20200111160212032</v>
      </c>
      <c r="B2855" t="str">
        <f>"1578729732024496"</f>
        <v>1578729732024496</v>
      </c>
      <c r="C2855" t="s">
        <v>37</v>
      </c>
      <c r="D2855">
        <v>4.786626</v>
      </c>
      <c r="E2855">
        <v>0.48900339999999998</v>
      </c>
      <c r="F2855" t="s">
        <v>57</v>
      </c>
      <c r="G2855">
        <v>-260.99599999999998</v>
      </c>
      <c r="H2855" s="1">
        <v>-1.038067E-6</v>
      </c>
      <c r="I2855">
        <v>215.33260000000001</v>
      </c>
      <c r="J2855">
        <v>-275.9853</v>
      </c>
      <c r="K2855">
        <v>1.1045739999999999</v>
      </c>
      <c r="L2855">
        <v>214.03139999999999</v>
      </c>
      <c r="M2855">
        <v>0.99958880000000006</v>
      </c>
      <c r="N2855">
        <v>0</v>
      </c>
      <c r="O2855">
        <v>2.5001599999999999E-2</v>
      </c>
      <c r="P2855">
        <v>0.99857209999999996</v>
      </c>
      <c r="Q2855">
        <v>1.0191230000000001E-2</v>
      </c>
      <c r="R2855">
        <v>5.2442419999999997E-2</v>
      </c>
      <c r="S2855">
        <v>2.993042</v>
      </c>
      <c r="T2855">
        <v>-0.216805899999999</v>
      </c>
      <c r="U2855">
        <v>0.2566833</v>
      </c>
      <c r="V2855">
        <v>-2.7461289999999999E-2</v>
      </c>
      <c r="W2855">
        <v>2.422508E-2</v>
      </c>
      <c r="X2855">
        <v>0.99932929999999998</v>
      </c>
      <c r="Y2855">
        <v>-6.0414969999999998E-2</v>
      </c>
      <c r="Z2855">
        <v>3.7636169999999999E-4</v>
      </c>
      <c r="AA2855">
        <v>0.99817330000000004</v>
      </c>
      <c r="AB2855">
        <v>27</v>
      </c>
      <c r="AC2855">
        <v>14.9893</v>
      </c>
      <c r="AD2855">
        <v>-1.1045750380670001</v>
      </c>
      <c r="AE2855">
        <v>1.3012000000000199</v>
      </c>
      <c r="AF2855">
        <v>-0.92103561256682798</v>
      </c>
      <c r="AG2855">
        <v>-1.1045750380670001</v>
      </c>
      <c r="AH2855">
        <v>14.936644345199101</v>
      </c>
      <c r="AI2855">
        <v>94.221374684868806</v>
      </c>
      <c r="AJ2855">
        <v>93.528551659955596</v>
      </c>
      <c r="AK2855">
        <v>15.005723471705901</v>
      </c>
    </row>
    <row r="2856" spans="1:37" x14ac:dyDescent="0.2">
      <c r="A2856" t="str">
        <f>"20200111160212054"</f>
        <v>20200111160212054</v>
      </c>
      <c r="B2856" t="str">
        <f>"1578729732044992"</f>
        <v>1578729732044992</v>
      </c>
      <c r="C2856" t="s">
        <v>37</v>
      </c>
      <c r="D2856">
        <v>4.8402779999999996</v>
      </c>
      <c r="E2856">
        <v>0.48859579999999903</v>
      </c>
      <c r="F2856" t="s">
        <v>57</v>
      </c>
      <c r="G2856">
        <v>-260.71179999999998</v>
      </c>
      <c r="H2856" s="1">
        <v>-1.190452E-6</v>
      </c>
      <c r="I2856">
        <v>215.3586</v>
      </c>
      <c r="J2856">
        <v>-275.72399999999999</v>
      </c>
      <c r="K2856">
        <v>1.1045719999999899</v>
      </c>
      <c r="L2856">
        <v>214.03799999999899</v>
      </c>
      <c r="M2856">
        <v>0.99958649999999905</v>
      </c>
      <c r="N2856">
        <v>0</v>
      </c>
      <c r="O2856">
        <v>2.5092690000000001E-2</v>
      </c>
      <c r="P2856">
        <v>0.9985676</v>
      </c>
      <c r="Q2856">
        <v>1.027314E-2</v>
      </c>
      <c r="R2856">
        <v>5.2509100000000003E-2</v>
      </c>
      <c r="S2856">
        <v>2.9928279999999998</v>
      </c>
      <c r="T2856">
        <v>-0.21644059999999901</v>
      </c>
      <c r="U2856">
        <v>0.26005549999999999</v>
      </c>
      <c r="V2856">
        <v>-2.7436450000000001E-2</v>
      </c>
      <c r="W2856">
        <v>2.4303729999999999E-2</v>
      </c>
      <c r="X2856">
        <v>0.99932809999999905</v>
      </c>
      <c r="Y2856">
        <v>-6.1444310000000002E-2</v>
      </c>
      <c r="Z2856">
        <v>4.0628410000000001E-4</v>
      </c>
      <c r="AA2856">
        <v>0.99811039999999995</v>
      </c>
      <c r="AB2856">
        <v>27</v>
      </c>
      <c r="AC2856">
        <v>15.0122</v>
      </c>
      <c r="AD2856">
        <v>-1.104573190452</v>
      </c>
      <c r="AE2856">
        <v>1.32060000000001</v>
      </c>
      <c r="AF2856">
        <v>-0.93840914800327002</v>
      </c>
      <c r="AG2856">
        <v>-1.104573190452</v>
      </c>
      <c r="AH2856">
        <v>14.9602433563803</v>
      </c>
      <c r="AI2856">
        <v>94.214455837309899</v>
      </c>
      <c r="AJ2856">
        <v>93.589281955165205</v>
      </c>
      <c r="AK2856">
        <v>15.0302885848623</v>
      </c>
    </row>
    <row r="2857" spans="1:37" x14ac:dyDescent="0.2">
      <c r="A2857" t="str">
        <f>"20200111160212077"</f>
        <v>20200111160212077</v>
      </c>
      <c r="B2857" t="str">
        <f>"1578729732064512"</f>
        <v>1578729732064512</v>
      </c>
      <c r="C2857" t="s">
        <v>37</v>
      </c>
      <c r="D2857">
        <v>4.8870779999999998</v>
      </c>
      <c r="E2857">
        <v>0.4882147</v>
      </c>
      <c r="F2857" t="s">
        <v>57</v>
      </c>
      <c r="G2857">
        <v>-260.4024</v>
      </c>
      <c r="H2857" s="1">
        <v>-1.356367E-6</v>
      </c>
      <c r="I2857">
        <v>215.38800000000001</v>
      </c>
      <c r="J2857">
        <v>-275.45249999999999</v>
      </c>
      <c r="K2857">
        <v>1.1045750000000001</v>
      </c>
      <c r="L2857">
        <v>214.04499999999999</v>
      </c>
      <c r="M2857">
        <v>0.99958409999999998</v>
      </c>
      <c r="N2857">
        <v>0</v>
      </c>
      <c r="O2857">
        <v>2.51875999999999E-2</v>
      </c>
      <c r="P2857">
        <v>0.99856919999999905</v>
      </c>
      <c r="Q2857">
        <v>1.0397419999999999E-2</v>
      </c>
      <c r="R2857">
        <v>5.2454109999999998E-2</v>
      </c>
      <c r="S2857">
        <v>2.9925839999999999</v>
      </c>
      <c r="T2857">
        <v>-0.2157432</v>
      </c>
      <c r="U2857">
        <v>0.26367190000000001</v>
      </c>
      <c r="V2857">
        <v>-2.7287220000000001E-2</v>
      </c>
      <c r="W2857">
        <v>2.4425289999999999E-2</v>
      </c>
      <c r="X2857">
        <v>0.99932919999999903</v>
      </c>
      <c r="Y2857">
        <v>-6.2551510000000005E-2</v>
      </c>
      <c r="Z2857">
        <v>4.3796349999999999E-4</v>
      </c>
      <c r="AA2857">
        <v>0.99804159999999997</v>
      </c>
      <c r="AB2857">
        <v>27</v>
      </c>
      <c r="AC2857">
        <v>15.050099999999899</v>
      </c>
      <c r="AD2857">
        <v>-1.1045763563669999</v>
      </c>
      <c r="AE2857">
        <v>1.34300000000001</v>
      </c>
      <c r="AF2857">
        <v>-0.95833917053857498</v>
      </c>
      <c r="AG2857">
        <v>-1.1045763563669999</v>
      </c>
      <c r="AH2857">
        <v>14.9989996093614</v>
      </c>
      <c r="AI2857">
        <v>94.203308970830903</v>
      </c>
      <c r="AJ2857">
        <v>93.655860666416899</v>
      </c>
      <c r="AK2857">
        <v>15.0701191824901</v>
      </c>
    </row>
    <row r="2858" spans="1:37" x14ac:dyDescent="0.2">
      <c r="A2858" t="str">
        <f>"20200111160212099"</f>
        <v>20200111160212099</v>
      </c>
      <c r="B2858" t="str">
        <f>"1578729732094768"</f>
        <v>1578729732094768</v>
      </c>
      <c r="C2858" t="s">
        <v>37</v>
      </c>
      <c r="D2858">
        <v>4.9405619999999999</v>
      </c>
      <c r="E2858">
        <v>0.48787579999999903</v>
      </c>
      <c r="F2858" t="s">
        <v>57</v>
      </c>
      <c r="G2858">
        <v>-259.99889999999999</v>
      </c>
      <c r="H2858" s="1">
        <v>-1.5725180000000001E-6</v>
      </c>
      <c r="I2858">
        <v>215.42009999999999</v>
      </c>
      <c r="J2858">
        <v>-275.17770000000002</v>
      </c>
      <c r="K2858">
        <v>1.1045799999999999</v>
      </c>
      <c r="L2858">
        <v>214.05199999999999</v>
      </c>
      <c r="M2858">
        <v>0.99958179999999996</v>
      </c>
      <c r="N2858">
        <v>0</v>
      </c>
      <c r="O2858">
        <v>2.528381E-2</v>
      </c>
      <c r="P2858">
        <v>0.99859209999999998</v>
      </c>
      <c r="Q2858">
        <v>1.0875849999999999E-2</v>
      </c>
      <c r="R2858">
        <v>5.1919670000000001E-2</v>
      </c>
      <c r="S2858">
        <v>2.9925229999999998</v>
      </c>
      <c r="T2858">
        <v>-0.21389659999999999</v>
      </c>
      <c r="U2858">
        <v>0.26629639999999999</v>
      </c>
      <c r="V2858">
        <v>-2.6655999999999999E-2</v>
      </c>
      <c r="W2858">
        <v>2.490055E-2</v>
      </c>
      <c r="X2858">
        <v>0.99933449999999902</v>
      </c>
      <c r="Y2858">
        <v>-6.3325629999999994E-2</v>
      </c>
      <c r="Z2858">
        <v>4.5494760000000002E-4</v>
      </c>
      <c r="AA2858">
        <v>0.99799280000000001</v>
      </c>
      <c r="AB2858">
        <v>27</v>
      </c>
      <c r="AC2858">
        <v>15.178800000000001</v>
      </c>
      <c r="AD2858">
        <v>-1.1045815725179999</v>
      </c>
      <c r="AE2858">
        <v>1.3680999999999699</v>
      </c>
      <c r="AF2858">
        <v>-0.97870572204338002</v>
      </c>
      <c r="AG2858">
        <v>-1.1045815725179999</v>
      </c>
      <c r="AH2858">
        <v>15.129067882916299</v>
      </c>
      <c r="AI2858">
        <v>94.167107700785607</v>
      </c>
      <c r="AJ2858">
        <v>93.701330492155506</v>
      </c>
      <c r="AK2858">
        <v>15.2008769597875</v>
      </c>
    </row>
    <row r="2859" spans="1:37" x14ac:dyDescent="0.2">
      <c r="A2859" t="str">
        <f>"20200111160212126"</f>
        <v>20200111160212126</v>
      </c>
      <c r="B2859" t="str">
        <f>"1578729732125025"</f>
        <v>1578729732125025</v>
      </c>
      <c r="C2859" t="s">
        <v>37</v>
      </c>
      <c r="D2859">
        <v>6.5492869999999996</v>
      </c>
      <c r="E2859">
        <v>0.48780180000000001</v>
      </c>
      <c r="F2859" t="s">
        <v>57</v>
      </c>
      <c r="G2859">
        <v>-259.57870000000003</v>
      </c>
      <c r="H2859" s="1">
        <v>3.5242530000000001E-6</v>
      </c>
      <c r="I2859">
        <v>215.4462</v>
      </c>
      <c r="J2859">
        <v>-274.84379999999999</v>
      </c>
      <c r="K2859">
        <v>1.104582</v>
      </c>
      <c r="L2859">
        <v>214.06059999999999</v>
      </c>
      <c r="M2859">
        <v>0.999579</v>
      </c>
      <c r="N2859">
        <v>0</v>
      </c>
      <c r="O2859">
        <v>2.539945E-2</v>
      </c>
      <c r="P2859">
        <v>0.99861959999999905</v>
      </c>
      <c r="Q2859">
        <v>1.09053E-2</v>
      </c>
      <c r="R2859">
        <v>5.1380879999999997E-2</v>
      </c>
      <c r="S2859">
        <v>2.992645</v>
      </c>
      <c r="T2859">
        <v>-0.21191109999999999</v>
      </c>
      <c r="U2859">
        <v>0.26747129999999902</v>
      </c>
      <c r="V2859">
        <v>-2.600075E-2</v>
      </c>
      <c r="W2859">
        <v>2.492724E-2</v>
      </c>
      <c r="X2859">
        <v>0.99935110000000005</v>
      </c>
      <c r="Y2859">
        <v>-6.3596719999999995E-2</v>
      </c>
      <c r="Z2859">
        <v>4.5212289999999999E-4</v>
      </c>
      <c r="AA2859">
        <v>0.99797559999999996</v>
      </c>
      <c r="AB2859">
        <v>27</v>
      </c>
      <c r="AC2859">
        <v>15.265099999999901</v>
      </c>
      <c r="AD2859">
        <v>-1.1045784757470001</v>
      </c>
      <c r="AE2859">
        <v>1.3856000000000099</v>
      </c>
      <c r="AF2859">
        <v>-0.992236783499721</v>
      </c>
      <c r="AG2859">
        <v>-1.1045784757470001</v>
      </c>
      <c r="AH2859">
        <v>15.216350479435</v>
      </c>
      <c r="AI2859">
        <v>94.143138266126897</v>
      </c>
      <c r="AJ2859">
        <v>93.730894946243595</v>
      </c>
      <c r="AK2859">
        <v>15.288621564961799</v>
      </c>
    </row>
    <row r="2860" spans="1:37" x14ac:dyDescent="0.2">
      <c r="A2860" t="str">
        <f>"20200111160212147"</f>
        <v>20200111160212147</v>
      </c>
      <c r="B2860" t="str">
        <f>"1578729732144544"</f>
        <v>1578729732144544</v>
      </c>
      <c r="C2860" t="s">
        <v>37</v>
      </c>
      <c r="D2860">
        <v>5.0092140000000001</v>
      </c>
      <c r="E2860">
        <v>0.55875819999999998</v>
      </c>
      <c r="F2860" t="s">
        <v>57</v>
      </c>
      <c r="G2860">
        <v>-259.22539999999998</v>
      </c>
      <c r="H2860" s="1">
        <v>3.3359819999999998E-6</v>
      </c>
      <c r="I2860">
        <v>215.45179999999999</v>
      </c>
      <c r="J2860">
        <v>-274.60210000000001</v>
      </c>
      <c r="K2860">
        <v>1.1045799999999999</v>
      </c>
      <c r="L2860">
        <v>214.0668</v>
      </c>
      <c r="M2860">
        <v>0.99957700000000005</v>
      </c>
      <c r="N2860">
        <v>0</v>
      </c>
      <c r="O2860">
        <v>2.547936E-2</v>
      </c>
      <c r="P2860">
        <v>0.9986526</v>
      </c>
      <c r="Q2860">
        <v>1.100133E-2</v>
      </c>
      <c r="R2860">
        <v>5.0720670000000002E-2</v>
      </c>
      <c r="S2860">
        <v>2.9927060000000001</v>
      </c>
      <c r="T2860">
        <v>-0.21165339999999999</v>
      </c>
      <c r="U2860">
        <v>0.266571</v>
      </c>
      <c r="V2860">
        <v>-2.5260169999999998E-2</v>
      </c>
      <c r="W2860">
        <v>2.5021149999999999E-2</v>
      </c>
      <c r="X2860">
        <v>0.99936769999999997</v>
      </c>
      <c r="Y2860">
        <v>-6.3218659999999996E-2</v>
      </c>
      <c r="Z2860">
        <v>4.3261449999999898E-4</v>
      </c>
      <c r="AA2860">
        <v>0.99799959999999899</v>
      </c>
      <c r="AB2860">
        <v>27</v>
      </c>
      <c r="AC2860">
        <v>15.3767</v>
      </c>
      <c r="AD2860">
        <v>-1.1045766640179999</v>
      </c>
      <c r="AE2860">
        <v>1.38499999999999</v>
      </c>
      <c r="AF2860">
        <v>-0.98766773566102495</v>
      </c>
      <c r="AG2860">
        <v>-1.1045766640179999</v>
      </c>
      <c r="AH2860">
        <v>15.3285377560003</v>
      </c>
      <c r="AI2860">
        <v>94.113118114284703</v>
      </c>
      <c r="AJ2860">
        <v>93.686657883162496</v>
      </c>
      <c r="AK2860">
        <v>15.399988535706299</v>
      </c>
    </row>
    <row r="2861" spans="1:37" x14ac:dyDescent="0.2">
      <c r="A2861" t="str">
        <f>"20200111160212167"</f>
        <v>20200111160212167</v>
      </c>
      <c r="B2861" t="str">
        <f>"1578729732154304"</f>
        <v>1578729732154304</v>
      </c>
      <c r="C2861" t="s">
        <v>37</v>
      </c>
      <c r="D2861">
        <v>4.9959680000000004</v>
      </c>
      <c r="E2861">
        <v>0.57015869999999902</v>
      </c>
      <c r="F2861" t="s">
        <v>57</v>
      </c>
      <c r="G2861">
        <v>-248.39250000000001</v>
      </c>
      <c r="H2861" s="1">
        <v>3.0696769999999899E-6</v>
      </c>
      <c r="I2861">
        <v>211.40469999999999</v>
      </c>
      <c r="J2861">
        <v>-274.36410000000001</v>
      </c>
      <c r="K2861">
        <v>1.1045700000000001</v>
      </c>
      <c r="L2861">
        <v>214.07299999999901</v>
      </c>
      <c r="M2861">
        <v>0.9995752</v>
      </c>
      <c r="N2861">
        <v>0</v>
      </c>
      <c r="O2861">
        <v>2.5550630000000001E-2</v>
      </c>
      <c r="P2861">
        <v>0.99871529999999997</v>
      </c>
      <c r="Q2861">
        <v>1.06467E-2</v>
      </c>
      <c r="R2861">
        <v>4.9545190000000003E-2</v>
      </c>
      <c r="S2861">
        <v>3.0210569999999999</v>
      </c>
      <c r="T2861">
        <v>-0.1273194</v>
      </c>
      <c r="U2861">
        <v>-0.30685419999999902</v>
      </c>
      <c r="V2861">
        <v>-2.4011830000000001E-2</v>
      </c>
      <c r="W2861">
        <v>2.466459E-2</v>
      </c>
      <c r="X2861">
        <v>0.99940739999999995</v>
      </c>
      <c r="Y2861">
        <v>0.12630769999999999</v>
      </c>
      <c r="Z2861">
        <v>-3.7274909999999999E-3</v>
      </c>
      <c r="AA2861">
        <v>0.99198410000000004</v>
      </c>
      <c r="AB2861">
        <v>27</v>
      </c>
      <c r="AC2861">
        <v>25.971599999999899</v>
      </c>
      <c r="AD2861">
        <v>-1.1045669303229999</v>
      </c>
      <c r="AE2861">
        <v>-2.6682999999999799</v>
      </c>
      <c r="AF2861">
        <v>3.32513305928956</v>
      </c>
      <c r="AG2861">
        <v>-1.1045669303229999</v>
      </c>
      <c r="AH2861">
        <v>25.848669620452</v>
      </c>
      <c r="AI2861">
        <v>92.426904685393893</v>
      </c>
      <c r="AJ2861">
        <v>82.669815195594097</v>
      </c>
      <c r="AK2861">
        <v>26.0850589248485</v>
      </c>
    </row>
    <row r="2862" spans="1:37" x14ac:dyDescent="0.2">
      <c r="A2862" t="str">
        <f>"20200111160212188"</f>
        <v>20200111160212188</v>
      </c>
      <c r="B2862" t="str">
        <f>"1578729732184560"</f>
        <v>1578729732184560</v>
      </c>
      <c r="C2862" t="s">
        <v>37</v>
      </c>
      <c r="D2862">
        <v>4.9088699999999896</v>
      </c>
      <c r="E2862">
        <v>0.5842984</v>
      </c>
      <c r="F2862" t="s">
        <v>57</v>
      </c>
      <c r="G2862">
        <v>-255.02930000000001</v>
      </c>
      <c r="H2862" s="1">
        <v>1.2746939999999899E-6</v>
      </c>
      <c r="I2862">
        <v>211.52420000000001</v>
      </c>
      <c r="J2862">
        <v>-274.10680000000002</v>
      </c>
      <c r="K2862">
        <v>1.1045590000000001</v>
      </c>
      <c r="L2862">
        <v>214.0796</v>
      </c>
      <c r="M2862">
        <v>0.99957359999999995</v>
      </c>
      <c r="N2862">
        <v>0</v>
      </c>
      <c r="O2862">
        <v>2.561474E-2</v>
      </c>
      <c r="P2862">
        <v>0.99876669999999901</v>
      </c>
      <c r="Q2862">
        <v>1.066839E-2</v>
      </c>
      <c r="R2862">
        <v>4.8492809999999997E-2</v>
      </c>
      <c r="S2862">
        <v>3.0254819999999998</v>
      </c>
      <c r="T2862">
        <v>-0.1728411</v>
      </c>
      <c r="U2862">
        <v>-0.39883420000000003</v>
      </c>
      <c r="V2862">
        <v>-2.2893810000000001E-2</v>
      </c>
      <c r="W2862">
        <v>2.4684609999999999E-2</v>
      </c>
      <c r="X2862">
        <v>0.99943309999999996</v>
      </c>
      <c r="Y2862">
        <v>0.15575799999999901</v>
      </c>
      <c r="Z2862">
        <v>-5.8828750000000001E-3</v>
      </c>
      <c r="AA2862">
        <v>0.98777769999999998</v>
      </c>
      <c r="AB2862">
        <v>27</v>
      </c>
      <c r="AC2862">
        <v>19.077500000000001</v>
      </c>
      <c r="AD2862">
        <v>-1.1045577253059999</v>
      </c>
      <c r="AE2862">
        <v>-2.5553999999999899</v>
      </c>
      <c r="AF2862">
        <v>3.0332855531298901</v>
      </c>
      <c r="AG2862">
        <v>-1.1045577253059999</v>
      </c>
      <c r="AH2862">
        <v>18.943393552891202</v>
      </c>
      <c r="AI2862">
        <v>93.295161400761401</v>
      </c>
      <c r="AJ2862">
        <v>80.902814738372001</v>
      </c>
      <c r="AK2862">
        <v>19.216478041386299</v>
      </c>
    </row>
    <row r="2863" spans="1:37" x14ac:dyDescent="0.2">
      <c r="A2863" t="str">
        <f>"20200111160212255"</f>
        <v>20200111160212255</v>
      </c>
      <c r="B2863" t="str">
        <f>"1578729732244604"</f>
        <v>1578729732244604</v>
      </c>
      <c r="C2863" t="s">
        <v>37</v>
      </c>
      <c r="D2863">
        <v>4.9391410000000002</v>
      </c>
      <c r="E2863">
        <v>0.58878540000000001</v>
      </c>
      <c r="F2863" t="s">
        <v>57</v>
      </c>
      <c r="G2863">
        <v>-258.49130000000002</v>
      </c>
      <c r="H2863" s="1">
        <v>3.1207479999999899E-6</v>
      </c>
      <c r="I2863">
        <v>211.4393</v>
      </c>
      <c r="J2863">
        <v>-273.30059999999997</v>
      </c>
      <c r="K2863">
        <v>1.1045229999999999</v>
      </c>
      <c r="L2863">
        <v>214.10040000000001</v>
      </c>
      <c r="M2863">
        <v>0.9995714</v>
      </c>
      <c r="N2863">
        <v>0</v>
      </c>
      <c r="O2863">
        <v>2.570358E-2</v>
      </c>
      <c r="P2863">
        <v>0.99883869999999897</v>
      </c>
      <c r="Q2863">
        <v>1.167061E-2</v>
      </c>
      <c r="R2863">
        <v>4.6747259999999999E-2</v>
      </c>
      <c r="S2863">
        <v>3.0308839999999999</v>
      </c>
      <c r="T2863">
        <v>-0.2143881</v>
      </c>
      <c r="U2863">
        <v>-0.51248170000000004</v>
      </c>
      <c r="V2863">
        <v>-2.10555999999999E-2</v>
      </c>
      <c r="W2863">
        <v>2.568088E-2</v>
      </c>
      <c r="X2863">
        <v>0.99944840000000001</v>
      </c>
      <c r="Y2863">
        <v>0.19148319999999999</v>
      </c>
      <c r="Z2863">
        <v>-8.5204080000000001E-3</v>
      </c>
      <c r="AA2863">
        <v>0.98145890000000002</v>
      </c>
      <c r="AB2863">
        <v>27</v>
      </c>
      <c r="AC2863">
        <v>14.809299999999901</v>
      </c>
      <c r="AD2863">
        <v>-1.1045198792519999</v>
      </c>
      <c r="AE2863">
        <v>-2.6610999999999998</v>
      </c>
      <c r="AF2863">
        <v>3.0246115719649</v>
      </c>
      <c r="AG2863">
        <v>-1.1045198792519999</v>
      </c>
      <c r="AH2863">
        <v>14.6570187008125</v>
      </c>
      <c r="AI2863">
        <v>94.220931585896196</v>
      </c>
      <c r="AJ2863">
        <v>78.340154695072798</v>
      </c>
      <c r="AK2863">
        <v>15.006546455493901</v>
      </c>
    </row>
    <row r="2864" spans="1:37" x14ac:dyDescent="0.2">
      <c r="A2864" t="str">
        <f>"20200111160212277"</f>
        <v>20200111160212277</v>
      </c>
      <c r="B2864" t="str">
        <f>"1578729732274859"</f>
        <v>1578729732274859</v>
      </c>
      <c r="C2864" t="s">
        <v>37</v>
      </c>
      <c r="D2864">
        <v>5.019984</v>
      </c>
      <c r="E2864">
        <v>0.59313749999999998</v>
      </c>
      <c r="F2864" t="s">
        <v>57</v>
      </c>
      <c r="G2864">
        <v>-258.39609999999999</v>
      </c>
      <c r="H2864" s="1">
        <v>3.0725569999999999E-6</v>
      </c>
      <c r="I2864">
        <v>211.38290000000001</v>
      </c>
      <c r="J2864">
        <v>-273.02839999999998</v>
      </c>
      <c r="K2864">
        <v>1.104519</v>
      </c>
      <c r="L2864">
        <v>214.10740000000001</v>
      </c>
      <c r="M2864">
        <v>0.99957149999999995</v>
      </c>
      <c r="N2864">
        <v>0</v>
      </c>
      <c r="O2864">
        <v>2.5701760000000001E-2</v>
      </c>
      <c r="P2864">
        <v>0.99883599999999995</v>
      </c>
      <c r="Q2864">
        <v>1.2019760000000001E-2</v>
      </c>
      <c r="R2864">
        <v>4.6714619999999998E-2</v>
      </c>
      <c r="S2864">
        <v>3.0320130000000001</v>
      </c>
      <c r="T2864">
        <v>-0.2246919</v>
      </c>
      <c r="U2864">
        <v>-0.55282589999999998</v>
      </c>
      <c r="V2864">
        <v>-2.1023960000000001E-2</v>
      </c>
      <c r="W2864">
        <v>2.6027430000000001E-2</v>
      </c>
      <c r="X2864">
        <v>0.99944009999999905</v>
      </c>
      <c r="Y2864">
        <v>0.20399029999999899</v>
      </c>
      <c r="Z2864">
        <v>-9.3743909999999993E-3</v>
      </c>
      <c r="AA2864">
        <v>0.97892800000000002</v>
      </c>
      <c r="AB2864">
        <v>27</v>
      </c>
      <c r="AC2864">
        <v>14.632299999999899</v>
      </c>
      <c r="AD2864">
        <v>-1.1045159274430001</v>
      </c>
      <c r="AE2864">
        <v>-2.7244999999999999</v>
      </c>
      <c r="AF2864">
        <v>3.0827358616354399</v>
      </c>
      <c r="AG2864">
        <v>-1.1045159274430001</v>
      </c>
      <c r="AH2864">
        <v>14.477704938179899</v>
      </c>
      <c r="AI2864">
        <v>94.267388670094405</v>
      </c>
      <c r="AJ2864">
        <v>77.979537032063305</v>
      </c>
      <c r="AK2864">
        <v>14.843421307218501</v>
      </c>
    </row>
    <row r="2865" spans="1:37" x14ac:dyDescent="0.2">
      <c r="A2865" t="str">
        <f>"20200111160212302"</f>
        <v>20200111160212302</v>
      </c>
      <c r="B2865" t="str">
        <f>"1578729732294380"</f>
        <v>1578729732294380</v>
      </c>
      <c r="C2865" t="s">
        <v>37</v>
      </c>
      <c r="D2865">
        <v>4.994688</v>
      </c>
      <c r="E2865">
        <v>0.59465190000000001</v>
      </c>
      <c r="F2865" t="s">
        <v>57</v>
      </c>
      <c r="G2865">
        <v>-258.10640000000001</v>
      </c>
      <c r="H2865" s="1">
        <v>2.92557599999999E-6</v>
      </c>
      <c r="I2865">
        <v>211.21789999999999</v>
      </c>
      <c r="J2865">
        <v>-272.73200000000003</v>
      </c>
      <c r="K2865">
        <v>1.1045049999999901</v>
      </c>
      <c r="L2865">
        <v>214.11500000000001</v>
      </c>
      <c r="M2865">
        <v>0.99957229999999997</v>
      </c>
      <c r="N2865">
        <v>0</v>
      </c>
      <c r="O2865">
        <v>2.567181E-2</v>
      </c>
      <c r="P2865">
        <v>0.99884069999999903</v>
      </c>
      <c r="Q2865">
        <v>1.210491E-2</v>
      </c>
      <c r="R2865">
        <v>4.659377E-2</v>
      </c>
      <c r="S2865">
        <v>3.0336609999999999</v>
      </c>
      <c r="T2865">
        <v>-0.22455</v>
      </c>
      <c r="U2865">
        <v>-0.58744810000000003</v>
      </c>
      <c r="V2865">
        <v>-2.0932409999999999E-2</v>
      </c>
      <c r="W2865">
        <v>2.610989E-2</v>
      </c>
      <c r="X2865">
        <v>0.99943989999999905</v>
      </c>
      <c r="Y2865">
        <v>0.2146207</v>
      </c>
      <c r="Z2865">
        <v>-9.7409149999999993E-3</v>
      </c>
      <c r="AA2865">
        <v>0.97664889999999904</v>
      </c>
      <c r="AB2865">
        <v>27</v>
      </c>
      <c r="AC2865">
        <v>14.6256</v>
      </c>
      <c r="AD2865">
        <v>-1.1045020744239999</v>
      </c>
      <c r="AE2865">
        <v>-2.89710000000002</v>
      </c>
      <c r="AF2865">
        <v>3.2537916023674001</v>
      </c>
      <c r="AG2865">
        <v>-1.1045020744239999</v>
      </c>
      <c r="AH2865">
        <v>14.467007020619601</v>
      </c>
      <c r="AI2865">
        <v>94.259843308673595</v>
      </c>
      <c r="AJ2865">
        <v>77.324460461125099</v>
      </c>
      <c r="AK2865">
        <v>14.8694780257647</v>
      </c>
    </row>
    <row r="2866" spans="1:37" x14ac:dyDescent="0.2">
      <c r="A2866" t="str">
        <f>"20200111160212323"</f>
        <v>20200111160212323</v>
      </c>
      <c r="B2866" t="str">
        <f>"1578729732314875"</f>
        <v>1578729732314875</v>
      </c>
      <c r="C2866" t="s">
        <v>37</v>
      </c>
      <c r="D2866">
        <v>5.0760709999999998</v>
      </c>
      <c r="E2866">
        <v>0.59578619999999904</v>
      </c>
      <c r="F2866" t="s">
        <v>57</v>
      </c>
      <c r="G2866">
        <v>-258.35509999999999</v>
      </c>
      <c r="H2866" s="1">
        <v>3.0554340000000001E-6</v>
      </c>
      <c r="I2866">
        <v>211.27510000000001</v>
      </c>
      <c r="J2866">
        <v>-272.476</v>
      </c>
      <c r="K2866">
        <v>1.1044860000000001</v>
      </c>
      <c r="L2866">
        <v>214.1216</v>
      </c>
      <c r="M2866">
        <v>0.99957389999999902</v>
      </c>
      <c r="N2866">
        <v>0</v>
      </c>
      <c r="O2866">
        <v>2.5614230000000002E-2</v>
      </c>
      <c r="P2866">
        <v>0.99883269999999902</v>
      </c>
      <c r="Q2866">
        <v>1.2826519999999999E-2</v>
      </c>
      <c r="R2866">
        <v>4.6574020000000001E-2</v>
      </c>
      <c r="S2866">
        <v>3.0342709999999999</v>
      </c>
      <c r="T2866">
        <v>-0.23310739999999999</v>
      </c>
      <c r="U2866">
        <v>-0.59936519999999904</v>
      </c>
      <c r="V2866">
        <v>-2.0968710000000002E-2</v>
      </c>
      <c r="W2866">
        <v>2.6829660000000002E-2</v>
      </c>
      <c r="X2866">
        <v>0.99941999999999998</v>
      </c>
      <c r="Y2866">
        <v>0.21816260000000001</v>
      </c>
      <c r="Z2866">
        <v>-1.023554E-2</v>
      </c>
      <c r="AA2866">
        <v>0.97585869999999997</v>
      </c>
      <c r="AB2866">
        <v>27</v>
      </c>
      <c r="AC2866">
        <v>14.120900000000001</v>
      </c>
      <c r="AD2866">
        <v>-1.104482944566</v>
      </c>
      <c r="AE2866">
        <v>-2.84649999999999</v>
      </c>
      <c r="AF2866">
        <v>3.1885521736900801</v>
      </c>
      <c r="AG2866">
        <v>-1.104482944566</v>
      </c>
      <c r="AH2866">
        <v>13.961271295301</v>
      </c>
      <c r="AI2866">
        <v>94.410186114176796</v>
      </c>
      <c r="AJ2866">
        <v>77.135121876121204</v>
      </c>
      <c r="AK2866">
        <v>14.3632810917344</v>
      </c>
    </row>
    <row r="2867" spans="1:37" x14ac:dyDescent="0.2">
      <c r="A2867" t="str">
        <f>"20200111160212343"</f>
        <v>20200111160212343</v>
      </c>
      <c r="B2867" t="str">
        <f>"1578729732334395"</f>
        <v>1578729732334395</v>
      </c>
      <c r="C2867" t="s">
        <v>37</v>
      </c>
      <c r="D2867">
        <v>5.0584059999999997</v>
      </c>
      <c r="E2867">
        <v>0.59676859999999998</v>
      </c>
      <c r="F2867" t="s">
        <v>57</v>
      </c>
      <c r="G2867">
        <v>-258.36959999999999</v>
      </c>
      <c r="H2867" s="1">
        <v>3.0622329999999999E-6</v>
      </c>
      <c r="I2867">
        <v>211.29560000000001</v>
      </c>
      <c r="J2867">
        <v>-272.23259999999999</v>
      </c>
      <c r="K2867">
        <v>1.1044639999999999</v>
      </c>
      <c r="L2867">
        <v>214.1277</v>
      </c>
      <c r="M2867">
        <v>0.99957600000000002</v>
      </c>
      <c r="N2867">
        <v>0</v>
      </c>
      <c r="O2867">
        <v>2.5526779999999999E-2</v>
      </c>
      <c r="P2867">
        <v>0.99880840000000004</v>
      </c>
      <c r="Q2867">
        <v>1.288744E-2</v>
      </c>
      <c r="R2867">
        <v>4.7068609999999997E-2</v>
      </c>
      <c r="S2867">
        <v>3.0349119999999998</v>
      </c>
      <c r="T2867">
        <v>-0.237623</v>
      </c>
      <c r="U2867">
        <v>-0.60798649999999999</v>
      </c>
      <c r="V2867">
        <v>-2.1549599999999999E-2</v>
      </c>
      <c r="W2867">
        <v>2.688925E-2</v>
      </c>
      <c r="X2867">
        <v>0.99940609999999996</v>
      </c>
      <c r="Y2867">
        <v>0.22067059999999999</v>
      </c>
      <c r="Z2867">
        <v>-1.051855E-2</v>
      </c>
      <c r="AA2867">
        <v>0.97529169999999998</v>
      </c>
      <c r="AB2867">
        <v>27</v>
      </c>
      <c r="AC2867">
        <v>13.863</v>
      </c>
      <c r="AD2867">
        <v>-1.1044609377669901</v>
      </c>
      <c r="AE2867">
        <v>-2.8320999999999898</v>
      </c>
      <c r="AF2867">
        <v>3.1658002980668201</v>
      </c>
      <c r="AG2867">
        <v>-1.1044609377669901</v>
      </c>
      <c r="AH2867">
        <v>13.702690152444699</v>
      </c>
      <c r="AI2867">
        <v>94.490397192473395</v>
      </c>
      <c r="AJ2867">
        <v>76.990929385667002</v>
      </c>
      <c r="AK2867">
        <v>14.1069430743942</v>
      </c>
    </row>
    <row r="2868" spans="1:37" x14ac:dyDescent="0.2">
      <c r="A2868" t="str">
        <f>"20200111160212367"</f>
        <v>20200111160212367</v>
      </c>
      <c r="B2868" t="str">
        <f>"1578729732354423"</f>
        <v>1578729732354423</v>
      </c>
      <c r="C2868" t="s">
        <v>37</v>
      </c>
      <c r="D2868">
        <v>5.0946639999999999</v>
      </c>
      <c r="E2868">
        <v>0.5976243</v>
      </c>
      <c r="F2868" t="s">
        <v>57</v>
      </c>
      <c r="G2868">
        <v>-258.3784</v>
      </c>
      <c r="H2868" s="1">
        <v>3.0656290000000001E-6</v>
      </c>
      <c r="I2868">
        <v>211.32550000000001</v>
      </c>
      <c r="J2868">
        <v>-271.96660000000003</v>
      </c>
      <c r="K2868">
        <v>1.104425</v>
      </c>
      <c r="L2868">
        <v>214.1344</v>
      </c>
      <c r="M2868">
        <v>0.99957960000000001</v>
      </c>
      <c r="N2868">
        <v>0</v>
      </c>
      <c r="O2868">
        <v>2.5391730000000001E-2</v>
      </c>
      <c r="P2868">
        <v>0.99879769999999901</v>
      </c>
      <c r="Q2868">
        <v>1.3179440000000001E-2</v>
      </c>
      <c r="R2868">
        <v>4.721968E-2</v>
      </c>
      <c r="S2868">
        <v>3.0356450000000001</v>
      </c>
      <c r="T2868">
        <v>-0.24200239999999901</v>
      </c>
      <c r="U2868">
        <v>-0.6140137</v>
      </c>
      <c r="V2868">
        <v>-2.1833459999999999E-2</v>
      </c>
      <c r="W2868">
        <v>2.7180010000000001E-2</v>
      </c>
      <c r="X2868">
        <v>0.99939210000000001</v>
      </c>
      <c r="Y2868">
        <v>0.222323299999999</v>
      </c>
      <c r="Z2868">
        <v>-1.0761690000000001E-2</v>
      </c>
      <c r="AA2868">
        <v>0.97491360000000005</v>
      </c>
      <c r="AB2868">
        <v>27</v>
      </c>
      <c r="AC2868">
        <v>13.588200000000001</v>
      </c>
      <c r="AD2868">
        <v>-1.104421934371</v>
      </c>
      <c r="AE2868">
        <v>-2.8088999999999902</v>
      </c>
      <c r="AF2868">
        <v>3.13320577971102</v>
      </c>
      <c r="AG2868">
        <v>-1.104421934371</v>
      </c>
      <c r="AH2868">
        <v>13.427420185378599</v>
      </c>
      <c r="AI2868">
        <v>94.5795835550432</v>
      </c>
      <c r="AJ2868">
        <v>76.865406820794405</v>
      </c>
      <c r="AK2868">
        <v>13.832293342098</v>
      </c>
    </row>
    <row r="2869" spans="1:37" x14ac:dyDescent="0.2">
      <c r="A2869" t="str">
        <f>"20200111160212390"</f>
        <v>20200111160212390</v>
      </c>
      <c r="B2869" t="str">
        <f>"1578729732384679"</f>
        <v>1578729732384679</v>
      </c>
      <c r="C2869" t="s">
        <v>37</v>
      </c>
      <c r="D2869">
        <v>5.1003160000000003</v>
      </c>
      <c r="E2869">
        <v>0.59859259999999903</v>
      </c>
      <c r="F2869" t="s">
        <v>57</v>
      </c>
      <c r="G2869">
        <v>-258.37670000000003</v>
      </c>
      <c r="H2869" s="1">
        <v>3.0632729999999999E-6</v>
      </c>
      <c r="I2869">
        <v>211.35929999999999</v>
      </c>
      <c r="J2869">
        <v>-271.69240000000002</v>
      </c>
      <c r="K2869">
        <v>1.1043879999999999</v>
      </c>
      <c r="L2869">
        <v>214.1412</v>
      </c>
      <c r="M2869">
        <v>0.99958429999999998</v>
      </c>
      <c r="N2869">
        <v>0</v>
      </c>
      <c r="O2869">
        <v>2.5205849999999998E-2</v>
      </c>
      <c r="P2869">
        <v>0.99878940000000005</v>
      </c>
      <c r="Q2869">
        <v>1.325342E-2</v>
      </c>
      <c r="R2869">
        <v>4.7370080000000002E-2</v>
      </c>
      <c r="S2869">
        <v>3.0361940000000001</v>
      </c>
      <c r="T2869">
        <v>-0.24674560000000001</v>
      </c>
      <c r="U2869">
        <v>-0.62001039999999996</v>
      </c>
      <c r="V2869">
        <v>-2.2166990000000001E-2</v>
      </c>
      <c r="W2869">
        <v>2.725342E-2</v>
      </c>
      <c r="X2869">
        <v>0.99938269999999996</v>
      </c>
      <c r="Y2869">
        <v>0.22392289999999901</v>
      </c>
      <c r="Z2869">
        <v>-1.101719E-2</v>
      </c>
      <c r="AA2869">
        <v>0.97454459999999998</v>
      </c>
      <c r="AB2869">
        <v>27</v>
      </c>
      <c r="AC2869">
        <v>13.3156999999999</v>
      </c>
      <c r="AD2869">
        <v>-1.104384936727</v>
      </c>
      <c r="AE2869">
        <v>-2.7818999999999998</v>
      </c>
      <c r="AF2869">
        <v>3.0962744631622399</v>
      </c>
      <c r="AG2869">
        <v>-1.104384936727</v>
      </c>
      <c r="AH2869">
        <v>13.154637701650101</v>
      </c>
      <c r="AI2869">
        <v>94.671876748706694</v>
      </c>
      <c r="AJ2869">
        <v>76.755082391621201</v>
      </c>
      <c r="AK2869">
        <v>13.559169395703201</v>
      </c>
    </row>
    <row r="2870" spans="1:37" x14ac:dyDescent="0.2">
      <c r="A2870" t="str">
        <f>"20200111160212412"</f>
        <v>20200111160212412</v>
      </c>
      <c r="B2870" t="str">
        <f>"1578729732405175"</f>
        <v>1578729732405175</v>
      </c>
      <c r="C2870" t="s">
        <v>37</v>
      </c>
      <c r="D2870">
        <v>5.1038379999999997</v>
      </c>
      <c r="E2870">
        <v>0.59923029999999999</v>
      </c>
      <c r="F2870" t="s">
        <v>57</v>
      </c>
      <c r="G2870">
        <v>-258.44670000000002</v>
      </c>
      <c r="H2870" s="1">
        <v>3.098367E-6</v>
      </c>
      <c r="I2870">
        <v>211.40729999999999</v>
      </c>
      <c r="J2870">
        <v>-271.41669999999999</v>
      </c>
      <c r="K2870">
        <v>1.10436</v>
      </c>
      <c r="L2870">
        <v>214.14789999999999</v>
      </c>
      <c r="M2870">
        <v>0.99959050000000005</v>
      </c>
      <c r="N2870">
        <v>0</v>
      </c>
      <c r="O2870">
        <v>2.496489E-2</v>
      </c>
      <c r="P2870">
        <v>0.99879059999999897</v>
      </c>
      <c r="Q2870">
        <v>1.359408E-2</v>
      </c>
      <c r="R2870">
        <v>4.7253950000000003E-2</v>
      </c>
      <c r="S2870">
        <v>3.0366819999999999</v>
      </c>
      <c r="T2870">
        <v>-0.25318879999999999</v>
      </c>
      <c r="U2870">
        <v>-0.62676999999999905</v>
      </c>
      <c r="V2870">
        <v>-2.2289730000000001E-2</v>
      </c>
      <c r="W2870">
        <v>2.7593280000000001E-2</v>
      </c>
      <c r="X2870">
        <v>0.99937069999999995</v>
      </c>
      <c r="Y2870">
        <v>0.22569249999999999</v>
      </c>
      <c r="Z2870">
        <v>-1.135268E-2</v>
      </c>
      <c r="AA2870">
        <v>0.97413249999999996</v>
      </c>
      <c r="AB2870">
        <v>27</v>
      </c>
      <c r="AC2870">
        <v>12.969999999999899</v>
      </c>
      <c r="AD2870">
        <v>-1.1043569016329999</v>
      </c>
      <c r="AE2870">
        <v>-2.7406000000000001</v>
      </c>
      <c r="AF2870">
        <v>3.0424568659426199</v>
      </c>
      <c r="AG2870">
        <v>-1.1043569016329999</v>
      </c>
      <c r="AH2870">
        <v>12.808637553890801</v>
      </c>
      <c r="AI2870">
        <v>94.795070356885802</v>
      </c>
      <c r="AJ2870">
        <v>76.638064755568394</v>
      </c>
      <c r="AK2870">
        <v>13.211258226764301</v>
      </c>
    </row>
    <row r="2871" spans="1:37" x14ac:dyDescent="0.2">
      <c r="A2871" t="str">
        <f>"20200111160212435"</f>
        <v>20200111160212435</v>
      </c>
      <c r="B2871" t="str">
        <f>"1578729732424695"</f>
        <v>1578729732424695</v>
      </c>
      <c r="C2871" t="s">
        <v>37</v>
      </c>
      <c r="D2871">
        <v>5.2456040000000002</v>
      </c>
      <c r="E2871">
        <v>0.59938840000000004</v>
      </c>
      <c r="F2871" t="s">
        <v>57</v>
      </c>
      <c r="G2871">
        <v>-258.32769999999999</v>
      </c>
      <c r="H2871" s="1">
        <v>3.0343209999999998E-6</v>
      </c>
      <c r="I2871">
        <v>211.4248</v>
      </c>
      <c r="J2871">
        <v>-271.15170000000001</v>
      </c>
      <c r="K2871">
        <v>1.1043339999999999</v>
      </c>
      <c r="L2871">
        <v>214.1542</v>
      </c>
      <c r="M2871">
        <v>0.99959719999999996</v>
      </c>
      <c r="N2871">
        <v>0</v>
      </c>
      <c r="O2871">
        <v>2.46950999999999E-2</v>
      </c>
      <c r="P2871">
        <v>0.99880749999999996</v>
      </c>
      <c r="Q2871">
        <v>1.426092E-2</v>
      </c>
      <c r="R2871">
        <v>4.6691610000000001E-2</v>
      </c>
      <c r="S2871">
        <v>3.0370180000000002</v>
      </c>
      <c r="T2871">
        <v>-0.25624330000000001</v>
      </c>
      <c r="U2871">
        <v>-0.63183590000000001</v>
      </c>
      <c r="V2871">
        <v>-2.1995299999999999E-2</v>
      </c>
      <c r="W2871">
        <v>2.8258200000000001E-2</v>
      </c>
      <c r="X2871">
        <v>0.99935869999999905</v>
      </c>
      <c r="Y2871">
        <v>0.22694310000000001</v>
      </c>
      <c r="Z2871">
        <v>-1.1515630000000001E-2</v>
      </c>
      <c r="AA2871">
        <v>0.97383989999999998</v>
      </c>
      <c r="AB2871">
        <v>27</v>
      </c>
      <c r="AC2871">
        <v>12.824</v>
      </c>
      <c r="AD2871">
        <v>-1.1043309656789999</v>
      </c>
      <c r="AE2871">
        <v>-2.7293999999999898</v>
      </c>
      <c r="AF2871">
        <v>3.0238363146446101</v>
      </c>
      <c r="AG2871">
        <v>-1.1043309656789999</v>
      </c>
      <c r="AH2871">
        <v>12.662844576248601</v>
      </c>
      <c r="AI2871">
        <v>94.848527715852597</v>
      </c>
      <c r="AJ2871">
        <v>76.569512922933598</v>
      </c>
      <c r="AK2871">
        <v>13.065633000423301</v>
      </c>
    </row>
    <row r="2872" spans="1:37" x14ac:dyDescent="0.2">
      <c r="A2872" t="str">
        <f>"20200111160212456"</f>
        <v>20200111160212456</v>
      </c>
      <c r="B2872" t="str">
        <f>"1578729732444721"</f>
        <v>1578729732444721</v>
      </c>
      <c r="C2872" t="s">
        <v>37</v>
      </c>
      <c r="D2872">
        <v>5.165241</v>
      </c>
      <c r="E2872">
        <v>0.58096190000000003</v>
      </c>
      <c r="F2872" t="s">
        <v>57</v>
      </c>
      <c r="G2872">
        <v>-258.05369999999999</v>
      </c>
      <c r="H2872" s="1">
        <v>2.888879E-6</v>
      </c>
      <c r="I2872">
        <v>211.41640000000001</v>
      </c>
      <c r="J2872">
        <v>-270.90499999999997</v>
      </c>
      <c r="K2872">
        <v>1.1043209999999899</v>
      </c>
      <c r="L2872">
        <v>214.16</v>
      </c>
      <c r="M2872">
        <v>0.99960400000000005</v>
      </c>
      <c r="N2872">
        <v>0</v>
      </c>
      <c r="O2872">
        <v>2.4415780000000002E-2</v>
      </c>
      <c r="P2872">
        <v>0.99882109999999902</v>
      </c>
      <c r="Q2872">
        <v>1.518254E-2</v>
      </c>
      <c r="R2872">
        <v>4.6106300000000003E-2</v>
      </c>
      <c r="S2872">
        <v>3.0369570000000001</v>
      </c>
      <c r="T2872">
        <v>-0.256055899999999</v>
      </c>
      <c r="U2872">
        <v>-0.63479609999999997</v>
      </c>
      <c r="V2872">
        <v>-2.1686879999999999E-2</v>
      </c>
      <c r="W2872">
        <v>2.9178119999999998E-2</v>
      </c>
      <c r="X2872">
        <v>0.99933890000000003</v>
      </c>
      <c r="Y2872">
        <v>0.2275847</v>
      </c>
      <c r="Z2872">
        <v>-1.1509770000000001E-2</v>
      </c>
      <c r="AA2872">
        <v>0.97369030000000001</v>
      </c>
      <c r="AB2872">
        <v>27</v>
      </c>
      <c r="AC2872">
        <v>12.851299999999901</v>
      </c>
      <c r="AD2872">
        <v>-1.1043181111210001</v>
      </c>
      <c r="AE2872">
        <v>-2.7435999999999798</v>
      </c>
      <c r="AF2872">
        <v>3.0351524069281899</v>
      </c>
      <c r="AG2872">
        <v>-1.1043181111210001</v>
      </c>
      <c r="AH2872">
        <v>12.690849526953899</v>
      </c>
      <c r="AI2872">
        <v>94.837426263721099</v>
      </c>
      <c r="AJ2872">
        <v>76.549744898172193</v>
      </c>
      <c r="AK2872">
        <v>13.095393477846301</v>
      </c>
    </row>
    <row r="2873" spans="1:37" x14ac:dyDescent="0.2">
      <c r="A2873" t="str">
        <f>"20200111160212478"</f>
        <v>20200111160212478</v>
      </c>
      <c r="B2873" t="str">
        <f>"1578729732474976"</f>
        <v>1578729732474976</v>
      </c>
      <c r="C2873" t="s">
        <v>37</v>
      </c>
      <c r="D2873">
        <v>5.2092159999999996</v>
      </c>
      <c r="E2873">
        <v>0.58202390000000004</v>
      </c>
      <c r="F2873" t="s">
        <v>42</v>
      </c>
      <c r="G2873">
        <v>-270.02080000000001</v>
      </c>
      <c r="H2873">
        <v>1.0245010000000001</v>
      </c>
      <c r="I2873">
        <v>214.01750000000001</v>
      </c>
      <c r="J2873">
        <v>-270.63380000000001</v>
      </c>
      <c r="K2873">
        <v>1.104311</v>
      </c>
      <c r="L2873">
        <v>214.1662</v>
      </c>
      <c r="M2873">
        <v>0.99961219999999995</v>
      </c>
      <c r="N2873">
        <v>0</v>
      </c>
      <c r="O2873">
        <v>2.40831E-2</v>
      </c>
      <c r="P2873">
        <v>0.99883140000000004</v>
      </c>
      <c r="Q2873">
        <v>1.616793E-2</v>
      </c>
      <c r="R2873">
        <v>4.5549880000000001E-2</v>
      </c>
      <c r="S2873">
        <v>3.03027299999999</v>
      </c>
      <c r="T2873">
        <v>-0.27353679999999903</v>
      </c>
      <c r="U2873">
        <v>-0.48834229999999901</v>
      </c>
      <c r="V2873">
        <v>-2.1461810000000001E-2</v>
      </c>
      <c r="W2873">
        <v>3.0161400000000001E-2</v>
      </c>
      <c r="X2873">
        <v>0.99931460000000005</v>
      </c>
      <c r="Y2873">
        <v>0.1820167</v>
      </c>
      <c r="Z2873">
        <v>-1.0303029999999999E-2</v>
      </c>
      <c r="AA2873">
        <v>0.98324140000000004</v>
      </c>
      <c r="AB2873">
        <v>27</v>
      </c>
      <c r="AC2873">
        <v>0.61299999999999899</v>
      </c>
      <c r="AD2873">
        <v>-7.9809999999999895E-2</v>
      </c>
      <c r="AE2873">
        <v>-0.14869999999999001</v>
      </c>
      <c r="AF2873">
        <v>0.16084627240508101</v>
      </c>
      <c r="AG2873">
        <v>-7.9809999999999895E-2</v>
      </c>
      <c r="AH2873">
        <v>0.599641064032578</v>
      </c>
      <c r="AI2873">
        <v>97.3253042161069</v>
      </c>
      <c r="AJ2873">
        <v>74.984584175575094</v>
      </c>
      <c r="AK2873">
        <v>0.625947733537499</v>
      </c>
    </row>
    <row r="2874" spans="1:37" x14ac:dyDescent="0.2">
      <c r="A2874" t="str">
        <f>"20200111160212501"</f>
        <v>20200111160212501</v>
      </c>
      <c r="B2874" t="str">
        <f>"1578729732494496"</f>
        <v>1578729732494496</v>
      </c>
      <c r="C2874" t="s">
        <v>37</v>
      </c>
      <c r="D2874">
        <v>5.1583160000000001</v>
      </c>
      <c r="E2874">
        <v>0.5829126</v>
      </c>
      <c r="F2874" t="s">
        <v>67</v>
      </c>
      <c r="G2874">
        <v>-168.4171</v>
      </c>
      <c r="H2874">
        <v>9.6993340000000003</v>
      </c>
      <c r="I2874">
        <v>196.21809999999999</v>
      </c>
      <c r="J2874">
        <v>-270.36160000000001</v>
      </c>
      <c r="K2874">
        <v>1.1042969999999901</v>
      </c>
      <c r="L2874">
        <v>214.17240000000001</v>
      </c>
      <c r="M2874">
        <v>0.99962059999999997</v>
      </c>
      <c r="N2874">
        <v>0</v>
      </c>
      <c r="O2874">
        <v>2.3731829999999999E-2</v>
      </c>
      <c r="P2874">
        <v>0.99887499999999996</v>
      </c>
      <c r="Q2874">
        <v>1.6134059999999999E-2</v>
      </c>
      <c r="R2874">
        <v>4.459254E-2</v>
      </c>
      <c r="S2874">
        <v>3.0236209999999999</v>
      </c>
      <c r="T2874">
        <v>0.25424600000000003</v>
      </c>
      <c r="U2874">
        <v>-0.53091429999999995</v>
      </c>
      <c r="V2874">
        <v>-2.085381E-2</v>
      </c>
      <c r="W2874">
        <v>3.0124700000000001E-2</v>
      </c>
      <c r="X2874">
        <v>0.99932860000000001</v>
      </c>
      <c r="Y2874">
        <v>0.19551949999999901</v>
      </c>
      <c r="Z2874">
        <v>1.012188E-2</v>
      </c>
      <c r="AA2874">
        <v>0.98064759999999995</v>
      </c>
      <c r="AB2874">
        <v>27</v>
      </c>
      <c r="AC2874">
        <v>101.94450000000001</v>
      </c>
      <c r="AD2874">
        <v>8.5950369999999996</v>
      </c>
      <c r="AE2874">
        <v>-17.9543</v>
      </c>
      <c r="AF2874">
        <v>20.229337535257599</v>
      </c>
      <c r="AG2874">
        <v>8.5950369999999996</v>
      </c>
      <c r="AH2874">
        <v>100.79472509255901</v>
      </c>
      <c r="AI2874">
        <v>85.220872128008494</v>
      </c>
      <c r="AJ2874">
        <v>78.651597755705097</v>
      </c>
      <c r="AK2874">
        <v>103.163352817903</v>
      </c>
    </row>
    <row r="2875" spans="1:37" x14ac:dyDescent="0.2">
      <c r="A2875" t="str">
        <f>"20200111160212523"</f>
        <v>20200111160212523</v>
      </c>
      <c r="B2875" t="str">
        <f>"1578729732514993"</f>
        <v>1578729732514993</v>
      </c>
      <c r="C2875" t="s">
        <v>37</v>
      </c>
      <c r="D2875">
        <v>5.1300739999999996</v>
      </c>
      <c r="E2875">
        <v>0.58290759999999997</v>
      </c>
      <c r="F2875" t="s">
        <v>67</v>
      </c>
      <c r="G2875">
        <v>-168.4143</v>
      </c>
      <c r="H2875">
        <v>1.5051270000000001</v>
      </c>
      <c r="I2875">
        <v>196.45429999999999</v>
      </c>
      <c r="J2875">
        <v>-270.10109999999997</v>
      </c>
      <c r="K2875">
        <v>1.10429</v>
      </c>
      <c r="L2875">
        <v>214.1782</v>
      </c>
      <c r="M2875">
        <v>0.99962879999999998</v>
      </c>
      <c r="N2875">
        <v>0</v>
      </c>
      <c r="O2875">
        <v>2.33867E-2</v>
      </c>
      <c r="P2875">
        <v>0.99891229999999998</v>
      </c>
      <c r="Q2875">
        <v>1.615012E-2</v>
      </c>
      <c r="R2875">
        <v>4.374695E-2</v>
      </c>
      <c r="S2875">
        <v>3.0266109999999999</v>
      </c>
      <c r="T2875">
        <v>1.190078E-2</v>
      </c>
      <c r="U2875">
        <v>-0.52601619999999905</v>
      </c>
      <c r="V2875">
        <v>-2.035203E-2</v>
      </c>
      <c r="W2875">
        <v>3.013805E-2</v>
      </c>
      <c r="X2875">
        <v>0.99933850000000002</v>
      </c>
      <c r="Y2875">
        <v>0.19422539999999999</v>
      </c>
      <c r="Z2875">
        <v>4.7033159999999998E-4</v>
      </c>
      <c r="AA2875">
        <v>0.98095679999999996</v>
      </c>
      <c r="AB2875">
        <v>26</v>
      </c>
      <c r="AC2875">
        <v>101.686799999999</v>
      </c>
      <c r="AD2875">
        <v>0.400837</v>
      </c>
      <c r="AE2875">
        <v>-17.7239</v>
      </c>
      <c r="AF2875">
        <v>20.097099357422799</v>
      </c>
      <c r="AG2875">
        <v>0.400837</v>
      </c>
      <c r="AH2875">
        <v>101.242911798977</v>
      </c>
      <c r="AI2875">
        <v>89.777499246324595</v>
      </c>
      <c r="AJ2875">
        <v>78.772521814940802</v>
      </c>
      <c r="AK2875">
        <v>103.219093497366</v>
      </c>
    </row>
    <row r="2876" spans="1:37" x14ac:dyDescent="0.2">
      <c r="A2876" t="str">
        <f>"20200111160212545"</f>
        <v>20200111160212545</v>
      </c>
      <c r="B2876" t="str">
        <f>"1578729732534514"</f>
        <v>1578729732534514</v>
      </c>
      <c r="C2876" t="s">
        <v>37</v>
      </c>
      <c r="D2876">
        <v>5.1152150000000001</v>
      </c>
      <c r="E2876">
        <v>0.58298509999999903</v>
      </c>
      <c r="F2876" t="s">
        <v>57</v>
      </c>
      <c r="G2876">
        <v>-232.0581</v>
      </c>
      <c r="H2876">
        <v>8.0001160000000002E-2</v>
      </c>
      <c r="I2876">
        <v>207.61359999999999</v>
      </c>
      <c r="J2876">
        <v>-269.84370000000001</v>
      </c>
      <c r="K2876">
        <v>1.1042780000000001</v>
      </c>
      <c r="L2876">
        <v>214.18389999999999</v>
      </c>
      <c r="M2876">
        <v>0.99963679999999999</v>
      </c>
      <c r="N2876">
        <v>0</v>
      </c>
      <c r="O2876">
        <v>2.3041889999999999E-2</v>
      </c>
      <c r="P2876">
        <v>0.99894459999999996</v>
      </c>
      <c r="Q2876">
        <v>1.591863E-2</v>
      </c>
      <c r="R2876">
        <v>4.3081510000000003E-2</v>
      </c>
      <c r="S2876">
        <v>3.02749599999999</v>
      </c>
      <c r="T2876">
        <v>-8.1513760000000005E-2</v>
      </c>
      <c r="U2876">
        <v>-0.52241519999999997</v>
      </c>
      <c r="V2876">
        <v>-2.0030510000000001E-2</v>
      </c>
      <c r="W2876">
        <v>2.9904030000000002E-2</v>
      </c>
      <c r="X2876">
        <v>0.99935200000000002</v>
      </c>
      <c r="Y2876">
        <v>0.1926312</v>
      </c>
      <c r="Z2876">
        <v>-3.189824E-3</v>
      </c>
      <c r="AA2876">
        <v>0.98126599999999997</v>
      </c>
      <c r="AB2876">
        <v>26</v>
      </c>
      <c r="AC2876">
        <v>37.785600000000002</v>
      </c>
      <c r="AD2876">
        <v>-1.02427684</v>
      </c>
      <c r="AE2876">
        <v>-6.5702999999999996</v>
      </c>
      <c r="AF2876">
        <v>7.4339895958055404</v>
      </c>
      <c r="AG2876">
        <v>-1.02427684</v>
      </c>
      <c r="AH2876">
        <v>37.597342523637401</v>
      </c>
      <c r="AI2876">
        <v>91.530917125991195</v>
      </c>
      <c r="AJ2876">
        <v>78.815375972180107</v>
      </c>
      <c r="AK2876">
        <v>38.338929421610402</v>
      </c>
    </row>
    <row r="2877" spans="1:37" x14ac:dyDescent="0.2">
      <c r="A2877" t="str">
        <f>"20200111160212569"</f>
        <v>20200111160212569</v>
      </c>
      <c r="B2877" t="str">
        <f>"1578729732564300"</f>
        <v>1578729732564300</v>
      </c>
      <c r="C2877" t="s">
        <v>37</v>
      </c>
      <c r="D2877">
        <v>5.1161709999999996</v>
      </c>
      <c r="E2877">
        <v>0.58241960000000004</v>
      </c>
      <c r="F2877" t="s">
        <v>57</v>
      </c>
      <c r="G2877">
        <v>-244.3323</v>
      </c>
      <c r="H2877" s="1">
        <v>9.7978669999999995E-7</v>
      </c>
      <c r="I2877">
        <v>209.78569999999999</v>
      </c>
      <c r="J2877">
        <v>-269.57369999999997</v>
      </c>
      <c r="K2877">
        <v>1.1042780000000001</v>
      </c>
      <c r="L2877">
        <v>214.18969999999999</v>
      </c>
      <c r="M2877">
        <v>0.99964529999999996</v>
      </c>
      <c r="N2877">
        <v>0</v>
      </c>
      <c r="O2877">
        <v>2.2678130000000001E-2</v>
      </c>
      <c r="P2877">
        <v>0.99897089999999999</v>
      </c>
      <c r="Q2877">
        <v>1.5766220000000001E-2</v>
      </c>
      <c r="R2877">
        <v>4.2533290000000001E-2</v>
      </c>
      <c r="S2877">
        <v>3.0278019999999999</v>
      </c>
      <c r="T2877">
        <v>-0.13106010000000001</v>
      </c>
      <c r="U2877">
        <v>-0.52198789999999995</v>
      </c>
      <c r="V2877">
        <v>-1.9845229999999998E-2</v>
      </c>
      <c r="W2877">
        <v>2.9748650000000001E-2</v>
      </c>
      <c r="X2877">
        <v>0.99936039999999904</v>
      </c>
      <c r="Y2877">
        <v>0.1920037</v>
      </c>
      <c r="Z2877">
        <v>-5.0976870000000001E-3</v>
      </c>
      <c r="AA2877">
        <v>0.98138099999999995</v>
      </c>
      <c r="AB2877">
        <v>26</v>
      </c>
      <c r="AC2877">
        <v>25.241399999999899</v>
      </c>
      <c r="AD2877">
        <v>-1.1042770202133001</v>
      </c>
      <c r="AE2877">
        <v>-4.4039999999999901</v>
      </c>
      <c r="AF2877">
        <v>4.9661266227218501</v>
      </c>
      <c r="AG2877">
        <v>-1.1042770202133001</v>
      </c>
      <c r="AH2877">
        <v>25.088423604610298</v>
      </c>
      <c r="AI2877">
        <v>92.472360377869293</v>
      </c>
      <c r="AJ2877">
        <v>78.803329443841704</v>
      </c>
      <c r="AK2877">
        <v>25.5990398322798</v>
      </c>
    </row>
    <row r="2878" spans="1:37" x14ac:dyDescent="0.2">
      <c r="A2878" t="str">
        <f>"20200111160212591"</f>
        <v>20200111160212591</v>
      </c>
      <c r="B2878" t="str">
        <f>"1578729732584796"</f>
        <v>1578729732584796</v>
      </c>
      <c r="C2878" t="s">
        <v>37</v>
      </c>
      <c r="D2878">
        <v>5.0903839999999896</v>
      </c>
      <c r="E2878">
        <v>0.58241960000000004</v>
      </c>
      <c r="F2878" t="s">
        <v>57</v>
      </c>
      <c r="G2878">
        <v>-250.35890000000001</v>
      </c>
      <c r="H2878" s="1">
        <v>-1.1838969999999999E-6</v>
      </c>
      <c r="I2878">
        <v>210.91229999999999</v>
      </c>
      <c r="J2878">
        <v>-269.30770000000001</v>
      </c>
      <c r="K2878">
        <v>1.104276</v>
      </c>
      <c r="L2878">
        <v>214.1953</v>
      </c>
      <c r="M2878">
        <v>0.99965329999999997</v>
      </c>
      <c r="N2878">
        <v>0</v>
      </c>
      <c r="O2878">
        <v>2.2320139999999999E-2</v>
      </c>
      <c r="P2878">
        <v>0.99896390000000002</v>
      </c>
      <c r="Q2878">
        <v>1.5907319999999999E-2</v>
      </c>
      <c r="R2878">
        <v>4.2646370000000003E-2</v>
      </c>
      <c r="S2878">
        <v>3.0278320000000001</v>
      </c>
      <c r="T2878">
        <v>-0.1740099</v>
      </c>
      <c r="U2878">
        <v>-0.51644899999999905</v>
      </c>
      <c r="V2878">
        <v>-2.0316919999999999E-2</v>
      </c>
      <c r="W2878">
        <v>2.9886869999999999E-2</v>
      </c>
      <c r="X2878">
        <v>0.99934679999999998</v>
      </c>
      <c r="Y2878">
        <v>0.18976119999999999</v>
      </c>
      <c r="Z2878">
        <v>-6.6825019999999999E-3</v>
      </c>
      <c r="AA2878">
        <v>0.98180750000000006</v>
      </c>
      <c r="AB2878">
        <v>26</v>
      </c>
      <c r="AC2878">
        <v>18.948799999999999</v>
      </c>
      <c r="AD2878">
        <v>-1.104277183897</v>
      </c>
      <c r="AE2878">
        <v>-3.2830000000000101</v>
      </c>
      <c r="AF2878">
        <v>3.6929864999225699</v>
      </c>
      <c r="AG2878">
        <v>-1.104277183897</v>
      </c>
      <c r="AH2878">
        <v>18.8087775869231</v>
      </c>
      <c r="AI2878">
        <v>93.297209075595205</v>
      </c>
      <c r="AJ2878">
        <v>78.891637211380299</v>
      </c>
      <c r="AK2878">
        <v>19.199679468726199</v>
      </c>
    </row>
    <row r="2879" spans="1:37" x14ac:dyDescent="0.2">
      <c r="A2879" t="str">
        <f>"20200111160212613"</f>
        <v>20200111160212613</v>
      </c>
      <c r="B2879" t="str">
        <f>"1578729732604315"</f>
        <v>1578729732604315</v>
      </c>
      <c r="C2879" t="s">
        <v>37</v>
      </c>
      <c r="D2879">
        <v>5.0372459999999997</v>
      </c>
      <c r="E2879">
        <v>0.50406079999999998</v>
      </c>
      <c r="F2879" t="s">
        <v>57</v>
      </c>
      <c r="G2879">
        <v>-250.03309999999999</v>
      </c>
      <c r="H2879" s="1">
        <v>-1.3571279999999901E-6</v>
      </c>
      <c r="I2879">
        <v>210.90940000000001</v>
      </c>
      <c r="J2879">
        <v>-269.04640000000001</v>
      </c>
      <c r="K2879">
        <v>1.1042780000000001</v>
      </c>
      <c r="L2879">
        <v>214.20079999999999</v>
      </c>
      <c r="M2879">
        <v>0.99966109999999897</v>
      </c>
      <c r="N2879">
        <v>0</v>
      </c>
      <c r="O2879">
        <v>2.1969989999999998E-2</v>
      </c>
      <c r="P2879">
        <v>0.99892380000000003</v>
      </c>
      <c r="Q2879">
        <v>1.5831149999999999E-2</v>
      </c>
      <c r="R2879">
        <v>4.3598829999999998E-2</v>
      </c>
      <c r="S2879">
        <v>3.0278930000000002</v>
      </c>
      <c r="T2879">
        <v>-0.17347370000000001</v>
      </c>
      <c r="U2879">
        <v>-0.51618960000000003</v>
      </c>
      <c r="V2879">
        <v>-2.1620250000000001E-2</v>
      </c>
      <c r="W2879">
        <v>2.9808230000000002E-2</v>
      </c>
      <c r="X2879">
        <v>0.99932180000000004</v>
      </c>
      <c r="Y2879">
        <v>0.18933559999999999</v>
      </c>
      <c r="Z2879">
        <v>-6.6298469999999899E-3</v>
      </c>
      <c r="AA2879">
        <v>0.98188999999999904</v>
      </c>
      <c r="AB2879">
        <v>26</v>
      </c>
      <c r="AC2879">
        <v>19.013300000000001</v>
      </c>
      <c r="AD2879">
        <v>-1.1042793571280001</v>
      </c>
      <c r="AE2879">
        <v>-3.2913999999999799</v>
      </c>
      <c r="AF2879">
        <v>3.6962626587792702</v>
      </c>
      <c r="AG2879">
        <v>-1.1042793571280001</v>
      </c>
      <c r="AH2879">
        <v>18.874575398120001</v>
      </c>
      <c r="AI2879">
        <v>93.286062800322</v>
      </c>
      <c r="AJ2879">
        <v>78.919825206321704</v>
      </c>
      <c r="AK2879">
        <v>19.264770618945398</v>
      </c>
    </row>
    <row r="2880" spans="1:37" x14ac:dyDescent="0.2">
      <c r="A2880" t="str">
        <f>"20200111160212636"</f>
        <v>20200111160212636</v>
      </c>
      <c r="B2880" t="str">
        <f>"1578729732624812"</f>
        <v>1578729732624812</v>
      </c>
      <c r="C2880" t="s">
        <v>37</v>
      </c>
      <c r="D2880">
        <v>5.0182060000000002</v>
      </c>
      <c r="E2880">
        <v>0.49932270000000001</v>
      </c>
      <c r="F2880" t="s">
        <v>42</v>
      </c>
      <c r="G2880">
        <v>-268.1397</v>
      </c>
      <c r="H2880">
        <v>1.025013</v>
      </c>
      <c r="I2880">
        <v>214.23599999999999</v>
      </c>
      <c r="J2880">
        <v>-268.77809999999999</v>
      </c>
      <c r="K2880">
        <v>1.104277</v>
      </c>
      <c r="L2880">
        <v>214.2062</v>
      </c>
      <c r="M2880">
        <v>0.99966889999999997</v>
      </c>
      <c r="N2880">
        <v>0</v>
      </c>
      <c r="O2880">
        <v>2.161358E-2</v>
      </c>
      <c r="P2880">
        <v>0.99888500000000002</v>
      </c>
      <c r="Q2880">
        <v>1.612676E-2</v>
      </c>
      <c r="R2880">
        <v>4.4368659999999997E-2</v>
      </c>
      <c r="S2880">
        <v>3.00228899999999</v>
      </c>
      <c r="T2880">
        <v>-0.26252189999999997</v>
      </c>
      <c r="U2880">
        <v>0.11752319999999999</v>
      </c>
      <c r="V2880">
        <v>-2.2746990000000002E-2</v>
      </c>
      <c r="W2880">
        <v>3.0100869999999998E-2</v>
      </c>
      <c r="X2880">
        <v>0.99928799999999995</v>
      </c>
      <c r="Y2880">
        <v>-1.7521869999999998E-2</v>
      </c>
      <c r="Z2880">
        <v>-1.1211509999999999E-3</v>
      </c>
      <c r="AA2880">
        <v>0.99984589999999995</v>
      </c>
      <c r="AB2880">
        <v>26</v>
      </c>
      <c r="AC2880">
        <v>0.63839999999998998</v>
      </c>
      <c r="AD2880">
        <v>-7.9264000000000001E-2</v>
      </c>
      <c r="AE2880">
        <v>2.97999999999944E-2</v>
      </c>
      <c r="AF2880">
        <v>-1.57512918396207E-2</v>
      </c>
      <c r="AG2880">
        <v>-7.9264000000000001E-2</v>
      </c>
      <c r="AH2880">
        <v>0.62921620286869595</v>
      </c>
      <c r="AI2880">
        <v>97.177653064063193</v>
      </c>
      <c r="AJ2880">
        <v>91.433996922202894</v>
      </c>
      <c r="AK2880">
        <v>0.63438467418681899</v>
      </c>
    </row>
    <row r="2881" spans="1:37" x14ac:dyDescent="0.2">
      <c r="A2881" t="str">
        <f>"20200111160212657"</f>
        <v>20200111160212657</v>
      </c>
      <c r="B2881" t="str">
        <f>"1578729732654599"</f>
        <v>1578729732654599</v>
      </c>
      <c r="C2881" t="s">
        <v>37</v>
      </c>
      <c r="D2881">
        <v>5.0500970000000001</v>
      </c>
      <c r="E2881">
        <v>0.49759769999999998</v>
      </c>
      <c r="F2881" t="s">
        <v>57</v>
      </c>
      <c r="G2881">
        <v>-255.7182</v>
      </c>
      <c r="H2881" s="1">
        <v>1.4941969999999999E-6</v>
      </c>
      <c r="I2881">
        <v>214.89019999999999</v>
      </c>
      <c r="J2881">
        <v>-268.53120000000001</v>
      </c>
      <c r="K2881">
        <v>1.104277</v>
      </c>
      <c r="L2881">
        <v>214.21119999999999</v>
      </c>
      <c r="M2881">
        <v>0.99967600000000001</v>
      </c>
      <c r="N2881">
        <v>0</v>
      </c>
      <c r="O2881">
        <v>2.1287629999999998E-2</v>
      </c>
      <c r="P2881">
        <v>0.99887859999999995</v>
      </c>
      <c r="Q2881">
        <v>1.53276E-2</v>
      </c>
      <c r="R2881">
        <v>4.4798249999999998E-2</v>
      </c>
      <c r="S2881">
        <v>3.0004580000000001</v>
      </c>
      <c r="T2881">
        <v>-0.2537025</v>
      </c>
      <c r="U2881">
        <v>0.157135</v>
      </c>
      <c r="V2881">
        <v>-2.350327E-2</v>
      </c>
      <c r="W2881">
        <v>2.9299660000000002E-2</v>
      </c>
      <c r="X2881">
        <v>0.99929429999999997</v>
      </c>
      <c r="Y2881">
        <v>-3.099174E-2</v>
      </c>
      <c r="Z2881">
        <v>-4.8833779999999999E-4</v>
      </c>
      <c r="AA2881">
        <v>0.99951950000000001</v>
      </c>
      <c r="AB2881">
        <v>26</v>
      </c>
      <c r="AC2881">
        <v>12.813000000000001</v>
      </c>
      <c r="AD2881">
        <v>-1.104275505803</v>
      </c>
      <c r="AE2881">
        <v>0.67900000000000205</v>
      </c>
      <c r="AF2881">
        <v>-0.40307560651163798</v>
      </c>
      <c r="AG2881">
        <v>-1.104275505803</v>
      </c>
      <c r="AH2881">
        <v>12.730260111929701</v>
      </c>
      <c r="AI2881">
        <v>94.955192556043997</v>
      </c>
      <c r="AJ2881">
        <v>91.813538595508206</v>
      </c>
      <c r="AK2881">
        <v>12.7844208650478</v>
      </c>
    </row>
    <row r="2882" spans="1:37" x14ac:dyDescent="0.2">
      <c r="A2882" t="str">
        <f>"20200111160212680"</f>
        <v>20200111160212680</v>
      </c>
      <c r="B2882" t="str">
        <f>"1578729732675095"</f>
        <v>1578729732675095</v>
      </c>
      <c r="C2882" t="s">
        <v>37</v>
      </c>
      <c r="D2882">
        <v>4.9313539999999998</v>
      </c>
      <c r="E2882">
        <v>0.49776809999999899</v>
      </c>
      <c r="F2882" t="s">
        <v>57</v>
      </c>
      <c r="G2882">
        <v>-255.30510000000001</v>
      </c>
      <c r="H2882" s="1">
        <v>1.270846E-6</v>
      </c>
      <c r="I2882">
        <v>214.9701</v>
      </c>
      <c r="J2882">
        <v>-268.25630000000001</v>
      </c>
      <c r="K2882">
        <v>1.104274</v>
      </c>
      <c r="L2882">
        <v>214.2166</v>
      </c>
      <c r="M2882">
        <v>0.99968359999999901</v>
      </c>
      <c r="N2882">
        <v>0</v>
      </c>
      <c r="O2882">
        <v>2.09270999999999E-2</v>
      </c>
      <c r="P2882">
        <v>0.99886779999999997</v>
      </c>
      <c r="Q2882">
        <v>1.5236329999999999E-2</v>
      </c>
      <c r="R2882">
        <v>4.5070289999999999E-2</v>
      </c>
      <c r="S2882">
        <v>2.9994509999999899</v>
      </c>
      <c r="T2882">
        <v>-0.2504305</v>
      </c>
      <c r="U2882">
        <v>0.1721039</v>
      </c>
      <c r="V2882">
        <v>-2.41365999999999E-2</v>
      </c>
      <c r="W2882">
        <v>2.9205289999999998E-2</v>
      </c>
      <c r="X2882">
        <v>0.999282</v>
      </c>
      <c r="Y2882">
        <v>-3.6323550000000003E-2</v>
      </c>
      <c r="Z2882">
        <v>-2.301068E-4</v>
      </c>
      <c r="AA2882">
        <v>0.99934009999999995</v>
      </c>
      <c r="AB2882">
        <v>26</v>
      </c>
      <c r="AC2882">
        <v>12.9512</v>
      </c>
      <c r="AD2882">
        <v>-1.104272729154</v>
      </c>
      <c r="AE2882">
        <v>0.75350000000000195</v>
      </c>
      <c r="AF2882">
        <v>-0.47880832094782</v>
      </c>
      <c r="AG2882">
        <v>-1.104272729154</v>
      </c>
      <c r="AH2882">
        <v>12.870878046433299</v>
      </c>
      <c r="AI2882">
        <v>94.900379728569803</v>
      </c>
      <c r="AJ2882">
        <v>92.130472462984997</v>
      </c>
      <c r="AK2882">
        <v>12.927032813245299</v>
      </c>
    </row>
    <row r="2883" spans="1:37" x14ac:dyDescent="0.2">
      <c r="A2883" t="str">
        <f>"20200111160212726"</f>
        <v>20200111160212726</v>
      </c>
      <c r="B2883" t="str">
        <f>"1578729732715110"</f>
        <v>1578729732715110</v>
      </c>
      <c r="C2883" t="s">
        <v>37</v>
      </c>
      <c r="D2883">
        <v>4.9664089999999996</v>
      </c>
      <c r="E2883">
        <v>0.49800489999999997</v>
      </c>
      <c r="F2883" t="s">
        <v>57</v>
      </c>
      <c r="G2883">
        <v>-255.0086</v>
      </c>
      <c r="H2883" s="1">
        <v>1.1129059999999999E-6</v>
      </c>
      <c r="I2883">
        <v>214.97389999999999</v>
      </c>
      <c r="J2883">
        <v>-267.7303</v>
      </c>
      <c r="K2883">
        <v>1.104293</v>
      </c>
      <c r="L2883">
        <v>214.2268</v>
      </c>
      <c r="M2883">
        <v>0.99969779999999997</v>
      </c>
      <c r="N2883">
        <v>0</v>
      </c>
      <c r="O2883">
        <v>2.023958E-2</v>
      </c>
      <c r="P2883">
        <v>0.99888339999999998</v>
      </c>
      <c r="Q2883">
        <v>1.6088890000000002E-2</v>
      </c>
      <c r="R2883">
        <v>4.4421200000000001E-2</v>
      </c>
      <c r="S2883">
        <v>2.9994809999999998</v>
      </c>
      <c r="T2883">
        <v>-0.25002429999999998</v>
      </c>
      <c r="U2883">
        <v>0.17144779999999901</v>
      </c>
      <c r="V2883">
        <v>-2.4174109999999999E-2</v>
      </c>
      <c r="W2883">
        <v>3.005178E-2</v>
      </c>
      <c r="X2883">
        <v>0.99925599999999903</v>
      </c>
      <c r="Y2883">
        <v>-3.6788550000000003E-2</v>
      </c>
      <c r="Z2883">
        <v>-1.532607E-4</v>
      </c>
      <c r="AA2883">
        <v>0.99932310000000002</v>
      </c>
      <c r="AB2883">
        <v>26</v>
      </c>
      <c r="AC2883">
        <v>12.721699999999901</v>
      </c>
      <c r="AD2883">
        <v>-1.1042918870939999</v>
      </c>
      <c r="AE2883">
        <v>0.747099999999989</v>
      </c>
      <c r="AF2883">
        <v>-0.48579218823510101</v>
      </c>
      <c r="AG2883">
        <v>-1.1042918870939999</v>
      </c>
      <c r="AH2883">
        <v>12.639307434517301</v>
      </c>
      <c r="AI2883">
        <v>94.989567401153494</v>
      </c>
      <c r="AJ2883">
        <v>92.201081706597094</v>
      </c>
      <c r="AK2883">
        <v>12.696753405745</v>
      </c>
    </row>
    <row r="2884" spans="1:37" x14ac:dyDescent="0.2">
      <c r="A2884" t="str">
        <f>"20200111160212752"</f>
        <v>20200111160212752</v>
      </c>
      <c r="B2884" t="str">
        <f>"1578729732744898"</f>
        <v>1578729732744898</v>
      </c>
      <c r="C2884" t="s">
        <v>37</v>
      </c>
      <c r="D2884">
        <v>4.9312969999999998</v>
      </c>
      <c r="E2884">
        <v>0.4980234</v>
      </c>
      <c r="F2884" t="s">
        <v>57</v>
      </c>
      <c r="G2884">
        <v>-252.78710000000001</v>
      </c>
      <c r="H2884" s="1">
        <v>-7.2702450000000003E-8</v>
      </c>
      <c r="I2884">
        <v>215.0531</v>
      </c>
      <c r="J2884">
        <v>-267.42129999999997</v>
      </c>
      <c r="K2884">
        <v>1.104304</v>
      </c>
      <c r="L2884">
        <v>214.23259999999999</v>
      </c>
      <c r="M2884">
        <v>0.99970609999999904</v>
      </c>
      <c r="N2884">
        <v>0</v>
      </c>
      <c r="O2884">
        <v>1.9835410000000001E-2</v>
      </c>
      <c r="P2884">
        <v>0.99890210000000002</v>
      </c>
      <c r="Q2884">
        <v>1.6586500000000001E-2</v>
      </c>
      <c r="R2884">
        <v>4.3813690000000002E-2</v>
      </c>
      <c r="S2884">
        <v>2.9995419999999999</v>
      </c>
      <c r="T2884">
        <v>-0.22166559999999999</v>
      </c>
      <c r="U2884">
        <v>0.16586300000000001</v>
      </c>
      <c r="V2884">
        <v>-2.3970289999999998E-2</v>
      </c>
      <c r="W2884">
        <v>3.0546029999999998E-2</v>
      </c>
      <c r="X2884">
        <v>0.99924590000000002</v>
      </c>
      <c r="Y2884">
        <v>-3.535166E-2</v>
      </c>
      <c r="Z2884">
        <v>-1.591241E-4</v>
      </c>
      <c r="AA2884">
        <v>0.99937489999999995</v>
      </c>
      <c r="AB2884">
        <v>26</v>
      </c>
      <c r="AC2884">
        <v>14.6341999999999</v>
      </c>
      <c r="AD2884">
        <v>-1.10430407270245</v>
      </c>
      <c r="AE2884">
        <v>0.820500000000009</v>
      </c>
      <c r="AF2884">
        <v>-0.52704325443093203</v>
      </c>
      <c r="AG2884">
        <v>-1.10430407270245</v>
      </c>
      <c r="AH2884">
        <v>14.5649198869259</v>
      </c>
      <c r="AI2884">
        <v>94.333013201780801</v>
      </c>
      <c r="AJ2884">
        <v>92.072389303896301</v>
      </c>
      <c r="AK2884">
        <v>14.616229109780599</v>
      </c>
    </row>
    <row r="2885" spans="1:37" x14ac:dyDescent="0.2">
      <c r="A2885" t="str">
        <f>"20200111160212776"</f>
        <v>20200111160212776</v>
      </c>
      <c r="B2885" t="str">
        <f>"1578729732764418"</f>
        <v>1578729732764418</v>
      </c>
      <c r="C2885" t="s">
        <v>37</v>
      </c>
      <c r="D2885">
        <v>4.9623049999999997</v>
      </c>
      <c r="E2885">
        <v>0.49803009999999898</v>
      </c>
      <c r="F2885" t="s">
        <v>57</v>
      </c>
      <c r="G2885">
        <v>-252.64349999999999</v>
      </c>
      <c r="H2885" s="1">
        <v>-1.48603E-7</v>
      </c>
      <c r="I2885">
        <v>215.04089999999999</v>
      </c>
      <c r="J2885">
        <v>-267.14760000000001</v>
      </c>
      <c r="K2885">
        <v>1.1043069999999999</v>
      </c>
      <c r="L2885">
        <v>214.23759999999999</v>
      </c>
      <c r="M2885">
        <v>0.99971290000000002</v>
      </c>
      <c r="N2885">
        <v>0</v>
      </c>
      <c r="O2885">
        <v>1.9477310000000001E-2</v>
      </c>
      <c r="P2885">
        <v>0.99891719999999895</v>
      </c>
      <c r="Q2885">
        <v>1.6706499999999999E-2</v>
      </c>
      <c r="R2885">
        <v>4.3419399999999997E-2</v>
      </c>
      <c r="S2885">
        <v>2.9997859999999998</v>
      </c>
      <c r="T2885">
        <v>-0.22416549999999999</v>
      </c>
      <c r="U2885">
        <v>0.16409299999999999</v>
      </c>
      <c r="V2885">
        <v>-2.393352E-2</v>
      </c>
      <c r="W2885">
        <v>3.0663280000000001E-2</v>
      </c>
      <c r="X2885">
        <v>0.999243199999999</v>
      </c>
      <c r="Y2885">
        <v>-3.5115960000000002E-2</v>
      </c>
      <c r="Z2885">
        <v>-1.4299899999999999E-4</v>
      </c>
      <c r="AA2885">
        <v>0.99938320000000003</v>
      </c>
      <c r="AB2885">
        <v>26</v>
      </c>
      <c r="AC2885">
        <v>14.504099999999999</v>
      </c>
      <c r="AD2885">
        <v>-1.1043071486029901</v>
      </c>
      <c r="AE2885">
        <v>0.80330000000000701</v>
      </c>
      <c r="AF2885">
        <v>-0.517627742250655</v>
      </c>
      <c r="AG2885">
        <v>-1.1043071486029901</v>
      </c>
      <c r="AH2885">
        <v>14.4335810536616</v>
      </c>
      <c r="AI2885">
        <v>94.372352140795201</v>
      </c>
      <c r="AJ2885">
        <v>92.053903323855593</v>
      </c>
      <c r="AK2885">
        <v>14.485016216443199</v>
      </c>
    </row>
    <row r="2886" spans="1:37" x14ac:dyDescent="0.2">
      <c r="A2886" t="str">
        <f>"20200111160212799"</f>
        <v>20200111160212799</v>
      </c>
      <c r="B2886" t="str">
        <f>"1578729732794674"</f>
        <v>1578729732794674</v>
      </c>
      <c r="C2886" t="s">
        <v>37</v>
      </c>
      <c r="D2886">
        <v>4.7873839999999896</v>
      </c>
      <c r="E2886">
        <v>0.49839459999999902</v>
      </c>
      <c r="F2886" t="s">
        <v>57</v>
      </c>
      <c r="G2886">
        <v>-252.43690000000001</v>
      </c>
      <c r="H2886" s="1">
        <v>-2.5834999999999998E-7</v>
      </c>
      <c r="I2886">
        <v>215.03569999999999</v>
      </c>
      <c r="J2886">
        <v>-266.8766</v>
      </c>
      <c r="K2886">
        <v>1.104306</v>
      </c>
      <c r="L2886">
        <v>214.24250000000001</v>
      </c>
      <c r="M2886">
        <v>0.99971989999999999</v>
      </c>
      <c r="N2886">
        <v>0</v>
      </c>
      <c r="O2886">
        <v>1.912206E-2</v>
      </c>
      <c r="P2886">
        <v>0.99893999999999905</v>
      </c>
      <c r="Q2886">
        <v>1.6433730000000001E-2</v>
      </c>
      <c r="R2886">
        <v>4.3001310000000001E-2</v>
      </c>
      <c r="S2886">
        <v>2.9999389999999999</v>
      </c>
      <c r="T2886">
        <v>-0.22519929999999999</v>
      </c>
      <c r="U2886">
        <v>0.16276550000000001</v>
      </c>
      <c r="V2886">
        <v>-2.3870829999999999E-2</v>
      </c>
      <c r="W2886">
        <v>3.0387319999999999E-2</v>
      </c>
      <c r="X2886">
        <v>0.99925309999999901</v>
      </c>
      <c r="Y2886">
        <v>-3.5026250000000002E-2</v>
      </c>
      <c r="Z2886">
        <v>-1.204095E-4</v>
      </c>
      <c r="AA2886">
        <v>0.99938640000000001</v>
      </c>
      <c r="AB2886">
        <v>26</v>
      </c>
      <c r="AC2886">
        <v>14.439699999999901</v>
      </c>
      <c r="AD2886">
        <v>-1.1043062583499901</v>
      </c>
      <c r="AE2886">
        <v>0.79319999999998403</v>
      </c>
      <c r="AF2886">
        <v>-0.51391456588768003</v>
      </c>
      <c r="AG2886">
        <v>-1.1043062583499901</v>
      </c>
      <c r="AH2886">
        <v>14.368443826332699</v>
      </c>
      <c r="AI2886">
        <v>94.392107643239001</v>
      </c>
      <c r="AJ2886">
        <v>92.048418711336197</v>
      </c>
      <c r="AK2886">
        <v>14.4199784494895</v>
      </c>
    </row>
    <row r="2887" spans="1:37" x14ac:dyDescent="0.2">
      <c r="A2887" t="str">
        <f>"20200111160212819"</f>
        <v>20200111160212819</v>
      </c>
      <c r="B2887" t="str">
        <f>"1578729732815170"</f>
        <v>1578729732815170</v>
      </c>
      <c r="C2887" t="s">
        <v>37</v>
      </c>
      <c r="D2887">
        <v>4.9738660000000001</v>
      </c>
      <c r="E2887">
        <v>0.49826480000000001</v>
      </c>
      <c r="F2887" t="s">
        <v>57</v>
      </c>
      <c r="G2887">
        <v>-252.2758</v>
      </c>
      <c r="H2887" s="1">
        <v>-3.4312690000000001E-7</v>
      </c>
      <c r="I2887">
        <v>215.01429999999999</v>
      </c>
      <c r="J2887">
        <v>-266.65219999999999</v>
      </c>
      <c r="K2887">
        <v>1.1042940000000001</v>
      </c>
      <c r="L2887">
        <v>214.24639999999999</v>
      </c>
      <c r="M2887">
        <v>0.99972559999999999</v>
      </c>
      <c r="N2887">
        <v>0</v>
      </c>
      <c r="O2887">
        <v>1.8827590000000002E-2</v>
      </c>
      <c r="P2887">
        <v>0.99893799999999899</v>
      </c>
      <c r="Q2887">
        <v>1.5733750000000001E-2</v>
      </c>
      <c r="R2887">
        <v>4.3309189999999997E-2</v>
      </c>
      <c r="S2887">
        <v>3.0001220000000002</v>
      </c>
      <c r="T2887">
        <v>-0.226908</v>
      </c>
      <c r="U2887">
        <v>0.15858459999999999</v>
      </c>
      <c r="V2887">
        <v>-2.447361E-2</v>
      </c>
      <c r="W2887">
        <v>2.968573E-2</v>
      </c>
      <c r="X2887">
        <v>0.99925969999999997</v>
      </c>
      <c r="Y2887">
        <v>-3.3930160000000001E-2</v>
      </c>
      <c r="Z2887">
        <v>-1.404675E-4</v>
      </c>
      <c r="AA2887">
        <v>0.99942419999999998</v>
      </c>
      <c r="AB2887">
        <v>26</v>
      </c>
      <c r="AC2887">
        <v>14.376399999999901</v>
      </c>
      <c r="AD2887">
        <v>-1.1042943431268999</v>
      </c>
      <c r="AE2887">
        <v>0.76789999999999703</v>
      </c>
      <c r="AF2887">
        <v>-0.49415725254064102</v>
      </c>
      <c r="AG2887">
        <v>-1.1042943431268999</v>
      </c>
      <c r="AH2887">
        <v>14.304152557085899</v>
      </c>
      <c r="AI2887">
        <v>94.411911500648799</v>
      </c>
      <c r="AJ2887">
        <v>91.978577161490705</v>
      </c>
      <c r="AK2887">
        <v>14.3552233616509</v>
      </c>
    </row>
    <row r="2888" spans="1:37" x14ac:dyDescent="0.2">
      <c r="A2888" t="str">
        <f>"20200111160212844"</f>
        <v>20200111160212844</v>
      </c>
      <c r="B2888" t="str">
        <f>"1578729732834690"</f>
        <v>1578729732834690</v>
      </c>
      <c r="C2888" t="s">
        <v>37</v>
      </c>
      <c r="D2888">
        <v>5.0006190000000004</v>
      </c>
      <c r="E2888">
        <v>0.498007799999999</v>
      </c>
      <c r="F2888" t="s">
        <v>57</v>
      </c>
      <c r="G2888">
        <v>-252.2287</v>
      </c>
      <c r="H2888" s="1">
        <v>-3.6838729999999998E-7</v>
      </c>
      <c r="I2888">
        <v>215.01859999999999</v>
      </c>
      <c r="J2888">
        <v>-266.34199999999998</v>
      </c>
      <c r="K2888">
        <v>1.104293</v>
      </c>
      <c r="L2888">
        <v>214.2518</v>
      </c>
      <c r="M2888">
        <v>0.99973330000000005</v>
      </c>
      <c r="N2888">
        <v>0</v>
      </c>
      <c r="O2888">
        <v>1.842061E-2</v>
      </c>
      <c r="P2888">
        <v>0.99894259999999901</v>
      </c>
      <c r="Q2888">
        <v>1.489623E-2</v>
      </c>
      <c r="R2888">
        <v>4.3498389999999998E-2</v>
      </c>
      <c r="S2888">
        <v>2.999908</v>
      </c>
      <c r="T2888">
        <v>-0.2296792</v>
      </c>
      <c r="U2888">
        <v>0.16059879999999899</v>
      </c>
      <c r="V2888">
        <v>-2.50703E-2</v>
      </c>
      <c r="W2888">
        <v>2.8844950000000001E-2</v>
      </c>
      <c r="X2888">
        <v>0.99926949999999903</v>
      </c>
      <c r="Y2888">
        <v>-3.5004489999999999E-2</v>
      </c>
      <c r="Z2888" s="1">
        <v>-7.0062930000000005E-5</v>
      </c>
      <c r="AA2888">
        <v>0.99938709999999997</v>
      </c>
      <c r="AB2888">
        <v>26</v>
      </c>
      <c r="AC2888">
        <v>14.113299999999899</v>
      </c>
      <c r="AD2888">
        <v>-1.1042933683873</v>
      </c>
      <c r="AE2888">
        <v>0.76679999999998905</v>
      </c>
      <c r="AF2888">
        <v>-0.50359498605995701</v>
      </c>
      <c r="AG2888">
        <v>-1.1042933683873</v>
      </c>
      <c r="AH2888">
        <v>14.0393317097147</v>
      </c>
      <c r="AI2888">
        <v>94.494582200493497</v>
      </c>
      <c r="AJ2888">
        <v>92.0543357912631</v>
      </c>
      <c r="AK2888">
        <v>14.0916963708721</v>
      </c>
    </row>
    <row r="2889" spans="1:37" x14ac:dyDescent="0.2">
      <c r="A2889" t="str">
        <f>"20200111160212865"</f>
        <v>20200111160212865</v>
      </c>
      <c r="B2889" t="str">
        <f>"1578729732854716"</f>
        <v>1578729732854716</v>
      </c>
      <c r="C2889" t="s">
        <v>37</v>
      </c>
      <c r="D2889">
        <v>4.9523429999999999</v>
      </c>
      <c r="E2889">
        <v>0.49769999999999998</v>
      </c>
      <c r="F2889" t="s">
        <v>57</v>
      </c>
      <c r="G2889">
        <v>-252.06639999999999</v>
      </c>
      <c r="H2889" s="1">
        <v>-4.551473E-7</v>
      </c>
      <c r="I2889">
        <v>215.02850000000001</v>
      </c>
      <c r="J2889">
        <v>-266.11329999999998</v>
      </c>
      <c r="K2889">
        <v>1.1042889999999901</v>
      </c>
      <c r="L2889">
        <v>214.25569999999999</v>
      </c>
      <c r="M2889">
        <v>0.99973880000000004</v>
      </c>
      <c r="N2889">
        <v>0</v>
      </c>
      <c r="O2889">
        <v>1.8120480000000001E-2</v>
      </c>
      <c r="P2889">
        <v>0.99895820000000002</v>
      </c>
      <c r="Q2889">
        <v>1.432453E-2</v>
      </c>
      <c r="R2889">
        <v>4.3333129999999997E-2</v>
      </c>
      <c r="S2889">
        <v>2.9995419999999999</v>
      </c>
      <c r="T2889">
        <v>-0.2320306</v>
      </c>
      <c r="U2889">
        <v>0.1631927</v>
      </c>
      <c r="V2889">
        <v>-2.5205089999999999E-2</v>
      </c>
      <c r="W2889">
        <v>2.8271069999999999E-2</v>
      </c>
      <c r="X2889">
        <v>0.99928249999999996</v>
      </c>
      <c r="Y2889">
        <v>-3.6167390000000001E-2</v>
      </c>
      <c r="Z2889" s="1">
        <v>-2.7455389999999998E-6</v>
      </c>
      <c r="AA2889">
        <v>0.9993457</v>
      </c>
      <c r="AB2889">
        <v>26</v>
      </c>
      <c r="AC2889">
        <v>14.0468999999999</v>
      </c>
      <c r="AD2889">
        <v>-1.1042894551472999</v>
      </c>
      <c r="AE2889">
        <v>0.77280000000001703</v>
      </c>
      <c r="AF2889">
        <v>-0.51493898846824604</v>
      </c>
      <c r="AG2889">
        <v>-1.1042894551472999</v>
      </c>
      <c r="AH2889">
        <v>13.9725053029831</v>
      </c>
      <c r="AI2889">
        <v>94.515813220440293</v>
      </c>
      <c r="AJ2889">
        <v>92.110608200622906</v>
      </c>
      <c r="AK2889">
        <v>14.025531070319101</v>
      </c>
    </row>
    <row r="2890" spans="1:37" x14ac:dyDescent="0.2">
      <c r="A2890" t="str">
        <f>"20200111160212885"</f>
        <v>20200111160212885</v>
      </c>
      <c r="B2890" t="str">
        <f>"1578729732875214"</f>
        <v>1578729732875214</v>
      </c>
      <c r="C2890" t="s">
        <v>37</v>
      </c>
      <c r="D2890">
        <v>4.9998079999999998</v>
      </c>
      <c r="E2890">
        <v>0.47651019999999999</v>
      </c>
      <c r="F2890" t="s">
        <v>57</v>
      </c>
      <c r="G2890">
        <v>-251.96879999999999</v>
      </c>
      <c r="H2890" s="1">
        <v>-5.0741189999999997E-7</v>
      </c>
      <c r="I2890">
        <v>215.035</v>
      </c>
      <c r="J2890">
        <v>-265.87580000000003</v>
      </c>
      <c r="K2890">
        <v>1.104284</v>
      </c>
      <c r="L2890">
        <v>214.25960000000001</v>
      </c>
      <c r="M2890">
        <v>0.99974439999999998</v>
      </c>
      <c r="N2890">
        <v>0</v>
      </c>
      <c r="O2890">
        <v>1.7808669999999999E-2</v>
      </c>
      <c r="P2890">
        <v>0.99897409999999998</v>
      </c>
      <c r="Q2890">
        <v>1.424868E-2</v>
      </c>
      <c r="R2890">
        <v>4.2985699999999898E-2</v>
      </c>
      <c r="S2890">
        <v>2.9993289999999999</v>
      </c>
      <c r="T2890">
        <v>-0.23416279999999901</v>
      </c>
      <c r="U2890">
        <v>0.16523740000000001</v>
      </c>
      <c r="V2890">
        <v>-2.5169400000000001E-2</v>
      </c>
      <c r="W2890">
        <v>2.81929E-2</v>
      </c>
      <c r="X2890">
        <v>0.9992856</v>
      </c>
      <c r="Y2890">
        <v>-3.7157210000000003E-2</v>
      </c>
      <c r="Z2890" s="1">
        <v>6.0063319999999898E-5</v>
      </c>
      <c r="AA2890">
        <v>0.99930940000000001</v>
      </c>
      <c r="AB2890">
        <v>26</v>
      </c>
      <c r="AC2890">
        <v>13.907</v>
      </c>
      <c r="AD2890">
        <v>-1.1042845074119001</v>
      </c>
      <c r="AE2890">
        <v>0.77539999999998999</v>
      </c>
      <c r="AF2890">
        <v>-0.52429231485708105</v>
      </c>
      <c r="AG2890">
        <v>-1.1042845074119001</v>
      </c>
      <c r="AH2890">
        <v>13.831663920219301</v>
      </c>
      <c r="AI2890">
        <v>94.561403918547896</v>
      </c>
      <c r="AJ2890">
        <v>92.170770078320302</v>
      </c>
      <c r="AK2890">
        <v>13.885577175855</v>
      </c>
    </row>
    <row r="2891" spans="1:37" x14ac:dyDescent="0.2">
      <c r="A2891" t="str">
        <f>"20200111160212906"</f>
        <v>20200111160212906</v>
      </c>
      <c r="B2891" t="str">
        <f>"1578729732894732"</f>
        <v>1578729732894732</v>
      </c>
      <c r="C2891" t="s">
        <v>37</v>
      </c>
      <c r="D2891">
        <v>5.1421130000000002</v>
      </c>
      <c r="E2891">
        <v>0.47661700000000001</v>
      </c>
      <c r="F2891" t="s">
        <v>57</v>
      </c>
      <c r="G2891">
        <v>-249.57749999999999</v>
      </c>
      <c r="H2891" s="1">
        <v>3.4965609999999899E-6</v>
      </c>
      <c r="I2891">
        <v>216.06450000000001</v>
      </c>
      <c r="J2891">
        <v>-265.62959999999998</v>
      </c>
      <c r="K2891">
        <v>1.1042920000000001</v>
      </c>
      <c r="L2891">
        <v>214.2637</v>
      </c>
      <c r="M2891">
        <v>0.99975009999999997</v>
      </c>
      <c r="N2891">
        <v>0</v>
      </c>
      <c r="O2891">
        <v>1.7485359999999998E-2</v>
      </c>
      <c r="P2891">
        <v>0.99897990000000003</v>
      </c>
      <c r="Q2891">
        <v>1.4110589999999999E-2</v>
      </c>
      <c r="R2891">
        <v>4.2894120000000001E-2</v>
      </c>
      <c r="S2891">
        <v>2.99173</v>
      </c>
      <c r="T2891">
        <v>-0.2027023</v>
      </c>
      <c r="U2891">
        <v>0.3312988</v>
      </c>
      <c r="V2891">
        <v>-2.5400599999999999E-2</v>
      </c>
      <c r="W2891">
        <v>2.8052290000000001E-2</v>
      </c>
      <c r="X2891">
        <v>0.9992837</v>
      </c>
      <c r="Y2891">
        <v>-9.2497969999999999E-2</v>
      </c>
      <c r="Z2891">
        <v>1.9409289999999899E-3</v>
      </c>
      <c r="AA2891">
        <v>0.99571100000000001</v>
      </c>
      <c r="AB2891">
        <v>26</v>
      </c>
      <c r="AC2891">
        <v>16.0520999999999</v>
      </c>
      <c r="AD2891">
        <v>-1.104288503439</v>
      </c>
      <c r="AE2891">
        <v>1.8008</v>
      </c>
      <c r="AF2891">
        <v>-1.5127503761790499</v>
      </c>
      <c r="AG2891">
        <v>-1.104288503439</v>
      </c>
      <c r="AH2891">
        <v>16.0063258632944</v>
      </c>
      <c r="AI2891">
        <v>93.929171824133206</v>
      </c>
      <c r="AJ2891">
        <v>95.398960852850294</v>
      </c>
      <c r="AK2891">
        <v>16.1155308457842</v>
      </c>
    </row>
    <row r="2892" spans="1:37" x14ac:dyDescent="0.2">
      <c r="A2892" t="str">
        <f>"20200111160212930"</f>
        <v>20200111160212930</v>
      </c>
      <c r="B2892" t="str">
        <f>"1578729732924989"</f>
        <v>1578729732924989</v>
      </c>
      <c r="C2892" t="s">
        <v>37</v>
      </c>
      <c r="D2892">
        <v>4.9654449999999999</v>
      </c>
      <c r="E2892">
        <v>0.47668299999999902</v>
      </c>
      <c r="F2892" t="s">
        <v>57</v>
      </c>
      <c r="G2892">
        <v>-249.47550000000001</v>
      </c>
      <c r="H2892" s="1">
        <v>3.4431219999999999E-6</v>
      </c>
      <c r="I2892">
        <v>216.0462</v>
      </c>
      <c r="J2892">
        <v>-265.35809999999998</v>
      </c>
      <c r="K2892">
        <v>1.104295</v>
      </c>
      <c r="L2892">
        <v>214.268</v>
      </c>
      <c r="M2892">
        <v>0.99975630000000004</v>
      </c>
      <c r="N2892">
        <v>0</v>
      </c>
      <c r="O2892">
        <v>1.7128440000000002E-2</v>
      </c>
      <c r="P2892">
        <v>0.99897959999999997</v>
      </c>
      <c r="Q2892">
        <v>1.429557E-2</v>
      </c>
      <c r="R2892">
        <v>4.2844609999999998E-2</v>
      </c>
      <c r="S2892">
        <v>2.9917910000000001</v>
      </c>
      <c r="T2892">
        <v>-0.2045178</v>
      </c>
      <c r="U2892">
        <v>0.33012390000000003</v>
      </c>
      <c r="V2892">
        <v>-2.5708290000000002E-2</v>
      </c>
      <c r="W2892">
        <v>2.8234849999999999E-2</v>
      </c>
      <c r="X2892">
        <v>0.99927069999999996</v>
      </c>
      <c r="Y2892">
        <v>-9.2461100000000004E-2</v>
      </c>
      <c r="Z2892">
        <v>1.9813040000000001E-3</v>
      </c>
      <c r="AA2892">
        <v>0.99571430000000005</v>
      </c>
      <c r="AB2892">
        <v>26</v>
      </c>
      <c r="AC2892">
        <v>15.882599999999901</v>
      </c>
      <c r="AD2892">
        <v>-1.1042915568780001</v>
      </c>
      <c r="AE2892">
        <v>1.77819999999999</v>
      </c>
      <c r="AF2892">
        <v>-1.49871315300575</v>
      </c>
      <c r="AG2892">
        <v>-1.1042915568780001</v>
      </c>
      <c r="AH2892">
        <v>15.835127819498499</v>
      </c>
      <c r="AI2892">
        <v>93.9714767326371</v>
      </c>
      <c r="AJ2892">
        <v>95.406644715339397</v>
      </c>
      <c r="AK2892">
        <v>15.9441799418295</v>
      </c>
    </row>
    <row r="2893" spans="1:37" x14ac:dyDescent="0.2">
      <c r="A2893" t="str">
        <f>"20200111160212953"</f>
        <v>20200111160212953</v>
      </c>
      <c r="B2893" t="str">
        <f>"1578729732945016"</f>
        <v>1578729732945016</v>
      </c>
      <c r="C2893" t="s">
        <v>37</v>
      </c>
      <c r="D2893">
        <v>5.0863449999999997</v>
      </c>
      <c r="E2893">
        <v>0.4763655</v>
      </c>
      <c r="F2893" t="s">
        <v>57</v>
      </c>
      <c r="G2893">
        <v>-249.84190000000001</v>
      </c>
      <c r="H2893" s="1">
        <v>3.6410660000000001E-6</v>
      </c>
      <c r="I2893">
        <v>215.97799999999901</v>
      </c>
      <c r="J2893">
        <v>-265.09699999999998</v>
      </c>
      <c r="K2893">
        <v>1.1042940000000001</v>
      </c>
      <c r="L2893">
        <v>214.27209999999999</v>
      </c>
      <c r="M2893">
        <v>0.99976219999999905</v>
      </c>
      <c r="N2893">
        <v>0</v>
      </c>
      <c r="O2893">
        <v>1.6785520000000002E-2</v>
      </c>
      <c r="P2893">
        <v>0.99897029999999998</v>
      </c>
      <c r="Q2893">
        <v>1.473035E-2</v>
      </c>
      <c r="R2893">
        <v>4.2911810000000002E-2</v>
      </c>
      <c r="S2893">
        <v>2.9919739999999999</v>
      </c>
      <c r="T2893">
        <v>-0.2129393</v>
      </c>
      <c r="U2893">
        <v>0.3297272</v>
      </c>
      <c r="V2893">
        <v>-2.6118220000000001E-2</v>
      </c>
      <c r="W2893">
        <v>2.866668E-2</v>
      </c>
      <c r="X2893">
        <v>0.99924769999999896</v>
      </c>
      <c r="Y2893">
        <v>-9.264965E-2</v>
      </c>
      <c r="Z2893">
        <v>2.0935490000000001E-3</v>
      </c>
      <c r="AA2893">
        <v>0.99569649999999998</v>
      </c>
      <c r="AB2893">
        <v>26</v>
      </c>
      <c r="AC2893">
        <v>15.255099999999899</v>
      </c>
      <c r="AD2893">
        <v>-1.1042903589340001</v>
      </c>
      <c r="AE2893">
        <v>1.70589999999998</v>
      </c>
      <c r="AF2893">
        <v>-1.44210661355951</v>
      </c>
      <c r="AG2893">
        <v>-1.1042903589340001</v>
      </c>
      <c r="AH2893">
        <v>15.202907237422799</v>
      </c>
      <c r="AI2893">
        <v>94.135984112265902</v>
      </c>
      <c r="AJ2893">
        <v>95.418708966426195</v>
      </c>
      <c r="AK2893">
        <v>15.3110259993048</v>
      </c>
    </row>
    <row r="2894" spans="1:37" x14ac:dyDescent="0.2">
      <c r="A2894" t="str">
        <f>"20200111160212980"</f>
        <v>20200111160212980</v>
      </c>
      <c r="B2894" t="str">
        <f>"1578729732975272"</f>
        <v>1578729732975272</v>
      </c>
      <c r="C2894" t="s">
        <v>37</v>
      </c>
      <c r="D2894">
        <v>4.918056</v>
      </c>
      <c r="E2894">
        <v>0.47676779999999902</v>
      </c>
      <c r="F2894" t="s">
        <v>57</v>
      </c>
      <c r="G2894">
        <v>-249.2936</v>
      </c>
      <c r="H2894" s="1">
        <v>3.3471140000000001E-6</v>
      </c>
      <c r="I2894">
        <v>216.0273</v>
      </c>
      <c r="J2894">
        <v>-264.79539999999997</v>
      </c>
      <c r="K2894">
        <v>1.1042969999999901</v>
      </c>
      <c r="L2894">
        <v>214.2766</v>
      </c>
      <c r="M2894">
        <v>0.99976869999999995</v>
      </c>
      <c r="N2894">
        <v>0</v>
      </c>
      <c r="O2894">
        <v>1.6389210000000001E-2</v>
      </c>
      <c r="P2894">
        <v>0.99897039999999904</v>
      </c>
      <c r="Q2894">
        <v>1.506132E-2</v>
      </c>
      <c r="R2894">
        <v>4.2794239999999997E-2</v>
      </c>
      <c r="S2894">
        <v>2.9919129999999998</v>
      </c>
      <c r="T2894">
        <v>-0.20906439999999901</v>
      </c>
      <c r="U2894">
        <v>0.33230589999999999</v>
      </c>
      <c r="V2894">
        <v>-2.6397190000000001E-2</v>
      </c>
      <c r="W2894">
        <v>2.8994140000000002E-2</v>
      </c>
      <c r="X2894">
        <v>0.99923099999999998</v>
      </c>
      <c r="Y2894">
        <v>-9.3897190000000005E-2</v>
      </c>
      <c r="Z2894">
        <v>2.1264550000000002E-3</v>
      </c>
      <c r="AA2894">
        <v>0.99557960000000001</v>
      </c>
      <c r="AB2894">
        <v>26</v>
      </c>
      <c r="AC2894">
        <v>15.5017999999999</v>
      </c>
      <c r="AD2894">
        <v>-1.1042936528859999</v>
      </c>
      <c r="AE2894">
        <v>1.7506999999999899</v>
      </c>
      <c r="AF2894">
        <v>-1.4889173597229099</v>
      </c>
      <c r="AG2894">
        <v>-1.1042936528859999</v>
      </c>
      <c r="AH2894">
        <v>15.4509921812864</v>
      </c>
      <c r="AI2894">
        <v>94.069233858442601</v>
      </c>
      <c r="AJ2894">
        <v>95.504247406211505</v>
      </c>
      <c r="AK2894">
        <v>15.5617961290483</v>
      </c>
    </row>
    <row r="2895" spans="1:37" x14ac:dyDescent="0.2">
      <c r="A2895" t="str">
        <f>"20200111160213000"</f>
        <v>20200111160213000</v>
      </c>
      <c r="B2895" t="str">
        <f>"1578729732994792"</f>
        <v>1578729732994792</v>
      </c>
      <c r="C2895" t="s">
        <v>37</v>
      </c>
      <c r="D2895">
        <v>4.9172880000000001</v>
      </c>
      <c r="E2895">
        <v>0.4769893</v>
      </c>
      <c r="F2895" t="s">
        <v>57</v>
      </c>
      <c r="G2895">
        <v>-249.00399999999999</v>
      </c>
      <c r="H2895" s="1">
        <v>3.1936569999999999E-6</v>
      </c>
      <c r="I2895">
        <v>216.01220000000001</v>
      </c>
      <c r="J2895">
        <v>-264.55399999999997</v>
      </c>
      <c r="K2895">
        <v>1.1043019999999999</v>
      </c>
      <c r="L2895">
        <v>214.28020000000001</v>
      </c>
      <c r="M2895">
        <v>0.99977399999999905</v>
      </c>
      <c r="N2895">
        <v>0</v>
      </c>
      <c r="O2895">
        <v>1.6071740000000001E-2</v>
      </c>
      <c r="P2895">
        <v>0.998971099999999</v>
      </c>
      <c r="Q2895">
        <v>1.4792919999999999E-2</v>
      </c>
      <c r="R2895">
        <v>4.2870520000000002E-2</v>
      </c>
      <c r="S2895">
        <v>2.9921570000000002</v>
      </c>
      <c r="T2895">
        <v>-0.20924119999999999</v>
      </c>
      <c r="U2895">
        <v>0.32885740000000002</v>
      </c>
      <c r="V2895">
        <v>-2.6790479999999998E-2</v>
      </c>
      <c r="W2895">
        <v>2.8723410000000001E-2</v>
      </c>
      <c r="X2895">
        <v>0.99922829999999996</v>
      </c>
      <c r="Y2895">
        <v>-9.3071719999999997E-2</v>
      </c>
      <c r="Z2895">
        <v>2.1215650000000002E-3</v>
      </c>
      <c r="AA2895">
        <v>0.99565709999999996</v>
      </c>
      <c r="AB2895">
        <v>26</v>
      </c>
      <c r="AC2895">
        <v>15.55</v>
      </c>
      <c r="AD2895">
        <v>-1.1042988063429999</v>
      </c>
      <c r="AE2895">
        <v>1.73199999999999</v>
      </c>
      <c r="AF2895">
        <v>-1.4744913583544801</v>
      </c>
      <c r="AG2895">
        <v>-1.1042988063429999</v>
      </c>
      <c r="AH2895">
        <v>15.4986241835838</v>
      </c>
      <c r="AI2895">
        <v>94.057259263360294</v>
      </c>
      <c r="AJ2895">
        <v>95.434587129890602</v>
      </c>
      <c r="AK2895">
        <v>15.6077209163773</v>
      </c>
    </row>
    <row r="2896" spans="1:37" x14ac:dyDescent="0.2">
      <c r="A2896" t="str">
        <f>"20200111160213020"</f>
        <v>20200111160213020</v>
      </c>
      <c r="B2896" t="str">
        <f>"1578729733015288"</f>
        <v>1578729733015288</v>
      </c>
      <c r="C2896" t="s">
        <v>37</v>
      </c>
      <c r="D2896">
        <v>4.9046399999999997</v>
      </c>
      <c r="E2896">
        <v>0.47703829999999903</v>
      </c>
      <c r="F2896" t="s">
        <v>57</v>
      </c>
      <c r="G2896">
        <v>-248.79400000000001</v>
      </c>
      <c r="H2896" s="1">
        <v>3.082273E-6</v>
      </c>
      <c r="I2896">
        <v>216.00450000000001</v>
      </c>
      <c r="J2896">
        <v>-264.32440000000003</v>
      </c>
      <c r="K2896">
        <v>1.1042989999999999</v>
      </c>
      <c r="L2896">
        <v>214.28360000000001</v>
      </c>
      <c r="M2896">
        <v>0.99977879999999997</v>
      </c>
      <c r="N2896">
        <v>0</v>
      </c>
      <c r="O2896">
        <v>1.5769700000000001E-2</v>
      </c>
      <c r="P2896">
        <v>0.99897899999999995</v>
      </c>
      <c r="Q2896">
        <v>1.504322E-2</v>
      </c>
      <c r="R2896">
        <v>4.2601140000000003E-2</v>
      </c>
      <c r="S2896">
        <v>2.9921259999999998</v>
      </c>
      <c r="T2896">
        <v>-0.2096576</v>
      </c>
      <c r="U2896">
        <v>0.32736209999999999</v>
      </c>
      <c r="V2896">
        <v>-2.682317E-2</v>
      </c>
      <c r="W2896">
        <v>2.8971259999999999E-2</v>
      </c>
      <c r="X2896">
        <v>0.99922029999999995</v>
      </c>
      <c r="Y2896">
        <v>-9.2880900000000002E-2</v>
      </c>
      <c r="Z2896">
        <v>2.1402629999999999E-3</v>
      </c>
      <c r="AA2896">
        <v>0.99567490000000003</v>
      </c>
      <c r="AB2896">
        <v>26</v>
      </c>
      <c r="AC2896">
        <v>15.5304</v>
      </c>
      <c r="AD2896">
        <v>-1.104295917727</v>
      </c>
      <c r="AE2896">
        <v>1.7209000000000001</v>
      </c>
      <c r="AF2896">
        <v>-1.4684182528720999</v>
      </c>
      <c r="AG2896">
        <v>-1.104295917727</v>
      </c>
      <c r="AH2896">
        <v>15.4783003401256</v>
      </c>
      <c r="AI2896">
        <v>94.062660202708997</v>
      </c>
      <c r="AJ2896">
        <v>95.419400860304606</v>
      </c>
      <c r="AK2896">
        <v>15.586965806673501</v>
      </c>
    </row>
    <row r="2897" spans="1:37" x14ac:dyDescent="0.2">
      <c r="A2897" t="str">
        <f>"20200111160213041"</f>
        <v>20200111160213041</v>
      </c>
      <c r="B2897" t="str">
        <f>"1578729733034808"</f>
        <v>1578729733034808</v>
      </c>
      <c r="C2897" t="s">
        <v>37</v>
      </c>
      <c r="D2897">
        <v>4.8922819999999998</v>
      </c>
      <c r="E2897">
        <v>0.47702099999999997</v>
      </c>
      <c r="F2897" t="s">
        <v>57</v>
      </c>
      <c r="G2897">
        <v>-248.53960000000001</v>
      </c>
      <c r="H2897" s="1">
        <v>2.9469099999999898E-6</v>
      </c>
      <c r="I2897">
        <v>216.00319999999999</v>
      </c>
      <c r="J2897">
        <v>-264.08099999999899</v>
      </c>
      <c r="K2897">
        <v>1.104306</v>
      </c>
      <c r="L2897">
        <v>214.28700000000001</v>
      </c>
      <c r="M2897">
        <v>0.9997838</v>
      </c>
      <c r="N2897">
        <v>0</v>
      </c>
      <c r="O2897">
        <v>1.544979E-2</v>
      </c>
      <c r="P2897">
        <v>0.99898019999999998</v>
      </c>
      <c r="Q2897">
        <v>1.542876E-2</v>
      </c>
      <c r="R2897">
        <v>4.2432379999999999E-2</v>
      </c>
      <c r="S2897">
        <v>2.9923099999999998</v>
      </c>
      <c r="T2897">
        <v>-0.20933969999999999</v>
      </c>
      <c r="U2897">
        <v>0.32598879999999902</v>
      </c>
      <c r="V2897">
        <v>-2.6974379999999999E-2</v>
      </c>
      <c r="W2897">
        <v>2.9354000000000002E-2</v>
      </c>
      <c r="X2897">
        <v>0.99920509999999996</v>
      </c>
      <c r="Y2897">
        <v>-9.2741470000000006E-2</v>
      </c>
      <c r="Z2897">
        <v>2.1543689999999902E-3</v>
      </c>
      <c r="AA2897">
        <v>0.99568789999999996</v>
      </c>
      <c r="AB2897">
        <v>26</v>
      </c>
      <c r="AC2897">
        <v>15.5413999999999</v>
      </c>
      <c r="AD2897">
        <v>-1.10430305309</v>
      </c>
      <c r="AE2897">
        <v>1.71619999999998</v>
      </c>
      <c r="AF2897">
        <v>-1.46853534898106</v>
      </c>
      <c r="AG2897">
        <v>-1.10430305309</v>
      </c>
      <c r="AH2897">
        <v>15.4888029839259</v>
      </c>
      <c r="AI2897">
        <v>94.059962346998901</v>
      </c>
      <c r="AJ2897">
        <v>95.416177230891293</v>
      </c>
      <c r="AK2897">
        <v>15.5974068094392</v>
      </c>
    </row>
    <row r="2898" spans="1:37" x14ac:dyDescent="0.2">
      <c r="A2898" t="str">
        <f>"20200111160213062"</f>
        <v>20200111160213062</v>
      </c>
      <c r="B2898" t="str">
        <f>"1578729733054836"</f>
        <v>1578729733054836</v>
      </c>
      <c r="C2898" t="s">
        <v>37</v>
      </c>
      <c r="D2898">
        <v>4.9280669999999898</v>
      </c>
      <c r="E2898">
        <v>0.47694929999999902</v>
      </c>
      <c r="F2898" t="s">
        <v>57</v>
      </c>
      <c r="G2898">
        <v>-248.1317</v>
      </c>
      <c r="H2898" s="1">
        <v>2.729035E-6</v>
      </c>
      <c r="I2898">
        <v>216.02269999999999</v>
      </c>
      <c r="J2898">
        <v>-263.8356</v>
      </c>
      <c r="K2898">
        <v>1.104312</v>
      </c>
      <c r="L2898">
        <v>214.29050000000001</v>
      </c>
      <c r="M2898">
        <v>0.99978880000000003</v>
      </c>
      <c r="N2898">
        <v>0</v>
      </c>
      <c r="O2898">
        <v>1.5127130000000001E-2</v>
      </c>
      <c r="P2898">
        <v>0.99896319999999905</v>
      </c>
      <c r="Q2898">
        <v>1.6087629999999999E-2</v>
      </c>
      <c r="R2898">
        <v>4.258895E-2</v>
      </c>
      <c r="S2898">
        <v>2.99246199999999</v>
      </c>
      <c r="T2898">
        <v>-0.20719319999999999</v>
      </c>
      <c r="U2898">
        <v>0.32565309999999997</v>
      </c>
      <c r="V2898">
        <v>-2.7453160000000001E-2</v>
      </c>
      <c r="W2898">
        <v>3.0010309999999998E-2</v>
      </c>
      <c r="X2898">
        <v>0.99917250000000002</v>
      </c>
      <c r="Y2898">
        <v>-9.2949519999999994E-2</v>
      </c>
      <c r="Z2898">
        <v>2.161648E-3</v>
      </c>
      <c r="AA2898">
        <v>0.99566849999999996</v>
      </c>
      <c r="AB2898">
        <v>26</v>
      </c>
      <c r="AC2898">
        <v>15.703900000000001</v>
      </c>
      <c r="AD2898">
        <v>-1.104309270965</v>
      </c>
      <c r="AE2898">
        <v>1.73219999999997</v>
      </c>
      <c r="AF2898">
        <v>-1.4871582348875201</v>
      </c>
      <c r="AG2898">
        <v>-1.104309270965</v>
      </c>
      <c r="AH2898">
        <v>15.651840549278001</v>
      </c>
      <c r="AI2898">
        <v>94.017757312020294</v>
      </c>
      <c r="AJ2898">
        <v>95.427659186471004</v>
      </c>
      <c r="AK2898">
        <v>15.7610675768349</v>
      </c>
    </row>
    <row r="2899" spans="1:37" x14ac:dyDescent="0.2">
      <c r="A2899" t="str">
        <f>"20200111160213085"</f>
        <v>20200111160213085</v>
      </c>
      <c r="B2899" t="str">
        <f>"1578729733074356"</f>
        <v>1578729733074356</v>
      </c>
      <c r="C2899" t="s">
        <v>37</v>
      </c>
      <c r="D2899">
        <v>5.1177669999999997</v>
      </c>
      <c r="E2899">
        <v>0.47695529999999903</v>
      </c>
      <c r="F2899" t="s">
        <v>57</v>
      </c>
      <c r="G2899">
        <v>-247.6987</v>
      </c>
      <c r="H2899" s="1">
        <v>2.497398E-6</v>
      </c>
      <c r="I2899">
        <v>216.0505</v>
      </c>
      <c r="J2899">
        <v>-263.5881</v>
      </c>
      <c r="K2899">
        <v>1.1043190000000001</v>
      </c>
      <c r="L2899">
        <v>214.29390000000001</v>
      </c>
      <c r="M2899">
        <v>0.99979379999999995</v>
      </c>
      <c r="N2899">
        <v>0</v>
      </c>
      <c r="O2899">
        <v>1.480126E-2</v>
      </c>
      <c r="P2899">
        <v>0.99896419999999997</v>
      </c>
      <c r="Q2899">
        <v>1.677176E-2</v>
      </c>
      <c r="R2899">
        <v>4.2307249999999998E-2</v>
      </c>
      <c r="S2899">
        <v>2.9924930000000001</v>
      </c>
      <c r="T2899">
        <v>-0.20478829999999901</v>
      </c>
      <c r="U2899">
        <v>0.3263855</v>
      </c>
      <c r="V2899">
        <v>-2.7496899999999901E-2</v>
      </c>
      <c r="W2899">
        <v>3.0691880000000001E-2</v>
      </c>
      <c r="X2899">
        <v>0.999150599999999</v>
      </c>
      <c r="Y2899">
        <v>-9.351595E-2</v>
      </c>
      <c r="Z2899">
        <v>2.1780699999999998E-3</v>
      </c>
      <c r="AA2899">
        <v>0.99561540000000004</v>
      </c>
      <c r="AB2899">
        <v>26</v>
      </c>
      <c r="AC2899">
        <v>15.889399999999901</v>
      </c>
      <c r="AD2899">
        <v>-1.1043165026020001</v>
      </c>
      <c r="AE2899">
        <v>1.7565999999999899</v>
      </c>
      <c r="AF2899">
        <v>-1.5139770317560599</v>
      </c>
      <c r="AG2899">
        <v>-1.1043165026020001</v>
      </c>
      <c r="AH2899">
        <v>15.838082825477301</v>
      </c>
      <c r="AI2899">
        <v>93.970474550714997</v>
      </c>
      <c r="AJ2899">
        <v>95.460365464145795</v>
      </c>
      <c r="AK2899">
        <v>15.9485582099851</v>
      </c>
    </row>
    <row r="2900" spans="1:37" x14ac:dyDescent="0.2">
      <c r="A2900" t="str">
        <f>"20200111160213110"</f>
        <v>20200111160213110</v>
      </c>
      <c r="B2900" t="str">
        <f>"1578729733104612"</f>
        <v>1578729733104612</v>
      </c>
      <c r="C2900" t="s">
        <v>37</v>
      </c>
      <c r="D2900">
        <v>4.9496180000000001</v>
      </c>
      <c r="E2900">
        <v>0.47096320000000003</v>
      </c>
      <c r="F2900" t="s">
        <v>57</v>
      </c>
      <c r="G2900">
        <v>-247.2594</v>
      </c>
      <c r="H2900" s="1">
        <v>2.2626390000000002E-6</v>
      </c>
      <c r="I2900">
        <v>216.07230000000001</v>
      </c>
      <c r="J2900">
        <v>-263.29629999999997</v>
      </c>
      <c r="K2900">
        <v>1.1043190000000001</v>
      </c>
      <c r="L2900">
        <v>214.29769999999999</v>
      </c>
      <c r="M2900">
        <v>0.9997994</v>
      </c>
      <c r="N2900">
        <v>0</v>
      </c>
      <c r="O2900">
        <v>1.441742E-2</v>
      </c>
      <c r="P2900">
        <v>0.99900710000000004</v>
      </c>
      <c r="Q2900">
        <v>1.6290700000000002E-2</v>
      </c>
      <c r="R2900">
        <v>4.1466469999999998E-2</v>
      </c>
      <c r="S2900">
        <v>2.9927060000000001</v>
      </c>
      <c r="T2900">
        <v>-0.20239740000000001</v>
      </c>
      <c r="U2900">
        <v>0.32595829999999998</v>
      </c>
      <c r="V2900">
        <v>-2.7039440000000001E-2</v>
      </c>
      <c r="W2900">
        <v>3.0205249999999999E-2</v>
      </c>
      <c r="X2900">
        <v>0.99917789999999995</v>
      </c>
      <c r="Y2900">
        <v>-9.3752859999999993E-2</v>
      </c>
      <c r="Z2900">
        <v>2.186384E-3</v>
      </c>
      <c r="AA2900">
        <v>0.99559310000000001</v>
      </c>
      <c r="AB2900">
        <v>26</v>
      </c>
      <c r="AC2900">
        <v>16.0368999999999</v>
      </c>
      <c r="AD2900">
        <v>-1.1043167373609999</v>
      </c>
      <c r="AE2900">
        <v>1.7746000000000199</v>
      </c>
      <c r="AF2900">
        <v>-1.5359871549829001</v>
      </c>
      <c r="AG2900">
        <v>-1.1043167373609999</v>
      </c>
      <c r="AH2900">
        <v>15.9859347946576</v>
      </c>
      <c r="AI2900">
        <v>93.933685288371706</v>
      </c>
      <c r="AJ2900">
        <v>95.488340110804401</v>
      </c>
      <c r="AK2900">
        <v>16.097480649335601</v>
      </c>
    </row>
    <row r="2901" spans="1:37" x14ac:dyDescent="0.2">
      <c r="A2901" t="str">
        <f>"20200111160213131"</f>
        <v>20200111160213131</v>
      </c>
      <c r="B2901" t="str">
        <f>"1578729733125108"</f>
        <v>1578729733125108</v>
      </c>
      <c r="C2901" t="s">
        <v>37</v>
      </c>
      <c r="D2901">
        <v>4.8979609999999996</v>
      </c>
      <c r="E2901">
        <v>0.47074549999999998</v>
      </c>
      <c r="F2901" t="s">
        <v>57</v>
      </c>
      <c r="G2901">
        <v>-232.8989</v>
      </c>
      <c r="H2901" s="1">
        <v>-1.4275629999999999E-7</v>
      </c>
      <c r="I2901">
        <v>218.0162</v>
      </c>
      <c r="J2901">
        <v>-263.04860000000002</v>
      </c>
      <c r="K2901">
        <v>1.1043129999999901</v>
      </c>
      <c r="L2901">
        <v>214.30090000000001</v>
      </c>
      <c r="M2901">
        <v>0.99980429999999998</v>
      </c>
      <c r="N2901">
        <v>0</v>
      </c>
      <c r="O2901">
        <v>1.4090699999999999E-2</v>
      </c>
      <c r="P2901">
        <v>0.99906090000000003</v>
      </c>
      <c r="Q2901">
        <v>1.5654540000000002E-2</v>
      </c>
      <c r="R2901">
        <v>4.040527E-2</v>
      </c>
      <c r="S2901">
        <v>2.9895320000000001</v>
      </c>
      <c r="T2901">
        <v>-0.10860789999999999</v>
      </c>
      <c r="U2901">
        <v>0.36570740000000002</v>
      </c>
      <c r="V2901">
        <v>-2.63048E-2</v>
      </c>
      <c r="W2901">
        <v>2.9551330000000001E-2</v>
      </c>
      <c r="X2901">
        <v>0.99921709999999997</v>
      </c>
      <c r="Y2901">
        <v>-0.10736369999999899</v>
      </c>
      <c r="Z2901">
        <v>1.4325869999999999E-3</v>
      </c>
      <c r="AA2901">
        <v>0.99421879999999996</v>
      </c>
      <c r="AB2901">
        <v>25</v>
      </c>
      <c r="AC2901">
        <v>30.149699999999999</v>
      </c>
      <c r="AD2901">
        <v>-1.10431314275629</v>
      </c>
      <c r="AE2901">
        <v>3.7152999999999801</v>
      </c>
      <c r="AF2901">
        <v>-3.28571760180195</v>
      </c>
      <c r="AG2901">
        <v>-1.10431314275629</v>
      </c>
      <c r="AH2901">
        <v>30.159206476403501</v>
      </c>
      <c r="AI2901">
        <v>92.084688034760603</v>
      </c>
      <c r="AJ2901">
        <v>96.217610184847999</v>
      </c>
      <c r="AK2901">
        <v>30.357753259462299</v>
      </c>
    </row>
    <row r="2902" spans="1:37" x14ac:dyDescent="0.2">
      <c r="A2902" t="str">
        <f>"20200111160213152"</f>
        <v>20200111160213152</v>
      </c>
      <c r="B2902" t="str">
        <f>"1578729733145136"</f>
        <v>1578729733145136</v>
      </c>
      <c r="C2902" t="s">
        <v>37</v>
      </c>
      <c r="D2902">
        <v>4.8389639999999998</v>
      </c>
      <c r="E2902">
        <v>0.47155140000000001</v>
      </c>
      <c r="F2902" t="s">
        <v>57</v>
      </c>
      <c r="G2902">
        <v>-236.93809999999999</v>
      </c>
      <c r="H2902" s="1">
        <v>2.029761E-6</v>
      </c>
      <c r="I2902">
        <v>217.48920000000001</v>
      </c>
      <c r="J2902">
        <v>-262.80860000000001</v>
      </c>
      <c r="K2902">
        <v>1.104304</v>
      </c>
      <c r="L2902">
        <v>214.3039</v>
      </c>
      <c r="M2902">
        <v>0.99980910000000001</v>
      </c>
      <c r="N2902">
        <v>0</v>
      </c>
      <c r="O2902">
        <v>1.377484E-2</v>
      </c>
      <c r="P2902">
        <v>0.99909499999999996</v>
      </c>
      <c r="Q2902">
        <v>1.518165E-2</v>
      </c>
      <c r="R2902">
        <v>3.9736979999999998E-2</v>
      </c>
      <c r="S2902">
        <v>2.9900820000000001</v>
      </c>
      <c r="T2902">
        <v>-0.12646199999999999</v>
      </c>
      <c r="U2902">
        <v>0.3651123</v>
      </c>
      <c r="V2902">
        <v>-2.5952119999999999E-2</v>
      </c>
      <c r="W2902">
        <v>2.9049910000000002E-2</v>
      </c>
      <c r="X2902">
        <v>0.99924099999999905</v>
      </c>
      <c r="Y2902">
        <v>-0.10743900000000001</v>
      </c>
      <c r="Z2902">
        <v>1.682497E-3</v>
      </c>
      <c r="AA2902">
        <v>0.99421019999999904</v>
      </c>
      <c r="AB2902">
        <v>25</v>
      </c>
      <c r="AC2902">
        <v>25.8705</v>
      </c>
      <c r="AD2902">
        <v>-1.104301970239</v>
      </c>
      <c r="AE2902">
        <v>3.18530000000001</v>
      </c>
      <c r="AF2902">
        <v>-2.8235336509309699</v>
      </c>
      <c r="AG2902">
        <v>-1.104301970239</v>
      </c>
      <c r="AH2902">
        <v>25.865501137989199</v>
      </c>
      <c r="AI2902">
        <v>92.430282205284101</v>
      </c>
      <c r="AJ2902">
        <v>96.229862690968403</v>
      </c>
      <c r="AK2902">
        <v>26.042580022700001</v>
      </c>
    </row>
    <row r="2903" spans="1:37" x14ac:dyDescent="0.2">
      <c r="A2903" t="str">
        <f>"20200111160213175"</f>
        <v>20200111160213175</v>
      </c>
      <c r="B2903" t="str">
        <f>"1578729733164656"</f>
        <v>1578729733164656</v>
      </c>
      <c r="C2903" t="s">
        <v>37</v>
      </c>
      <c r="D2903">
        <v>4.8370319999999998</v>
      </c>
      <c r="E2903">
        <v>0.47237249999999997</v>
      </c>
      <c r="F2903" t="s">
        <v>57</v>
      </c>
      <c r="G2903">
        <v>-239.49760000000001</v>
      </c>
      <c r="H2903" s="1">
        <v>3.4091780000000001E-6</v>
      </c>
      <c r="I2903">
        <v>217.0908</v>
      </c>
      <c r="J2903">
        <v>-262.55739999999997</v>
      </c>
      <c r="K2903">
        <v>1.1042920000000001</v>
      </c>
      <c r="L2903">
        <v>214.30699999999999</v>
      </c>
      <c r="M2903">
        <v>0.99981430000000004</v>
      </c>
      <c r="N2903">
        <v>0</v>
      </c>
      <c r="O2903">
        <v>1.344426E-2</v>
      </c>
      <c r="P2903">
        <v>0.99913149999999995</v>
      </c>
      <c r="Q2903">
        <v>1.539626E-2</v>
      </c>
      <c r="R2903">
        <v>3.872051E-2</v>
      </c>
      <c r="S2903">
        <v>2.9906919999999899</v>
      </c>
      <c r="T2903">
        <v>-0.14167639999999901</v>
      </c>
      <c r="U2903">
        <v>0.35754390000000003</v>
      </c>
      <c r="V2903">
        <v>-2.5265389999999999E-2</v>
      </c>
      <c r="W2903">
        <v>2.9207670000000002E-2</v>
      </c>
      <c r="X2903">
        <v>0.99925399999999998</v>
      </c>
      <c r="Y2903">
        <v>-0.1052443</v>
      </c>
      <c r="Z2903">
        <v>1.848422E-3</v>
      </c>
      <c r="AA2903">
        <v>0.99444469999999996</v>
      </c>
      <c r="AB2903">
        <v>25</v>
      </c>
      <c r="AC2903">
        <v>23.0597999999999</v>
      </c>
      <c r="AD2903">
        <v>-1.1042885908219999</v>
      </c>
      <c r="AE2903">
        <v>2.7837999999999798</v>
      </c>
      <c r="AF2903">
        <v>-2.46791856468296</v>
      </c>
      <c r="AG2903">
        <v>-1.1042885908219999</v>
      </c>
      <c r="AH2903">
        <v>23.043060432151499</v>
      </c>
      <c r="AI2903">
        <v>92.728098714026402</v>
      </c>
      <c r="AJ2903">
        <v>96.113092587999603</v>
      </c>
      <c r="AK2903">
        <v>23.201135950929501</v>
      </c>
    </row>
    <row r="2904" spans="1:37" x14ac:dyDescent="0.2">
      <c r="A2904" t="str">
        <f>"20200111160213201"</f>
        <v>20200111160213201</v>
      </c>
      <c r="B2904" t="str">
        <f>"1578729733194913"</f>
        <v>1578729733194913</v>
      </c>
      <c r="C2904" t="s">
        <v>37</v>
      </c>
      <c r="D2904">
        <v>4.7501749999999996</v>
      </c>
      <c r="E2904">
        <v>0.47215089999999998</v>
      </c>
      <c r="F2904" t="s">
        <v>57</v>
      </c>
      <c r="G2904">
        <v>-240.4828</v>
      </c>
      <c r="H2904" s="1">
        <v>-1.3787250000000001E-6</v>
      </c>
      <c r="I2904">
        <v>216.8775</v>
      </c>
      <c r="J2904">
        <v>-262.25720000000001</v>
      </c>
      <c r="K2904">
        <v>1.104263</v>
      </c>
      <c r="L2904">
        <v>214.31049999999999</v>
      </c>
      <c r="M2904">
        <v>0.99982109999999902</v>
      </c>
      <c r="N2904">
        <v>0</v>
      </c>
      <c r="O2904">
        <v>1.305077E-2</v>
      </c>
      <c r="P2904">
        <v>0.99914029999999998</v>
      </c>
      <c r="Q2904">
        <v>1.569504E-2</v>
      </c>
      <c r="R2904">
        <v>3.8370999999999898E-2</v>
      </c>
      <c r="S2904">
        <v>2.991425</v>
      </c>
      <c r="T2904">
        <v>-0.14964710000000001</v>
      </c>
      <c r="U2904">
        <v>0.34834290000000001</v>
      </c>
      <c r="V2904">
        <v>-2.530862E-2</v>
      </c>
      <c r="W2904">
        <v>2.9394509999999999E-2</v>
      </c>
      <c r="X2904">
        <v>0.99924740000000001</v>
      </c>
      <c r="Y2904">
        <v>-0.1025809</v>
      </c>
      <c r="Z2904">
        <v>1.9054110000000001E-3</v>
      </c>
      <c r="AA2904">
        <v>0.99472280000000002</v>
      </c>
      <c r="AB2904">
        <v>25</v>
      </c>
      <c r="AC2904">
        <v>21.7744</v>
      </c>
      <c r="AD2904">
        <v>-1.1042643787249999</v>
      </c>
      <c r="AE2904">
        <v>2.5670000000000002</v>
      </c>
      <c r="AF2904">
        <v>-2.2768065714734802</v>
      </c>
      <c r="AG2904">
        <v>-1.1042643787249999</v>
      </c>
      <c r="AH2904">
        <v>21.750875495490401</v>
      </c>
      <c r="AI2904">
        <v>92.890572705527504</v>
      </c>
      <c r="AJ2904">
        <v>95.975762013989595</v>
      </c>
      <c r="AK2904">
        <v>21.897575957223001</v>
      </c>
    </row>
    <row r="2905" spans="1:37" x14ac:dyDescent="0.2">
      <c r="A2905" t="str">
        <f>"20200111160213220"</f>
        <v>20200111160213220</v>
      </c>
      <c r="B2905" t="str">
        <f>"1578729733214432"</f>
        <v>1578729733214432</v>
      </c>
      <c r="C2905" t="s">
        <v>37</v>
      </c>
      <c r="D2905">
        <v>4.8493269999999997</v>
      </c>
      <c r="E2905">
        <v>0.4717693</v>
      </c>
      <c r="F2905" t="s">
        <v>57</v>
      </c>
      <c r="G2905">
        <v>-240.76949999999999</v>
      </c>
      <c r="H2905" s="1">
        <v>-1.223667E-6</v>
      </c>
      <c r="I2905">
        <v>216.82079999999999</v>
      </c>
      <c r="J2905">
        <v>-262.04939999999999</v>
      </c>
      <c r="K2905">
        <v>1.1042339999999999</v>
      </c>
      <c r="L2905">
        <v>214.31290000000001</v>
      </c>
      <c r="M2905">
        <v>0.999826199999999</v>
      </c>
      <c r="N2905">
        <v>0</v>
      </c>
      <c r="O2905">
        <v>1.2776799999999901E-2</v>
      </c>
      <c r="P2905">
        <v>0.99912699999999999</v>
      </c>
      <c r="Q2905">
        <v>1.6019419999999999E-2</v>
      </c>
      <c r="R2905">
        <v>3.858491E-2</v>
      </c>
      <c r="S2905">
        <v>2.9915769999999999</v>
      </c>
      <c r="T2905">
        <v>-0.1537386</v>
      </c>
      <c r="U2905">
        <v>0.3494873</v>
      </c>
      <c r="V2905">
        <v>-2.5796360000000001E-2</v>
      </c>
      <c r="W2905">
        <v>2.9616139999999999E-2</v>
      </c>
      <c r="X2905">
        <v>0.99922840000000002</v>
      </c>
      <c r="Y2905">
        <v>-0.1032158</v>
      </c>
      <c r="Z2905">
        <v>1.9875629999999999E-3</v>
      </c>
      <c r="AA2905">
        <v>0.99465700000000001</v>
      </c>
      <c r="AB2905">
        <v>25</v>
      </c>
      <c r="AC2905">
        <v>21.279900000000001</v>
      </c>
      <c r="AD2905">
        <v>-1.1042352236669899</v>
      </c>
      <c r="AE2905">
        <v>2.50789999999997</v>
      </c>
      <c r="AF2905">
        <v>-2.2298591292132799</v>
      </c>
      <c r="AG2905">
        <v>-1.1042352236669899</v>
      </c>
      <c r="AH2905">
        <v>21.2537630651419</v>
      </c>
      <c r="AI2905">
        <v>92.957911475332196</v>
      </c>
      <c r="AJ2905">
        <v>95.989330741180595</v>
      </c>
      <c r="AK2905">
        <v>21.398926412194498</v>
      </c>
    </row>
    <row r="2906" spans="1:37" x14ac:dyDescent="0.2">
      <c r="A2906" t="str">
        <f>"20200111160213242"</f>
        <v>20200111160213242</v>
      </c>
      <c r="B2906" t="str">
        <f>"1578729733234929"</f>
        <v>1578729733234929</v>
      </c>
      <c r="C2906" t="s">
        <v>37</v>
      </c>
      <c r="D2906">
        <v>4.9145269999999996</v>
      </c>
      <c r="E2906">
        <v>0.4716901</v>
      </c>
      <c r="F2906" t="s">
        <v>57</v>
      </c>
      <c r="G2906">
        <v>-240.52930000000001</v>
      </c>
      <c r="H2906" s="1">
        <v>-1.3528659999999999E-6</v>
      </c>
      <c r="I2906">
        <v>216.85290000000001</v>
      </c>
      <c r="J2906">
        <v>-261.79629999999997</v>
      </c>
      <c r="K2906">
        <v>1.1042160000000001</v>
      </c>
      <c r="L2906">
        <v>214.3158</v>
      </c>
      <c r="M2906">
        <v>0.99983250000000001</v>
      </c>
      <c r="N2906">
        <v>0</v>
      </c>
      <c r="O2906">
        <v>1.2438350000000001E-2</v>
      </c>
      <c r="P2906">
        <v>0.99908509999999995</v>
      </c>
      <c r="Q2906">
        <v>1.7198359999999999E-2</v>
      </c>
      <c r="R2906">
        <v>3.9159079999999999E-2</v>
      </c>
      <c r="S2906">
        <v>2.99145499999999</v>
      </c>
      <c r="T2906">
        <v>-0.15349699999999999</v>
      </c>
      <c r="U2906">
        <v>0.35307309999999997</v>
      </c>
      <c r="V2906">
        <v>-2.670844E-2</v>
      </c>
      <c r="W2906">
        <v>3.0643739999999999E-2</v>
      </c>
      <c r="X2906">
        <v>0.99917350000000005</v>
      </c>
      <c r="Y2906">
        <v>-0.10473109999999999</v>
      </c>
      <c r="Z2906">
        <v>2.040395E-3</v>
      </c>
      <c r="AA2906">
        <v>0.99449849999999995</v>
      </c>
      <c r="AB2906">
        <v>25</v>
      </c>
      <c r="AC2906">
        <v>21.2669999999999</v>
      </c>
      <c r="AD2906">
        <v>-1.104217352866</v>
      </c>
      <c r="AE2906">
        <v>2.5371000000000001</v>
      </c>
      <c r="AF2906">
        <v>-2.26632949676261</v>
      </c>
      <c r="AG2906">
        <v>-1.104217352866</v>
      </c>
      <c r="AH2906">
        <v>21.240456975284399</v>
      </c>
      <c r="AI2906">
        <v>92.959162280545598</v>
      </c>
      <c r="AJ2906">
        <v>96.090343809046004</v>
      </c>
      <c r="AK2906">
        <v>21.3895431898199</v>
      </c>
    </row>
    <row r="2907" spans="1:37" x14ac:dyDescent="0.2">
      <c r="A2907" t="str">
        <f>"20200111160213263"</f>
        <v>20200111160213263</v>
      </c>
      <c r="B2907" t="str">
        <f>"1578729733254957"</f>
        <v>1578729733254957</v>
      </c>
      <c r="C2907" t="s">
        <v>37</v>
      </c>
      <c r="D2907">
        <v>4.7224599999999999</v>
      </c>
      <c r="E2907">
        <v>0.47186339999999999</v>
      </c>
      <c r="F2907" t="s">
        <v>57</v>
      </c>
      <c r="G2907">
        <v>-239.11519999999999</v>
      </c>
      <c r="H2907" s="1">
        <v>3.2092620000000001E-6</v>
      </c>
      <c r="I2907">
        <v>217.00980000000001</v>
      </c>
      <c r="J2907">
        <v>-261.55220000000003</v>
      </c>
      <c r="K2907">
        <v>1.104196</v>
      </c>
      <c r="L2907">
        <v>214.3184</v>
      </c>
      <c r="M2907">
        <v>0.99983860000000002</v>
      </c>
      <c r="N2907">
        <v>0</v>
      </c>
      <c r="O2907">
        <v>1.2106860000000001E-2</v>
      </c>
      <c r="P2907">
        <v>0.99908229999999998</v>
      </c>
      <c r="Q2907">
        <v>1.7602320000000001E-2</v>
      </c>
      <c r="R2907">
        <v>3.9047829999999999E-2</v>
      </c>
      <c r="S2907">
        <v>2.9913020000000001</v>
      </c>
      <c r="T2907">
        <v>-0.145629799999999</v>
      </c>
      <c r="U2907">
        <v>0.35530089999999998</v>
      </c>
      <c r="V2907">
        <v>-2.69293E-2</v>
      </c>
      <c r="W2907">
        <v>3.088538E-2</v>
      </c>
      <c r="X2907">
        <v>0.9991601</v>
      </c>
      <c r="Y2907">
        <v>-0.105807399999999</v>
      </c>
      <c r="Z2907">
        <v>1.978119E-3</v>
      </c>
      <c r="AA2907">
        <v>0.99438459999999995</v>
      </c>
      <c r="AB2907">
        <v>25</v>
      </c>
      <c r="AC2907">
        <v>22.437000000000001</v>
      </c>
      <c r="AD2907">
        <v>-1.104192790738</v>
      </c>
      <c r="AE2907">
        <v>2.69140000000001</v>
      </c>
      <c r="AF2907">
        <v>-2.4137741083229098</v>
      </c>
      <c r="AG2907">
        <v>-1.104192790738</v>
      </c>
      <c r="AH2907">
        <v>22.414426591487398</v>
      </c>
      <c r="AI2907">
        <v>92.804072617073899</v>
      </c>
      <c r="AJ2907">
        <v>96.146405271571595</v>
      </c>
      <c r="AK2907">
        <v>22.571044871478801</v>
      </c>
    </row>
    <row r="2908" spans="1:37" x14ac:dyDescent="0.2">
      <c r="A2908" t="str">
        <f>"20200111160213285"</f>
        <v>20200111160213285</v>
      </c>
      <c r="B2908" t="str">
        <f>"1578729733274476"</f>
        <v>1578729733274476</v>
      </c>
      <c r="C2908" t="s">
        <v>37</v>
      </c>
      <c r="D2908">
        <v>4.7680439999999997</v>
      </c>
      <c r="E2908">
        <v>0.47198220000000002</v>
      </c>
      <c r="F2908" t="s">
        <v>57</v>
      </c>
      <c r="G2908">
        <v>-239.3374</v>
      </c>
      <c r="H2908" s="1">
        <v>3.3302089999999999E-6</v>
      </c>
      <c r="I2908">
        <v>216.94759999999999</v>
      </c>
      <c r="J2908">
        <v>-261.3091</v>
      </c>
      <c r="K2908">
        <v>1.1041719999999999</v>
      </c>
      <c r="L2908">
        <v>214.321</v>
      </c>
      <c r="M2908">
        <v>0.99984479999999998</v>
      </c>
      <c r="N2908">
        <v>0</v>
      </c>
      <c r="O2908">
        <v>1.177455E-2</v>
      </c>
      <c r="P2908">
        <v>0.99908399999999997</v>
      </c>
      <c r="Q2908">
        <v>1.8051370000000001E-2</v>
      </c>
      <c r="R2908">
        <v>3.880128E-2</v>
      </c>
      <c r="S2908">
        <v>2.9915470000000002</v>
      </c>
      <c r="T2908">
        <v>-0.14869579999999999</v>
      </c>
      <c r="U2908">
        <v>0.35406490000000002</v>
      </c>
      <c r="V2908">
        <v>-2.7015299999999999E-2</v>
      </c>
      <c r="W2908">
        <v>3.1166099999999999E-2</v>
      </c>
      <c r="X2908">
        <v>0.99914910000000001</v>
      </c>
      <c r="Y2908">
        <v>-0.105718399999999</v>
      </c>
      <c r="Z2908">
        <v>2.0338420000000001E-3</v>
      </c>
      <c r="AA2908">
        <v>0.994394</v>
      </c>
      <c r="AB2908">
        <v>25</v>
      </c>
      <c r="AC2908">
        <v>21.971699999999998</v>
      </c>
      <c r="AD2908">
        <v>-1.104168669791</v>
      </c>
      <c r="AE2908">
        <v>2.6265999999999901</v>
      </c>
      <c r="AF2908">
        <v>-2.3618081352433302</v>
      </c>
      <c r="AG2908">
        <v>-1.104168669791</v>
      </c>
      <c r="AH2908">
        <v>21.946461917404999</v>
      </c>
      <c r="AI2908">
        <v>92.863724729520698</v>
      </c>
      <c r="AJ2908">
        <v>96.142349294092696</v>
      </c>
      <c r="AK2908">
        <v>22.100780909532599</v>
      </c>
    </row>
    <row r="2909" spans="1:37" x14ac:dyDescent="0.2">
      <c r="A2909" t="str">
        <f>"20200111160213305"</f>
        <v>20200111160213305</v>
      </c>
      <c r="B2909" t="str">
        <f>"1578729733294972"</f>
        <v>1578729733294972</v>
      </c>
      <c r="C2909" t="s">
        <v>37</v>
      </c>
      <c r="D2909">
        <v>4.7059989999999896</v>
      </c>
      <c r="E2909">
        <v>0.47192420000000002</v>
      </c>
      <c r="F2909" t="s">
        <v>57</v>
      </c>
      <c r="G2909">
        <v>-239.42699999999999</v>
      </c>
      <c r="H2909" s="1">
        <v>3.3800339999999999E-6</v>
      </c>
      <c r="I2909">
        <v>216.89789999999999</v>
      </c>
      <c r="J2909">
        <v>-261.06709999999998</v>
      </c>
      <c r="K2909">
        <v>1.104158</v>
      </c>
      <c r="L2909">
        <v>214.3235</v>
      </c>
      <c r="M2909">
        <v>0.99985089999999999</v>
      </c>
      <c r="N2909">
        <v>0</v>
      </c>
      <c r="O2909">
        <v>1.1445769999999999E-2</v>
      </c>
      <c r="P2909">
        <v>0.99910279999999996</v>
      </c>
      <c r="Q2909">
        <v>1.8464990000000001E-2</v>
      </c>
      <c r="R2909">
        <v>3.8120109999999999E-2</v>
      </c>
      <c r="S2909">
        <v>2.9917910000000001</v>
      </c>
      <c r="T2909">
        <v>-0.150965299999999</v>
      </c>
      <c r="U2909">
        <v>0.35232540000000001</v>
      </c>
      <c r="V2909">
        <v>-2.6662539999999998E-2</v>
      </c>
      <c r="W2909">
        <v>3.140917E-2</v>
      </c>
      <c r="X2909">
        <v>0.99915089999999995</v>
      </c>
      <c r="Y2909">
        <v>-0.1054621</v>
      </c>
      <c r="Z2909">
        <v>2.074827E-3</v>
      </c>
      <c r="AA2909">
        <v>0.99442120000000001</v>
      </c>
      <c r="AB2909">
        <v>25</v>
      </c>
      <c r="AC2909">
        <v>21.640099999999901</v>
      </c>
      <c r="AD2909">
        <v>-1.104154619966</v>
      </c>
      <c r="AE2909">
        <v>2.57439999999999</v>
      </c>
      <c r="AF2909">
        <v>-2.3205659635040901</v>
      </c>
      <c r="AG2909">
        <v>-1.104154619966</v>
      </c>
      <c r="AH2909">
        <v>21.612669411466499</v>
      </c>
      <c r="AI2909">
        <v>92.907916616547098</v>
      </c>
      <c r="AJ2909">
        <v>96.128405650922303</v>
      </c>
      <c r="AK2909">
        <v>21.7649181690422</v>
      </c>
    </row>
    <row r="2910" spans="1:37" x14ac:dyDescent="0.2">
      <c r="A2910" t="str">
        <f>"20200111160213328"</f>
        <v>20200111160213328</v>
      </c>
      <c r="B2910" t="str">
        <f>"1578729733325228"</f>
        <v>1578729733325228</v>
      </c>
      <c r="C2910" t="s">
        <v>37</v>
      </c>
      <c r="D2910">
        <v>4.731147</v>
      </c>
      <c r="E2910">
        <v>0.47187669999999998</v>
      </c>
      <c r="F2910" t="s">
        <v>57</v>
      </c>
      <c r="G2910">
        <v>-239.44390000000001</v>
      </c>
      <c r="H2910" s="1">
        <v>3.390677E-6</v>
      </c>
      <c r="I2910">
        <v>216.8604</v>
      </c>
      <c r="J2910">
        <v>-260.81900000000002</v>
      </c>
      <c r="K2910">
        <v>1.104141</v>
      </c>
      <c r="L2910">
        <v>214.32589999999999</v>
      </c>
      <c r="M2910">
        <v>0.99985689999999905</v>
      </c>
      <c r="N2910">
        <v>0</v>
      </c>
      <c r="O2910">
        <v>1.111443E-2</v>
      </c>
      <c r="P2910">
        <v>0.99912730000000005</v>
      </c>
      <c r="Q2910">
        <v>1.9232050000000001E-2</v>
      </c>
      <c r="R2910">
        <v>3.7080559999999999E-2</v>
      </c>
      <c r="S2910">
        <v>2.9921259999999998</v>
      </c>
      <c r="T2910">
        <v>-0.15278820000000001</v>
      </c>
      <c r="U2910">
        <v>0.35104370000000001</v>
      </c>
      <c r="V2910">
        <v>-2.5954069999999999E-2</v>
      </c>
      <c r="W2910">
        <v>3.1993470000000003E-2</v>
      </c>
      <c r="X2910">
        <v>0.99915109999999996</v>
      </c>
      <c r="Y2910">
        <v>-0.105355399999999</v>
      </c>
      <c r="Z2910">
        <v>2.1137999999999999E-3</v>
      </c>
      <c r="AA2910">
        <v>0.99443239999999999</v>
      </c>
      <c r="AB2910">
        <v>25</v>
      </c>
      <c r="AC2910">
        <v>21.3751</v>
      </c>
      <c r="AD2910">
        <v>-1.104137609323</v>
      </c>
      <c r="AE2910">
        <v>2.5345</v>
      </c>
      <c r="AF2910">
        <v>-2.29072451785779</v>
      </c>
      <c r="AG2910">
        <v>-1.104137609323</v>
      </c>
      <c r="AH2910">
        <v>21.3457846330144</v>
      </c>
      <c r="AI2910">
        <v>92.944182557965604</v>
      </c>
      <c r="AJ2910">
        <v>96.125258860527794</v>
      </c>
      <c r="AK2910">
        <v>21.496722082123799</v>
      </c>
    </row>
    <row r="2911" spans="1:37" x14ac:dyDescent="0.2">
      <c r="A2911" t="str">
        <f>"20200111160213351"</f>
        <v>20200111160213351</v>
      </c>
      <c r="B2911" t="str">
        <f>"1578729733344281"</f>
        <v>1578729733344281</v>
      </c>
      <c r="C2911" t="s">
        <v>37</v>
      </c>
      <c r="D2911">
        <v>4.834937</v>
      </c>
      <c r="E2911">
        <v>0.47172700000000001</v>
      </c>
      <c r="F2911" t="s">
        <v>57</v>
      </c>
      <c r="G2911">
        <v>-239.48009999999999</v>
      </c>
      <c r="H2911" s="1">
        <v>3.4120539999999999E-6</v>
      </c>
      <c r="I2911">
        <v>216.81229999999999</v>
      </c>
      <c r="J2911">
        <v>-260.55579999999998</v>
      </c>
      <c r="K2911">
        <v>1.1041219999999901</v>
      </c>
      <c r="L2911">
        <v>214.32849999999999</v>
      </c>
      <c r="M2911">
        <v>0.99986330000000001</v>
      </c>
      <c r="N2911">
        <v>0</v>
      </c>
      <c r="O2911">
        <v>1.0767570000000001E-2</v>
      </c>
      <c r="P2911">
        <v>0.99913739999999995</v>
      </c>
      <c r="Q2911">
        <v>1.9456749999999998E-2</v>
      </c>
      <c r="R2911">
        <v>3.6684710000000002E-2</v>
      </c>
      <c r="S2911">
        <v>2.9926759999999999</v>
      </c>
      <c r="T2911">
        <v>-0.1548496</v>
      </c>
      <c r="U2911">
        <v>0.34870909999999999</v>
      </c>
      <c r="V2911">
        <v>-2.5904509999999999E-2</v>
      </c>
      <c r="W2911">
        <v>3.2013970000000003E-2</v>
      </c>
      <c r="X2911">
        <v>0.99915159999999903</v>
      </c>
      <c r="Y2911">
        <v>-0.1049108</v>
      </c>
      <c r="Z2911">
        <v>2.148404E-3</v>
      </c>
      <c r="AA2911">
        <v>0.99447929999999995</v>
      </c>
      <c r="AB2911">
        <v>25</v>
      </c>
      <c r="AC2911">
        <v>21.075699999999902</v>
      </c>
      <c r="AD2911">
        <v>-1.10411858794599</v>
      </c>
      <c r="AE2911">
        <v>2.4838</v>
      </c>
      <c r="AF2911">
        <v>-2.2506117962852601</v>
      </c>
      <c r="AG2911">
        <v>-1.10411858794599</v>
      </c>
      <c r="AH2911">
        <v>21.0442592652958</v>
      </c>
      <c r="AI2911">
        <v>92.986356423553403</v>
      </c>
      <c r="AJ2911">
        <v>96.1043857599457</v>
      </c>
      <c r="AK2911">
        <v>21.1930455418474</v>
      </c>
    </row>
    <row r="2912" spans="1:37" x14ac:dyDescent="0.2">
      <c r="A2912" t="str">
        <f>"20200111160213374"</f>
        <v>20200111160213374</v>
      </c>
      <c r="B2912" t="str">
        <f>"1578729733364776"</f>
        <v>1578729733364776</v>
      </c>
      <c r="C2912" t="s">
        <v>37</v>
      </c>
      <c r="D2912">
        <v>4.7674620000000001</v>
      </c>
      <c r="E2912">
        <v>0.47161499999999901</v>
      </c>
      <c r="F2912" t="s">
        <v>57</v>
      </c>
      <c r="G2912">
        <v>-239.14760000000001</v>
      </c>
      <c r="H2912" s="1">
        <v>3.23466299999999E-6</v>
      </c>
      <c r="I2912">
        <v>216.82259999999999</v>
      </c>
      <c r="J2912">
        <v>-260.2903</v>
      </c>
      <c r="K2912">
        <v>1.104095</v>
      </c>
      <c r="L2912">
        <v>214.33090000000001</v>
      </c>
      <c r="M2912">
        <v>0.99986960000000003</v>
      </c>
      <c r="N2912">
        <v>0</v>
      </c>
      <c r="O2912">
        <v>1.041865E-2</v>
      </c>
      <c r="P2912">
        <v>0.99916430000000001</v>
      </c>
      <c r="Q2912">
        <v>1.978833E-2</v>
      </c>
      <c r="R2912">
        <v>3.5760819999999999E-2</v>
      </c>
      <c r="S2912">
        <v>2.9927980000000001</v>
      </c>
      <c r="T2912">
        <v>-0.15435179999999901</v>
      </c>
      <c r="U2912">
        <v>0.34867859999999901</v>
      </c>
      <c r="V2912">
        <v>-2.532887E-2</v>
      </c>
      <c r="W2912">
        <v>3.2133589999999997E-2</v>
      </c>
      <c r="X2912">
        <v>0.99916260000000001</v>
      </c>
      <c r="Y2912">
        <v>-0.10524310000000001</v>
      </c>
      <c r="Z2912">
        <v>2.167876E-3</v>
      </c>
      <c r="AA2912">
        <v>0.99444409999999905</v>
      </c>
      <c r="AB2912">
        <v>25</v>
      </c>
      <c r="AC2912">
        <v>21.142699999999898</v>
      </c>
      <c r="AD2912">
        <v>-1.1040917653369999</v>
      </c>
      <c r="AE2912">
        <v>2.4916999999999798</v>
      </c>
      <c r="AF2912">
        <v>-2.2651770013930599</v>
      </c>
      <c r="AG2912">
        <v>-1.1040917653369999</v>
      </c>
      <c r="AH2912">
        <v>21.110733506851801</v>
      </c>
      <c r="AI2912">
        <v>92.976786478847202</v>
      </c>
      <c r="AJ2912">
        <v>96.1243922343414</v>
      </c>
      <c r="AK2912">
        <v>21.260600054354999</v>
      </c>
    </row>
    <row r="2913" spans="1:37" x14ac:dyDescent="0.2">
      <c r="A2913" t="str">
        <f>"20200111160213397"</f>
        <v>20200111160213397</v>
      </c>
      <c r="B2913" t="str">
        <f>"1578729733395032"</f>
        <v>1578729733395032</v>
      </c>
      <c r="C2913" t="s">
        <v>37</v>
      </c>
      <c r="D2913">
        <v>4.7580429999999998</v>
      </c>
      <c r="E2913">
        <v>0.47135929999999998</v>
      </c>
      <c r="F2913" t="s">
        <v>57</v>
      </c>
      <c r="G2913">
        <v>-238.86269999999999</v>
      </c>
      <c r="H2913" s="1">
        <v>3.08342899999999E-6</v>
      </c>
      <c r="I2913">
        <v>216.81360000000001</v>
      </c>
      <c r="J2913">
        <v>-260.02960000000002</v>
      </c>
      <c r="K2913">
        <v>1.104068</v>
      </c>
      <c r="L2913">
        <v>214.33320000000001</v>
      </c>
      <c r="M2913">
        <v>0.99987569999999903</v>
      </c>
      <c r="N2913">
        <v>0</v>
      </c>
      <c r="O2913">
        <v>1.0074609999999999E-2</v>
      </c>
      <c r="P2913">
        <v>0.99919419999999903</v>
      </c>
      <c r="Q2913">
        <v>1.990277E-2</v>
      </c>
      <c r="R2913">
        <v>3.4856230000000002E-2</v>
      </c>
      <c r="S2913">
        <v>2.9931640000000002</v>
      </c>
      <c r="T2913">
        <v>-0.15422749999999999</v>
      </c>
      <c r="U2913">
        <v>0.34680179999999999</v>
      </c>
      <c r="V2913">
        <v>-2.4768169999999999E-2</v>
      </c>
      <c r="W2913">
        <v>3.2044950000000003E-2</v>
      </c>
      <c r="X2913">
        <v>0.9991795</v>
      </c>
      <c r="Y2913">
        <v>-0.104956199999999</v>
      </c>
      <c r="Z2913">
        <v>2.176238E-3</v>
      </c>
      <c r="AA2913">
        <v>0.99447450000000004</v>
      </c>
      <c r="AB2913">
        <v>26</v>
      </c>
      <c r="AC2913">
        <v>21.166899999999998</v>
      </c>
      <c r="AD2913">
        <v>-1.1040649165709999</v>
      </c>
      <c r="AE2913">
        <v>2.4803999999999999</v>
      </c>
      <c r="AF2913">
        <v>-2.26094221643105</v>
      </c>
      <c r="AG2913">
        <v>-1.1040649165709999</v>
      </c>
      <c r="AH2913">
        <v>21.134096638936199</v>
      </c>
      <c r="AI2913">
        <v>92.9735297491859</v>
      </c>
      <c r="AJ2913">
        <v>96.106322662720402</v>
      </c>
      <c r="AK2913">
        <v>21.283347006284899</v>
      </c>
    </row>
    <row r="2914" spans="1:37" x14ac:dyDescent="0.2">
      <c r="A2914" t="str">
        <f>"20200111160213442"</f>
        <v>20200111160213442</v>
      </c>
      <c r="B2914" t="str">
        <f>"1578729733435048"</f>
        <v>1578729733435048</v>
      </c>
      <c r="C2914" t="s">
        <v>37</v>
      </c>
      <c r="D2914">
        <v>4.8463959999999897</v>
      </c>
      <c r="E2914">
        <v>0.47119099999999903</v>
      </c>
      <c r="F2914" t="s">
        <v>57</v>
      </c>
      <c r="G2914">
        <v>-238.60329999999999</v>
      </c>
      <c r="H2914" s="1">
        <v>2.9454629999999899E-6</v>
      </c>
      <c r="I2914">
        <v>216.8126</v>
      </c>
      <c r="J2914">
        <v>-259.50959999999998</v>
      </c>
      <c r="K2914">
        <v>1.1040049999999999</v>
      </c>
      <c r="L2914">
        <v>214.33760000000001</v>
      </c>
      <c r="M2914">
        <v>0.99988750000000004</v>
      </c>
      <c r="N2914">
        <v>0</v>
      </c>
      <c r="O2914">
        <v>9.3858239999999992E-3</v>
      </c>
      <c r="P2914">
        <v>0.99925059999999999</v>
      </c>
      <c r="Q2914">
        <v>1.9235149999999999E-2</v>
      </c>
      <c r="R2914">
        <v>3.3597849999999999E-2</v>
      </c>
      <c r="S2914">
        <v>2.9934080000000001</v>
      </c>
      <c r="T2914">
        <v>-0.1542461</v>
      </c>
      <c r="U2914">
        <v>0.34638979999999903</v>
      </c>
      <c r="V2914">
        <v>-2.41987E-2</v>
      </c>
      <c r="W2914">
        <v>3.095496E-2</v>
      </c>
      <c r="X2914">
        <v>0.9992278</v>
      </c>
      <c r="Y2914">
        <v>-0.105495399999999</v>
      </c>
      <c r="Z2914">
        <v>2.2255209999999998E-3</v>
      </c>
      <c r="AA2914">
        <v>0.99441729999999995</v>
      </c>
      <c r="AB2914">
        <v>26</v>
      </c>
      <c r="AC2914">
        <v>20.906299999999899</v>
      </c>
      <c r="AD2914">
        <v>-1.104002054537</v>
      </c>
      <c r="AE2914">
        <v>2.4749999999999899</v>
      </c>
      <c r="AF2914">
        <v>-2.2724054479153</v>
      </c>
      <c r="AG2914">
        <v>-1.104002054537</v>
      </c>
      <c r="AH2914">
        <v>20.871213568321199</v>
      </c>
      <c r="AI2914">
        <v>93.010135145875395</v>
      </c>
      <c r="AJ2914">
        <v>96.213744860313398</v>
      </c>
      <c r="AK2914">
        <v>21.023563039375802</v>
      </c>
    </row>
    <row r="2915" spans="1:37" x14ac:dyDescent="0.2">
      <c r="A2915" t="str">
        <f>"20200111160213464"</f>
        <v>20200111160213464</v>
      </c>
      <c r="B2915" t="str">
        <f>"1578729733454568"</f>
        <v>1578729733454568</v>
      </c>
      <c r="C2915" t="s">
        <v>37</v>
      </c>
      <c r="D2915">
        <v>5.1867140000000003</v>
      </c>
      <c r="E2915">
        <v>0.47115779999999902</v>
      </c>
      <c r="F2915" t="s">
        <v>57</v>
      </c>
      <c r="G2915">
        <v>-238.61930000000001</v>
      </c>
      <c r="H2915" s="1">
        <v>2.957169E-6</v>
      </c>
      <c r="I2915">
        <v>216.73929999999999</v>
      </c>
      <c r="J2915">
        <v>-259.25549999999998</v>
      </c>
      <c r="K2915">
        <v>1.103979</v>
      </c>
      <c r="L2915">
        <v>214.33959999999999</v>
      </c>
      <c r="M2915">
        <v>0.99989309999999998</v>
      </c>
      <c r="N2915">
        <v>0</v>
      </c>
      <c r="O2915">
        <v>9.0492409999999995E-3</v>
      </c>
      <c r="P2915">
        <v>0.99928059999999996</v>
      </c>
      <c r="Q2915">
        <v>1.8896340000000001E-2</v>
      </c>
      <c r="R2915">
        <v>3.2885629999999999E-2</v>
      </c>
      <c r="S2915">
        <v>2.993744</v>
      </c>
      <c r="T2915">
        <v>-0.15821189999999999</v>
      </c>
      <c r="U2915">
        <v>0.34417720000000002</v>
      </c>
      <c r="V2915">
        <v>-2.3823170000000001E-2</v>
      </c>
      <c r="W2915">
        <v>3.039447E-2</v>
      </c>
      <c r="X2915">
        <v>0.99925399999999998</v>
      </c>
      <c r="Y2915">
        <v>-0.105085699999999</v>
      </c>
      <c r="Z2915">
        <v>2.2894360000000002E-3</v>
      </c>
      <c r="AA2915">
        <v>0.99446049999999997</v>
      </c>
      <c r="AB2915">
        <v>26</v>
      </c>
      <c r="AC2915">
        <v>20.636199999999899</v>
      </c>
      <c r="AD2915">
        <v>-1.1039760428309999</v>
      </c>
      <c r="AE2915">
        <v>2.39969999999999</v>
      </c>
      <c r="AF2915">
        <v>-2.2066165300116598</v>
      </c>
      <c r="AG2915">
        <v>-1.1039760428309999</v>
      </c>
      <c r="AH2915">
        <v>20.598905639157501</v>
      </c>
      <c r="AI2915">
        <v>93.050351573788703</v>
      </c>
      <c r="AJ2915">
        <v>96.114378639272402</v>
      </c>
      <c r="AK2915">
        <v>20.746152249142</v>
      </c>
    </row>
    <row r="2916" spans="1:37" x14ac:dyDescent="0.2">
      <c r="A2916" t="str">
        <f>"20200111160213483"</f>
        <v>20200111160213483</v>
      </c>
      <c r="B2916" t="str">
        <f>"1578729733475064"</f>
        <v>1578729733475064</v>
      </c>
      <c r="C2916" t="s">
        <v>37</v>
      </c>
      <c r="D2916">
        <v>5.2080549999999999</v>
      </c>
      <c r="E2916">
        <v>0.47099999999999997</v>
      </c>
      <c r="F2916" t="s">
        <v>57</v>
      </c>
      <c r="G2916">
        <v>-238.56870000000001</v>
      </c>
      <c r="H2916" s="1">
        <v>2.9318079999999998E-6</v>
      </c>
      <c r="I2916">
        <v>216.70410000000001</v>
      </c>
      <c r="J2916">
        <v>-259.03429999999997</v>
      </c>
      <c r="K2916">
        <v>1.103952</v>
      </c>
      <c r="L2916">
        <v>214.34129999999999</v>
      </c>
      <c r="M2916">
        <v>0.99989799999999995</v>
      </c>
      <c r="N2916">
        <v>0</v>
      </c>
      <c r="O2916">
        <v>8.7563490000000001E-3</v>
      </c>
      <c r="P2916">
        <v>0.9992818</v>
      </c>
      <c r="Q2916">
        <v>1.9017639999999999E-2</v>
      </c>
      <c r="R2916">
        <v>3.2777609999999999E-2</v>
      </c>
      <c r="S2916">
        <v>2.9939269999999998</v>
      </c>
      <c r="T2916">
        <v>-0.1597749</v>
      </c>
      <c r="U2916">
        <v>0.34220889999999998</v>
      </c>
      <c r="V2916">
        <v>-2.40080999999999E-2</v>
      </c>
      <c r="W2916">
        <v>3.0318680000000001E-2</v>
      </c>
      <c r="X2916">
        <v>0.99925189999999997</v>
      </c>
      <c r="Y2916">
        <v>-0.1047222</v>
      </c>
      <c r="Z2916">
        <v>2.3178750000000001E-3</v>
      </c>
      <c r="AA2916">
        <v>0.99449880000000002</v>
      </c>
      <c r="AB2916">
        <v>26</v>
      </c>
      <c r="AC2916">
        <v>20.465599999999899</v>
      </c>
      <c r="AD2916">
        <v>-1.1039490681919999</v>
      </c>
      <c r="AE2916">
        <v>2.36280000000002</v>
      </c>
      <c r="AF2916">
        <v>-2.1772422563598601</v>
      </c>
      <c r="AG2916">
        <v>-1.1039490681919999</v>
      </c>
      <c r="AH2916">
        <v>20.426851800763501</v>
      </c>
      <c r="AI2916">
        <v>93.076094073333806</v>
      </c>
      <c r="AJ2916">
        <v>96.084029888932093</v>
      </c>
      <c r="AK2916">
        <v>20.572198761396301</v>
      </c>
    </row>
    <row r="2917" spans="1:37" x14ac:dyDescent="0.2">
      <c r="A2917" t="str">
        <f>"20200111160213507"</f>
        <v>20200111160213507</v>
      </c>
      <c r="B2917" t="str">
        <f>"1578729733494584"</f>
        <v>1578729733494584</v>
      </c>
      <c r="C2917" t="s">
        <v>37</v>
      </c>
      <c r="D2917">
        <v>4.8842660000000002</v>
      </c>
      <c r="E2917">
        <v>0.4707827</v>
      </c>
      <c r="F2917" t="s">
        <v>57</v>
      </c>
      <c r="G2917">
        <v>-238.36779999999999</v>
      </c>
      <c r="H2917" s="1">
        <v>2.824561E-6</v>
      </c>
      <c r="I2917">
        <v>216.71129999999999</v>
      </c>
      <c r="J2917">
        <v>-258.77379999999999</v>
      </c>
      <c r="K2917">
        <v>1.1039239999999999</v>
      </c>
      <c r="L2917">
        <v>214.3432</v>
      </c>
      <c r="M2917">
        <v>0.99990349999999995</v>
      </c>
      <c r="N2917">
        <v>0</v>
      </c>
      <c r="O2917">
        <v>8.4121270000000001E-3</v>
      </c>
      <c r="P2917">
        <v>0.99929590000000001</v>
      </c>
      <c r="Q2917">
        <v>1.8591690000000001E-2</v>
      </c>
      <c r="R2917">
        <v>3.2590790000000001E-2</v>
      </c>
      <c r="S2917">
        <v>2.9939269999999998</v>
      </c>
      <c r="T2917">
        <v>-0.15992729999999999</v>
      </c>
      <c r="U2917">
        <v>0.34333799999999998</v>
      </c>
      <c r="V2917">
        <v>-2.416534E-2</v>
      </c>
      <c r="W2917">
        <v>2.9662850000000001E-2</v>
      </c>
      <c r="X2917">
        <v>0.99926780000000004</v>
      </c>
      <c r="Y2917">
        <v>-0.1054331</v>
      </c>
      <c r="Z2917">
        <v>2.3572549999999999E-3</v>
      </c>
      <c r="AA2917">
        <v>0.99442359999999896</v>
      </c>
      <c r="AB2917">
        <v>26</v>
      </c>
      <c r="AC2917">
        <v>20.405999999999999</v>
      </c>
      <c r="AD2917">
        <v>-1.1039211754389999</v>
      </c>
      <c r="AE2917">
        <v>2.3680999999999899</v>
      </c>
      <c r="AF2917">
        <v>-2.1900237354848402</v>
      </c>
      <c r="AG2917">
        <v>-1.1039211754389999</v>
      </c>
      <c r="AH2917">
        <v>20.366388054929001</v>
      </c>
      <c r="AI2917">
        <v>93.084823309648996</v>
      </c>
      <c r="AJ2917">
        <v>96.137504957508497</v>
      </c>
      <c r="AK2917">
        <v>20.5135225723795</v>
      </c>
    </row>
    <row r="2918" spans="1:37" x14ac:dyDescent="0.2">
      <c r="A2918" t="str">
        <f>"20200111160213528"</f>
        <v>20200111160213528</v>
      </c>
      <c r="B2918" t="str">
        <f>"1578729733524841"</f>
        <v>1578729733524841</v>
      </c>
      <c r="C2918" t="s">
        <v>37</v>
      </c>
      <c r="D2918">
        <v>5.0573399999999999</v>
      </c>
      <c r="E2918">
        <v>0.47042029999999901</v>
      </c>
      <c r="F2918" t="s">
        <v>57</v>
      </c>
      <c r="G2918">
        <v>-238.3356</v>
      </c>
      <c r="H2918" s="1">
        <v>2.8081569999999999E-6</v>
      </c>
      <c r="I2918">
        <v>216.69470000000001</v>
      </c>
      <c r="J2918">
        <v>-258.51909999999998</v>
      </c>
      <c r="K2918">
        <v>1.1038950000000001</v>
      </c>
      <c r="L2918">
        <v>214.345</v>
      </c>
      <c r="M2918">
        <v>0.99990859999999904</v>
      </c>
      <c r="N2918">
        <v>0</v>
      </c>
      <c r="O2918">
        <v>8.077463E-3</v>
      </c>
      <c r="P2918">
        <v>0.99929000000000001</v>
      </c>
      <c r="Q2918">
        <v>1.8597550000000001E-2</v>
      </c>
      <c r="R2918">
        <v>3.2769489999999998E-2</v>
      </c>
      <c r="S2918">
        <v>2.9938660000000001</v>
      </c>
      <c r="T2918">
        <v>-0.16170689999999999</v>
      </c>
      <c r="U2918">
        <v>0.34445189999999998</v>
      </c>
      <c r="V2918">
        <v>-2.467867E-2</v>
      </c>
      <c r="W2918">
        <v>2.9452659999999999E-2</v>
      </c>
      <c r="X2918">
        <v>0.99926150000000002</v>
      </c>
      <c r="Y2918">
        <v>-0.1061288</v>
      </c>
      <c r="Z2918">
        <v>2.4201600000000002E-3</v>
      </c>
      <c r="AA2918">
        <v>0.99434940000000005</v>
      </c>
      <c r="AB2918">
        <v>26</v>
      </c>
      <c r="AC2918">
        <v>20.183499999999899</v>
      </c>
      <c r="AD2918">
        <v>-1.103892191843</v>
      </c>
      <c r="AE2918">
        <v>2.3497000000000101</v>
      </c>
      <c r="AF2918">
        <v>-2.1801479994450701</v>
      </c>
      <c r="AG2918">
        <v>-1.103892191843</v>
      </c>
      <c r="AH2918">
        <v>20.142375926889599</v>
      </c>
      <c r="AI2918">
        <v>93.118747649277296</v>
      </c>
      <c r="AJ2918">
        <v>96.177468052536994</v>
      </c>
      <c r="AK2918">
        <v>20.290069769491701</v>
      </c>
    </row>
    <row r="2919" spans="1:37" x14ac:dyDescent="0.2">
      <c r="A2919" t="str">
        <f>"20200111160213553"</f>
        <v>20200111160213553</v>
      </c>
      <c r="B2919" t="str">
        <f>"1578729733544360"</f>
        <v>1578729733544360</v>
      </c>
      <c r="C2919" t="s">
        <v>37</v>
      </c>
      <c r="D2919">
        <v>5.1480980000000001</v>
      </c>
      <c r="E2919">
        <v>0.47018359999999898</v>
      </c>
      <c r="F2919" t="s">
        <v>57</v>
      </c>
      <c r="G2919">
        <v>-238.1765</v>
      </c>
      <c r="H2919" s="1">
        <v>2.72285199999999E-6</v>
      </c>
      <c r="I2919">
        <v>216.70910000000001</v>
      </c>
      <c r="J2919">
        <v>-258.23480000000001</v>
      </c>
      <c r="K2919">
        <v>1.1038709999999901</v>
      </c>
      <c r="L2919">
        <v>214.3468</v>
      </c>
      <c r="M2919">
        <v>0.99991409999999903</v>
      </c>
      <c r="N2919">
        <v>0</v>
      </c>
      <c r="O2919">
        <v>7.706821E-3</v>
      </c>
      <c r="P2919">
        <v>0.99928899999999998</v>
      </c>
      <c r="Q2919">
        <v>1.8606190000000002E-2</v>
      </c>
      <c r="R2919">
        <v>3.2798000000000001E-2</v>
      </c>
      <c r="S2919">
        <v>2.993744</v>
      </c>
      <c r="T2919">
        <v>-0.1624553</v>
      </c>
      <c r="U2919">
        <v>0.34791559999999999</v>
      </c>
      <c r="V2919">
        <v>-2.5078119999999999E-2</v>
      </c>
      <c r="W2919">
        <v>2.9237220000000001E-2</v>
      </c>
      <c r="X2919">
        <v>0.99925789999999903</v>
      </c>
      <c r="Y2919">
        <v>-0.1076331</v>
      </c>
      <c r="Z2919">
        <v>2.4919619999999999E-3</v>
      </c>
      <c r="AA2919">
        <v>0.9941875</v>
      </c>
      <c r="AB2919">
        <v>26</v>
      </c>
      <c r="AC2919">
        <v>20.058299999999999</v>
      </c>
      <c r="AD2919">
        <v>-1.10386827714799</v>
      </c>
      <c r="AE2919">
        <v>2.3622999999999998</v>
      </c>
      <c r="AF2919">
        <v>-2.2010604188050298</v>
      </c>
      <c r="AG2919">
        <v>-1.10386827714799</v>
      </c>
      <c r="AH2919">
        <v>20.016118990957899</v>
      </c>
      <c r="AI2919">
        <v>93.137729608771295</v>
      </c>
      <c r="AJ2919">
        <v>96.275282865168094</v>
      </c>
      <c r="AK2919">
        <v>20.167007998230901</v>
      </c>
    </row>
    <row r="2920" spans="1:37" x14ac:dyDescent="0.2">
      <c r="A2920" t="str">
        <f>"20200111160213573"</f>
        <v>20200111160213573</v>
      </c>
      <c r="B2920" t="str">
        <f>"1578729733564857"</f>
        <v>1578729733564857</v>
      </c>
      <c r="C2920" t="s">
        <v>37</v>
      </c>
      <c r="D2920">
        <v>4.9404240000000001</v>
      </c>
      <c r="E2920">
        <v>0.47016210000000003</v>
      </c>
      <c r="F2920" t="s">
        <v>57</v>
      </c>
      <c r="G2920">
        <v>-237.964</v>
      </c>
      <c r="H2920" s="1">
        <v>2.60949299999999E-6</v>
      </c>
      <c r="I2920">
        <v>216.7157</v>
      </c>
      <c r="J2920">
        <v>-257.9982</v>
      </c>
      <c r="K2920">
        <v>1.103858</v>
      </c>
      <c r="L2920">
        <v>214.34829999999999</v>
      </c>
      <c r="M2920">
        <v>0.99991799999999997</v>
      </c>
      <c r="N2920">
        <v>0</v>
      </c>
      <c r="O2920">
        <v>7.4009399999999999E-3</v>
      </c>
      <c r="P2920">
        <v>0.99929259999999998</v>
      </c>
      <c r="Q2920">
        <v>1.8215950000000002E-2</v>
      </c>
      <c r="R2920">
        <v>3.2903590000000003E-2</v>
      </c>
      <c r="S2920">
        <v>2.9936829999999999</v>
      </c>
      <c r="T2920">
        <v>-0.1630239</v>
      </c>
      <c r="U2920">
        <v>0.34983829999999999</v>
      </c>
      <c r="V2920">
        <v>-2.548926E-2</v>
      </c>
      <c r="W2920">
        <v>2.8678120000000001E-2</v>
      </c>
      <c r="X2920">
        <v>0.99926360000000003</v>
      </c>
      <c r="Y2920">
        <v>-0.108566699999999</v>
      </c>
      <c r="Z2920">
        <v>2.5425299999999999E-3</v>
      </c>
      <c r="AA2920">
        <v>0.99408589999999997</v>
      </c>
      <c r="AB2920">
        <v>26</v>
      </c>
      <c r="AC2920">
        <v>20.034199999999899</v>
      </c>
      <c r="AD2920">
        <v>-1.1038553905070001</v>
      </c>
      <c r="AE2920">
        <v>2.3673999999999999</v>
      </c>
      <c r="AF2920">
        <v>-2.21243103364719</v>
      </c>
      <c r="AG2920">
        <v>-1.1038553905070001</v>
      </c>
      <c r="AH2920">
        <v>19.991318341699799</v>
      </c>
      <c r="AI2920">
        <v>93.141336822545099</v>
      </c>
      <c r="AJ2920">
        <v>96.315201826577095</v>
      </c>
      <c r="AK2920">
        <v>20.143638123263099</v>
      </c>
    </row>
    <row r="2921" spans="1:37" x14ac:dyDescent="0.2">
      <c r="A2921" t="str">
        <f>"20200111160213597"</f>
        <v>20200111160213597</v>
      </c>
      <c r="B2921" t="str">
        <f>"1578729733584377"</f>
        <v>1578729733584377</v>
      </c>
      <c r="C2921" t="s">
        <v>37</v>
      </c>
      <c r="D2921">
        <v>5.26274</v>
      </c>
      <c r="E2921">
        <v>0.47151700000000002</v>
      </c>
      <c r="F2921" t="s">
        <v>57</v>
      </c>
      <c r="G2921">
        <v>-237.83330000000001</v>
      </c>
      <c r="H2921" s="1">
        <v>2.54022099999999E-6</v>
      </c>
      <c r="I2921">
        <v>216.7089</v>
      </c>
      <c r="J2921">
        <v>-257.72719999999998</v>
      </c>
      <c r="K2921">
        <v>1.1038459999999899</v>
      </c>
      <c r="L2921">
        <v>214.35</v>
      </c>
      <c r="M2921">
        <v>0.99992230000000004</v>
      </c>
      <c r="N2921">
        <v>0</v>
      </c>
      <c r="O2921">
        <v>7.0540079999999996E-3</v>
      </c>
      <c r="P2921">
        <v>0.99928430000000001</v>
      </c>
      <c r="Q2921">
        <v>1.883025E-2</v>
      </c>
      <c r="R2921">
        <v>3.2812069999999999E-2</v>
      </c>
      <c r="S2921">
        <v>2.993576</v>
      </c>
      <c r="T2921">
        <v>-0.1638722</v>
      </c>
      <c r="U2921">
        <v>0.3504333</v>
      </c>
      <c r="V2921">
        <v>-2.5744329999999999E-2</v>
      </c>
      <c r="W2921">
        <v>2.9119019999999999E-2</v>
      </c>
      <c r="X2921">
        <v>0.99924439999999903</v>
      </c>
      <c r="Y2921">
        <v>-0.1091077</v>
      </c>
      <c r="Z2921">
        <v>2.58946E-3</v>
      </c>
      <c r="AA2921">
        <v>0.99402649999999904</v>
      </c>
      <c r="AB2921">
        <v>26</v>
      </c>
      <c r="AC2921">
        <v>19.893899999999899</v>
      </c>
      <c r="AD2921">
        <v>-1.1038434597789999</v>
      </c>
      <c r="AE2921">
        <v>2.3589000000000002</v>
      </c>
      <c r="AF2921">
        <v>-2.2117870258179901</v>
      </c>
      <c r="AG2921">
        <v>-1.1038434597789999</v>
      </c>
      <c r="AH2921">
        <v>19.849780279063499</v>
      </c>
      <c r="AI2921">
        <v>93.163394481401596</v>
      </c>
      <c r="AJ2921">
        <v>96.358028331617703</v>
      </c>
      <c r="AK2921">
        <v>20.003105992779499</v>
      </c>
    </row>
    <row r="2922" spans="1:37" x14ac:dyDescent="0.2">
      <c r="A2922" t="str">
        <f>"20200111160213618"</f>
        <v>20200111160213618</v>
      </c>
      <c r="B2922" t="str">
        <f>"1578729733614632"</f>
        <v>1578729733614632</v>
      </c>
      <c r="C2922" t="s">
        <v>37</v>
      </c>
      <c r="D2922">
        <v>5.1839199999999996</v>
      </c>
      <c r="E2922">
        <v>0.55425440000000004</v>
      </c>
      <c r="F2922" t="s">
        <v>57</v>
      </c>
      <c r="G2922">
        <v>-237.702</v>
      </c>
      <c r="H2922" s="1">
        <v>2.4742859999999998E-6</v>
      </c>
      <c r="I2922">
        <v>216.61879999999999</v>
      </c>
      <c r="J2922">
        <v>-257.48230000000001</v>
      </c>
      <c r="K2922">
        <v>1.1038429999999999</v>
      </c>
      <c r="L2922">
        <v>214.35140000000001</v>
      </c>
      <c r="M2922">
        <v>0.99992590000000003</v>
      </c>
      <c r="N2922">
        <v>0</v>
      </c>
      <c r="O2922">
        <v>6.7471889999999998E-3</v>
      </c>
      <c r="P2922">
        <v>0.99927779999999999</v>
      </c>
      <c r="Q2922">
        <v>1.9373769999999998E-2</v>
      </c>
      <c r="R2922">
        <v>3.2686300000000001E-2</v>
      </c>
      <c r="S2922">
        <v>2.9941559999999998</v>
      </c>
      <c r="T2922">
        <v>-0.1650459</v>
      </c>
      <c r="U2922">
        <v>0.33923340000000002</v>
      </c>
      <c r="V2922">
        <v>-2.5925549999999999E-2</v>
      </c>
      <c r="W2922">
        <v>2.9522719999999999E-2</v>
      </c>
      <c r="X2922">
        <v>0.9992278</v>
      </c>
      <c r="Y2922">
        <v>-0.105722699999999</v>
      </c>
      <c r="Z2922">
        <v>2.531948E-3</v>
      </c>
      <c r="AA2922">
        <v>0.99439239999999995</v>
      </c>
      <c r="AB2922">
        <v>26</v>
      </c>
      <c r="AC2922">
        <v>19.7803</v>
      </c>
      <c r="AD2922">
        <v>-1.103840525714</v>
      </c>
      <c r="AE2922">
        <v>2.2673999999999799</v>
      </c>
      <c r="AF2922">
        <v>-2.1273410587981898</v>
      </c>
      <c r="AG2922">
        <v>-1.103840525714</v>
      </c>
      <c r="AH2922">
        <v>19.7344889261473</v>
      </c>
      <c r="AI2922">
        <v>93.183077148677299</v>
      </c>
      <c r="AJ2922">
        <v>96.152619412323602</v>
      </c>
      <c r="AK2922">
        <v>19.879489356190401</v>
      </c>
    </row>
    <row r="2923" spans="1:37" x14ac:dyDescent="0.2">
      <c r="A2923" t="str">
        <f>"20200111160213664"</f>
        <v>20200111160213664</v>
      </c>
      <c r="B2923" t="str">
        <f>"1578729733654648"</f>
        <v>1578729733654648</v>
      </c>
      <c r="C2923" t="s">
        <v>37</v>
      </c>
      <c r="D2923">
        <v>5.1661080000000004</v>
      </c>
      <c r="E2923">
        <v>0.55667540000000004</v>
      </c>
      <c r="F2923" t="s">
        <v>42</v>
      </c>
      <c r="G2923">
        <v>-256.6327</v>
      </c>
      <c r="H2923">
        <v>1.0284409999999999</v>
      </c>
      <c r="I2923">
        <v>214.26240000000001</v>
      </c>
      <c r="J2923">
        <v>-256.94080000000002</v>
      </c>
      <c r="K2923">
        <v>1.103853</v>
      </c>
      <c r="L2923">
        <v>214.35419999999999</v>
      </c>
      <c r="M2923">
        <v>0.9999325</v>
      </c>
      <c r="N2923">
        <v>0</v>
      </c>
      <c r="O2923">
        <v>6.1074569999999898E-3</v>
      </c>
      <c r="P2923">
        <v>0.99925759999999897</v>
      </c>
      <c r="Q2923">
        <v>2.0841950000000001E-2</v>
      </c>
      <c r="R2923">
        <v>3.2403950000000001E-2</v>
      </c>
      <c r="S2923">
        <v>3.01768499999999</v>
      </c>
      <c r="T2923">
        <v>-0.26785559999999897</v>
      </c>
      <c r="U2923">
        <v>-0.31542969999999998</v>
      </c>
      <c r="V2923">
        <v>-2.6283359999999999E-2</v>
      </c>
      <c r="W2923">
        <v>3.074812E-2</v>
      </c>
      <c r="X2923">
        <v>0.99918149999999994</v>
      </c>
      <c r="Y2923">
        <v>0.109583399999999</v>
      </c>
      <c r="Z2923">
        <v>-5.3804169999999898E-3</v>
      </c>
      <c r="AA2923">
        <v>0.99396309999999999</v>
      </c>
      <c r="AB2923">
        <v>26</v>
      </c>
      <c r="AC2923">
        <v>0.30810000000002402</v>
      </c>
      <c r="AD2923">
        <v>-7.5412000000000007E-2</v>
      </c>
      <c r="AE2923">
        <v>-9.1799999999977899E-2</v>
      </c>
      <c r="AF2923">
        <v>8.8794203945352604E-2</v>
      </c>
      <c r="AG2923">
        <v>-7.5412000000000007E-2</v>
      </c>
      <c r="AH2923">
        <v>0.29149415412942598</v>
      </c>
      <c r="AI2923">
        <v>103.90032608984799</v>
      </c>
      <c r="AJ2923">
        <v>73.058349672974799</v>
      </c>
      <c r="AK2923">
        <v>0.313911169425235</v>
      </c>
    </row>
    <row r="2924" spans="1:37" x14ac:dyDescent="0.2">
      <c r="A2924" t="str">
        <f>"20200111160213687"</f>
        <v>20200111160213687</v>
      </c>
      <c r="B2924" t="str">
        <f>"1578729733684904"</f>
        <v>1578729733684904</v>
      </c>
      <c r="C2924" t="s">
        <v>37</v>
      </c>
      <c r="D2924">
        <v>5.2922250000000002</v>
      </c>
      <c r="E2924">
        <v>0.55927749999999998</v>
      </c>
      <c r="F2924" t="s">
        <v>42</v>
      </c>
      <c r="G2924">
        <v>-256.1619</v>
      </c>
      <c r="H2924">
        <v>1.035955</v>
      </c>
      <c r="I2924">
        <v>214.26750000000001</v>
      </c>
      <c r="J2924">
        <v>-256.6662</v>
      </c>
      <c r="K2924">
        <v>1.103864</v>
      </c>
      <c r="L2924">
        <v>214.35560000000001</v>
      </c>
      <c r="M2924">
        <v>0.99993500000000002</v>
      </c>
      <c r="N2924">
        <v>0</v>
      </c>
      <c r="O2924">
        <v>5.812083E-3</v>
      </c>
      <c r="P2924">
        <v>0.99928050000000002</v>
      </c>
      <c r="Q2924">
        <v>2.059944E-2</v>
      </c>
      <c r="R2924">
        <v>3.1847689999999998E-2</v>
      </c>
      <c r="S2924">
        <v>3.0186160000000002</v>
      </c>
      <c r="T2924">
        <v>-0.26319330000000002</v>
      </c>
      <c r="U2924">
        <v>-0.33587649999999902</v>
      </c>
      <c r="V2924">
        <v>-2.6023480000000002E-2</v>
      </c>
      <c r="W2924">
        <v>3.0419249999999998E-2</v>
      </c>
      <c r="X2924">
        <v>0.99919840000000004</v>
      </c>
      <c r="Y2924">
        <v>0.1159046</v>
      </c>
      <c r="Z2924">
        <v>-5.5321819999999897E-3</v>
      </c>
      <c r="AA2924">
        <v>0.99324489999999999</v>
      </c>
      <c r="AB2924">
        <v>26</v>
      </c>
      <c r="AC2924">
        <v>0.50429999999999997</v>
      </c>
      <c r="AD2924">
        <v>-6.7908999999999997E-2</v>
      </c>
      <c r="AE2924">
        <v>-8.8099999999997097E-2</v>
      </c>
      <c r="AF2924">
        <v>8.9455601352453201E-2</v>
      </c>
      <c r="AG2924">
        <v>-6.7908999999999997E-2</v>
      </c>
      <c r="AH2924">
        <v>0.49506806083861299</v>
      </c>
      <c r="AI2924">
        <v>97.687609101852004</v>
      </c>
      <c r="AJ2924">
        <v>79.757540992975706</v>
      </c>
      <c r="AK2924">
        <v>0.50764783241616795</v>
      </c>
    </row>
    <row r="2925" spans="1:37" x14ac:dyDescent="0.2">
      <c r="A2925" t="str">
        <f>"20200111160213709"</f>
        <v>20200111160213709</v>
      </c>
      <c r="B2925" t="str">
        <f>"1578729733704424"</f>
        <v>1578729733704424</v>
      </c>
      <c r="C2925" t="s">
        <v>37</v>
      </c>
      <c r="D2925">
        <v>5.2714299999999996</v>
      </c>
      <c r="E2925">
        <v>0.5594498</v>
      </c>
      <c r="F2925" t="s">
        <v>42</v>
      </c>
      <c r="G2925">
        <v>-255.9263</v>
      </c>
      <c r="H2925">
        <v>1.0390809999999999</v>
      </c>
      <c r="I2925">
        <v>214.26769999999999</v>
      </c>
      <c r="J2925">
        <v>-256.41820000000001</v>
      </c>
      <c r="K2925">
        <v>1.1038709999999901</v>
      </c>
      <c r="L2925">
        <v>214.35679999999999</v>
      </c>
      <c r="M2925">
        <v>0.99993699999999996</v>
      </c>
      <c r="N2925">
        <v>0</v>
      </c>
      <c r="O2925">
        <v>5.5688889999999996E-3</v>
      </c>
      <c r="P2925">
        <v>0.99934129999999999</v>
      </c>
      <c r="Q2925">
        <v>1.9519399999999999E-2</v>
      </c>
      <c r="R2925">
        <v>3.0595520000000001E-2</v>
      </c>
      <c r="S2925">
        <v>3.019012</v>
      </c>
      <c r="T2925">
        <v>-0.26439770000000001</v>
      </c>
      <c r="U2925">
        <v>-0.35781859999999999</v>
      </c>
      <c r="V2925">
        <v>-2.501567E-2</v>
      </c>
      <c r="W2925">
        <v>2.927488E-2</v>
      </c>
      <c r="X2925">
        <v>0.99925830000000004</v>
      </c>
      <c r="Y2925">
        <v>0.12274210000000001</v>
      </c>
      <c r="Z2925">
        <v>-5.8310109999999997E-3</v>
      </c>
      <c r="AA2925">
        <v>0.99242140000000001</v>
      </c>
      <c r="AB2925">
        <v>26</v>
      </c>
      <c r="AC2925">
        <v>0.49190000000001499</v>
      </c>
      <c r="AD2925">
        <v>-6.4789999999999903E-2</v>
      </c>
      <c r="AE2925">
        <v>-8.91000000000019E-2</v>
      </c>
      <c r="AF2925">
        <v>9.0320928240502904E-2</v>
      </c>
      <c r="AG2925">
        <v>-6.4789999999999903E-2</v>
      </c>
      <c r="AH2925">
        <v>0.48327834128185299</v>
      </c>
      <c r="AI2925">
        <v>97.507282181067595</v>
      </c>
      <c r="AJ2925">
        <v>79.413992853497504</v>
      </c>
      <c r="AK2925">
        <v>0.49589673252640498</v>
      </c>
    </row>
    <row r="2926" spans="1:37" x14ac:dyDescent="0.2">
      <c r="A2926" t="str">
        <f>"20200111160213731"</f>
        <v>20200111160213731</v>
      </c>
      <c r="B2926" t="str">
        <f>"1578729733724920"</f>
        <v>1578729733724920</v>
      </c>
      <c r="C2926" t="s">
        <v>37</v>
      </c>
      <c r="D2926">
        <v>5.1997140000000002</v>
      </c>
      <c r="E2926">
        <v>0.55990799999999996</v>
      </c>
      <c r="F2926" t="s">
        <v>42</v>
      </c>
      <c r="G2926">
        <v>-255.6917</v>
      </c>
      <c r="H2926">
        <v>1.039056</v>
      </c>
      <c r="I2926">
        <v>214.26939999999999</v>
      </c>
      <c r="J2926">
        <v>-256.15140000000002</v>
      </c>
      <c r="K2926">
        <v>1.1038840000000001</v>
      </c>
      <c r="L2926">
        <v>214.3579</v>
      </c>
      <c r="M2926">
        <v>0.99993880000000002</v>
      </c>
      <c r="N2926">
        <v>0</v>
      </c>
      <c r="O2926">
        <v>5.338593E-3</v>
      </c>
      <c r="P2926">
        <v>0.99938289999999996</v>
      </c>
      <c r="Q2926">
        <v>1.874075E-2</v>
      </c>
      <c r="R2926">
        <v>2.9712619999999999E-2</v>
      </c>
      <c r="S2926">
        <v>3.0183869999999899</v>
      </c>
      <c r="T2926">
        <v>-0.2693217</v>
      </c>
      <c r="U2926">
        <v>-0.36294559999999998</v>
      </c>
      <c r="V2926">
        <v>-2.4364420000000001E-2</v>
      </c>
      <c r="W2926">
        <v>2.8436949999999999E-2</v>
      </c>
      <c r="X2926">
        <v>0.99929859999999904</v>
      </c>
      <c r="Y2926">
        <v>0.1241765</v>
      </c>
      <c r="Z2926">
        <v>-5.9830079999999997E-3</v>
      </c>
      <c r="AA2926">
        <v>0.99224210000000002</v>
      </c>
      <c r="AB2926">
        <v>26</v>
      </c>
      <c r="AC2926">
        <v>0.45970000000002598</v>
      </c>
      <c r="AD2926">
        <v>-6.4828000000000094E-2</v>
      </c>
      <c r="AE2926">
        <v>-8.8500000000010404E-2</v>
      </c>
      <c r="AF2926">
        <v>8.9241655206476395E-2</v>
      </c>
      <c r="AG2926">
        <v>-6.4828000000000094E-2</v>
      </c>
      <c r="AH2926">
        <v>0.45058036929661699</v>
      </c>
      <c r="AI2926">
        <v>98.033386747554999</v>
      </c>
      <c r="AJ2926">
        <v>78.797021775594203</v>
      </c>
      <c r="AK2926">
        <v>0.46388512781018099</v>
      </c>
    </row>
    <row r="2927" spans="1:37" x14ac:dyDescent="0.2">
      <c r="A2927" t="str">
        <f>"20200111160213756"</f>
        <v>20200111160213756</v>
      </c>
      <c r="B2927" t="str">
        <f>"1578729733744441"</f>
        <v>1578729733744441</v>
      </c>
      <c r="C2927" t="s">
        <v>37</v>
      </c>
      <c r="D2927">
        <v>5.2468539999999999</v>
      </c>
      <c r="E2927">
        <v>0.55992299999999995</v>
      </c>
      <c r="F2927" t="s">
        <v>42</v>
      </c>
      <c r="G2927">
        <v>-255.23009999999999</v>
      </c>
      <c r="H2927">
        <v>1.0204789999999999</v>
      </c>
      <c r="I2927">
        <v>214.24510000000001</v>
      </c>
      <c r="J2927">
        <v>-255.86420000000001</v>
      </c>
      <c r="K2927">
        <v>1.1039019999999999</v>
      </c>
      <c r="L2927">
        <v>214.35919999999999</v>
      </c>
      <c r="M2927">
        <v>0.99994039999999995</v>
      </c>
      <c r="N2927">
        <v>0</v>
      </c>
      <c r="O2927">
        <v>5.1257550000000001E-3</v>
      </c>
      <c r="P2927">
        <v>0.99941559999999896</v>
      </c>
      <c r="Q2927">
        <v>1.826887E-2</v>
      </c>
      <c r="R2927">
        <v>2.8891380000000001E-2</v>
      </c>
      <c r="S2927">
        <v>3.01796</v>
      </c>
      <c r="T2927">
        <v>-0.27326790000000001</v>
      </c>
      <c r="U2927">
        <v>-0.3694153</v>
      </c>
      <c r="V2927">
        <v>-2.3757230000000001E-2</v>
      </c>
      <c r="W2927">
        <v>2.7912630000000001E-2</v>
      </c>
      <c r="X2927">
        <v>0.99932799999999999</v>
      </c>
      <c r="Y2927">
        <v>0.12605639999999901</v>
      </c>
      <c r="Z2927">
        <v>-6.1358509999999899E-3</v>
      </c>
      <c r="AA2927">
        <v>0.99200409999999895</v>
      </c>
      <c r="AB2927">
        <v>26</v>
      </c>
      <c r="AC2927">
        <v>0.63410000000001698</v>
      </c>
      <c r="AD2927">
        <v>-8.3422999999999803E-2</v>
      </c>
      <c r="AE2927">
        <v>-0.114099999999979</v>
      </c>
      <c r="AF2927">
        <v>0.115413918196861</v>
      </c>
      <c r="AG2927">
        <v>-8.3422999999999803E-2</v>
      </c>
      <c r="AH2927">
        <v>0.62306085060102001</v>
      </c>
      <c r="AI2927">
        <v>97.500005115384695</v>
      </c>
      <c r="AJ2927">
        <v>79.505653085843804</v>
      </c>
      <c r="AK2927">
        <v>0.63912799421885702</v>
      </c>
    </row>
    <row r="2928" spans="1:37" x14ac:dyDescent="0.2">
      <c r="A2928" t="str">
        <f>"20200111160213780"</f>
        <v>20200111160213780</v>
      </c>
      <c r="B2928" t="str">
        <f>"1578729733774697"</f>
        <v>1578729733774697</v>
      </c>
      <c r="C2928" t="s">
        <v>37</v>
      </c>
      <c r="D2928">
        <v>5.4676089999999897</v>
      </c>
      <c r="E2928">
        <v>0.55981999999999998</v>
      </c>
      <c r="F2928" t="s">
        <v>42</v>
      </c>
      <c r="G2928">
        <v>-254.99250000000001</v>
      </c>
      <c r="H2928">
        <v>1.0245029999999999</v>
      </c>
      <c r="I2928">
        <v>214.2516</v>
      </c>
      <c r="J2928">
        <v>-255.58709999999999</v>
      </c>
      <c r="K2928">
        <v>1.1039079999999999</v>
      </c>
      <c r="L2928">
        <v>214.3604</v>
      </c>
      <c r="M2928">
        <v>0.99994179999999999</v>
      </c>
      <c r="N2928">
        <v>0</v>
      </c>
      <c r="O2928">
        <v>4.9486460000000001E-3</v>
      </c>
      <c r="P2928">
        <v>0.99943609999999905</v>
      </c>
      <c r="Q2928">
        <v>1.821538E-2</v>
      </c>
      <c r="R2928">
        <v>2.8216600000000001E-2</v>
      </c>
      <c r="S2928">
        <v>3.017563</v>
      </c>
      <c r="T2928">
        <v>-0.27487679999999998</v>
      </c>
      <c r="U2928">
        <v>-0.37239070000000002</v>
      </c>
      <c r="V2928">
        <v>-2.3261239999999999E-2</v>
      </c>
      <c r="W2928">
        <v>2.78173E-2</v>
      </c>
      <c r="X2928">
        <v>0.99934230000000002</v>
      </c>
      <c r="Y2928">
        <v>0.1268512</v>
      </c>
      <c r="Z2928">
        <v>-6.1922130000000002E-3</v>
      </c>
      <c r="AA2928">
        <v>0.99190239999999996</v>
      </c>
      <c r="AB2928">
        <v>26</v>
      </c>
      <c r="AC2928">
        <v>0.59459999999998503</v>
      </c>
      <c r="AD2928">
        <v>-7.9404999999999698E-2</v>
      </c>
      <c r="AE2928">
        <v>-0.10880000000000201</v>
      </c>
      <c r="AF2928">
        <v>0.109845756542281</v>
      </c>
      <c r="AG2928">
        <v>-7.9404999999999698E-2</v>
      </c>
      <c r="AH2928">
        <v>0.58397710385153201</v>
      </c>
      <c r="AI2928">
        <v>97.611306908913207</v>
      </c>
      <c r="AJ2928">
        <v>79.347170310384001</v>
      </c>
      <c r="AK2928">
        <v>0.59950021024030398</v>
      </c>
    </row>
    <row r="2929" spans="1:37" x14ac:dyDescent="0.2">
      <c r="A2929" t="str">
        <f>"20200111160213801"</f>
        <v>20200111160213801</v>
      </c>
      <c r="B2929" t="str">
        <f>"1578729733795193"</f>
        <v>1578729733795193</v>
      </c>
      <c r="C2929" t="s">
        <v>37</v>
      </c>
      <c r="D2929">
        <v>5.2991809999999999</v>
      </c>
      <c r="E2929">
        <v>0.56009759999999997</v>
      </c>
      <c r="F2929" t="s">
        <v>42</v>
      </c>
      <c r="G2929">
        <v>-254.7552</v>
      </c>
      <c r="H2929">
        <v>1.027266</v>
      </c>
      <c r="I2929">
        <v>214.25739999999999</v>
      </c>
      <c r="J2929">
        <v>-255.33920000000001</v>
      </c>
      <c r="K2929">
        <v>1.1039190000000001</v>
      </c>
      <c r="L2929">
        <v>214.36150000000001</v>
      </c>
      <c r="M2929">
        <v>0.99994249999999996</v>
      </c>
      <c r="N2929">
        <v>0</v>
      </c>
      <c r="O2929">
        <v>4.8156049999999997E-3</v>
      </c>
      <c r="P2929">
        <v>0.9994305</v>
      </c>
      <c r="Q2929">
        <v>1.8128689999999999E-2</v>
      </c>
      <c r="R2929">
        <v>2.8460820000000001E-2</v>
      </c>
      <c r="S2929">
        <v>3.0173190000000001</v>
      </c>
      <c r="T2929">
        <v>-0.27801239999999999</v>
      </c>
      <c r="U2929">
        <v>-0.37312319999999999</v>
      </c>
      <c r="V2929">
        <v>-2.3639190000000001E-2</v>
      </c>
      <c r="W2929">
        <v>2.769957E-2</v>
      </c>
      <c r="X2929">
        <v>0.99933669999999997</v>
      </c>
      <c r="Y2929">
        <v>0.12695390000000001</v>
      </c>
      <c r="Z2929">
        <v>-6.2554780000000001E-3</v>
      </c>
      <c r="AA2929">
        <v>0.99188889999999996</v>
      </c>
      <c r="AB2929">
        <v>26</v>
      </c>
      <c r="AC2929">
        <v>0.58400000000000296</v>
      </c>
      <c r="AD2929">
        <v>-7.6652999999999999E-2</v>
      </c>
      <c r="AE2929">
        <v>-0.104100000000016</v>
      </c>
      <c r="AF2929">
        <v>0.105155416968379</v>
      </c>
      <c r="AG2929">
        <v>-7.6652999999999999E-2</v>
      </c>
      <c r="AH2929">
        <v>0.57390913057764104</v>
      </c>
      <c r="AI2929">
        <v>97.484420777490499</v>
      </c>
      <c r="AJ2929">
        <v>79.617058973322202</v>
      </c>
      <c r="AK2929">
        <v>0.58847687659514503</v>
      </c>
    </row>
    <row r="2930" spans="1:37" x14ac:dyDescent="0.2">
      <c r="A2930" t="str">
        <f>"20200111160213825"</f>
        <v>20200111160213825</v>
      </c>
      <c r="B2930" t="str">
        <f>"1578729733814713"</f>
        <v>1578729733814713</v>
      </c>
      <c r="C2930" t="s">
        <v>37</v>
      </c>
      <c r="D2930">
        <v>5.2571110000000001</v>
      </c>
      <c r="E2930">
        <v>0.56026719999999997</v>
      </c>
      <c r="F2930" t="s">
        <v>42</v>
      </c>
      <c r="G2930">
        <v>-254.51830000000001</v>
      </c>
      <c r="H2930">
        <v>1.0280320000000001</v>
      </c>
      <c r="I2930">
        <v>214.2595</v>
      </c>
      <c r="J2930">
        <v>-255.04949999999999</v>
      </c>
      <c r="K2930">
        <v>1.1039350000000001</v>
      </c>
      <c r="L2930">
        <v>214.36279999999999</v>
      </c>
      <c r="M2930">
        <v>0.99994359999999904</v>
      </c>
      <c r="N2930">
        <v>0</v>
      </c>
      <c r="O2930">
        <v>4.6890200000000003E-3</v>
      </c>
      <c r="P2930">
        <v>0.99942180000000003</v>
      </c>
      <c r="Q2930">
        <v>1.7967980000000001E-2</v>
      </c>
      <c r="R2930">
        <v>2.887427E-2</v>
      </c>
      <c r="S2930">
        <v>3.0174099999999999</v>
      </c>
      <c r="T2930">
        <v>-0.27902909999999997</v>
      </c>
      <c r="U2930">
        <v>-0.37461850000000002</v>
      </c>
      <c r="V2930">
        <v>-2.4180650000000001E-2</v>
      </c>
      <c r="W2930">
        <v>2.7507960000000001E-2</v>
      </c>
      <c r="X2930">
        <v>0.99932909999999997</v>
      </c>
      <c r="Y2930">
        <v>0.1273039</v>
      </c>
      <c r="Z2930">
        <v>-6.28233E-3</v>
      </c>
      <c r="AA2930">
        <v>0.9918439</v>
      </c>
      <c r="AB2930">
        <v>26</v>
      </c>
      <c r="AC2930">
        <v>0.53119999999998402</v>
      </c>
      <c r="AD2930">
        <v>-7.5902999999999998E-2</v>
      </c>
      <c r="AE2930">
        <v>-0.10329999999999</v>
      </c>
      <c r="AF2930">
        <v>0.103748687650208</v>
      </c>
      <c r="AG2930">
        <v>-7.5902999999999998E-2</v>
      </c>
      <c r="AH2930">
        <v>0.52047030281204798</v>
      </c>
      <c r="AI2930">
        <v>98.139336776240398</v>
      </c>
      <c r="AJ2930">
        <v>78.726630118024005</v>
      </c>
      <c r="AK2930">
        <v>0.53611042865011105</v>
      </c>
    </row>
    <row r="2931" spans="1:37" x14ac:dyDescent="0.2">
      <c r="A2931" t="str">
        <f>"20200111160213844"</f>
        <v>20200111160213844</v>
      </c>
      <c r="B2931" t="str">
        <f>"1578729733835209"</f>
        <v>1578729733835209</v>
      </c>
      <c r="C2931" t="s">
        <v>37</v>
      </c>
      <c r="D2931">
        <v>5.2584039999999996</v>
      </c>
      <c r="E2931">
        <v>0.56050180000000005</v>
      </c>
      <c r="F2931" t="s">
        <v>42</v>
      </c>
      <c r="G2931">
        <v>-254.27940000000001</v>
      </c>
      <c r="H2931">
        <v>1.0324580000000001</v>
      </c>
      <c r="I2931">
        <v>214.267</v>
      </c>
      <c r="J2931">
        <v>-254.8142</v>
      </c>
      <c r="K2931">
        <v>1.1039479999999999</v>
      </c>
      <c r="L2931">
        <v>214.3638</v>
      </c>
      <c r="M2931">
        <v>0.999944099999999</v>
      </c>
      <c r="N2931">
        <v>0</v>
      </c>
      <c r="O2931">
        <v>4.6073959999999997E-3</v>
      </c>
      <c r="P2931">
        <v>0.99940910000000005</v>
      </c>
      <c r="Q2931">
        <v>1.7882769999999999E-2</v>
      </c>
      <c r="R2931">
        <v>2.9357279999999999E-2</v>
      </c>
      <c r="S2931">
        <v>3.0176090000000002</v>
      </c>
      <c r="T2931">
        <v>-0.28016259999999998</v>
      </c>
      <c r="U2931">
        <v>-0.37463379999999902</v>
      </c>
      <c r="V2931">
        <v>-2.4746339999999999E-2</v>
      </c>
      <c r="W2931">
        <v>2.7402610000000001E-2</v>
      </c>
      <c r="X2931">
        <v>0.99931809999999999</v>
      </c>
      <c r="Y2931">
        <v>0.1272162</v>
      </c>
      <c r="Z2931">
        <v>-6.2957500000000001E-3</v>
      </c>
      <c r="AA2931">
        <v>0.99185499999999904</v>
      </c>
      <c r="AB2931">
        <v>26</v>
      </c>
      <c r="AC2931">
        <v>0.53479999999998995</v>
      </c>
      <c r="AD2931">
        <v>-7.1489999999999804E-2</v>
      </c>
      <c r="AE2931">
        <v>-9.6800000000001704E-2</v>
      </c>
      <c r="AF2931">
        <v>9.7574835627749296E-2</v>
      </c>
      <c r="AG2931">
        <v>-7.1489999999999804E-2</v>
      </c>
      <c r="AH2931">
        <v>0.525260021194349</v>
      </c>
      <c r="AI2931">
        <v>97.621741555475296</v>
      </c>
      <c r="AJ2931">
        <v>79.476416596184393</v>
      </c>
      <c r="AK2931">
        <v>0.539008124718794</v>
      </c>
    </row>
    <row r="2932" spans="1:37" x14ac:dyDescent="0.2">
      <c r="A2932" t="str">
        <f>"20200111160213869"</f>
        <v>20200111160213869</v>
      </c>
      <c r="B2932" t="str">
        <f>"1578729733864489"</f>
        <v>1578729733864489</v>
      </c>
      <c r="C2932" t="s">
        <v>37</v>
      </c>
      <c r="D2932">
        <v>5.2429699999999997</v>
      </c>
      <c r="E2932">
        <v>0.56056850000000003</v>
      </c>
      <c r="F2932" t="s">
        <v>42</v>
      </c>
      <c r="G2932">
        <v>-254.04230000000001</v>
      </c>
      <c r="H2932">
        <v>1.03224</v>
      </c>
      <c r="I2932">
        <v>214.26769999999999</v>
      </c>
      <c r="J2932">
        <v>-254.5274</v>
      </c>
      <c r="K2932">
        <v>1.1039589999999999</v>
      </c>
      <c r="L2932">
        <v>214.36500000000001</v>
      </c>
      <c r="M2932">
        <v>0.99994470000000002</v>
      </c>
      <c r="N2932">
        <v>0</v>
      </c>
      <c r="O2932">
        <v>4.5254240000000001E-3</v>
      </c>
      <c r="P2932">
        <v>0.99939840000000002</v>
      </c>
      <c r="Q2932">
        <v>1.7707190000000001E-2</v>
      </c>
      <c r="R2932">
        <v>2.983038E-2</v>
      </c>
      <c r="S2932">
        <v>3.0178069999999999</v>
      </c>
      <c r="T2932">
        <v>-0.28038379999999902</v>
      </c>
      <c r="U2932">
        <v>-0.37507629999999997</v>
      </c>
      <c r="V2932">
        <v>-2.5303039999999999E-2</v>
      </c>
      <c r="W2932">
        <v>2.7205750000000001E-2</v>
      </c>
      <c r="X2932">
        <v>0.99930949999999996</v>
      </c>
      <c r="Y2932">
        <v>0.1272694</v>
      </c>
      <c r="Z2932">
        <v>-6.2951209999999999E-3</v>
      </c>
      <c r="AA2932">
        <v>0.99184819999999996</v>
      </c>
      <c r="AB2932">
        <v>26</v>
      </c>
      <c r="AC2932">
        <v>0.48509999999998799</v>
      </c>
      <c r="AD2932">
        <v>-7.1718999999999797E-2</v>
      </c>
      <c r="AE2932">
        <v>-9.7300000000018302E-2</v>
      </c>
      <c r="AF2932">
        <v>9.7446792990733E-2</v>
      </c>
      <c r="AG2932">
        <v>-7.1718999999999797E-2</v>
      </c>
      <c r="AH2932">
        <v>0.474680503732409</v>
      </c>
      <c r="AI2932">
        <v>98.418802718350804</v>
      </c>
      <c r="AJ2932">
        <v>78.398971604320494</v>
      </c>
      <c r="AK2932">
        <v>0.48985821729234302</v>
      </c>
    </row>
    <row r="2933" spans="1:37" x14ac:dyDescent="0.2">
      <c r="A2933" t="str">
        <f>"20200111160213887"</f>
        <v>20200111160213887</v>
      </c>
      <c r="B2933" t="str">
        <f>"1578729733884984"</f>
        <v>1578729733884984</v>
      </c>
      <c r="C2933" t="s">
        <v>37</v>
      </c>
      <c r="D2933">
        <v>5.6051960000000003</v>
      </c>
      <c r="E2933">
        <v>0.56043639999999995</v>
      </c>
      <c r="F2933" t="s">
        <v>42</v>
      </c>
      <c r="G2933">
        <v>-253.80260000000001</v>
      </c>
      <c r="H2933">
        <v>1.036662</v>
      </c>
      <c r="I2933">
        <v>214.2749</v>
      </c>
      <c r="J2933">
        <v>-254.30119999999999</v>
      </c>
      <c r="K2933">
        <v>1.1039669999999999</v>
      </c>
      <c r="L2933">
        <v>214.36590000000001</v>
      </c>
      <c r="M2933">
        <v>0.99994499999999997</v>
      </c>
      <c r="N2933">
        <v>0</v>
      </c>
      <c r="O2933">
        <v>4.4714070000000002E-3</v>
      </c>
      <c r="P2933">
        <v>0.99936970000000003</v>
      </c>
      <c r="Q2933">
        <v>1.8297290000000001E-2</v>
      </c>
      <c r="R2933">
        <v>3.0418150000000001E-2</v>
      </c>
      <c r="S2933">
        <v>3.017944</v>
      </c>
      <c r="T2933">
        <v>-0.28023969999999998</v>
      </c>
      <c r="U2933">
        <v>-0.37446590000000002</v>
      </c>
      <c r="V2933">
        <v>-2.5944950000000001E-2</v>
      </c>
      <c r="W2933">
        <v>2.778251E-2</v>
      </c>
      <c r="X2933">
        <v>0.99927719999999898</v>
      </c>
      <c r="Y2933">
        <v>0.12701469999999901</v>
      </c>
      <c r="Z2933">
        <v>-6.2749529999999998E-3</v>
      </c>
      <c r="AA2933">
        <v>0.99188099999999901</v>
      </c>
      <c r="AB2933">
        <v>27</v>
      </c>
      <c r="AC2933">
        <v>0.498599999999982</v>
      </c>
      <c r="AD2933">
        <v>-6.7304999999999907E-2</v>
      </c>
      <c r="AE2933">
        <v>-9.1000000000008199E-2</v>
      </c>
      <c r="AF2933">
        <v>9.1613097015556394E-2</v>
      </c>
      <c r="AG2933">
        <v>-6.7304999999999907E-2</v>
      </c>
      <c r="AH2933">
        <v>0.48955511447642103</v>
      </c>
      <c r="AI2933">
        <v>97.696106983815497</v>
      </c>
      <c r="AJ2933">
        <v>79.400526075985994</v>
      </c>
      <c r="AK2933">
        <v>0.50258047383459303</v>
      </c>
    </row>
    <row r="2934" spans="1:37" x14ac:dyDescent="0.2">
      <c r="A2934" t="str">
        <f>"20200111160213910"</f>
        <v>20200111160213910</v>
      </c>
      <c r="B2934" t="str">
        <f>"1578729733904504"</f>
        <v>1578729733904504</v>
      </c>
      <c r="C2934" t="s">
        <v>37</v>
      </c>
      <c r="D2934">
        <v>5.244929</v>
      </c>
      <c r="E2934">
        <v>0.56068070000000003</v>
      </c>
      <c r="F2934" t="s">
        <v>42</v>
      </c>
      <c r="G2934">
        <v>-253.56489999999999</v>
      </c>
      <c r="H2934">
        <v>1.035968</v>
      </c>
      <c r="I2934">
        <v>214.2749</v>
      </c>
      <c r="J2934">
        <v>-254.0479</v>
      </c>
      <c r="K2934">
        <v>1.103969</v>
      </c>
      <c r="L2934">
        <v>214.36699999999999</v>
      </c>
      <c r="M2934">
        <v>0.99994550000000004</v>
      </c>
      <c r="N2934">
        <v>0</v>
      </c>
      <c r="O2934">
        <v>4.4165209999999996E-3</v>
      </c>
      <c r="P2934">
        <v>0.99936270000000005</v>
      </c>
      <c r="Q2934">
        <v>1.891704E-2</v>
      </c>
      <c r="R2934">
        <v>3.027558E-2</v>
      </c>
      <c r="S2934">
        <v>3.0183259999999899</v>
      </c>
      <c r="T2934">
        <v>-0.27888800000000002</v>
      </c>
      <c r="U2934">
        <v>-0.37194820000000001</v>
      </c>
      <c r="V2934">
        <v>-2.5857789999999999E-2</v>
      </c>
      <c r="W2934">
        <v>2.8389279999999999E-2</v>
      </c>
      <c r="X2934">
        <v>0.99926250000000005</v>
      </c>
      <c r="Y2934">
        <v>0.12613930000000001</v>
      </c>
      <c r="Z2934">
        <v>-6.1991009999999899E-3</v>
      </c>
      <c r="AA2934">
        <v>0.99199319999999902</v>
      </c>
      <c r="AB2934">
        <v>27</v>
      </c>
      <c r="AC2934">
        <v>0.48300000000000398</v>
      </c>
      <c r="AD2934">
        <v>-6.8000999999999895E-2</v>
      </c>
      <c r="AE2934">
        <v>-9.2100000000016197E-2</v>
      </c>
      <c r="AF2934">
        <v>9.2463905989544196E-2</v>
      </c>
      <c r="AG2934">
        <v>-6.8000999999999895E-2</v>
      </c>
      <c r="AH2934">
        <v>0.47353171029816499</v>
      </c>
      <c r="AI2934">
        <v>98.022544235248503</v>
      </c>
      <c r="AJ2934">
        <v>78.951195244801198</v>
      </c>
      <c r="AK2934">
        <v>0.487243256053636</v>
      </c>
    </row>
    <row r="2935" spans="1:37" x14ac:dyDescent="0.2">
      <c r="A2935" t="str">
        <f>"20200111160213933"</f>
        <v>20200111160213933</v>
      </c>
      <c r="B2935" t="str">
        <f>"1578729733925000"</f>
        <v>1578729733925000</v>
      </c>
      <c r="C2935" t="s">
        <v>37</v>
      </c>
      <c r="D2935">
        <v>5.1934579999999997</v>
      </c>
      <c r="E2935">
        <v>0.56094029999999995</v>
      </c>
      <c r="F2935" t="s">
        <v>42</v>
      </c>
      <c r="G2935">
        <v>-253.32570000000001</v>
      </c>
      <c r="H2935">
        <v>1.037493</v>
      </c>
      <c r="I2935">
        <v>214.2774</v>
      </c>
      <c r="J2935">
        <v>-253.76230000000001</v>
      </c>
      <c r="K2935">
        <v>1.103974</v>
      </c>
      <c r="L2935">
        <v>214.3682</v>
      </c>
      <c r="M2935">
        <v>0.99994570000000005</v>
      </c>
      <c r="N2935">
        <v>0</v>
      </c>
      <c r="O2935">
        <v>4.3596190000000003E-3</v>
      </c>
      <c r="P2935">
        <v>0.99934820000000002</v>
      </c>
      <c r="Q2935">
        <v>1.93067E-2</v>
      </c>
      <c r="R2935">
        <v>3.050375E-2</v>
      </c>
      <c r="S2935">
        <v>3.0185089999999999</v>
      </c>
      <c r="T2935">
        <v>-0.27791969999999999</v>
      </c>
      <c r="U2935">
        <v>-0.37382509999999902</v>
      </c>
      <c r="V2935">
        <v>-2.6142930000000002E-2</v>
      </c>
      <c r="W2935">
        <v>2.8767259999999999E-2</v>
      </c>
      <c r="X2935">
        <v>0.99924419999999903</v>
      </c>
      <c r="Y2935">
        <v>0.12668489999999999</v>
      </c>
      <c r="Z2935">
        <v>-6.1968229999999997E-3</v>
      </c>
      <c r="AA2935">
        <v>0.99192359999999902</v>
      </c>
      <c r="AB2935">
        <v>27</v>
      </c>
      <c r="AC2935">
        <v>0.43659999999999799</v>
      </c>
      <c r="AD2935">
        <v>-6.6480999999999998E-2</v>
      </c>
      <c r="AE2935">
        <v>-9.0800000000001505E-2</v>
      </c>
      <c r="AF2935">
        <v>9.0687125856078396E-2</v>
      </c>
      <c r="AG2935">
        <v>-6.6480999999999998E-2</v>
      </c>
      <c r="AH2935">
        <v>0.42671628188329402</v>
      </c>
      <c r="AI2935">
        <v>98.664822769467193</v>
      </c>
      <c r="AJ2935">
        <v>78.001826793858896</v>
      </c>
      <c r="AK2935">
        <v>0.44128297427086299</v>
      </c>
    </row>
    <row r="2936" spans="1:37" x14ac:dyDescent="0.2">
      <c r="A2936" t="str">
        <f>"20200111160213958"</f>
        <v>20200111160213958</v>
      </c>
      <c r="B2936" t="str">
        <f>"1578729733954280"</f>
        <v>1578729733954280</v>
      </c>
      <c r="C2936" t="s">
        <v>37</v>
      </c>
      <c r="D2936">
        <v>5.1326010000000002</v>
      </c>
      <c r="E2936">
        <v>0.56114600000000003</v>
      </c>
      <c r="F2936" t="s">
        <v>42</v>
      </c>
      <c r="G2936">
        <v>-252.85550000000001</v>
      </c>
      <c r="H2936">
        <v>1.0208120000000001</v>
      </c>
      <c r="I2936">
        <v>214.25540000000001</v>
      </c>
      <c r="J2936">
        <v>-253.47550000000001</v>
      </c>
      <c r="K2936">
        <v>1.1039680000000001</v>
      </c>
      <c r="L2936">
        <v>214.36940000000001</v>
      </c>
      <c r="M2936">
        <v>0.99994609999999995</v>
      </c>
      <c r="N2936">
        <v>0</v>
      </c>
      <c r="O2936">
        <v>4.3030940000000004E-3</v>
      </c>
      <c r="P2936">
        <v>0.99934959999999995</v>
      </c>
      <c r="Q2936">
        <v>1.981308E-2</v>
      </c>
      <c r="R2936">
        <v>3.0133360000000001E-2</v>
      </c>
      <c r="S2936">
        <v>3.0187529999999998</v>
      </c>
      <c r="T2936">
        <v>-0.27686809999999901</v>
      </c>
      <c r="U2936">
        <v>-0.37556459999999903</v>
      </c>
      <c r="V2936">
        <v>-2.5829029999999999E-2</v>
      </c>
      <c r="W2936">
        <v>2.9264869999999998E-2</v>
      </c>
      <c r="X2936">
        <v>0.99923790000000001</v>
      </c>
      <c r="Y2936">
        <v>0.1271844</v>
      </c>
      <c r="Z2936">
        <v>-6.1903779999999999E-3</v>
      </c>
      <c r="AA2936">
        <v>0.99185979999999996</v>
      </c>
      <c r="AB2936">
        <v>27</v>
      </c>
      <c r="AC2936">
        <v>0.62000000000000399</v>
      </c>
      <c r="AD2936">
        <v>-8.3155999999999994E-2</v>
      </c>
      <c r="AE2936">
        <v>-0.114000000000004</v>
      </c>
      <c r="AF2936">
        <v>0.114671629141302</v>
      </c>
      <c r="AG2936">
        <v>-8.3155999999999994E-2</v>
      </c>
      <c r="AH2936">
        <v>0.60890832747691503</v>
      </c>
      <c r="AI2936">
        <v>97.643797412155095</v>
      </c>
      <c r="AJ2936">
        <v>79.334781648358501</v>
      </c>
      <c r="AK2936">
        <v>0.62516706098182595</v>
      </c>
    </row>
    <row r="2937" spans="1:37" x14ac:dyDescent="0.2">
      <c r="A2937" t="str">
        <f>"20200111160213979"</f>
        <v>20200111160213979</v>
      </c>
      <c r="B2937" t="str">
        <f>"1578729733974777"</f>
        <v>1578729733974777</v>
      </c>
      <c r="C2937" t="s">
        <v>37</v>
      </c>
      <c r="D2937">
        <v>5.1013199999999896</v>
      </c>
      <c r="E2937">
        <v>0.56133650000000002</v>
      </c>
      <c r="F2937" t="s">
        <v>42</v>
      </c>
      <c r="G2937">
        <v>-252.61369999999999</v>
      </c>
      <c r="H2937">
        <v>1.0255379999999901</v>
      </c>
      <c r="I2937">
        <v>214.2612</v>
      </c>
      <c r="J2937">
        <v>-253.21209999999999</v>
      </c>
      <c r="K2937">
        <v>1.103963</v>
      </c>
      <c r="L2937">
        <v>214.37039999999999</v>
      </c>
      <c r="M2937">
        <v>0.99994649999999996</v>
      </c>
      <c r="N2937">
        <v>0</v>
      </c>
      <c r="O2937">
        <v>4.2496460000000002E-3</v>
      </c>
      <c r="P2937">
        <v>0.99934859999999903</v>
      </c>
      <c r="Q2937">
        <v>2.0069879999999998E-2</v>
      </c>
      <c r="R2937">
        <v>2.999421E-2</v>
      </c>
      <c r="S2937">
        <v>3.0187840000000001</v>
      </c>
      <c r="T2937">
        <v>-0.27480270000000001</v>
      </c>
      <c r="U2937">
        <v>-0.37821959999999999</v>
      </c>
      <c r="V2937">
        <v>-2.574307E-2</v>
      </c>
      <c r="W2937">
        <v>2.9515099999999999E-2</v>
      </c>
      <c r="X2937">
        <v>0.99923280000000003</v>
      </c>
      <c r="Y2937">
        <v>0.1279941</v>
      </c>
      <c r="Z2937">
        <v>-6.1757959999999999E-3</v>
      </c>
      <c r="AA2937">
        <v>0.99175569999999902</v>
      </c>
      <c r="AB2937">
        <v>27</v>
      </c>
      <c r="AC2937">
        <v>0.59839999999999705</v>
      </c>
      <c r="AD2937">
        <v>-7.8425000000000106E-2</v>
      </c>
      <c r="AE2937">
        <v>-0.109199999999987</v>
      </c>
      <c r="AF2937">
        <v>0.10991504165995999</v>
      </c>
      <c r="AG2937">
        <v>-7.8425000000000106E-2</v>
      </c>
      <c r="AH2937">
        <v>0.58815386928810098</v>
      </c>
      <c r="AI2937">
        <v>97.4672917700032</v>
      </c>
      <c r="AJ2937">
        <v>79.414585816329904</v>
      </c>
      <c r="AK2937">
        <v>0.60345403384738106</v>
      </c>
    </row>
    <row r="2938" spans="1:37" x14ac:dyDescent="0.2">
      <c r="A2938" t="str">
        <f>"20200111160214005"</f>
        <v>20200111160214005</v>
      </c>
      <c r="B2938" t="str">
        <f>"1578729733994296"</f>
        <v>1578729733994296</v>
      </c>
      <c r="C2938" t="s">
        <v>37</v>
      </c>
      <c r="D2938">
        <v>5.223973</v>
      </c>
      <c r="E2938">
        <v>0.56175819999999999</v>
      </c>
      <c r="F2938" t="s">
        <v>42</v>
      </c>
      <c r="G2938">
        <v>-252.37280000000001</v>
      </c>
      <c r="H2938">
        <v>1.0277069999999999</v>
      </c>
      <c r="I2938">
        <v>214.26480000000001</v>
      </c>
      <c r="J2938">
        <v>-252.9075</v>
      </c>
      <c r="K2938">
        <v>1.1039559999999999</v>
      </c>
      <c r="L2938">
        <v>214.3717</v>
      </c>
      <c r="M2938">
        <v>0.99994669999999897</v>
      </c>
      <c r="N2938">
        <v>0</v>
      </c>
      <c r="O2938">
        <v>4.1846890000000001E-3</v>
      </c>
      <c r="P2938">
        <v>0.99936569999999902</v>
      </c>
      <c r="Q2938">
        <v>1.981695E-2</v>
      </c>
      <c r="R2938">
        <v>2.959152E-2</v>
      </c>
      <c r="S2938">
        <v>3.0188449999999998</v>
      </c>
      <c r="T2938">
        <v>-0.2742445</v>
      </c>
      <c r="U2938">
        <v>-0.37988280000000002</v>
      </c>
      <c r="V2938">
        <v>-2.5405440000000001E-2</v>
      </c>
      <c r="W2938">
        <v>2.925724E-2</v>
      </c>
      <c r="X2938">
        <v>0.99924899999999905</v>
      </c>
      <c r="Y2938">
        <v>0.12846579999999999</v>
      </c>
      <c r="Z2938">
        <v>-6.1783979999999999E-3</v>
      </c>
      <c r="AA2938">
        <v>0.99169470000000004</v>
      </c>
      <c r="AB2938">
        <v>27</v>
      </c>
      <c r="AC2938">
        <v>0.53469999999998596</v>
      </c>
      <c r="AD2938">
        <v>-7.6248999999999997E-2</v>
      </c>
      <c r="AE2938">
        <v>-0.106899999999996</v>
      </c>
      <c r="AF2938">
        <v>0.107043626783464</v>
      </c>
      <c r="AG2938">
        <v>-7.6248999999999997E-2</v>
      </c>
      <c r="AH2938">
        <v>0.52400182399722794</v>
      </c>
      <c r="AI2938">
        <v>98.113895077954993</v>
      </c>
      <c r="AJ2938">
        <v>78.454412532826694</v>
      </c>
      <c r="AK2938">
        <v>0.54023157959191903</v>
      </c>
    </row>
    <row r="2939" spans="1:37" x14ac:dyDescent="0.2">
      <c r="A2939" t="str">
        <f>"20200111160214023"</f>
        <v>20200111160214023</v>
      </c>
      <c r="B2939" t="str">
        <f>"1578729734014793"</f>
        <v>1578729734014793</v>
      </c>
      <c r="C2939" t="s">
        <v>37</v>
      </c>
      <c r="D2939">
        <v>5.0261269999999998</v>
      </c>
      <c r="E2939">
        <v>0.56193169999999903</v>
      </c>
      <c r="F2939" t="s">
        <v>42</v>
      </c>
      <c r="G2939">
        <v>-252.12979999999999</v>
      </c>
      <c r="H2939">
        <v>1.0332729999999899</v>
      </c>
      <c r="I2939">
        <v>214.2723</v>
      </c>
      <c r="J2939">
        <v>-252.67429999999999</v>
      </c>
      <c r="K2939">
        <v>1.103952</v>
      </c>
      <c r="L2939">
        <v>214.37260000000001</v>
      </c>
      <c r="M2939">
        <v>0.99994699999999903</v>
      </c>
      <c r="N2939">
        <v>0</v>
      </c>
      <c r="O2939">
        <v>4.1325379999999998E-3</v>
      </c>
      <c r="P2939">
        <v>0.99936970000000003</v>
      </c>
      <c r="Q2939">
        <v>1.9722279999999998E-2</v>
      </c>
      <c r="R2939">
        <v>2.9524419999999999E-2</v>
      </c>
      <c r="S2939">
        <v>3.018723</v>
      </c>
      <c r="T2939">
        <v>-0.27457989999999999</v>
      </c>
      <c r="U2939">
        <v>-0.38458249999999999</v>
      </c>
      <c r="V2939">
        <v>-2.5389789999999999E-2</v>
      </c>
      <c r="W2939">
        <v>2.9159049999999999E-2</v>
      </c>
      <c r="X2939">
        <v>0.99925229999999998</v>
      </c>
      <c r="Y2939">
        <v>0.129931399999999</v>
      </c>
      <c r="Z2939">
        <v>-6.2471089999999998E-3</v>
      </c>
      <c r="AA2939">
        <v>0.99150329999999998</v>
      </c>
      <c r="AB2939">
        <v>27</v>
      </c>
      <c r="AC2939">
        <v>0.54449999999999898</v>
      </c>
      <c r="AD2939">
        <v>-7.0679000000000103E-2</v>
      </c>
      <c r="AE2939">
        <v>-0.100300000000004</v>
      </c>
      <c r="AF2939">
        <v>0.100905016335596</v>
      </c>
      <c r="AG2939">
        <v>-7.0679000000000103E-2</v>
      </c>
      <c r="AH2939">
        <v>0.53535642589974997</v>
      </c>
      <c r="AI2939">
        <v>97.3921461025773</v>
      </c>
      <c r="AJ2939">
        <v>79.326004284682995</v>
      </c>
      <c r="AK2939">
        <v>0.54934856522506803</v>
      </c>
    </row>
    <row r="2940" spans="1:37" x14ac:dyDescent="0.2">
      <c r="A2940" t="str">
        <f>"20200111160214044"</f>
        <v>20200111160214044</v>
      </c>
      <c r="B2940" t="str">
        <f>"1578729734034312"</f>
        <v>1578729734034312</v>
      </c>
      <c r="C2940" t="s">
        <v>37</v>
      </c>
      <c r="D2940">
        <v>5.1226719999999997</v>
      </c>
      <c r="E2940">
        <v>0.56216390000000005</v>
      </c>
      <c r="F2940" t="s">
        <v>42</v>
      </c>
      <c r="G2940">
        <v>-251.88939999999999</v>
      </c>
      <c r="H2940">
        <v>1.032564</v>
      </c>
      <c r="I2940">
        <v>214.27199999999999</v>
      </c>
      <c r="J2940">
        <v>-252.43340000000001</v>
      </c>
      <c r="K2940">
        <v>1.10395</v>
      </c>
      <c r="L2940">
        <v>214.37350000000001</v>
      </c>
      <c r="M2940">
        <v>0.99994740000000004</v>
      </c>
      <c r="N2940">
        <v>0</v>
      </c>
      <c r="O2940">
        <v>4.0770479999999998E-3</v>
      </c>
      <c r="P2940">
        <v>0.99938059999999995</v>
      </c>
      <c r="Q2940">
        <v>1.9854170000000001E-2</v>
      </c>
      <c r="R2940">
        <v>2.9064799999999998E-2</v>
      </c>
      <c r="S2940">
        <v>3.018707</v>
      </c>
      <c r="T2940">
        <v>-0.2747173</v>
      </c>
      <c r="U2940">
        <v>-0.38639829999999997</v>
      </c>
      <c r="V2940">
        <v>-2.498564E-2</v>
      </c>
      <c r="W2940">
        <v>2.928917E-2</v>
      </c>
      <c r="X2940">
        <v>0.999258599999999</v>
      </c>
      <c r="Y2940">
        <v>0.13046140000000001</v>
      </c>
      <c r="Z2940">
        <v>-6.2689659999999999E-3</v>
      </c>
      <c r="AA2940">
        <v>0.99143359999999903</v>
      </c>
      <c r="AB2940">
        <v>27</v>
      </c>
      <c r="AC2940">
        <v>0.54400000000001103</v>
      </c>
      <c r="AD2940">
        <v>-7.1385999999999894E-2</v>
      </c>
      <c r="AE2940">
        <v>-0.101499999999987</v>
      </c>
      <c r="AF2940">
        <v>0.102019511864486</v>
      </c>
      <c r="AG2940">
        <v>-7.1385999999999894E-2</v>
      </c>
      <c r="AH2940">
        <v>0.53468422090054302</v>
      </c>
      <c r="AI2940">
        <v>97.471399118272004</v>
      </c>
      <c r="AJ2940">
        <v>79.197617600832999</v>
      </c>
      <c r="AK2940">
        <v>0.54899103624475398</v>
      </c>
    </row>
    <row r="2941" spans="1:37" x14ac:dyDescent="0.2">
      <c r="A2941" t="str">
        <f>"20200111160214066"</f>
        <v>20200111160214066</v>
      </c>
      <c r="B2941" t="str">
        <f>"1578729734054808"</f>
        <v>1578729734054808</v>
      </c>
      <c r="C2941" t="s">
        <v>37</v>
      </c>
      <c r="D2941">
        <v>4.9719280000000001</v>
      </c>
      <c r="E2941">
        <v>0.56238679999999996</v>
      </c>
      <c r="F2941" t="s">
        <v>42</v>
      </c>
      <c r="G2941">
        <v>-251.64830000000001</v>
      </c>
      <c r="H2941">
        <v>1.0325549999999999</v>
      </c>
      <c r="I2941">
        <v>214.27209999999999</v>
      </c>
      <c r="J2941">
        <v>-252.16550000000001</v>
      </c>
      <c r="K2941">
        <v>1.1039479999999999</v>
      </c>
      <c r="L2941">
        <v>214.37450000000001</v>
      </c>
      <c r="M2941">
        <v>0.99994749999999999</v>
      </c>
      <c r="N2941">
        <v>0</v>
      </c>
      <c r="O2941">
        <v>4.0144619999999999E-3</v>
      </c>
      <c r="P2941">
        <v>0.99937949999999998</v>
      </c>
      <c r="Q2941">
        <v>1.9816250000000001E-2</v>
      </c>
      <c r="R2941">
        <v>2.9128500000000002E-2</v>
      </c>
      <c r="S2941">
        <v>3.0186459999999999</v>
      </c>
      <c r="T2941">
        <v>-0.27455580000000002</v>
      </c>
      <c r="U2941">
        <v>-0.38963320000000001</v>
      </c>
      <c r="V2941">
        <v>-2.5111939999999999E-2</v>
      </c>
      <c r="W2941">
        <v>2.924914E-2</v>
      </c>
      <c r="X2941">
        <v>0.999256699999999</v>
      </c>
      <c r="Y2941">
        <v>0.13144400000000001</v>
      </c>
      <c r="Z2941">
        <v>-6.303749E-3</v>
      </c>
      <c r="AA2941">
        <v>0.99130359999999995</v>
      </c>
      <c r="AB2941">
        <v>27</v>
      </c>
      <c r="AC2941">
        <v>0.51720000000000199</v>
      </c>
      <c r="AD2941">
        <v>-7.1392999999999998E-2</v>
      </c>
      <c r="AE2941">
        <v>-0.10240000000001701</v>
      </c>
      <c r="AF2941">
        <v>0.102594416256167</v>
      </c>
      <c r="AG2941">
        <v>-7.1392999999999998E-2</v>
      </c>
      <c r="AH2941">
        <v>0.50747978465201504</v>
      </c>
      <c r="AI2941">
        <v>97.851108966638094</v>
      </c>
      <c r="AJ2941">
        <v>78.570868375756703</v>
      </c>
      <c r="AK2941">
        <v>0.52264548838232505</v>
      </c>
    </row>
    <row r="2942" spans="1:37" x14ac:dyDescent="0.2">
      <c r="A2942" t="str">
        <f>"20200111160214089"</f>
        <v>20200111160214089</v>
      </c>
      <c r="B2942" t="str">
        <f>"1578729734085064"</f>
        <v>1578729734085064</v>
      </c>
      <c r="C2942" t="s">
        <v>37</v>
      </c>
      <c r="D2942">
        <v>4.9686560000000002</v>
      </c>
      <c r="E2942">
        <v>0.562616</v>
      </c>
      <c r="F2942" t="s">
        <v>42</v>
      </c>
      <c r="G2942">
        <v>-251.4057</v>
      </c>
      <c r="H2942">
        <v>1.0348889999999999</v>
      </c>
      <c r="I2942">
        <v>214.27590000000001</v>
      </c>
      <c r="J2942">
        <v>-251.88069999999999</v>
      </c>
      <c r="K2942">
        <v>1.103944</v>
      </c>
      <c r="L2942">
        <v>214.37559999999999</v>
      </c>
      <c r="M2942">
        <v>0.999947699999999</v>
      </c>
      <c r="N2942">
        <v>0</v>
      </c>
      <c r="O2942">
        <v>3.9474610000000002E-3</v>
      </c>
      <c r="P2942">
        <v>0.99937549999999997</v>
      </c>
      <c r="Q2942">
        <v>2.006059E-2</v>
      </c>
      <c r="R2942">
        <v>2.908707E-2</v>
      </c>
      <c r="S2942">
        <v>3.018707</v>
      </c>
      <c r="T2942">
        <v>-0.27447909999999998</v>
      </c>
      <c r="U2942">
        <v>-0.3914185</v>
      </c>
      <c r="V2942">
        <v>-2.5137489999999998E-2</v>
      </c>
      <c r="W2942">
        <v>2.949222E-2</v>
      </c>
      <c r="X2942">
        <v>0.9992489</v>
      </c>
      <c r="Y2942">
        <v>0.13195019999999999</v>
      </c>
      <c r="Z2942">
        <v>-6.3184490000000003E-3</v>
      </c>
      <c r="AA2942">
        <v>0.99123619999999901</v>
      </c>
      <c r="AB2942">
        <v>27</v>
      </c>
      <c r="AC2942">
        <v>0.47499999999999398</v>
      </c>
      <c r="AD2942">
        <v>-6.9055000000000005E-2</v>
      </c>
      <c r="AE2942">
        <v>-9.9699999999984301E-2</v>
      </c>
      <c r="AF2942">
        <v>9.9558957921004804E-2</v>
      </c>
      <c r="AG2942">
        <v>-6.9055000000000005E-2</v>
      </c>
      <c r="AH2942">
        <v>0.465185865390154</v>
      </c>
      <c r="AI2942">
        <v>98.2592983795805</v>
      </c>
      <c r="AJ2942">
        <v>77.919813887367596</v>
      </c>
      <c r="AK2942">
        <v>0.48070621848079198</v>
      </c>
    </row>
    <row r="2943" spans="1:37" x14ac:dyDescent="0.2">
      <c r="A2943" t="str">
        <f>"20200111160214113"</f>
        <v>20200111160214113</v>
      </c>
      <c r="B2943" t="str">
        <f>"1578729734104585"</f>
        <v>1578729734104585</v>
      </c>
      <c r="C2943" t="s">
        <v>37</v>
      </c>
      <c r="D2943">
        <v>5.091119</v>
      </c>
      <c r="E2943">
        <v>0.56147340000000001</v>
      </c>
      <c r="F2943" t="s">
        <v>42</v>
      </c>
      <c r="G2943">
        <v>-250.92949999999999</v>
      </c>
      <c r="H2943">
        <v>1.0177670000000001</v>
      </c>
      <c r="I2943">
        <v>214.2516</v>
      </c>
      <c r="J2943">
        <v>-251.59970000000001</v>
      </c>
      <c r="K2943">
        <v>1.1039369999999999</v>
      </c>
      <c r="L2943">
        <v>214.3766</v>
      </c>
      <c r="M2943">
        <v>0.99994799999999995</v>
      </c>
      <c r="N2943">
        <v>0</v>
      </c>
      <c r="O2943">
        <v>3.881172E-3</v>
      </c>
      <c r="P2943">
        <v>0.99936899999999995</v>
      </c>
      <c r="Q2943">
        <v>2.0230620000000001E-2</v>
      </c>
      <c r="R2943">
        <v>2.9194950000000001E-2</v>
      </c>
      <c r="S2943">
        <v>3.0188139999999999</v>
      </c>
      <c r="T2943">
        <v>-0.27353369999999999</v>
      </c>
      <c r="U2943">
        <v>-0.39343259999999902</v>
      </c>
      <c r="V2943">
        <v>-2.5311279999999999E-2</v>
      </c>
      <c r="W2943">
        <v>2.9662379999999999E-2</v>
      </c>
      <c r="X2943">
        <v>0.9992394</v>
      </c>
      <c r="Y2943">
        <v>0.13253219999999999</v>
      </c>
      <c r="Z2943">
        <v>-6.3165189999999996E-3</v>
      </c>
      <c r="AA2943">
        <v>0.99115849999999905</v>
      </c>
      <c r="AB2943">
        <v>27</v>
      </c>
      <c r="AC2943">
        <v>0.670200000000022</v>
      </c>
      <c r="AD2943">
        <v>-8.6169999999999997E-2</v>
      </c>
      <c r="AE2943">
        <v>-0.125</v>
      </c>
      <c r="AF2943">
        <v>0.12559391867490199</v>
      </c>
      <c r="AG2943">
        <v>-8.6169999999999997E-2</v>
      </c>
      <c r="AH2943">
        <v>0.65917911357464798</v>
      </c>
      <c r="AI2943">
        <v>97.317485109105107</v>
      </c>
      <c r="AJ2943">
        <v>79.212683247363202</v>
      </c>
      <c r="AK2943">
        <v>0.676547267440477</v>
      </c>
    </row>
    <row r="2944" spans="1:37" x14ac:dyDescent="0.2">
      <c r="A2944" t="str">
        <f>"20200111160214135"</f>
        <v>20200111160214135</v>
      </c>
      <c r="B2944" t="str">
        <f>"1578729734125081"</f>
        <v>1578729734125081</v>
      </c>
      <c r="C2944" t="s">
        <v>37</v>
      </c>
      <c r="D2944">
        <v>4.9666739999999896</v>
      </c>
      <c r="E2944">
        <v>0.482693599999999</v>
      </c>
      <c r="F2944" t="s">
        <v>42</v>
      </c>
      <c r="G2944">
        <v>-250.68459999999999</v>
      </c>
      <c r="H2944">
        <v>1.022567</v>
      </c>
      <c r="I2944">
        <v>214.26</v>
      </c>
      <c r="J2944">
        <v>-251.322</v>
      </c>
      <c r="K2944">
        <v>1.1039350000000001</v>
      </c>
      <c r="L2944">
        <v>214.3777</v>
      </c>
      <c r="M2944">
        <v>0.99994839999999996</v>
      </c>
      <c r="N2944">
        <v>0</v>
      </c>
      <c r="O2944">
        <v>3.8160729999999901E-3</v>
      </c>
      <c r="P2944">
        <v>0.99936349999999996</v>
      </c>
      <c r="Q2944">
        <v>2.043644E-2</v>
      </c>
      <c r="R2944">
        <v>2.925065E-2</v>
      </c>
      <c r="S2944">
        <v>3.01857</v>
      </c>
      <c r="T2944">
        <v>-0.2685572</v>
      </c>
      <c r="U2944">
        <v>-0.38397219999999999</v>
      </c>
      <c r="V2944">
        <v>-2.543262E-2</v>
      </c>
      <c r="W2944">
        <v>2.9868280000000001E-2</v>
      </c>
      <c r="X2944">
        <v>0.99923030000000002</v>
      </c>
      <c r="Y2944">
        <v>0.12945329999999999</v>
      </c>
      <c r="Z2944">
        <v>-6.0618669999999899E-3</v>
      </c>
      <c r="AA2944">
        <v>0.99156699999999998</v>
      </c>
      <c r="AB2944">
        <v>27</v>
      </c>
      <c r="AC2944">
        <v>0.63740000000001296</v>
      </c>
      <c r="AD2944">
        <v>-8.1368000000000107E-2</v>
      </c>
      <c r="AE2944">
        <v>-0.117700000000013</v>
      </c>
      <c r="AF2944">
        <v>0.118267863238794</v>
      </c>
      <c r="AG2944">
        <v>-8.1368000000000107E-2</v>
      </c>
      <c r="AH2944">
        <v>0.62706444180437704</v>
      </c>
      <c r="AI2944">
        <v>97.266689046496197</v>
      </c>
      <c r="AJ2944">
        <v>79.319162347076102</v>
      </c>
      <c r="AK2944">
        <v>0.64328675804380198</v>
      </c>
    </row>
    <row r="2945" spans="1:37" x14ac:dyDescent="0.2">
      <c r="A2945" t="str">
        <f>"20200111160214157"</f>
        <v>20200111160214157</v>
      </c>
      <c r="B2945" t="str">
        <f>"1578729734144600"</f>
        <v>1578729734144600</v>
      </c>
      <c r="C2945" t="s">
        <v>37</v>
      </c>
      <c r="D2945">
        <v>5.0048690000000002</v>
      </c>
      <c r="E2945">
        <v>0.46759269999999997</v>
      </c>
      <c r="F2945" t="s">
        <v>57</v>
      </c>
      <c r="G2945">
        <v>-239.77070000000001</v>
      </c>
      <c r="H2945" s="1">
        <v>3.6316850000000001E-6</v>
      </c>
      <c r="I2945">
        <v>215.32599999999999</v>
      </c>
      <c r="J2945">
        <v>-251.06700000000001</v>
      </c>
      <c r="K2945">
        <v>1.1039319999999999</v>
      </c>
      <c r="L2945">
        <v>214.37860000000001</v>
      </c>
      <c r="M2945">
        <v>0.99994850000000002</v>
      </c>
      <c r="N2945">
        <v>0</v>
      </c>
      <c r="O2945">
        <v>3.7564600000000001E-3</v>
      </c>
      <c r="P2945">
        <v>0.99936990000000003</v>
      </c>
      <c r="Q2945">
        <v>2.0302170000000001E-2</v>
      </c>
      <c r="R2945">
        <v>2.9116840000000001E-2</v>
      </c>
      <c r="S2945">
        <v>3.0005799999999998</v>
      </c>
      <c r="T2945">
        <v>-0.28675879999999998</v>
      </c>
      <c r="U2945">
        <v>0.24635309999999999</v>
      </c>
      <c r="V2945">
        <v>-2.5357919999999999E-2</v>
      </c>
      <c r="W2945">
        <v>2.9735299999999999E-2</v>
      </c>
      <c r="X2945">
        <v>0.99923609999999896</v>
      </c>
      <c r="Y2945">
        <v>-7.7747090000000005E-2</v>
      </c>
      <c r="Z2945">
        <v>3.34284599999999E-3</v>
      </c>
      <c r="AA2945">
        <v>0.99696749999999901</v>
      </c>
      <c r="AB2945">
        <v>27</v>
      </c>
      <c r="AC2945">
        <v>11.2963</v>
      </c>
      <c r="AD2945">
        <v>-1.1039283683149901</v>
      </c>
      <c r="AE2945">
        <v>0.94739999999998703</v>
      </c>
      <c r="AF2945">
        <v>-0.89645585679712902</v>
      </c>
      <c r="AG2945">
        <v>-1.1039283683149901</v>
      </c>
      <c r="AH2945">
        <v>11.193625398160099</v>
      </c>
      <c r="AI2945">
        <v>95.614502226098196</v>
      </c>
      <c r="AJ2945">
        <v>94.578833467055901</v>
      </c>
      <c r="AK2945">
        <v>11.2835960801462</v>
      </c>
    </row>
    <row r="2946" spans="1:37" x14ac:dyDescent="0.2">
      <c r="A2946" t="str">
        <f>"20200111160214178"</f>
        <v>20200111160214178</v>
      </c>
      <c r="B2946" t="str">
        <f>"1578729734174857"</f>
        <v>1578729734174857</v>
      </c>
      <c r="C2946" t="s">
        <v>37</v>
      </c>
      <c r="D2946">
        <v>4.988931</v>
      </c>
      <c r="E2946">
        <v>0.4613448</v>
      </c>
      <c r="F2946" t="s">
        <v>57</v>
      </c>
      <c r="G2946">
        <v>-238.70429999999999</v>
      </c>
      <c r="H2946" s="1">
        <v>3.0397260000000002E-6</v>
      </c>
      <c r="I2946">
        <v>215.88570000000001</v>
      </c>
      <c r="J2946">
        <v>-250.8073</v>
      </c>
      <c r="K2946">
        <v>1.103934</v>
      </c>
      <c r="L2946">
        <v>214.37950000000001</v>
      </c>
      <c r="M2946">
        <v>0.99994879999999997</v>
      </c>
      <c r="N2946">
        <v>0</v>
      </c>
      <c r="O2946">
        <v>3.6958909999999898E-3</v>
      </c>
      <c r="P2946">
        <v>0.99936650000000005</v>
      </c>
      <c r="Q2946">
        <v>2.0582260000000002E-2</v>
      </c>
      <c r="R2946">
        <v>2.9038230000000002E-2</v>
      </c>
      <c r="S2946">
        <v>2.9966889999999999</v>
      </c>
      <c r="T2946">
        <v>-0.26758969999999999</v>
      </c>
      <c r="U2946">
        <v>0.36532589999999998</v>
      </c>
      <c r="V2946">
        <v>-2.53396E-2</v>
      </c>
      <c r="W2946">
        <v>3.0016979999999999E-2</v>
      </c>
      <c r="X2946">
        <v>0.99922809999999995</v>
      </c>
      <c r="Y2946">
        <v>-0.116900399999999</v>
      </c>
      <c r="Z2946">
        <v>4.8616989999999997E-3</v>
      </c>
      <c r="AA2946">
        <v>0.99313180000000001</v>
      </c>
      <c r="AB2946">
        <v>27</v>
      </c>
      <c r="AC2946">
        <v>12.103</v>
      </c>
      <c r="AD2946">
        <v>-1.103930960274</v>
      </c>
      <c r="AE2946">
        <v>1.5062</v>
      </c>
      <c r="AF2946">
        <v>-1.44958048542012</v>
      </c>
      <c r="AG2946">
        <v>-1.103930960274</v>
      </c>
      <c r="AH2946">
        <v>12.010090134197799</v>
      </c>
      <c r="AI2946">
        <v>95.214066504304995</v>
      </c>
      <c r="AJ2946">
        <v>96.882132004730707</v>
      </c>
      <c r="AK2946">
        <v>12.1475187664114</v>
      </c>
    </row>
    <row r="2947" spans="1:37" x14ac:dyDescent="0.2">
      <c r="A2947" t="str">
        <f>"20200111160214204"</f>
        <v>20200111160214204</v>
      </c>
      <c r="B2947" t="str">
        <f>"1578729734194377"</f>
        <v>1578729734194377</v>
      </c>
      <c r="C2947" t="s">
        <v>37</v>
      </c>
      <c r="D2947">
        <v>5.0690359999999997</v>
      </c>
      <c r="E2947">
        <v>0.45935130000000002</v>
      </c>
      <c r="F2947" t="s">
        <v>57</v>
      </c>
      <c r="G2947">
        <v>-238.24080000000001</v>
      </c>
      <c r="H2947" s="1">
        <v>2.7828629999999899E-6</v>
      </c>
      <c r="I2947">
        <v>216.119</v>
      </c>
      <c r="J2947">
        <v>-250.49109999999999</v>
      </c>
      <c r="K2947">
        <v>1.1039289999999999</v>
      </c>
      <c r="L2947">
        <v>214.38059999999999</v>
      </c>
      <c r="M2947">
        <v>0.99994910000000004</v>
      </c>
      <c r="N2947">
        <v>0</v>
      </c>
      <c r="O2947">
        <v>3.6220290000000001E-3</v>
      </c>
      <c r="P2947">
        <v>0.99936800000000003</v>
      </c>
      <c r="Q2947">
        <v>2.0992340000000002E-2</v>
      </c>
      <c r="R2947">
        <v>2.869586E-2</v>
      </c>
      <c r="S2947">
        <v>2.9952549999999998</v>
      </c>
      <c r="T2947">
        <v>-0.26312340000000001</v>
      </c>
      <c r="U2947">
        <v>0.41462709999999903</v>
      </c>
      <c r="V2947">
        <v>-2.5071030000000001E-2</v>
      </c>
      <c r="W2947">
        <v>3.042831E-2</v>
      </c>
      <c r="X2947">
        <v>0.99922250000000001</v>
      </c>
      <c r="Y2947">
        <v>-0.13304260000000001</v>
      </c>
      <c r="Z2947">
        <v>5.4888659999999898E-3</v>
      </c>
      <c r="AA2947">
        <v>0.99109509999999901</v>
      </c>
      <c r="AB2947">
        <v>27</v>
      </c>
      <c r="AC2947">
        <v>12.2502999999999</v>
      </c>
      <c r="AD2947">
        <v>-1.1039262171369999</v>
      </c>
      <c r="AE2947">
        <v>1.7384000000000399</v>
      </c>
      <c r="AF2947">
        <v>-1.6806373554426099</v>
      </c>
      <c r="AG2947">
        <v>-1.1039262171369999</v>
      </c>
      <c r="AH2947">
        <v>12.1597217540222</v>
      </c>
      <c r="AI2947">
        <v>95.138818826047498</v>
      </c>
      <c r="AJ2947">
        <v>97.869193017799503</v>
      </c>
      <c r="AK2947">
        <v>12.3248540822451</v>
      </c>
    </row>
    <row r="2948" spans="1:37" x14ac:dyDescent="0.2">
      <c r="A2948" t="str">
        <f>"20200111160214226"</f>
        <v>20200111160214226</v>
      </c>
      <c r="B2948" t="str">
        <f>"1578729734214872"</f>
        <v>1578729734214872</v>
      </c>
      <c r="C2948" t="s">
        <v>37</v>
      </c>
      <c r="D2948">
        <v>5.051634</v>
      </c>
      <c r="E2948">
        <v>0.45844950000000001</v>
      </c>
      <c r="F2948" t="s">
        <v>57</v>
      </c>
      <c r="G2948">
        <v>-237.9136</v>
      </c>
      <c r="H2948" s="1">
        <v>2.6058729999999998E-6</v>
      </c>
      <c r="I2948">
        <v>216.18510000000001</v>
      </c>
      <c r="J2948">
        <v>-250.22149999999999</v>
      </c>
      <c r="K2948">
        <v>1.1039270000000001</v>
      </c>
      <c r="L2948">
        <v>214.38149999999999</v>
      </c>
      <c r="M2948">
        <v>0.99994919999999998</v>
      </c>
      <c r="N2948">
        <v>0</v>
      </c>
      <c r="O2948">
        <v>3.5595520000000001E-3</v>
      </c>
      <c r="P2948">
        <v>0.99934509999999899</v>
      </c>
      <c r="Q2948">
        <v>2.1342429999999999E-2</v>
      </c>
      <c r="R2948">
        <v>2.9225210000000001E-2</v>
      </c>
      <c r="S2948">
        <v>2.9951020000000002</v>
      </c>
      <c r="T2948">
        <v>-0.26287929999999998</v>
      </c>
      <c r="U2948">
        <v>0.4297028</v>
      </c>
      <c r="V2948">
        <v>-2.5662520000000001E-2</v>
      </c>
      <c r="W2948">
        <v>3.078005E-2</v>
      </c>
      <c r="X2948">
        <v>0.99919669999999905</v>
      </c>
      <c r="Y2948">
        <v>-0.13798360000000001</v>
      </c>
      <c r="Z2948">
        <v>5.7029259999999997E-3</v>
      </c>
      <c r="AA2948">
        <v>0.99041809999999997</v>
      </c>
      <c r="AB2948">
        <v>27</v>
      </c>
      <c r="AC2948">
        <v>12.307899999999901</v>
      </c>
      <c r="AD2948">
        <v>-1.1039243941270001</v>
      </c>
      <c r="AE2948">
        <v>1.8036000000000101</v>
      </c>
      <c r="AF2948">
        <v>-1.7460250267394299</v>
      </c>
      <c r="AG2948">
        <v>-1.1039243941270001</v>
      </c>
      <c r="AH2948">
        <v>12.2180181373769</v>
      </c>
      <c r="AI2948">
        <v>95.111132463843205</v>
      </c>
      <c r="AJ2948">
        <v>98.132831534118907</v>
      </c>
      <c r="AK2948">
        <v>12.391417177515301</v>
      </c>
    </row>
    <row r="2949" spans="1:37" x14ac:dyDescent="0.2">
      <c r="A2949" t="str">
        <f>"20200111160214252"</f>
        <v>20200111160214252</v>
      </c>
      <c r="B2949" t="str">
        <f>"1578729734245130"</f>
        <v>1578729734245130</v>
      </c>
      <c r="C2949" t="s">
        <v>37</v>
      </c>
      <c r="D2949">
        <v>4.9992700000000001</v>
      </c>
      <c r="E2949">
        <v>0.45769919999999997</v>
      </c>
      <c r="F2949" t="s">
        <v>57</v>
      </c>
      <c r="G2949">
        <v>-237.5394</v>
      </c>
      <c r="H2949" s="1">
        <v>2.4044919999999998E-6</v>
      </c>
      <c r="I2949">
        <v>216.23689999999999</v>
      </c>
      <c r="J2949">
        <v>-249.89420000000001</v>
      </c>
      <c r="K2949">
        <v>1.1039270000000001</v>
      </c>
      <c r="L2949">
        <v>214.3826</v>
      </c>
      <c r="M2949">
        <v>0.99994950000000005</v>
      </c>
      <c r="N2949">
        <v>0</v>
      </c>
      <c r="O2949">
        <v>3.4834809999999901E-3</v>
      </c>
      <c r="P2949">
        <v>0.9993206</v>
      </c>
      <c r="Q2949">
        <v>2.1981629999999999E-2</v>
      </c>
      <c r="R2949">
        <v>2.9587370000000002E-2</v>
      </c>
      <c r="S2949">
        <v>2.99470499999999</v>
      </c>
      <c r="T2949">
        <v>-0.26067689999999999</v>
      </c>
      <c r="U2949">
        <v>0.438125599999999</v>
      </c>
      <c r="V2949">
        <v>-2.6101289999999999E-2</v>
      </c>
      <c r="W2949">
        <v>3.1421560000000001E-2</v>
      </c>
      <c r="X2949">
        <v>0.99916539999999998</v>
      </c>
      <c r="Y2949">
        <v>-0.14080299999999901</v>
      </c>
      <c r="Z2949">
        <v>5.7833449999999996E-3</v>
      </c>
      <c r="AA2949">
        <v>0.99002080000000003</v>
      </c>
      <c r="AB2949">
        <v>27</v>
      </c>
      <c r="AC2949">
        <v>12.354799999999999</v>
      </c>
      <c r="AD2949">
        <v>-1.1039245955079999</v>
      </c>
      <c r="AE2949">
        <v>1.8542999999999901</v>
      </c>
      <c r="AF2949">
        <v>-1.7972166794787101</v>
      </c>
      <c r="AG2949">
        <v>-1.1039245955079999</v>
      </c>
      <c r="AH2949">
        <v>12.2654178734062</v>
      </c>
      <c r="AI2949">
        <v>95.088886236856695</v>
      </c>
      <c r="AJ2949">
        <v>98.336065837731795</v>
      </c>
      <c r="AK2949">
        <v>12.4454454687181</v>
      </c>
    </row>
    <row r="2950" spans="1:37" x14ac:dyDescent="0.2">
      <c r="A2950" t="str">
        <f>"20200111160214272"</f>
        <v>20200111160214272</v>
      </c>
      <c r="B2950" t="str">
        <f>"1578729734264649"</f>
        <v>1578729734264649</v>
      </c>
      <c r="C2950" t="s">
        <v>37</v>
      </c>
      <c r="D2950">
        <v>5.0086870000000001</v>
      </c>
      <c r="E2950">
        <v>0.45714460000000001</v>
      </c>
      <c r="F2950" t="s">
        <v>57</v>
      </c>
      <c r="G2950">
        <v>-237.18350000000001</v>
      </c>
      <c r="H2950" s="1">
        <v>2.213537E-6</v>
      </c>
      <c r="I2950">
        <v>216.27269999999999</v>
      </c>
      <c r="J2950">
        <v>-249.64930000000001</v>
      </c>
      <c r="K2950">
        <v>1.1039319999999999</v>
      </c>
      <c r="L2950">
        <v>214.38339999999999</v>
      </c>
      <c r="M2950">
        <v>0.99994950000000005</v>
      </c>
      <c r="N2950">
        <v>0</v>
      </c>
      <c r="O2950">
        <v>3.4269050000000001E-3</v>
      </c>
      <c r="P2950">
        <v>0.99932199999999904</v>
      </c>
      <c r="Q2950">
        <v>2.2272529999999999E-2</v>
      </c>
      <c r="R2950">
        <v>2.9321360000000001E-2</v>
      </c>
      <c r="S2950">
        <v>2.9945979999999999</v>
      </c>
      <c r="T2950">
        <v>-0.26008209999999998</v>
      </c>
      <c r="U2950">
        <v>0.4453125</v>
      </c>
      <c r="V2950">
        <v>-2.5891419999999998E-2</v>
      </c>
      <c r="W2950">
        <v>3.1715149999999998E-2</v>
      </c>
      <c r="X2950">
        <v>0.99916149999999904</v>
      </c>
      <c r="Y2950">
        <v>-0.14318249999999999</v>
      </c>
      <c r="Z2950">
        <v>5.8768559999999997E-3</v>
      </c>
      <c r="AA2950">
        <v>0.98967890000000003</v>
      </c>
      <c r="AB2950">
        <v>27</v>
      </c>
      <c r="AC2950">
        <v>12.4658</v>
      </c>
      <c r="AD2950">
        <v>-1.103929786463</v>
      </c>
      <c r="AE2950">
        <v>1.88929999999999</v>
      </c>
      <c r="AF2950">
        <v>-1.8325194407972401</v>
      </c>
      <c r="AG2950">
        <v>-1.103929786463</v>
      </c>
      <c r="AH2950">
        <v>12.3773146677198</v>
      </c>
      <c r="AI2950">
        <v>95.042037475735</v>
      </c>
      <c r="AJ2950">
        <v>98.421728989064704</v>
      </c>
      <c r="AK2950">
        <v>12.560840213062599</v>
      </c>
    </row>
    <row r="2951" spans="1:37" x14ac:dyDescent="0.2">
      <c r="A2951" t="str">
        <f>"20200111160214291"</f>
        <v>20200111160214291</v>
      </c>
      <c r="B2951" t="str">
        <f>"1578729734285144"</f>
        <v>1578729734285144</v>
      </c>
      <c r="C2951" t="s">
        <v>37</v>
      </c>
      <c r="D2951">
        <v>5.0148229999999998</v>
      </c>
      <c r="E2951">
        <v>0.45671419999999902</v>
      </c>
      <c r="F2951" t="s">
        <v>57</v>
      </c>
      <c r="G2951">
        <v>-236.92150000000001</v>
      </c>
      <c r="H2951" s="1">
        <v>2.0731710000000002E-6</v>
      </c>
      <c r="I2951">
        <v>216.29310000000001</v>
      </c>
      <c r="J2951">
        <v>-249.41839999999999</v>
      </c>
      <c r="K2951">
        <v>1.103928</v>
      </c>
      <c r="L2951">
        <v>214.38409999999999</v>
      </c>
      <c r="M2951">
        <v>0.9999498</v>
      </c>
      <c r="N2951">
        <v>0</v>
      </c>
      <c r="O2951">
        <v>3.3730729999999999E-3</v>
      </c>
      <c r="P2951">
        <v>0.99933950000000005</v>
      </c>
      <c r="Q2951">
        <v>2.1691510000000001E-2</v>
      </c>
      <c r="R2951">
        <v>2.9156169999999999E-2</v>
      </c>
      <c r="S2951">
        <v>2.994675</v>
      </c>
      <c r="T2951">
        <v>-0.25973800000000002</v>
      </c>
      <c r="U2951">
        <v>0.44934079999999899</v>
      </c>
      <c r="V2951">
        <v>-2.5779920000000001E-2</v>
      </c>
      <c r="W2951">
        <v>3.1136549999999999E-2</v>
      </c>
      <c r="X2951">
        <v>0.99918259999999903</v>
      </c>
      <c r="Y2951">
        <v>-0.14453060000000001</v>
      </c>
      <c r="Z2951">
        <v>5.9310480000000004E-3</v>
      </c>
      <c r="AA2951">
        <v>0.98948259999999899</v>
      </c>
      <c r="AB2951">
        <v>27</v>
      </c>
      <c r="AC2951">
        <v>12.496899999999901</v>
      </c>
      <c r="AD2951">
        <v>-1.103925926829</v>
      </c>
      <c r="AE2951">
        <v>1.90900000000002</v>
      </c>
      <c r="AF2951">
        <v>-1.8527068441005701</v>
      </c>
      <c r="AG2951">
        <v>-1.103925926829</v>
      </c>
      <c r="AH2951">
        <v>12.408648600982801</v>
      </c>
      <c r="AI2951">
        <v>95.028441446992801</v>
      </c>
      <c r="AJ2951">
        <v>98.491968927803697</v>
      </c>
      <c r="AK2951">
        <v>12.594670904980999</v>
      </c>
    </row>
    <row r="2952" spans="1:37" x14ac:dyDescent="0.2">
      <c r="A2952" t="str">
        <f>"20200111160214313"</f>
        <v>20200111160214313</v>
      </c>
      <c r="B2952" t="str">
        <f>"1578729734304665"</f>
        <v>1578729734304665</v>
      </c>
      <c r="C2952" t="s">
        <v>37</v>
      </c>
      <c r="D2952">
        <v>5.0651960000000003</v>
      </c>
      <c r="E2952">
        <v>0.45652209999999899</v>
      </c>
      <c r="F2952" t="s">
        <v>57</v>
      </c>
      <c r="G2952">
        <v>-236.8647</v>
      </c>
      <c r="H2952" s="1">
        <v>2.0434950000000001E-6</v>
      </c>
      <c r="I2952">
        <v>216.28120000000001</v>
      </c>
      <c r="J2952">
        <v>-249.1431</v>
      </c>
      <c r="K2952">
        <v>1.1039190000000001</v>
      </c>
      <c r="L2952">
        <v>214.38489999999999</v>
      </c>
      <c r="M2952">
        <v>0.99994989999999995</v>
      </c>
      <c r="N2952">
        <v>0</v>
      </c>
      <c r="O2952">
        <v>3.3089249999999999E-3</v>
      </c>
      <c r="P2952">
        <v>0.99935169999999995</v>
      </c>
      <c r="Q2952">
        <v>2.094E-2</v>
      </c>
      <c r="R2952">
        <v>2.9287770000000001E-2</v>
      </c>
      <c r="S2952">
        <v>2.994507</v>
      </c>
      <c r="T2952">
        <v>-0.26332519999999998</v>
      </c>
      <c r="U2952">
        <v>0.45251459999999999</v>
      </c>
      <c r="V2952">
        <v>-2.597586E-2</v>
      </c>
      <c r="W2952">
        <v>3.03878E-2</v>
      </c>
      <c r="X2952">
        <v>0.99920059999999999</v>
      </c>
      <c r="Y2952">
        <v>-0.14560889999999899</v>
      </c>
      <c r="Z2952">
        <v>6.0651680000000001E-3</v>
      </c>
      <c r="AA2952">
        <v>0.98932359999999897</v>
      </c>
      <c r="AB2952">
        <v>27</v>
      </c>
      <c r="AC2952">
        <v>12.2784</v>
      </c>
      <c r="AD2952">
        <v>-1.103916956505</v>
      </c>
      <c r="AE2952">
        <v>1.8963000000000201</v>
      </c>
      <c r="AF2952">
        <v>-1.84112383385364</v>
      </c>
      <c r="AG2952">
        <v>-1.103916956505</v>
      </c>
      <c r="AH2952">
        <v>12.1883805496023</v>
      </c>
      <c r="AI2952">
        <v>95.117488433399799</v>
      </c>
      <c r="AJ2952">
        <v>98.589910171279598</v>
      </c>
      <c r="AK2952">
        <v>12.375984406921599</v>
      </c>
    </row>
    <row r="2953" spans="1:37" x14ac:dyDescent="0.2">
      <c r="A2953" t="str">
        <f>"20200111160214334"</f>
        <v>20200111160214334</v>
      </c>
      <c r="B2953" t="str">
        <f>"1578729734325160"</f>
        <v>1578729734325160</v>
      </c>
      <c r="C2953" t="s">
        <v>37</v>
      </c>
      <c r="D2953">
        <v>5.1282500000000004</v>
      </c>
      <c r="E2953">
        <v>0.45615729999999999</v>
      </c>
      <c r="F2953" t="s">
        <v>57</v>
      </c>
      <c r="G2953">
        <v>-236.78970000000001</v>
      </c>
      <c r="H2953" s="1">
        <v>2.0045290000000002E-6</v>
      </c>
      <c r="I2953">
        <v>216.25899999999999</v>
      </c>
      <c r="J2953">
        <v>-248.8819</v>
      </c>
      <c r="K2953">
        <v>1.103918</v>
      </c>
      <c r="L2953">
        <v>214.38579999999999</v>
      </c>
      <c r="M2953">
        <v>0.99995009999999995</v>
      </c>
      <c r="N2953">
        <v>0</v>
      </c>
      <c r="O2953">
        <v>3.2482929999999902E-3</v>
      </c>
      <c r="P2953">
        <v>0.99935580000000002</v>
      </c>
      <c r="Q2953">
        <v>2.1300019999999999E-2</v>
      </c>
      <c r="R2953">
        <v>2.889021E-2</v>
      </c>
      <c r="S2953">
        <v>2.9942319999999998</v>
      </c>
      <c r="T2953">
        <v>-0.26756729999999901</v>
      </c>
      <c r="U2953">
        <v>0.45422360000000001</v>
      </c>
      <c r="V2953">
        <v>-2.563872E-2</v>
      </c>
      <c r="W2953">
        <v>3.0750980000000001E-2</v>
      </c>
      <c r="X2953">
        <v>0.99919820000000004</v>
      </c>
      <c r="Y2953">
        <v>-0.14621429999999999</v>
      </c>
      <c r="Z2953">
        <v>6.1950140000000004E-3</v>
      </c>
      <c r="AA2953">
        <v>0.98923359999999905</v>
      </c>
      <c r="AB2953">
        <v>28</v>
      </c>
      <c r="AC2953">
        <v>12.092199999999901</v>
      </c>
      <c r="AD2953">
        <v>-1.1039159954709901</v>
      </c>
      <c r="AE2953">
        <v>1.87320000000002</v>
      </c>
      <c r="AF2953">
        <v>-1.8191039524155399</v>
      </c>
      <c r="AG2953">
        <v>-1.1039159954709901</v>
      </c>
      <c r="AH2953">
        <v>12.0005505678433</v>
      </c>
      <c r="AI2953">
        <v>95.196741696012197</v>
      </c>
      <c r="AJ2953">
        <v>98.619562663395598</v>
      </c>
      <c r="AK2953">
        <v>12.187739070316301</v>
      </c>
    </row>
    <row r="2954" spans="1:37" x14ac:dyDescent="0.2">
      <c r="A2954" t="str">
        <f>"20200111160214358"</f>
        <v>20200111160214358</v>
      </c>
      <c r="B2954" t="str">
        <f>"1578729734354440"</f>
        <v>1578729734354440</v>
      </c>
      <c r="C2954" t="s">
        <v>37</v>
      </c>
      <c r="D2954">
        <v>5.0926910000000003</v>
      </c>
      <c r="E2954">
        <v>0.4557138</v>
      </c>
      <c r="F2954" t="s">
        <v>57</v>
      </c>
      <c r="G2954">
        <v>-236.45310000000001</v>
      </c>
      <c r="H2954" s="1">
        <v>1.824589E-6</v>
      </c>
      <c r="I2954">
        <v>216.27760000000001</v>
      </c>
      <c r="J2954">
        <v>-248.59710000000001</v>
      </c>
      <c r="K2954">
        <v>1.1039099999999999</v>
      </c>
      <c r="L2954">
        <v>214.38659999999999</v>
      </c>
      <c r="M2954">
        <v>0.99995020000000001</v>
      </c>
      <c r="N2954">
        <v>0</v>
      </c>
      <c r="O2954">
        <v>3.1824709999999901E-3</v>
      </c>
      <c r="P2954">
        <v>0.99935649999999998</v>
      </c>
      <c r="Q2954">
        <v>2.1568739999999999E-2</v>
      </c>
      <c r="R2954">
        <v>2.8660540000000002E-2</v>
      </c>
      <c r="S2954">
        <v>2.9944310000000001</v>
      </c>
      <c r="T2954">
        <v>-0.26596209999999998</v>
      </c>
      <c r="U2954">
        <v>0.45579529999999902</v>
      </c>
      <c r="V2954">
        <v>-2.5474610000000002E-2</v>
      </c>
      <c r="W2954">
        <v>3.1023120000000001E-2</v>
      </c>
      <c r="X2954">
        <v>0.99919400000000003</v>
      </c>
      <c r="Y2954">
        <v>-0.14678150000000001</v>
      </c>
      <c r="Z2954">
        <v>6.1881469999999997E-3</v>
      </c>
      <c r="AA2954">
        <v>0.98914959999999996</v>
      </c>
      <c r="AB2954">
        <v>28</v>
      </c>
      <c r="AC2954">
        <v>12.144</v>
      </c>
      <c r="AD2954">
        <v>-1.1039081754109901</v>
      </c>
      <c r="AE2954">
        <v>1.89100000000002</v>
      </c>
      <c r="AF2954">
        <v>-1.8375166459443399</v>
      </c>
      <c r="AG2954">
        <v>-1.1039081754109901</v>
      </c>
      <c r="AH2954">
        <v>12.0527217827548</v>
      </c>
      <c r="AI2954">
        <v>95.1736666944403</v>
      </c>
      <c r="AJ2954">
        <v>98.668369747205503</v>
      </c>
      <c r="AK2954">
        <v>12.2418619113415</v>
      </c>
    </row>
    <row r="2955" spans="1:37" x14ac:dyDescent="0.2">
      <c r="A2955" t="str">
        <f>"20200111160214378"</f>
        <v>20200111160214378</v>
      </c>
      <c r="B2955" t="str">
        <f>"1578729734374936"</f>
        <v>1578729734374936</v>
      </c>
      <c r="C2955" t="s">
        <v>37</v>
      </c>
      <c r="D2955">
        <v>5.0700799999999999</v>
      </c>
      <c r="E2955">
        <v>0.45566819999999902</v>
      </c>
      <c r="F2955" t="s">
        <v>57</v>
      </c>
      <c r="G2955">
        <v>-236.15180000000001</v>
      </c>
      <c r="H2955" s="1">
        <v>1.663544E-6</v>
      </c>
      <c r="I2955">
        <v>216.29400000000001</v>
      </c>
      <c r="J2955">
        <v>-248.3383</v>
      </c>
      <c r="K2955">
        <v>1.103904</v>
      </c>
      <c r="L2955">
        <v>214.38740000000001</v>
      </c>
      <c r="M2955">
        <v>0.99995049999999996</v>
      </c>
      <c r="N2955">
        <v>0</v>
      </c>
      <c r="O2955">
        <v>3.1225509999999999E-3</v>
      </c>
      <c r="P2955">
        <v>0.9993552</v>
      </c>
      <c r="Q2955">
        <v>2.0970699999999998E-2</v>
      </c>
      <c r="R2955">
        <v>2.9146749999999999E-2</v>
      </c>
      <c r="S2955">
        <v>2.9945219999999999</v>
      </c>
      <c r="T2955">
        <v>-0.26561669999999998</v>
      </c>
      <c r="U2955">
        <v>0.45895390000000003</v>
      </c>
      <c r="V2955">
        <v>-2.602109E-2</v>
      </c>
      <c r="W2955">
        <v>3.042831E-2</v>
      </c>
      <c r="X2955">
        <v>0.99919820000000004</v>
      </c>
      <c r="Y2955">
        <v>-0.14785290000000001</v>
      </c>
      <c r="Z2955">
        <v>6.2318950000000003E-3</v>
      </c>
      <c r="AA2955">
        <v>0.98898969999999897</v>
      </c>
      <c r="AB2955">
        <v>28</v>
      </c>
      <c r="AC2955">
        <v>12.186499999999899</v>
      </c>
      <c r="AD2955">
        <v>-1.1039023364560001</v>
      </c>
      <c r="AE2955">
        <v>1.9065999999999901</v>
      </c>
      <c r="AF2955">
        <v>-1.85368906508215</v>
      </c>
      <c r="AG2955">
        <v>-1.1039023364560001</v>
      </c>
      <c r="AH2955">
        <v>12.0955162424546</v>
      </c>
      <c r="AI2955">
        <v>95.154822841986004</v>
      </c>
      <c r="AJ2955">
        <v>98.713028907065905</v>
      </c>
      <c r="AK2955">
        <v>12.2864265223832</v>
      </c>
    </row>
    <row r="2956" spans="1:37" x14ac:dyDescent="0.2">
      <c r="A2956" t="str">
        <f>"20200111160214401"</f>
        <v>20200111160214401</v>
      </c>
      <c r="B2956" t="str">
        <f>"1578729734394456"</f>
        <v>1578729734394456</v>
      </c>
      <c r="C2956" t="s">
        <v>37</v>
      </c>
      <c r="D2956">
        <v>5.1836900000000004</v>
      </c>
      <c r="E2956">
        <v>0.45535710000000001</v>
      </c>
      <c r="F2956" t="s">
        <v>57</v>
      </c>
      <c r="G2956">
        <v>-235.95089999999999</v>
      </c>
      <c r="H2956" s="1">
        <v>1.5566690000000001E-6</v>
      </c>
      <c r="I2956">
        <v>216.29409999999999</v>
      </c>
      <c r="J2956">
        <v>-248.0547</v>
      </c>
      <c r="K2956">
        <v>1.103909</v>
      </c>
      <c r="L2956">
        <v>214.38820000000001</v>
      </c>
      <c r="M2956">
        <v>0.99995059999999902</v>
      </c>
      <c r="N2956">
        <v>0</v>
      </c>
      <c r="O2956">
        <v>3.0569079999999901E-3</v>
      </c>
      <c r="P2956">
        <v>0.99936849999999999</v>
      </c>
      <c r="Q2956">
        <v>2.05474E-2</v>
      </c>
      <c r="R2956">
        <v>2.8990390000000001E-2</v>
      </c>
      <c r="S2956">
        <v>2.99411</v>
      </c>
      <c r="T2956">
        <v>-0.26682059999999902</v>
      </c>
      <c r="U2956">
        <v>0.46087650000000002</v>
      </c>
      <c r="V2956">
        <v>-2.5930419999999999E-2</v>
      </c>
      <c r="W2956">
        <v>3.0008880000000002E-2</v>
      </c>
      <c r="X2956">
        <v>0.99921319999999902</v>
      </c>
      <c r="Y2956">
        <v>-0.1485506</v>
      </c>
      <c r="Z2956">
        <v>6.29722599999999E-3</v>
      </c>
      <c r="AA2956">
        <v>0.98888469999999995</v>
      </c>
      <c r="AB2956">
        <v>28</v>
      </c>
      <c r="AC2956">
        <v>12.1038</v>
      </c>
      <c r="AD2956">
        <v>-1.1039074433310001</v>
      </c>
      <c r="AE2956">
        <v>1.90589999999997</v>
      </c>
      <c r="AF2956">
        <v>-1.8538419653762399</v>
      </c>
      <c r="AG2956">
        <v>-1.1039074433310001</v>
      </c>
      <c r="AH2956">
        <v>12.0120702507938</v>
      </c>
      <c r="AI2956">
        <v>95.189626067387593</v>
      </c>
      <c r="AJ2956">
        <v>98.773330935822202</v>
      </c>
      <c r="AK2956">
        <v>12.204309623491</v>
      </c>
    </row>
    <row r="2957" spans="1:37" x14ac:dyDescent="0.2">
      <c r="A2957" t="str">
        <f>"20200111160214422"</f>
        <v>20200111160214422</v>
      </c>
      <c r="B2957" t="str">
        <f>"1578729734414952"</f>
        <v>1578729734414952</v>
      </c>
      <c r="C2957" t="s">
        <v>37</v>
      </c>
      <c r="D2957">
        <v>5.0959139999999996</v>
      </c>
      <c r="E2957">
        <v>0.45506599999999903</v>
      </c>
      <c r="F2957" t="s">
        <v>57</v>
      </c>
      <c r="G2957">
        <v>-235.739</v>
      </c>
      <c r="H2957" s="1">
        <v>1.4439930000000001E-6</v>
      </c>
      <c r="I2957">
        <v>216.2919</v>
      </c>
      <c r="J2957">
        <v>-247.79140000000001</v>
      </c>
      <c r="K2957">
        <v>1.1039079999999999</v>
      </c>
      <c r="L2957">
        <v>214.38890000000001</v>
      </c>
      <c r="M2957">
        <v>0.99995089999999998</v>
      </c>
      <c r="N2957">
        <v>0</v>
      </c>
      <c r="O2957">
        <v>2.9957970000000001E-3</v>
      </c>
      <c r="P2957">
        <v>0.99938300000000002</v>
      </c>
      <c r="Q2957">
        <v>1.9893689999999999E-2</v>
      </c>
      <c r="R2957">
        <v>2.8954799999999999E-2</v>
      </c>
      <c r="S2957">
        <v>2.9939879999999999</v>
      </c>
      <c r="T2957">
        <v>-0.26836500000000002</v>
      </c>
      <c r="U2957">
        <v>0.46281430000000001</v>
      </c>
      <c r="V2957">
        <v>-2.5956170000000001E-2</v>
      </c>
      <c r="W2957">
        <v>2.9358760000000001E-2</v>
      </c>
      <c r="X2957">
        <v>0.99923189999999995</v>
      </c>
      <c r="Y2957">
        <v>-0.1492328</v>
      </c>
      <c r="Z2957">
        <v>6.3692480000000001E-3</v>
      </c>
      <c r="AA2957">
        <v>0.98878159999999904</v>
      </c>
      <c r="AB2957">
        <v>28</v>
      </c>
      <c r="AC2957">
        <v>12.0524</v>
      </c>
      <c r="AD2957">
        <v>-1.1039065560069901</v>
      </c>
      <c r="AE2957">
        <v>1.90299999999999</v>
      </c>
      <c r="AF2957">
        <v>-1.85172676574616</v>
      </c>
      <c r="AG2957">
        <v>-1.1039065560069901</v>
      </c>
      <c r="AH2957">
        <v>11.9601523145506</v>
      </c>
      <c r="AI2957">
        <v>95.211639950305099</v>
      </c>
      <c r="AJ2957">
        <v>98.800923352092795</v>
      </c>
      <c r="AK2957">
        <v>12.1528904005025</v>
      </c>
    </row>
    <row r="2958" spans="1:37" x14ac:dyDescent="0.2">
      <c r="A2958" t="str">
        <f>"20200111160214444"</f>
        <v>20200111160214444</v>
      </c>
      <c r="B2958" t="str">
        <f>"1578729734434472"</f>
        <v>1578729734434472</v>
      </c>
      <c r="C2958" t="s">
        <v>37</v>
      </c>
      <c r="D2958">
        <v>5.1310729999999998</v>
      </c>
      <c r="E2958">
        <v>0.45468710000000001</v>
      </c>
      <c r="F2958" t="s">
        <v>57</v>
      </c>
      <c r="G2958">
        <v>-235.5455</v>
      </c>
      <c r="H2958" s="1">
        <v>1.3411040000000001E-6</v>
      </c>
      <c r="I2958">
        <v>216.2901</v>
      </c>
      <c r="J2958">
        <v>-247.5265</v>
      </c>
      <c r="K2958">
        <v>1.103907</v>
      </c>
      <c r="L2958">
        <v>214.3896</v>
      </c>
      <c r="M2958">
        <v>0.99995109999999998</v>
      </c>
      <c r="N2958">
        <v>0</v>
      </c>
      <c r="O2958">
        <v>2.934149E-3</v>
      </c>
      <c r="P2958">
        <v>0.99937430000000005</v>
      </c>
      <c r="Q2958">
        <v>2.0366720000000001E-2</v>
      </c>
      <c r="R2958">
        <v>2.8926589999999999E-2</v>
      </c>
      <c r="S2958">
        <v>2.9937589999999998</v>
      </c>
      <c r="T2958">
        <v>-0.269872099999999</v>
      </c>
      <c r="U2958">
        <v>0.46478269999999999</v>
      </c>
      <c r="V2958">
        <v>-2.5989160000000001E-2</v>
      </c>
      <c r="W2958">
        <v>2.9835400000000002E-2</v>
      </c>
      <c r="X2958">
        <v>0.99921689999999996</v>
      </c>
      <c r="Y2958">
        <v>-0.1499306</v>
      </c>
      <c r="Z2958">
        <v>6.4417509999999999E-3</v>
      </c>
      <c r="AA2958">
        <v>0.98867549999999904</v>
      </c>
      <c r="AB2958">
        <v>28</v>
      </c>
      <c r="AC2958">
        <v>11.9809999999999</v>
      </c>
      <c r="AD2958">
        <v>-1.1039056588959999</v>
      </c>
      <c r="AE2958">
        <v>1.9004999999999901</v>
      </c>
      <c r="AF2958">
        <v>-1.85001614342272</v>
      </c>
      <c r="AG2958">
        <v>-1.1039056588959999</v>
      </c>
      <c r="AH2958">
        <v>11.8880792943099</v>
      </c>
      <c r="AI2958">
        <v>95.242428364592897</v>
      </c>
      <c r="AJ2958">
        <v>98.845387890649206</v>
      </c>
      <c r="AK2958">
        <v>12.0817050428517</v>
      </c>
    </row>
    <row r="2959" spans="1:37" x14ac:dyDescent="0.2">
      <c r="A2959" t="str">
        <f>"20200111160214472"</f>
        <v>20200111160214472</v>
      </c>
      <c r="B2959" t="str">
        <f>"1578729734464728"</f>
        <v>1578729734464728</v>
      </c>
      <c r="C2959" t="s">
        <v>37</v>
      </c>
      <c r="D2959">
        <v>5.0623949999999898</v>
      </c>
      <c r="E2959">
        <v>0.45417029999999903</v>
      </c>
      <c r="F2959" t="s">
        <v>57</v>
      </c>
      <c r="G2959">
        <v>-235.18950000000001</v>
      </c>
      <c r="H2959" s="1">
        <v>1.150444E-6</v>
      </c>
      <c r="I2959">
        <v>216.31710000000001</v>
      </c>
      <c r="J2959">
        <v>-247.19210000000001</v>
      </c>
      <c r="K2959">
        <v>1.1039190000000001</v>
      </c>
      <c r="L2959">
        <v>214.3905</v>
      </c>
      <c r="M2959">
        <v>0.99995109999999998</v>
      </c>
      <c r="N2959">
        <v>0</v>
      </c>
      <c r="O2959">
        <v>2.8561659999999998E-3</v>
      </c>
      <c r="P2959">
        <v>0.99935739999999995</v>
      </c>
      <c r="Q2959">
        <v>2.1303490000000001E-2</v>
      </c>
      <c r="R2959">
        <v>2.8830450000000001E-2</v>
      </c>
      <c r="S2959">
        <v>2.993805</v>
      </c>
      <c r="T2959">
        <v>-0.26788200000000001</v>
      </c>
      <c r="U2959">
        <v>0.46772770000000002</v>
      </c>
      <c r="V2959">
        <v>-2.5970790000000001E-2</v>
      </c>
      <c r="W2959">
        <v>3.077624E-2</v>
      </c>
      <c r="X2959">
        <v>0.99918879999999999</v>
      </c>
      <c r="Y2959">
        <v>-0.15095910000000001</v>
      </c>
      <c r="Z2959">
        <v>6.4464309999999999E-3</v>
      </c>
      <c r="AA2959">
        <v>0.98851900000000004</v>
      </c>
      <c r="AB2959">
        <v>28</v>
      </c>
      <c r="AC2959">
        <v>12.002599999999999</v>
      </c>
      <c r="AD2959">
        <v>-1.103917849556</v>
      </c>
      <c r="AE2959">
        <v>1.9266000000000001</v>
      </c>
      <c r="AF2959">
        <v>-1.8768317066677001</v>
      </c>
      <c r="AG2959">
        <v>-1.103917849556</v>
      </c>
      <c r="AH2959">
        <v>11.909838306500999</v>
      </c>
      <c r="AI2959">
        <v>95.231396667589394</v>
      </c>
      <c r="AJ2959">
        <v>98.955403969668794</v>
      </c>
      <c r="AK2959">
        <v>12.1072449533625</v>
      </c>
    </row>
    <row r="2960" spans="1:37" x14ac:dyDescent="0.2">
      <c r="A2960" t="str">
        <f>"20200111160214496"</f>
        <v>20200111160214496</v>
      </c>
      <c r="B2960" t="str">
        <f>"1578729734485226"</f>
        <v>1578729734485226</v>
      </c>
      <c r="C2960" t="s">
        <v>37</v>
      </c>
      <c r="D2960">
        <v>5.0677000000000003</v>
      </c>
      <c r="E2960">
        <v>0.45390459999999899</v>
      </c>
      <c r="F2960" t="s">
        <v>57</v>
      </c>
      <c r="G2960">
        <v>-234.6216</v>
      </c>
      <c r="H2960" s="1">
        <v>8.4592009999999999E-7</v>
      </c>
      <c r="I2960">
        <v>216.37099999999899</v>
      </c>
      <c r="J2960">
        <v>-246.8775</v>
      </c>
      <c r="K2960">
        <v>1.1039159999999999</v>
      </c>
      <c r="L2960">
        <v>214.3914</v>
      </c>
      <c r="M2960">
        <v>0.99995129999999999</v>
      </c>
      <c r="N2960">
        <v>0</v>
      </c>
      <c r="O2960">
        <v>2.7836039999999999E-3</v>
      </c>
      <c r="P2960">
        <v>0.99936009999999997</v>
      </c>
      <c r="Q2960">
        <v>2.200419E-2</v>
      </c>
      <c r="R2960">
        <v>2.8202149999999999E-2</v>
      </c>
      <c r="S2960">
        <v>2.9939269999999998</v>
      </c>
      <c r="T2960">
        <v>-0.26292179999999998</v>
      </c>
      <c r="U2960">
        <v>0.47167969999999998</v>
      </c>
      <c r="V2960">
        <v>-2.5415159999999999E-2</v>
      </c>
      <c r="W2960">
        <v>3.1480660000000001E-2</v>
      </c>
      <c r="X2960">
        <v>0.99918119999999999</v>
      </c>
      <c r="Y2960">
        <v>-0.15231410000000001</v>
      </c>
      <c r="Z2960">
        <v>6.3919669999999897E-3</v>
      </c>
      <c r="AA2960">
        <v>0.98831150000000001</v>
      </c>
      <c r="AB2960">
        <v>28</v>
      </c>
      <c r="AC2960">
        <v>12.255899999999899</v>
      </c>
      <c r="AD2960">
        <v>-1.1039151540798999</v>
      </c>
      <c r="AE2960">
        <v>1.9795999999999701</v>
      </c>
      <c r="AF2960">
        <v>-1.9302135908876701</v>
      </c>
      <c r="AG2960">
        <v>-1.1039151540798999</v>
      </c>
      <c r="AH2960">
        <v>12.165176669660401</v>
      </c>
      <c r="AI2960">
        <v>95.121322106752004</v>
      </c>
      <c r="AJ2960">
        <v>99.015799513025996</v>
      </c>
      <c r="AK2960">
        <v>12.3667245695012</v>
      </c>
    </row>
    <row r="2961" spans="1:37" x14ac:dyDescent="0.2">
      <c r="A2961" t="str">
        <f>"20200111160214514"</f>
        <v>20200111160214514</v>
      </c>
      <c r="B2961" t="str">
        <f>"1578729734504745"</f>
        <v>1578729734504745</v>
      </c>
      <c r="C2961" t="s">
        <v>37</v>
      </c>
      <c r="D2961">
        <v>5.0493509999999997</v>
      </c>
      <c r="E2961">
        <v>0.45394770000000001</v>
      </c>
      <c r="F2961" t="s">
        <v>57</v>
      </c>
      <c r="G2961">
        <v>-234.17869999999999</v>
      </c>
      <c r="H2961" s="1">
        <v>6.0919699999999899E-7</v>
      </c>
      <c r="I2961">
        <v>216.3937</v>
      </c>
      <c r="J2961">
        <v>-246.6491</v>
      </c>
      <c r="K2961">
        <v>1.1039139999999901</v>
      </c>
      <c r="L2961">
        <v>214.392</v>
      </c>
      <c r="M2961">
        <v>0.99995140000000005</v>
      </c>
      <c r="N2961">
        <v>0</v>
      </c>
      <c r="O2961">
        <v>2.7310749999999999E-3</v>
      </c>
      <c r="P2961">
        <v>0.99935849999999904</v>
      </c>
      <c r="Q2961">
        <v>2.2483099999999999E-2</v>
      </c>
      <c r="R2961">
        <v>2.787574E-2</v>
      </c>
      <c r="S2961">
        <v>2.9943080000000002</v>
      </c>
      <c r="T2961">
        <v>-0.26029619999999998</v>
      </c>
      <c r="U2961">
        <v>0.47213749999999999</v>
      </c>
      <c r="V2961">
        <v>-2.5141299999999998E-2</v>
      </c>
      <c r="W2961">
        <v>3.1962980000000002E-2</v>
      </c>
      <c r="X2961">
        <v>0.99917279999999997</v>
      </c>
      <c r="Y2961">
        <v>-0.15250439999999901</v>
      </c>
      <c r="Z2961">
        <v>6.3402429999999997E-3</v>
      </c>
      <c r="AA2961">
        <v>0.98828240000000001</v>
      </c>
      <c r="AB2961">
        <v>28</v>
      </c>
      <c r="AC2961">
        <v>12.4704</v>
      </c>
      <c r="AD2961">
        <v>-1.1039133908030001</v>
      </c>
      <c r="AE2961">
        <v>2.0017</v>
      </c>
      <c r="AF2961">
        <v>-1.9527157651489699</v>
      </c>
      <c r="AG2961">
        <v>-1.1039133908030001</v>
      </c>
      <c r="AH2961">
        <v>12.381234900594601</v>
      </c>
      <c r="AI2961">
        <v>95.033142788953597</v>
      </c>
      <c r="AJ2961">
        <v>98.962620675236096</v>
      </c>
      <c r="AK2961">
        <v>12.582793858978899</v>
      </c>
    </row>
    <row r="2962" spans="1:37" x14ac:dyDescent="0.2">
      <c r="A2962" t="str">
        <f>"20200111160214535"</f>
        <v>20200111160214535</v>
      </c>
      <c r="B2962" t="str">
        <f>"1578729734524263"</f>
        <v>1578729734524263</v>
      </c>
      <c r="C2962" t="s">
        <v>37</v>
      </c>
      <c r="D2962">
        <v>5.0692969999999997</v>
      </c>
      <c r="E2962">
        <v>0.45415539999999999</v>
      </c>
      <c r="F2962" t="s">
        <v>57</v>
      </c>
      <c r="G2962">
        <v>-233.82409999999999</v>
      </c>
      <c r="H2962" s="1">
        <v>4.1981180000000002E-7</v>
      </c>
      <c r="I2962">
        <v>216.40940000000001</v>
      </c>
      <c r="J2962">
        <v>-246.3854</v>
      </c>
      <c r="K2962">
        <v>1.1039139999999901</v>
      </c>
      <c r="L2962">
        <v>214.39259999999999</v>
      </c>
      <c r="M2962">
        <v>0.99995140000000005</v>
      </c>
      <c r="N2962">
        <v>0</v>
      </c>
      <c r="O2962">
        <v>2.67008E-3</v>
      </c>
      <c r="P2962">
        <v>0.99937430000000005</v>
      </c>
      <c r="Q2962">
        <v>2.206317E-2</v>
      </c>
      <c r="R2962">
        <v>2.764378E-2</v>
      </c>
      <c r="S2962">
        <v>2.9945680000000001</v>
      </c>
      <c r="T2962">
        <v>-0.25775789999999998</v>
      </c>
      <c r="U2962">
        <v>0.47105409999999998</v>
      </c>
      <c r="V2962">
        <v>-2.497011E-2</v>
      </c>
      <c r="W2962">
        <v>3.154738E-2</v>
      </c>
      <c r="X2962">
        <v>0.99919029999999998</v>
      </c>
      <c r="Y2962">
        <v>-0.15221419999999999</v>
      </c>
      <c r="Z2962">
        <v>6.2710930000000002E-3</v>
      </c>
      <c r="AA2962">
        <v>0.98832759999999997</v>
      </c>
      <c r="AB2962">
        <v>28</v>
      </c>
      <c r="AC2962">
        <v>12.561299999999999</v>
      </c>
      <c r="AD2962">
        <v>-1.1039135801881901</v>
      </c>
      <c r="AE2962">
        <v>2.0168000000000101</v>
      </c>
      <c r="AF2962">
        <v>-1.96843096177048</v>
      </c>
      <c r="AG2962">
        <v>-1.1039135801881901</v>
      </c>
      <c r="AH2962">
        <v>12.472731099136601</v>
      </c>
      <c r="AI2962">
        <v>94.9963307777317</v>
      </c>
      <c r="AJ2962">
        <v>98.968379326693693</v>
      </c>
      <c r="AK2962">
        <v>12.675265942580801</v>
      </c>
    </row>
    <row r="2963" spans="1:37" x14ac:dyDescent="0.2">
      <c r="A2963" t="str">
        <f>"20200111160214556"</f>
        <v>20200111160214556</v>
      </c>
      <c r="B2963" t="str">
        <f>"1578729734544760"</f>
        <v>1578729734544760</v>
      </c>
      <c r="C2963" t="s">
        <v>37</v>
      </c>
      <c r="D2963">
        <v>5.8667439999999997</v>
      </c>
      <c r="E2963">
        <v>0.46265259999999903</v>
      </c>
      <c r="F2963" t="s">
        <v>57</v>
      </c>
      <c r="G2963">
        <v>-233.5778</v>
      </c>
      <c r="H2963" s="1">
        <v>2.893822E-7</v>
      </c>
      <c r="I2963">
        <v>216.3956</v>
      </c>
      <c r="J2963">
        <v>-246.11699999999999</v>
      </c>
      <c r="K2963">
        <v>1.1039139999999901</v>
      </c>
      <c r="L2963">
        <v>214.39320000000001</v>
      </c>
      <c r="M2963">
        <v>0.99995149999999999</v>
      </c>
      <c r="N2963">
        <v>0</v>
      </c>
      <c r="O2963">
        <v>2.6079530000000001E-3</v>
      </c>
      <c r="P2963">
        <v>0.99939439999999902</v>
      </c>
      <c r="Q2963">
        <v>2.167695E-2</v>
      </c>
      <c r="R2963">
        <v>2.7224370000000001E-2</v>
      </c>
      <c r="S2963">
        <v>2.9946440000000001</v>
      </c>
      <c r="T2963">
        <v>-0.25811590000000001</v>
      </c>
      <c r="U2963">
        <v>0.46833799999999998</v>
      </c>
      <c r="V2963">
        <v>-2.4613059999999999E-2</v>
      </c>
      <c r="W2963">
        <v>3.1165149999999999E-2</v>
      </c>
      <c r="X2963">
        <v>0.99921109999999902</v>
      </c>
      <c r="Y2963">
        <v>-0.151398</v>
      </c>
      <c r="Z2963">
        <v>6.2504639999999998E-3</v>
      </c>
      <c r="AA2963">
        <v>0.98845309999999897</v>
      </c>
      <c r="AB2963">
        <v>28</v>
      </c>
      <c r="AC2963">
        <v>12.539199999999999</v>
      </c>
      <c r="AD2963">
        <v>-1.1039137106178001</v>
      </c>
      <c r="AE2963">
        <v>2.00239999999999</v>
      </c>
      <c r="AF2963">
        <v>-1.9549152464613699</v>
      </c>
      <c r="AG2963">
        <v>-1.1039137106178001</v>
      </c>
      <c r="AH2963">
        <v>12.4502832221568</v>
      </c>
      <c r="AI2963">
        <v>95.005906831340695</v>
      </c>
      <c r="AJ2963">
        <v>98.923593645846395</v>
      </c>
      <c r="AK2963">
        <v>12.6510818277828</v>
      </c>
    </row>
    <row r="2964" spans="1:37" x14ac:dyDescent="0.2">
      <c r="A2964" t="str">
        <f>"20200111160214580"</f>
        <v>20200111160214580</v>
      </c>
      <c r="B2964" t="str">
        <f>"1578729734574548"</f>
        <v>1578729734574548</v>
      </c>
      <c r="C2964" t="s">
        <v>37</v>
      </c>
      <c r="D2964">
        <v>5.0460180000000001</v>
      </c>
      <c r="E2964">
        <v>0.46102559999999898</v>
      </c>
      <c r="F2964" t="s">
        <v>57</v>
      </c>
      <c r="G2964">
        <v>-227.26929999999999</v>
      </c>
      <c r="H2964" s="1">
        <v>2.232913E-6</v>
      </c>
      <c r="I2964">
        <v>216.874</v>
      </c>
      <c r="J2964">
        <v>-245.83170000000001</v>
      </c>
      <c r="K2964">
        <v>1.1039049999999999</v>
      </c>
      <c r="L2964">
        <v>214.3939</v>
      </c>
      <c r="M2964">
        <v>0.99995179999999995</v>
      </c>
      <c r="N2964">
        <v>0</v>
      </c>
      <c r="O2964">
        <v>2.541962E-3</v>
      </c>
      <c r="P2964">
        <v>0.99941489999999999</v>
      </c>
      <c r="Q2964">
        <v>2.1404309999999999E-2</v>
      </c>
      <c r="R2964">
        <v>2.668531E-2</v>
      </c>
      <c r="S2964">
        <v>2.994888</v>
      </c>
      <c r="T2964">
        <v>-0.17541129999999999</v>
      </c>
      <c r="U2964">
        <v>0.39419559999999998</v>
      </c>
      <c r="V2964">
        <v>-2.4140140000000001E-2</v>
      </c>
      <c r="W2964">
        <v>3.0893960000000002E-2</v>
      </c>
      <c r="X2964">
        <v>0.99923109999999904</v>
      </c>
      <c r="Y2964">
        <v>-0.12776560000000001</v>
      </c>
      <c r="Z2964">
        <v>3.5742959999999998E-3</v>
      </c>
      <c r="AA2964">
        <v>0.99179799999999996</v>
      </c>
      <c r="AB2964">
        <v>28</v>
      </c>
      <c r="AC2964">
        <v>18.5624</v>
      </c>
      <c r="AD2964">
        <v>-1.1039027670870001</v>
      </c>
      <c r="AE2964">
        <v>2.4801000000000202</v>
      </c>
      <c r="AF2964">
        <v>-2.4244807662119898</v>
      </c>
      <c r="AG2964">
        <v>-1.1039027670870001</v>
      </c>
      <c r="AH2964">
        <v>18.504348789720201</v>
      </c>
      <c r="AI2964">
        <v>93.385149206350903</v>
      </c>
      <c r="AJ2964">
        <v>97.464499831154299</v>
      </c>
      <c r="AK2964">
        <v>18.695123226032401</v>
      </c>
    </row>
    <row r="2965" spans="1:37" x14ac:dyDescent="0.2">
      <c r="A2965" t="str">
        <f>"20200111160214602"</f>
        <v>20200111160214602</v>
      </c>
      <c r="B2965" t="str">
        <f>"1578729734595044"</f>
        <v>1578729734595044</v>
      </c>
      <c r="C2965" t="s">
        <v>37</v>
      </c>
      <c r="D2965">
        <v>5.0988879999999996</v>
      </c>
      <c r="E2965">
        <v>0.46071780000000001</v>
      </c>
      <c r="F2965" t="s">
        <v>57</v>
      </c>
      <c r="G2965">
        <v>-227.7191</v>
      </c>
      <c r="H2965" s="1">
        <v>2.4732019999999999E-6</v>
      </c>
      <c r="I2965">
        <v>216.8519</v>
      </c>
      <c r="J2965">
        <v>-245.542</v>
      </c>
      <c r="K2965">
        <v>1.103899</v>
      </c>
      <c r="L2965">
        <v>214.3946</v>
      </c>
      <c r="M2965">
        <v>0.99995199999999995</v>
      </c>
      <c r="N2965">
        <v>0</v>
      </c>
      <c r="O2965">
        <v>2.4749239999999999E-3</v>
      </c>
      <c r="P2965">
        <v>0.99942960000000003</v>
      </c>
      <c r="Q2965">
        <v>2.0835929999999999E-2</v>
      </c>
      <c r="R2965">
        <v>2.6577529999999999E-2</v>
      </c>
      <c r="S2965">
        <v>2.994812</v>
      </c>
      <c r="T2965">
        <v>-0.18252399999999999</v>
      </c>
      <c r="U2965">
        <v>0.4064178</v>
      </c>
      <c r="V2965">
        <v>-2.409911E-2</v>
      </c>
      <c r="W2965">
        <v>3.0322979999999999E-2</v>
      </c>
      <c r="X2965">
        <v>0.99924959999999996</v>
      </c>
      <c r="Y2965">
        <v>-0.13178609999999999</v>
      </c>
      <c r="Z2965">
        <v>3.8439770000000002E-3</v>
      </c>
      <c r="AA2965">
        <v>0.99127069999999995</v>
      </c>
      <c r="AB2965">
        <v>28</v>
      </c>
      <c r="AC2965">
        <v>17.822900000000001</v>
      </c>
      <c r="AD2965">
        <v>-1.1038965267980001</v>
      </c>
      <c r="AE2965">
        <v>2.4573</v>
      </c>
      <c r="AF2965">
        <v>-2.4041295170950301</v>
      </c>
      <c r="AG2965">
        <v>-1.1038965267980001</v>
      </c>
      <c r="AH2965">
        <v>17.762059782207299</v>
      </c>
      <c r="AI2965">
        <v>93.524254853911501</v>
      </c>
      <c r="AJ2965">
        <v>97.708251444663105</v>
      </c>
      <c r="AK2965">
        <v>17.9579841291708</v>
      </c>
    </row>
    <row r="2966" spans="1:37" x14ac:dyDescent="0.2">
      <c r="A2966" t="str">
        <f>"20200111160214626"</f>
        <v>20200111160214626</v>
      </c>
      <c r="B2966" t="str">
        <f>"1578729734614564"</f>
        <v>1578729734614564</v>
      </c>
      <c r="C2966" t="s">
        <v>37</v>
      </c>
      <c r="D2966">
        <v>4.9599710000000004</v>
      </c>
      <c r="E2966">
        <v>0.46105410000000002</v>
      </c>
      <c r="F2966" t="s">
        <v>57</v>
      </c>
      <c r="G2966">
        <v>-228.04490000000001</v>
      </c>
      <c r="H2966" s="1">
        <v>2.6495939999999998E-6</v>
      </c>
      <c r="I2966">
        <v>216.78299999999999</v>
      </c>
      <c r="J2966">
        <v>-245.25569999999999</v>
      </c>
      <c r="K2966">
        <v>1.1038920000000001</v>
      </c>
      <c r="L2966">
        <v>214.39519999999999</v>
      </c>
      <c r="M2966">
        <v>0.99995219999999996</v>
      </c>
      <c r="N2966">
        <v>0</v>
      </c>
      <c r="O2966">
        <v>2.4084319999999998E-3</v>
      </c>
      <c r="P2966">
        <v>0.9994518</v>
      </c>
      <c r="Q2966">
        <v>2.0285879999999999E-2</v>
      </c>
      <c r="R2966">
        <v>2.6168360000000002E-2</v>
      </c>
      <c r="S2966">
        <v>2.9947970000000002</v>
      </c>
      <c r="T2966">
        <v>-0.18894269999999999</v>
      </c>
      <c r="U2966">
        <v>0.4087982</v>
      </c>
      <c r="V2966">
        <v>-2.375596E-2</v>
      </c>
      <c r="W2966">
        <v>2.9767229999999999E-2</v>
      </c>
      <c r="X2966">
        <v>0.99927449999999995</v>
      </c>
      <c r="Y2966">
        <v>-0.1326077</v>
      </c>
      <c r="Z2966">
        <v>4.0086459999999898E-3</v>
      </c>
      <c r="AA2966">
        <v>0.9911605</v>
      </c>
      <c r="AB2966">
        <v>28</v>
      </c>
      <c r="AC2966">
        <v>17.2107999999999</v>
      </c>
      <c r="AD2966">
        <v>-1.1038893504059999</v>
      </c>
      <c r="AE2966">
        <v>2.3877999999999902</v>
      </c>
      <c r="AF2966">
        <v>-2.3369080242313198</v>
      </c>
      <c r="AG2966">
        <v>-1.1038893504059999</v>
      </c>
      <c r="AH2966">
        <v>17.1472918863141</v>
      </c>
      <c r="AI2966">
        <v>93.649795054738902</v>
      </c>
      <c r="AJ2966">
        <v>97.760707752682094</v>
      </c>
      <c r="AK2966">
        <v>17.340972574977201</v>
      </c>
    </row>
    <row r="2967" spans="1:37" x14ac:dyDescent="0.2">
      <c r="A2967" t="str">
        <f>"20200111160214646"</f>
        <v>20200111160214646</v>
      </c>
      <c r="B2967" t="str">
        <f>"1578729734635060"</f>
        <v>1578729734635060</v>
      </c>
      <c r="C2967" t="s">
        <v>37</v>
      </c>
      <c r="D2967">
        <v>5.3131309999999896</v>
      </c>
      <c r="E2967">
        <v>0.4612521</v>
      </c>
      <c r="F2967" t="s">
        <v>57</v>
      </c>
      <c r="G2967">
        <v>-228.78469999999999</v>
      </c>
      <c r="H2967" s="1">
        <v>3.0501930000000001E-6</v>
      </c>
      <c r="I2967">
        <v>216.62530000000001</v>
      </c>
      <c r="J2967">
        <v>-244.99680000000001</v>
      </c>
      <c r="K2967">
        <v>1.1038859999999999</v>
      </c>
      <c r="L2967">
        <v>214.39570000000001</v>
      </c>
      <c r="M2967">
        <v>0.99995230000000002</v>
      </c>
      <c r="N2967">
        <v>0</v>
      </c>
      <c r="O2967">
        <v>2.3485519999999998E-3</v>
      </c>
      <c r="P2967">
        <v>0.99946780000000002</v>
      </c>
      <c r="Q2967">
        <v>1.966178E-2</v>
      </c>
      <c r="R2967">
        <v>2.60308E-2</v>
      </c>
      <c r="S2967">
        <v>2.9950869999999998</v>
      </c>
      <c r="T2967">
        <v>-0.20073189999999999</v>
      </c>
      <c r="U2967">
        <v>0.40553279999999903</v>
      </c>
      <c r="V2967">
        <v>-2.3678729999999999E-2</v>
      </c>
      <c r="W2967">
        <v>2.9138560000000001E-2</v>
      </c>
      <c r="X2967">
        <v>0.99929489999999999</v>
      </c>
      <c r="Y2967">
        <v>-0.1315626</v>
      </c>
      <c r="Z2967">
        <v>4.227303E-3</v>
      </c>
      <c r="AA2967">
        <v>0.99129889999999998</v>
      </c>
      <c r="AB2967">
        <v>28</v>
      </c>
      <c r="AC2967">
        <v>16.2121</v>
      </c>
      <c r="AD2967">
        <v>-1.103882949807</v>
      </c>
      <c r="AE2967">
        <v>2.2296</v>
      </c>
      <c r="AF2967">
        <v>-2.1815905145721399</v>
      </c>
      <c r="AG2967">
        <v>-1.103882949807</v>
      </c>
      <c r="AH2967">
        <v>16.1438342392503</v>
      </c>
      <c r="AI2967">
        <v>93.876554899648497</v>
      </c>
      <c r="AJ2967">
        <v>97.696021374538304</v>
      </c>
      <c r="AK2967">
        <v>16.327929405914801</v>
      </c>
    </row>
    <row r="2968" spans="1:37" x14ac:dyDescent="0.2">
      <c r="A2968" t="str">
        <f>"20200111160214671"</f>
        <v>20200111160214671</v>
      </c>
      <c r="B2968" t="str">
        <f>"1578729734664848"</f>
        <v>1578729734664848</v>
      </c>
      <c r="C2968" t="s">
        <v>37</v>
      </c>
      <c r="D2968">
        <v>5.1785350000000001</v>
      </c>
      <c r="E2968">
        <v>0.46136650000000001</v>
      </c>
      <c r="F2968" t="s">
        <v>57</v>
      </c>
      <c r="G2968">
        <v>-228.25890000000001</v>
      </c>
      <c r="H2968" s="1">
        <v>2.76929399999999E-6</v>
      </c>
      <c r="I2968">
        <v>216.65029999999999</v>
      </c>
      <c r="J2968">
        <v>-244.68</v>
      </c>
      <c r="K2968">
        <v>1.1038889999999999</v>
      </c>
      <c r="L2968">
        <v>214.3964</v>
      </c>
      <c r="M2968">
        <v>0.99995259999999997</v>
      </c>
      <c r="N2968">
        <v>0</v>
      </c>
      <c r="O2968">
        <v>2.2749689999999999E-3</v>
      </c>
      <c r="P2968">
        <v>0.99947209999999997</v>
      </c>
      <c r="Q2968">
        <v>1.9707510000000001E-2</v>
      </c>
      <c r="R2968">
        <v>2.5829990000000001E-2</v>
      </c>
      <c r="S2968">
        <v>2.99498</v>
      </c>
      <c r="T2968">
        <v>-0.19752310000000001</v>
      </c>
      <c r="U2968">
        <v>0.40342709999999998</v>
      </c>
      <c r="V2968">
        <v>-2.355148E-2</v>
      </c>
      <c r="W2968">
        <v>2.9178599999999999E-2</v>
      </c>
      <c r="X2968">
        <v>0.99929669999999904</v>
      </c>
      <c r="Y2968">
        <v>-0.13096579999999999</v>
      </c>
      <c r="Z2968">
        <v>4.1454689999999997E-3</v>
      </c>
      <c r="AA2968">
        <v>0.99137819999999899</v>
      </c>
      <c r="AB2968">
        <v>28</v>
      </c>
      <c r="AC2968">
        <v>16.4210999999999</v>
      </c>
      <c r="AD2968">
        <v>-1.103886230706</v>
      </c>
      <c r="AE2968">
        <v>2.2538999999999798</v>
      </c>
      <c r="AF2968">
        <v>-2.2067470658879298</v>
      </c>
      <c r="AG2968">
        <v>-1.103886230706</v>
      </c>
      <c r="AH2968">
        <v>16.3536493633998</v>
      </c>
      <c r="AI2968">
        <v>93.827078225959795</v>
      </c>
      <c r="AJ2968">
        <v>97.685022050482004</v>
      </c>
      <c r="AK2968">
        <v>16.5387467761065</v>
      </c>
    </row>
    <row r="2969" spans="1:37" x14ac:dyDescent="0.2">
      <c r="A2969" t="str">
        <f>"20200111160214694"</f>
        <v>20200111160214694</v>
      </c>
      <c r="B2969" t="str">
        <f>"1578729734685346"</f>
        <v>1578729734685346</v>
      </c>
      <c r="C2969" t="s">
        <v>37</v>
      </c>
      <c r="D2969">
        <v>4.9936020000000001</v>
      </c>
      <c r="E2969">
        <v>0.51487939999999999</v>
      </c>
      <c r="F2969" t="s">
        <v>57</v>
      </c>
      <c r="G2969">
        <v>-228.1515</v>
      </c>
      <c r="H2969" s="1">
        <v>2.7135820000000001E-6</v>
      </c>
      <c r="I2969">
        <v>216.61689999999999</v>
      </c>
      <c r="J2969">
        <v>-244.39230000000001</v>
      </c>
      <c r="K2969">
        <v>1.1038870000000001</v>
      </c>
      <c r="L2969">
        <v>214.39699999999999</v>
      </c>
      <c r="M2969">
        <v>0.99995290000000003</v>
      </c>
      <c r="N2969">
        <v>0</v>
      </c>
      <c r="O2969">
        <v>2.20819999999999E-3</v>
      </c>
      <c r="P2969">
        <v>0.99945819999999996</v>
      </c>
      <c r="Q2969">
        <v>2.0662400000000001E-2</v>
      </c>
      <c r="R2969">
        <v>2.5621339999999999E-2</v>
      </c>
      <c r="S2969">
        <v>2.995117</v>
      </c>
      <c r="T2969">
        <v>-0.20003460000000001</v>
      </c>
      <c r="U2969">
        <v>0.40237430000000002</v>
      </c>
      <c r="V2969">
        <v>-2.34092999999999E-2</v>
      </c>
      <c r="W2969">
        <v>3.0123270000000001E-2</v>
      </c>
      <c r="X2969">
        <v>0.99927199999999905</v>
      </c>
      <c r="Y2969">
        <v>-0.13067719999999999</v>
      </c>
      <c r="Z2969">
        <v>4.1928219999999997E-3</v>
      </c>
      <c r="AA2969">
        <v>0.99141610000000002</v>
      </c>
      <c r="AB2969">
        <v>28</v>
      </c>
      <c r="AC2969">
        <v>16.2408</v>
      </c>
      <c r="AD2969">
        <v>-1.1038842864180001</v>
      </c>
      <c r="AE2969">
        <v>2.21989999999996</v>
      </c>
      <c r="AF2969">
        <v>-2.1741698315916098</v>
      </c>
      <c r="AG2969">
        <v>-1.1038842864180001</v>
      </c>
      <c r="AH2969">
        <v>16.172318466770601</v>
      </c>
      <c r="AI2969">
        <v>93.870108498475005</v>
      </c>
      <c r="AJ2969">
        <v>97.656806505850994</v>
      </c>
      <c r="AK2969">
        <v>16.355105000123199</v>
      </c>
    </row>
    <row r="2970" spans="1:37" x14ac:dyDescent="0.2">
      <c r="A2970" t="str">
        <f>"20200111160214714"</f>
        <v>20200111160214714</v>
      </c>
      <c r="B2970" t="str">
        <f>"1578729734704865"</f>
        <v>1578729734704865</v>
      </c>
      <c r="C2970" t="s">
        <v>37</v>
      </c>
      <c r="D2970">
        <v>5.0757750000000001</v>
      </c>
      <c r="E2970">
        <v>0.52939930000000002</v>
      </c>
      <c r="F2970" t="s">
        <v>42</v>
      </c>
      <c r="G2970">
        <v>-243.48419999999999</v>
      </c>
      <c r="H2970">
        <v>1.0224169999999999</v>
      </c>
      <c r="I2970">
        <v>214.39070000000001</v>
      </c>
      <c r="J2970">
        <v>-244.12960000000001</v>
      </c>
      <c r="K2970">
        <v>1.1038859999999999</v>
      </c>
      <c r="L2970">
        <v>214.39750000000001</v>
      </c>
      <c r="M2970">
        <v>0.99995309999999904</v>
      </c>
      <c r="N2970">
        <v>0</v>
      </c>
      <c r="O2970">
        <v>2.1474599999999999E-3</v>
      </c>
      <c r="P2970">
        <v>0.99946299999999899</v>
      </c>
      <c r="Q2970">
        <v>2.086495E-2</v>
      </c>
      <c r="R2970">
        <v>2.5265590000000001E-2</v>
      </c>
      <c r="S2970">
        <v>3.007736</v>
      </c>
      <c r="T2970">
        <v>-0.26985310000000001</v>
      </c>
      <c r="U2970">
        <v>-2.0736689999999999E-2</v>
      </c>
      <c r="V2970">
        <v>-2.3114220000000001E-2</v>
      </c>
      <c r="W2970">
        <v>3.0313920000000001E-2</v>
      </c>
      <c r="X2970">
        <v>0.99927310000000003</v>
      </c>
      <c r="Y2970">
        <v>8.9970169999999995E-3</v>
      </c>
      <c r="Z2970">
        <v>-5.9508079999999995E-4</v>
      </c>
      <c r="AA2970">
        <v>0.9999593</v>
      </c>
      <c r="AB2970">
        <v>28</v>
      </c>
      <c r="AC2970">
        <v>0.64540000000002296</v>
      </c>
      <c r="AD2970">
        <v>-8.1469000000000194E-2</v>
      </c>
      <c r="AE2970">
        <v>-6.7999999999983603E-3</v>
      </c>
      <c r="AF2970">
        <v>8.0576400250028692E-3</v>
      </c>
      <c r="AG2970">
        <v>-8.1469000000000194E-2</v>
      </c>
      <c r="AH2970">
        <v>0.63526270842365795</v>
      </c>
      <c r="AI2970">
        <v>97.307402019949095</v>
      </c>
      <c r="AJ2970">
        <v>89.273302203350198</v>
      </c>
      <c r="AK2970">
        <v>0.64051606711895603</v>
      </c>
    </row>
    <row r="2971" spans="1:37" x14ac:dyDescent="0.2">
      <c r="A2971" t="str">
        <f>"20200111160214739"</f>
        <v>20200111160214739</v>
      </c>
      <c r="B2971" t="str">
        <f>"1578729734735120"</f>
        <v>1578729734735120</v>
      </c>
      <c r="C2971" t="s">
        <v>37</v>
      </c>
      <c r="D2971">
        <v>5.47248</v>
      </c>
      <c r="E2971">
        <v>0.53302569999999905</v>
      </c>
      <c r="F2971" t="s">
        <v>42</v>
      </c>
      <c r="G2971">
        <v>-243.2337</v>
      </c>
      <c r="H2971">
        <v>1.016025</v>
      </c>
      <c r="I2971">
        <v>214.3569</v>
      </c>
      <c r="J2971">
        <v>-243.82849999999999</v>
      </c>
      <c r="K2971">
        <v>1.10388</v>
      </c>
      <c r="L2971">
        <v>214.3981</v>
      </c>
      <c r="M2971">
        <v>0.99995339999999999</v>
      </c>
      <c r="N2971">
        <v>0</v>
      </c>
      <c r="O2971">
        <v>2.0777840000000001E-3</v>
      </c>
      <c r="P2971">
        <v>0.99946769999999996</v>
      </c>
      <c r="Q2971">
        <v>2.113278E-2</v>
      </c>
      <c r="R2971">
        <v>2.4856820000000002E-2</v>
      </c>
      <c r="S2971">
        <v>3.0112299999999999</v>
      </c>
      <c r="T2971">
        <v>-0.2953867</v>
      </c>
      <c r="U2971">
        <v>-0.13594059999999999</v>
      </c>
      <c r="V2971">
        <v>-2.277525E-2</v>
      </c>
      <c r="W2971">
        <v>3.0568910000000001E-2</v>
      </c>
      <c r="X2971">
        <v>0.99927310000000003</v>
      </c>
      <c r="Y2971">
        <v>4.6939450000000001E-2</v>
      </c>
      <c r="Z2971">
        <v>-2.4988319999999999E-3</v>
      </c>
      <c r="AA2971">
        <v>0.99889459999999997</v>
      </c>
      <c r="AB2971">
        <v>28</v>
      </c>
      <c r="AC2971">
        <v>0.594799999999992</v>
      </c>
      <c r="AD2971">
        <v>-8.7855000000000003E-2</v>
      </c>
      <c r="AE2971">
        <v>-4.1200000000003401E-2</v>
      </c>
      <c r="AF2971">
        <v>4.1534019341723502E-2</v>
      </c>
      <c r="AG2971">
        <v>-8.7855000000000003E-2</v>
      </c>
      <c r="AH2971">
        <v>0.58207473725484205</v>
      </c>
      <c r="AI2971">
        <v>98.561663170501006</v>
      </c>
      <c r="AJ2971">
        <v>85.918569688073006</v>
      </c>
      <c r="AK2971">
        <v>0.59013098167946798</v>
      </c>
    </row>
    <row r="2972" spans="1:37" x14ac:dyDescent="0.2">
      <c r="A2972" t="str">
        <f>"20200111160214762"</f>
        <v>20200111160214762</v>
      </c>
      <c r="B2972" t="str">
        <f>"1578729734754642"</f>
        <v>1578729734754642</v>
      </c>
      <c r="C2972" t="s">
        <v>37</v>
      </c>
      <c r="D2972">
        <v>5.0573809999999897</v>
      </c>
      <c r="E2972">
        <v>0.53626790000000002</v>
      </c>
      <c r="F2972" t="s">
        <v>42</v>
      </c>
      <c r="G2972">
        <v>-242.97720000000001</v>
      </c>
      <c r="H2972">
        <v>1.0202309999999899</v>
      </c>
      <c r="I2972">
        <v>214.3509</v>
      </c>
      <c r="J2972">
        <v>-243.524</v>
      </c>
      <c r="K2972">
        <v>1.1038749999999999</v>
      </c>
      <c r="L2972">
        <v>214.39859999999999</v>
      </c>
      <c r="M2972">
        <v>0.9999536</v>
      </c>
      <c r="N2972">
        <v>0</v>
      </c>
      <c r="O2972">
        <v>2.0076249999999999E-3</v>
      </c>
      <c r="P2972">
        <v>0.99947969999999897</v>
      </c>
      <c r="Q2972">
        <v>2.0908530000000002E-2</v>
      </c>
      <c r="R2972">
        <v>2.456477E-2</v>
      </c>
      <c r="S2972">
        <v>3.011978</v>
      </c>
      <c r="T2972">
        <v>-0.29599429999999999</v>
      </c>
      <c r="U2972">
        <v>-0.16648859999999999</v>
      </c>
      <c r="V2972">
        <v>-2.255337E-2</v>
      </c>
      <c r="W2972">
        <v>3.0332979999999999E-2</v>
      </c>
      <c r="X2972">
        <v>0.99928539999999999</v>
      </c>
      <c r="Y2972">
        <v>5.6912839999999999E-2</v>
      </c>
      <c r="Z2972">
        <v>-2.9843320000000001E-3</v>
      </c>
      <c r="AA2972">
        <v>0.99837469999999995</v>
      </c>
      <c r="AB2972">
        <v>28</v>
      </c>
      <c r="AC2972">
        <v>0.54679999999998996</v>
      </c>
      <c r="AD2972">
        <v>-8.3643999999999996E-2</v>
      </c>
      <c r="AE2972">
        <v>-4.7699999999991798E-2</v>
      </c>
      <c r="AF2972">
        <v>4.7690207604233197E-2</v>
      </c>
      <c r="AG2972">
        <v>-8.3643999999999996E-2</v>
      </c>
      <c r="AH2972">
        <v>0.53429514188160598</v>
      </c>
      <c r="AI2972">
        <v>98.862775195832995</v>
      </c>
      <c r="AJ2972">
        <v>84.899400334812199</v>
      </c>
      <c r="AK2972">
        <v>0.54290143974355098</v>
      </c>
    </row>
    <row r="2973" spans="1:37" x14ac:dyDescent="0.2">
      <c r="A2973" t="str">
        <f>"20200111160214803"</f>
        <v>20200111160214803</v>
      </c>
      <c r="B2973" t="str">
        <f>"1578729734794656"</f>
        <v>1578729734794656</v>
      </c>
      <c r="C2973" t="s">
        <v>37</v>
      </c>
      <c r="D2973">
        <v>5.0721679999999996</v>
      </c>
      <c r="E2973">
        <v>0.53881230000000002</v>
      </c>
      <c r="F2973" t="s">
        <v>42</v>
      </c>
      <c r="G2973">
        <v>-242.72059999999999</v>
      </c>
      <c r="H2973">
        <v>1.0237129999999901</v>
      </c>
      <c r="I2973">
        <v>214.34700000000001</v>
      </c>
      <c r="J2973">
        <v>-243.00839999999999</v>
      </c>
      <c r="K2973">
        <v>1.103869</v>
      </c>
      <c r="L2973">
        <v>214.39949999999999</v>
      </c>
      <c r="M2973">
        <v>0.99995400000000001</v>
      </c>
      <c r="N2973">
        <v>0</v>
      </c>
      <c r="O2973">
        <v>1.890486E-3</v>
      </c>
      <c r="P2973">
        <v>0.99944009999999905</v>
      </c>
      <c r="Q2973">
        <v>2.172638E-2</v>
      </c>
      <c r="R2973">
        <v>2.544884E-2</v>
      </c>
      <c r="S2973">
        <v>3.0126189999999999</v>
      </c>
      <c r="T2973">
        <v>-0.30073829999999901</v>
      </c>
      <c r="U2973">
        <v>-0.1930084</v>
      </c>
      <c r="V2973">
        <v>-2.355438E-2</v>
      </c>
      <c r="W2973">
        <v>3.1131309999999999E-2</v>
      </c>
      <c r="X2973">
        <v>0.99923770000000001</v>
      </c>
      <c r="Y2973">
        <v>6.5488619999999997E-2</v>
      </c>
      <c r="Z2973">
        <v>-3.445395E-3</v>
      </c>
      <c r="AA2973">
        <v>0.99784740000000005</v>
      </c>
      <c r="AB2973">
        <v>28</v>
      </c>
      <c r="AC2973">
        <v>0.287800000000004</v>
      </c>
      <c r="AD2973">
        <v>-8.0156000000000102E-2</v>
      </c>
      <c r="AE2973">
        <v>-5.2499999999980597E-2</v>
      </c>
      <c r="AF2973">
        <v>4.9339994370882503E-2</v>
      </c>
      <c r="AG2973">
        <v>-8.0156000000000102E-2</v>
      </c>
      <c r="AH2973">
        <v>0.26761037115126401</v>
      </c>
      <c r="AI2973">
        <v>106.41288173057301</v>
      </c>
      <c r="AJ2973">
        <v>79.553548829119407</v>
      </c>
      <c r="AK2973">
        <v>0.283680683389327</v>
      </c>
    </row>
    <row r="2974" spans="1:37" x14ac:dyDescent="0.2">
      <c r="A2974" t="str">
        <f>"20200111160214828"</f>
        <v>20200111160214828</v>
      </c>
      <c r="B2974" t="str">
        <f>"1578729734824912"</f>
        <v>1578729734824912</v>
      </c>
      <c r="C2974" t="s">
        <v>37</v>
      </c>
      <c r="D2974">
        <v>5.1334439999999999</v>
      </c>
      <c r="E2974">
        <v>0.53956930000000003</v>
      </c>
      <c r="F2974" t="s">
        <v>42</v>
      </c>
      <c r="G2974">
        <v>-242.20949999999999</v>
      </c>
      <c r="H2974">
        <v>1.024184</v>
      </c>
      <c r="I2974">
        <v>214.3434</v>
      </c>
      <c r="J2974">
        <v>-242.68379999999999</v>
      </c>
      <c r="K2974">
        <v>1.1038709999999901</v>
      </c>
      <c r="L2974">
        <v>214.40010000000001</v>
      </c>
      <c r="M2974">
        <v>0.99995419999999902</v>
      </c>
      <c r="N2974">
        <v>0</v>
      </c>
      <c r="O2974">
        <v>1.8206769999999999E-3</v>
      </c>
      <c r="P2974">
        <v>0.99941519999999995</v>
      </c>
      <c r="Q2974">
        <v>2.252562E-2</v>
      </c>
      <c r="R2974">
        <v>2.5723079999999999E-2</v>
      </c>
      <c r="S2974">
        <v>3.0135959999999899</v>
      </c>
      <c r="T2974">
        <v>-0.30070219999999998</v>
      </c>
      <c r="U2974">
        <v>-0.21096799999999999</v>
      </c>
      <c r="V2974">
        <v>-2.3898280000000001E-2</v>
      </c>
      <c r="W2974">
        <v>3.191198E-2</v>
      </c>
      <c r="X2974">
        <v>0.99920489999999995</v>
      </c>
      <c r="Y2974">
        <v>7.1289389999999994E-2</v>
      </c>
      <c r="Z2974">
        <v>-3.724593E-3</v>
      </c>
      <c r="AA2974">
        <v>0.99744869999999997</v>
      </c>
      <c r="AB2974">
        <v>29</v>
      </c>
      <c r="AC2974">
        <v>0.474299999999999</v>
      </c>
      <c r="AD2974">
        <v>-7.96869999999998E-2</v>
      </c>
      <c r="AE2974">
        <v>-5.6700000000006398E-2</v>
      </c>
      <c r="AF2974">
        <v>5.6004900112749501E-2</v>
      </c>
      <c r="AG2974">
        <v>-7.96869999999998E-2</v>
      </c>
      <c r="AH2974">
        <v>0.461356629827955</v>
      </c>
      <c r="AI2974">
        <v>99.729577614335994</v>
      </c>
      <c r="AJ2974">
        <v>83.078628750750994</v>
      </c>
      <c r="AK2974">
        <v>0.47152572219535099</v>
      </c>
    </row>
    <row r="2975" spans="1:37" x14ac:dyDescent="0.2">
      <c r="A2975" t="str">
        <f>"20200111160214848"</f>
        <v>20200111160214848</v>
      </c>
      <c r="B2975" t="str">
        <f>"1578729734844432"</f>
        <v>1578729734844432</v>
      </c>
      <c r="C2975" t="s">
        <v>37</v>
      </c>
      <c r="D2975">
        <v>5.126538</v>
      </c>
      <c r="E2975">
        <v>0.53974440000000001</v>
      </c>
      <c r="F2975" t="s">
        <v>42</v>
      </c>
      <c r="G2975">
        <v>-241.9504</v>
      </c>
      <c r="H2975">
        <v>1.030267</v>
      </c>
      <c r="I2975">
        <v>214.3475</v>
      </c>
      <c r="J2975">
        <v>-242.4289</v>
      </c>
      <c r="K2975">
        <v>1.1038729999999899</v>
      </c>
      <c r="L2975">
        <v>214.40039999999999</v>
      </c>
      <c r="M2975">
        <v>0.99995440000000002</v>
      </c>
      <c r="N2975">
        <v>0</v>
      </c>
      <c r="O2975">
        <v>1.77226799999999E-3</v>
      </c>
      <c r="P2975">
        <v>0.99941990000000003</v>
      </c>
      <c r="Q2975">
        <v>2.2654629999999999E-2</v>
      </c>
      <c r="R2975">
        <v>2.543111E-2</v>
      </c>
      <c r="S2975">
        <v>3.0141450000000001</v>
      </c>
      <c r="T2975">
        <v>-0.30260100000000001</v>
      </c>
      <c r="U2975">
        <v>-0.21560670000000001</v>
      </c>
      <c r="V2975">
        <v>-2.3654720000000001E-2</v>
      </c>
      <c r="W2975">
        <v>3.2026840000000001E-2</v>
      </c>
      <c r="X2975">
        <v>0.99920710000000001</v>
      </c>
      <c r="Y2975">
        <v>7.2744359999999994E-2</v>
      </c>
      <c r="Z2975">
        <v>-3.8150319999999999E-3</v>
      </c>
      <c r="AA2975">
        <v>0.99734330000000004</v>
      </c>
      <c r="AB2975">
        <v>29</v>
      </c>
      <c r="AC2975">
        <v>0.47849999999999598</v>
      </c>
      <c r="AD2975">
        <v>-7.3605999999999797E-2</v>
      </c>
      <c r="AE2975">
        <v>-5.2899999999993903E-2</v>
      </c>
      <c r="AF2975">
        <v>5.2520225019477798E-2</v>
      </c>
      <c r="AG2975">
        <v>-7.3605999999999797E-2</v>
      </c>
      <c r="AH2975">
        <v>0.46747732577932399</v>
      </c>
      <c r="AI2975">
        <v>98.892920692321198</v>
      </c>
      <c r="AJ2975">
        <v>83.5898035520935</v>
      </c>
      <c r="AK2975">
        <v>0.47614206639393403</v>
      </c>
    </row>
    <row r="2976" spans="1:37" x14ac:dyDescent="0.2">
      <c r="A2976" t="str">
        <f>"20200111160214873"</f>
        <v>20200111160214873</v>
      </c>
      <c r="B2976" t="str">
        <f>"1578729734864928"</f>
        <v>1578729734864928</v>
      </c>
      <c r="C2976" t="s">
        <v>37</v>
      </c>
      <c r="D2976">
        <v>5.1760219999999997</v>
      </c>
      <c r="E2976">
        <v>0.53999830000000004</v>
      </c>
      <c r="F2976" t="s">
        <v>42</v>
      </c>
      <c r="G2976">
        <v>-241.6944</v>
      </c>
      <c r="H2976">
        <v>1.0294270000000001</v>
      </c>
      <c r="I2976">
        <v>214.34729999999999</v>
      </c>
      <c r="J2976">
        <v>-242.10319999999999</v>
      </c>
      <c r="K2976">
        <v>1.1038809999999999</v>
      </c>
      <c r="L2976">
        <v>214.40099999999899</v>
      </c>
      <c r="M2976">
        <v>0.99995480000000003</v>
      </c>
      <c r="N2976">
        <v>0</v>
      </c>
      <c r="O2976">
        <v>1.727346E-3</v>
      </c>
      <c r="P2976">
        <v>0.99944539999999904</v>
      </c>
      <c r="Q2976">
        <v>2.2333889999999999E-2</v>
      </c>
      <c r="R2976">
        <v>2.4701239999999999E-2</v>
      </c>
      <c r="S2976">
        <v>3.0142060000000002</v>
      </c>
      <c r="T2976">
        <v>-0.30563750000000001</v>
      </c>
      <c r="U2976">
        <v>-0.2170868</v>
      </c>
      <c r="V2976">
        <v>-2.2970770000000001E-2</v>
      </c>
      <c r="W2976">
        <v>3.1689889999999998E-2</v>
      </c>
      <c r="X2976">
        <v>0.99923379999999995</v>
      </c>
      <c r="Y2976">
        <v>7.3175899999999905E-2</v>
      </c>
      <c r="Z2976">
        <v>-3.8702329999999998E-3</v>
      </c>
      <c r="AA2976">
        <v>0.99731150000000002</v>
      </c>
      <c r="AB2976">
        <v>29</v>
      </c>
      <c r="AC2976">
        <v>0.40879999999998501</v>
      </c>
      <c r="AD2976">
        <v>-7.4453999999999798E-2</v>
      </c>
      <c r="AE2976">
        <v>-5.3699999999991997E-2</v>
      </c>
      <c r="AF2976">
        <v>5.26880378582898E-2</v>
      </c>
      <c r="AG2976">
        <v>-7.4453999999999798E-2</v>
      </c>
      <c r="AH2976">
        <v>0.39580036624149101</v>
      </c>
      <c r="AI2976">
        <v>100.562364408649</v>
      </c>
      <c r="AJ2976">
        <v>82.417495558289801</v>
      </c>
      <c r="AK2976">
        <v>0.40617404812008201</v>
      </c>
    </row>
    <row r="2977" spans="1:37" x14ac:dyDescent="0.2">
      <c r="A2977" t="str">
        <f>"20200111160214894"</f>
        <v>20200111160214894</v>
      </c>
      <c r="B2977" t="str">
        <f>"1578729734884449"</f>
        <v>1578729734884449</v>
      </c>
      <c r="C2977" t="s">
        <v>37</v>
      </c>
      <c r="D2977">
        <v>5.1423909999999999</v>
      </c>
      <c r="E2977">
        <v>0.54028949999999998</v>
      </c>
      <c r="F2977" t="s">
        <v>42</v>
      </c>
      <c r="G2977">
        <v>-241.18960000000001</v>
      </c>
      <c r="H2977">
        <v>1.0102229999999901</v>
      </c>
      <c r="I2977">
        <v>214.33369999999999</v>
      </c>
      <c r="J2977">
        <v>-241.83619999999999</v>
      </c>
      <c r="K2977">
        <v>1.1038829999999999</v>
      </c>
      <c r="L2977">
        <v>214.4014</v>
      </c>
      <c r="M2977">
        <v>0.99995489999999998</v>
      </c>
      <c r="N2977">
        <v>0</v>
      </c>
      <c r="O2977">
        <v>1.703621E-3</v>
      </c>
      <c r="P2977">
        <v>0.99947199999999903</v>
      </c>
      <c r="Q2977">
        <v>2.1849190000000001E-2</v>
      </c>
      <c r="R2977">
        <v>2.4046830000000002E-2</v>
      </c>
      <c r="S2977">
        <v>3.014008</v>
      </c>
      <c r="T2977">
        <v>-0.3090985</v>
      </c>
      <c r="U2977">
        <v>-0.220977799999999</v>
      </c>
      <c r="V2977">
        <v>-2.2340740000000001E-2</v>
      </c>
      <c r="W2977">
        <v>3.1193740000000001E-2</v>
      </c>
      <c r="X2977">
        <v>0.99926360000000003</v>
      </c>
      <c r="Y2977">
        <v>7.4422550000000004E-2</v>
      </c>
      <c r="Z2977">
        <v>-3.9751559999999997E-3</v>
      </c>
      <c r="AA2977">
        <v>0.99721879999999996</v>
      </c>
      <c r="AB2977">
        <v>29</v>
      </c>
      <c r="AC2977">
        <v>0.64659999999997797</v>
      </c>
      <c r="AD2977">
        <v>-9.3659999999999993E-2</v>
      </c>
      <c r="AE2977">
        <v>-6.7700000000001995E-2</v>
      </c>
      <c r="AF2977">
        <v>6.7402636569646401E-2</v>
      </c>
      <c r="AG2977">
        <v>-9.3659999999999993E-2</v>
      </c>
      <c r="AH2977">
        <v>0.63333939301522402</v>
      </c>
      <c r="AI2977">
        <v>98.365524452585106</v>
      </c>
      <c r="AJ2977">
        <v>83.925208376508294</v>
      </c>
      <c r="AK2977">
        <v>0.64376556118002504</v>
      </c>
    </row>
    <row r="2978" spans="1:37" x14ac:dyDescent="0.2">
      <c r="A2978" t="str">
        <f>"20200111160215004"</f>
        <v>20200111160215004</v>
      </c>
      <c r="B2978" t="str">
        <f>"1578729734994736"</f>
        <v>1578729734994736</v>
      </c>
      <c r="C2978" t="s">
        <v>37</v>
      </c>
      <c r="D2978">
        <v>5.4030550000000002</v>
      </c>
      <c r="E2978">
        <v>0.54144840000000005</v>
      </c>
      <c r="F2978" t="s">
        <v>42</v>
      </c>
      <c r="G2978">
        <v>-239.8905</v>
      </c>
      <c r="H2978">
        <v>1.023277</v>
      </c>
      <c r="I2978">
        <v>214.34200000000001</v>
      </c>
      <c r="J2978">
        <v>-240.4041</v>
      </c>
      <c r="K2978">
        <v>1.103958</v>
      </c>
      <c r="L2978">
        <v>214.40389999999999</v>
      </c>
      <c r="M2978">
        <v>0.99995499999999904</v>
      </c>
      <c r="N2978">
        <v>0</v>
      </c>
      <c r="O2978">
        <v>1.827228E-3</v>
      </c>
      <c r="P2978">
        <v>0.99944979999999894</v>
      </c>
      <c r="Q2978">
        <v>2.3262709999999999E-2</v>
      </c>
      <c r="R2978">
        <v>2.3643020000000001E-2</v>
      </c>
      <c r="S2978">
        <v>3.013687</v>
      </c>
      <c r="T2978">
        <v>-0.3091274</v>
      </c>
      <c r="U2978">
        <v>-0.23521420000000001</v>
      </c>
      <c r="V2978">
        <v>-2.1819450000000001E-2</v>
      </c>
      <c r="W2978">
        <v>3.2568239999999998E-2</v>
      </c>
      <c r="X2978">
        <v>0.99923130000000004</v>
      </c>
      <c r="Y2978">
        <v>7.9211009999999998E-2</v>
      </c>
      <c r="Z2978">
        <v>-4.232446E-3</v>
      </c>
      <c r="AA2978">
        <v>0.99684889999999904</v>
      </c>
      <c r="AB2978">
        <v>29</v>
      </c>
      <c r="AC2978">
        <v>0.51359999999999595</v>
      </c>
      <c r="AD2978">
        <v>-8.0680999999999906E-2</v>
      </c>
      <c r="AE2978">
        <v>-6.1899999999979999E-2</v>
      </c>
      <c r="AF2978">
        <v>6.1346234539459102E-2</v>
      </c>
      <c r="AG2978">
        <v>-8.0680999999999906E-2</v>
      </c>
      <c r="AH2978">
        <v>0.50129274060927898</v>
      </c>
      <c r="AI2978">
        <v>99.076538595382502</v>
      </c>
      <c r="AJ2978">
        <v>83.023058441332196</v>
      </c>
      <c r="AK2978">
        <v>0.51143640468853302</v>
      </c>
    </row>
    <row r="2979" spans="1:37" x14ac:dyDescent="0.2">
      <c r="A2979" t="str">
        <f>"20200111160215255"</f>
        <v>20200111160215255</v>
      </c>
      <c r="B2979" t="str">
        <f>"1578729735244592"</f>
        <v>1578729735244592</v>
      </c>
      <c r="C2979" t="s">
        <v>37</v>
      </c>
      <c r="D2979">
        <v>5.0936279999999998</v>
      </c>
      <c r="E2979">
        <v>0.54732689999999995</v>
      </c>
      <c r="F2979" t="s">
        <v>42</v>
      </c>
      <c r="G2979">
        <v>-236.49610000000001</v>
      </c>
      <c r="H2979">
        <v>1.0123040000000001</v>
      </c>
      <c r="I2979">
        <v>214.3288</v>
      </c>
      <c r="J2979">
        <v>-237.1302</v>
      </c>
      <c r="K2979">
        <v>1.104379</v>
      </c>
      <c r="L2979">
        <v>214.41650000000001</v>
      </c>
      <c r="M2979">
        <v>0.99993460000000001</v>
      </c>
      <c r="N2979">
        <v>0</v>
      </c>
      <c r="O2979">
        <v>4.6539199999999998E-3</v>
      </c>
      <c r="P2979">
        <v>0.99941939999999996</v>
      </c>
      <c r="Q2979">
        <v>2.2342440000000002E-2</v>
      </c>
      <c r="R2979">
        <v>2.5737039999999999E-2</v>
      </c>
      <c r="S2979">
        <v>3.0153500000000002</v>
      </c>
      <c r="T2979">
        <v>-0.29472019999999999</v>
      </c>
      <c r="U2979">
        <v>-0.27478029999999998</v>
      </c>
      <c r="V2979">
        <v>-2.110269E-2</v>
      </c>
      <c r="W2979">
        <v>3.2780799999999999E-2</v>
      </c>
      <c r="X2979">
        <v>0.99923969999999995</v>
      </c>
      <c r="Y2979">
        <v>9.4914499999999999E-2</v>
      </c>
      <c r="Z2979">
        <v>-5.0708539999999996E-3</v>
      </c>
      <c r="AA2979">
        <v>0.99547249999999998</v>
      </c>
      <c r="AB2979">
        <v>29</v>
      </c>
      <c r="AC2979">
        <v>0.63409999999998901</v>
      </c>
      <c r="AD2979">
        <v>-9.2074999999999907E-2</v>
      </c>
      <c r="AE2979">
        <v>-8.7700000000012296E-2</v>
      </c>
      <c r="AF2979">
        <v>8.88128158431125E-2</v>
      </c>
      <c r="AG2979">
        <v>-9.2074999999999907E-2</v>
      </c>
      <c r="AH2979">
        <v>0.62084041018882197</v>
      </c>
      <c r="AI2979">
        <v>98.352068516523502</v>
      </c>
      <c r="AJ2979">
        <v>81.858924774371403</v>
      </c>
      <c r="AK2979">
        <v>0.63388353568018097</v>
      </c>
    </row>
    <row r="2980" spans="1:37" x14ac:dyDescent="0.2">
      <c r="A2980" t="str">
        <f>"20200111160215277"</f>
        <v>20200111160215277</v>
      </c>
      <c r="B2980" t="str">
        <f>"1578729735265088"</f>
        <v>1578729735265088</v>
      </c>
      <c r="C2980" t="s">
        <v>37</v>
      </c>
      <c r="D2980">
        <v>4.8863599999999998</v>
      </c>
      <c r="E2980">
        <v>0.54865069999999905</v>
      </c>
      <c r="F2980" t="s">
        <v>42</v>
      </c>
      <c r="G2980">
        <v>-236.2319</v>
      </c>
      <c r="H2980">
        <v>1.017528</v>
      </c>
      <c r="I2980">
        <v>214.3339</v>
      </c>
      <c r="J2980">
        <v>-236.84280000000001</v>
      </c>
      <c r="K2980">
        <v>1.104438</v>
      </c>
      <c r="L2980">
        <v>214.41820000000001</v>
      </c>
      <c r="M2980">
        <v>0.99992919999999996</v>
      </c>
      <c r="N2980">
        <v>0</v>
      </c>
      <c r="O2980">
        <v>4.9284489999999997E-3</v>
      </c>
      <c r="P2980">
        <v>0.99943439999999995</v>
      </c>
      <c r="Q2980">
        <v>2.2112329999999999E-2</v>
      </c>
      <c r="R2980">
        <v>2.534579E-2</v>
      </c>
      <c r="S2980">
        <v>3.0154109999999998</v>
      </c>
      <c r="T2980">
        <v>-0.29165590000000002</v>
      </c>
      <c r="U2980">
        <v>-0.27674870000000001</v>
      </c>
      <c r="V2980">
        <v>-2.0436470000000002E-2</v>
      </c>
      <c r="W2980">
        <v>3.2930920000000002E-2</v>
      </c>
      <c r="X2980">
        <v>0.99924869999999899</v>
      </c>
      <c r="Y2980">
        <v>9.5834619999999995E-2</v>
      </c>
      <c r="Z2980">
        <v>-5.0888699999999997E-3</v>
      </c>
      <c r="AA2980">
        <v>0.9953843</v>
      </c>
      <c r="AB2980">
        <v>29</v>
      </c>
      <c r="AC2980">
        <v>0.61090000000001499</v>
      </c>
      <c r="AD2980">
        <v>-8.6910000000000001E-2</v>
      </c>
      <c r="AE2980">
        <v>-8.4300000000013101E-2</v>
      </c>
      <c r="AF2980">
        <v>8.5609625856041704E-2</v>
      </c>
      <c r="AG2980">
        <v>-8.6910000000000001E-2</v>
      </c>
      <c r="AH2980">
        <v>0.59858835926141196</v>
      </c>
      <c r="AI2980">
        <v>98.179055830716294</v>
      </c>
      <c r="AJ2980">
        <v>81.860798592356502</v>
      </c>
      <c r="AK2980">
        <v>0.61089310029045296</v>
      </c>
    </row>
    <row r="2981" spans="1:37" x14ac:dyDescent="0.2">
      <c r="A2981" t="str">
        <f>"20200111160215302"</f>
        <v>20200111160215302</v>
      </c>
      <c r="B2981" t="str">
        <f>"1578729735295344"</f>
        <v>1578729735295344</v>
      </c>
      <c r="C2981" t="s">
        <v>37</v>
      </c>
      <c r="D2981">
        <v>4.9106550000000002</v>
      </c>
      <c r="E2981">
        <v>0.55017559999999999</v>
      </c>
      <c r="F2981" t="s">
        <v>42</v>
      </c>
      <c r="G2981">
        <v>-235.96850000000001</v>
      </c>
      <c r="H2981">
        <v>1.0215190000000001</v>
      </c>
      <c r="I2981">
        <v>214.33410000000001</v>
      </c>
      <c r="J2981">
        <v>-236.52350000000001</v>
      </c>
      <c r="K2981">
        <v>1.104487</v>
      </c>
      <c r="L2981">
        <v>214.42009999999999</v>
      </c>
      <c r="M2981">
        <v>0.99992320000000001</v>
      </c>
      <c r="N2981">
        <v>0</v>
      </c>
      <c r="O2981">
        <v>5.235689E-3</v>
      </c>
      <c r="P2981">
        <v>0.99946759999999901</v>
      </c>
      <c r="Q2981">
        <v>2.101225E-2</v>
      </c>
      <c r="R2981">
        <v>2.4965049999999999E-2</v>
      </c>
      <c r="S2981">
        <v>3.0153349999999999</v>
      </c>
      <c r="T2981">
        <v>-0.28610469999999999</v>
      </c>
      <c r="U2981">
        <v>-0.28895569999999998</v>
      </c>
      <c r="V2981">
        <v>-1.974745E-2</v>
      </c>
      <c r="W2981">
        <v>3.223082E-2</v>
      </c>
      <c r="X2981">
        <v>0.99928530000000004</v>
      </c>
      <c r="Y2981">
        <v>0.1001335</v>
      </c>
      <c r="Z2981">
        <v>-5.2236920000000003E-3</v>
      </c>
      <c r="AA2981">
        <v>0.99496030000000002</v>
      </c>
      <c r="AB2981">
        <v>29</v>
      </c>
      <c r="AC2981">
        <v>0.55500000000000604</v>
      </c>
      <c r="AD2981">
        <v>-8.2967999999999903E-2</v>
      </c>
      <c r="AE2981">
        <v>-8.5999999999984297E-2</v>
      </c>
      <c r="AF2981">
        <v>8.7006008952547106E-2</v>
      </c>
      <c r="AG2981">
        <v>-8.2967999999999903E-2</v>
      </c>
      <c r="AH2981">
        <v>0.54269834695363195</v>
      </c>
      <c r="AI2981">
        <v>98.584151497959198</v>
      </c>
      <c r="AJ2981">
        <v>80.891784189680706</v>
      </c>
      <c r="AK2981">
        <v>0.55585540422312696</v>
      </c>
    </row>
    <row r="2982" spans="1:37" x14ac:dyDescent="0.2">
      <c r="A2982" t="str">
        <f>"20200111160215343"</f>
        <v>20200111160215343</v>
      </c>
      <c r="B2982" t="str">
        <f>"1578729735335361"</f>
        <v>1578729735335361</v>
      </c>
      <c r="C2982" t="s">
        <v>37</v>
      </c>
      <c r="D2982">
        <v>4.8675980000000001</v>
      </c>
      <c r="E2982">
        <v>0.55186999999999997</v>
      </c>
      <c r="F2982" t="s">
        <v>42</v>
      </c>
      <c r="G2982">
        <v>-235.7047</v>
      </c>
      <c r="H2982">
        <v>1.027047</v>
      </c>
      <c r="I2982">
        <v>214.33789999999999</v>
      </c>
      <c r="J2982">
        <v>-235.9777</v>
      </c>
      <c r="K2982">
        <v>1.1045339999999999</v>
      </c>
      <c r="L2982">
        <v>214.42359999999999</v>
      </c>
      <c r="M2982">
        <v>0.99991319999999995</v>
      </c>
      <c r="N2982">
        <v>0</v>
      </c>
      <c r="O2982">
        <v>5.7539019999999896E-3</v>
      </c>
      <c r="P2982">
        <v>0.99953899999999996</v>
      </c>
      <c r="Q2982">
        <v>1.9048099999999998E-2</v>
      </c>
      <c r="R2982">
        <v>2.3638550000000001E-2</v>
      </c>
      <c r="S2982">
        <v>3.0151520000000001</v>
      </c>
      <c r="T2982">
        <v>-0.28520099999999998</v>
      </c>
      <c r="U2982">
        <v>-0.30244450000000001</v>
      </c>
      <c r="V2982">
        <v>-1.7901759999999999E-2</v>
      </c>
      <c r="W2982">
        <v>3.08829999999999E-2</v>
      </c>
      <c r="X2982">
        <v>0.99936270000000005</v>
      </c>
      <c r="Y2982">
        <v>0.1050415</v>
      </c>
      <c r="Z2982">
        <v>-5.4862829999999998E-3</v>
      </c>
      <c r="AA2982">
        <v>0.99445269999999997</v>
      </c>
      <c r="AB2982">
        <v>29</v>
      </c>
      <c r="AC2982">
        <v>0.27299999999999602</v>
      </c>
      <c r="AD2982">
        <v>-7.7486999999999806E-2</v>
      </c>
      <c r="AE2982">
        <v>-8.5700000000002705E-2</v>
      </c>
      <c r="AF2982">
        <v>8.1306828016658006E-2</v>
      </c>
      <c r="AG2982">
        <v>-7.7486999999999806E-2</v>
      </c>
      <c r="AH2982">
        <v>0.25388364627041998</v>
      </c>
      <c r="AI2982">
        <v>106.207297200497</v>
      </c>
      <c r="AJ2982">
        <v>72.2422150741465</v>
      </c>
      <c r="AK2982">
        <v>0.277618337461152</v>
      </c>
    </row>
    <row r="2983" spans="1:37" x14ac:dyDescent="0.2">
      <c r="A2983" t="str">
        <f>"20200111160215365"</f>
        <v>20200111160215365</v>
      </c>
      <c r="B2983" t="str">
        <f>"1578729735355389"</f>
        <v>1578729735355389</v>
      </c>
      <c r="C2983" t="s">
        <v>37</v>
      </c>
      <c r="D2983">
        <v>4.9219589999999904</v>
      </c>
      <c r="E2983">
        <v>0.55305019999999905</v>
      </c>
      <c r="F2983" t="s">
        <v>42</v>
      </c>
      <c r="G2983">
        <v>-235.18260000000001</v>
      </c>
      <c r="H2983">
        <v>1.028807</v>
      </c>
      <c r="I2983">
        <v>214.33920000000001</v>
      </c>
      <c r="J2983">
        <v>-235.69659999999999</v>
      </c>
      <c r="K2983">
        <v>1.1045559999999901</v>
      </c>
      <c r="L2983">
        <v>214.4255</v>
      </c>
      <c r="M2983">
        <v>0.99990840000000003</v>
      </c>
      <c r="N2983">
        <v>0</v>
      </c>
      <c r="O2983">
        <v>6.0178740000000003E-3</v>
      </c>
      <c r="P2983">
        <v>0.99956160000000005</v>
      </c>
      <c r="Q2983">
        <v>1.7884520000000001E-2</v>
      </c>
      <c r="R2983">
        <v>2.3596829999999999E-2</v>
      </c>
      <c r="S2983">
        <v>3.0144039999999999</v>
      </c>
      <c r="T2983">
        <v>-0.28710609999999998</v>
      </c>
      <c r="U2983">
        <v>-0.32008359999999902</v>
      </c>
      <c r="V2983">
        <v>-1.7595820000000002E-2</v>
      </c>
      <c r="W2983">
        <v>2.9999350000000001E-2</v>
      </c>
      <c r="X2983">
        <v>0.99939500000000003</v>
      </c>
      <c r="Y2983">
        <v>0.11104990000000001</v>
      </c>
      <c r="Z2983">
        <v>-5.8321950000000001E-3</v>
      </c>
      <c r="AA2983">
        <v>0.99379769999999901</v>
      </c>
      <c r="AB2983">
        <v>29</v>
      </c>
      <c r="AC2983">
        <v>0.51399999999998103</v>
      </c>
      <c r="AD2983">
        <v>-7.5748999999999803E-2</v>
      </c>
      <c r="AE2983">
        <v>-8.6299999999994201E-2</v>
      </c>
      <c r="AF2983">
        <v>8.7542693364190294E-2</v>
      </c>
      <c r="AG2983">
        <v>-7.5748999999999803E-2</v>
      </c>
      <c r="AH2983">
        <v>0.50284965199441201</v>
      </c>
      <c r="AI2983">
        <v>98.441495182209493</v>
      </c>
      <c r="AJ2983">
        <v>80.124175481304704</v>
      </c>
      <c r="AK2983">
        <v>0.51600330102951697</v>
      </c>
    </row>
    <row r="2984" spans="1:37" x14ac:dyDescent="0.2">
      <c r="A2984" t="str">
        <f>"20200111160215384"</f>
        <v>20200111160215384</v>
      </c>
      <c r="B2984" t="str">
        <f>"1578729735374909"</f>
        <v>1578729735374909</v>
      </c>
      <c r="C2984" t="s">
        <v>37</v>
      </c>
      <c r="D2984">
        <v>5.0164819999999999</v>
      </c>
      <c r="E2984">
        <v>0.55339799999999995</v>
      </c>
      <c r="F2984" t="s">
        <v>42</v>
      </c>
      <c r="G2984">
        <v>-234.92150000000001</v>
      </c>
      <c r="H2984">
        <v>1.0308329999999899</v>
      </c>
      <c r="I2984">
        <v>214.34049999999999</v>
      </c>
      <c r="J2984">
        <v>-235.4348</v>
      </c>
      <c r="K2984">
        <v>1.1045719999999899</v>
      </c>
      <c r="L2984">
        <v>214.42740000000001</v>
      </c>
      <c r="M2984">
        <v>0.99990400000000002</v>
      </c>
      <c r="N2984">
        <v>0</v>
      </c>
      <c r="O2984">
        <v>6.2645399999999999E-3</v>
      </c>
      <c r="P2984">
        <v>0.99954920000000003</v>
      </c>
      <c r="Q2984">
        <v>1.765744E-2</v>
      </c>
      <c r="R2984">
        <v>2.428568E-2</v>
      </c>
      <c r="S2984">
        <v>3.0142359999999999</v>
      </c>
      <c r="T2984">
        <v>-0.2868502</v>
      </c>
      <c r="U2984">
        <v>-0.3300323</v>
      </c>
      <c r="V2984">
        <v>-1.803805E-2</v>
      </c>
      <c r="W2984">
        <v>3.0007450000000001E-2</v>
      </c>
      <c r="X2984">
        <v>0.99938689999999997</v>
      </c>
      <c r="Y2984">
        <v>0.114527</v>
      </c>
      <c r="Z2984">
        <v>-6.0142700000000004E-3</v>
      </c>
      <c r="AA2984">
        <v>0.99340189999999995</v>
      </c>
      <c r="AB2984">
        <v>29</v>
      </c>
      <c r="AC2984">
        <v>0.51329999999998599</v>
      </c>
      <c r="AD2984">
        <v>-7.3738999999999999E-2</v>
      </c>
      <c r="AE2984">
        <v>-8.6900000000014105E-2</v>
      </c>
      <c r="AF2984">
        <v>8.8341793849413403E-2</v>
      </c>
      <c r="AG2984">
        <v>-7.3738999999999999E-2</v>
      </c>
      <c r="AH2984">
        <v>0.50266098835268402</v>
      </c>
      <c r="AI2984">
        <v>98.2213672926881</v>
      </c>
      <c r="AJ2984">
        <v>80.032161614677094</v>
      </c>
      <c r="AK2984">
        <v>0.51566440818930903</v>
      </c>
    </row>
    <row r="2985" spans="1:37" x14ac:dyDescent="0.2">
      <c r="A2985" t="str">
        <f>"20200111160215411"</f>
        <v>20200111160215411</v>
      </c>
      <c r="B2985" t="str">
        <f>"1578729735405164"</f>
        <v>1578729735405164</v>
      </c>
      <c r="C2985" t="s">
        <v>37</v>
      </c>
      <c r="D2985">
        <v>5.0108230000000002</v>
      </c>
      <c r="E2985">
        <v>0.55395000000000005</v>
      </c>
      <c r="F2985" t="s">
        <v>42</v>
      </c>
      <c r="G2985">
        <v>-234.6618</v>
      </c>
      <c r="H2985">
        <v>1.030832</v>
      </c>
      <c r="I2985">
        <v>214.34270000000001</v>
      </c>
      <c r="J2985">
        <v>-235.10230000000001</v>
      </c>
      <c r="K2985">
        <v>1.1045830000000001</v>
      </c>
      <c r="L2985">
        <v>214.4298</v>
      </c>
      <c r="M2985">
        <v>0.99989869999999903</v>
      </c>
      <c r="N2985">
        <v>0</v>
      </c>
      <c r="O2985">
        <v>6.5791640000000002E-3</v>
      </c>
      <c r="P2985">
        <v>0.99952169999999896</v>
      </c>
      <c r="Q2985">
        <v>1.74535E-2</v>
      </c>
      <c r="R2985">
        <v>2.5538539999999998E-2</v>
      </c>
      <c r="S2985">
        <v>3.014465</v>
      </c>
      <c r="T2985">
        <v>-0.2874855</v>
      </c>
      <c r="U2985">
        <v>-0.33081050000000001</v>
      </c>
      <c r="V2985">
        <v>-1.897633E-2</v>
      </c>
      <c r="W2985">
        <v>3.0067989999999999E-2</v>
      </c>
      <c r="X2985">
        <v>0.99936769999999997</v>
      </c>
      <c r="Y2985">
        <v>0.11507870000000001</v>
      </c>
      <c r="Z2985">
        <v>-6.0830190000000003E-3</v>
      </c>
      <c r="AA2985">
        <v>0.99333780000000005</v>
      </c>
      <c r="AB2985">
        <v>29</v>
      </c>
      <c r="AC2985">
        <v>0.44050000000001399</v>
      </c>
      <c r="AD2985">
        <v>-7.3751000000000094E-2</v>
      </c>
      <c r="AE2985">
        <v>-8.7099999999992406E-2</v>
      </c>
      <c r="AF2985">
        <v>8.7632438390464598E-2</v>
      </c>
      <c r="AG2985">
        <v>-7.3751000000000094E-2</v>
      </c>
      <c r="AH2985">
        <v>0.42836161643620302</v>
      </c>
      <c r="AI2985">
        <v>99.574326498337498</v>
      </c>
      <c r="AJ2985">
        <v>78.438198058460102</v>
      </c>
      <c r="AK2985">
        <v>0.443409887908575</v>
      </c>
    </row>
    <row r="2986" spans="1:37" x14ac:dyDescent="0.2">
      <c r="A2986" t="str">
        <f>"20200111160215433"</f>
        <v>20200111160215433</v>
      </c>
      <c r="B2986" t="str">
        <f>"1578729735424685"</f>
        <v>1578729735424685</v>
      </c>
      <c r="C2986" t="s">
        <v>37</v>
      </c>
      <c r="D2986">
        <v>5.1038759999999996</v>
      </c>
      <c r="E2986">
        <v>0.55437639999999999</v>
      </c>
      <c r="F2986" t="s">
        <v>42</v>
      </c>
      <c r="G2986">
        <v>-234.15119999999999</v>
      </c>
      <c r="H2986">
        <v>1.013674</v>
      </c>
      <c r="I2986">
        <v>214.3252</v>
      </c>
      <c r="J2986">
        <v>-234.8143</v>
      </c>
      <c r="K2986">
        <v>1.104592</v>
      </c>
      <c r="L2986">
        <v>214.43199999999999</v>
      </c>
      <c r="M2986">
        <v>0.99989430000000001</v>
      </c>
      <c r="N2986">
        <v>0</v>
      </c>
      <c r="O2986">
        <v>6.8530980000000002E-3</v>
      </c>
      <c r="P2986">
        <v>0.99949580000000005</v>
      </c>
      <c r="Q2986">
        <v>1.6939320000000001E-2</v>
      </c>
      <c r="R2986">
        <v>2.6855540000000001E-2</v>
      </c>
      <c r="S2986">
        <v>3.0149689999999998</v>
      </c>
      <c r="T2986">
        <v>-0.2882073</v>
      </c>
      <c r="U2986">
        <v>-0.33152769999999998</v>
      </c>
      <c r="V2986">
        <v>-2.0019639999999998E-2</v>
      </c>
      <c r="W2986">
        <v>2.975293E-2</v>
      </c>
      <c r="X2986">
        <v>0.99935680000000005</v>
      </c>
      <c r="Y2986">
        <v>0.1155603</v>
      </c>
      <c r="Z2986">
        <v>-6.1460940000000004E-3</v>
      </c>
      <c r="AA2986">
        <v>0.99328139999999998</v>
      </c>
      <c r="AB2986">
        <v>29</v>
      </c>
      <c r="AC2986">
        <v>0.66310000000001401</v>
      </c>
      <c r="AD2986">
        <v>-9.0917999999999999E-2</v>
      </c>
      <c r="AE2986">
        <v>-0.106800000000021</v>
      </c>
      <c r="AF2986">
        <v>0.10933863760522999</v>
      </c>
      <c r="AG2986">
        <v>-9.0917999999999999E-2</v>
      </c>
      <c r="AH2986">
        <v>0.650433928927722</v>
      </c>
      <c r="AI2986">
        <v>97.848558430328495</v>
      </c>
      <c r="AJ2986">
        <v>80.457732560900993</v>
      </c>
      <c r="AK2986">
        <v>0.66579675299427599</v>
      </c>
    </row>
    <row r="2987" spans="1:37" x14ac:dyDescent="0.2">
      <c r="A2987" t="str">
        <f>"20200111160215454"</f>
        <v>20200111160215454</v>
      </c>
      <c r="B2987" t="str">
        <f>"1578729735445181"</f>
        <v>1578729735445181</v>
      </c>
      <c r="C2987" t="s">
        <v>37</v>
      </c>
      <c r="D2987">
        <v>5.0430900000000003</v>
      </c>
      <c r="E2987">
        <v>0.55473329999999998</v>
      </c>
      <c r="F2987" t="s">
        <v>42</v>
      </c>
      <c r="G2987">
        <v>-233.8914</v>
      </c>
      <c r="H2987">
        <v>1.0158229999999999</v>
      </c>
      <c r="I2987">
        <v>214.33070000000001</v>
      </c>
      <c r="J2987">
        <v>-234.54060000000001</v>
      </c>
      <c r="K2987">
        <v>1.1046020000000001</v>
      </c>
      <c r="L2987">
        <v>214.4342</v>
      </c>
      <c r="M2987">
        <v>0.99989030000000001</v>
      </c>
      <c r="N2987">
        <v>0</v>
      </c>
      <c r="O2987">
        <v>7.113566E-3</v>
      </c>
      <c r="P2987">
        <v>0.99948840000000005</v>
      </c>
      <c r="Q2987">
        <v>1.6194739999999999E-2</v>
      </c>
      <c r="R2987">
        <v>2.7588689999999999E-2</v>
      </c>
      <c r="S2987">
        <v>3.0153050000000001</v>
      </c>
      <c r="T2987">
        <v>-0.2901319</v>
      </c>
      <c r="U2987">
        <v>-0.33079530000000001</v>
      </c>
      <c r="V2987">
        <v>-2.049175E-2</v>
      </c>
      <c r="W2987">
        <v>2.917573E-2</v>
      </c>
      <c r="X2987">
        <v>0.99936429999999998</v>
      </c>
      <c r="Y2987">
        <v>0.115560199999999</v>
      </c>
      <c r="Z2987">
        <v>-6.2112809999999999E-3</v>
      </c>
      <c r="AA2987">
        <v>0.99328109999999903</v>
      </c>
      <c r="AB2987">
        <v>29</v>
      </c>
      <c r="AC2987">
        <v>0.64920000000000699</v>
      </c>
      <c r="AD2987">
        <v>-8.8779000000000094E-2</v>
      </c>
      <c r="AE2987">
        <v>-0.103499999999996</v>
      </c>
      <c r="AF2987">
        <v>0.106179460134674</v>
      </c>
      <c r="AG2987">
        <v>-8.8779000000000094E-2</v>
      </c>
      <c r="AH2987">
        <v>0.636833074173763</v>
      </c>
      <c r="AI2987">
        <v>97.829572108511897</v>
      </c>
      <c r="AJ2987">
        <v>80.534122512333994</v>
      </c>
      <c r="AK2987">
        <v>0.65169943452261503</v>
      </c>
    </row>
    <row r="2988" spans="1:37" x14ac:dyDescent="0.2">
      <c r="A2988" t="str">
        <f>"20200111160215473"</f>
        <v>20200111160215473</v>
      </c>
      <c r="B2988" t="str">
        <f>"1578729735465208"</f>
        <v>1578729735465208</v>
      </c>
      <c r="C2988" t="s">
        <v>37</v>
      </c>
      <c r="D2988">
        <v>5.1410070000000001</v>
      </c>
      <c r="E2988">
        <v>0.55513939999999995</v>
      </c>
      <c r="F2988" t="s">
        <v>42</v>
      </c>
      <c r="G2988">
        <v>-233.6327</v>
      </c>
      <c r="H2988">
        <v>1.016556</v>
      </c>
      <c r="I2988">
        <v>214.33439999999999</v>
      </c>
      <c r="J2988">
        <v>-234.28110000000001</v>
      </c>
      <c r="K2988">
        <v>1.104603</v>
      </c>
      <c r="L2988">
        <v>214.43639999999999</v>
      </c>
      <c r="M2988">
        <v>0.99988679999999996</v>
      </c>
      <c r="N2988">
        <v>0</v>
      </c>
      <c r="O2988">
        <v>7.3601300000000003E-3</v>
      </c>
      <c r="P2988">
        <v>0.99947849999999905</v>
      </c>
      <c r="Q2988">
        <v>1.5253930000000001E-2</v>
      </c>
      <c r="R2988">
        <v>2.84611E-2</v>
      </c>
      <c r="S2988">
        <v>3.0154269999999999</v>
      </c>
      <c r="T2988">
        <v>-0.29250720000000002</v>
      </c>
      <c r="U2988">
        <v>-0.33145140000000001</v>
      </c>
      <c r="V2988">
        <v>-2.1116969999999999E-2</v>
      </c>
      <c r="W2988">
        <v>2.8374980000000001E-2</v>
      </c>
      <c r="X2988">
        <v>0.99937430000000005</v>
      </c>
      <c r="Y2988">
        <v>0.11600199999999999</v>
      </c>
      <c r="Z2988">
        <v>-6.3066859999999997E-3</v>
      </c>
      <c r="AA2988">
        <v>0.99322900000000003</v>
      </c>
      <c r="AB2988">
        <v>29</v>
      </c>
      <c r="AC2988">
        <v>0.64840000000000897</v>
      </c>
      <c r="AD2988">
        <v>-8.8046999999999903E-2</v>
      </c>
      <c r="AE2988">
        <v>-0.102000000000003</v>
      </c>
      <c r="AF2988">
        <v>0.104882701294589</v>
      </c>
      <c r="AG2988">
        <v>-8.8046999999999903E-2</v>
      </c>
      <c r="AH2988">
        <v>0.63618416645481801</v>
      </c>
      <c r="AI2988">
        <v>97.775946205546404</v>
      </c>
      <c r="AJ2988">
        <v>80.638302930724294</v>
      </c>
      <c r="AK2988">
        <v>0.65075567526350597</v>
      </c>
    </row>
    <row r="2989" spans="1:37" x14ac:dyDescent="0.2">
      <c r="A2989" t="str">
        <f>"20200111160215500"</f>
        <v>20200111160215500</v>
      </c>
      <c r="B2989" t="str">
        <f>"1578729735494490"</f>
        <v>1578729735494490</v>
      </c>
      <c r="C2989" t="s">
        <v>37</v>
      </c>
      <c r="D2989">
        <v>5.1202649999999998</v>
      </c>
      <c r="E2989">
        <v>0.55577259999999995</v>
      </c>
      <c r="F2989" t="s">
        <v>42</v>
      </c>
      <c r="G2989">
        <v>-233.37469999999999</v>
      </c>
      <c r="H2989">
        <v>1.0161359999999999</v>
      </c>
      <c r="I2989">
        <v>214.33599999999899</v>
      </c>
      <c r="J2989">
        <v>-233.94890000000001</v>
      </c>
      <c r="K2989">
        <v>1.1046020000000001</v>
      </c>
      <c r="L2989">
        <v>214.4392</v>
      </c>
      <c r="M2989">
        <v>0.99988220000000005</v>
      </c>
      <c r="N2989">
        <v>0</v>
      </c>
      <c r="O2989">
        <v>7.6756649999999999E-3</v>
      </c>
      <c r="P2989">
        <v>0.99948199999999998</v>
      </c>
      <c r="Q2989">
        <v>1.503352E-2</v>
      </c>
      <c r="R2989">
        <v>2.845841E-2</v>
      </c>
      <c r="S2989">
        <v>3.015549</v>
      </c>
      <c r="T2989">
        <v>-0.2945237</v>
      </c>
      <c r="U2989">
        <v>-0.3327637</v>
      </c>
      <c r="V2989">
        <v>-2.0799160000000001E-2</v>
      </c>
      <c r="W2989">
        <v>2.831063E-2</v>
      </c>
      <c r="X2989">
        <v>0.99938269999999996</v>
      </c>
      <c r="Y2989">
        <v>0.11672539999999899</v>
      </c>
      <c r="Z2989">
        <v>-6.4153550000000002E-3</v>
      </c>
      <c r="AA2989">
        <v>0.99314349999999996</v>
      </c>
      <c r="AB2989">
        <v>29</v>
      </c>
      <c r="AC2989">
        <v>0.57420000000001803</v>
      </c>
      <c r="AD2989">
        <v>-8.8465999999999906E-2</v>
      </c>
      <c r="AE2989">
        <v>-0.103200000000015</v>
      </c>
      <c r="AF2989">
        <v>0.105186039948358</v>
      </c>
      <c r="AG2989">
        <v>-8.8465999999999906E-2</v>
      </c>
      <c r="AH2989">
        <v>0.56050253972019004</v>
      </c>
      <c r="AI2989">
        <v>98.817750107228306</v>
      </c>
      <c r="AJ2989">
        <v>79.371278342553396</v>
      </c>
      <c r="AK2989">
        <v>0.57710781764658303</v>
      </c>
    </row>
    <row r="2990" spans="1:37" x14ac:dyDescent="0.2">
      <c r="A2990" t="str">
        <f>"20200111160215524"</f>
        <v>20200111160215524</v>
      </c>
      <c r="B2990" t="str">
        <f>"1578729735514984"</f>
        <v>1578729735514984</v>
      </c>
      <c r="C2990" t="s">
        <v>37</v>
      </c>
      <c r="D2990">
        <v>5.1333209999999996</v>
      </c>
      <c r="E2990">
        <v>0.55615349999999997</v>
      </c>
      <c r="F2990" t="s">
        <v>42</v>
      </c>
      <c r="G2990">
        <v>-233.11369999999999</v>
      </c>
      <c r="H2990">
        <v>1.022945</v>
      </c>
      <c r="I2990">
        <v>214.34549999999999</v>
      </c>
      <c r="J2990">
        <v>-233.6352</v>
      </c>
      <c r="K2990">
        <v>1.1046069999999999</v>
      </c>
      <c r="L2990">
        <v>214.4419</v>
      </c>
      <c r="M2990">
        <v>0.99987819999999905</v>
      </c>
      <c r="N2990">
        <v>0</v>
      </c>
      <c r="O2990">
        <v>7.9732039999999994E-3</v>
      </c>
      <c r="P2990">
        <v>0.99948599999999999</v>
      </c>
      <c r="Q2990">
        <v>1.473841E-2</v>
      </c>
      <c r="R2990">
        <v>2.847444E-2</v>
      </c>
      <c r="S2990">
        <v>3.0156099999999899</v>
      </c>
      <c r="T2990">
        <v>-0.29491999999999902</v>
      </c>
      <c r="U2990">
        <v>-0.337860099999999</v>
      </c>
      <c r="V2990">
        <v>-2.051762E-2</v>
      </c>
      <c r="W2990">
        <v>2.8141900000000001E-2</v>
      </c>
      <c r="X2990">
        <v>0.99939330000000004</v>
      </c>
      <c r="Y2990">
        <v>0.1186644</v>
      </c>
      <c r="Z2990">
        <v>-6.546474E-3</v>
      </c>
      <c r="AA2990">
        <v>0.99291280000000004</v>
      </c>
      <c r="AB2990">
        <v>29</v>
      </c>
      <c r="AC2990">
        <v>0.52150000000000296</v>
      </c>
      <c r="AD2990">
        <v>-8.1661999999999901E-2</v>
      </c>
      <c r="AE2990">
        <v>-9.6400000000016903E-2</v>
      </c>
      <c r="AF2990">
        <v>9.8226346409550094E-2</v>
      </c>
      <c r="AG2990">
        <v>-8.1661999999999901E-2</v>
      </c>
      <c r="AH2990">
        <v>0.50865432112914499</v>
      </c>
      <c r="AI2990">
        <v>98.957988534816195</v>
      </c>
      <c r="AJ2990">
        <v>79.070138111968902</v>
      </c>
      <c r="AK2990">
        <v>0.52444858258586302</v>
      </c>
    </row>
    <row r="2991" spans="1:37" x14ac:dyDescent="0.2">
      <c r="A2991" t="str">
        <f>"20200111160215549"</f>
        <v>20200111160215549</v>
      </c>
      <c r="B2991" t="str">
        <f>"1578729735545240"</f>
        <v>1578729735545240</v>
      </c>
      <c r="C2991" t="s">
        <v>37</v>
      </c>
      <c r="D2991">
        <v>5.1730080000000003</v>
      </c>
      <c r="E2991">
        <v>0.55668240000000002</v>
      </c>
      <c r="F2991" t="s">
        <v>42</v>
      </c>
      <c r="G2991">
        <v>-232.85380000000001</v>
      </c>
      <c r="H2991">
        <v>1.027979</v>
      </c>
      <c r="I2991">
        <v>214.35319999999999</v>
      </c>
      <c r="J2991">
        <v>-233.35040000000001</v>
      </c>
      <c r="K2991">
        <v>1.1046020000000001</v>
      </c>
      <c r="L2991">
        <v>214.44450000000001</v>
      </c>
      <c r="M2991">
        <v>0.99987469999999901</v>
      </c>
      <c r="N2991">
        <v>0</v>
      </c>
      <c r="O2991">
        <v>8.2435609999999999E-3</v>
      </c>
      <c r="P2991">
        <v>0.99947319999999995</v>
      </c>
      <c r="Q2991">
        <v>1.4936980000000001E-2</v>
      </c>
      <c r="R2991">
        <v>2.882322E-2</v>
      </c>
      <c r="S2991">
        <v>3.015625</v>
      </c>
      <c r="T2991">
        <v>-0.29600909999999903</v>
      </c>
      <c r="U2991">
        <v>-0.34107969999999999</v>
      </c>
      <c r="V2991">
        <v>-2.0596070000000001E-2</v>
      </c>
      <c r="W2991">
        <v>2.8438850000000002E-2</v>
      </c>
      <c r="X2991">
        <v>0.99938329999999997</v>
      </c>
      <c r="Y2991">
        <v>0.1199673</v>
      </c>
      <c r="Z2991">
        <v>-6.6601009999999999E-3</v>
      </c>
      <c r="AA2991">
        <v>0.99275550000000001</v>
      </c>
      <c r="AB2991">
        <v>29</v>
      </c>
      <c r="AC2991">
        <v>0.49659999999999999</v>
      </c>
      <c r="AD2991">
        <v>-7.6622999999999802E-2</v>
      </c>
      <c r="AE2991">
        <v>-9.1300000000018103E-2</v>
      </c>
      <c r="AF2991">
        <v>9.3243748300902402E-2</v>
      </c>
      <c r="AG2991">
        <v>-7.6622999999999802E-2</v>
      </c>
      <c r="AH2991">
        <v>0.48466915395572902</v>
      </c>
      <c r="AI2991">
        <v>98.824523585337701</v>
      </c>
      <c r="AJ2991">
        <v>79.110124836120306</v>
      </c>
      <c r="AK2991">
        <v>0.49946938797324097</v>
      </c>
    </row>
    <row r="2992" spans="1:37" x14ac:dyDescent="0.2">
      <c r="A2992" t="str">
        <f>"20200111160215567"</f>
        <v>20200111160215567</v>
      </c>
      <c r="B2992" t="str">
        <f>"1578729735565269"</f>
        <v>1578729735565269</v>
      </c>
      <c r="C2992" t="s">
        <v>37</v>
      </c>
      <c r="D2992">
        <v>5.2426740000000001</v>
      </c>
      <c r="E2992">
        <v>0.55710400000000004</v>
      </c>
      <c r="F2992" t="s">
        <v>42</v>
      </c>
      <c r="G2992">
        <v>-232.59540000000001</v>
      </c>
      <c r="H2992">
        <v>1.030618</v>
      </c>
      <c r="I2992">
        <v>214.35810000000001</v>
      </c>
      <c r="J2992">
        <v>-233.0849</v>
      </c>
      <c r="K2992">
        <v>1.104606</v>
      </c>
      <c r="L2992">
        <v>214.447</v>
      </c>
      <c r="M2992">
        <v>0.99987150000000002</v>
      </c>
      <c r="N2992">
        <v>0</v>
      </c>
      <c r="O2992">
        <v>8.4956790000000008E-3</v>
      </c>
      <c r="P2992">
        <v>0.99944719999999998</v>
      </c>
      <c r="Q2992">
        <v>1.504521E-2</v>
      </c>
      <c r="R2992">
        <v>2.965214E-2</v>
      </c>
      <c r="S2992">
        <v>3.0159449999999999</v>
      </c>
      <c r="T2992">
        <v>-0.2956357</v>
      </c>
      <c r="U2992">
        <v>-0.34443659999999998</v>
      </c>
      <c r="V2992">
        <v>-2.1173049999999999E-2</v>
      </c>
      <c r="W2992">
        <v>2.8626169999999999E-2</v>
      </c>
      <c r="X2992">
        <v>0.99936589999999903</v>
      </c>
      <c r="Y2992">
        <v>0.12129089999999999</v>
      </c>
      <c r="Z2992">
        <v>-6.7397230000000004E-3</v>
      </c>
      <c r="AA2992">
        <v>0.99259409999999904</v>
      </c>
      <c r="AB2992">
        <v>29</v>
      </c>
      <c r="AC2992">
        <v>0.489499999999992</v>
      </c>
      <c r="AD2992">
        <v>-7.3987999999999901E-2</v>
      </c>
      <c r="AE2992">
        <v>-8.8899999999995302E-2</v>
      </c>
      <c r="AF2992">
        <v>9.10422404854596E-2</v>
      </c>
      <c r="AG2992">
        <v>-7.3987999999999901E-2</v>
      </c>
      <c r="AH2992">
        <v>0.478151772766779</v>
      </c>
      <c r="AI2992">
        <v>98.6431720062089</v>
      </c>
      <c r="AJ2992">
        <v>79.219666946543697</v>
      </c>
      <c r="AK2992">
        <v>0.492333252479076</v>
      </c>
    </row>
    <row r="2993" spans="1:37" x14ac:dyDescent="0.2">
      <c r="A2993" t="str">
        <f>"20200111160215590"</f>
        <v>20200111160215590</v>
      </c>
      <c r="B2993" t="str">
        <f>"1578729735584792"</f>
        <v>1578729735584792</v>
      </c>
      <c r="C2993" t="s">
        <v>37</v>
      </c>
      <c r="D2993">
        <v>5.2157669999999996</v>
      </c>
      <c r="E2993">
        <v>0.55741640000000003</v>
      </c>
      <c r="F2993" t="s">
        <v>42</v>
      </c>
      <c r="G2993">
        <v>-232.33799999999999</v>
      </c>
      <c r="H2993">
        <v>1.031622</v>
      </c>
      <c r="I2993">
        <v>214.36109999999999</v>
      </c>
      <c r="J2993">
        <v>-232.7851</v>
      </c>
      <c r="K2993">
        <v>1.104609</v>
      </c>
      <c r="L2993">
        <v>214.44990000000001</v>
      </c>
      <c r="M2993">
        <v>0.99986799999999998</v>
      </c>
      <c r="N2993">
        <v>0</v>
      </c>
      <c r="O2993">
        <v>8.7808250000000008E-3</v>
      </c>
      <c r="P2993">
        <v>0.99940589999999996</v>
      </c>
      <c r="Q2993">
        <v>1.5936949999999998E-2</v>
      </c>
      <c r="R2993">
        <v>3.0558099999999901E-2</v>
      </c>
      <c r="S2993">
        <v>3.0163570000000002</v>
      </c>
      <c r="T2993">
        <v>-0.294987099999999</v>
      </c>
      <c r="U2993">
        <v>-0.34559629999999902</v>
      </c>
      <c r="V2993">
        <v>-2.179478E-2</v>
      </c>
      <c r="W2993">
        <v>2.9595170000000001E-2</v>
      </c>
      <c r="X2993">
        <v>0.99932430000000005</v>
      </c>
      <c r="Y2993">
        <v>0.1219339</v>
      </c>
      <c r="Z2993">
        <v>-6.7829550000000002E-3</v>
      </c>
      <c r="AA2993">
        <v>0.99251499999999904</v>
      </c>
      <c r="AB2993">
        <v>29</v>
      </c>
      <c r="AC2993">
        <v>0.44710000000000599</v>
      </c>
      <c r="AD2993">
        <v>-7.2986999999999899E-2</v>
      </c>
      <c r="AE2993">
        <v>-8.8800000000020404E-2</v>
      </c>
      <c r="AF2993">
        <v>9.0405070652237393E-2</v>
      </c>
      <c r="AG2993">
        <v>-7.2986999999999899E-2</v>
      </c>
      <c r="AH2993">
        <v>0.43514678277483099</v>
      </c>
      <c r="AI2993">
        <v>99.326032709707604</v>
      </c>
      <c r="AJ2993">
        <v>78.263327163852495</v>
      </c>
      <c r="AK2993">
        <v>0.45039194212143902</v>
      </c>
    </row>
    <row r="2994" spans="1:37" x14ac:dyDescent="0.2">
      <c r="A2994" t="str">
        <f>"20200111160215611"</f>
        <v>20200111160215611</v>
      </c>
      <c r="B2994" t="str">
        <f>"1578729735605286"</f>
        <v>1578729735605286</v>
      </c>
      <c r="C2994" t="s">
        <v>37</v>
      </c>
      <c r="D2994">
        <v>5.5726629999999897</v>
      </c>
      <c r="E2994">
        <v>0.55796880000000004</v>
      </c>
      <c r="F2994" t="s">
        <v>42</v>
      </c>
      <c r="G2994">
        <v>-231.834</v>
      </c>
      <c r="H2994">
        <v>1.0125899999999901</v>
      </c>
      <c r="I2994">
        <v>214.3409</v>
      </c>
      <c r="J2994">
        <v>-232.52459999999999</v>
      </c>
      <c r="K2994">
        <v>1.104617</v>
      </c>
      <c r="L2994">
        <v>214.45240000000001</v>
      </c>
      <c r="M2994">
        <v>0.999865</v>
      </c>
      <c r="N2994">
        <v>0</v>
      </c>
      <c r="O2994">
        <v>9.0287890000000006E-3</v>
      </c>
      <c r="P2994">
        <v>0.99939290000000003</v>
      </c>
      <c r="Q2994">
        <v>1.6699539999999999E-2</v>
      </c>
      <c r="R2994">
        <v>3.0582430000000001E-2</v>
      </c>
      <c r="S2994">
        <v>3.0170140000000001</v>
      </c>
      <c r="T2994">
        <v>-0.29201949999999999</v>
      </c>
      <c r="U2994">
        <v>-0.34523009999999998</v>
      </c>
      <c r="V2994">
        <v>-2.1571719999999999E-2</v>
      </c>
      <c r="W2994">
        <v>3.0415439999999998E-2</v>
      </c>
      <c r="X2994">
        <v>0.99930450000000004</v>
      </c>
      <c r="Y2994">
        <v>0.122047499999999</v>
      </c>
      <c r="Z2994">
        <v>-6.7429809999999899E-3</v>
      </c>
      <c r="AA2994">
        <v>0.99250139999999998</v>
      </c>
      <c r="AB2994">
        <v>29</v>
      </c>
      <c r="AC2994">
        <v>0.690599999999989</v>
      </c>
      <c r="AD2994">
        <v>-9.2026999999999998E-2</v>
      </c>
      <c r="AE2994">
        <v>-0.111500000000006</v>
      </c>
      <c r="AF2994">
        <v>0.115728503967756</v>
      </c>
      <c r="AG2994">
        <v>-9.2026999999999998E-2</v>
      </c>
      <c r="AH2994">
        <v>0.67783430995955796</v>
      </c>
      <c r="AI2994">
        <v>97.622583525225906</v>
      </c>
      <c r="AJ2994">
        <v>80.311156360896803</v>
      </c>
      <c r="AK2994">
        <v>0.69377331104472795</v>
      </c>
    </row>
    <row r="2995" spans="1:37" x14ac:dyDescent="0.2">
      <c r="A2995" t="str">
        <f>"20200111160215632"</f>
        <v>20200111160215632</v>
      </c>
      <c r="B2995" t="str">
        <f>"1578729735624806"</f>
        <v>1578729735624806</v>
      </c>
      <c r="C2995" t="s">
        <v>37</v>
      </c>
      <c r="D2995">
        <v>5.3730739999999999</v>
      </c>
      <c r="E2995">
        <v>0.55815349999999997</v>
      </c>
      <c r="F2995" t="s">
        <v>42</v>
      </c>
      <c r="G2995">
        <v>-231.57759999999999</v>
      </c>
      <c r="H2995">
        <v>1.013628</v>
      </c>
      <c r="I2995">
        <v>214.34280000000001</v>
      </c>
      <c r="J2995">
        <v>-232.24209999999999</v>
      </c>
      <c r="K2995">
        <v>1.104625</v>
      </c>
      <c r="L2995">
        <v>214.45529999999999</v>
      </c>
      <c r="M2995">
        <v>0.99986180000000002</v>
      </c>
      <c r="N2995">
        <v>0</v>
      </c>
      <c r="O2995">
        <v>9.2977559999999904E-3</v>
      </c>
      <c r="P2995">
        <v>0.99939480000000003</v>
      </c>
      <c r="Q2995">
        <v>1.6811949999999999E-2</v>
      </c>
      <c r="R2995">
        <v>3.0455110000000001E-2</v>
      </c>
      <c r="S2995">
        <v>3.0173649999999999</v>
      </c>
      <c r="T2995">
        <v>-0.28990479999999902</v>
      </c>
      <c r="U2995">
        <v>-0.34934999999999999</v>
      </c>
      <c r="V2995">
        <v>-2.1175639999999999E-2</v>
      </c>
      <c r="W2995">
        <v>3.0582249999999998E-2</v>
      </c>
      <c r="X2995">
        <v>0.99930790000000003</v>
      </c>
      <c r="Y2995">
        <v>0.12363929999999999</v>
      </c>
      <c r="Z2995">
        <v>-6.7948330000000001E-3</v>
      </c>
      <c r="AA2995">
        <v>0.99230399999999996</v>
      </c>
      <c r="AB2995">
        <v>29</v>
      </c>
      <c r="AC2995">
        <v>0.66450000000000298</v>
      </c>
      <c r="AD2995">
        <v>-9.0996999999999995E-2</v>
      </c>
      <c r="AE2995">
        <v>-0.112499999999982</v>
      </c>
      <c r="AF2995">
        <v>0.116549364641631</v>
      </c>
      <c r="AG2995">
        <v>-9.0996999999999995E-2</v>
      </c>
      <c r="AH2995">
        <v>0.65154734144928095</v>
      </c>
      <c r="AI2995">
        <v>97.827988673091895</v>
      </c>
      <c r="AJ2995">
        <v>79.858146668958199</v>
      </c>
      <c r="AK2995">
        <v>0.66811536919681302</v>
      </c>
    </row>
    <row r="2996" spans="1:37" x14ac:dyDescent="0.2">
      <c r="A2996" t="str">
        <f>"20200111160215654"</f>
        <v>20200111160215654</v>
      </c>
      <c r="B2996" t="str">
        <f>"1578729735645302"</f>
        <v>1578729735645302</v>
      </c>
      <c r="C2996" t="s">
        <v>37</v>
      </c>
      <c r="D2996">
        <v>5.1840960000000003</v>
      </c>
      <c r="E2996">
        <v>0.55748009999999903</v>
      </c>
      <c r="F2996" t="s">
        <v>42</v>
      </c>
      <c r="G2996">
        <v>-231.32079999999999</v>
      </c>
      <c r="H2996">
        <v>1.016097</v>
      </c>
      <c r="I2996">
        <v>214.34780000000001</v>
      </c>
      <c r="J2996">
        <v>-231.9683</v>
      </c>
      <c r="K2996">
        <v>1.1046260000000001</v>
      </c>
      <c r="L2996">
        <v>214.4581</v>
      </c>
      <c r="M2996">
        <v>0.99985869999999999</v>
      </c>
      <c r="N2996">
        <v>0</v>
      </c>
      <c r="O2996">
        <v>9.5583200000000004E-3</v>
      </c>
      <c r="P2996">
        <v>0.99940569999999895</v>
      </c>
      <c r="Q2996">
        <v>1.588562E-2</v>
      </c>
      <c r="R2996">
        <v>3.0596580000000002E-2</v>
      </c>
      <c r="S2996">
        <v>3.017395</v>
      </c>
      <c r="T2996">
        <v>-0.29010159999999902</v>
      </c>
      <c r="U2996">
        <v>-0.35121149999999901</v>
      </c>
      <c r="V2996">
        <v>-2.105564E-2</v>
      </c>
      <c r="W2996">
        <v>2.9701459999999999E-2</v>
      </c>
      <c r="X2996">
        <v>0.99933700000000003</v>
      </c>
      <c r="Y2996">
        <v>0.12449489999999901</v>
      </c>
      <c r="Z2996">
        <v>-6.8649359999999899E-3</v>
      </c>
      <c r="AA2996">
        <v>0.99219650000000004</v>
      </c>
      <c r="AB2996">
        <v>29</v>
      </c>
      <c r="AC2996">
        <v>0.64750000000000696</v>
      </c>
      <c r="AD2996">
        <v>-8.8528999999999997E-2</v>
      </c>
      <c r="AE2996">
        <v>-0.110299999999995</v>
      </c>
      <c r="AF2996">
        <v>0.114406217089947</v>
      </c>
      <c r="AG2996">
        <v>-8.8528999999999997E-2</v>
      </c>
      <c r="AH2996">
        <v>0.63488251244094995</v>
      </c>
      <c r="AI2996">
        <v>97.813963059478496</v>
      </c>
      <c r="AJ2996">
        <v>79.784893189632101</v>
      </c>
      <c r="AK2996">
        <v>0.65115433727586103</v>
      </c>
    </row>
    <row r="2997" spans="1:37" x14ac:dyDescent="0.2">
      <c r="A2997" t="str">
        <f>"20200111160215677"</f>
        <v>20200111160215677</v>
      </c>
      <c r="B2997" t="str">
        <f>"1578729735665331"</f>
        <v>1578729735665331</v>
      </c>
      <c r="C2997" t="s">
        <v>37</v>
      </c>
      <c r="D2997">
        <v>5.236351</v>
      </c>
      <c r="E2997">
        <v>0.52149259999999997</v>
      </c>
      <c r="F2997" t="s">
        <v>42</v>
      </c>
      <c r="G2997">
        <v>-231.06530000000001</v>
      </c>
      <c r="H2997">
        <v>1.016599</v>
      </c>
      <c r="I2997">
        <v>214.35480000000001</v>
      </c>
      <c r="J2997">
        <v>-231.6849</v>
      </c>
      <c r="K2997">
        <v>1.1046290000000001</v>
      </c>
      <c r="L2997">
        <v>214.46109999999999</v>
      </c>
      <c r="M2997">
        <v>0.99985550000000001</v>
      </c>
      <c r="N2997">
        <v>0</v>
      </c>
      <c r="O2997">
        <v>9.8282739999999997E-3</v>
      </c>
      <c r="P2997">
        <v>0.99941829999999998</v>
      </c>
      <c r="Q2997">
        <v>1.483364E-2</v>
      </c>
      <c r="R2997">
        <v>3.071169E-2</v>
      </c>
      <c r="S2997">
        <v>3.0170439999999998</v>
      </c>
      <c r="T2997">
        <v>-0.29406859999999901</v>
      </c>
      <c r="U2997">
        <v>-0.34544369999999902</v>
      </c>
      <c r="V2997">
        <v>-2.0900439999999999E-2</v>
      </c>
      <c r="W2997">
        <v>2.8690520000000001E-2</v>
      </c>
      <c r="X2997">
        <v>0.99936979999999997</v>
      </c>
      <c r="Y2997">
        <v>0.12289310000000001</v>
      </c>
      <c r="Z2997">
        <v>-6.9084769999999997E-3</v>
      </c>
      <c r="AA2997">
        <v>0.9923959</v>
      </c>
      <c r="AB2997">
        <v>29</v>
      </c>
      <c r="AC2997">
        <v>0.61959999999999105</v>
      </c>
      <c r="AD2997">
        <v>-8.8029999999999997E-2</v>
      </c>
      <c r="AE2997">
        <v>-0.106299999999976</v>
      </c>
      <c r="AF2997">
        <v>0.11022374751927599</v>
      </c>
      <c r="AG2997">
        <v>-8.8029999999999997E-2</v>
      </c>
      <c r="AH2997">
        <v>0.60663022682784895</v>
      </c>
      <c r="AI2997">
        <v>98.125514310471303</v>
      </c>
      <c r="AJ2997">
        <v>79.701796507508007</v>
      </c>
      <c r="AK2997">
        <v>0.62281521137364704</v>
      </c>
    </row>
    <row r="2998" spans="1:37" x14ac:dyDescent="0.2">
      <c r="A2998" t="str">
        <f>"20200111160215701"</f>
        <v>20200111160215701</v>
      </c>
      <c r="B2998" t="str">
        <f>"1578729735694609"</f>
        <v>1578729735694609</v>
      </c>
      <c r="C2998" t="s">
        <v>37</v>
      </c>
      <c r="D2998">
        <v>5.3198509999999999</v>
      </c>
      <c r="E2998">
        <v>0.53603669999999903</v>
      </c>
      <c r="F2998" t="s">
        <v>76</v>
      </c>
      <c r="G2998">
        <v>-107.39749999999999</v>
      </c>
      <c r="H2998">
        <v>0.55349490000000001</v>
      </c>
      <c r="I2998">
        <v>211.31809999999999</v>
      </c>
      <c r="J2998">
        <v>-231.37559999999999</v>
      </c>
      <c r="K2998">
        <v>1.1046260000000001</v>
      </c>
      <c r="L2998">
        <v>214.46449999999999</v>
      </c>
      <c r="M2998">
        <v>0.99985199999999996</v>
      </c>
      <c r="N2998">
        <v>0</v>
      </c>
      <c r="O2998">
        <v>1.0122559999999999E-2</v>
      </c>
      <c r="P2998">
        <v>0.99943119999999996</v>
      </c>
      <c r="Q2998">
        <v>1.3669519999999999E-2</v>
      </c>
      <c r="R2998">
        <v>3.0830150000000001E-2</v>
      </c>
      <c r="S2998">
        <v>3.0042719999999998</v>
      </c>
      <c r="T2998">
        <v>-1.3320800000000001E-2</v>
      </c>
      <c r="U2998">
        <v>-7.5973509999999994E-2</v>
      </c>
      <c r="V2998">
        <v>-2.072382E-2</v>
      </c>
      <c r="W2998">
        <v>2.7564669999999999E-2</v>
      </c>
      <c r="X2998">
        <v>0.99940519999999999</v>
      </c>
      <c r="Y2998">
        <v>3.5398970000000002E-2</v>
      </c>
      <c r="Z2998">
        <v>-1.233466E-4</v>
      </c>
      <c r="AA2998">
        <v>0.99937330000000002</v>
      </c>
      <c r="AB2998">
        <v>29</v>
      </c>
      <c r="AC2998">
        <v>123.9781</v>
      </c>
      <c r="AD2998">
        <v>-0.55113109999999998</v>
      </c>
      <c r="AE2998">
        <v>-3.1463999999999999</v>
      </c>
      <c r="AF2998">
        <v>4.4012490454317703</v>
      </c>
      <c r="AG2998">
        <v>-0.55113109999999998</v>
      </c>
      <c r="AH2998">
        <v>123.93744650599599</v>
      </c>
      <c r="AI2998">
        <v>90.254623496648307</v>
      </c>
      <c r="AJ2998">
        <v>87.966175053011099</v>
      </c>
      <c r="AK2998">
        <v>124.01679477020799</v>
      </c>
    </row>
    <row r="2999" spans="1:37" x14ac:dyDescent="0.2">
      <c r="A2999" t="str">
        <f>"20200111160215723"</f>
        <v>20200111160215723</v>
      </c>
      <c r="B2999" t="str">
        <f>"1578729735715106"</f>
        <v>1578729735715106</v>
      </c>
      <c r="C2999" t="s">
        <v>37</v>
      </c>
      <c r="D2999">
        <v>5.1988449999999897</v>
      </c>
      <c r="E2999">
        <v>0.53499699999999994</v>
      </c>
      <c r="F2999" t="s">
        <v>42</v>
      </c>
      <c r="G2999">
        <v>-230.55860000000001</v>
      </c>
      <c r="H2999">
        <v>1.012408</v>
      </c>
      <c r="I2999">
        <v>214.41810000000001</v>
      </c>
      <c r="J2999">
        <v>-231.0872</v>
      </c>
      <c r="K2999">
        <v>1.104619</v>
      </c>
      <c r="L2999">
        <v>214.46780000000001</v>
      </c>
      <c r="M2999">
        <v>0.99984879999999998</v>
      </c>
      <c r="N2999">
        <v>0</v>
      </c>
      <c r="O2999">
        <v>1.039724E-2</v>
      </c>
      <c r="P2999">
        <v>0.99944519999999903</v>
      </c>
      <c r="Q2999">
        <v>1.2782699999999999E-2</v>
      </c>
      <c r="R2999">
        <v>3.075715E-2</v>
      </c>
      <c r="S2999">
        <v>3.0116269999999998</v>
      </c>
      <c r="T2999">
        <v>-0.33994179999999902</v>
      </c>
      <c r="U2999">
        <v>-0.17095949999999999</v>
      </c>
      <c r="V2999">
        <v>-2.037593E-2</v>
      </c>
      <c r="W2999">
        <v>2.6707640000000001E-2</v>
      </c>
      <c r="X2999">
        <v>0.99943559999999998</v>
      </c>
      <c r="Y2999">
        <v>6.6566449999999999E-2</v>
      </c>
      <c r="Z2999">
        <v>-4.9111579999999997E-3</v>
      </c>
      <c r="AA2999">
        <v>0.99776989999999999</v>
      </c>
      <c r="AB2999">
        <v>29</v>
      </c>
      <c r="AC2999">
        <v>0.52859999999998297</v>
      </c>
      <c r="AD2999">
        <v>-9.2211000000000001E-2</v>
      </c>
      <c r="AE2999">
        <v>-4.9700000000001403E-2</v>
      </c>
      <c r="AF2999">
        <v>5.35777105004593E-2</v>
      </c>
      <c r="AG2999">
        <v>-9.2211000000000001E-2</v>
      </c>
      <c r="AH2999">
        <v>0.51259278512073903</v>
      </c>
      <c r="AI2999">
        <v>100.143839144872</v>
      </c>
      <c r="AJ2999">
        <v>84.032943230443905</v>
      </c>
      <c r="AK2999">
        <v>0.52356929144221898</v>
      </c>
    </row>
    <row r="3000" spans="1:37" x14ac:dyDescent="0.2">
      <c r="A3000" t="str">
        <f>"20200111160215745"</f>
        <v>20200111160215745</v>
      </c>
      <c r="B3000" t="str">
        <f>"1578729735734626"</f>
        <v>1578729735734626</v>
      </c>
      <c r="C3000" t="s">
        <v>37</v>
      </c>
      <c r="D3000">
        <v>6.1764229999999998</v>
      </c>
      <c r="E3000">
        <v>0.53493690000000005</v>
      </c>
      <c r="F3000" t="s">
        <v>42</v>
      </c>
      <c r="G3000">
        <v>-230.3022</v>
      </c>
      <c r="H3000">
        <v>1.0166440000000001</v>
      </c>
      <c r="I3000">
        <v>214.42490000000001</v>
      </c>
      <c r="J3000">
        <v>-230.80889999999999</v>
      </c>
      <c r="K3000">
        <v>1.1046229999999999</v>
      </c>
      <c r="L3000">
        <v>214.4709</v>
      </c>
      <c r="M3000">
        <v>0.99984569999999995</v>
      </c>
      <c r="N3000">
        <v>0</v>
      </c>
      <c r="O3000">
        <v>1.066217E-2</v>
      </c>
      <c r="P3000">
        <v>0.99946469999999898</v>
      </c>
      <c r="Q3000">
        <v>1.1078019999999999E-2</v>
      </c>
      <c r="R3000">
        <v>3.078798E-2</v>
      </c>
      <c r="S3000">
        <v>3.011002</v>
      </c>
      <c r="T3000">
        <v>-0.33759020000000001</v>
      </c>
      <c r="U3000">
        <v>-0.16333010000000001</v>
      </c>
      <c r="V3000">
        <v>-2.01409E-2</v>
      </c>
      <c r="W3000">
        <v>2.50283E-2</v>
      </c>
      <c r="X3000">
        <v>0.99948379999999903</v>
      </c>
      <c r="Y3000">
        <v>6.4340640000000004E-2</v>
      </c>
      <c r="Z3000">
        <v>-4.7840349999999999E-3</v>
      </c>
      <c r="AA3000">
        <v>0.99791649999999998</v>
      </c>
      <c r="AB3000">
        <v>28</v>
      </c>
      <c r="AC3000">
        <v>0.50669999999999504</v>
      </c>
      <c r="AD3000">
        <v>-8.7978999999999793E-2</v>
      </c>
      <c r="AE3000">
        <v>-4.59999999999922E-2</v>
      </c>
      <c r="AF3000">
        <v>4.9908110169220601E-2</v>
      </c>
      <c r="AG3000">
        <v>-8.7978999999999793E-2</v>
      </c>
      <c r="AH3000">
        <v>0.49148460419534801</v>
      </c>
      <c r="AI3000">
        <v>100.097981693666</v>
      </c>
      <c r="AJ3000">
        <v>84.201739499191902</v>
      </c>
      <c r="AK3000">
        <v>0.50178505364620096</v>
      </c>
    </row>
    <row r="3001" spans="1:37" x14ac:dyDescent="0.2">
      <c r="A3001" t="str">
        <f>"20200111160215785"</f>
        <v>20200111160215785</v>
      </c>
      <c r="B3001" t="str">
        <f>"1578729735775149"</f>
        <v>1578729735775149</v>
      </c>
      <c r="C3001" t="s">
        <v>37</v>
      </c>
      <c r="D3001">
        <v>5.1819930000000003</v>
      </c>
      <c r="E3001">
        <v>0.5346398</v>
      </c>
      <c r="F3001" t="s">
        <v>42</v>
      </c>
      <c r="G3001">
        <v>-230.0479</v>
      </c>
      <c r="H3001">
        <v>1.0170939999999999</v>
      </c>
      <c r="I3001">
        <v>214.4298</v>
      </c>
      <c r="J3001">
        <v>-230.31020000000001</v>
      </c>
      <c r="K3001">
        <v>1.10463</v>
      </c>
      <c r="L3001">
        <v>214.4769</v>
      </c>
      <c r="M3001">
        <v>0.99983999999999995</v>
      </c>
      <c r="N3001">
        <v>0</v>
      </c>
      <c r="O3001">
        <v>1.113754E-2</v>
      </c>
      <c r="P3001">
        <v>0.99945759999999995</v>
      </c>
      <c r="Q3001">
        <v>1.0713500000000001E-2</v>
      </c>
      <c r="R3001">
        <v>3.114393E-2</v>
      </c>
      <c r="S3001">
        <v>3.0104679999999999</v>
      </c>
      <c r="T3001">
        <v>-0.3462808</v>
      </c>
      <c r="U3001">
        <v>-0.16276550000000001</v>
      </c>
      <c r="V3001">
        <v>-2.0020969999999999E-2</v>
      </c>
      <c r="W3001">
        <v>2.4697960000000001E-2</v>
      </c>
      <c r="X3001">
        <v>0.99949440000000001</v>
      </c>
      <c r="Y3001">
        <v>6.4608650000000004E-2</v>
      </c>
      <c r="Z3001">
        <v>-4.9771080000000001E-3</v>
      </c>
      <c r="AA3001">
        <v>0.99789830000000002</v>
      </c>
      <c r="AB3001">
        <v>28</v>
      </c>
      <c r="AC3001">
        <v>0.26230000000001003</v>
      </c>
      <c r="AD3001">
        <v>-8.7536000000000003E-2</v>
      </c>
      <c r="AE3001">
        <v>-4.7100000000000301E-2</v>
      </c>
      <c r="AF3001">
        <v>4.5147614942516602E-2</v>
      </c>
      <c r="AG3001">
        <v>-8.7536000000000003E-2</v>
      </c>
      <c r="AH3001">
        <v>0.236267421525862</v>
      </c>
      <c r="AI3001">
        <v>109.997004844514</v>
      </c>
      <c r="AJ3001">
        <v>79.1819385634669</v>
      </c>
      <c r="AK3001">
        <v>0.25597490678868701</v>
      </c>
    </row>
    <row r="3002" spans="1:37" x14ac:dyDescent="0.2">
      <c r="A3002" t="str">
        <f>"20200111160215814"</f>
        <v>20200111160215814</v>
      </c>
      <c r="B3002" t="str">
        <f>"1578729735804430"</f>
        <v>1578729735804430</v>
      </c>
      <c r="C3002" t="s">
        <v>37</v>
      </c>
      <c r="D3002">
        <v>5.2903630000000001</v>
      </c>
      <c r="E3002">
        <v>0.53532819999999903</v>
      </c>
      <c r="F3002" t="s">
        <v>42</v>
      </c>
      <c r="G3002">
        <v>-229.54060000000001</v>
      </c>
      <c r="H3002">
        <v>1.017325</v>
      </c>
      <c r="I3002">
        <v>214.4359</v>
      </c>
      <c r="J3002">
        <v>-229.94749999999999</v>
      </c>
      <c r="K3002">
        <v>1.104641</v>
      </c>
      <c r="L3002">
        <v>214.4813</v>
      </c>
      <c r="M3002">
        <v>0.99983580000000005</v>
      </c>
      <c r="N3002">
        <v>0</v>
      </c>
      <c r="O3002">
        <v>1.148357E-2</v>
      </c>
      <c r="P3002">
        <v>0.99939999999999996</v>
      </c>
      <c r="Q3002">
        <v>1.168289E-2</v>
      </c>
      <c r="R3002">
        <v>3.2609659999999999E-2</v>
      </c>
      <c r="S3002">
        <v>3.0103</v>
      </c>
      <c r="T3002">
        <v>-0.34152379999999999</v>
      </c>
      <c r="U3002">
        <v>-0.16008</v>
      </c>
      <c r="V3002">
        <v>-2.1141859999999998E-2</v>
      </c>
      <c r="W3002">
        <v>2.5685650000000001E-2</v>
      </c>
      <c r="X3002">
        <v>0.99944650000000002</v>
      </c>
      <c r="Y3002">
        <v>6.4083879999999996E-2</v>
      </c>
      <c r="Z3002">
        <v>-4.9190199999999996E-3</v>
      </c>
      <c r="AA3002">
        <v>0.99793240000000005</v>
      </c>
      <c r="AB3002">
        <v>28</v>
      </c>
      <c r="AC3002">
        <v>0.406899999999978</v>
      </c>
      <c r="AD3002">
        <v>-8.7315999999999894E-2</v>
      </c>
      <c r="AE3002">
        <v>-4.5400000000000697E-2</v>
      </c>
      <c r="AF3002">
        <v>4.7891911909868003E-2</v>
      </c>
      <c r="AG3002">
        <v>-8.7315999999999894E-2</v>
      </c>
      <c r="AH3002">
        <v>0.388674101825634</v>
      </c>
      <c r="AI3002">
        <v>102.56933977416401</v>
      </c>
      <c r="AJ3002">
        <v>82.9754972064474</v>
      </c>
      <c r="AK3002">
        <v>0.40122970542115399</v>
      </c>
    </row>
    <row r="3003" spans="1:37" x14ac:dyDescent="0.2">
      <c r="A3003" t="str">
        <f>"20200111160215832"</f>
        <v>20200111160215832</v>
      </c>
      <c r="B3003" t="str">
        <f>"1578729735824925"</f>
        <v>1578729735824925</v>
      </c>
      <c r="C3003" t="s">
        <v>37</v>
      </c>
      <c r="D3003">
        <v>5.2234040000000004</v>
      </c>
      <c r="E3003">
        <v>0.53564409999999996</v>
      </c>
      <c r="F3003" t="s">
        <v>42</v>
      </c>
      <c r="G3003">
        <v>-229.042</v>
      </c>
      <c r="H3003">
        <v>1.0024439999999999</v>
      </c>
      <c r="I3003">
        <v>214.43279999999999</v>
      </c>
      <c r="J3003">
        <v>-229.7071</v>
      </c>
      <c r="K3003">
        <v>1.104651</v>
      </c>
      <c r="L3003">
        <v>214.48429999999999</v>
      </c>
      <c r="M3003">
        <v>0.99983299999999997</v>
      </c>
      <c r="N3003">
        <v>0</v>
      </c>
      <c r="O3003">
        <v>1.1712719999999999E-2</v>
      </c>
      <c r="P3003">
        <v>0.99934419999999902</v>
      </c>
      <c r="Q3003">
        <v>1.2854279999999999E-2</v>
      </c>
      <c r="R3003">
        <v>3.3850650000000003E-2</v>
      </c>
      <c r="S3003">
        <v>3.0110320000000002</v>
      </c>
      <c r="T3003">
        <v>-0.3398254</v>
      </c>
      <c r="U3003">
        <v>-0.1611938</v>
      </c>
      <c r="V3003">
        <v>-2.2154839999999999E-2</v>
      </c>
      <c r="W3003">
        <v>2.686589E-2</v>
      </c>
      <c r="X3003">
        <v>0.99939349999999905</v>
      </c>
      <c r="Y3003">
        <v>6.4667719999999998E-2</v>
      </c>
      <c r="Z3003">
        <v>-4.9520700000000003E-3</v>
      </c>
      <c r="AA3003">
        <v>0.99789459999999996</v>
      </c>
      <c r="AB3003">
        <v>28</v>
      </c>
      <c r="AC3003">
        <v>0.66509999999999503</v>
      </c>
      <c r="AD3003">
        <v>-0.10220699999999899</v>
      </c>
      <c r="AE3003">
        <v>-5.1500000000004299E-2</v>
      </c>
      <c r="AF3003">
        <v>5.7927558738483202E-2</v>
      </c>
      <c r="AG3003">
        <v>-0.10220699999999899</v>
      </c>
      <c r="AH3003">
        <v>0.64921136962382098</v>
      </c>
      <c r="AI3003">
        <v>98.911952883697197</v>
      </c>
      <c r="AJ3003">
        <v>84.901139330226002</v>
      </c>
      <c r="AK3003">
        <v>0.65975546633524595</v>
      </c>
    </row>
    <row r="3004" spans="1:37" x14ac:dyDescent="0.2">
      <c r="A3004" t="str">
        <f>"20200111160215853"</f>
        <v>20200111160215853</v>
      </c>
      <c r="B3004" t="str">
        <f>"1578729735844445"</f>
        <v>1578729735844445</v>
      </c>
      <c r="C3004" t="s">
        <v>37</v>
      </c>
      <c r="D3004">
        <v>5.2620290000000001</v>
      </c>
      <c r="E3004">
        <v>0.53583009999999998</v>
      </c>
      <c r="F3004" t="s">
        <v>42</v>
      </c>
      <c r="G3004">
        <v>-228.78970000000001</v>
      </c>
      <c r="H3004">
        <v>1.0019670000000001</v>
      </c>
      <c r="I3004">
        <v>214.43539999999999</v>
      </c>
      <c r="J3004">
        <v>-229.44499999999999</v>
      </c>
      <c r="K3004">
        <v>1.104663</v>
      </c>
      <c r="L3004">
        <v>214.48769999999999</v>
      </c>
      <c r="M3004">
        <v>0.99983009999999894</v>
      </c>
      <c r="N3004">
        <v>0</v>
      </c>
      <c r="O3004">
        <v>1.196232E-2</v>
      </c>
      <c r="P3004">
        <v>0.99928879999999998</v>
      </c>
      <c r="Q3004">
        <v>1.40267E-2</v>
      </c>
      <c r="R3004">
        <v>3.5005349999999998E-2</v>
      </c>
      <c r="S3004">
        <v>3.0117029999999998</v>
      </c>
      <c r="T3004">
        <v>-0.33725879999999903</v>
      </c>
      <c r="U3004">
        <v>-0.1599121</v>
      </c>
      <c r="V3004">
        <v>-2.306095E-2</v>
      </c>
      <c r="W3004">
        <v>2.804705E-2</v>
      </c>
      <c r="X3004">
        <v>0.99934049999999996</v>
      </c>
      <c r="Y3004">
        <v>6.4488489999999996E-2</v>
      </c>
      <c r="Z3004">
        <v>-4.931721E-3</v>
      </c>
      <c r="AA3004">
        <v>0.99790630000000002</v>
      </c>
      <c r="AB3004">
        <v>28</v>
      </c>
      <c r="AC3004">
        <v>0.65529999999998201</v>
      </c>
      <c r="AD3004">
        <v>-0.102695999999999</v>
      </c>
      <c r="AE3004">
        <v>-5.23000000000024E-2</v>
      </c>
      <c r="AF3004">
        <v>5.8703313927133002E-2</v>
      </c>
      <c r="AG3004">
        <v>-0.102695999999999</v>
      </c>
      <c r="AH3004">
        <v>0.63903217936552503</v>
      </c>
      <c r="AI3004">
        <v>99.0920480909503</v>
      </c>
      <c r="AJ3004">
        <v>84.751377613682095</v>
      </c>
      <c r="AK3004">
        <v>0.64988820095973399</v>
      </c>
    </row>
    <row r="3005" spans="1:37" x14ac:dyDescent="0.2">
      <c r="A3005" t="str">
        <f>"20200111160215874"</f>
        <v>20200111160215874</v>
      </c>
      <c r="B3005" t="str">
        <f>"1578729735865449"</f>
        <v>1578729735865449</v>
      </c>
      <c r="C3005" t="s">
        <v>37</v>
      </c>
      <c r="D3005">
        <v>6.0233879999999997</v>
      </c>
      <c r="E3005">
        <v>0.53601100000000002</v>
      </c>
      <c r="F3005" t="s">
        <v>42</v>
      </c>
      <c r="G3005">
        <v>-228.53649999999999</v>
      </c>
      <c r="H3005">
        <v>1.0040149999999901</v>
      </c>
      <c r="I3005">
        <v>214.44</v>
      </c>
      <c r="J3005">
        <v>-229.17920000000001</v>
      </c>
      <c r="K3005">
        <v>1.104671</v>
      </c>
      <c r="L3005">
        <v>214.49109999999999</v>
      </c>
      <c r="M3005">
        <v>0.99982669999999996</v>
      </c>
      <c r="N3005">
        <v>0</v>
      </c>
      <c r="O3005">
        <v>1.221598E-2</v>
      </c>
      <c r="P3005">
        <v>0.99925549999999996</v>
      </c>
      <c r="Q3005">
        <v>1.4876759999999999E-2</v>
      </c>
      <c r="R3005">
        <v>3.5595870000000002E-2</v>
      </c>
      <c r="S3005">
        <v>3.0123599999999899</v>
      </c>
      <c r="T3005">
        <v>-0.33381129999999998</v>
      </c>
      <c r="U3005">
        <v>-0.15756229999999999</v>
      </c>
      <c r="V3005">
        <v>-2.3398229999999999E-2</v>
      </c>
      <c r="W3005">
        <v>2.8904530000000001E-2</v>
      </c>
      <c r="X3005">
        <v>0.99930830000000004</v>
      </c>
      <c r="Y3005">
        <v>6.3965339999999996E-2</v>
      </c>
      <c r="Z3005">
        <v>-4.8797909999999996E-3</v>
      </c>
      <c r="AA3005">
        <v>0.99794020000000005</v>
      </c>
      <c r="AB3005">
        <v>28</v>
      </c>
      <c r="AC3005">
        <v>0.64270000000001903</v>
      </c>
      <c r="AD3005">
        <v>-0.100656</v>
      </c>
      <c r="AE3005">
        <v>-5.1099999999991E-2</v>
      </c>
      <c r="AF3005">
        <v>5.75455587234905E-2</v>
      </c>
      <c r="AG3005">
        <v>-0.100656</v>
      </c>
      <c r="AH3005">
        <v>0.62675132861222005</v>
      </c>
      <c r="AI3005">
        <v>99.086192766565205</v>
      </c>
      <c r="AJ3005">
        <v>84.754061046499302</v>
      </c>
      <c r="AK3005">
        <v>0.63738555802746399</v>
      </c>
    </row>
    <row r="3006" spans="1:37" x14ac:dyDescent="0.2">
      <c r="A3006" t="str">
        <f>"20200111160215897"</f>
        <v>20200111160215897</v>
      </c>
      <c r="B3006" t="str">
        <f>"1578729735894730"</f>
        <v>1578729735894730</v>
      </c>
      <c r="C3006" t="s">
        <v>37</v>
      </c>
      <c r="D3006">
        <v>5.2892229999999998</v>
      </c>
      <c r="E3006">
        <v>0.52828059999999999</v>
      </c>
      <c r="F3006" t="s">
        <v>42</v>
      </c>
      <c r="G3006">
        <v>-228.2835</v>
      </c>
      <c r="H3006">
        <v>1.0063610000000001</v>
      </c>
      <c r="I3006">
        <v>214.4443</v>
      </c>
      <c r="J3006">
        <v>-228.88939999999999</v>
      </c>
      <c r="K3006">
        <v>1.104668</v>
      </c>
      <c r="L3006">
        <v>214.495</v>
      </c>
      <c r="M3006">
        <v>0.99982320000000002</v>
      </c>
      <c r="N3006">
        <v>0</v>
      </c>
      <c r="O3006">
        <v>1.2492649999999999E-2</v>
      </c>
      <c r="P3006">
        <v>0.99928980000000001</v>
      </c>
      <c r="Q3006">
        <v>1.4745980000000001E-2</v>
      </c>
      <c r="R3006">
        <v>3.4677640000000003E-2</v>
      </c>
      <c r="S3006">
        <v>3.012756</v>
      </c>
      <c r="T3006">
        <v>-0.33079530000000001</v>
      </c>
      <c r="U3006">
        <v>-0.1570587</v>
      </c>
      <c r="V3006">
        <v>-2.2203690000000002E-2</v>
      </c>
      <c r="W3006">
        <v>2.8781560000000001E-2</v>
      </c>
      <c r="X3006">
        <v>0.99933909999999904</v>
      </c>
      <c r="Y3006">
        <v>6.407446E-2</v>
      </c>
      <c r="Z3006">
        <v>-4.8715959999999997E-3</v>
      </c>
      <c r="AA3006">
        <v>0.99793319999999996</v>
      </c>
      <c r="AB3006">
        <v>28</v>
      </c>
      <c r="AC3006">
        <v>0.605899999999991</v>
      </c>
      <c r="AD3006">
        <v>-9.8306999999999894E-2</v>
      </c>
      <c r="AE3006">
        <v>-5.0700000000006101E-2</v>
      </c>
      <c r="AF3006">
        <v>5.6781706824440899E-2</v>
      </c>
      <c r="AG3006">
        <v>-9.8306999999999894E-2</v>
      </c>
      <c r="AH3006">
        <v>0.58980077161204902</v>
      </c>
      <c r="AI3006">
        <v>99.420203099043505</v>
      </c>
      <c r="AJ3006">
        <v>84.500928649302693</v>
      </c>
      <c r="AK3006">
        <v>0.600627487443811</v>
      </c>
    </row>
    <row r="3007" spans="1:37" x14ac:dyDescent="0.2">
      <c r="A3007" t="str">
        <f>"20200111160215923"</f>
        <v>20200111160215923</v>
      </c>
      <c r="B3007" t="str">
        <f>"1578729735915225"</f>
        <v>1578729735915225</v>
      </c>
      <c r="C3007" t="s">
        <v>37</v>
      </c>
      <c r="D3007">
        <v>5.1775250000000002</v>
      </c>
      <c r="E3007">
        <v>0.53850640000000005</v>
      </c>
      <c r="F3007" t="s">
        <v>54</v>
      </c>
      <c r="G3007">
        <v>-179.9443</v>
      </c>
      <c r="H3007">
        <v>6.3432299999999997E-2</v>
      </c>
      <c r="I3007">
        <v>212.6241</v>
      </c>
      <c r="J3007">
        <v>-228.57050000000001</v>
      </c>
      <c r="K3007">
        <v>1.1046590000000001</v>
      </c>
      <c r="L3007">
        <v>214.49930000000001</v>
      </c>
      <c r="M3007">
        <v>0.99981929999999997</v>
      </c>
      <c r="N3007">
        <v>0</v>
      </c>
      <c r="O3007">
        <v>1.279716E-2</v>
      </c>
      <c r="P3007">
        <v>0.99937189999999998</v>
      </c>
      <c r="Q3007">
        <v>1.274873E-2</v>
      </c>
      <c r="R3007">
        <v>3.3068779999999999E-2</v>
      </c>
      <c r="S3007">
        <v>3.00705</v>
      </c>
      <c r="T3007">
        <v>-6.3970570000000004E-2</v>
      </c>
      <c r="U3007">
        <v>-0.11494449999999901</v>
      </c>
      <c r="V3007">
        <v>-2.0288199999999999E-2</v>
      </c>
      <c r="W3007">
        <v>2.6792960000000001E-2</v>
      </c>
      <c r="X3007">
        <v>0.99943510000000002</v>
      </c>
      <c r="Y3007">
        <v>5.0968659999999999E-2</v>
      </c>
      <c r="Z3007">
        <v>-8.1403129999999999E-4</v>
      </c>
      <c r="AA3007">
        <v>0.99869989999999997</v>
      </c>
      <c r="AB3007">
        <v>28</v>
      </c>
      <c r="AC3007">
        <v>48.626199999999997</v>
      </c>
      <c r="AD3007">
        <v>-1.0412266999999999</v>
      </c>
      <c r="AE3007">
        <v>-1.8752</v>
      </c>
      <c r="AF3007">
        <v>2.4962423114434098</v>
      </c>
      <c r="AG3007">
        <v>-1.0412266999999999</v>
      </c>
      <c r="AH3007">
        <v>48.575978197941502</v>
      </c>
      <c r="AI3007">
        <v>91.226330044756907</v>
      </c>
      <c r="AJ3007">
        <v>87.058248632491996</v>
      </c>
      <c r="AK3007">
        <v>48.6512182437924</v>
      </c>
    </row>
    <row r="3008" spans="1:37" x14ac:dyDescent="0.2">
      <c r="A3008" t="str">
        <f>"20200111160215944"</f>
        <v>20200111160215944</v>
      </c>
      <c r="B3008" t="str">
        <f>"1578729735934745"</f>
        <v>1578729735934745</v>
      </c>
      <c r="C3008" t="s">
        <v>37</v>
      </c>
      <c r="D3008">
        <v>5.1613350000000002</v>
      </c>
      <c r="E3008">
        <v>0.54074829999999996</v>
      </c>
      <c r="F3008" t="s">
        <v>42</v>
      </c>
      <c r="G3008">
        <v>-227.77809999999999</v>
      </c>
      <c r="H3008">
        <v>1.0114030000000001</v>
      </c>
      <c r="I3008">
        <v>214.45089999999999</v>
      </c>
      <c r="J3008">
        <v>-228.30070000000001</v>
      </c>
      <c r="K3008">
        <v>1.104652</v>
      </c>
      <c r="L3008">
        <v>214.50309999999999</v>
      </c>
      <c r="M3008">
        <v>0.99981589999999998</v>
      </c>
      <c r="N3008">
        <v>0</v>
      </c>
      <c r="O3008">
        <v>1.3054670000000001E-2</v>
      </c>
      <c r="P3008">
        <v>0.99944379999999999</v>
      </c>
      <c r="Q3008">
        <v>1.081318E-2</v>
      </c>
      <c r="R3008">
        <v>3.1545820000000002E-2</v>
      </c>
      <c r="S3008">
        <v>3.0124970000000002</v>
      </c>
      <c r="T3008">
        <v>-0.35457899999999998</v>
      </c>
      <c r="U3008">
        <v>-0.18339539999999999</v>
      </c>
      <c r="V3008">
        <v>-1.8505770000000001E-2</v>
      </c>
      <c r="W3008">
        <v>2.4863369999999999E-2</v>
      </c>
      <c r="X3008">
        <v>0.99951959999999995</v>
      </c>
      <c r="Y3008">
        <v>7.3198979999999997E-2</v>
      </c>
      <c r="Z3008">
        <v>-5.81926199999999E-3</v>
      </c>
      <c r="AA3008">
        <v>0.99730039999999998</v>
      </c>
      <c r="AB3008">
        <v>28</v>
      </c>
      <c r="AC3008">
        <v>0.52260000000001094</v>
      </c>
      <c r="AD3008">
        <v>-9.3248999999999901E-2</v>
      </c>
      <c r="AE3008">
        <v>-5.2199999999999101E-2</v>
      </c>
      <c r="AF3008">
        <v>5.72149650476554E-2</v>
      </c>
      <c r="AG3008">
        <v>-9.3248999999999901E-2</v>
      </c>
      <c r="AH3008">
        <v>0.50592526813527505</v>
      </c>
      <c r="AI3008">
        <v>100.37849235589501</v>
      </c>
      <c r="AJ3008">
        <v>83.547847255271705</v>
      </c>
      <c r="AK3008">
        <v>0.51761888022381297</v>
      </c>
    </row>
    <row r="3009" spans="1:37" x14ac:dyDescent="0.2">
      <c r="A3009" t="str">
        <f>"20200111160215962"</f>
        <v>20200111160215962</v>
      </c>
      <c r="B3009" t="str">
        <f>"1578729735954773"</f>
        <v>1578729735954773</v>
      </c>
      <c r="C3009" t="s">
        <v>37</v>
      </c>
      <c r="D3009">
        <v>5.1984180000000002</v>
      </c>
      <c r="E3009">
        <v>0.54053009999999901</v>
      </c>
      <c r="F3009" t="s">
        <v>42</v>
      </c>
      <c r="G3009">
        <v>-227.5266</v>
      </c>
      <c r="H3009">
        <v>1.012329</v>
      </c>
      <c r="I3009">
        <v>214.45009999999999</v>
      </c>
      <c r="J3009">
        <v>-228.06599999999901</v>
      </c>
      <c r="K3009">
        <v>1.1046579999999999</v>
      </c>
      <c r="L3009">
        <v>214.50640000000001</v>
      </c>
      <c r="M3009">
        <v>0.99981299999999995</v>
      </c>
      <c r="N3009">
        <v>0</v>
      </c>
      <c r="O3009">
        <v>1.3278740000000001E-2</v>
      </c>
      <c r="P3009">
        <v>0.9994788</v>
      </c>
      <c r="Q3009">
        <v>1.070421E-2</v>
      </c>
      <c r="R3009">
        <v>3.0458849999999999E-2</v>
      </c>
      <c r="S3009">
        <v>3.012054</v>
      </c>
      <c r="T3009">
        <v>-0.35925580000000001</v>
      </c>
      <c r="U3009">
        <v>-0.20602419999999999</v>
      </c>
      <c r="V3009">
        <v>-1.7194649999999999E-2</v>
      </c>
      <c r="W3009">
        <v>2.4758499999999999E-2</v>
      </c>
      <c r="X3009">
        <v>0.99954560000000003</v>
      </c>
      <c r="Y3009">
        <v>8.0819500000000002E-2</v>
      </c>
      <c r="Z3009">
        <v>-6.373887E-3</v>
      </c>
      <c r="AA3009">
        <v>0.99670840000000005</v>
      </c>
      <c r="AB3009">
        <v>28</v>
      </c>
      <c r="AC3009">
        <v>0.53939999999997201</v>
      </c>
      <c r="AD3009">
        <v>-9.23289999999998E-2</v>
      </c>
      <c r="AE3009">
        <v>-5.63000000000215E-2</v>
      </c>
      <c r="AF3009">
        <v>6.1670866797250902E-2</v>
      </c>
      <c r="AG3009">
        <v>-9.23289999999998E-2</v>
      </c>
      <c r="AH3009">
        <v>0.52343389549909602</v>
      </c>
      <c r="AI3009">
        <v>99.9362109022818</v>
      </c>
      <c r="AJ3009">
        <v>83.280402253592698</v>
      </c>
      <c r="AK3009">
        <v>0.53508035191911396</v>
      </c>
    </row>
    <row r="3010" spans="1:37" x14ac:dyDescent="0.2">
      <c r="A3010" t="str">
        <f>"20200111160215986"</f>
        <v>20200111160215986</v>
      </c>
      <c r="B3010" t="str">
        <f>"1578729735975269"</f>
        <v>1578729735975269</v>
      </c>
      <c r="C3010" t="s">
        <v>37</v>
      </c>
      <c r="D3010">
        <v>5.1705559999999897</v>
      </c>
      <c r="E3010">
        <v>0.540655</v>
      </c>
      <c r="F3010" t="s">
        <v>42</v>
      </c>
      <c r="G3010">
        <v>-227.2765</v>
      </c>
      <c r="H3010">
        <v>1.0109889999999999</v>
      </c>
      <c r="I3010">
        <v>214.45160000000001</v>
      </c>
      <c r="J3010">
        <v>-227.77590000000001</v>
      </c>
      <c r="K3010">
        <v>1.104673</v>
      </c>
      <c r="L3010">
        <v>214.51050000000001</v>
      </c>
      <c r="M3010">
        <v>0.99980919999999895</v>
      </c>
      <c r="N3010">
        <v>0</v>
      </c>
      <c r="O3010">
        <v>1.3555620000000001E-2</v>
      </c>
      <c r="P3010">
        <v>0.99945620000000002</v>
      </c>
      <c r="Q3010">
        <v>1.150495E-2</v>
      </c>
      <c r="R3010">
        <v>3.0910170000000001E-2</v>
      </c>
      <c r="S3010">
        <v>3.011749</v>
      </c>
      <c r="T3010">
        <v>-0.35750270000000001</v>
      </c>
      <c r="U3010">
        <v>-0.20809939999999999</v>
      </c>
      <c r="V3010">
        <v>-1.7369699999999998E-2</v>
      </c>
      <c r="W3010">
        <v>2.5561710000000001E-2</v>
      </c>
      <c r="X3010">
        <v>0.99952229999999997</v>
      </c>
      <c r="Y3010">
        <v>8.1783560000000005E-2</v>
      </c>
      <c r="Z3010">
        <v>-6.4331630000000004E-3</v>
      </c>
      <c r="AA3010">
        <v>0.9966294</v>
      </c>
      <c r="AB3010">
        <v>28</v>
      </c>
      <c r="AC3010">
        <v>0.499400000000008</v>
      </c>
      <c r="AD3010">
        <v>-9.3684000000000101E-2</v>
      </c>
      <c r="AE3010">
        <v>-5.8899999999994103E-2</v>
      </c>
      <c r="AF3010">
        <v>6.3462261412734103E-2</v>
      </c>
      <c r="AG3010">
        <v>-9.3684000000000101E-2</v>
      </c>
      <c r="AH3010">
        <v>0.481831994685891</v>
      </c>
      <c r="AI3010">
        <v>100.91096199757</v>
      </c>
      <c r="AJ3010">
        <v>82.496741710301905</v>
      </c>
      <c r="AK3010">
        <v>0.49494062430013003</v>
      </c>
    </row>
    <row r="3011" spans="1:37" x14ac:dyDescent="0.2">
      <c r="A3011" t="str">
        <f>"20200111160216012"</f>
        <v>20200111160216012</v>
      </c>
      <c r="B3011" t="str">
        <f>"1578729736005526"</f>
        <v>1578729736005526</v>
      </c>
      <c r="C3011" t="s">
        <v>37</v>
      </c>
      <c r="D3011">
        <v>5.1296650000000001</v>
      </c>
      <c r="E3011">
        <v>0.54067719999999997</v>
      </c>
      <c r="F3011" t="s">
        <v>42</v>
      </c>
      <c r="G3011">
        <v>-227.02340000000001</v>
      </c>
      <c r="H3011">
        <v>1.016535</v>
      </c>
      <c r="I3011">
        <v>214.45849999999999</v>
      </c>
      <c r="J3011">
        <v>-227.4615</v>
      </c>
      <c r="K3011">
        <v>1.104687</v>
      </c>
      <c r="L3011">
        <v>214.51519999999999</v>
      </c>
      <c r="M3011">
        <v>0.99980499999999894</v>
      </c>
      <c r="N3011">
        <v>0</v>
      </c>
      <c r="O3011">
        <v>1.385629E-2</v>
      </c>
      <c r="P3011">
        <v>0.99943009999999999</v>
      </c>
      <c r="Q3011">
        <v>1.252261E-2</v>
      </c>
      <c r="R3011">
        <v>3.135015E-2</v>
      </c>
      <c r="S3011">
        <v>3.0121150000000001</v>
      </c>
      <c r="T3011">
        <v>-0.3528577</v>
      </c>
      <c r="U3011">
        <v>-0.2082214</v>
      </c>
      <c r="V3011">
        <v>-1.7509830000000001E-2</v>
      </c>
      <c r="W3011">
        <v>2.6581319999999999E-2</v>
      </c>
      <c r="X3011">
        <v>0.99949330000000003</v>
      </c>
      <c r="Y3011">
        <v>8.2128030000000005E-2</v>
      </c>
      <c r="Z3011">
        <v>-6.4045279999999996E-3</v>
      </c>
      <c r="AA3011">
        <v>0.99660119999999897</v>
      </c>
      <c r="AB3011">
        <v>28</v>
      </c>
      <c r="AC3011">
        <v>0.438099999999991</v>
      </c>
      <c r="AD3011">
        <v>-8.8151999999999994E-2</v>
      </c>
      <c r="AE3011">
        <v>-5.6700000000006398E-2</v>
      </c>
      <c r="AF3011">
        <v>6.0361970658388601E-2</v>
      </c>
      <c r="AG3011">
        <v>-8.8151999999999994E-2</v>
      </c>
      <c r="AH3011">
        <v>0.42052673921056299</v>
      </c>
      <c r="AI3011">
        <v>101.722309461351</v>
      </c>
      <c r="AJ3011">
        <v>81.831617384471102</v>
      </c>
      <c r="AK3011">
        <v>0.433886023048488</v>
      </c>
    </row>
    <row r="3012" spans="1:37" x14ac:dyDescent="0.2">
      <c r="A3012" t="str">
        <f>"20200111160216035"</f>
        <v>20200111160216035</v>
      </c>
      <c r="B3012" t="str">
        <f>"1578729736025045"</f>
        <v>1578729736025045</v>
      </c>
      <c r="C3012" t="s">
        <v>37</v>
      </c>
      <c r="D3012">
        <v>5.1126480000000001</v>
      </c>
      <c r="E3012">
        <v>0.54076579999999996</v>
      </c>
      <c r="F3012" t="s">
        <v>42</v>
      </c>
      <c r="G3012">
        <v>-226.53290000000001</v>
      </c>
      <c r="H3012">
        <v>0.99723609999999896</v>
      </c>
      <c r="I3012">
        <v>214.45140000000001</v>
      </c>
      <c r="J3012">
        <v>-227.1611</v>
      </c>
      <c r="K3012">
        <v>1.1047069999999899</v>
      </c>
      <c r="L3012">
        <v>214.5197</v>
      </c>
      <c r="M3012">
        <v>0.99980100000000005</v>
      </c>
      <c r="N3012">
        <v>0</v>
      </c>
      <c r="O3012">
        <v>1.414319E-2</v>
      </c>
      <c r="P3012">
        <v>0.99942690000000001</v>
      </c>
      <c r="Q3012">
        <v>1.1817680000000001E-2</v>
      </c>
      <c r="R3012">
        <v>3.1725759999999999E-2</v>
      </c>
      <c r="S3012">
        <v>3.012527</v>
      </c>
      <c r="T3012">
        <v>-0.34864450000000002</v>
      </c>
      <c r="U3012">
        <v>-0.20651249999999999</v>
      </c>
      <c r="V3012">
        <v>-1.7597850000000002E-2</v>
      </c>
      <c r="W3012">
        <v>2.5877270000000001E-2</v>
      </c>
      <c r="X3012">
        <v>0.99951019999999902</v>
      </c>
      <c r="Y3012">
        <v>8.1857410000000005E-2</v>
      </c>
      <c r="Z3012">
        <v>-6.3453019999999997E-3</v>
      </c>
      <c r="AA3012">
        <v>0.99662390000000001</v>
      </c>
      <c r="AB3012">
        <v>28</v>
      </c>
      <c r="AC3012">
        <v>0.62819999999999199</v>
      </c>
      <c r="AD3012">
        <v>-0.10747089999999999</v>
      </c>
      <c r="AE3012">
        <v>-6.8299999999993505E-2</v>
      </c>
      <c r="AF3012">
        <v>7.5009115273798305E-2</v>
      </c>
      <c r="AG3012">
        <v>-0.10747089999999999</v>
      </c>
      <c r="AH3012">
        <v>0.60953977803727899</v>
      </c>
      <c r="AI3012">
        <v>99.925956140596995</v>
      </c>
      <c r="AJ3012">
        <v>82.984532098843005</v>
      </c>
      <c r="AK3012">
        <v>0.62347020997855496</v>
      </c>
    </row>
    <row r="3013" spans="1:37" x14ac:dyDescent="0.2">
      <c r="A3013" t="str">
        <f>"20200111160216057"</f>
        <v>20200111160216057</v>
      </c>
      <c r="B3013" t="str">
        <f>"1578729736054835"</f>
        <v>1578729736054835</v>
      </c>
      <c r="C3013" t="s">
        <v>37</v>
      </c>
      <c r="D3013">
        <v>5.1100940000000001</v>
      </c>
      <c r="E3013">
        <v>0.54084909999999997</v>
      </c>
      <c r="F3013" t="s">
        <v>42</v>
      </c>
      <c r="G3013">
        <v>-226.28099999999901</v>
      </c>
      <c r="H3013">
        <v>1.00223</v>
      </c>
      <c r="I3013">
        <v>214.45939999999999</v>
      </c>
      <c r="J3013">
        <v>-226.8837</v>
      </c>
      <c r="K3013">
        <v>1.1047290000000001</v>
      </c>
      <c r="L3013">
        <v>214.5239</v>
      </c>
      <c r="M3013">
        <v>0.99979719999999905</v>
      </c>
      <c r="N3013">
        <v>0</v>
      </c>
      <c r="O3013">
        <v>1.440847E-2</v>
      </c>
      <c r="P3013">
        <v>0.99941719999999901</v>
      </c>
      <c r="Q3013">
        <v>1.1407779999999999E-2</v>
      </c>
      <c r="R3013">
        <v>3.2175679999999998E-2</v>
      </c>
      <c r="S3013">
        <v>3.01240499999999</v>
      </c>
      <c r="T3013">
        <v>-0.35090830000000001</v>
      </c>
      <c r="U3013">
        <v>-0.20573429999999901</v>
      </c>
      <c r="V3013">
        <v>-1.778296E-2</v>
      </c>
      <c r="W3013">
        <v>2.5468279999999999E-2</v>
      </c>
      <c r="X3013">
        <v>0.9995174</v>
      </c>
      <c r="Y3013">
        <v>8.1858200000000006E-2</v>
      </c>
      <c r="Z3013">
        <v>-6.4173549999999996E-3</v>
      </c>
      <c r="AA3013">
        <v>0.99662329999999999</v>
      </c>
      <c r="AB3013">
        <v>28</v>
      </c>
      <c r="AC3013">
        <v>0.60270000000002699</v>
      </c>
      <c r="AD3013">
        <v>-0.10249900000000001</v>
      </c>
      <c r="AE3013">
        <v>-6.4500000000009494E-2</v>
      </c>
      <c r="AF3013">
        <v>7.1143785942610102E-2</v>
      </c>
      <c r="AG3013">
        <v>-0.10249900000000001</v>
      </c>
      <c r="AH3013">
        <v>0.58498042724170196</v>
      </c>
      <c r="AI3013">
        <v>99.867096037199005</v>
      </c>
      <c r="AJ3013">
        <v>83.0658906770595</v>
      </c>
      <c r="AK3013">
        <v>0.59813843174898296</v>
      </c>
    </row>
    <row r="3014" spans="1:37" x14ac:dyDescent="0.2">
      <c r="A3014" t="str">
        <f>"20200111160216080"</f>
        <v>20200111160216080</v>
      </c>
      <c r="B3014" t="str">
        <f>"1578729736075329"</f>
        <v>1578729736075329</v>
      </c>
      <c r="C3014" t="s">
        <v>37</v>
      </c>
      <c r="D3014">
        <v>5.0995439999999999</v>
      </c>
      <c r="E3014">
        <v>0.5408866</v>
      </c>
      <c r="F3014" t="s">
        <v>42</v>
      </c>
      <c r="G3014">
        <v>-226.03039999999999</v>
      </c>
      <c r="H3014">
        <v>1.005155</v>
      </c>
      <c r="I3014">
        <v>214.46559999999999</v>
      </c>
      <c r="J3014">
        <v>-226.6037</v>
      </c>
      <c r="K3014">
        <v>1.1047450000000001</v>
      </c>
      <c r="L3014">
        <v>214.5282</v>
      </c>
      <c r="M3014">
        <v>0.99979340000000005</v>
      </c>
      <c r="N3014">
        <v>0</v>
      </c>
      <c r="O3014">
        <v>1.467619E-2</v>
      </c>
      <c r="P3014">
        <v>0.99939349999999905</v>
      </c>
      <c r="Q3014">
        <v>1.24277E-2</v>
      </c>
      <c r="R3014">
        <v>3.2539039999999998E-2</v>
      </c>
      <c r="S3014">
        <v>3.012375</v>
      </c>
      <c r="T3014">
        <v>-0.35157179999999999</v>
      </c>
      <c r="U3014">
        <v>-0.20516970000000001</v>
      </c>
      <c r="V3014">
        <v>-1.7879240000000001E-2</v>
      </c>
      <c r="W3014">
        <v>2.648789E-2</v>
      </c>
      <c r="X3014">
        <v>0.99948919999999997</v>
      </c>
      <c r="Y3014">
        <v>8.1935030000000006E-2</v>
      </c>
      <c r="Z3014">
        <v>-6.4650879999999999E-3</v>
      </c>
      <c r="AA3014">
        <v>0.99661669999999902</v>
      </c>
      <c r="AB3014">
        <v>28</v>
      </c>
      <c r="AC3014">
        <v>0.57330000000001702</v>
      </c>
      <c r="AD3014">
        <v>-9.9589999999999998E-2</v>
      </c>
      <c r="AE3014">
        <v>-6.2600000000003306E-2</v>
      </c>
      <c r="AF3014">
        <v>6.8951748184093303E-2</v>
      </c>
      <c r="AG3014">
        <v>-9.9589999999999998E-2</v>
      </c>
      <c r="AH3014">
        <v>0.55574658291667101</v>
      </c>
      <c r="AI3014">
        <v>100.083878573527</v>
      </c>
      <c r="AJ3014">
        <v>82.927427569147795</v>
      </c>
      <c r="AK3014">
        <v>0.56879414211224</v>
      </c>
    </row>
    <row r="3015" spans="1:37" x14ac:dyDescent="0.2">
      <c r="A3015" t="str">
        <f>"20200111160216105"</f>
        <v>20200111160216105</v>
      </c>
      <c r="B3015" t="str">
        <f>"1578729736094849"</f>
        <v>1578729736094849</v>
      </c>
      <c r="C3015" t="s">
        <v>37</v>
      </c>
      <c r="D3015">
        <v>5.1823129999999997</v>
      </c>
      <c r="E3015">
        <v>0.54084069999999995</v>
      </c>
      <c r="F3015" t="s">
        <v>42</v>
      </c>
      <c r="G3015">
        <v>-225.77950000000001</v>
      </c>
      <c r="H3015">
        <v>1.0094209999999999</v>
      </c>
      <c r="I3015">
        <v>214.47210000000001</v>
      </c>
      <c r="J3015">
        <v>-226.29169999999999</v>
      </c>
      <c r="K3015">
        <v>1.1047480000000001</v>
      </c>
      <c r="L3015">
        <v>214.53319999999999</v>
      </c>
      <c r="M3015">
        <v>0.99978880000000003</v>
      </c>
      <c r="N3015">
        <v>0</v>
      </c>
      <c r="O3015">
        <v>1.497449E-2</v>
      </c>
      <c r="P3015">
        <v>0.99937960000000003</v>
      </c>
      <c r="Q3015">
        <v>1.297009E-2</v>
      </c>
      <c r="R3015">
        <v>3.2740970000000001E-2</v>
      </c>
      <c r="S3015">
        <v>3.0128169999999899</v>
      </c>
      <c r="T3015">
        <v>-0.34848279999999998</v>
      </c>
      <c r="U3015">
        <v>-0.20483399999999999</v>
      </c>
      <c r="V3015">
        <v>-1.7783179999999999E-2</v>
      </c>
      <c r="W3015">
        <v>2.7029859999999999E-2</v>
      </c>
      <c r="X3015">
        <v>0.99947640000000004</v>
      </c>
      <c r="Y3015">
        <v>8.212026E-2</v>
      </c>
      <c r="Z3015">
        <v>-6.452775E-3</v>
      </c>
      <c r="AA3015">
        <v>0.99660149999999903</v>
      </c>
      <c r="AB3015">
        <v>28</v>
      </c>
      <c r="AC3015">
        <v>0.51219999999997801</v>
      </c>
      <c r="AD3015">
        <v>-9.5327000000000106E-2</v>
      </c>
      <c r="AE3015">
        <v>-6.1099999999981898E-2</v>
      </c>
      <c r="AF3015">
        <v>6.6492972845370202E-2</v>
      </c>
      <c r="AG3015">
        <v>-9.5327000000000106E-2</v>
      </c>
      <c r="AH3015">
        <v>0.49434466269624899</v>
      </c>
      <c r="AI3015">
        <v>100.819558455521</v>
      </c>
      <c r="AJ3015">
        <v>82.339277596804095</v>
      </c>
      <c r="AK3015">
        <v>0.50782398319012401</v>
      </c>
    </row>
    <row r="3016" spans="1:37" x14ac:dyDescent="0.2">
      <c r="A3016" t="str">
        <f>"20200111160216129"</f>
        <v>20200111160216129</v>
      </c>
      <c r="B3016" t="str">
        <f>"1578729736125104"</f>
        <v>1578729736125104</v>
      </c>
      <c r="C3016" t="s">
        <v>37</v>
      </c>
      <c r="D3016">
        <v>5.0745550000000001</v>
      </c>
      <c r="E3016">
        <v>0.54089809999999905</v>
      </c>
      <c r="F3016" t="s">
        <v>42</v>
      </c>
      <c r="G3016">
        <v>-225.52709999999999</v>
      </c>
      <c r="H3016">
        <v>1.017218</v>
      </c>
      <c r="I3016">
        <v>214.4813</v>
      </c>
      <c r="J3016">
        <v>-226.00299999999999</v>
      </c>
      <c r="K3016">
        <v>1.1047469999999999</v>
      </c>
      <c r="L3016">
        <v>214.5378</v>
      </c>
      <c r="M3016">
        <v>0.99978469999999997</v>
      </c>
      <c r="N3016">
        <v>0</v>
      </c>
      <c r="O3016">
        <v>1.525056E-2</v>
      </c>
      <c r="P3016">
        <v>0.99938549999999904</v>
      </c>
      <c r="Q3016">
        <v>1.2476549999999999E-2</v>
      </c>
      <c r="R3016">
        <v>3.2751229999999999E-2</v>
      </c>
      <c r="S3016">
        <v>3.0130159999999999</v>
      </c>
      <c r="T3016">
        <v>-0.3449604</v>
      </c>
      <c r="U3016">
        <v>-0.20396420000000001</v>
      </c>
      <c r="V3016">
        <v>-1.7516520000000001E-2</v>
      </c>
      <c r="W3016">
        <v>2.6536509999999999E-2</v>
      </c>
      <c r="X3016">
        <v>0.99949440000000001</v>
      </c>
      <c r="Y3016">
        <v>8.2115850000000004E-2</v>
      </c>
      <c r="Z3016">
        <v>-6.4188450000000003E-3</v>
      </c>
      <c r="AA3016">
        <v>0.99660210000000005</v>
      </c>
      <c r="AB3016">
        <v>28</v>
      </c>
      <c r="AC3016">
        <v>0.47589999999999499</v>
      </c>
      <c r="AD3016">
        <v>-8.7528999999999899E-2</v>
      </c>
      <c r="AE3016">
        <v>-5.6499999999999703E-2</v>
      </c>
      <c r="AF3016">
        <v>6.1693930866680999E-2</v>
      </c>
      <c r="AG3016">
        <v>-8.7528999999999899E-2</v>
      </c>
      <c r="AH3016">
        <v>0.459650109543214</v>
      </c>
      <c r="AI3016">
        <v>100.68787928232901</v>
      </c>
      <c r="AJ3016">
        <v>82.355485129744807</v>
      </c>
      <c r="AK3016">
        <v>0.47195941578685702</v>
      </c>
    </row>
    <row r="3017" spans="1:37" x14ac:dyDescent="0.2">
      <c r="A3017" t="str">
        <f>"20200111160216150"</f>
        <v>20200111160216150</v>
      </c>
      <c r="B3017" t="str">
        <f>"1578729736144625"</f>
        <v>1578729736144625</v>
      </c>
      <c r="C3017" t="s">
        <v>37</v>
      </c>
      <c r="D3017">
        <v>5.0673879999999896</v>
      </c>
      <c r="E3017">
        <v>0.5410182</v>
      </c>
      <c r="F3017" t="s">
        <v>42</v>
      </c>
      <c r="G3017">
        <v>-225.27670000000001</v>
      </c>
      <c r="H3017">
        <v>1.02155</v>
      </c>
      <c r="I3017">
        <v>214.48840000000001</v>
      </c>
      <c r="J3017">
        <v>-225.7319</v>
      </c>
      <c r="K3017">
        <v>1.1047439999999999</v>
      </c>
      <c r="L3017">
        <v>214.54230000000001</v>
      </c>
      <c r="M3017">
        <v>0.99978069999999897</v>
      </c>
      <c r="N3017">
        <v>0</v>
      </c>
      <c r="O3017">
        <v>1.5509820000000001E-2</v>
      </c>
      <c r="P3017">
        <v>0.99940049999999903</v>
      </c>
      <c r="Q3017">
        <v>1.1014599999999999E-2</v>
      </c>
      <c r="R3017">
        <v>3.2822129999999998E-2</v>
      </c>
      <c r="S3017">
        <v>3.0128330000000001</v>
      </c>
      <c r="T3017">
        <v>-0.34527839999999999</v>
      </c>
      <c r="U3017">
        <v>-0.20411679999999999</v>
      </c>
      <c r="V3017">
        <v>-1.7327019999999999E-2</v>
      </c>
      <c r="W3017">
        <v>2.507359E-2</v>
      </c>
      <c r="X3017">
        <v>0.99953539999999996</v>
      </c>
      <c r="Y3017">
        <v>8.2423679999999999E-2</v>
      </c>
      <c r="Z3017">
        <v>-6.4722529999999999E-3</v>
      </c>
      <c r="AA3017">
        <v>0.99657640000000003</v>
      </c>
      <c r="AB3017">
        <v>28</v>
      </c>
      <c r="AC3017">
        <v>0.45519999999999</v>
      </c>
      <c r="AD3017">
        <v>-8.3193999999999907E-2</v>
      </c>
      <c r="AE3017">
        <v>-5.3899999999998699E-2</v>
      </c>
      <c r="AF3017">
        <v>5.90104401133765E-2</v>
      </c>
      <c r="AG3017">
        <v>-8.3193999999999907E-2</v>
      </c>
      <c r="AH3017">
        <v>0.43982116279767602</v>
      </c>
      <c r="AI3017">
        <v>100.618231878562</v>
      </c>
      <c r="AJ3017">
        <v>82.358308417047198</v>
      </c>
      <c r="AK3017">
        <v>0.45149322134786701</v>
      </c>
    </row>
    <row r="3018" spans="1:37" x14ac:dyDescent="0.2">
      <c r="A3018" t="str">
        <f>"20200111160216170"</f>
        <v>20200111160216170</v>
      </c>
      <c r="B3018" t="str">
        <f>"1578729736164653"</f>
        <v>1578729736164653</v>
      </c>
      <c r="C3018" t="s">
        <v>37</v>
      </c>
      <c r="D3018">
        <v>5.0719449999999897</v>
      </c>
      <c r="E3018">
        <v>0.54110069999999999</v>
      </c>
      <c r="F3018" t="s">
        <v>42</v>
      </c>
      <c r="G3018">
        <v>-224.79349999999999</v>
      </c>
      <c r="H3018">
        <v>0.99576450000000005</v>
      </c>
      <c r="I3018">
        <v>214.47819999999999</v>
      </c>
      <c r="J3018">
        <v>-225.48910000000001</v>
      </c>
      <c r="K3018">
        <v>1.10473</v>
      </c>
      <c r="L3018">
        <v>214.5463</v>
      </c>
      <c r="M3018">
        <v>0.99977719999999903</v>
      </c>
      <c r="N3018">
        <v>0</v>
      </c>
      <c r="O3018">
        <v>1.5741970000000001E-2</v>
      </c>
      <c r="P3018">
        <v>0.99942739999999997</v>
      </c>
      <c r="Q3018">
        <v>8.7795129999999992E-3</v>
      </c>
      <c r="R3018">
        <v>3.2679380000000001E-2</v>
      </c>
      <c r="S3018">
        <v>3.01240499999999</v>
      </c>
      <c r="T3018">
        <v>-0.34989910000000002</v>
      </c>
      <c r="U3018">
        <v>-0.205032299999999</v>
      </c>
      <c r="V3018">
        <v>-1.6951399999999998E-2</v>
      </c>
      <c r="W3018">
        <v>2.2838339999999999E-2</v>
      </c>
      <c r="X3018">
        <v>0.99959549999999997</v>
      </c>
      <c r="Y3018">
        <v>8.2943719999999999E-2</v>
      </c>
      <c r="Z3018">
        <v>-6.6160669999999998E-3</v>
      </c>
      <c r="AA3018">
        <v>0.99653230000000004</v>
      </c>
      <c r="AB3018">
        <v>28</v>
      </c>
      <c r="AC3018">
        <v>0.69560000000001299</v>
      </c>
      <c r="AD3018">
        <v>-0.10896549999999899</v>
      </c>
      <c r="AE3018">
        <v>-6.8100000000015301E-2</v>
      </c>
      <c r="AF3018">
        <v>7.7167121464709901E-2</v>
      </c>
      <c r="AG3018">
        <v>-0.10896549999999899</v>
      </c>
      <c r="AH3018">
        <v>0.67796298583957704</v>
      </c>
      <c r="AI3018">
        <v>99.073166013661506</v>
      </c>
      <c r="AJ3018">
        <v>83.506424399447994</v>
      </c>
      <c r="AK3018">
        <v>0.690986291465984</v>
      </c>
    </row>
    <row r="3019" spans="1:37" x14ac:dyDescent="0.2">
      <c r="A3019" t="str">
        <f>"20200111160216192"</f>
        <v>20200111160216192</v>
      </c>
      <c r="B3019" t="str">
        <f>"1578729736185149"</f>
        <v>1578729736185149</v>
      </c>
      <c r="C3019" t="s">
        <v>37</v>
      </c>
      <c r="D3019">
        <v>5.0808119999999999</v>
      </c>
      <c r="E3019">
        <v>0.54126339999999995</v>
      </c>
      <c r="F3019" t="s">
        <v>42</v>
      </c>
      <c r="G3019">
        <v>-224.54730000000001</v>
      </c>
      <c r="H3019">
        <v>0.99334069999999997</v>
      </c>
      <c r="I3019">
        <v>214.48169999999999</v>
      </c>
      <c r="J3019">
        <v>-225.2114</v>
      </c>
      <c r="K3019">
        <v>1.104722</v>
      </c>
      <c r="L3019">
        <v>214.55099999999999</v>
      </c>
      <c r="M3019">
        <v>0.99977299999999902</v>
      </c>
      <c r="N3019">
        <v>0</v>
      </c>
      <c r="O3019">
        <v>1.6008029999999999E-2</v>
      </c>
      <c r="P3019">
        <v>0.99944880000000003</v>
      </c>
      <c r="Q3019">
        <v>6.9770479999999996E-3</v>
      </c>
      <c r="R3019">
        <v>3.246077E-2</v>
      </c>
      <c r="S3019">
        <v>3.0115660000000002</v>
      </c>
      <c r="T3019">
        <v>-0.356301599999999</v>
      </c>
      <c r="U3019">
        <v>-0.20619199999999999</v>
      </c>
      <c r="V3019">
        <v>-1.646539E-2</v>
      </c>
      <c r="W3019">
        <v>2.1035379999999999E-2</v>
      </c>
      <c r="X3019">
        <v>0.99964310000000001</v>
      </c>
      <c r="Y3019">
        <v>8.3578739999999999E-2</v>
      </c>
      <c r="Z3019">
        <v>-6.8068080000000001E-3</v>
      </c>
      <c r="AA3019">
        <v>0.99647790000000003</v>
      </c>
      <c r="AB3019">
        <v>28</v>
      </c>
      <c r="AC3019">
        <v>0.66409999999999003</v>
      </c>
      <c r="AD3019">
        <v>-0.1113813</v>
      </c>
      <c r="AE3019">
        <v>-6.9299999999998294E-2</v>
      </c>
      <c r="AF3019">
        <v>7.7759354193269306E-2</v>
      </c>
      <c r="AG3019">
        <v>-0.1113813</v>
      </c>
      <c r="AH3019">
        <v>0.64495866809479596</v>
      </c>
      <c r="AI3019">
        <v>99.728973468516202</v>
      </c>
      <c r="AJ3019">
        <v>83.125323821935893</v>
      </c>
      <c r="AK3019">
        <v>0.65910848477686701</v>
      </c>
    </row>
    <row r="3020" spans="1:37" x14ac:dyDescent="0.2">
      <c r="A3020" t="str">
        <f>"20200111160216217"</f>
        <v>20200111160216217</v>
      </c>
      <c r="B3020" t="str">
        <f>"1578729736204669"</f>
        <v>1578729736204669</v>
      </c>
      <c r="C3020" t="s">
        <v>37</v>
      </c>
      <c r="D3020">
        <v>5.0962059999999996</v>
      </c>
      <c r="E3020">
        <v>0.54142230000000002</v>
      </c>
      <c r="F3020" t="s">
        <v>42</v>
      </c>
      <c r="G3020">
        <v>-224.29929999999999</v>
      </c>
      <c r="H3020">
        <v>0.99531700000000001</v>
      </c>
      <c r="I3020">
        <v>214.48779999999999</v>
      </c>
      <c r="J3020">
        <v>-224.90620000000001</v>
      </c>
      <c r="K3020">
        <v>1.104725</v>
      </c>
      <c r="L3020">
        <v>214.55619999999999</v>
      </c>
      <c r="M3020">
        <v>0.99976830000000005</v>
      </c>
      <c r="N3020">
        <v>0</v>
      </c>
      <c r="O3020">
        <v>1.6300149999999999E-2</v>
      </c>
      <c r="P3020">
        <v>0.99948040000000005</v>
      </c>
      <c r="Q3020">
        <v>5.5976119999999897E-3</v>
      </c>
      <c r="R3020">
        <v>3.174739E-2</v>
      </c>
      <c r="S3020">
        <v>3.0109409999999999</v>
      </c>
      <c r="T3020">
        <v>-0.36120999999999998</v>
      </c>
      <c r="U3020">
        <v>-0.20828249999999901</v>
      </c>
      <c r="V3020">
        <v>-1.5458619999999999E-2</v>
      </c>
      <c r="W3020">
        <v>1.9655220000000001E-2</v>
      </c>
      <c r="X3020">
        <v>0.99968729999999995</v>
      </c>
      <c r="Y3020">
        <v>8.4544170000000002E-2</v>
      </c>
      <c r="Z3020">
        <v>-6.9936989999999999E-3</v>
      </c>
      <c r="AA3020">
        <v>0.99639519999999904</v>
      </c>
      <c r="AB3020">
        <v>28</v>
      </c>
      <c r="AC3020">
        <v>0.60690000000002398</v>
      </c>
      <c r="AD3020">
        <v>-0.10940799999999901</v>
      </c>
      <c r="AE3020">
        <v>-6.8399999999996894E-2</v>
      </c>
      <c r="AF3020">
        <v>7.5850342521728606E-2</v>
      </c>
      <c r="AG3020">
        <v>-0.10940799999999901</v>
      </c>
      <c r="AH3020">
        <v>0.58687108130459797</v>
      </c>
      <c r="AI3020">
        <v>100.475020402731</v>
      </c>
      <c r="AJ3020">
        <v>82.635613159488997</v>
      </c>
      <c r="AK3020">
        <v>0.60178156418777995</v>
      </c>
    </row>
    <row r="3021" spans="1:37" x14ac:dyDescent="0.2">
      <c r="A3021" t="str">
        <f>"20200111160216237"</f>
        <v>20200111160216237</v>
      </c>
      <c r="B3021" t="str">
        <f>"1578729736234925"</f>
        <v>1578729736234925</v>
      </c>
      <c r="C3021" t="s">
        <v>37</v>
      </c>
      <c r="D3021">
        <v>5.1485240000000001</v>
      </c>
      <c r="E3021">
        <v>0.54146839999999996</v>
      </c>
      <c r="F3021" t="s">
        <v>42</v>
      </c>
      <c r="G3021">
        <v>-224.0498</v>
      </c>
      <c r="H3021">
        <v>1.00105</v>
      </c>
      <c r="I3021">
        <v>214.4958</v>
      </c>
      <c r="J3021">
        <v>-224.649</v>
      </c>
      <c r="K3021">
        <v>1.1047389999999999</v>
      </c>
      <c r="L3021">
        <v>214.5607</v>
      </c>
      <c r="M3021">
        <v>0.99976430000000005</v>
      </c>
      <c r="N3021">
        <v>0</v>
      </c>
      <c r="O3021">
        <v>1.6546430000000001E-2</v>
      </c>
      <c r="P3021">
        <v>0.99951880000000004</v>
      </c>
      <c r="Q3021">
        <v>4.4483650000000001E-3</v>
      </c>
      <c r="R3021">
        <v>3.0706170000000001E-2</v>
      </c>
      <c r="S3021">
        <v>3.01032999999999</v>
      </c>
      <c r="T3021">
        <v>-0.3644888</v>
      </c>
      <c r="U3021">
        <v>-0.21208189999999999</v>
      </c>
      <c r="V3021">
        <v>-1.4170429999999999E-2</v>
      </c>
      <c r="W3021">
        <v>1.8505290000000001E-2</v>
      </c>
      <c r="X3021">
        <v>0.99972830000000001</v>
      </c>
      <c r="Y3021">
        <v>8.6029019999999998E-2</v>
      </c>
      <c r="Z3021">
        <v>-7.1769800000000003E-3</v>
      </c>
      <c r="AA3021">
        <v>0.99626680000000001</v>
      </c>
      <c r="AB3021">
        <v>28</v>
      </c>
      <c r="AC3021">
        <v>0.59919999999999596</v>
      </c>
      <c r="AD3021">
        <v>-0.103688999999999</v>
      </c>
      <c r="AE3021">
        <v>-6.4899999999994407E-2</v>
      </c>
      <c r="AF3021">
        <v>7.2656262295482804E-2</v>
      </c>
      <c r="AG3021">
        <v>-0.103688999999999</v>
      </c>
      <c r="AH3021">
        <v>0.58085215005134905</v>
      </c>
      <c r="AI3021">
        <v>100.044699768068</v>
      </c>
      <c r="AJ3021">
        <v>82.870152442935293</v>
      </c>
      <c r="AK3021">
        <v>0.59449101035341601</v>
      </c>
    </row>
    <row r="3022" spans="1:37" x14ac:dyDescent="0.2">
      <c r="A3022" t="str">
        <f>"20200111160216256"</f>
        <v>20200111160216256</v>
      </c>
      <c r="B3022" t="str">
        <f>"1578729736244685"</f>
        <v>1578729736244685</v>
      </c>
      <c r="C3022" t="s">
        <v>37</v>
      </c>
      <c r="D3022">
        <v>5.1264539999999998</v>
      </c>
      <c r="E3022">
        <v>0.54139630000000005</v>
      </c>
      <c r="F3022" t="s">
        <v>42</v>
      </c>
      <c r="G3022">
        <v>-223.8032</v>
      </c>
      <c r="H3022">
        <v>1.0012019999999999</v>
      </c>
      <c r="I3022">
        <v>214.5</v>
      </c>
      <c r="J3022">
        <v>-224.4151</v>
      </c>
      <c r="K3022">
        <v>1.1047629999999999</v>
      </c>
      <c r="L3022">
        <v>214.56479999999999</v>
      </c>
      <c r="M3022">
        <v>0.99976049999999905</v>
      </c>
      <c r="N3022">
        <v>0</v>
      </c>
      <c r="O3022">
        <v>1.6770420000000001E-2</v>
      </c>
      <c r="P3022">
        <v>0.99957090000000004</v>
      </c>
      <c r="Q3022">
        <v>2.3991500000000001E-3</v>
      </c>
      <c r="R3022">
        <v>2.9199719999999998E-2</v>
      </c>
      <c r="S3022">
        <v>3.0097200000000002</v>
      </c>
      <c r="T3022">
        <v>-0.36851809999999902</v>
      </c>
      <c r="U3022">
        <v>-0.21569820000000001</v>
      </c>
      <c r="V3022">
        <v>-1.2438029999999999E-2</v>
      </c>
      <c r="W3022">
        <v>1.6455689999999999E-2</v>
      </c>
      <c r="X3022">
        <v>0.99978719999999999</v>
      </c>
      <c r="Y3022">
        <v>8.7428530000000004E-2</v>
      </c>
      <c r="Z3022">
        <v>-7.3694449999999996E-3</v>
      </c>
      <c r="AA3022">
        <v>0.99614349999999996</v>
      </c>
      <c r="AB3022">
        <v>28</v>
      </c>
      <c r="AC3022">
        <v>0.61189999999999101</v>
      </c>
      <c r="AD3022">
        <v>-0.103560999999999</v>
      </c>
      <c r="AE3022">
        <v>-6.4799999999991004E-2</v>
      </c>
      <c r="AF3022">
        <v>7.2986295927491396E-2</v>
      </c>
      <c r="AG3022">
        <v>-0.103560999999999</v>
      </c>
      <c r="AH3022">
        <v>0.59390405914896804</v>
      </c>
      <c r="AI3022">
        <v>99.818986240399198</v>
      </c>
      <c r="AJ3022">
        <v>82.993913052287098</v>
      </c>
      <c r="AK3022">
        <v>0.60726757824523803</v>
      </c>
    </row>
    <row r="3023" spans="1:37" x14ac:dyDescent="0.2">
      <c r="A3023" t="str">
        <f>"20200111160216280"</f>
        <v>20200111160216280</v>
      </c>
      <c r="B3023" t="str">
        <f>"1578729736274473"</f>
        <v>1578729736274473</v>
      </c>
      <c r="C3023" t="s">
        <v>37</v>
      </c>
      <c r="D3023">
        <v>5.2018069999999996</v>
      </c>
      <c r="E3023">
        <v>0.54129559999999999</v>
      </c>
      <c r="F3023" t="s">
        <v>42</v>
      </c>
      <c r="G3023">
        <v>-223.55860000000001</v>
      </c>
      <c r="H3023">
        <v>0.99784519999999899</v>
      </c>
      <c r="I3023">
        <v>214.50229999999999</v>
      </c>
      <c r="J3023">
        <v>-224.13550000000001</v>
      </c>
      <c r="K3023">
        <v>1.1047929999999999</v>
      </c>
      <c r="L3023">
        <v>214.56979999999999</v>
      </c>
      <c r="M3023">
        <v>0.99975609999999904</v>
      </c>
      <c r="N3023">
        <v>0</v>
      </c>
      <c r="O3023">
        <v>1.7038210000000002E-2</v>
      </c>
      <c r="P3023">
        <v>0.99960969999999905</v>
      </c>
      <c r="Q3023">
        <v>2.3043709999999901E-4</v>
      </c>
      <c r="R3023">
        <v>2.7944480000000001E-2</v>
      </c>
      <c r="S3023">
        <v>3.008591</v>
      </c>
      <c r="T3023">
        <v>-0.37567339999999999</v>
      </c>
      <c r="U3023">
        <v>-0.2192993</v>
      </c>
      <c r="V3023">
        <v>-1.09132999999999E-2</v>
      </c>
      <c r="W3023">
        <v>1.428634E-2</v>
      </c>
      <c r="X3023">
        <v>0.99983840000000002</v>
      </c>
      <c r="Y3023">
        <v>8.8864120000000005E-2</v>
      </c>
      <c r="Z3023">
        <v>-7.6363630000000002E-3</v>
      </c>
      <c r="AA3023">
        <v>0.99601450000000002</v>
      </c>
      <c r="AB3023">
        <v>28</v>
      </c>
      <c r="AC3023">
        <v>0.57689999999999397</v>
      </c>
      <c r="AD3023">
        <v>-0.1069478</v>
      </c>
      <c r="AE3023">
        <v>-6.7499999999995397E-2</v>
      </c>
      <c r="AF3023">
        <v>7.4785079103996496E-2</v>
      </c>
      <c r="AG3023">
        <v>-0.1069478</v>
      </c>
      <c r="AH3023">
        <v>0.55678925187223205</v>
      </c>
      <c r="AI3023">
        <v>100.77842595471</v>
      </c>
      <c r="AJ3023">
        <v>82.350107850287998</v>
      </c>
      <c r="AK3023">
        <v>0.57187840576635796</v>
      </c>
    </row>
    <row r="3024" spans="1:37" x14ac:dyDescent="0.2">
      <c r="A3024" t="str">
        <f>"20200111160216306"</f>
        <v>20200111160216306</v>
      </c>
      <c r="B3024" t="str">
        <f>"1578729736294969"</f>
        <v>1578729736294969</v>
      </c>
      <c r="C3024" t="s">
        <v>37</v>
      </c>
      <c r="D3024">
        <v>5.1594040000000003</v>
      </c>
      <c r="E3024">
        <v>0.54119659999999903</v>
      </c>
      <c r="F3024" t="s">
        <v>42</v>
      </c>
      <c r="G3024">
        <v>-223.31180000000001</v>
      </c>
      <c r="H3024">
        <v>0.99979669999999898</v>
      </c>
      <c r="I3024">
        <v>214.50880000000001</v>
      </c>
      <c r="J3024">
        <v>-223.81110000000001</v>
      </c>
      <c r="K3024">
        <v>1.104827</v>
      </c>
      <c r="L3024">
        <v>214.57570000000001</v>
      </c>
      <c r="M3024">
        <v>0.99975069999999999</v>
      </c>
      <c r="N3024">
        <v>0</v>
      </c>
      <c r="O3024">
        <v>1.7349219999999999E-2</v>
      </c>
      <c r="P3024">
        <v>0.99964299999999995</v>
      </c>
      <c r="Q3024">
        <v>-3.382843E-4</v>
      </c>
      <c r="R3024">
        <v>2.6725329999999999E-2</v>
      </c>
      <c r="S3024">
        <v>3.0074919999999898</v>
      </c>
      <c r="T3024">
        <v>-0.38341720000000001</v>
      </c>
      <c r="U3024">
        <v>-0.22245789999999999</v>
      </c>
      <c r="V3024">
        <v>-9.3829599999999992E-3</v>
      </c>
      <c r="W3024">
        <v>1.37161E-2</v>
      </c>
      <c r="X3024">
        <v>0.99986189999999997</v>
      </c>
      <c r="Y3024">
        <v>9.0192960000000003E-2</v>
      </c>
      <c r="Z3024">
        <v>-7.9187509999999999E-3</v>
      </c>
      <c r="AA3024">
        <v>0.99589280000000002</v>
      </c>
      <c r="AB3024">
        <v>28</v>
      </c>
      <c r="AC3024">
        <v>0.49930000000000502</v>
      </c>
      <c r="AD3024">
        <v>-0.10503029999999999</v>
      </c>
      <c r="AE3024">
        <v>-6.6900000000003901E-2</v>
      </c>
      <c r="AF3024">
        <v>7.2405848770594E-2</v>
      </c>
      <c r="AG3024">
        <v>-0.10503029999999999</v>
      </c>
      <c r="AH3024">
        <v>0.47731567852628198</v>
      </c>
      <c r="AI3024">
        <v>102.27372049869901</v>
      </c>
      <c r="AJ3024">
        <v>81.374343673847704</v>
      </c>
      <c r="AK3024">
        <v>0.49406905167323001</v>
      </c>
    </row>
    <row r="3025" spans="1:37" x14ac:dyDescent="0.2">
      <c r="A3025" t="str">
        <f>"20200111160216326"</f>
        <v>20200111160216326</v>
      </c>
      <c r="B3025" t="str">
        <f>"1578729736314489"</f>
        <v>1578729736314489</v>
      </c>
      <c r="C3025" t="s">
        <v>37</v>
      </c>
      <c r="D3025">
        <v>5.08833</v>
      </c>
      <c r="E3025">
        <v>0.54137080000000004</v>
      </c>
      <c r="F3025" t="s">
        <v>42</v>
      </c>
      <c r="G3025">
        <v>-223.06190000000001</v>
      </c>
      <c r="H3025">
        <v>1.0087950000000001</v>
      </c>
      <c r="I3025">
        <v>214.51929999999999</v>
      </c>
      <c r="J3025">
        <v>-223.56790000000001</v>
      </c>
      <c r="K3025">
        <v>1.104859</v>
      </c>
      <c r="L3025">
        <v>214.58019999999999</v>
      </c>
      <c r="M3025">
        <v>0.99974669999999899</v>
      </c>
      <c r="N3025">
        <v>0</v>
      </c>
      <c r="O3025">
        <v>1.7582150000000001E-2</v>
      </c>
      <c r="P3025">
        <v>0.99965609999999905</v>
      </c>
      <c r="Q3025">
        <v>-4.8924609999999996E-4</v>
      </c>
      <c r="R3025">
        <v>2.6219699999999999E-2</v>
      </c>
      <c r="S3025">
        <v>3.0069729999999999</v>
      </c>
      <c r="T3025">
        <v>-0.38559379999999999</v>
      </c>
      <c r="U3025">
        <v>-0.22596739999999901</v>
      </c>
      <c r="V3025">
        <v>-8.6439780000000001E-3</v>
      </c>
      <c r="W3025">
        <v>1.356304E-2</v>
      </c>
      <c r="X3025">
        <v>0.9998707</v>
      </c>
      <c r="Y3025">
        <v>9.1570289999999999E-2</v>
      </c>
      <c r="Z3025">
        <v>-8.0819059999999998E-3</v>
      </c>
      <c r="AA3025">
        <v>0.99576580000000003</v>
      </c>
      <c r="AB3025">
        <v>28</v>
      </c>
      <c r="AC3025">
        <v>0.50600000000000001</v>
      </c>
      <c r="AD3025">
        <v>-9.6063999999999899E-2</v>
      </c>
      <c r="AE3025">
        <v>-6.0900000000003701E-2</v>
      </c>
      <c r="AF3025">
        <v>6.73936485719909E-2</v>
      </c>
      <c r="AG3025">
        <v>-9.6063999999999899E-2</v>
      </c>
      <c r="AH3025">
        <v>0.487529803311117</v>
      </c>
      <c r="AI3025">
        <v>101.044488567491</v>
      </c>
      <c r="AJ3025">
        <v>82.129600508663103</v>
      </c>
      <c r="AK3025">
        <v>0.50145339272999401</v>
      </c>
    </row>
    <row r="3026" spans="1:37" x14ac:dyDescent="0.2">
      <c r="A3026" t="str">
        <f>"20200111160216346"</f>
        <v>20200111160216346</v>
      </c>
      <c r="B3026" t="str">
        <f>"1578729736334985"</f>
        <v>1578729736334985</v>
      </c>
      <c r="C3026" t="s">
        <v>37</v>
      </c>
      <c r="D3026">
        <v>5.3601349999999996</v>
      </c>
      <c r="E3026">
        <v>0.54115100000000005</v>
      </c>
      <c r="F3026" t="s">
        <v>42</v>
      </c>
      <c r="G3026">
        <v>-222.8167</v>
      </c>
      <c r="H3026">
        <v>1.008702</v>
      </c>
      <c r="I3026">
        <v>214.52269999999999</v>
      </c>
      <c r="J3026">
        <v>-223.31209999999999</v>
      </c>
      <c r="K3026">
        <v>1.1048770000000001</v>
      </c>
      <c r="L3026">
        <v>214.58500000000001</v>
      </c>
      <c r="M3026">
        <v>0.99974229999999997</v>
      </c>
      <c r="N3026">
        <v>0</v>
      </c>
      <c r="O3026">
        <v>1.7827240000000001E-2</v>
      </c>
      <c r="P3026">
        <v>0.99964900000000001</v>
      </c>
      <c r="Q3026">
        <v>9.4401089999999999E-4</v>
      </c>
      <c r="R3026">
        <v>2.6479559999999999E-2</v>
      </c>
      <c r="S3026">
        <v>3.0068509999999899</v>
      </c>
      <c r="T3026">
        <v>-0.38502959999999897</v>
      </c>
      <c r="U3026">
        <v>-0.22915650000000001</v>
      </c>
      <c r="V3026">
        <v>-8.6590599999999997E-3</v>
      </c>
      <c r="W3026">
        <v>1.499436E-2</v>
      </c>
      <c r="X3026">
        <v>0.99985009999999996</v>
      </c>
      <c r="Y3026">
        <v>9.2857590000000004E-2</v>
      </c>
      <c r="Z3026">
        <v>-8.1833770000000004E-3</v>
      </c>
      <c r="AA3026">
        <v>0.99564580000000003</v>
      </c>
      <c r="AB3026">
        <v>27</v>
      </c>
      <c r="AC3026">
        <v>0.49539999999998902</v>
      </c>
      <c r="AD3026">
        <v>-9.6175000000000094E-2</v>
      </c>
      <c r="AE3026">
        <v>-6.2300000000021699E-2</v>
      </c>
      <c r="AF3026">
        <v>6.8578193320880901E-2</v>
      </c>
      <c r="AG3026">
        <v>-9.6175000000000094E-2</v>
      </c>
      <c r="AH3026">
        <v>0.47653026270363202</v>
      </c>
      <c r="AI3026">
        <v>101.297010908579</v>
      </c>
      <c r="AJ3026">
        <v>81.810703402507698</v>
      </c>
      <c r="AK3026">
        <v>0.49095182095247297</v>
      </c>
    </row>
    <row r="3027" spans="1:37" x14ac:dyDescent="0.2">
      <c r="A3027" t="str">
        <f>"20200111160216368"</f>
        <v>20200111160216368</v>
      </c>
      <c r="B3027" t="str">
        <f>"1578729736364772"</f>
        <v>1578729736364772</v>
      </c>
      <c r="C3027" t="s">
        <v>37</v>
      </c>
      <c r="D3027">
        <v>5.1519129999999898</v>
      </c>
      <c r="E3027">
        <v>0.55189829999999995</v>
      </c>
      <c r="F3027" t="s">
        <v>42</v>
      </c>
      <c r="G3027">
        <v>-222.57060000000001</v>
      </c>
      <c r="H3027">
        <v>1.011001</v>
      </c>
      <c r="I3027">
        <v>214.52889999999999</v>
      </c>
      <c r="J3027">
        <v>-223.04159999999999</v>
      </c>
      <c r="K3027">
        <v>1.1048690000000001</v>
      </c>
      <c r="L3027">
        <v>214.59010000000001</v>
      </c>
      <c r="M3027">
        <v>0.99973769999999995</v>
      </c>
      <c r="N3027">
        <v>0</v>
      </c>
      <c r="O3027">
        <v>1.8086870000000001E-2</v>
      </c>
      <c r="P3027">
        <v>0.99962830000000003</v>
      </c>
      <c r="Q3027">
        <v>1.3449039999999901E-3</v>
      </c>
      <c r="R3027">
        <v>2.7227979999999999E-2</v>
      </c>
      <c r="S3027">
        <v>3.00740099999999</v>
      </c>
      <c r="T3027">
        <v>-0.38083979999999901</v>
      </c>
      <c r="U3027">
        <v>-0.226882899999999</v>
      </c>
      <c r="V3027">
        <v>-9.1481659999999992E-3</v>
      </c>
      <c r="W3027">
        <v>1.539248E-2</v>
      </c>
      <c r="X3027">
        <v>0.999839699999999</v>
      </c>
      <c r="Y3027">
        <v>9.2375380000000007E-2</v>
      </c>
      <c r="Z3027">
        <v>-8.0961390000000005E-3</v>
      </c>
      <c r="AA3027">
        <v>0.9956914</v>
      </c>
      <c r="AB3027">
        <v>27</v>
      </c>
      <c r="AC3027">
        <v>0.47099999999997499</v>
      </c>
      <c r="AD3027">
        <v>-9.3867999999999993E-2</v>
      </c>
      <c r="AE3027">
        <v>-6.1200000000013598E-2</v>
      </c>
      <c r="AF3027">
        <v>6.7089296592356906E-2</v>
      </c>
      <c r="AG3027">
        <v>-9.3867999999999993E-2</v>
      </c>
      <c r="AH3027">
        <v>0.45215514335129497</v>
      </c>
      <c r="AI3027">
        <v>101.604541461426</v>
      </c>
      <c r="AJ3027">
        <v>81.560216524780898</v>
      </c>
      <c r="AK3027">
        <v>0.46664381363121898</v>
      </c>
    </row>
    <row r="3028" spans="1:37" x14ac:dyDescent="0.2">
      <c r="A3028" t="str">
        <f>"20200111160216391"</f>
        <v>20200111160216391</v>
      </c>
      <c r="B3028" t="str">
        <f>"1578729736385267"</f>
        <v>1578729736385267</v>
      </c>
      <c r="C3028" t="s">
        <v>37</v>
      </c>
      <c r="D3028">
        <v>5.0934419999999996</v>
      </c>
      <c r="E3028">
        <v>0.55132060000000005</v>
      </c>
      <c r="F3028" t="s">
        <v>42</v>
      </c>
      <c r="G3028">
        <v>-222.3193</v>
      </c>
      <c r="H3028">
        <v>1.023347</v>
      </c>
      <c r="I3028">
        <v>214.51490000000001</v>
      </c>
      <c r="J3028">
        <v>-222.7687</v>
      </c>
      <c r="K3028">
        <v>1.104843</v>
      </c>
      <c r="L3028">
        <v>214.59530000000001</v>
      </c>
      <c r="M3028">
        <v>0.99973299999999998</v>
      </c>
      <c r="N3028">
        <v>0</v>
      </c>
      <c r="O3028">
        <v>1.834848E-2</v>
      </c>
      <c r="P3028">
        <v>0.9996043</v>
      </c>
      <c r="Q3028">
        <v>-2.5425479999999998E-4</v>
      </c>
      <c r="R3028">
        <v>2.8129520000000002E-2</v>
      </c>
      <c r="S3028">
        <v>3.0100859999999998</v>
      </c>
      <c r="T3028">
        <v>-0.33993410000000002</v>
      </c>
      <c r="U3028">
        <v>-0.31257629999999997</v>
      </c>
      <c r="V3028">
        <v>-9.7877290000000002E-3</v>
      </c>
      <c r="W3028">
        <v>1.3790470000000001E-2</v>
      </c>
      <c r="X3028">
        <v>0.999857</v>
      </c>
      <c r="Y3028">
        <v>0.1206478</v>
      </c>
      <c r="Z3028">
        <v>-8.833535E-3</v>
      </c>
      <c r="AA3028">
        <v>0.99265609999999904</v>
      </c>
      <c r="AB3028">
        <v>27</v>
      </c>
      <c r="AC3028">
        <v>0.44939999999999702</v>
      </c>
      <c r="AD3028">
        <v>-8.1495999999999999E-2</v>
      </c>
      <c r="AE3028">
        <v>-8.0399999999997293E-2</v>
      </c>
      <c r="AF3028">
        <v>8.5895946089431394E-2</v>
      </c>
      <c r="AG3028">
        <v>-8.1495999999999999E-2</v>
      </c>
      <c r="AH3028">
        <v>0.43401864836067999</v>
      </c>
      <c r="AI3028">
        <v>100.43678505102901</v>
      </c>
      <c r="AJ3028">
        <v>78.805343117944901</v>
      </c>
      <c r="AK3028">
        <v>0.44987987140505697</v>
      </c>
    </row>
    <row r="3029" spans="1:37" x14ac:dyDescent="0.2">
      <c r="A3029" t="str">
        <f>"20200111160216415"</f>
        <v>20200111160216415</v>
      </c>
      <c r="B3029" t="str">
        <f>"1578729736404788"</f>
        <v>1578729736404788</v>
      </c>
      <c r="C3029" t="s">
        <v>37</v>
      </c>
      <c r="D3029">
        <v>5.1390070000000003</v>
      </c>
      <c r="E3029">
        <v>0.55126039999999998</v>
      </c>
      <c r="F3029" t="s">
        <v>42</v>
      </c>
      <c r="G3029">
        <v>-221.84219999999999</v>
      </c>
      <c r="H3029">
        <v>0.99902369999999996</v>
      </c>
      <c r="I3029">
        <v>214.50129999999999</v>
      </c>
      <c r="J3029">
        <v>-222.47649999999999</v>
      </c>
      <c r="K3029">
        <v>1.1048100000000001</v>
      </c>
      <c r="L3029">
        <v>214.601</v>
      </c>
      <c r="M3029">
        <v>0.9997279</v>
      </c>
      <c r="N3029">
        <v>0</v>
      </c>
      <c r="O3029">
        <v>1.8628550000000001E-2</v>
      </c>
      <c r="P3029">
        <v>0.99958549999999902</v>
      </c>
      <c r="Q3029">
        <v>-2.0415709999999998E-3</v>
      </c>
      <c r="R3029">
        <v>2.871806E-2</v>
      </c>
      <c r="S3029">
        <v>3.0096590000000001</v>
      </c>
      <c r="T3029">
        <v>-0.34381420000000001</v>
      </c>
      <c r="U3029">
        <v>-0.30499270000000001</v>
      </c>
      <c r="V3029">
        <v>-1.0095949999999999E-2</v>
      </c>
      <c r="W3029">
        <v>1.2001049999999999E-2</v>
      </c>
      <c r="X3029">
        <v>0.99987700000000002</v>
      </c>
      <c r="Y3029">
        <v>0.1184566</v>
      </c>
      <c r="Z3029">
        <v>-8.8434869999999902E-3</v>
      </c>
      <c r="AA3029">
        <v>0.99291989999999997</v>
      </c>
      <c r="AB3029">
        <v>27</v>
      </c>
      <c r="AC3029">
        <v>0.63429999999999598</v>
      </c>
      <c r="AD3029">
        <v>-0.1057863</v>
      </c>
      <c r="AE3029">
        <v>-9.9700000000012695E-2</v>
      </c>
      <c r="AF3029">
        <v>0.10855340121441</v>
      </c>
      <c r="AG3029">
        <v>-0.1057863</v>
      </c>
      <c r="AH3029">
        <v>0.61562215389216302</v>
      </c>
      <c r="AI3029">
        <v>99.604922073565106</v>
      </c>
      <c r="AJ3029">
        <v>79.999764813547301</v>
      </c>
      <c r="AK3029">
        <v>0.63400727010479396</v>
      </c>
    </row>
    <row r="3030" spans="1:37" x14ac:dyDescent="0.2">
      <c r="A3030" t="str">
        <f>"20200111160216436"</f>
        <v>20200111160216436</v>
      </c>
      <c r="B3030" t="str">
        <f>"1578729736425284"</f>
        <v>1578729736425284</v>
      </c>
      <c r="C3030" t="s">
        <v>37</v>
      </c>
      <c r="D3030">
        <v>5.1179899999999998</v>
      </c>
      <c r="E3030">
        <v>0.55162840000000002</v>
      </c>
      <c r="F3030" t="s">
        <v>42</v>
      </c>
      <c r="G3030">
        <v>-221.5968</v>
      </c>
      <c r="H3030">
        <v>1.0026629999999901</v>
      </c>
      <c r="I3030">
        <v>214.51249999999999</v>
      </c>
      <c r="J3030">
        <v>-222.2208</v>
      </c>
      <c r="K3030">
        <v>1.10477</v>
      </c>
      <c r="L3030">
        <v>214.6061</v>
      </c>
      <c r="M3030">
        <v>0.99972329999999998</v>
      </c>
      <c r="N3030">
        <v>0</v>
      </c>
      <c r="O3030">
        <v>1.8873879999999999E-2</v>
      </c>
      <c r="P3030">
        <v>0.99957940000000001</v>
      </c>
      <c r="Q3030">
        <v>-3.8688199999999998E-3</v>
      </c>
      <c r="R3030">
        <v>2.8744530000000001E-2</v>
      </c>
      <c r="S3030">
        <v>3.0092469999999998</v>
      </c>
      <c r="T3030">
        <v>-0.34941279999999902</v>
      </c>
      <c r="U3030">
        <v>-0.30258179999999901</v>
      </c>
      <c r="V3030">
        <v>-9.8758830000000002E-3</v>
      </c>
      <c r="W3030">
        <v>1.017154E-2</v>
      </c>
      <c r="X3030">
        <v>0.99989950000000005</v>
      </c>
      <c r="Y3030">
        <v>0.1178992</v>
      </c>
      <c r="Z3030">
        <v>-8.9842749999999999E-3</v>
      </c>
      <c r="AA3030">
        <v>0.99298500000000001</v>
      </c>
      <c r="AB3030">
        <v>27</v>
      </c>
      <c r="AC3030">
        <v>0.623999999999995</v>
      </c>
      <c r="AD3030">
        <v>-0.102107</v>
      </c>
      <c r="AE3030">
        <v>-9.3600000000009204E-2</v>
      </c>
      <c r="AF3030">
        <v>0.102673129328289</v>
      </c>
      <c r="AG3030">
        <v>-0.102107</v>
      </c>
      <c r="AH3030">
        <v>0.60624654261405397</v>
      </c>
      <c r="AI3030">
        <v>99.428510814903404</v>
      </c>
      <c r="AJ3030">
        <v>80.387669903632599</v>
      </c>
      <c r="AK3030">
        <v>0.62329967220154803</v>
      </c>
    </row>
    <row r="3031" spans="1:37" x14ac:dyDescent="0.2">
      <c r="A3031" t="str">
        <f>"20200111160216457"</f>
        <v>20200111160216457</v>
      </c>
      <c r="B3031" t="str">
        <f>"1578729736455036"</f>
        <v>1578729736455036</v>
      </c>
      <c r="C3031" t="s">
        <v>37</v>
      </c>
      <c r="D3031">
        <v>5.1965620000000001</v>
      </c>
      <c r="E3031">
        <v>0.55160419999999999</v>
      </c>
      <c r="F3031" t="s">
        <v>42</v>
      </c>
      <c r="G3031">
        <v>-221.3535</v>
      </c>
      <c r="H3031">
        <v>1.0022629999999999</v>
      </c>
      <c r="I3031">
        <v>214.5181</v>
      </c>
      <c r="J3031">
        <v>-221.95599999999999</v>
      </c>
      <c r="K3031">
        <v>1.104752</v>
      </c>
      <c r="L3031">
        <v>214.6114</v>
      </c>
      <c r="M3031">
        <v>0.99971849999999995</v>
      </c>
      <c r="N3031">
        <v>0</v>
      </c>
      <c r="O3031">
        <v>1.9127979999999999E-2</v>
      </c>
      <c r="P3031">
        <v>0.99957450000000003</v>
      </c>
      <c r="Q3031">
        <v>-4.8380250000000001E-3</v>
      </c>
      <c r="R3031">
        <v>2.8766759999999999E-2</v>
      </c>
      <c r="S3031">
        <v>3.008667</v>
      </c>
      <c r="T3031">
        <v>-0.3556395</v>
      </c>
      <c r="U3031">
        <v>-0.30488589999999999</v>
      </c>
      <c r="V3031">
        <v>-9.6437759999999997E-3</v>
      </c>
      <c r="W3031">
        <v>9.1993140000000001E-3</v>
      </c>
      <c r="X3031">
        <v>0.999911199999999</v>
      </c>
      <c r="Y3031">
        <v>0.1188819</v>
      </c>
      <c r="Z3031">
        <v>-9.2322900000000006E-3</v>
      </c>
      <c r="AA3031">
        <v>0.99286549999999996</v>
      </c>
      <c r="AB3031">
        <v>27</v>
      </c>
      <c r="AC3031">
        <v>0.60249999999999204</v>
      </c>
      <c r="AD3031">
        <v>-0.102489</v>
      </c>
      <c r="AE3031">
        <v>-9.3299999999999203E-2</v>
      </c>
      <c r="AF3031">
        <v>0.101928329744637</v>
      </c>
      <c r="AG3031">
        <v>-0.102489</v>
      </c>
      <c r="AH3031">
        <v>0.58409917064493799</v>
      </c>
      <c r="AI3031">
        <v>99.806840134855193</v>
      </c>
      <c r="AJ3031">
        <v>80.101265559123405</v>
      </c>
      <c r="AK3031">
        <v>0.60171855603233304</v>
      </c>
    </row>
    <row r="3032" spans="1:37" x14ac:dyDescent="0.2">
      <c r="A3032" t="str">
        <f>"20200111160216504"</f>
        <v>20200111160216504</v>
      </c>
      <c r="B3032" t="str">
        <f>"1578729736495053"</f>
        <v>1578729736495053</v>
      </c>
      <c r="C3032" t="s">
        <v>37</v>
      </c>
      <c r="D3032">
        <v>5.3800699999999999</v>
      </c>
      <c r="E3032">
        <v>0.53804730000000001</v>
      </c>
      <c r="F3032" t="s">
        <v>42</v>
      </c>
      <c r="G3032">
        <v>-221.1096</v>
      </c>
      <c r="H3032">
        <v>1.0037849999999999</v>
      </c>
      <c r="I3032">
        <v>214.52549999999999</v>
      </c>
      <c r="J3032">
        <v>-221.3914</v>
      </c>
      <c r="K3032">
        <v>1.1047610000000001</v>
      </c>
      <c r="L3032">
        <v>214.62289999999999</v>
      </c>
      <c r="M3032">
        <v>0.99970809999999999</v>
      </c>
      <c r="N3032">
        <v>0</v>
      </c>
      <c r="O3032">
        <v>1.9669720000000002E-2</v>
      </c>
      <c r="P3032">
        <v>0.99955169999999904</v>
      </c>
      <c r="Q3032">
        <v>-6.287534E-3</v>
      </c>
      <c r="R3032">
        <v>2.9278499999999999E-2</v>
      </c>
      <c r="S3032">
        <v>3.0083009999999999</v>
      </c>
      <c r="T3032">
        <v>-0.35893619999999998</v>
      </c>
      <c r="U3032">
        <v>-0.30487059999999999</v>
      </c>
      <c r="V3032">
        <v>-9.6138560000000005E-3</v>
      </c>
      <c r="W3032">
        <v>7.7450139999999997E-3</v>
      </c>
      <c r="X3032">
        <v>0.99992380000000003</v>
      </c>
      <c r="Y3032">
        <v>0.1194017</v>
      </c>
      <c r="Z3032">
        <v>-9.4134930000000002E-3</v>
      </c>
      <c r="AA3032">
        <v>0.99280139999999995</v>
      </c>
      <c r="AB3032">
        <v>27</v>
      </c>
      <c r="AC3032">
        <v>0.28180000000000399</v>
      </c>
      <c r="AD3032">
        <v>-0.100976</v>
      </c>
      <c r="AE3032">
        <v>-9.73999999999932E-2</v>
      </c>
      <c r="AF3032">
        <v>9.2334341553826305E-2</v>
      </c>
      <c r="AG3032">
        <v>-0.100976</v>
      </c>
      <c r="AH3032">
        <v>0.25103679550955399</v>
      </c>
      <c r="AI3032">
        <v>110.682012048442</v>
      </c>
      <c r="AJ3032">
        <v>69.805873127604698</v>
      </c>
      <c r="AK3032">
        <v>0.285904277522888</v>
      </c>
    </row>
    <row r="3033" spans="1:37" x14ac:dyDescent="0.2">
      <c r="A3033" t="str">
        <f>"20200111160216530"</f>
        <v>20200111160216530</v>
      </c>
      <c r="B3033" t="str">
        <f>"1578729736525308"</f>
        <v>1578729736525308</v>
      </c>
      <c r="C3033" t="s">
        <v>37</v>
      </c>
      <c r="D3033">
        <v>5.4831329999999996</v>
      </c>
      <c r="E3033">
        <v>0.53376049999999997</v>
      </c>
      <c r="F3033" t="s">
        <v>42</v>
      </c>
      <c r="G3033">
        <v>-220.59870000000001</v>
      </c>
      <c r="H3033">
        <v>1.0512010000000001</v>
      </c>
      <c r="I3033">
        <v>214.56880000000001</v>
      </c>
      <c r="J3033">
        <v>-221.08709999999999</v>
      </c>
      <c r="K3033">
        <v>1.1047849999999999</v>
      </c>
      <c r="L3033">
        <v>214.6292</v>
      </c>
      <c r="M3033">
        <v>0.99970230000000004</v>
      </c>
      <c r="N3033">
        <v>0</v>
      </c>
      <c r="O3033">
        <v>1.9961960000000001E-2</v>
      </c>
      <c r="P3033">
        <v>0.99952009999999902</v>
      </c>
      <c r="Q3033">
        <v>-5.9433130000000004E-3</v>
      </c>
      <c r="R3033">
        <v>3.040313E-2</v>
      </c>
      <c r="S3033">
        <v>3.0060579999999999</v>
      </c>
      <c r="T3033">
        <v>-0.20312269999999999</v>
      </c>
      <c r="U3033">
        <v>-0.20507809999999899</v>
      </c>
      <c r="V3033">
        <v>-1.044584E-2</v>
      </c>
      <c r="W3033">
        <v>8.0859419999999901E-3</v>
      </c>
      <c r="X3033">
        <v>0.99991269999999999</v>
      </c>
      <c r="Y3033">
        <v>8.7722960000000003E-2</v>
      </c>
      <c r="Z3033">
        <v>-4.3030209999999998E-3</v>
      </c>
      <c r="AA3033">
        <v>0.99613560000000001</v>
      </c>
      <c r="AB3033">
        <v>27</v>
      </c>
      <c r="AC3033">
        <v>0.48839999999998401</v>
      </c>
      <c r="AD3033">
        <v>-5.3584E-2</v>
      </c>
      <c r="AE3033">
        <v>-6.0399999999987103E-2</v>
      </c>
      <c r="AF3033">
        <v>6.9316547230056702E-2</v>
      </c>
      <c r="AG3033">
        <v>-5.3584E-2</v>
      </c>
      <c r="AH3033">
        <v>0.48138963147636799</v>
      </c>
      <c r="AI3033">
        <v>96.2871919219386</v>
      </c>
      <c r="AJ3033">
        <v>81.806151740420901</v>
      </c>
      <c r="AK3033">
        <v>0.48929746174372302</v>
      </c>
    </row>
    <row r="3034" spans="1:37" x14ac:dyDescent="0.2">
      <c r="A3034" t="str">
        <f>"20200111160216548"</f>
        <v>20200111160216548</v>
      </c>
      <c r="B3034" t="str">
        <f>"1578729736544829"</f>
        <v>1578729736544829</v>
      </c>
      <c r="C3034" t="s">
        <v>37</v>
      </c>
      <c r="D3034">
        <v>5.5572239999999997</v>
      </c>
      <c r="E3034">
        <v>0.53374370000000004</v>
      </c>
      <c r="F3034" t="s">
        <v>42</v>
      </c>
      <c r="G3034">
        <v>-220.1541</v>
      </c>
      <c r="H3034">
        <v>0.97667130000000002</v>
      </c>
      <c r="I3034">
        <v>214.58090000000001</v>
      </c>
      <c r="J3034">
        <v>-220.8544</v>
      </c>
      <c r="K3034">
        <v>1.1048039999999999</v>
      </c>
      <c r="L3034">
        <v>214.63409999999999</v>
      </c>
      <c r="M3034">
        <v>0.99969789999999903</v>
      </c>
      <c r="N3034">
        <v>0</v>
      </c>
      <c r="O3034">
        <v>2.0185229999999998E-2</v>
      </c>
      <c r="P3034">
        <v>0.99949920000000003</v>
      </c>
      <c r="Q3034">
        <v>-4.8824999999999997E-3</v>
      </c>
      <c r="R3034">
        <v>3.1271479999999997E-2</v>
      </c>
      <c r="S3034">
        <v>3.003708</v>
      </c>
      <c r="T3034">
        <v>-0.41253699999999999</v>
      </c>
      <c r="U3034">
        <v>-0.15509029999999999</v>
      </c>
      <c r="V3034">
        <v>-1.10917999999999E-2</v>
      </c>
      <c r="W3034">
        <v>9.1440040000000007E-3</v>
      </c>
      <c r="X3034">
        <v>0.99989660000000002</v>
      </c>
      <c r="Y3034">
        <v>7.0861480000000004E-2</v>
      </c>
      <c r="Z3034">
        <v>-7.5982539999999996E-3</v>
      </c>
      <c r="AA3034">
        <v>0.99745720000000004</v>
      </c>
      <c r="AB3034">
        <v>27</v>
      </c>
      <c r="AC3034">
        <v>0.70029999999999804</v>
      </c>
      <c r="AD3034">
        <v>-0.12813269999999999</v>
      </c>
      <c r="AE3034">
        <v>-5.3199999999975399E-2</v>
      </c>
      <c r="AF3034">
        <v>6.5157478836222305E-2</v>
      </c>
      <c r="AG3034">
        <v>-0.12813269999999999</v>
      </c>
      <c r="AH3034">
        <v>0.67656370052541104</v>
      </c>
      <c r="AI3034">
        <v>100.67584012413801</v>
      </c>
      <c r="AJ3034">
        <v>84.499009540182996</v>
      </c>
      <c r="AK3034">
        <v>0.69166605144839999</v>
      </c>
    </row>
    <row r="3035" spans="1:37" x14ac:dyDescent="0.2">
      <c r="A3035" t="str">
        <f>"20200111160216571"</f>
        <v>20200111160216571</v>
      </c>
      <c r="B3035" t="str">
        <f>"1578729736564856"</f>
        <v>1578729736564856</v>
      </c>
      <c r="C3035" t="s">
        <v>37</v>
      </c>
      <c r="D3035">
        <v>5.3674730000000004</v>
      </c>
      <c r="E3035">
        <v>0.53423299999999996</v>
      </c>
      <c r="F3035" t="s">
        <v>42</v>
      </c>
      <c r="G3035">
        <v>-220.13919999999999</v>
      </c>
      <c r="H3035">
        <v>1.0073920000000001</v>
      </c>
      <c r="I3035">
        <v>214.5977</v>
      </c>
      <c r="J3035">
        <v>-220.59229999999999</v>
      </c>
      <c r="K3035">
        <v>1.1048089999999999</v>
      </c>
      <c r="L3035">
        <v>214.6397</v>
      </c>
      <c r="M3035">
        <v>0.99969269999999999</v>
      </c>
      <c r="N3035">
        <v>0</v>
      </c>
      <c r="O3035">
        <v>2.0437179999999999E-2</v>
      </c>
      <c r="P3035">
        <v>0.99949639999999995</v>
      </c>
      <c r="Q3035">
        <v>-4.4293809999999996E-3</v>
      </c>
      <c r="R3035">
        <v>3.1425149999999999E-2</v>
      </c>
      <c r="S3035">
        <v>3.00430299999999</v>
      </c>
      <c r="T3035">
        <v>-0.40923109999999902</v>
      </c>
      <c r="U3035">
        <v>-0.1522522</v>
      </c>
      <c r="V3035">
        <v>-1.099401E-2</v>
      </c>
      <c r="W3035">
        <v>9.5941199999999994E-3</v>
      </c>
      <c r="X3035">
        <v>0.99989349999999999</v>
      </c>
      <c r="Y3035">
        <v>7.0180619999999999E-2</v>
      </c>
      <c r="Z3035">
        <v>-7.5246369999999998E-3</v>
      </c>
      <c r="AA3035">
        <v>0.99750589999999995</v>
      </c>
      <c r="AB3035">
        <v>27</v>
      </c>
      <c r="AC3035">
        <v>0.453100000000006</v>
      </c>
      <c r="AD3035">
        <v>-9.7416999999999795E-2</v>
      </c>
      <c r="AE3035">
        <v>-4.2000000000001501E-2</v>
      </c>
      <c r="AF3035">
        <v>4.9006188178231103E-2</v>
      </c>
      <c r="AG3035">
        <v>-9.7416999999999795E-2</v>
      </c>
      <c r="AH3035">
        <v>0.43233238351421799</v>
      </c>
      <c r="AI3035">
        <v>102.620115338136</v>
      </c>
      <c r="AJ3035">
        <v>83.532953346918802</v>
      </c>
      <c r="AK3035">
        <v>0.44587326473320299</v>
      </c>
    </row>
    <row r="3036" spans="1:37" x14ac:dyDescent="0.2">
      <c r="A3036" t="str">
        <f>"20200111160216592"</f>
        <v>20200111160216592</v>
      </c>
      <c r="B3036" t="str">
        <f>"1578729736585352"</f>
        <v>1578729736585352</v>
      </c>
      <c r="C3036" t="s">
        <v>37</v>
      </c>
      <c r="D3036">
        <v>5.3984079999999999</v>
      </c>
      <c r="E3036">
        <v>0.52800159999999996</v>
      </c>
      <c r="F3036" t="s">
        <v>42</v>
      </c>
      <c r="G3036">
        <v>-219.6704</v>
      </c>
      <c r="H3036">
        <v>0.97777839999999905</v>
      </c>
      <c r="I3036">
        <v>214.59190000000001</v>
      </c>
      <c r="J3036">
        <v>-220.33260000000001</v>
      </c>
      <c r="K3036">
        <v>1.1048089999999999</v>
      </c>
      <c r="L3036">
        <v>214.64519999999999</v>
      </c>
      <c r="M3036">
        <v>0.99968760000000001</v>
      </c>
      <c r="N3036">
        <v>0</v>
      </c>
      <c r="O3036">
        <v>2.0686980000000001E-2</v>
      </c>
      <c r="P3036">
        <v>0.99953309999999995</v>
      </c>
      <c r="Q3036">
        <v>-4.6159959999999998E-3</v>
      </c>
      <c r="R3036">
        <v>3.020925E-2</v>
      </c>
      <c r="S3036">
        <v>3.0045470000000001</v>
      </c>
      <c r="T3036">
        <v>-0.41410559999999902</v>
      </c>
      <c r="U3036">
        <v>-0.15542600000000001</v>
      </c>
      <c r="V3036">
        <v>-9.5278959999999992E-3</v>
      </c>
      <c r="W3036">
        <v>9.4057769999999902E-3</v>
      </c>
      <c r="X3036">
        <v>0.99991039999999998</v>
      </c>
      <c r="Y3036">
        <v>7.144267E-2</v>
      </c>
      <c r="Z3036">
        <v>-7.7333790000000003E-3</v>
      </c>
      <c r="AA3036">
        <v>0.99741469999999899</v>
      </c>
      <c r="AB3036">
        <v>27</v>
      </c>
      <c r="AC3036">
        <v>0.662200000000012</v>
      </c>
      <c r="AD3036">
        <v>-0.12703059999999999</v>
      </c>
      <c r="AE3036">
        <v>-5.3299999999978802E-2</v>
      </c>
      <c r="AF3036">
        <v>6.4625981341543598E-2</v>
      </c>
      <c r="AG3036">
        <v>-0.12703059999999999</v>
      </c>
      <c r="AH3036">
        <v>0.63764186708072101</v>
      </c>
      <c r="AI3036">
        <v>101.210951040859</v>
      </c>
      <c r="AJ3036">
        <v>84.212746680018995</v>
      </c>
      <c r="AK3036">
        <v>0.65337618678285603</v>
      </c>
    </row>
    <row r="3037" spans="1:37" x14ac:dyDescent="0.2">
      <c r="A3037" t="str">
        <f>"20200111160216613"</f>
        <v>20200111160216613</v>
      </c>
      <c r="B3037" t="str">
        <f>"1578729736604872"</f>
        <v>1578729736604872</v>
      </c>
      <c r="C3037" t="s">
        <v>37</v>
      </c>
      <c r="D3037">
        <v>5.4934459999999996</v>
      </c>
      <c r="E3037">
        <v>0.57146799999999998</v>
      </c>
      <c r="F3037" t="s">
        <v>54</v>
      </c>
      <c r="G3037">
        <v>-199.12599999999901</v>
      </c>
      <c r="H3037" s="1">
        <v>2.419994E-6</v>
      </c>
      <c r="I3037">
        <v>213.76769999999999</v>
      </c>
      <c r="J3037">
        <v>-220.07210000000001</v>
      </c>
      <c r="K3037">
        <v>1.104808</v>
      </c>
      <c r="L3037">
        <v>214.65090000000001</v>
      </c>
      <c r="M3037">
        <v>0.99968250000000003</v>
      </c>
      <c r="N3037">
        <v>0</v>
      </c>
      <c r="O3037">
        <v>2.09372E-2</v>
      </c>
      <c r="P3037">
        <v>0.99961449999999996</v>
      </c>
      <c r="Q3037">
        <v>-4.8886540000000001E-3</v>
      </c>
      <c r="R3037">
        <v>2.733698E-2</v>
      </c>
      <c r="S3037">
        <v>3.0044400000000002</v>
      </c>
      <c r="T3037">
        <v>-0.15652349999999901</v>
      </c>
      <c r="U3037">
        <v>-0.1243286</v>
      </c>
      <c r="V3037">
        <v>-6.403438E-3</v>
      </c>
      <c r="W3037">
        <v>9.1320849999999999E-3</v>
      </c>
      <c r="X3037">
        <v>0.99993779999999999</v>
      </c>
      <c r="Y3037">
        <v>6.2146020000000003E-2</v>
      </c>
      <c r="Z3037">
        <v>-2.7067709999999902E-3</v>
      </c>
      <c r="AA3037">
        <v>0.99806340000000004</v>
      </c>
      <c r="AB3037">
        <v>27</v>
      </c>
      <c r="AC3037">
        <v>20.946100000000001</v>
      </c>
      <c r="AD3037">
        <v>-1.1048055800059999</v>
      </c>
      <c r="AE3037">
        <v>-0.88320000000001597</v>
      </c>
      <c r="AF3037">
        <v>1.3179420672781901</v>
      </c>
      <c r="AG3037">
        <v>-1.1048055800059999</v>
      </c>
      <c r="AH3037">
        <v>20.8650693048459</v>
      </c>
      <c r="AI3037">
        <v>93.024964132808407</v>
      </c>
      <c r="AJ3037">
        <v>86.385713860749703</v>
      </c>
      <c r="AK3037">
        <v>20.935822977813299</v>
      </c>
    </row>
    <row r="3038" spans="1:37" x14ac:dyDescent="0.2">
      <c r="A3038" t="str">
        <f>"20200111160216637"</f>
        <v>20200111160216637</v>
      </c>
      <c r="B3038" t="str">
        <f>"1578729736625368"</f>
        <v>1578729736625368</v>
      </c>
      <c r="C3038" t="s">
        <v>37</v>
      </c>
      <c r="D3038">
        <v>5.3008300000000004</v>
      </c>
      <c r="E3038">
        <v>0.58410629999999997</v>
      </c>
      <c r="F3038" t="s">
        <v>54</v>
      </c>
      <c r="G3038">
        <v>-195.86150000000001</v>
      </c>
      <c r="H3038" s="1">
        <v>3.2597939999999999E-6</v>
      </c>
      <c r="I3038">
        <v>210.7852</v>
      </c>
      <c r="J3038">
        <v>-219.79259999999999</v>
      </c>
      <c r="K3038">
        <v>1.1048209999999901</v>
      </c>
      <c r="L3038">
        <v>214.65700000000001</v>
      </c>
      <c r="M3038">
        <v>0.99967689999999998</v>
      </c>
      <c r="N3038">
        <v>0</v>
      </c>
      <c r="O3038">
        <v>2.1205720000000001E-2</v>
      </c>
      <c r="P3038">
        <v>0.99972609999999995</v>
      </c>
      <c r="Q3038">
        <v>-2.8934350000000002E-3</v>
      </c>
      <c r="R3038">
        <v>2.3225429999999998E-2</v>
      </c>
      <c r="S3038">
        <v>3.0136409999999998</v>
      </c>
      <c r="T3038">
        <v>-0.1375219</v>
      </c>
      <c r="U3038">
        <v>-0.4811859</v>
      </c>
      <c r="V3038">
        <v>-2.0229189999999898E-3</v>
      </c>
      <c r="W3038">
        <v>1.112611E-2</v>
      </c>
      <c r="X3038">
        <v>0.99993600000000005</v>
      </c>
      <c r="Y3038">
        <v>0.17837639999999999</v>
      </c>
      <c r="Z3038">
        <v>-5.0038069999999999E-3</v>
      </c>
      <c r="AA3038">
        <v>0.98394959999999898</v>
      </c>
      <c r="AB3038">
        <v>27</v>
      </c>
      <c r="AC3038">
        <v>23.931099999999901</v>
      </c>
      <c r="AD3038">
        <v>-1.10481774020599</v>
      </c>
      <c r="AE3038">
        <v>-3.8717999999999999</v>
      </c>
      <c r="AF3038">
        <v>4.3693800874103204</v>
      </c>
      <c r="AG3038">
        <v>-1.10481774020599</v>
      </c>
      <c r="AH3038">
        <v>23.794185009622201</v>
      </c>
      <c r="AI3038">
        <v>92.614804088915207</v>
      </c>
      <c r="AJ3038">
        <v>79.594572495263094</v>
      </c>
      <c r="AK3038">
        <v>24.217253041157701</v>
      </c>
    </row>
    <row r="3039" spans="1:37" x14ac:dyDescent="0.2">
      <c r="A3039" t="str">
        <f>"20200111160216662"</f>
        <v>20200111160216662</v>
      </c>
      <c r="B3039" t="str">
        <f>"1578729736655155"</f>
        <v>1578729736655155</v>
      </c>
      <c r="C3039" t="s">
        <v>37</v>
      </c>
      <c r="D3039">
        <v>5.2875360000000002</v>
      </c>
      <c r="E3039">
        <v>0.59235329999999997</v>
      </c>
      <c r="F3039" t="s">
        <v>54</v>
      </c>
      <c r="G3039">
        <v>-203.4408</v>
      </c>
      <c r="H3039" s="1">
        <v>4.0191649999999997E-6</v>
      </c>
      <c r="I3039">
        <v>211.45529999999999</v>
      </c>
      <c r="J3039">
        <v>-219.47640000000001</v>
      </c>
      <c r="K3039">
        <v>1.1048229999999899</v>
      </c>
      <c r="L3039">
        <v>214.66409999999999</v>
      </c>
      <c r="M3039">
        <v>0.99967039999999996</v>
      </c>
      <c r="N3039">
        <v>0</v>
      </c>
      <c r="O3039">
        <v>2.1509759999999999E-2</v>
      </c>
      <c r="P3039">
        <v>0.99979750000000001</v>
      </c>
      <c r="Q3039">
        <v>5.5212900000000005E-4</v>
      </c>
      <c r="R3039">
        <v>2.0124329999999999E-2</v>
      </c>
      <c r="S3039">
        <v>3.0139469999999999</v>
      </c>
      <c r="T3039">
        <v>-0.20363800000000001</v>
      </c>
      <c r="U3039">
        <v>-0.59014889999999998</v>
      </c>
      <c r="V3039">
        <v>1.3816099999999999E-3</v>
      </c>
      <c r="W3039">
        <v>1.456907E-2</v>
      </c>
      <c r="X3039">
        <v>0.99989289999999997</v>
      </c>
      <c r="Y3039">
        <v>0.2127087</v>
      </c>
      <c r="Z3039">
        <v>-8.5492429999999998E-3</v>
      </c>
      <c r="AA3039">
        <v>0.97707829999999996</v>
      </c>
      <c r="AB3039">
        <v>27</v>
      </c>
      <c r="AC3039">
        <v>16.035599999999999</v>
      </c>
      <c r="AD3039">
        <v>-1.104818980835</v>
      </c>
      <c r="AE3039">
        <v>-3.2087999999999899</v>
      </c>
      <c r="AF3039">
        <v>3.5368704014636201</v>
      </c>
      <c r="AG3039">
        <v>-1.104818980835</v>
      </c>
      <c r="AH3039">
        <v>15.890335895039801</v>
      </c>
      <c r="AI3039">
        <v>93.882534783666699</v>
      </c>
      <c r="AJ3039">
        <v>77.451661211981005</v>
      </c>
      <c r="AK3039">
        <v>16.316643407096699</v>
      </c>
    </row>
    <row r="3040" spans="1:37" x14ac:dyDescent="0.2">
      <c r="A3040" t="str">
        <f>"20200111160216685"</f>
        <v>20200111160216685</v>
      </c>
      <c r="B3040" t="str">
        <f>"1578729736675652"</f>
        <v>1578729736675652</v>
      </c>
      <c r="C3040" t="s">
        <v>37</v>
      </c>
      <c r="D3040">
        <v>5.3138339999999999</v>
      </c>
      <c r="E3040">
        <v>0.59449479999999999</v>
      </c>
      <c r="F3040" t="s">
        <v>54</v>
      </c>
      <c r="G3040">
        <v>-204.24510000000001</v>
      </c>
      <c r="H3040" s="1">
        <v>4.3886279999999997E-6</v>
      </c>
      <c r="I3040">
        <v>211.30940000000001</v>
      </c>
      <c r="J3040">
        <v>-219.20930000000001</v>
      </c>
      <c r="K3040">
        <v>1.1048260000000001</v>
      </c>
      <c r="L3040">
        <v>214.67009999999999</v>
      </c>
      <c r="M3040">
        <v>0.99966489999999997</v>
      </c>
      <c r="N3040">
        <v>0</v>
      </c>
      <c r="O3040">
        <v>2.176672E-2</v>
      </c>
      <c r="P3040">
        <v>0.99983659999999996</v>
      </c>
      <c r="Q3040">
        <v>2.9046929999999999E-3</v>
      </c>
      <c r="R3040">
        <v>1.7852839999999998E-2</v>
      </c>
      <c r="S3040">
        <v>3.0140989999999999</v>
      </c>
      <c r="T3040">
        <v>-0.21863189999999999</v>
      </c>
      <c r="U3040">
        <v>-0.66384889999999996</v>
      </c>
      <c r="V3040">
        <v>3.9095010000000001E-3</v>
      </c>
      <c r="W3040">
        <v>1.691958E-2</v>
      </c>
      <c r="X3040">
        <v>0.99984919999999999</v>
      </c>
      <c r="Y3040">
        <v>0.23565520000000001</v>
      </c>
      <c r="Z3040">
        <v>-9.9940769999999901E-3</v>
      </c>
      <c r="AA3040">
        <v>0.97178539999999902</v>
      </c>
      <c r="AB3040">
        <v>27</v>
      </c>
      <c r="AC3040">
        <v>14.9642</v>
      </c>
      <c r="AD3040">
        <v>-1.104821611372</v>
      </c>
      <c r="AE3040">
        <v>-3.36069999999998</v>
      </c>
      <c r="AF3040">
        <v>3.6666299700004199</v>
      </c>
      <c r="AG3040">
        <v>-1.104821611372</v>
      </c>
      <c r="AH3040">
        <v>14.8106387830454</v>
      </c>
      <c r="AI3040">
        <v>94.141586455667493</v>
      </c>
      <c r="AJ3040">
        <v>76.095015432240103</v>
      </c>
      <c r="AK3040">
        <v>15.297706602354101</v>
      </c>
    </row>
    <row r="3041" spans="1:37" x14ac:dyDescent="0.2">
      <c r="A3041" t="str">
        <f>"20200111160216705"</f>
        <v>20200111160216705</v>
      </c>
      <c r="B3041" t="str">
        <f>"1578729736695172"</f>
        <v>1578729736695172</v>
      </c>
      <c r="C3041" t="s">
        <v>37</v>
      </c>
      <c r="D3041">
        <v>5.3153199999999998</v>
      </c>
      <c r="E3041">
        <v>0.59593809999999903</v>
      </c>
      <c r="F3041" t="s">
        <v>54</v>
      </c>
      <c r="G3041">
        <v>-204.011</v>
      </c>
      <c r="H3041" s="1">
        <v>4.2938560000000001E-6</v>
      </c>
      <c r="I3041">
        <v>211.2056</v>
      </c>
      <c r="J3041">
        <v>-218.9665</v>
      </c>
      <c r="K3041">
        <v>1.104816</v>
      </c>
      <c r="L3041">
        <v>214.6756</v>
      </c>
      <c r="M3041">
        <v>0.99965979999999999</v>
      </c>
      <c r="N3041">
        <v>0</v>
      </c>
      <c r="O3041">
        <v>2.1999950000000001E-2</v>
      </c>
      <c r="P3041">
        <v>0.99984669999999898</v>
      </c>
      <c r="Q3041">
        <v>3.0529390000000002E-3</v>
      </c>
      <c r="R3041">
        <v>1.7251499999999999E-2</v>
      </c>
      <c r="S3041">
        <v>3.0133969999999999</v>
      </c>
      <c r="T3041">
        <v>-0.219055</v>
      </c>
      <c r="U3041">
        <v>-0.68692019999999998</v>
      </c>
      <c r="V3041">
        <v>4.7441799999999998E-3</v>
      </c>
      <c r="W3041">
        <v>1.7065469999999999E-2</v>
      </c>
      <c r="X3041">
        <v>0.99984309999999998</v>
      </c>
      <c r="Y3041">
        <v>0.24298639999999999</v>
      </c>
      <c r="Z3041">
        <v>-1.028692E-2</v>
      </c>
      <c r="AA3041">
        <v>0.96997509999999998</v>
      </c>
      <c r="AB3041">
        <v>27</v>
      </c>
      <c r="AC3041">
        <v>14.955500000000001</v>
      </c>
      <c r="AD3041">
        <v>-1.1048117061439999</v>
      </c>
      <c r="AE3041">
        <v>-3.46999999999999</v>
      </c>
      <c r="AF3041">
        <v>3.7786449025110498</v>
      </c>
      <c r="AG3041">
        <v>-1.1048117061439999</v>
      </c>
      <c r="AH3041">
        <v>14.7988965045484</v>
      </c>
      <c r="AI3041">
        <v>94.137245544109803</v>
      </c>
      <c r="AJ3041">
        <v>75.676541303869897</v>
      </c>
      <c r="AK3041">
        <v>15.3135921310984</v>
      </c>
    </row>
    <row r="3042" spans="1:37" x14ac:dyDescent="0.2">
      <c r="A3042" t="str">
        <f>"20200111160216726"</f>
        <v>20200111160216726</v>
      </c>
      <c r="B3042" t="str">
        <f>"1578729736714692"</f>
        <v>1578729736714692</v>
      </c>
      <c r="C3042" t="s">
        <v>37</v>
      </c>
      <c r="D3042">
        <v>5.2964370000000001</v>
      </c>
      <c r="E3042">
        <v>0.5965897</v>
      </c>
      <c r="F3042" t="s">
        <v>54</v>
      </c>
      <c r="G3042">
        <v>-203.9905</v>
      </c>
      <c r="H3042" s="1">
        <v>4.2855400000000001E-6</v>
      </c>
      <c r="I3042">
        <v>211.1969</v>
      </c>
      <c r="J3042">
        <v>-218.72720000000001</v>
      </c>
      <c r="K3042">
        <v>1.1047959999999999</v>
      </c>
      <c r="L3042">
        <v>214.68119999999999</v>
      </c>
      <c r="M3042">
        <v>0.99965469999999901</v>
      </c>
      <c r="N3042">
        <v>0</v>
      </c>
      <c r="O3042">
        <v>2.223021E-2</v>
      </c>
      <c r="P3042">
        <v>0.99984240000000002</v>
      </c>
      <c r="Q3042">
        <v>1.4990379999999901E-3</v>
      </c>
      <c r="R3042">
        <v>1.76919E-2</v>
      </c>
      <c r="S3042">
        <v>3.0132140000000001</v>
      </c>
      <c r="T3042">
        <v>-0.22229160000000001</v>
      </c>
      <c r="U3042">
        <v>-0.69993590000000006</v>
      </c>
      <c r="V3042">
        <v>4.5347440000000003E-3</v>
      </c>
      <c r="W3042">
        <v>1.550881E-2</v>
      </c>
      <c r="X3042">
        <v>0.99986949999999997</v>
      </c>
      <c r="Y3042">
        <v>0.2471689</v>
      </c>
      <c r="Z3042">
        <v>-1.0603E-2</v>
      </c>
      <c r="AA3042">
        <v>0.96891439999999995</v>
      </c>
      <c r="AB3042">
        <v>27</v>
      </c>
      <c r="AC3042">
        <v>14.736700000000001</v>
      </c>
      <c r="AD3042">
        <v>-1.1047917144599999</v>
      </c>
      <c r="AE3042">
        <v>-3.48429999999999</v>
      </c>
      <c r="AF3042">
        <v>3.7908928817519101</v>
      </c>
      <c r="AG3042">
        <v>-1.1047917144599999</v>
      </c>
      <c r="AH3042">
        <v>14.5779980782793</v>
      </c>
      <c r="AI3042">
        <v>94.194879172671094</v>
      </c>
      <c r="AJ3042">
        <v>75.423525706332001</v>
      </c>
      <c r="AK3042">
        <v>15.1032930695121</v>
      </c>
    </row>
    <row r="3043" spans="1:37" x14ac:dyDescent="0.2">
      <c r="A3043" t="str">
        <f>"20200111160216750"</f>
        <v>20200111160216750</v>
      </c>
      <c r="B3043" t="str">
        <f>"1578729736744947"</f>
        <v>1578729736744947</v>
      </c>
      <c r="C3043" t="s">
        <v>37</v>
      </c>
      <c r="D3043">
        <v>5.913062</v>
      </c>
      <c r="E3043">
        <v>0.59680330000000004</v>
      </c>
      <c r="F3043" t="s">
        <v>54</v>
      </c>
      <c r="G3043">
        <v>-204.37989999999999</v>
      </c>
      <c r="H3043" s="1">
        <v>4.4463150000000003E-6</v>
      </c>
      <c r="I3043">
        <v>211.3329</v>
      </c>
      <c r="J3043">
        <v>-218.4417</v>
      </c>
      <c r="K3043">
        <v>1.1047739999999999</v>
      </c>
      <c r="L3043">
        <v>214.68780000000001</v>
      </c>
      <c r="M3043">
        <v>0.99964869999999995</v>
      </c>
      <c r="N3043">
        <v>0</v>
      </c>
      <c r="O3043">
        <v>2.250421E-2</v>
      </c>
      <c r="P3043">
        <v>0.99981549999999997</v>
      </c>
      <c r="Q3043">
        <v>2.939962E-4</v>
      </c>
      <c r="R3043">
        <v>1.9222099999999999E-2</v>
      </c>
      <c r="S3043">
        <v>3.013245</v>
      </c>
      <c r="T3043">
        <v>-0.23202990000000001</v>
      </c>
      <c r="U3043">
        <v>-0.70320130000000003</v>
      </c>
      <c r="V3043">
        <v>3.2789400000000002E-3</v>
      </c>
      <c r="W3043">
        <v>1.430064E-2</v>
      </c>
      <c r="X3043">
        <v>0.99989240000000001</v>
      </c>
      <c r="Y3043">
        <v>0.248362</v>
      </c>
      <c r="Z3043">
        <v>-1.1130849999999999E-2</v>
      </c>
      <c r="AA3043">
        <v>0.96860329999999994</v>
      </c>
      <c r="AB3043">
        <v>27</v>
      </c>
      <c r="AC3043">
        <v>14.0618</v>
      </c>
      <c r="AD3043">
        <v>-1.104769553685</v>
      </c>
      <c r="AE3043">
        <v>-3.35490000000001</v>
      </c>
      <c r="AF3043">
        <v>3.6492191906389899</v>
      </c>
      <c r="AG3043">
        <v>-1.104769553685</v>
      </c>
      <c r="AH3043">
        <v>13.901545217713</v>
      </c>
      <c r="AI3043">
        <v>94.395495067857794</v>
      </c>
      <c r="AJ3043">
        <v>75.291450980501395</v>
      </c>
      <c r="AK3043">
        <v>14.414932393466099</v>
      </c>
    </row>
    <row r="3044" spans="1:37" x14ac:dyDescent="0.2">
      <c r="A3044" t="str">
        <f>"20200111160216773"</f>
        <v>20200111160216773</v>
      </c>
      <c r="B3044" t="str">
        <f>"1578729736764975"</f>
        <v>1578729736764975</v>
      </c>
      <c r="C3044" t="s">
        <v>37</v>
      </c>
      <c r="D3044">
        <v>5.35968</v>
      </c>
      <c r="E3044">
        <v>0.59830430000000001</v>
      </c>
      <c r="F3044" t="s">
        <v>54</v>
      </c>
      <c r="G3044">
        <v>-204.61760000000001</v>
      </c>
      <c r="H3044" s="1">
        <v>4.5389769999999997E-6</v>
      </c>
      <c r="I3044">
        <v>211.47890000000001</v>
      </c>
      <c r="J3044">
        <v>-218.15369999999999</v>
      </c>
      <c r="K3044">
        <v>1.104757</v>
      </c>
      <c r="L3044">
        <v>214.69460000000001</v>
      </c>
      <c r="M3044">
        <v>0.99964240000000004</v>
      </c>
      <c r="N3044">
        <v>0</v>
      </c>
      <c r="O3044">
        <v>2.2781719999999998E-2</v>
      </c>
      <c r="P3044">
        <v>0.99977349999999998</v>
      </c>
      <c r="Q3044">
        <v>-5.4004789999999997E-4</v>
      </c>
      <c r="R3044">
        <v>2.1279619999999999E-2</v>
      </c>
      <c r="S3044">
        <v>3.01411399999999</v>
      </c>
      <c r="T3044">
        <v>-0.2408756</v>
      </c>
      <c r="U3044">
        <v>-0.69964599999999999</v>
      </c>
      <c r="V3044">
        <v>1.499046E-3</v>
      </c>
      <c r="W3044">
        <v>1.346292E-2</v>
      </c>
      <c r="X3044">
        <v>0.99990829999999997</v>
      </c>
      <c r="Y3044">
        <v>0.24742819999999999</v>
      </c>
      <c r="Z3044">
        <v>-1.15372999999999E-2</v>
      </c>
      <c r="AA3044">
        <v>0.96883759999999997</v>
      </c>
      <c r="AB3044">
        <v>27</v>
      </c>
      <c r="AC3044">
        <v>13.5360999999999</v>
      </c>
      <c r="AD3044">
        <v>-1.104752461023</v>
      </c>
      <c r="AE3044">
        <v>-3.2156999999999898</v>
      </c>
      <c r="AF3044">
        <v>3.5011953623071799</v>
      </c>
      <c r="AG3044">
        <v>-1.104752461023</v>
      </c>
      <c r="AH3044">
        <v>13.3749877855302</v>
      </c>
      <c r="AI3044">
        <v>94.568569138871396</v>
      </c>
      <c r="AJ3044">
        <v>75.330733288399998</v>
      </c>
      <c r="AK3044">
        <v>13.869720445209399</v>
      </c>
    </row>
    <row r="3045" spans="1:37" x14ac:dyDescent="0.2">
      <c r="A3045" t="str">
        <f>"20200111160216801"</f>
        <v>20200111160216801</v>
      </c>
      <c r="B3045" t="str">
        <f>"1578729736795234"</f>
        <v>1578729736795234</v>
      </c>
      <c r="C3045" t="s">
        <v>37</v>
      </c>
      <c r="D3045">
        <v>5.9673489999999996</v>
      </c>
      <c r="E3045">
        <v>0.60195699999999996</v>
      </c>
      <c r="F3045" t="s">
        <v>67</v>
      </c>
      <c r="G3045">
        <v>-168.41220000000001</v>
      </c>
      <c r="H3045">
        <v>1.4049209999999901</v>
      </c>
      <c r="I3045">
        <v>202.77199999999999</v>
      </c>
      <c r="J3045">
        <v>-217.83539999999999</v>
      </c>
      <c r="K3045">
        <v>1.104751</v>
      </c>
      <c r="L3045">
        <v>214.7022</v>
      </c>
      <c r="M3045">
        <v>0.99963559999999996</v>
      </c>
      <c r="N3045">
        <v>0</v>
      </c>
      <c r="O3045">
        <v>2.308785E-2</v>
      </c>
      <c r="P3045">
        <v>0.99973009999999995</v>
      </c>
      <c r="Q3045">
        <v>-1.713745E-4</v>
      </c>
      <c r="R3045">
        <v>2.3232590000000001E-2</v>
      </c>
      <c r="S3045">
        <v>3.0160979999999999</v>
      </c>
      <c r="T3045">
        <v>1.820254E-2</v>
      </c>
      <c r="U3045">
        <v>-0.72293090000000004</v>
      </c>
      <c r="V3045">
        <v>-1.481074E-4</v>
      </c>
      <c r="W3045">
        <v>1.382719E-2</v>
      </c>
      <c r="X3045">
        <v>0.99990440000000003</v>
      </c>
      <c r="Y3045">
        <v>0.25547579999999998</v>
      </c>
      <c r="Z3045">
        <v>8.9763189999999995E-4</v>
      </c>
      <c r="AA3045">
        <v>0.96681510000000004</v>
      </c>
      <c r="AB3045">
        <v>27</v>
      </c>
      <c r="AC3045">
        <v>49.423199999999902</v>
      </c>
      <c r="AD3045">
        <v>0.30016999999999899</v>
      </c>
      <c r="AE3045">
        <v>-11.9301999999999</v>
      </c>
      <c r="AF3045">
        <v>13.067750827594701</v>
      </c>
      <c r="AG3045">
        <v>0.30016999999999899</v>
      </c>
      <c r="AH3045">
        <v>49.132840992063798</v>
      </c>
      <c r="AI3045">
        <v>89.661723976944998</v>
      </c>
      <c r="AJ3045">
        <v>75.105976083395703</v>
      </c>
      <c r="AK3045">
        <v>50.841835899900701</v>
      </c>
    </row>
    <row r="3046" spans="1:37" x14ac:dyDescent="0.2">
      <c r="A3046" t="str">
        <f>"20200111160216823"</f>
        <v>20200111160216823</v>
      </c>
      <c r="B3046" t="str">
        <f>"1578729736814751"</f>
        <v>1578729736814751</v>
      </c>
      <c r="C3046" t="s">
        <v>37</v>
      </c>
      <c r="D3046">
        <v>5.3685489999999998</v>
      </c>
      <c r="E3046">
        <v>0.60285489999999997</v>
      </c>
      <c r="F3046" t="s">
        <v>67</v>
      </c>
      <c r="G3046">
        <v>-168.41229999999999</v>
      </c>
      <c r="H3046">
        <v>1.4821029999999999</v>
      </c>
      <c r="I3046">
        <v>202.4769</v>
      </c>
      <c r="J3046">
        <v>-217.55799999999999</v>
      </c>
      <c r="K3046">
        <v>1.104757</v>
      </c>
      <c r="L3046">
        <v>214.7089</v>
      </c>
      <c r="M3046">
        <v>0.99962949999999995</v>
      </c>
      <c r="N3046">
        <v>0</v>
      </c>
      <c r="O3046">
        <v>2.3349720000000001E-2</v>
      </c>
      <c r="P3046">
        <v>0.9997028</v>
      </c>
      <c r="Q3046">
        <v>9.3424320000000003E-4</v>
      </c>
      <c r="R3046">
        <v>2.4365080000000001E-2</v>
      </c>
      <c r="S3046">
        <v>3.0181429999999998</v>
      </c>
      <c r="T3046">
        <v>2.3045900000000001E-2</v>
      </c>
      <c r="U3046">
        <v>-0.74656679999999997</v>
      </c>
      <c r="V3046">
        <v>-1.019189E-3</v>
      </c>
      <c r="W3046">
        <v>1.492952E-2</v>
      </c>
      <c r="X3046">
        <v>0.999887999999999</v>
      </c>
      <c r="Y3046">
        <v>0.26271800000000001</v>
      </c>
      <c r="Z3046">
        <v>1.1638989999999999E-3</v>
      </c>
      <c r="AA3046">
        <v>0.9648719</v>
      </c>
      <c r="AB3046">
        <v>27</v>
      </c>
      <c r="AC3046">
        <v>49.145699999999998</v>
      </c>
      <c r="AD3046">
        <v>0.37734600000000001</v>
      </c>
      <c r="AE3046">
        <v>-12.231999999999999</v>
      </c>
      <c r="AF3046">
        <v>13.3755724658922</v>
      </c>
      <c r="AG3046">
        <v>0.37734600000000001</v>
      </c>
      <c r="AH3046">
        <v>48.8439449410523</v>
      </c>
      <c r="AI3046">
        <v>89.573085011281606</v>
      </c>
      <c r="AJ3046">
        <v>74.685397323898997</v>
      </c>
      <c r="AK3046">
        <v>50.643650008649601</v>
      </c>
    </row>
    <row r="3047" spans="1:37" x14ac:dyDescent="0.2">
      <c r="A3047" t="str">
        <f>"20200111160216847"</f>
        <v>20200111160216847</v>
      </c>
      <c r="B3047" t="str">
        <f>"1578729736845007"</f>
        <v>1578729736845007</v>
      </c>
      <c r="C3047" t="s">
        <v>37</v>
      </c>
      <c r="D3047">
        <v>5.3049549999999996</v>
      </c>
      <c r="E3047">
        <v>0.60218380000000005</v>
      </c>
      <c r="F3047" t="s">
        <v>67</v>
      </c>
      <c r="G3047">
        <v>-168.41229999999999</v>
      </c>
      <c r="H3047">
        <v>1.485285</v>
      </c>
      <c r="I3047">
        <v>202.4957</v>
      </c>
      <c r="J3047">
        <v>-217.2713</v>
      </c>
      <c r="K3047">
        <v>1.104746</v>
      </c>
      <c r="L3047">
        <v>214.7159</v>
      </c>
      <c r="M3047">
        <v>0.999623699999999</v>
      </c>
      <c r="N3047">
        <v>0</v>
      </c>
      <c r="O3047">
        <v>2.360042E-2</v>
      </c>
      <c r="P3047">
        <v>0.99973539999999905</v>
      </c>
      <c r="Q3047">
        <v>1.5910900000000001E-3</v>
      </c>
      <c r="R3047">
        <v>2.2960310000000001E-2</v>
      </c>
      <c r="S3047">
        <v>3.0191499999999998</v>
      </c>
      <c r="T3047">
        <v>2.337885E-2</v>
      </c>
      <c r="U3047">
        <v>-0.75028989999999995</v>
      </c>
      <c r="V3047">
        <v>6.3654330000000004E-4</v>
      </c>
      <c r="W3047">
        <v>1.558414E-2</v>
      </c>
      <c r="X3047">
        <v>0.9998783</v>
      </c>
      <c r="Y3047">
        <v>0.2640054</v>
      </c>
      <c r="Z3047">
        <v>1.1869839999999899E-3</v>
      </c>
      <c r="AA3047">
        <v>0.9645205</v>
      </c>
      <c r="AB3047">
        <v>27</v>
      </c>
      <c r="AC3047">
        <v>48.859000000000002</v>
      </c>
      <c r="AD3047">
        <v>0.38053899999999902</v>
      </c>
      <c r="AE3047">
        <v>-12.2202</v>
      </c>
      <c r="AF3047">
        <v>13.3692380525271</v>
      </c>
      <c r="AG3047">
        <v>0.38053899999999902</v>
      </c>
      <c r="AH3047">
        <v>48.554186718277698</v>
      </c>
      <c r="AI3047">
        <v>89.567069793456298</v>
      </c>
      <c r="AJ3047">
        <v>74.605279314578297</v>
      </c>
      <c r="AK3047">
        <v>50.362589130316103</v>
      </c>
    </row>
    <row r="3048" spans="1:37" x14ac:dyDescent="0.2">
      <c r="A3048" t="str">
        <f>"20200111160216870"</f>
        <v>20200111160216870</v>
      </c>
      <c r="B3048" t="str">
        <f>"1578729736865034"</f>
        <v>1578729736865034</v>
      </c>
      <c r="C3048" t="s">
        <v>37</v>
      </c>
      <c r="D3048">
        <v>5.2771099999999898</v>
      </c>
      <c r="E3048">
        <v>0.60277650000000005</v>
      </c>
      <c r="F3048" t="s">
        <v>54</v>
      </c>
      <c r="G3048">
        <v>-205.02090000000001</v>
      </c>
      <c r="H3048" s="1">
        <v>4.6931820000000002E-6</v>
      </c>
      <c r="I3048">
        <v>211.76079999999999</v>
      </c>
      <c r="J3048">
        <v>-217.01159999999999</v>
      </c>
      <c r="K3048">
        <v>1.104724</v>
      </c>
      <c r="L3048">
        <v>214.72219999999999</v>
      </c>
      <c r="M3048">
        <v>0.99961919999999904</v>
      </c>
      <c r="N3048">
        <v>0</v>
      </c>
      <c r="O3048">
        <v>2.3792830000000001E-2</v>
      </c>
      <c r="P3048">
        <v>0.99982169999999904</v>
      </c>
      <c r="Q3048">
        <v>1.1172070000000001E-3</v>
      </c>
      <c r="R3048">
        <v>1.8859750000000002E-2</v>
      </c>
      <c r="S3048">
        <v>3.017944</v>
      </c>
      <c r="T3048">
        <v>-0.27215869999999998</v>
      </c>
      <c r="U3048">
        <v>-0.7279968</v>
      </c>
      <c r="V3048">
        <v>4.93148799999999E-3</v>
      </c>
      <c r="W3048">
        <v>1.510879E-2</v>
      </c>
      <c r="X3048">
        <v>0.99987369999999898</v>
      </c>
      <c r="Y3048">
        <v>0.25648549999999998</v>
      </c>
      <c r="Z3048">
        <v>-1.349206E-2</v>
      </c>
      <c r="AA3048">
        <v>0.96645389999999998</v>
      </c>
      <c r="AB3048">
        <v>27</v>
      </c>
      <c r="AC3048">
        <v>11.990699999999901</v>
      </c>
      <c r="AD3048">
        <v>-1.1047193068179999</v>
      </c>
      <c r="AE3048">
        <v>-2.96139999999999</v>
      </c>
      <c r="AF3048">
        <v>3.2201204445632499</v>
      </c>
      <c r="AG3048">
        <v>-1.1047193068179999</v>
      </c>
      <c r="AH3048">
        <v>11.8222574993561</v>
      </c>
      <c r="AI3048">
        <v>95.151824373583295</v>
      </c>
      <c r="AJ3048">
        <v>74.763520231951702</v>
      </c>
      <c r="AK3048">
        <v>12.3026563312739</v>
      </c>
    </row>
    <row r="3049" spans="1:37" x14ac:dyDescent="0.2">
      <c r="A3049" t="str">
        <f>"20200111160216888"</f>
        <v>20200111160216888</v>
      </c>
      <c r="B3049" t="str">
        <f>"1578729736884556"</f>
        <v>1578729736884556</v>
      </c>
      <c r="C3049" t="s">
        <v>37</v>
      </c>
      <c r="D3049">
        <v>5.29718</v>
      </c>
      <c r="E3049">
        <v>0.60310540000000001</v>
      </c>
      <c r="F3049" t="s">
        <v>54</v>
      </c>
      <c r="G3049">
        <v>-204.83179999999999</v>
      </c>
      <c r="H3049" s="1">
        <v>4.6134029999999996E-6</v>
      </c>
      <c r="I3049">
        <v>211.71440000000001</v>
      </c>
      <c r="J3049">
        <v>-216.7825</v>
      </c>
      <c r="K3049">
        <v>1.1046899999999999</v>
      </c>
      <c r="L3049">
        <v>214.7278</v>
      </c>
      <c r="M3049">
        <v>0.99961610000000001</v>
      </c>
      <c r="N3049">
        <v>0</v>
      </c>
      <c r="O3049">
        <v>2.392323E-2</v>
      </c>
      <c r="P3049">
        <v>0.99991770000000002</v>
      </c>
      <c r="Q3049" s="1">
        <v>2.209842E-5</v>
      </c>
      <c r="R3049">
        <v>1.2840280000000001E-2</v>
      </c>
      <c r="S3049">
        <v>3.0148769999999998</v>
      </c>
      <c r="T3049">
        <v>-0.27345359999999902</v>
      </c>
      <c r="U3049">
        <v>-0.74453740000000002</v>
      </c>
      <c r="V3049">
        <v>1.108339E-2</v>
      </c>
      <c r="W3049">
        <v>1.4012180000000001E-2</v>
      </c>
      <c r="X3049">
        <v>0.99984039999999996</v>
      </c>
      <c r="Y3049">
        <v>0.26180369999999997</v>
      </c>
      <c r="Z3049">
        <v>-1.380954E-2</v>
      </c>
      <c r="AA3049">
        <v>0.9650223</v>
      </c>
      <c r="AB3049">
        <v>27</v>
      </c>
      <c r="AC3049">
        <v>11.950699999999999</v>
      </c>
      <c r="AD3049">
        <v>-1.1046853865970001</v>
      </c>
      <c r="AE3049">
        <v>-3.0133999999999901</v>
      </c>
      <c r="AF3049">
        <v>3.2721767125631902</v>
      </c>
      <c r="AG3049">
        <v>-1.1046853865970001</v>
      </c>
      <c r="AH3049">
        <v>11.780539447636899</v>
      </c>
      <c r="AI3049">
        <v>95.162738182567495</v>
      </c>
      <c r="AJ3049">
        <v>74.476771079537102</v>
      </c>
      <c r="AK3049">
        <v>12.276342285833</v>
      </c>
    </row>
    <row r="3050" spans="1:37" x14ac:dyDescent="0.2">
      <c r="A3050" t="str">
        <f>"20200111160216907"</f>
        <v>20200111160216907</v>
      </c>
      <c r="B3050" t="str">
        <f>"1578729736895290"</f>
        <v>1578729736895290</v>
      </c>
      <c r="C3050" t="s">
        <v>37</v>
      </c>
      <c r="D3050">
        <v>5.2794119999999998</v>
      </c>
      <c r="E3050">
        <v>0.6031166</v>
      </c>
      <c r="F3050" t="s">
        <v>54</v>
      </c>
      <c r="G3050">
        <v>-204.89959999999999</v>
      </c>
      <c r="H3050" s="1">
        <v>4.6438490000000002E-6</v>
      </c>
      <c r="I3050">
        <v>211.70959999999999</v>
      </c>
      <c r="J3050">
        <v>-216.57089999999999</v>
      </c>
      <c r="K3050">
        <v>1.104652</v>
      </c>
      <c r="L3050">
        <v>214.7329</v>
      </c>
      <c r="M3050">
        <v>0.99961390000000006</v>
      </c>
      <c r="N3050">
        <v>0</v>
      </c>
      <c r="O3050">
        <v>2.4012680000000002E-2</v>
      </c>
      <c r="P3050">
        <v>0.99997380000000002</v>
      </c>
      <c r="Q3050">
        <v>-2.220381E-3</v>
      </c>
      <c r="R3050">
        <v>6.8996259999999998E-3</v>
      </c>
      <c r="S3050">
        <v>3.0100859999999998</v>
      </c>
      <c r="T3050">
        <v>-0.27982940000000001</v>
      </c>
      <c r="U3050">
        <v>-0.76454160000000004</v>
      </c>
      <c r="V3050">
        <v>1.7114750000000001E-2</v>
      </c>
      <c r="W3050">
        <v>1.176599E-2</v>
      </c>
      <c r="X3050">
        <v>0.99978429999999996</v>
      </c>
      <c r="Y3050">
        <v>0.26819599999999999</v>
      </c>
      <c r="Z3050">
        <v>-1.444088E-2</v>
      </c>
      <c r="AA3050">
        <v>0.96325609999999995</v>
      </c>
      <c r="AB3050">
        <v>27</v>
      </c>
      <c r="AC3050">
        <v>11.6713</v>
      </c>
      <c r="AD3050">
        <v>-1.104647356151</v>
      </c>
      <c r="AE3050">
        <v>-3.0232999999999999</v>
      </c>
      <c r="AF3050">
        <v>3.2752202627607501</v>
      </c>
      <c r="AG3050">
        <v>-1.104647356151</v>
      </c>
      <c r="AH3050">
        <v>11.4988006999888</v>
      </c>
      <c r="AI3050">
        <v>95.278661304749804</v>
      </c>
      <c r="AJ3050">
        <v>74.101379332759095</v>
      </c>
      <c r="AK3050">
        <v>12.0070700459818</v>
      </c>
    </row>
    <row r="3051" spans="1:37" x14ac:dyDescent="0.2">
      <c r="A3051" t="str">
        <f>"20200111160216930"</f>
        <v>20200111160216930</v>
      </c>
      <c r="B3051" t="str">
        <f>"1578729736924571"</f>
        <v>1578729736924571</v>
      </c>
      <c r="C3051" t="s">
        <v>37</v>
      </c>
      <c r="D3051">
        <v>5.3257300000000001</v>
      </c>
      <c r="E3051">
        <v>0.60274729999999999</v>
      </c>
      <c r="F3051" t="s">
        <v>54</v>
      </c>
      <c r="G3051">
        <v>-205.0829</v>
      </c>
      <c r="H3051" s="1">
        <v>4.7221780000000001E-6</v>
      </c>
      <c r="I3051">
        <v>211.74350000000001</v>
      </c>
      <c r="J3051">
        <v>-216.30080000000001</v>
      </c>
      <c r="K3051">
        <v>1.104603</v>
      </c>
      <c r="L3051">
        <v>214.73949999999999</v>
      </c>
      <c r="M3051">
        <v>0.99961199999999995</v>
      </c>
      <c r="N3051">
        <v>0</v>
      </c>
      <c r="O3051">
        <v>2.4088169999999999E-2</v>
      </c>
      <c r="P3051">
        <v>0.99998899999999902</v>
      </c>
      <c r="Q3051">
        <v>-3.8910920000000001E-3</v>
      </c>
      <c r="R3051">
        <v>2.6488869999999999E-3</v>
      </c>
      <c r="S3051">
        <v>3.0048219999999999</v>
      </c>
      <c r="T3051">
        <v>-0.28893200000000002</v>
      </c>
      <c r="U3051">
        <v>-0.78190609999999905</v>
      </c>
      <c r="V3051">
        <v>2.1441109999999999E-2</v>
      </c>
      <c r="W3051">
        <v>1.0090480000000001E-2</v>
      </c>
      <c r="X3051">
        <v>0.99971919999999903</v>
      </c>
      <c r="Y3051">
        <v>0.27378269999999999</v>
      </c>
      <c r="Z3051">
        <v>-1.51941E-2</v>
      </c>
      <c r="AA3051">
        <v>0.96167150000000001</v>
      </c>
      <c r="AB3051">
        <v>27</v>
      </c>
      <c r="AC3051">
        <v>11.2179</v>
      </c>
      <c r="AD3051">
        <v>-1.104598277822</v>
      </c>
      <c r="AE3051">
        <v>-2.99599999999998</v>
      </c>
      <c r="AF3051">
        <v>3.2360880424684</v>
      </c>
      <c r="AG3051">
        <v>-1.104598277822</v>
      </c>
      <c r="AH3051">
        <v>11.042530889070401</v>
      </c>
      <c r="AI3051">
        <v>95.483253363002405</v>
      </c>
      <c r="AJ3051">
        <v>73.666421899666005</v>
      </c>
      <c r="AK3051">
        <v>11.559839601397901</v>
      </c>
    </row>
    <row r="3052" spans="1:37" x14ac:dyDescent="0.2">
      <c r="A3052" t="str">
        <f>"20200111160216952"</f>
        <v>20200111160216952</v>
      </c>
      <c r="B3052" t="str">
        <f>"1578729736945067"</f>
        <v>1578729736945067</v>
      </c>
      <c r="C3052" t="s">
        <v>37</v>
      </c>
      <c r="D3052">
        <v>5.2874239999999997</v>
      </c>
      <c r="E3052">
        <v>0.60231800000000002</v>
      </c>
      <c r="F3052" t="s">
        <v>54</v>
      </c>
      <c r="G3052">
        <v>-205.19</v>
      </c>
      <c r="H3052" s="1">
        <v>4.7638589999999998E-6</v>
      </c>
      <c r="I3052">
        <v>211.81020000000001</v>
      </c>
      <c r="J3052">
        <v>-216.0256</v>
      </c>
      <c r="K3052">
        <v>1.10454599999999</v>
      </c>
      <c r="L3052">
        <v>214.74610000000001</v>
      </c>
      <c r="M3052">
        <v>0.99961160000000004</v>
      </c>
      <c r="N3052">
        <v>0</v>
      </c>
      <c r="O3052">
        <v>2.4107569999999998E-2</v>
      </c>
      <c r="P3052">
        <v>0.9999884</v>
      </c>
      <c r="Q3052">
        <v>-4.8061090000000002E-3</v>
      </c>
      <c r="R3052">
        <v>3.4256419999999899E-4</v>
      </c>
      <c r="S3052">
        <v>3.0009769999999998</v>
      </c>
      <c r="T3052">
        <v>-0.2983478</v>
      </c>
      <c r="U3052">
        <v>-0.79118350000000004</v>
      </c>
      <c r="V3052">
        <v>2.3767070000000001E-2</v>
      </c>
      <c r="W3052">
        <v>9.1702299999999997E-3</v>
      </c>
      <c r="X3052">
        <v>0.99967549999999905</v>
      </c>
      <c r="Y3052">
        <v>0.276781</v>
      </c>
      <c r="Z3052">
        <v>-1.5848439999999998E-2</v>
      </c>
      <c r="AA3052">
        <v>0.9608023</v>
      </c>
      <c r="AB3052">
        <v>26</v>
      </c>
      <c r="AC3052">
        <v>10.835599999999999</v>
      </c>
      <c r="AD3052">
        <v>-1.1045412361409901</v>
      </c>
      <c r="AE3052">
        <v>-2.9359000000000002</v>
      </c>
      <c r="AF3052">
        <v>3.1656475328751199</v>
      </c>
      <c r="AG3052">
        <v>-1.1045412361409901</v>
      </c>
      <c r="AH3052">
        <v>10.6584880607399</v>
      </c>
      <c r="AI3052">
        <v>95.673216947211401</v>
      </c>
      <c r="AJ3052">
        <v>73.458202199104093</v>
      </c>
      <c r="AK3052">
        <v>11.1733926533381</v>
      </c>
    </row>
    <row r="3053" spans="1:37" x14ac:dyDescent="0.2">
      <c r="A3053" t="str">
        <f>"20200111160216974"</f>
        <v>20200111160216974</v>
      </c>
      <c r="B3053" t="str">
        <f>"1578729736964587"</f>
        <v>1578729736964587</v>
      </c>
      <c r="C3053" t="s">
        <v>37</v>
      </c>
      <c r="D3053">
        <v>5.2983500000000001</v>
      </c>
      <c r="E3053">
        <v>0.60211969999999904</v>
      </c>
      <c r="F3053" t="s">
        <v>54</v>
      </c>
      <c r="G3053">
        <v>-205.03739999999999</v>
      </c>
      <c r="H3053" s="1">
        <v>4.6939390000000001E-6</v>
      </c>
      <c r="I3053">
        <v>211.83609999999999</v>
      </c>
      <c r="J3053">
        <v>-215.77109999999999</v>
      </c>
      <c r="K3053">
        <v>1.104509</v>
      </c>
      <c r="L3053">
        <v>214.75229999999999</v>
      </c>
      <c r="M3053">
        <v>0.99961219999999995</v>
      </c>
      <c r="N3053">
        <v>0</v>
      </c>
      <c r="O3053">
        <v>2.4084479999999998E-2</v>
      </c>
      <c r="P3053">
        <v>0.99998489999999995</v>
      </c>
      <c r="Q3053">
        <v>-5.5188650000000004E-3</v>
      </c>
      <c r="R3053">
        <v>-1.9413310000000001E-4</v>
      </c>
      <c r="S3053">
        <v>2.998856</v>
      </c>
      <c r="T3053">
        <v>-0.30144899999999902</v>
      </c>
      <c r="U3053">
        <v>-0.79420469999999999</v>
      </c>
      <c r="V3053">
        <v>2.4280889999999999E-2</v>
      </c>
      <c r="W3053">
        <v>8.4535700000000005E-3</v>
      </c>
      <c r="X3053">
        <v>0.99966939999999904</v>
      </c>
      <c r="Y3053">
        <v>0.27779569999999998</v>
      </c>
      <c r="Z3053">
        <v>-1.606902E-2</v>
      </c>
      <c r="AA3053">
        <v>0.96050579999999997</v>
      </c>
      <c r="AB3053">
        <v>26</v>
      </c>
      <c r="AC3053">
        <v>10.733700000000001</v>
      </c>
      <c r="AD3053">
        <v>-1.104504306061</v>
      </c>
      <c r="AE3053">
        <v>-2.9161999999999999</v>
      </c>
      <c r="AF3053">
        <v>3.14290358437214</v>
      </c>
      <c r="AG3053">
        <v>-1.104504306061</v>
      </c>
      <c r="AH3053">
        <v>10.556251939139999</v>
      </c>
      <c r="AI3053">
        <v>95.726485495389099</v>
      </c>
      <c r="AJ3053">
        <v>73.420198986535894</v>
      </c>
      <c r="AK3053">
        <v>11.069427614170699</v>
      </c>
    </row>
    <row r="3054" spans="1:37" x14ac:dyDescent="0.2">
      <c r="A3054" t="str">
        <f>"20200111160216995"</f>
        <v>20200111160216995</v>
      </c>
      <c r="B3054" t="str">
        <f>"1578729736985082"</f>
        <v>1578729736985082</v>
      </c>
      <c r="C3054" t="s">
        <v>37</v>
      </c>
      <c r="D3054">
        <v>6.4737410000000004</v>
      </c>
      <c r="E3054">
        <v>0.60199510000000001</v>
      </c>
      <c r="F3054" t="s">
        <v>54</v>
      </c>
      <c r="G3054">
        <v>-204.90260000000001</v>
      </c>
      <c r="H3054" s="1">
        <v>4.6306339999999999E-6</v>
      </c>
      <c r="I3054">
        <v>211.87610000000001</v>
      </c>
      <c r="J3054">
        <v>-215.52099999999999</v>
      </c>
      <c r="K3054">
        <v>1.1044659999999999</v>
      </c>
      <c r="L3054">
        <v>214.75819999999999</v>
      </c>
      <c r="M3054">
        <v>0.99961409999999995</v>
      </c>
      <c r="N3054">
        <v>0</v>
      </c>
      <c r="O3054">
        <v>2.401439E-2</v>
      </c>
      <c r="P3054">
        <v>0.99997579999999997</v>
      </c>
      <c r="Q3054">
        <v>-6.9193060000000001E-3</v>
      </c>
      <c r="R3054">
        <v>-9.7635679999999903E-4</v>
      </c>
      <c r="S3054">
        <v>2.9981840000000002</v>
      </c>
      <c r="T3054">
        <v>-0.30468919999999999</v>
      </c>
      <c r="U3054">
        <v>-0.79341130000000004</v>
      </c>
      <c r="V3054">
        <v>2.4993069999999999E-2</v>
      </c>
      <c r="W3054">
        <v>7.048375E-3</v>
      </c>
      <c r="X3054">
        <v>0.99966279999999996</v>
      </c>
      <c r="Y3054">
        <v>0.27751439999999999</v>
      </c>
      <c r="Z3054">
        <v>-1.6223930000000001E-2</v>
      </c>
      <c r="AA3054">
        <v>0.96058449999999995</v>
      </c>
      <c r="AB3054">
        <v>26</v>
      </c>
      <c r="AC3054">
        <v>10.6183999999999</v>
      </c>
      <c r="AD3054">
        <v>-1.1044613693659999</v>
      </c>
      <c r="AE3054">
        <v>-2.8820999999999799</v>
      </c>
      <c r="AF3054">
        <v>3.1050002766177598</v>
      </c>
      <c r="AG3054">
        <v>-1.1044613693659999</v>
      </c>
      <c r="AH3054">
        <v>10.4409103195127</v>
      </c>
      <c r="AI3054">
        <v>95.789631905149903</v>
      </c>
      <c r="AJ3054">
        <v>73.4381597451749</v>
      </c>
      <c r="AK3054">
        <v>10.9486743459802</v>
      </c>
    </row>
    <row r="3055" spans="1:37" x14ac:dyDescent="0.2">
      <c r="A3055" t="str">
        <f>"20200111160217019"</f>
        <v>20200111160217019</v>
      </c>
      <c r="B3055" t="str">
        <f>"1578729737015338"</f>
        <v>1578729737015338</v>
      </c>
      <c r="C3055" t="s">
        <v>37</v>
      </c>
      <c r="D3055">
        <v>5.267023</v>
      </c>
      <c r="E3055">
        <v>0.60156049999999905</v>
      </c>
      <c r="F3055" t="s">
        <v>54</v>
      </c>
      <c r="G3055">
        <v>-204.83330000000001</v>
      </c>
      <c r="H3055" s="1">
        <v>4.5956760000000001E-6</v>
      </c>
      <c r="I3055">
        <v>211.9247</v>
      </c>
      <c r="J3055">
        <v>-215.2535</v>
      </c>
      <c r="K3055">
        <v>1.1044129999999901</v>
      </c>
      <c r="L3055">
        <v>214.7645</v>
      </c>
      <c r="M3055">
        <v>0.99961739999999999</v>
      </c>
      <c r="N3055">
        <v>0</v>
      </c>
      <c r="O3055">
        <v>2.3873309999999998E-2</v>
      </c>
      <c r="P3055">
        <v>0.99995049999999996</v>
      </c>
      <c r="Q3055">
        <v>-9.8371099999999996E-3</v>
      </c>
      <c r="R3055">
        <v>-1.560105E-3</v>
      </c>
      <c r="S3055">
        <v>2.9971619999999999</v>
      </c>
      <c r="T3055">
        <v>-0.30972659999999902</v>
      </c>
      <c r="U3055">
        <v>-0.79461669999999995</v>
      </c>
      <c r="V3055">
        <v>2.5435099999999999E-2</v>
      </c>
      <c r="W3055">
        <v>4.1249320000000004E-3</v>
      </c>
      <c r="X3055">
        <v>0.99966790000000005</v>
      </c>
      <c r="Y3055">
        <v>0.27777109999999999</v>
      </c>
      <c r="Z3055">
        <v>-1.6494099999999901E-2</v>
      </c>
      <c r="AA3055">
        <v>0.96050569999999902</v>
      </c>
      <c r="AB3055">
        <v>26</v>
      </c>
      <c r="AC3055">
        <v>10.4201999999999</v>
      </c>
      <c r="AD3055">
        <v>-1.1044084043239999</v>
      </c>
      <c r="AE3055">
        <v>-2.8397999999999901</v>
      </c>
      <c r="AF3055">
        <v>3.0558256711106</v>
      </c>
      <c r="AG3055">
        <v>-1.1044084043239999</v>
      </c>
      <c r="AH3055">
        <v>10.2423269653116</v>
      </c>
      <c r="AI3055">
        <v>95.899272098713595</v>
      </c>
      <c r="AJ3055">
        <v>73.387386392778893</v>
      </c>
      <c r="AK3055">
        <v>10.7453734286022</v>
      </c>
    </row>
    <row r="3056" spans="1:37" x14ac:dyDescent="0.2">
      <c r="A3056" t="str">
        <f>"20200111160217040"</f>
        <v>20200111160217040</v>
      </c>
      <c r="B3056" t="str">
        <f>"1578729737034859"</f>
        <v>1578729737034859</v>
      </c>
      <c r="C3056" t="s">
        <v>37</v>
      </c>
      <c r="D3056">
        <v>5.4860759999999997</v>
      </c>
      <c r="E3056">
        <v>0.60122319999999996</v>
      </c>
      <c r="F3056" t="s">
        <v>54</v>
      </c>
      <c r="G3056">
        <v>-204.80760000000001</v>
      </c>
      <c r="H3056" s="1">
        <v>4.5776419999999999E-6</v>
      </c>
      <c r="I3056">
        <v>212.00030000000001</v>
      </c>
      <c r="J3056">
        <v>-214.99610000000001</v>
      </c>
      <c r="K3056">
        <v>1.1043419999999999</v>
      </c>
      <c r="L3056">
        <v>214.7704</v>
      </c>
      <c r="M3056">
        <v>0.99962260000000003</v>
      </c>
      <c r="N3056">
        <v>0</v>
      </c>
      <c r="O3056">
        <v>2.3656079999999999E-2</v>
      </c>
      <c r="P3056">
        <v>0.99990219999999896</v>
      </c>
      <c r="Q3056">
        <v>-1.3539580000000001E-2</v>
      </c>
      <c r="R3056">
        <v>-3.537536E-3</v>
      </c>
      <c r="S3056">
        <v>2.9957889999999998</v>
      </c>
      <c r="T3056">
        <v>-0.31673190000000001</v>
      </c>
      <c r="U3056">
        <v>-0.79273990000000005</v>
      </c>
      <c r="V3056">
        <v>2.7192790000000001E-2</v>
      </c>
      <c r="W3056">
        <v>4.1467349999999898E-4</v>
      </c>
      <c r="X3056">
        <v>0.99963009999999997</v>
      </c>
      <c r="Y3056">
        <v>0.27704380000000001</v>
      </c>
      <c r="Z3056">
        <v>-1.6813709999999999E-2</v>
      </c>
      <c r="AA3056">
        <v>0.96071019999999896</v>
      </c>
      <c r="AB3056">
        <v>26</v>
      </c>
      <c r="AC3056">
        <v>10.188499999999999</v>
      </c>
      <c r="AD3056">
        <v>-1.104337422358</v>
      </c>
      <c r="AE3056">
        <v>-2.7700999999999798</v>
      </c>
      <c r="AF3056">
        <v>2.97779159852794</v>
      </c>
      <c r="AG3056">
        <v>-1.104337422358</v>
      </c>
      <c r="AH3056">
        <v>10.0105979140915</v>
      </c>
      <c r="AI3056">
        <v>96.035906020624907</v>
      </c>
      <c r="AJ3056">
        <v>73.434158039387199</v>
      </c>
      <c r="AK3056">
        <v>10.502327101376</v>
      </c>
    </row>
    <row r="3057" spans="1:37" x14ac:dyDescent="0.2">
      <c r="A3057" t="str">
        <f>"20200111160217064"</f>
        <v>20200111160217064</v>
      </c>
      <c r="B3057" t="str">
        <f>"1578729737055355"</f>
        <v>1578729737055355</v>
      </c>
      <c r="C3057" t="s">
        <v>37</v>
      </c>
      <c r="D3057">
        <v>5.2630970000000001</v>
      </c>
      <c r="E3057">
        <v>0.60477320000000001</v>
      </c>
      <c r="F3057" t="s">
        <v>54</v>
      </c>
      <c r="G3057">
        <v>-204.87540000000001</v>
      </c>
      <c r="H3057" s="1">
        <v>4.600945E-6</v>
      </c>
      <c r="I3057">
        <v>212.078</v>
      </c>
      <c r="J3057">
        <v>-214.71279999999999</v>
      </c>
      <c r="K3057">
        <v>1.104249</v>
      </c>
      <c r="L3057">
        <v>214.77670000000001</v>
      </c>
      <c r="M3057">
        <v>0.99963109999999999</v>
      </c>
      <c r="N3057">
        <v>0</v>
      </c>
      <c r="O3057">
        <v>2.3298449999999998E-2</v>
      </c>
      <c r="P3057">
        <v>0.99984640000000002</v>
      </c>
      <c r="Q3057">
        <v>-1.6540940000000001E-2</v>
      </c>
      <c r="R3057">
        <v>-5.8196680000000001E-3</v>
      </c>
      <c r="S3057">
        <v>2.9930729999999999</v>
      </c>
      <c r="T3057">
        <v>-0.3265942</v>
      </c>
      <c r="U3057">
        <v>-0.7962494</v>
      </c>
      <c r="V3057">
        <v>2.9113529999999999E-2</v>
      </c>
      <c r="W3057">
        <v>-2.597402E-3</v>
      </c>
      <c r="X3057">
        <v>0.99957280000000004</v>
      </c>
      <c r="Y3057">
        <v>0.27786420000000001</v>
      </c>
      <c r="Z3057">
        <v>-1.7352530000000001E-2</v>
      </c>
      <c r="AA3057">
        <v>0.96046359999999997</v>
      </c>
      <c r="AB3057">
        <v>26</v>
      </c>
      <c r="AC3057">
        <v>9.8373999999999704</v>
      </c>
      <c r="AD3057">
        <v>-1.1042443990549999</v>
      </c>
      <c r="AE3057">
        <v>-2.6987000000000001</v>
      </c>
      <c r="AF3057">
        <v>2.8932820306829501</v>
      </c>
      <c r="AG3057">
        <v>-1.1042443990549999</v>
      </c>
      <c r="AH3057">
        <v>9.6586662486115706</v>
      </c>
      <c r="AI3057">
        <v>96.250049133991197</v>
      </c>
      <c r="AJ3057">
        <v>73.324257468643097</v>
      </c>
      <c r="AK3057">
        <v>10.1429911911617</v>
      </c>
    </row>
    <row r="3058" spans="1:37" x14ac:dyDescent="0.2">
      <c r="A3058" t="str">
        <f>"20200111160217085"</f>
        <v>20200111160217085</v>
      </c>
      <c r="B3058" t="str">
        <f>"1578729737074875"</f>
        <v>1578729737074875</v>
      </c>
      <c r="C3058" t="s">
        <v>37</v>
      </c>
      <c r="D3058">
        <v>5.2253099999999897</v>
      </c>
      <c r="E3058">
        <v>0.60551119999999903</v>
      </c>
      <c r="F3058" t="s">
        <v>67</v>
      </c>
      <c r="G3058">
        <v>-168.4127</v>
      </c>
      <c r="H3058">
        <v>1.5910359999999999</v>
      </c>
      <c r="I3058">
        <v>201.43979999999999</v>
      </c>
      <c r="J3058">
        <v>-214.47020000000001</v>
      </c>
      <c r="K3058">
        <v>1.1041589999999999</v>
      </c>
      <c r="L3058">
        <v>214.78190000000001</v>
      </c>
      <c r="M3058">
        <v>0.99964140000000001</v>
      </c>
      <c r="N3058">
        <v>0</v>
      </c>
      <c r="O3058">
        <v>2.2856890000000001E-2</v>
      </c>
      <c r="P3058">
        <v>0.99983449999999996</v>
      </c>
      <c r="Q3058">
        <v>-1.605057E-2</v>
      </c>
      <c r="R3058">
        <v>-8.5827719999999903E-3</v>
      </c>
      <c r="S3058">
        <v>2.9959410000000002</v>
      </c>
      <c r="T3058">
        <v>3.150058E-2</v>
      </c>
      <c r="U3058">
        <v>-0.86299130000000002</v>
      </c>
      <c r="V3058">
        <v>3.14341E-2</v>
      </c>
      <c r="W3058">
        <v>-2.118464E-3</v>
      </c>
      <c r="X3058">
        <v>0.99950360000000005</v>
      </c>
      <c r="Y3058">
        <v>0.29867589999999999</v>
      </c>
      <c r="Z3058">
        <v>1.7746050000000001E-3</v>
      </c>
      <c r="AA3058">
        <v>0.95435300000000001</v>
      </c>
      <c r="AB3058">
        <v>26</v>
      </c>
      <c r="AC3058">
        <v>46.057499999999997</v>
      </c>
      <c r="AD3058">
        <v>0.486877</v>
      </c>
      <c r="AE3058">
        <v>-13.3421</v>
      </c>
      <c r="AF3058">
        <v>14.389963786493899</v>
      </c>
      <c r="AG3058">
        <v>0.486877</v>
      </c>
      <c r="AH3058">
        <v>45.735761235203597</v>
      </c>
      <c r="AI3058">
        <v>89.418200357563506</v>
      </c>
      <c r="AJ3058">
        <v>72.534722334970397</v>
      </c>
      <c r="AK3058">
        <v>47.948597088478898</v>
      </c>
    </row>
    <row r="3059" spans="1:37" x14ac:dyDescent="0.2">
      <c r="A3059" t="str">
        <f>"20200111160217107"</f>
        <v>20200111160217107</v>
      </c>
      <c r="B3059" t="str">
        <f>"1578729737095370"</f>
        <v>1578729737095370</v>
      </c>
      <c r="C3059" t="s">
        <v>37</v>
      </c>
      <c r="D3059">
        <v>5.1875710000000002</v>
      </c>
      <c r="E3059">
        <v>0.60203850000000003</v>
      </c>
      <c r="F3059" t="s">
        <v>67</v>
      </c>
      <c r="G3059">
        <v>-168.4127</v>
      </c>
      <c r="H3059">
        <v>1.439541</v>
      </c>
      <c r="I3059">
        <v>201.30359999999999</v>
      </c>
      <c r="J3059">
        <v>-214.22190000000001</v>
      </c>
      <c r="K3059">
        <v>1.104058</v>
      </c>
      <c r="L3059">
        <v>214.7869</v>
      </c>
      <c r="M3059">
        <v>0.99965509999999902</v>
      </c>
      <c r="N3059">
        <v>0</v>
      </c>
      <c r="O3059">
        <v>2.224135E-2</v>
      </c>
      <c r="P3059">
        <v>0.99982859999999996</v>
      </c>
      <c r="Q3059">
        <v>-1.26792E-2</v>
      </c>
      <c r="R3059">
        <v>-1.349465E-2</v>
      </c>
      <c r="S3059">
        <v>2.99330099999999</v>
      </c>
      <c r="T3059">
        <v>2.1798729999999999E-2</v>
      </c>
      <c r="U3059">
        <v>-0.87596130000000005</v>
      </c>
      <c r="V3059">
        <v>3.5732319999999998E-2</v>
      </c>
      <c r="W3059">
        <v>1.2357869999999999E-3</v>
      </c>
      <c r="X3059">
        <v>0.99936059999999904</v>
      </c>
      <c r="Y3059">
        <v>0.30213210000000001</v>
      </c>
      <c r="Z3059">
        <v>1.236306E-3</v>
      </c>
      <c r="AA3059">
        <v>0.95326520000000003</v>
      </c>
      <c r="AB3059">
        <v>26</v>
      </c>
      <c r="AC3059">
        <v>45.809199999999997</v>
      </c>
      <c r="AD3059">
        <v>0.33548299999999998</v>
      </c>
      <c r="AE3059">
        <v>-13.4833</v>
      </c>
      <c r="AF3059">
        <v>14.4982062046164</v>
      </c>
      <c r="AG3059">
        <v>0.33548299999999998</v>
      </c>
      <c r="AH3059">
        <v>45.495704405538199</v>
      </c>
      <c r="AI3059">
        <v>89.597456199327098</v>
      </c>
      <c r="AJ3059">
        <v>72.324377039105002</v>
      </c>
      <c r="AK3059">
        <v>47.751121990493303</v>
      </c>
    </row>
    <row r="3060" spans="1:37" x14ac:dyDescent="0.2">
      <c r="A3060" t="str">
        <f>"20200111160217147"</f>
        <v>20200111160217147</v>
      </c>
      <c r="B3060" t="str">
        <f>"1578729737135386"</f>
        <v>1578729737135386</v>
      </c>
      <c r="C3060" t="s">
        <v>37</v>
      </c>
      <c r="D3060">
        <v>5.1727780000000001</v>
      </c>
      <c r="E3060">
        <v>0.60252869999999903</v>
      </c>
      <c r="F3060" t="s">
        <v>54</v>
      </c>
      <c r="G3060">
        <v>-202.99209999999999</v>
      </c>
      <c r="H3060" s="1">
        <v>3.8037359999999998E-6</v>
      </c>
      <c r="I3060">
        <v>211.64349999999999</v>
      </c>
      <c r="J3060">
        <v>-213.74950000000001</v>
      </c>
      <c r="K3060">
        <v>1.1037920000000001</v>
      </c>
      <c r="L3060">
        <v>214.7954</v>
      </c>
      <c r="M3060">
        <v>0.99969269999999999</v>
      </c>
      <c r="N3060">
        <v>0</v>
      </c>
      <c r="O3060">
        <v>2.0487930000000001E-2</v>
      </c>
      <c r="P3060">
        <v>0.9996408</v>
      </c>
      <c r="Q3060">
        <v>-7.4853790000000003E-3</v>
      </c>
      <c r="R3060">
        <v>-2.5738469999999999E-2</v>
      </c>
      <c r="S3060">
        <v>2.985535</v>
      </c>
      <c r="T3060">
        <v>-0.29352059999999902</v>
      </c>
      <c r="U3060">
        <v>-0.83570859999999902</v>
      </c>
      <c r="V3060">
        <v>4.6227379999999998E-2</v>
      </c>
      <c r="W3060">
        <v>6.3784330000000002E-3</v>
      </c>
      <c r="X3060">
        <v>0.99891059999999998</v>
      </c>
      <c r="Y3060">
        <v>0.287852</v>
      </c>
      <c r="Z3060">
        <v>-1.5824850000000001E-2</v>
      </c>
      <c r="AA3060">
        <v>0.95754409999999901</v>
      </c>
      <c r="AB3060">
        <v>26</v>
      </c>
      <c r="AC3060">
        <v>10.757400000000001</v>
      </c>
      <c r="AD3060">
        <v>-1.1037881962639999</v>
      </c>
      <c r="AE3060">
        <v>-3.1519000000000101</v>
      </c>
      <c r="AF3060">
        <v>3.3392793157299598</v>
      </c>
      <c r="AG3060">
        <v>-1.1037881962639999</v>
      </c>
      <c r="AH3060">
        <v>10.5879002414735</v>
      </c>
      <c r="AI3060">
        <v>95.677828207054105</v>
      </c>
      <c r="AJ3060">
        <v>72.495436364521495</v>
      </c>
      <c r="AK3060">
        <v>11.1567363621298</v>
      </c>
    </row>
    <row r="3061" spans="1:37" x14ac:dyDescent="0.2">
      <c r="A3061" t="str">
        <f>"20200111160217174"</f>
        <v>20200111160217174</v>
      </c>
      <c r="B3061" t="str">
        <f>"1578729737164667"</f>
        <v>1578729737164667</v>
      </c>
      <c r="C3061" t="s">
        <v>37</v>
      </c>
      <c r="D3061">
        <v>5.1611820000000002</v>
      </c>
      <c r="E3061">
        <v>0.60163440000000001</v>
      </c>
      <c r="F3061" t="s">
        <v>54</v>
      </c>
      <c r="G3061">
        <v>-202.1541</v>
      </c>
      <c r="H3061" s="1">
        <v>3.4547070000000001E-6</v>
      </c>
      <c r="I3061">
        <v>211.3853</v>
      </c>
      <c r="J3061">
        <v>-213.43049999999999</v>
      </c>
      <c r="K3061">
        <v>1.103577</v>
      </c>
      <c r="L3061">
        <v>214.80009999999999</v>
      </c>
      <c r="M3061">
        <v>0.99972519999999998</v>
      </c>
      <c r="N3061">
        <v>0</v>
      </c>
      <c r="O3061">
        <v>1.8836390000000001E-2</v>
      </c>
      <c r="P3061">
        <v>0.99946889999999999</v>
      </c>
      <c r="Q3061">
        <v>-7.9333189999999994E-3</v>
      </c>
      <c r="R3061">
        <v>-3.16163E-2</v>
      </c>
      <c r="S3061">
        <v>2.97641</v>
      </c>
      <c r="T3061">
        <v>-0.28333039999999998</v>
      </c>
      <c r="U3061">
        <v>-0.8753204</v>
      </c>
      <c r="V3061">
        <v>5.045297E-2</v>
      </c>
      <c r="W3061">
        <v>5.89397599999999E-3</v>
      </c>
      <c r="X3061">
        <v>0.99870899999999996</v>
      </c>
      <c r="Y3061">
        <v>0.29883739999999998</v>
      </c>
      <c r="Z3061">
        <v>-1.5652490000000002E-2</v>
      </c>
      <c r="AA3061">
        <v>0.95417569999999996</v>
      </c>
      <c r="AB3061">
        <v>26</v>
      </c>
      <c r="AC3061">
        <v>11.276399999999899</v>
      </c>
      <c r="AD3061">
        <v>-1.103573545293</v>
      </c>
      <c r="AE3061">
        <v>-3.4147999999999801</v>
      </c>
      <c r="AF3061">
        <v>3.5950811148774799</v>
      </c>
      <c r="AG3061">
        <v>-1.103573545293</v>
      </c>
      <c r="AH3061">
        <v>11.112577631718001</v>
      </c>
      <c r="AI3061">
        <v>95.397678355121002</v>
      </c>
      <c r="AJ3061">
        <v>72.072848445905095</v>
      </c>
      <c r="AK3061">
        <v>11.731660769617299</v>
      </c>
    </row>
    <row r="3062" spans="1:37" x14ac:dyDescent="0.2">
      <c r="A3062" t="str">
        <f>"20200111160217194"</f>
        <v>20200111160217194</v>
      </c>
      <c r="B3062" t="str">
        <f>"1578729737185162"</f>
        <v>1578729737185162</v>
      </c>
      <c r="C3062" t="s">
        <v>37</v>
      </c>
      <c r="D3062">
        <v>5.1274949999999997</v>
      </c>
      <c r="E3062">
        <v>0.60169419999999996</v>
      </c>
      <c r="F3062" t="s">
        <v>54</v>
      </c>
      <c r="G3062">
        <v>-201.93279999999999</v>
      </c>
      <c r="H3062" s="1">
        <v>3.357461E-6</v>
      </c>
      <c r="I3062">
        <v>211.375</v>
      </c>
      <c r="J3062">
        <v>-213.18639999999999</v>
      </c>
      <c r="K3062">
        <v>1.10338799999999</v>
      </c>
      <c r="L3062">
        <v>214.803</v>
      </c>
      <c r="M3062">
        <v>0.99975319999999901</v>
      </c>
      <c r="N3062">
        <v>0</v>
      </c>
      <c r="O3062">
        <v>1.727091E-2</v>
      </c>
      <c r="P3062">
        <v>0.99931840000000005</v>
      </c>
      <c r="Q3062">
        <v>-9.2637199999999996E-3</v>
      </c>
      <c r="R3062">
        <v>-3.5738720000000002E-2</v>
      </c>
      <c r="S3062">
        <v>2.9713289999999999</v>
      </c>
      <c r="T3062">
        <v>-0.28519519999999998</v>
      </c>
      <c r="U3062">
        <v>-0.88513180000000002</v>
      </c>
      <c r="V3062">
        <v>5.3007180000000001E-2</v>
      </c>
      <c r="W3062">
        <v>4.5335769999999996E-3</v>
      </c>
      <c r="X3062">
        <v>0.99858389999999997</v>
      </c>
      <c r="Y3062">
        <v>0.30066009999999999</v>
      </c>
      <c r="Z3062">
        <v>-1.5712110000000001E-2</v>
      </c>
      <c r="AA3062">
        <v>0.95360199999999995</v>
      </c>
      <c r="AB3062">
        <v>26</v>
      </c>
      <c r="AC3062">
        <v>11.2536</v>
      </c>
      <c r="AD3062">
        <v>-1.1033846425389899</v>
      </c>
      <c r="AE3062">
        <v>-3.4279999999999902</v>
      </c>
      <c r="AF3062">
        <v>3.5902837791089</v>
      </c>
      <c r="AG3062">
        <v>-1.1033846425389899</v>
      </c>
      <c r="AH3062">
        <v>11.095107081855399</v>
      </c>
      <c r="AI3062">
        <v>95.405086188793405</v>
      </c>
      <c r="AJ3062">
        <v>72.068853265719099</v>
      </c>
      <c r="AK3062">
        <v>11.7136243939167</v>
      </c>
    </row>
    <row r="3063" spans="1:37" x14ac:dyDescent="0.2">
      <c r="A3063" t="str">
        <f>"20200111160217217"</f>
        <v>20200111160217217</v>
      </c>
      <c r="B3063" t="str">
        <f>"1578729737204683"</f>
        <v>1578729737204683</v>
      </c>
      <c r="C3063" t="s">
        <v>37</v>
      </c>
      <c r="D3063">
        <v>5.1681400000000002</v>
      </c>
      <c r="E3063">
        <v>0.60099239999999998</v>
      </c>
      <c r="F3063" t="s">
        <v>54</v>
      </c>
      <c r="G3063">
        <v>-201.92529999999999</v>
      </c>
      <c r="H3063" s="1">
        <v>3.3522389999999999E-6</v>
      </c>
      <c r="I3063">
        <v>211.39670000000001</v>
      </c>
      <c r="J3063">
        <v>-212.92679999999999</v>
      </c>
      <c r="K3063">
        <v>1.103181</v>
      </c>
      <c r="L3063">
        <v>214.80529999999999</v>
      </c>
      <c r="M3063">
        <v>0.99978500000000003</v>
      </c>
      <c r="N3063">
        <v>0</v>
      </c>
      <c r="O3063">
        <v>1.5319279999999999E-2</v>
      </c>
      <c r="P3063">
        <v>0.99916369999999899</v>
      </c>
      <c r="Q3063">
        <v>-9.0301519999999996E-3</v>
      </c>
      <c r="R3063">
        <v>-3.9877870000000003E-2</v>
      </c>
      <c r="S3063">
        <v>2.96723899999999</v>
      </c>
      <c r="T3063">
        <v>-0.29073640000000001</v>
      </c>
      <c r="U3063">
        <v>-0.89752199999999904</v>
      </c>
      <c r="V3063">
        <v>5.5197299999999998E-2</v>
      </c>
      <c r="W3063">
        <v>4.7362309999999996E-3</v>
      </c>
      <c r="X3063">
        <v>0.99846420000000002</v>
      </c>
      <c r="Y3063">
        <v>0.30275559999999901</v>
      </c>
      <c r="Z3063">
        <v>-1.59411E-2</v>
      </c>
      <c r="AA3063">
        <v>0.95293490000000003</v>
      </c>
      <c r="AB3063">
        <v>26</v>
      </c>
      <c r="AC3063">
        <v>11.001499999999901</v>
      </c>
      <c r="AD3063">
        <v>-1.103177647761</v>
      </c>
      <c r="AE3063">
        <v>-3.4085999999999701</v>
      </c>
      <c r="AF3063">
        <v>3.5442351518629298</v>
      </c>
      <c r="AG3063">
        <v>-1.103177647761</v>
      </c>
      <c r="AH3063">
        <v>10.8484580604573</v>
      </c>
      <c r="AI3063">
        <v>95.521168168034706</v>
      </c>
      <c r="AJ3063">
        <v>71.907575428311304</v>
      </c>
      <c r="AK3063">
        <v>11.4659341539937</v>
      </c>
    </row>
    <row r="3064" spans="1:37" x14ac:dyDescent="0.2">
      <c r="A3064" t="str">
        <f>"20200111160217243"</f>
        <v>20200111160217243</v>
      </c>
      <c r="B3064" t="str">
        <f>"1578729737234939"</f>
        <v>1578729737234939</v>
      </c>
      <c r="C3064" t="s">
        <v>37</v>
      </c>
      <c r="D3064">
        <v>5.2334990000000001</v>
      </c>
      <c r="E3064">
        <v>0.60013399999999995</v>
      </c>
      <c r="F3064" t="s">
        <v>54</v>
      </c>
      <c r="G3064">
        <v>-201.73150000000001</v>
      </c>
      <c r="H3064" s="1">
        <v>3.266852E-6</v>
      </c>
      <c r="I3064">
        <v>211.39060000000001</v>
      </c>
      <c r="J3064">
        <v>-212.6232</v>
      </c>
      <c r="K3064">
        <v>1.10292099999999</v>
      </c>
      <c r="L3064">
        <v>214.80699999999999</v>
      </c>
      <c r="M3064">
        <v>0.9998224</v>
      </c>
      <c r="N3064">
        <v>0</v>
      </c>
      <c r="O3064">
        <v>1.2641970000000001E-2</v>
      </c>
      <c r="P3064">
        <v>0.99886409999999903</v>
      </c>
      <c r="Q3064">
        <v>-8.0974059999999997E-3</v>
      </c>
      <c r="R3064">
        <v>-4.6958350000000003E-2</v>
      </c>
      <c r="S3064">
        <v>2.9637910000000001</v>
      </c>
      <c r="T3064">
        <v>-0.29204989999999997</v>
      </c>
      <c r="U3064">
        <v>-0.90399169999999995</v>
      </c>
      <c r="V3064">
        <v>5.9606039999999999E-2</v>
      </c>
      <c r="W3064">
        <v>5.619799E-3</v>
      </c>
      <c r="X3064">
        <v>0.99820609999999999</v>
      </c>
      <c r="Y3064">
        <v>0.3024152</v>
      </c>
      <c r="Z3064">
        <v>-1.5751609999999999E-2</v>
      </c>
      <c r="AA3064">
        <v>0.95304609999999901</v>
      </c>
      <c r="AB3064">
        <v>26</v>
      </c>
      <c r="AC3064">
        <v>10.891699999999901</v>
      </c>
      <c r="AD3064">
        <v>-1.10291773314799</v>
      </c>
      <c r="AE3064">
        <v>-3.4163999999999999</v>
      </c>
      <c r="AF3064">
        <v>3.52096288948167</v>
      </c>
      <c r="AG3064">
        <v>-1.10291773314799</v>
      </c>
      <c r="AH3064">
        <v>10.747303472777</v>
      </c>
      <c r="AI3064">
        <v>95.570015561775804</v>
      </c>
      <c r="AJ3064">
        <v>71.860499929895596</v>
      </c>
      <c r="AK3064">
        <v>11.3630162866716</v>
      </c>
    </row>
    <row r="3065" spans="1:37" x14ac:dyDescent="0.2">
      <c r="A3065" t="str">
        <f>"20200111160217263"</f>
        <v>20200111160217263</v>
      </c>
      <c r="B3065" t="str">
        <f>"1578729737255434"</f>
        <v>1578729737255434</v>
      </c>
      <c r="C3065" t="s">
        <v>37</v>
      </c>
      <c r="D3065">
        <v>5.2118089999999997</v>
      </c>
      <c r="E3065">
        <v>0.58709350000000005</v>
      </c>
      <c r="F3065" t="s">
        <v>54</v>
      </c>
      <c r="G3065">
        <v>-201.38310000000001</v>
      </c>
      <c r="H3065" s="1">
        <v>3.1186620000000001E-6</v>
      </c>
      <c r="I3065">
        <v>211.3185</v>
      </c>
      <c r="J3065">
        <v>-212.386</v>
      </c>
      <c r="K3065">
        <v>1.1027149999999999</v>
      </c>
      <c r="L3065">
        <v>214.8074</v>
      </c>
      <c r="M3065">
        <v>0.99984989999999996</v>
      </c>
      <c r="N3065">
        <v>0</v>
      </c>
      <c r="O3065">
        <v>1.0232949999999999E-2</v>
      </c>
      <c r="P3065">
        <v>0.99848199999999998</v>
      </c>
      <c r="Q3065">
        <v>-6.5228229999999996E-3</v>
      </c>
      <c r="R3065">
        <v>-5.4691900000000002E-2</v>
      </c>
      <c r="S3065">
        <v>2.9579009999999899</v>
      </c>
      <c r="T3065">
        <v>-0.29024060000000002</v>
      </c>
      <c r="U3065">
        <v>-0.91802980000000001</v>
      </c>
      <c r="V3065">
        <v>6.4939880000000005E-2</v>
      </c>
      <c r="W3065">
        <v>7.1418319999999999E-3</v>
      </c>
      <c r="X3065">
        <v>0.99786369999999902</v>
      </c>
      <c r="Y3065">
        <v>0.30479420000000002</v>
      </c>
      <c r="Z3065">
        <v>-1.555665E-2</v>
      </c>
      <c r="AA3065">
        <v>0.9522912</v>
      </c>
      <c r="AB3065">
        <v>26</v>
      </c>
      <c r="AC3065">
        <v>11.002899999999901</v>
      </c>
      <c r="AD3065">
        <v>-1.1027118813379999</v>
      </c>
      <c r="AE3065">
        <v>-3.4889000000000001</v>
      </c>
      <c r="AF3065">
        <v>3.5687504096838598</v>
      </c>
      <c r="AG3065">
        <v>-1.1027118813379999</v>
      </c>
      <c r="AH3065">
        <v>10.8674374693438</v>
      </c>
      <c r="AI3065">
        <v>95.506543546396898</v>
      </c>
      <c r="AJ3065">
        <v>71.820372127983504</v>
      </c>
      <c r="AK3065">
        <v>11.4914381227922</v>
      </c>
    </row>
    <row r="3066" spans="1:37" x14ac:dyDescent="0.2">
      <c r="A3066" t="str">
        <f>"20200111160217303"</f>
        <v>20200111160217303</v>
      </c>
      <c r="B3066" t="str">
        <f>"1578729737295450"</f>
        <v>1578729737295450</v>
      </c>
      <c r="C3066" t="s">
        <v>37</v>
      </c>
      <c r="D3066">
        <v>5.1883339999999896</v>
      </c>
      <c r="E3066">
        <v>0.59388969999999996</v>
      </c>
      <c r="F3066" t="s">
        <v>67</v>
      </c>
      <c r="G3066">
        <v>-168.4134</v>
      </c>
      <c r="H3066">
        <v>4.1384999999999996</v>
      </c>
      <c r="I3066">
        <v>201.71340000000001</v>
      </c>
      <c r="J3066">
        <v>-211.92740000000001</v>
      </c>
      <c r="K3066">
        <v>1.102298</v>
      </c>
      <c r="L3066">
        <v>214.8057</v>
      </c>
      <c r="M3066">
        <v>0.99989069999999902</v>
      </c>
      <c r="N3066">
        <v>0</v>
      </c>
      <c r="O3066">
        <v>4.7761770000000004E-3</v>
      </c>
      <c r="P3066">
        <v>0.99746769999999996</v>
      </c>
      <c r="Q3066">
        <v>-6.1568359999999997E-3</v>
      </c>
      <c r="R3066">
        <v>-7.085524E-2</v>
      </c>
      <c r="S3066">
        <v>2.95765699999999</v>
      </c>
      <c r="T3066">
        <v>0.20419309999999999</v>
      </c>
      <c r="U3066">
        <v>-0.88072199999999901</v>
      </c>
      <c r="V3066">
        <v>7.5660580000000005E-2</v>
      </c>
      <c r="W3066">
        <v>7.3883509999999996E-3</v>
      </c>
      <c r="X3066">
        <v>0.9971063</v>
      </c>
      <c r="Y3066">
        <v>0.28932399999999903</v>
      </c>
      <c r="Z3066">
        <v>1.008676E-2</v>
      </c>
      <c r="AA3066">
        <v>0.95717809999999903</v>
      </c>
      <c r="AB3066">
        <v>26</v>
      </c>
      <c r="AC3066">
        <v>43.514000000000003</v>
      </c>
      <c r="AD3066">
        <v>3.0362019999999901</v>
      </c>
      <c r="AE3066">
        <v>-13.0922999999999</v>
      </c>
      <c r="AF3066">
        <v>13.2408883676203</v>
      </c>
      <c r="AG3066">
        <v>3.0362019999999901</v>
      </c>
      <c r="AH3066">
        <v>43.257844157829801</v>
      </c>
      <c r="AI3066">
        <v>86.160364388025997</v>
      </c>
      <c r="AJ3066">
        <v>72.981059427573797</v>
      </c>
      <c r="AK3066">
        <v>45.3407182180839</v>
      </c>
    </row>
    <row r="3067" spans="1:37" x14ac:dyDescent="0.2">
      <c r="A3067" t="str">
        <f>"20200111160217328"</f>
        <v>20200111160217328</v>
      </c>
      <c r="B3067" t="str">
        <f>"1578729737324730"</f>
        <v>1578729737324730</v>
      </c>
      <c r="C3067" t="s">
        <v>37</v>
      </c>
      <c r="D3067">
        <v>5.1615549999999999</v>
      </c>
      <c r="E3067">
        <v>0.5922558</v>
      </c>
      <c r="F3067" t="s">
        <v>54</v>
      </c>
      <c r="G3067">
        <v>-201.44399999999999</v>
      </c>
      <c r="H3067" s="1">
        <v>3.13242799999999E-6</v>
      </c>
      <c r="I3067">
        <v>211.46960000000001</v>
      </c>
      <c r="J3067">
        <v>-211.63929999999999</v>
      </c>
      <c r="K3067">
        <v>1.10205</v>
      </c>
      <c r="L3067">
        <v>214.80279999999999</v>
      </c>
      <c r="M3067">
        <v>0.999901499999999</v>
      </c>
      <c r="N3067">
        <v>0</v>
      </c>
      <c r="O3067">
        <v>9.0541470000000002E-4</v>
      </c>
      <c r="P3067">
        <v>0.99671019999999899</v>
      </c>
      <c r="Q3067">
        <v>-7.8295989999999996E-3</v>
      </c>
      <c r="R3067">
        <v>-8.0671469999999995E-2</v>
      </c>
      <c r="S3067">
        <v>2.9392849999999999</v>
      </c>
      <c r="T3067">
        <v>-0.30905559999999999</v>
      </c>
      <c r="U3067">
        <v>-0.93534850000000003</v>
      </c>
      <c r="V3067">
        <v>8.1609340000000002E-2</v>
      </c>
      <c r="W3067">
        <v>5.6417319999999896E-3</v>
      </c>
      <c r="X3067">
        <v>0.99664839999999999</v>
      </c>
      <c r="Y3067">
        <v>0.30258249999999998</v>
      </c>
      <c r="Z3067">
        <v>-1.5577189999999999E-2</v>
      </c>
      <c r="AA3067">
        <v>0.95299590000000001</v>
      </c>
      <c r="AB3067">
        <v>26</v>
      </c>
      <c r="AC3067">
        <v>10.1952999999999</v>
      </c>
      <c r="AD3067">
        <v>-1.1020468675720001</v>
      </c>
      <c r="AE3067">
        <v>-3.33319999999997</v>
      </c>
      <c r="AF3067">
        <v>3.3075165576721202</v>
      </c>
      <c r="AG3067">
        <v>-1.1020468675720001</v>
      </c>
      <c r="AH3067">
        <v>10.085812336954101</v>
      </c>
      <c r="AI3067">
        <v>95.927590447927003</v>
      </c>
      <c r="AJ3067">
        <v>71.843740310549407</v>
      </c>
      <c r="AK3067">
        <v>10.6713534087227</v>
      </c>
    </row>
    <row r="3068" spans="1:37" x14ac:dyDescent="0.2">
      <c r="A3068" t="str">
        <f>"20200111160217354"</f>
        <v>20200111160217354</v>
      </c>
      <c r="B3068" t="str">
        <f>"1578729737345226"</f>
        <v>1578729737345226</v>
      </c>
      <c r="C3068" t="s">
        <v>37</v>
      </c>
      <c r="D3068">
        <v>5.1521339999999904</v>
      </c>
      <c r="E3068">
        <v>0.59127109999999905</v>
      </c>
      <c r="F3068" t="s">
        <v>54</v>
      </c>
      <c r="G3068">
        <v>-201.50059999999999</v>
      </c>
      <c r="H3068" s="1">
        <v>3.1534859999999898E-6</v>
      </c>
      <c r="I3068">
        <v>211.5162</v>
      </c>
      <c r="J3068">
        <v>-211.34190000000001</v>
      </c>
      <c r="K3068">
        <v>1.1018479999999999</v>
      </c>
      <c r="L3068">
        <v>214.79820000000001</v>
      </c>
      <c r="M3068">
        <v>0.99989589999999995</v>
      </c>
      <c r="N3068">
        <v>0</v>
      </c>
      <c r="O3068">
        <v>-3.4191930000000001E-3</v>
      </c>
      <c r="P3068">
        <v>0.99588880000000002</v>
      </c>
      <c r="Q3068">
        <v>-1.020164E-2</v>
      </c>
      <c r="R3068">
        <v>-9.0008050000000006E-2</v>
      </c>
      <c r="S3068">
        <v>2.93049599999999</v>
      </c>
      <c r="T3068">
        <v>-0.31853740000000003</v>
      </c>
      <c r="U3068">
        <v>-0.94998169999999904</v>
      </c>
      <c r="V3068">
        <v>8.6624670000000001E-2</v>
      </c>
      <c r="W3068">
        <v>3.2041650000000001E-3</v>
      </c>
      <c r="X3068">
        <v>0.9962358</v>
      </c>
      <c r="Y3068">
        <v>0.30351840000000002</v>
      </c>
      <c r="Z3068">
        <v>-1.5678640000000001E-2</v>
      </c>
      <c r="AA3068">
        <v>0.9526966</v>
      </c>
      <c r="AB3068">
        <v>26</v>
      </c>
      <c r="AC3068">
        <v>9.8413000000000093</v>
      </c>
      <c r="AD3068">
        <v>-1.1018448465139901</v>
      </c>
      <c r="AE3068">
        <v>-3.2820000000000098</v>
      </c>
      <c r="AF3068">
        <v>3.21209346160984</v>
      </c>
      <c r="AG3068">
        <v>-1.1018448465139901</v>
      </c>
      <c r="AH3068">
        <v>9.7425622023175595</v>
      </c>
      <c r="AI3068">
        <v>96.130572488328099</v>
      </c>
      <c r="AJ3068">
        <v>71.752767548152505</v>
      </c>
      <c r="AK3068">
        <v>10.317418511329899</v>
      </c>
    </row>
    <row r="3069" spans="1:37" x14ac:dyDescent="0.2">
      <c r="A3069" t="str">
        <f>"20200111160217374"</f>
        <v>20200111160217374</v>
      </c>
      <c r="B3069" t="str">
        <f>"1578729737364747"</f>
        <v>1578729737364747</v>
      </c>
      <c r="C3069" t="s">
        <v>37</v>
      </c>
      <c r="D3069">
        <v>5.0944339999999997</v>
      </c>
      <c r="E3069">
        <v>0.58984630000000005</v>
      </c>
      <c r="F3069" t="s">
        <v>54</v>
      </c>
      <c r="G3069">
        <v>-201.1121</v>
      </c>
      <c r="H3069" s="1">
        <v>2.9911909999999998E-6</v>
      </c>
      <c r="I3069">
        <v>211.40170000000001</v>
      </c>
      <c r="J3069">
        <v>-211.1011</v>
      </c>
      <c r="K3069">
        <v>1.1017129999999999</v>
      </c>
      <c r="L3069">
        <v>214.79339999999999</v>
      </c>
      <c r="M3069">
        <v>0.9998764</v>
      </c>
      <c r="N3069">
        <v>0</v>
      </c>
      <c r="O3069">
        <v>-7.1028999999999997E-3</v>
      </c>
      <c r="P3069">
        <v>0.99523909999999904</v>
      </c>
      <c r="Q3069">
        <v>-1.343309E-2</v>
      </c>
      <c r="R3069">
        <v>-9.6533179999999996E-2</v>
      </c>
      <c r="S3069">
        <v>2.921494</v>
      </c>
      <c r="T3069">
        <v>-0.31467099999999998</v>
      </c>
      <c r="U3069">
        <v>-0.96998600000000001</v>
      </c>
      <c r="V3069">
        <v>8.9462600000000003E-2</v>
      </c>
      <c r="W3069" s="1">
        <v>-6.7649410000000004E-5</v>
      </c>
      <c r="X3069">
        <v>0.99599020000000005</v>
      </c>
      <c r="Y3069">
        <v>0.30679289999999998</v>
      </c>
      <c r="Z3069">
        <v>-1.530451E-2</v>
      </c>
      <c r="AA3069">
        <v>0.95165319999999998</v>
      </c>
      <c r="AB3069">
        <v>26</v>
      </c>
      <c r="AC3069">
        <v>9.9890000000000008</v>
      </c>
      <c r="AD3069">
        <v>-1.1017100088089999</v>
      </c>
      <c r="AE3069">
        <v>-3.3916999999999802</v>
      </c>
      <c r="AF3069">
        <v>3.2848291487341101</v>
      </c>
      <c r="AG3069">
        <v>-1.1017100088089999</v>
      </c>
      <c r="AH3069">
        <v>9.9048100966840202</v>
      </c>
      <c r="AI3069">
        <v>96.026697561967595</v>
      </c>
      <c r="AJ3069">
        <v>71.652425054568496</v>
      </c>
      <c r="AK3069">
        <v>10.493289785918201</v>
      </c>
    </row>
    <row r="3070" spans="1:37" x14ac:dyDescent="0.2">
      <c r="A3070" t="str">
        <f>"20200111160217399"</f>
        <v>20200111160217399</v>
      </c>
      <c r="B3070" t="str">
        <f>"1578729737395003"</f>
        <v>1578729737395003</v>
      </c>
      <c r="C3070" t="s">
        <v>37</v>
      </c>
      <c r="D3070">
        <v>5.1325940000000001</v>
      </c>
      <c r="E3070">
        <v>0.58781930000000004</v>
      </c>
      <c r="F3070" t="s">
        <v>54</v>
      </c>
      <c r="G3070">
        <v>-201.1626</v>
      </c>
      <c r="H3070" s="1">
        <v>3.0086249999999999E-6</v>
      </c>
      <c r="I3070">
        <v>211.45859999999999</v>
      </c>
      <c r="J3070">
        <v>-210.8176</v>
      </c>
      <c r="K3070">
        <v>1.1016049999999999</v>
      </c>
      <c r="L3070">
        <v>214.78630000000001</v>
      </c>
      <c r="M3070">
        <v>0.99983440000000001</v>
      </c>
      <c r="N3070">
        <v>0</v>
      </c>
      <c r="O3070">
        <v>-1.15867E-2</v>
      </c>
      <c r="P3070">
        <v>0.99449069999999995</v>
      </c>
      <c r="Q3070">
        <v>-1.586603E-2</v>
      </c>
      <c r="R3070">
        <v>-0.1036164</v>
      </c>
      <c r="S3070">
        <v>2.9151150000000001</v>
      </c>
      <c r="T3070">
        <v>-0.3231502</v>
      </c>
      <c r="U3070">
        <v>-0.97813419999999895</v>
      </c>
      <c r="V3070">
        <v>9.2070040000000006E-2</v>
      </c>
      <c r="W3070">
        <v>-2.5356150000000002E-3</v>
      </c>
      <c r="X3070">
        <v>0.99574929999999995</v>
      </c>
      <c r="Y3070">
        <v>0.3054847</v>
      </c>
      <c r="Z3070">
        <v>-1.5187869999999999E-2</v>
      </c>
      <c r="AA3070">
        <v>0.95207589999999997</v>
      </c>
      <c r="AB3070">
        <v>26</v>
      </c>
      <c r="AC3070">
        <v>9.6549999999999994</v>
      </c>
      <c r="AD3070">
        <v>-1.1016019913749999</v>
      </c>
      <c r="AE3070">
        <v>-3.3277000000000201</v>
      </c>
      <c r="AF3070">
        <v>3.1786103264667398</v>
      </c>
      <c r="AG3070">
        <v>-1.1016019913749999</v>
      </c>
      <c r="AH3070">
        <v>9.58142515725004</v>
      </c>
      <c r="AI3070">
        <v>96.227729023582697</v>
      </c>
      <c r="AJ3070">
        <v>71.646884386059796</v>
      </c>
      <c r="AK3070">
        <v>10.154841140998</v>
      </c>
    </row>
    <row r="3071" spans="1:37" x14ac:dyDescent="0.2">
      <c r="A3071" t="str">
        <f>"20200111160217423"</f>
        <v>20200111160217423</v>
      </c>
      <c r="B3071" t="str">
        <f>"1578729737414523"</f>
        <v>1578729737414523</v>
      </c>
      <c r="C3071" t="s">
        <v>37</v>
      </c>
      <c r="D3071">
        <v>5.0586859999999998</v>
      </c>
      <c r="E3071">
        <v>0.58673779999999998</v>
      </c>
      <c r="F3071" t="s">
        <v>54</v>
      </c>
      <c r="G3071">
        <v>-200.95089999999999</v>
      </c>
      <c r="H3071" s="1">
        <v>2.9153519999999899E-6</v>
      </c>
      <c r="I3071">
        <v>211.45160000000001</v>
      </c>
      <c r="J3071">
        <v>-210.54259999999999</v>
      </c>
      <c r="K3071">
        <v>1.101537</v>
      </c>
      <c r="L3071">
        <v>214.77809999999999</v>
      </c>
      <c r="M3071">
        <v>0.99977269999999896</v>
      </c>
      <c r="N3071">
        <v>0</v>
      </c>
      <c r="O3071">
        <v>-1.6041639999999999E-2</v>
      </c>
      <c r="P3071">
        <v>0.993706599999999</v>
      </c>
      <c r="Q3071">
        <v>-1.8279190000000001E-2</v>
      </c>
      <c r="R3071">
        <v>-0.1105125</v>
      </c>
      <c r="S3071">
        <v>2.9089659999999999</v>
      </c>
      <c r="T3071">
        <v>-0.32478360000000001</v>
      </c>
      <c r="U3071">
        <v>-0.98315429999999904</v>
      </c>
      <c r="V3071">
        <v>9.4523010000000005E-2</v>
      </c>
      <c r="W3071">
        <v>-4.9791619999999997E-3</v>
      </c>
      <c r="X3071">
        <v>0.99551019999999901</v>
      </c>
      <c r="Y3071">
        <v>0.30334129999999998</v>
      </c>
      <c r="Z3071">
        <v>-1.4692439999999999E-2</v>
      </c>
      <c r="AA3071">
        <v>0.95276870000000002</v>
      </c>
      <c r="AB3071">
        <v>26</v>
      </c>
      <c r="AC3071">
        <v>9.5916999999999994</v>
      </c>
      <c r="AD3071">
        <v>-1.101534084648</v>
      </c>
      <c r="AE3071">
        <v>-3.3264999999999798</v>
      </c>
      <c r="AF3071">
        <v>3.1352791422117199</v>
      </c>
      <c r="AG3071">
        <v>-1.101534084648</v>
      </c>
      <c r="AH3071">
        <v>9.5316196272664993</v>
      </c>
      <c r="AI3071">
        <v>96.264834373883403</v>
      </c>
      <c r="AJ3071">
        <v>71.792177560175105</v>
      </c>
      <c r="AK3071">
        <v>10.094311534627799</v>
      </c>
    </row>
    <row r="3072" spans="1:37" x14ac:dyDescent="0.2">
      <c r="A3072" t="str">
        <f>"20200111160217443"</f>
        <v>20200111160217443</v>
      </c>
      <c r="B3072" t="str">
        <f>"1578729737435018"</f>
        <v>1578729737435018</v>
      </c>
      <c r="C3072" t="s">
        <v>37</v>
      </c>
      <c r="D3072">
        <v>4.9893260000000001</v>
      </c>
      <c r="E3072">
        <v>0.58568529999999996</v>
      </c>
      <c r="F3072" t="s">
        <v>54</v>
      </c>
      <c r="G3072">
        <v>-200.93369999999999</v>
      </c>
      <c r="H3072" s="1">
        <v>2.9046900000000001E-6</v>
      </c>
      <c r="I3072">
        <v>211.48609999999999</v>
      </c>
      <c r="J3072">
        <v>-210.3005</v>
      </c>
      <c r="K3072">
        <v>1.1014790000000001</v>
      </c>
      <c r="L3072">
        <v>214.76990000000001</v>
      </c>
      <c r="M3072">
        <v>0.99970040000000004</v>
      </c>
      <c r="N3072">
        <v>0</v>
      </c>
      <c r="O3072">
        <v>-2.0048880000000002E-2</v>
      </c>
      <c r="P3072">
        <v>0.9928749</v>
      </c>
      <c r="Q3072">
        <v>-2.0166549999999998E-2</v>
      </c>
      <c r="R3072">
        <v>-0.11744249999999901</v>
      </c>
      <c r="S3072">
        <v>2.9023129999999999</v>
      </c>
      <c r="T3072">
        <v>-0.33271009999999901</v>
      </c>
      <c r="U3072">
        <v>-0.99432369999999903</v>
      </c>
      <c r="V3072">
        <v>9.7463359999999999E-2</v>
      </c>
      <c r="W3072">
        <v>-6.90018199999999E-3</v>
      </c>
      <c r="X3072">
        <v>0.99521519999999997</v>
      </c>
      <c r="Y3072">
        <v>0.30341180000000001</v>
      </c>
      <c r="Z3072">
        <v>-1.4631689999999999E-2</v>
      </c>
      <c r="AA3072">
        <v>0.95274720000000002</v>
      </c>
      <c r="AB3072">
        <v>26</v>
      </c>
      <c r="AC3072">
        <v>9.3668000000000102</v>
      </c>
      <c r="AD3072">
        <v>-1.10147609531</v>
      </c>
      <c r="AE3072">
        <v>-3.28380000000001</v>
      </c>
      <c r="AF3072">
        <v>3.0576730816168598</v>
      </c>
      <c r="AG3072">
        <v>-1.10147609531</v>
      </c>
      <c r="AH3072">
        <v>9.3160355573924694</v>
      </c>
      <c r="AI3072">
        <v>96.409636915458194</v>
      </c>
      <c r="AJ3072">
        <v>71.829330065177203</v>
      </c>
      <c r="AK3072">
        <v>9.8666677642041094</v>
      </c>
    </row>
    <row r="3073" spans="1:37" x14ac:dyDescent="0.2">
      <c r="A3073" t="str">
        <f>"20200111160217482"</f>
        <v>20200111160217482</v>
      </c>
      <c r="B3073" t="str">
        <f>"1578729737475034"</f>
        <v>1578729737475034</v>
      </c>
      <c r="C3073" t="s">
        <v>37</v>
      </c>
      <c r="D3073">
        <v>4.9252019999999996</v>
      </c>
      <c r="E3073">
        <v>0.58515609999999996</v>
      </c>
      <c r="F3073" t="s">
        <v>54</v>
      </c>
      <c r="G3073">
        <v>-200.90459999999999</v>
      </c>
      <c r="H3073" s="1">
        <v>2.890091E-6</v>
      </c>
      <c r="I3073">
        <v>211.50559999999999</v>
      </c>
      <c r="J3073">
        <v>-209.86109999999999</v>
      </c>
      <c r="K3073">
        <v>1.1013709999999901</v>
      </c>
      <c r="L3073">
        <v>214.75200000000001</v>
      </c>
      <c r="M3073">
        <v>0.99952090000000005</v>
      </c>
      <c r="N3073">
        <v>0</v>
      </c>
      <c r="O3073">
        <v>-2.7580130000000001E-2</v>
      </c>
      <c r="P3073">
        <v>0.99138769999999998</v>
      </c>
      <c r="Q3073">
        <v>-1.8636300000000001E-2</v>
      </c>
      <c r="R3073">
        <v>-0.1296273</v>
      </c>
      <c r="S3073">
        <v>2.8956599999999999</v>
      </c>
      <c r="T3073">
        <v>-0.3394567</v>
      </c>
      <c r="U3073">
        <v>-1.005981</v>
      </c>
      <c r="V3073">
        <v>0.10219439999999901</v>
      </c>
      <c r="W3073">
        <v>-5.43369199999999E-3</v>
      </c>
      <c r="X3073">
        <v>0.99474959999999901</v>
      </c>
      <c r="Y3073">
        <v>0.3003267</v>
      </c>
      <c r="Z3073">
        <v>-1.392097E-2</v>
      </c>
      <c r="AA3073">
        <v>0.95373479999999999</v>
      </c>
      <c r="AB3073">
        <v>26</v>
      </c>
      <c r="AC3073">
        <v>8.9565000000000001</v>
      </c>
      <c r="AD3073">
        <v>-1.10136810990899</v>
      </c>
      <c r="AE3073">
        <v>-3.2464000000000199</v>
      </c>
      <c r="AF3073">
        <v>2.95857661856774</v>
      </c>
      <c r="AG3073">
        <v>-1.10136810990899</v>
      </c>
      <c r="AH3073">
        <v>8.9233732769971095</v>
      </c>
      <c r="AI3073">
        <v>96.681954711068499</v>
      </c>
      <c r="AJ3073">
        <v>71.656873724001201</v>
      </c>
      <c r="AK3073">
        <v>9.4653461617674797</v>
      </c>
    </row>
    <row r="3074" spans="1:37" x14ac:dyDescent="0.2">
      <c r="A3074" t="str">
        <f>"20200111160217508"</f>
        <v>20200111160217508</v>
      </c>
      <c r="B3074" t="str">
        <f>"1578729737505290"</f>
        <v>1578729737505290</v>
      </c>
      <c r="C3074" t="s">
        <v>37</v>
      </c>
      <c r="D3074">
        <v>4.8461930000000004</v>
      </c>
      <c r="E3074">
        <v>0.61387060000000004</v>
      </c>
      <c r="F3074" t="s">
        <v>54</v>
      </c>
      <c r="G3074">
        <v>-200.28720000000001</v>
      </c>
      <c r="H3074" s="1">
        <v>2.6336289999999998E-6</v>
      </c>
      <c r="I3074">
        <v>211.3074</v>
      </c>
      <c r="J3074">
        <v>-209.55869999999999</v>
      </c>
      <c r="K3074">
        <v>1.1012729999999999</v>
      </c>
      <c r="L3074">
        <v>214.73759999999999</v>
      </c>
      <c r="M3074">
        <v>0.99935739999999995</v>
      </c>
      <c r="N3074">
        <v>0</v>
      </c>
      <c r="O3074">
        <v>-3.2973250000000003E-2</v>
      </c>
      <c r="P3074">
        <v>0.99033490000000002</v>
      </c>
      <c r="Q3074">
        <v>-1.520932E-2</v>
      </c>
      <c r="R3074">
        <v>-0.13786119999999999</v>
      </c>
      <c r="S3074">
        <v>2.8841399999999999</v>
      </c>
      <c r="T3074">
        <v>-0.3317872</v>
      </c>
      <c r="U3074">
        <v>-1.0376889999999901</v>
      </c>
      <c r="V3074">
        <v>0.105115599999999</v>
      </c>
      <c r="W3074">
        <v>-2.0532720000000001E-3</v>
      </c>
      <c r="X3074">
        <v>0.99445790000000001</v>
      </c>
      <c r="Y3074">
        <v>0.30574370000000001</v>
      </c>
      <c r="Z3074">
        <v>-1.3338579999999999E-2</v>
      </c>
      <c r="AA3074">
        <v>0.95202039999999999</v>
      </c>
      <c r="AB3074">
        <v>26</v>
      </c>
      <c r="AC3074">
        <v>9.2714999999999694</v>
      </c>
      <c r="AD3074">
        <v>-1.101270366371</v>
      </c>
      <c r="AE3074">
        <v>-3.4301999999999802</v>
      </c>
      <c r="AF3074">
        <v>3.0843162107116902</v>
      </c>
      <c r="AG3074">
        <v>-1.101270366371</v>
      </c>
      <c r="AH3074">
        <v>9.2645993887916394</v>
      </c>
      <c r="AI3074">
        <v>96.434791052561806</v>
      </c>
      <c r="AJ3074">
        <v>71.586669697714399</v>
      </c>
      <c r="AK3074">
        <v>9.8264238022947197</v>
      </c>
    </row>
    <row r="3075" spans="1:37" x14ac:dyDescent="0.2">
      <c r="A3075" t="str">
        <f>"20200111160217530"</f>
        <v>20200111160217530</v>
      </c>
      <c r="B3075" t="str">
        <f>"1578729737524810"</f>
        <v>1578729737524810</v>
      </c>
      <c r="C3075" t="s">
        <v>37</v>
      </c>
      <c r="D3075">
        <v>4.8294829999999997</v>
      </c>
      <c r="E3075">
        <v>0.61280999999999997</v>
      </c>
      <c r="F3075" t="s">
        <v>54</v>
      </c>
      <c r="G3075">
        <v>-195.80330000000001</v>
      </c>
      <c r="H3075" s="1">
        <v>3.6795300000000001E-6</v>
      </c>
      <c r="I3075">
        <v>208.45609999999999</v>
      </c>
      <c r="J3075">
        <v>-209.31139999999999</v>
      </c>
      <c r="K3075">
        <v>1.1011660000000001</v>
      </c>
      <c r="L3075">
        <v>214.7243</v>
      </c>
      <c r="M3075">
        <v>0.99919480000000005</v>
      </c>
      <c r="N3075">
        <v>0</v>
      </c>
      <c r="O3075">
        <v>-3.7577409999999999E-2</v>
      </c>
      <c r="P3075">
        <v>0.98945479999999997</v>
      </c>
      <c r="Q3075">
        <v>-1.3441299999999899E-2</v>
      </c>
      <c r="R3075">
        <v>-0.1442177</v>
      </c>
      <c r="S3075">
        <v>2.8449249999999999</v>
      </c>
      <c r="T3075">
        <v>-0.22776639999999901</v>
      </c>
      <c r="U3075">
        <v>-1.2991330000000001</v>
      </c>
      <c r="V3075">
        <v>0.106932</v>
      </c>
      <c r="W3075">
        <v>-3.2385299999999998E-4</v>
      </c>
      <c r="X3075">
        <v>0.99426630000000005</v>
      </c>
      <c r="Y3075">
        <v>0.38000659999999897</v>
      </c>
      <c r="Z3075">
        <v>-1.1615840000000001E-2</v>
      </c>
      <c r="AA3075">
        <v>0.92491080000000003</v>
      </c>
      <c r="AB3075">
        <v>26</v>
      </c>
      <c r="AC3075">
        <v>13.508099999999899</v>
      </c>
      <c r="AD3075">
        <v>-1.1011623204700001</v>
      </c>
      <c r="AE3075">
        <v>-6.2682000000000002</v>
      </c>
      <c r="AF3075">
        <v>5.7248196350424099</v>
      </c>
      <c r="AG3075">
        <v>-1.1011623204700001</v>
      </c>
      <c r="AH3075">
        <v>13.6594350736996</v>
      </c>
      <c r="AI3075">
        <v>94.252096733403107</v>
      </c>
      <c r="AJ3075">
        <v>67.260905655627198</v>
      </c>
      <c r="AK3075">
        <v>14.851474163947699</v>
      </c>
    </row>
    <row r="3076" spans="1:37" x14ac:dyDescent="0.2">
      <c r="A3076" t="str">
        <f>"20200111160217554"</f>
        <v>20200111160217554</v>
      </c>
      <c r="B3076" t="str">
        <f>"1578729737545307"</f>
        <v>1578729737545307</v>
      </c>
      <c r="C3076" t="s">
        <v>37</v>
      </c>
      <c r="D3076">
        <v>4.7957489999999998</v>
      </c>
      <c r="E3076">
        <v>0.61229060000000002</v>
      </c>
      <c r="F3076" t="s">
        <v>54</v>
      </c>
      <c r="G3076">
        <v>-194.8989</v>
      </c>
      <c r="H3076" s="1">
        <v>3.9414070000000001E-6</v>
      </c>
      <c r="I3076">
        <v>208.07299999999901</v>
      </c>
      <c r="J3076">
        <v>-209.0335</v>
      </c>
      <c r="K3076">
        <v>1.1010120000000001</v>
      </c>
      <c r="L3076">
        <v>214.70760000000001</v>
      </c>
      <c r="M3076">
        <v>0.99897380000000002</v>
      </c>
      <c r="N3076">
        <v>0</v>
      </c>
      <c r="O3076">
        <v>-4.3047990000000001E-2</v>
      </c>
      <c r="P3076">
        <v>0.98852059999999997</v>
      </c>
      <c r="Q3076">
        <v>-1.225245E-2</v>
      </c>
      <c r="R3076">
        <v>-0.15058920000000001</v>
      </c>
      <c r="S3076">
        <v>2.838104</v>
      </c>
      <c r="T3076">
        <v>-0.21684</v>
      </c>
      <c r="U3076">
        <v>-1.309769</v>
      </c>
      <c r="V3076">
        <v>0.1079024</v>
      </c>
      <c r="W3076">
        <v>8.2475369999999895E-4</v>
      </c>
      <c r="X3076">
        <v>0.99416109999999902</v>
      </c>
      <c r="Y3076">
        <v>0.37874340000000001</v>
      </c>
      <c r="Z3076">
        <v>-1.063475E-2</v>
      </c>
      <c r="AA3076">
        <v>0.92544059999999995</v>
      </c>
      <c r="AB3076">
        <v>25</v>
      </c>
      <c r="AC3076">
        <v>14.134600000000001</v>
      </c>
      <c r="AD3076">
        <v>-1.101008058593</v>
      </c>
      <c r="AE3076">
        <v>-6.63460000000003</v>
      </c>
      <c r="AF3076">
        <v>5.9901386225978701</v>
      </c>
      <c r="AG3076">
        <v>-1.101008058593</v>
      </c>
      <c r="AH3076">
        <v>14.335850123030299</v>
      </c>
      <c r="AI3076">
        <v>94.053410529308294</v>
      </c>
      <c r="AJ3076">
        <v>67.322716757469195</v>
      </c>
      <c r="AK3076">
        <v>15.575961550190501</v>
      </c>
    </row>
    <row r="3077" spans="1:37" x14ac:dyDescent="0.2">
      <c r="A3077" t="str">
        <f>"20200111160217576"</f>
        <v>20200111160217576</v>
      </c>
      <c r="B3077" t="str">
        <f>"1578729737564826"</f>
        <v>1578729737564826</v>
      </c>
      <c r="C3077" t="s">
        <v>37</v>
      </c>
      <c r="D3077">
        <v>4.8126620000000004</v>
      </c>
      <c r="E3077">
        <v>0.6121955</v>
      </c>
      <c r="F3077" t="s">
        <v>54</v>
      </c>
      <c r="G3077">
        <v>-194.1388</v>
      </c>
      <c r="H3077" s="1">
        <v>4.1654279999999999E-6</v>
      </c>
      <c r="I3077">
        <v>207.7362</v>
      </c>
      <c r="J3077">
        <v>-208.7782</v>
      </c>
      <c r="K3077">
        <v>1.100854</v>
      </c>
      <c r="L3077">
        <v>214.6908</v>
      </c>
      <c r="M3077">
        <v>0.99873299999999998</v>
      </c>
      <c r="N3077">
        <v>0</v>
      </c>
      <c r="O3077">
        <v>-4.8311109999999997E-2</v>
      </c>
      <c r="P3077">
        <v>0.98766229999999999</v>
      </c>
      <c r="Q3077">
        <v>-1.1257949999999999E-2</v>
      </c>
      <c r="R3077">
        <v>-0.15619559999999999</v>
      </c>
      <c r="S3077">
        <v>2.83041399999999</v>
      </c>
      <c r="T3077">
        <v>-0.2092223</v>
      </c>
      <c r="U3077">
        <v>-1.3247679999999999</v>
      </c>
      <c r="V3077">
        <v>0.1083133</v>
      </c>
      <c r="W3077">
        <v>1.787486E-3</v>
      </c>
      <c r="X3077">
        <v>0.99411519999999998</v>
      </c>
      <c r="Y3077">
        <v>0.37892120000000001</v>
      </c>
      <c r="Z3077">
        <v>-9.9154769999999903E-3</v>
      </c>
      <c r="AA3077">
        <v>0.92537579999999997</v>
      </c>
      <c r="AB3077">
        <v>25</v>
      </c>
      <c r="AC3077">
        <v>14.639399999999901</v>
      </c>
      <c r="AD3077">
        <v>-1.1008498345719999</v>
      </c>
      <c r="AE3077">
        <v>-6.9545999999999903</v>
      </c>
      <c r="AF3077">
        <v>6.2105096512327096</v>
      </c>
      <c r="AG3077">
        <v>-1.1008498345719999</v>
      </c>
      <c r="AH3077">
        <v>14.8896270277644</v>
      </c>
      <c r="AI3077">
        <v>93.903595203494007</v>
      </c>
      <c r="AJ3077">
        <v>67.358831449844502</v>
      </c>
      <c r="AK3077">
        <v>16.170445062281502</v>
      </c>
    </row>
    <row r="3078" spans="1:37" x14ac:dyDescent="0.2">
      <c r="A3078" t="str">
        <f>"20200111160217600"</f>
        <v>20200111160217600</v>
      </c>
      <c r="B3078" t="str">
        <f>"1578729737595082"</f>
        <v>1578729737595082</v>
      </c>
      <c r="C3078" t="s">
        <v>37</v>
      </c>
      <c r="D3078">
        <v>4.7937890000000003</v>
      </c>
      <c r="E3078">
        <v>0.61183659999999995</v>
      </c>
      <c r="F3078" t="s">
        <v>54</v>
      </c>
      <c r="G3078">
        <v>-193.72190000000001</v>
      </c>
      <c r="H3078" s="1">
        <v>4.307306E-6</v>
      </c>
      <c r="I3078">
        <v>207.5436</v>
      </c>
      <c r="J3078">
        <v>-208.5042</v>
      </c>
      <c r="K3078">
        <v>1.1006819999999999</v>
      </c>
      <c r="L3078">
        <v>214.67080000000001</v>
      </c>
      <c r="M3078">
        <v>0.99842779999999998</v>
      </c>
      <c r="N3078">
        <v>0</v>
      </c>
      <c r="O3078">
        <v>-5.4248360000000002E-2</v>
      </c>
      <c r="P3078">
        <v>0.98665210000000003</v>
      </c>
      <c r="Q3078">
        <v>-8.3306919999999902E-3</v>
      </c>
      <c r="R3078">
        <v>-0.1626292</v>
      </c>
      <c r="S3078">
        <v>2.8231809999999999</v>
      </c>
      <c r="T3078">
        <v>-0.20641770000000001</v>
      </c>
      <c r="U3078">
        <v>-1.340149</v>
      </c>
      <c r="V3078">
        <v>0.1089087</v>
      </c>
      <c r="W3078">
        <v>4.6780579999999997E-3</v>
      </c>
      <c r="X3078">
        <v>0.994040699999999</v>
      </c>
      <c r="Y3078">
        <v>0.37848599999999999</v>
      </c>
      <c r="Z3078">
        <v>-9.3708739999999995E-3</v>
      </c>
      <c r="AA3078">
        <v>0.92555959999999904</v>
      </c>
      <c r="AB3078">
        <v>25</v>
      </c>
      <c r="AC3078">
        <v>14.7822999999999</v>
      </c>
      <c r="AD3078">
        <v>-1.1006776926939901</v>
      </c>
      <c r="AE3078">
        <v>-7.12720000000001</v>
      </c>
      <c r="AF3078">
        <v>6.2864284143969398</v>
      </c>
      <c r="AG3078">
        <v>-1.1006776926939901</v>
      </c>
      <c r="AH3078">
        <v>15.079372006871401</v>
      </c>
      <c r="AI3078">
        <v>93.854315897954095</v>
      </c>
      <c r="AJ3078">
        <v>67.369268314583294</v>
      </c>
      <c r="AK3078">
        <v>16.374313228778401</v>
      </c>
    </row>
    <row r="3079" spans="1:37" x14ac:dyDescent="0.2">
      <c r="A3079" t="str">
        <f>"20200111160217622"</f>
        <v>20200111160217622</v>
      </c>
      <c r="B3079" t="str">
        <f>"1578729737614603"</f>
        <v>1578729737614603</v>
      </c>
      <c r="C3079" t="s">
        <v>37</v>
      </c>
      <c r="D3079">
        <v>4.8533160000000004</v>
      </c>
      <c r="E3079">
        <v>0.61118869999999903</v>
      </c>
      <c r="F3079" t="s">
        <v>54</v>
      </c>
      <c r="G3079">
        <v>-193.01650000000001</v>
      </c>
      <c r="H3079" s="1">
        <v>4.580944E-6</v>
      </c>
      <c r="I3079">
        <v>207.21190000000001</v>
      </c>
      <c r="J3079">
        <v>-208.25559999999999</v>
      </c>
      <c r="K3079">
        <v>1.100517</v>
      </c>
      <c r="L3079">
        <v>214.65099999999899</v>
      </c>
      <c r="M3079">
        <v>0.99810270000000001</v>
      </c>
      <c r="N3079">
        <v>0</v>
      </c>
      <c r="O3079">
        <v>-5.9930570000000002E-2</v>
      </c>
      <c r="P3079">
        <v>0.98567119999999997</v>
      </c>
      <c r="Q3079">
        <v>-4.4100140000000003E-3</v>
      </c>
      <c r="R3079">
        <v>-0.16862099999999999</v>
      </c>
      <c r="S3079">
        <v>2.8153990000000002</v>
      </c>
      <c r="T3079">
        <v>-0.20008419999999999</v>
      </c>
      <c r="U3079">
        <v>-1.355896</v>
      </c>
      <c r="V3079">
        <v>0.109329199999999</v>
      </c>
      <c r="W3079">
        <v>8.5641929999999995E-3</v>
      </c>
      <c r="X3079">
        <v>0.99396870000000004</v>
      </c>
      <c r="Y3079">
        <v>0.37847399999999998</v>
      </c>
      <c r="Z3079">
        <v>-8.7164749999999996E-3</v>
      </c>
      <c r="AA3079">
        <v>0.92557089999999997</v>
      </c>
      <c r="AB3079">
        <v>25</v>
      </c>
      <c r="AC3079">
        <v>15.239099999999899</v>
      </c>
      <c r="AD3079">
        <v>-1.1005124190560001</v>
      </c>
      <c r="AE3079">
        <v>-7.4390999999999599</v>
      </c>
      <c r="AF3079">
        <v>6.4850346362450697</v>
      </c>
      <c r="AG3079">
        <v>-1.1005124190560001</v>
      </c>
      <c r="AH3079">
        <v>15.591910243618299</v>
      </c>
      <c r="AI3079">
        <v>93.728696431234098</v>
      </c>
      <c r="AJ3079">
        <v>67.416448766553103</v>
      </c>
      <c r="AK3079">
        <v>16.922602248556299</v>
      </c>
    </row>
    <row r="3080" spans="1:37" x14ac:dyDescent="0.2">
      <c r="A3080" t="str">
        <f>"20200111160217644"</f>
        <v>20200111160217644</v>
      </c>
      <c r="B3080" t="str">
        <f>"1578729737635099"</f>
        <v>1578729737635099</v>
      </c>
      <c r="C3080" t="s">
        <v>37</v>
      </c>
      <c r="D3080">
        <v>4.7748049999999997</v>
      </c>
      <c r="E3080">
        <v>0.61069770000000001</v>
      </c>
      <c r="F3080" t="s">
        <v>54</v>
      </c>
      <c r="G3080">
        <v>-191.83670000000001</v>
      </c>
      <c r="H3080" s="1">
        <v>5.0400799999999997E-6</v>
      </c>
      <c r="I3080">
        <v>206.65309999999999</v>
      </c>
      <c r="J3080">
        <v>-208.00599999999901</v>
      </c>
      <c r="K3080">
        <v>1.100328</v>
      </c>
      <c r="L3080">
        <v>214.6294</v>
      </c>
      <c r="M3080">
        <v>0.99772329999999998</v>
      </c>
      <c r="N3080">
        <v>0</v>
      </c>
      <c r="O3080">
        <v>-6.5940860000000004E-2</v>
      </c>
      <c r="P3080">
        <v>0.98464839999999998</v>
      </c>
      <c r="Q3080">
        <v>-1.333199E-3</v>
      </c>
      <c r="R3080">
        <v>-0.17454449999999999</v>
      </c>
      <c r="S3080">
        <v>2.808716</v>
      </c>
      <c r="T3080">
        <v>-0.1882598</v>
      </c>
      <c r="U3080">
        <v>-1.3681639999999999</v>
      </c>
      <c r="V3080">
        <v>0.109354199999999</v>
      </c>
      <c r="W3080">
        <v>1.1609120000000001E-2</v>
      </c>
      <c r="X3080">
        <v>0.99393500000000001</v>
      </c>
      <c r="Y3080">
        <v>0.37712059999999997</v>
      </c>
      <c r="Z3080">
        <v>-7.7919449999999998E-3</v>
      </c>
      <c r="AA3080">
        <v>0.92613140000000005</v>
      </c>
      <c r="AB3080">
        <v>25</v>
      </c>
      <c r="AC3080">
        <v>16.1692999999999</v>
      </c>
      <c r="AD3080">
        <v>-1.10032295992</v>
      </c>
      <c r="AE3080">
        <v>-7.9763000000000002</v>
      </c>
      <c r="AF3080">
        <v>6.8670359772218301</v>
      </c>
      <c r="AG3080">
        <v>-1.10032295992</v>
      </c>
      <c r="AH3080">
        <v>16.598297527180499</v>
      </c>
      <c r="AI3080">
        <v>93.505323881129499</v>
      </c>
      <c r="AJ3080">
        <v>67.524176295802903</v>
      </c>
      <c r="AK3080">
        <v>17.996398932269599</v>
      </c>
    </row>
    <row r="3081" spans="1:37" x14ac:dyDescent="0.2">
      <c r="A3081" t="str">
        <f>"20200111160217666"</f>
        <v>20200111160217666</v>
      </c>
      <c r="B3081" t="str">
        <f>"1578729737654618"</f>
        <v>1578729737654618</v>
      </c>
      <c r="C3081" t="s">
        <v>37</v>
      </c>
      <c r="D3081">
        <v>4.87141</v>
      </c>
      <c r="E3081">
        <v>0.61033139999999997</v>
      </c>
      <c r="F3081" t="s">
        <v>54</v>
      </c>
      <c r="G3081">
        <v>-190.9025</v>
      </c>
      <c r="H3081" s="1">
        <v>5.4086979999999999E-6</v>
      </c>
      <c r="I3081">
        <v>206.19630000000001</v>
      </c>
      <c r="J3081">
        <v>-207.76220000000001</v>
      </c>
      <c r="K3081">
        <v>1.1001289999999999</v>
      </c>
      <c r="L3081">
        <v>214.60650000000001</v>
      </c>
      <c r="M3081">
        <v>0.9972955</v>
      </c>
      <c r="N3081">
        <v>0</v>
      </c>
      <c r="O3081">
        <v>-7.2118890000000005E-2</v>
      </c>
      <c r="P3081">
        <v>0.9834328</v>
      </c>
      <c r="Q3081">
        <v>9.2495610000000003E-4</v>
      </c>
      <c r="R3081">
        <v>-0.1812723</v>
      </c>
      <c r="S3081">
        <v>2.8016509999999899</v>
      </c>
      <c r="T3081">
        <v>-0.18023919999999999</v>
      </c>
      <c r="U3081">
        <v>-1.3813930000000001</v>
      </c>
      <c r="V3081">
        <v>0.11002389999999999</v>
      </c>
      <c r="W3081">
        <v>1.3826710000000001E-2</v>
      </c>
      <c r="X3081">
        <v>0.99383279999999996</v>
      </c>
      <c r="Y3081">
        <v>0.37588719999999998</v>
      </c>
      <c r="Z3081">
        <v>-7.0608939999999999E-3</v>
      </c>
      <c r="AA3081">
        <v>0.92663850000000003</v>
      </c>
      <c r="AB3081">
        <v>25</v>
      </c>
      <c r="AC3081">
        <v>16.8597</v>
      </c>
      <c r="AD3081">
        <v>-1.100123591302</v>
      </c>
      <c r="AE3081">
        <v>-8.4101999999999997</v>
      </c>
      <c r="AF3081">
        <v>7.1479009539448803</v>
      </c>
      <c r="AG3081">
        <v>-1.100123591302</v>
      </c>
      <c r="AH3081">
        <v>17.3631863181337</v>
      </c>
      <c r="AI3081">
        <v>93.353077242491594</v>
      </c>
      <c r="AJ3081">
        <v>67.624510228542704</v>
      </c>
      <c r="AK3081">
        <v>18.809120103868999</v>
      </c>
    </row>
    <row r="3082" spans="1:37" x14ac:dyDescent="0.2">
      <c r="A3082" t="str">
        <f>"20200111160217727"</f>
        <v>20200111160217727</v>
      </c>
      <c r="B3082" t="str">
        <f>"1578729737715130"</f>
        <v>1578729737715130</v>
      </c>
      <c r="C3082" t="s">
        <v>37</v>
      </c>
      <c r="D3082">
        <v>4.8634909999999998</v>
      </c>
      <c r="E3082">
        <v>0.60943259999999999</v>
      </c>
      <c r="F3082" t="s">
        <v>54</v>
      </c>
      <c r="G3082">
        <v>-190.102</v>
      </c>
      <c r="H3082" s="1">
        <v>5.7377519999999999E-6</v>
      </c>
      <c r="I3082">
        <v>205.76759999999999</v>
      </c>
      <c r="J3082">
        <v>-207.0675</v>
      </c>
      <c r="K3082">
        <v>1.0995520000000001</v>
      </c>
      <c r="L3082">
        <v>214.5307</v>
      </c>
      <c r="M3082">
        <v>0.99571169999999998</v>
      </c>
      <c r="N3082">
        <v>0</v>
      </c>
      <c r="O3082">
        <v>-9.1405730000000004E-2</v>
      </c>
      <c r="P3082">
        <v>0.97888140000000001</v>
      </c>
      <c r="Q3082">
        <v>4.2636619999999997E-3</v>
      </c>
      <c r="R3082">
        <v>-0.20438539999999999</v>
      </c>
      <c r="S3082">
        <v>2.7930450000000002</v>
      </c>
      <c r="T3082">
        <v>-0.17398939999999999</v>
      </c>
      <c r="U3082">
        <v>-1.3979189999999999</v>
      </c>
      <c r="V3082">
        <v>0.1142616</v>
      </c>
      <c r="W3082">
        <v>1.702209E-2</v>
      </c>
      <c r="X3082">
        <v>0.99330479999999999</v>
      </c>
      <c r="Y3082">
        <v>0.36353190000000002</v>
      </c>
      <c r="Z3082">
        <v>-5.3440600000000003E-3</v>
      </c>
      <c r="AA3082">
        <v>0.93156640000000002</v>
      </c>
      <c r="AB3082">
        <v>25</v>
      </c>
      <c r="AC3082">
        <v>16.965499999999899</v>
      </c>
      <c r="AD3082">
        <v>-1.0995462622479999</v>
      </c>
      <c r="AE3082">
        <v>-8.7630999999999997</v>
      </c>
      <c r="AF3082">
        <v>7.1517925570717704</v>
      </c>
      <c r="AG3082">
        <v>-1.0995462622479999</v>
      </c>
      <c r="AH3082">
        <v>17.6370616752925</v>
      </c>
      <c r="AI3082">
        <v>93.306518629732906</v>
      </c>
      <c r="AJ3082">
        <v>67.927546060088403</v>
      </c>
      <c r="AK3082">
        <v>19.063658707086599</v>
      </c>
    </row>
    <row r="3083" spans="1:37" x14ac:dyDescent="0.2">
      <c r="A3083" t="str">
        <f>"20200111160217758"</f>
        <v>20200111160217758</v>
      </c>
      <c r="B3083" t="str">
        <f>"1578729737755147"</f>
        <v>1578729737755147</v>
      </c>
      <c r="C3083" t="s">
        <v>37</v>
      </c>
      <c r="D3083">
        <v>4.9024859999999997</v>
      </c>
      <c r="E3083">
        <v>0.60890480000000002</v>
      </c>
      <c r="F3083" t="s">
        <v>54</v>
      </c>
      <c r="G3083">
        <v>-189.37430000000001</v>
      </c>
      <c r="H3083" s="1">
        <v>5.86498E-6</v>
      </c>
      <c r="I3083">
        <v>205.2054</v>
      </c>
      <c r="J3083">
        <v>-206.72489999999999</v>
      </c>
      <c r="K3083">
        <v>1.0992999999999999</v>
      </c>
      <c r="L3083">
        <v>214.48699999999999</v>
      </c>
      <c r="M3083">
        <v>0.99470530000000001</v>
      </c>
      <c r="N3083">
        <v>0</v>
      </c>
      <c r="O3083">
        <v>-0.1017713</v>
      </c>
      <c r="P3083">
        <v>0.97619069999999997</v>
      </c>
      <c r="Q3083">
        <v>3.5242250000000002E-3</v>
      </c>
      <c r="R3083">
        <v>-0.2168862</v>
      </c>
      <c r="S3083">
        <v>2.7615810000000001</v>
      </c>
      <c r="T3083">
        <v>-0.17161949999999901</v>
      </c>
      <c r="U3083">
        <v>-1.4555209999999901</v>
      </c>
      <c r="V3083">
        <v>0.1166191</v>
      </c>
      <c r="W3083">
        <v>1.6218730000000001E-2</v>
      </c>
      <c r="X3083">
        <v>0.99304429999999999</v>
      </c>
      <c r="Y3083">
        <v>0.37339489999999997</v>
      </c>
      <c r="Z3083">
        <v>-4.99474599999999E-3</v>
      </c>
      <c r="AA3083">
        <v>0.92765900000000001</v>
      </c>
      <c r="AB3083">
        <v>25</v>
      </c>
      <c r="AC3083">
        <v>17.350599999999901</v>
      </c>
      <c r="AD3083">
        <v>-1.0992941350199901</v>
      </c>
      <c r="AE3083">
        <v>-9.2815999999999903</v>
      </c>
      <c r="AF3083">
        <v>7.4441914268048697</v>
      </c>
      <c r="AG3083">
        <v>-1.0992941350199901</v>
      </c>
      <c r="AH3083">
        <v>18.148548309419599</v>
      </c>
      <c r="AI3083">
        <v>93.207546808245993</v>
      </c>
      <c r="AJ3083">
        <v>67.697488598445105</v>
      </c>
      <c r="AK3083">
        <v>19.646736098740199</v>
      </c>
    </row>
    <row r="3084" spans="1:37" x14ac:dyDescent="0.2">
      <c r="A3084" t="str">
        <f>"20200111160217780"</f>
        <v>20200111160217780</v>
      </c>
      <c r="B3084" t="str">
        <f>"1578729737774667"</f>
        <v>1578729737774667</v>
      </c>
      <c r="C3084" t="s">
        <v>37</v>
      </c>
      <c r="D3084">
        <v>4.9314580000000001</v>
      </c>
      <c r="E3084">
        <v>0.60865550000000002</v>
      </c>
      <c r="F3084" t="s">
        <v>54</v>
      </c>
      <c r="G3084">
        <v>-189.9169</v>
      </c>
      <c r="H3084" s="1">
        <v>5.8973399999999997E-6</v>
      </c>
      <c r="I3084">
        <v>205.3861</v>
      </c>
      <c r="J3084">
        <v>-206.4692</v>
      </c>
      <c r="K3084">
        <v>1.099124</v>
      </c>
      <c r="L3084">
        <v>214.45189999999999</v>
      </c>
      <c r="M3084">
        <v>0.99384950000000005</v>
      </c>
      <c r="N3084">
        <v>0</v>
      </c>
      <c r="O3084">
        <v>-0.1098116</v>
      </c>
      <c r="P3084">
        <v>0.97373619999999905</v>
      </c>
      <c r="Q3084">
        <v>1.2000909999999999E-3</v>
      </c>
      <c r="R3084">
        <v>-0.22767670000000001</v>
      </c>
      <c r="S3084">
        <v>2.7437589999999998</v>
      </c>
      <c r="T3084">
        <v>-0.17945079999999999</v>
      </c>
      <c r="U3084">
        <v>-1.485657</v>
      </c>
      <c r="V3084">
        <v>0.11955449999999999</v>
      </c>
      <c r="W3084">
        <v>1.383243E-2</v>
      </c>
      <c r="X3084">
        <v>0.99273129999999998</v>
      </c>
      <c r="Y3084">
        <v>0.37625890000000001</v>
      </c>
      <c r="Z3084">
        <v>-4.8447819999999997E-3</v>
      </c>
      <c r="AA3084">
        <v>0.92650189999999999</v>
      </c>
      <c r="AB3084">
        <v>25</v>
      </c>
      <c r="AC3084">
        <v>16.552299999999999</v>
      </c>
      <c r="AD3084">
        <v>-1.0991181026600001</v>
      </c>
      <c r="AE3084">
        <v>-9.0657999999999905</v>
      </c>
      <c r="AF3084">
        <v>7.1688266180495797</v>
      </c>
      <c r="AG3084">
        <v>-1.0991181026600001</v>
      </c>
      <c r="AH3084">
        <v>17.388829917752599</v>
      </c>
      <c r="AI3084">
        <v>93.344389637329598</v>
      </c>
      <c r="AJ3084">
        <v>67.595301901370505</v>
      </c>
      <c r="AK3084">
        <v>18.840688458540399</v>
      </c>
    </row>
    <row r="3085" spans="1:37" x14ac:dyDescent="0.2">
      <c r="A3085" t="str">
        <f>"20200111160217805"</f>
        <v>20200111160217805</v>
      </c>
      <c r="B3085" t="str">
        <f>"1578729737795162"</f>
        <v>1578729737795162</v>
      </c>
      <c r="C3085" t="s">
        <v>37</v>
      </c>
      <c r="D3085">
        <v>4.983727</v>
      </c>
      <c r="E3085">
        <v>0.6000006</v>
      </c>
      <c r="F3085" t="s">
        <v>54</v>
      </c>
      <c r="G3085">
        <v>-190.69110000000001</v>
      </c>
      <c r="H3085" s="1">
        <v>5.6318339999999997E-6</v>
      </c>
      <c r="I3085">
        <v>205.6977</v>
      </c>
      <c r="J3085">
        <v>-206.18530000000001</v>
      </c>
      <c r="K3085">
        <v>1.098957</v>
      </c>
      <c r="L3085">
        <v>214.4101</v>
      </c>
      <c r="M3085">
        <v>0.99278899999999903</v>
      </c>
      <c r="N3085">
        <v>0</v>
      </c>
      <c r="O3085">
        <v>-0.1190137</v>
      </c>
      <c r="P3085">
        <v>0.97077349999999996</v>
      </c>
      <c r="Q3085">
        <v>4.6963239999999899E-4</v>
      </c>
      <c r="R3085">
        <v>-0.23999760000000001</v>
      </c>
      <c r="S3085">
        <v>2.727325</v>
      </c>
      <c r="T3085">
        <v>-0.18998799999999999</v>
      </c>
      <c r="U3085">
        <v>-1.513199</v>
      </c>
      <c r="V3085">
        <v>0.12293279999999999</v>
      </c>
      <c r="W3085">
        <v>1.3034280000000001E-2</v>
      </c>
      <c r="X3085">
        <v>0.99232940000000003</v>
      </c>
      <c r="Y3085">
        <v>0.37715739999999998</v>
      </c>
      <c r="Z3085">
        <v>-4.5884150000000002E-3</v>
      </c>
      <c r="AA3085">
        <v>0.92613780000000001</v>
      </c>
      <c r="AB3085">
        <v>25</v>
      </c>
      <c r="AC3085">
        <v>15.494199999999999</v>
      </c>
      <c r="AD3085">
        <v>-1.0989513681659999</v>
      </c>
      <c r="AE3085">
        <v>-8.7124000000000006</v>
      </c>
      <c r="AF3085">
        <v>6.7803378454200001</v>
      </c>
      <c r="AG3085">
        <v>-1.0989513681659999</v>
      </c>
      <c r="AH3085">
        <v>16.3585315798896</v>
      </c>
      <c r="AI3085">
        <v>93.551191528538396</v>
      </c>
      <c r="AJ3085">
        <v>67.486810655171695</v>
      </c>
      <c r="AK3085">
        <v>17.742103338045201</v>
      </c>
    </row>
    <row r="3086" spans="1:37" x14ac:dyDescent="0.2">
      <c r="A3086" t="str">
        <f>"20200111160217840"</f>
        <v>20200111160217840</v>
      </c>
      <c r="B3086" t="str">
        <f>"1578729737835179"</f>
        <v>1578729737835179</v>
      </c>
      <c r="C3086" t="s">
        <v>37</v>
      </c>
      <c r="D3086">
        <v>4.9824739999999998</v>
      </c>
      <c r="E3086">
        <v>0.61728479999999997</v>
      </c>
      <c r="F3086" t="s">
        <v>54</v>
      </c>
      <c r="G3086">
        <v>-193.30510000000001</v>
      </c>
      <c r="H3086" s="1">
        <v>4.4397469999999901E-6</v>
      </c>
      <c r="I3086">
        <v>207.43029999999999</v>
      </c>
      <c r="J3086">
        <v>-205.80549999999999</v>
      </c>
      <c r="K3086">
        <v>1.098754</v>
      </c>
      <c r="L3086">
        <v>214.3492</v>
      </c>
      <c r="M3086">
        <v>0.99117169999999899</v>
      </c>
      <c r="N3086">
        <v>0</v>
      </c>
      <c r="O3086">
        <v>-0.13180169999999999</v>
      </c>
      <c r="P3086">
        <v>0.96569570000000005</v>
      </c>
      <c r="Q3086">
        <v>1.074925E-3</v>
      </c>
      <c r="R3086">
        <v>-0.25967390000000001</v>
      </c>
      <c r="S3086">
        <v>2.725311</v>
      </c>
      <c r="T3086">
        <v>-0.2325267</v>
      </c>
      <c r="U3086">
        <v>-1.476837</v>
      </c>
      <c r="V3086">
        <v>0.13031769999999901</v>
      </c>
      <c r="W3086">
        <v>1.3501539999999999E-2</v>
      </c>
      <c r="X3086">
        <v>0.99138029999999999</v>
      </c>
      <c r="Y3086">
        <v>0.35576920000000001</v>
      </c>
      <c r="Z3086">
        <v>-3.7818029999999998E-3</v>
      </c>
      <c r="AA3086">
        <v>0.93456620000000001</v>
      </c>
      <c r="AB3086">
        <v>25</v>
      </c>
      <c r="AC3086">
        <v>12.5003999999999</v>
      </c>
      <c r="AD3086">
        <v>-1.098749560253</v>
      </c>
      <c r="AE3086">
        <v>-6.9188999999999998</v>
      </c>
      <c r="AF3086">
        <v>5.1801473094565296</v>
      </c>
      <c r="AG3086">
        <v>-1.098749560253</v>
      </c>
      <c r="AH3086">
        <v>13.225127664494201</v>
      </c>
      <c r="AI3086">
        <v>94.423474192860198</v>
      </c>
      <c r="AJ3086">
        <v>68.610229151332206</v>
      </c>
      <c r="AK3086">
        <v>14.245882860882899</v>
      </c>
    </row>
    <row r="3087" spans="1:37" x14ac:dyDescent="0.2">
      <c r="A3087" t="str">
        <f>"20200111160217869"</f>
        <v>20200111160217869</v>
      </c>
      <c r="B3087" t="str">
        <f>"1578729737865434"</f>
        <v>1578729737865434</v>
      </c>
      <c r="C3087" t="s">
        <v>37</v>
      </c>
      <c r="D3087">
        <v>5.1316470000000001</v>
      </c>
      <c r="E3087">
        <v>0.6299688</v>
      </c>
      <c r="F3087" t="s">
        <v>54</v>
      </c>
      <c r="G3087">
        <v>-192.45140000000001</v>
      </c>
      <c r="H3087" s="1">
        <v>5.1432449999999898E-6</v>
      </c>
      <c r="I3087">
        <v>205.97569999999999</v>
      </c>
      <c r="J3087">
        <v>-205.48330000000001</v>
      </c>
      <c r="K3087">
        <v>1.09859</v>
      </c>
      <c r="L3087">
        <v>214.29339999999999</v>
      </c>
      <c r="M3087">
        <v>0.98961730000000003</v>
      </c>
      <c r="N3087">
        <v>0</v>
      </c>
      <c r="O3087">
        <v>-0.14300260000000001</v>
      </c>
      <c r="P3087">
        <v>0.96188180000000001</v>
      </c>
      <c r="Q3087">
        <v>1.5595629999999999E-3</v>
      </c>
      <c r="R3087">
        <v>-0.27346159999999903</v>
      </c>
      <c r="S3087">
        <v>2.658585</v>
      </c>
      <c r="T3087">
        <v>-0.2187433</v>
      </c>
      <c r="U3087">
        <v>-1.667038</v>
      </c>
      <c r="V3087">
        <v>0.13330069999999999</v>
      </c>
      <c r="W3087">
        <v>1.391921E-2</v>
      </c>
      <c r="X3087">
        <v>0.99097789999999997</v>
      </c>
      <c r="Y3087">
        <v>0.40399109999999899</v>
      </c>
      <c r="Z3087">
        <v>-4.5817599999999998E-3</v>
      </c>
      <c r="AA3087">
        <v>0.91475149999999905</v>
      </c>
      <c r="AB3087">
        <v>25</v>
      </c>
      <c r="AC3087">
        <v>13.0319</v>
      </c>
      <c r="AD3087">
        <v>-1.0985848567550001</v>
      </c>
      <c r="AE3087">
        <v>-8.3177000000000003</v>
      </c>
      <c r="AF3087">
        <v>6.3364108219961901</v>
      </c>
      <c r="AG3087">
        <v>-1.0985848567550001</v>
      </c>
      <c r="AH3087">
        <v>14.016733978592001</v>
      </c>
      <c r="AI3087">
        <v>94.085025198623299</v>
      </c>
      <c r="AJ3087">
        <v>65.674156549678798</v>
      </c>
      <c r="AK3087">
        <v>15.4216024530272</v>
      </c>
    </row>
    <row r="3088" spans="1:37" x14ac:dyDescent="0.2">
      <c r="A3088" t="str">
        <f>"20200111160217889"</f>
        <v>20200111160217889</v>
      </c>
      <c r="B3088" t="str">
        <f>"1578729737884954"</f>
        <v>1578729737884954</v>
      </c>
      <c r="C3088" t="s">
        <v>37</v>
      </c>
      <c r="D3088">
        <v>5.1423199999999998</v>
      </c>
      <c r="E3088">
        <v>0.63705559999999894</v>
      </c>
      <c r="F3088" t="s">
        <v>54</v>
      </c>
      <c r="G3088">
        <v>-191.6362</v>
      </c>
      <c r="H3088" s="1">
        <v>5.7717659999999999E-6</v>
      </c>
      <c r="I3088">
        <v>204.709</v>
      </c>
      <c r="J3088">
        <v>-205.25470000000001</v>
      </c>
      <c r="K3088">
        <v>1.098479</v>
      </c>
      <c r="L3088">
        <v>214.25120000000001</v>
      </c>
      <c r="M3088">
        <v>0.9884037</v>
      </c>
      <c r="N3088">
        <v>0</v>
      </c>
      <c r="O3088">
        <v>-0.15116009999999999</v>
      </c>
      <c r="P3088">
        <v>0.9590554</v>
      </c>
      <c r="Q3088">
        <v>2.3445559999999998E-3</v>
      </c>
      <c r="R3088">
        <v>-0.28320909999999999</v>
      </c>
      <c r="S3088">
        <v>2.6063230000000002</v>
      </c>
      <c r="T3088">
        <v>-0.206777299999999</v>
      </c>
      <c r="U3088">
        <v>-1.80400099999999</v>
      </c>
      <c r="V3088">
        <v>0.13519970000000001</v>
      </c>
      <c r="W3088">
        <v>1.466014E-2</v>
      </c>
      <c r="X3088">
        <v>0.99070990000000003</v>
      </c>
      <c r="Y3088">
        <v>0.43768869999999999</v>
      </c>
      <c r="Z3088">
        <v>-4.9950619999999998E-3</v>
      </c>
      <c r="AA3088">
        <v>0.89911269999999999</v>
      </c>
      <c r="AB3088">
        <v>25</v>
      </c>
      <c r="AC3088">
        <v>13.618499999999999</v>
      </c>
      <c r="AD3088">
        <v>-1.098473228234</v>
      </c>
      <c r="AE3088">
        <v>-9.5421999999999993</v>
      </c>
      <c r="AF3088">
        <v>7.3417044924688302</v>
      </c>
      <c r="AG3088">
        <v>-1.098473228234</v>
      </c>
      <c r="AH3088">
        <v>14.839774807044</v>
      </c>
      <c r="AI3088">
        <v>93.795824152845199</v>
      </c>
      <c r="AJ3088">
        <v>63.676946254084797</v>
      </c>
      <c r="AK3088">
        <v>16.592955873251199</v>
      </c>
    </row>
    <row r="3089" spans="1:37" x14ac:dyDescent="0.2">
      <c r="A3089" t="str">
        <f>"20200111160217913"</f>
        <v>20200111160217913</v>
      </c>
      <c r="B3089" t="str">
        <f>"1578729737905450"</f>
        <v>1578729737905450</v>
      </c>
      <c r="C3089" t="s">
        <v>37</v>
      </c>
      <c r="D3089">
        <v>5.5859019999999999</v>
      </c>
      <c r="E3089">
        <v>0.6373373</v>
      </c>
      <c r="F3089" t="s">
        <v>54</v>
      </c>
      <c r="G3089">
        <v>-190.77879999999999</v>
      </c>
      <c r="H3089" s="1">
        <v>6.3051640000000001E-6</v>
      </c>
      <c r="I3089">
        <v>203.63489999999999</v>
      </c>
      <c r="J3089">
        <v>-204.9983</v>
      </c>
      <c r="K3089">
        <v>1.0983479999999901</v>
      </c>
      <c r="L3089">
        <v>214.2011</v>
      </c>
      <c r="M3089">
        <v>0.98692060000000004</v>
      </c>
      <c r="N3089">
        <v>0</v>
      </c>
      <c r="O3089">
        <v>-0.16055659999999999</v>
      </c>
      <c r="P3089">
        <v>0.95580359999999998</v>
      </c>
      <c r="Q3089">
        <v>3.3551309999999999E-3</v>
      </c>
      <c r="R3089">
        <v>-0.29398759999999902</v>
      </c>
      <c r="S3089">
        <v>2.571625</v>
      </c>
      <c r="T3089">
        <v>-0.1951417</v>
      </c>
      <c r="U3089">
        <v>-1.8859709999999901</v>
      </c>
      <c r="V3089">
        <v>0.13694799999999999</v>
      </c>
      <c r="W3089">
        <v>1.562467E-2</v>
      </c>
      <c r="X3089">
        <v>0.99045499999999997</v>
      </c>
      <c r="Y3089">
        <v>0.45369330000000002</v>
      </c>
      <c r="Z3089">
        <v>-4.6598489999999998E-3</v>
      </c>
      <c r="AA3089">
        <v>0.89114570000000004</v>
      </c>
      <c r="AB3089">
        <v>25</v>
      </c>
      <c r="AC3089">
        <v>14.2195</v>
      </c>
      <c r="AD3089">
        <v>-1.0983416948360001</v>
      </c>
      <c r="AE3089">
        <v>-10.5662</v>
      </c>
      <c r="AF3089">
        <v>8.11462685824781</v>
      </c>
      <c r="AG3089">
        <v>-1.0983416948360001</v>
      </c>
      <c r="AH3089">
        <v>15.671398307962001</v>
      </c>
      <c r="AI3089">
        <v>93.561337867315203</v>
      </c>
      <c r="AJ3089">
        <v>62.624945830438797</v>
      </c>
      <c r="AK3089">
        <v>17.681805576750499</v>
      </c>
    </row>
    <row r="3090" spans="1:37" x14ac:dyDescent="0.2">
      <c r="A3090" t="str">
        <f>"20200111160217933"</f>
        <v>20200111160217933</v>
      </c>
      <c r="B3090" t="str">
        <f>"1578729737924970"</f>
        <v>1578729737924970</v>
      </c>
      <c r="C3090" t="s">
        <v>37</v>
      </c>
      <c r="D3090">
        <v>5.3551960000000003</v>
      </c>
      <c r="E3090">
        <v>0.63607000000000002</v>
      </c>
      <c r="F3090" t="s">
        <v>54</v>
      </c>
      <c r="G3090">
        <v>-190.41229999999999</v>
      </c>
      <c r="H3090" s="1">
        <v>6.5461309999999997E-6</v>
      </c>
      <c r="I3090">
        <v>203.22909999999999</v>
      </c>
      <c r="J3090">
        <v>-204.76</v>
      </c>
      <c r="K3090">
        <v>1.0982190000000001</v>
      </c>
      <c r="L3090">
        <v>214.15209999999999</v>
      </c>
      <c r="M3090">
        <v>0.98542350000000001</v>
      </c>
      <c r="N3090">
        <v>0</v>
      </c>
      <c r="O3090">
        <v>-0.16949979999999901</v>
      </c>
      <c r="P3090">
        <v>0.95251620000000004</v>
      </c>
      <c r="Q3090">
        <v>6.14299099999999E-3</v>
      </c>
      <c r="R3090">
        <v>-0.30442590000000003</v>
      </c>
      <c r="S3090">
        <v>2.5495000000000001</v>
      </c>
      <c r="T3090">
        <v>-0.19197999999999901</v>
      </c>
      <c r="U3090">
        <v>-1.9178009999999901</v>
      </c>
      <c r="V3090">
        <v>0.13885159999999999</v>
      </c>
      <c r="W3090">
        <v>1.836465E-2</v>
      </c>
      <c r="X3090">
        <v>0.99014290000000005</v>
      </c>
      <c r="Y3090">
        <v>0.4564629</v>
      </c>
      <c r="Z3090">
        <v>-4.1208159999999898E-3</v>
      </c>
      <c r="AA3090">
        <v>0.88973289999999905</v>
      </c>
      <c r="AB3090">
        <v>25</v>
      </c>
      <c r="AC3090">
        <v>14.3477</v>
      </c>
      <c r="AD3090">
        <v>-1.0982124538689999</v>
      </c>
      <c r="AE3090">
        <v>-10.923</v>
      </c>
      <c r="AF3090">
        <v>8.3019326212826599</v>
      </c>
      <c r="AG3090">
        <v>-1.0982124538689999</v>
      </c>
      <c r="AH3090">
        <v>15.932594012655001</v>
      </c>
      <c r="AI3090">
        <v>93.498022519534999</v>
      </c>
      <c r="AJ3090">
        <v>62.477513294124002</v>
      </c>
      <c r="AK3090">
        <v>17.999325204413601</v>
      </c>
    </row>
    <row r="3091" spans="1:37" x14ac:dyDescent="0.2">
      <c r="A3091" t="str">
        <f>"20200111160217958"</f>
        <v>20200111160217958</v>
      </c>
      <c r="B3091" t="str">
        <f>"1578729737955226"</f>
        <v>1578729737955226</v>
      </c>
      <c r="C3091" t="s">
        <v>37</v>
      </c>
      <c r="D3091">
        <v>5.5146660000000001</v>
      </c>
      <c r="E3091">
        <v>0.63474839999999999</v>
      </c>
      <c r="F3091" t="s">
        <v>54</v>
      </c>
      <c r="G3091">
        <v>-190.0128</v>
      </c>
      <c r="H3091" s="1">
        <v>6.7779589999999997E-6</v>
      </c>
      <c r="I3091">
        <v>202.874</v>
      </c>
      <c r="J3091">
        <v>-204.49639999999999</v>
      </c>
      <c r="K3091">
        <v>1.0980989999999999</v>
      </c>
      <c r="L3091">
        <v>214.0949</v>
      </c>
      <c r="M3091">
        <v>0.98363109999999998</v>
      </c>
      <c r="N3091">
        <v>0</v>
      </c>
      <c r="O3091">
        <v>-0.17960670000000001</v>
      </c>
      <c r="P3091">
        <v>0.94886269999999995</v>
      </c>
      <c r="Q3091">
        <v>9.2603269999999901E-3</v>
      </c>
      <c r="R3091">
        <v>-0.31555349999999999</v>
      </c>
      <c r="S3091">
        <v>2.5319060000000002</v>
      </c>
      <c r="T3091">
        <v>-0.18854960000000001</v>
      </c>
      <c r="U3091">
        <v>-1.93630999999999</v>
      </c>
      <c r="V3091">
        <v>0.14033589999999899</v>
      </c>
      <c r="W3091">
        <v>2.1443460000000001E-2</v>
      </c>
      <c r="X3091">
        <v>0.98987169999999902</v>
      </c>
      <c r="Y3091">
        <v>0.45444780000000001</v>
      </c>
      <c r="Z3091">
        <v>-3.3581919999999999E-3</v>
      </c>
      <c r="AA3091">
        <v>0.89076699999999998</v>
      </c>
      <c r="AB3091">
        <v>25</v>
      </c>
      <c r="AC3091">
        <v>14.4835999999999</v>
      </c>
      <c r="AD3091">
        <v>-1.0980922220409901</v>
      </c>
      <c r="AE3091">
        <v>-11.220899999999901</v>
      </c>
      <c r="AF3091">
        <v>8.4065687670006106</v>
      </c>
      <c r="AG3091">
        <v>-1.0980922220409901</v>
      </c>
      <c r="AH3091">
        <v>16.205375232972401</v>
      </c>
      <c r="AI3091">
        <v>93.442158797758196</v>
      </c>
      <c r="AJ3091">
        <v>62.581888348720902</v>
      </c>
      <c r="AK3091">
        <v>18.2890784733362</v>
      </c>
    </row>
    <row r="3092" spans="1:37" x14ac:dyDescent="0.2">
      <c r="A3092" t="str">
        <f>"20200111160217995"</f>
        <v>20200111160217995</v>
      </c>
      <c r="B3092" t="str">
        <f>"1578729737984506"</f>
        <v>1578729737984506</v>
      </c>
      <c r="C3092" t="s">
        <v>37</v>
      </c>
      <c r="D3092">
        <v>5.3032589999999997</v>
      </c>
      <c r="E3092">
        <v>0.63355229999999996</v>
      </c>
      <c r="F3092" t="s">
        <v>54</v>
      </c>
      <c r="G3092">
        <v>-190.26689999999999</v>
      </c>
      <c r="H3092" s="1">
        <v>6.6579459999999901E-6</v>
      </c>
      <c r="I3092">
        <v>203.0222</v>
      </c>
      <c r="J3092">
        <v>-204.0924</v>
      </c>
      <c r="K3092">
        <v>1.0979239999999999</v>
      </c>
      <c r="L3092">
        <v>214.00139999999999</v>
      </c>
      <c r="M3092">
        <v>0.98058799999999902</v>
      </c>
      <c r="N3092">
        <v>0</v>
      </c>
      <c r="O3092">
        <v>-0.19553699999999999</v>
      </c>
      <c r="P3092">
        <v>0.94276599999999999</v>
      </c>
      <c r="Q3092">
        <v>1.2619729999999999E-2</v>
      </c>
      <c r="R3092">
        <v>-0.33321659999999997</v>
      </c>
      <c r="S3092">
        <v>2.5132140000000001</v>
      </c>
      <c r="T3092">
        <v>-0.19394510000000001</v>
      </c>
      <c r="U3092">
        <v>-1.9556579999999999</v>
      </c>
      <c r="V3092">
        <v>0.1428372</v>
      </c>
      <c r="W3092">
        <v>2.473943E-2</v>
      </c>
      <c r="X3092">
        <v>0.98943700000000001</v>
      </c>
      <c r="Y3092">
        <v>0.44747629999999999</v>
      </c>
      <c r="Z3092">
        <v>-2.1970079999999999E-3</v>
      </c>
      <c r="AA3092">
        <v>0.89429309999999995</v>
      </c>
      <c r="AB3092">
        <v>25</v>
      </c>
      <c r="AC3092">
        <v>13.8255</v>
      </c>
      <c r="AD3092">
        <v>-1.0979173420539901</v>
      </c>
      <c r="AE3092">
        <v>-10.979199999999899</v>
      </c>
      <c r="AF3092">
        <v>8.0324667523741002</v>
      </c>
      <c r="AG3092">
        <v>-1.0979173420539901</v>
      </c>
      <c r="AH3092">
        <v>15.645121591103401</v>
      </c>
      <c r="AI3092">
        <v>93.572282845111701</v>
      </c>
      <c r="AJ3092">
        <v>62.823278439941298</v>
      </c>
      <c r="AK3092">
        <v>17.620890278825001</v>
      </c>
    </row>
    <row r="3093" spans="1:37" x14ac:dyDescent="0.2">
      <c r="A3093" t="str">
        <f>"20200111160218023"</f>
        <v>20200111160218023</v>
      </c>
      <c r="B3093" t="str">
        <f>"1578729738014763"</f>
        <v>1578729738014763</v>
      </c>
      <c r="C3093" t="s">
        <v>37</v>
      </c>
      <c r="D3093">
        <v>5.2809559999999998</v>
      </c>
      <c r="E3093">
        <v>0.63249639999999996</v>
      </c>
      <c r="F3093" t="s">
        <v>54</v>
      </c>
      <c r="G3093">
        <v>-190.0806</v>
      </c>
      <c r="H3093" s="1">
        <v>6.8069399999999901E-6</v>
      </c>
      <c r="I3093">
        <v>202.74090000000001</v>
      </c>
      <c r="J3093">
        <v>-203.78819999999999</v>
      </c>
      <c r="K3093">
        <v>1.097788</v>
      </c>
      <c r="L3093">
        <v>213.92590000000001</v>
      </c>
      <c r="M3093">
        <v>0.97803839999999997</v>
      </c>
      <c r="N3093">
        <v>0</v>
      </c>
      <c r="O3093">
        <v>-0.20791179999999901</v>
      </c>
      <c r="P3093">
        <v>0.93813809999999997</v>
      </c>
      <c r="Q3093">
        <v>1.292134E-2</v>
      </c>
      <c r="R3093">
        <v>-0.3460203</v>
      </c>
      <c r="S3093">
        <v>2.4802399999999998</v>
      </c>
      <c r="T3093">
        <v>-0.1943433</v>
      </c>
      <c r="U3093">
        <v>-1.993225</v>
      </c>
      <c r="V3093">
        <v>0.14382</v>
      </c>
      <c r="W3093">
        <v>2.5010190000000002E-2</v>
      </c>
      <c r="X3093">
        <v>0.98928780000000005</v>
      </c>
      <c r="Y3093">
        <v>0.45021339999999999</v>
      </c>
      <c r="Z3093">
        <v>-1.5078050000000001E-3</v>
      </c>
      <c r="AA3093">
        <v>0.89291969999999998</v>
      </c>
      <c r="AB3093">
        <v>25</v>
      </c>
      <c r="AC3093">
        <v>13.7075999999999</v>
      </c>
      <c r="AD3093">
        <v>-1.0977811930600001</v>
      </c>
      <c r="AE3093">
        <v>-11.185</v>
      </c>
      <c r="AF3093">
        <v>8.0592220357595696</v>
      </c>
      <c r="AG3093">
        <v>-1.0977811930600001</v>
      </c>
      <c r="AH3093">
        <v>15.6733871463687</v>
      </c>
      <c r="AI3093">
        <v>93.564287101770901</v>
      </c>
      <c r="AJ3093">
        <v>62.7878696553366</v>
      </c>
      <c r="AK3093">
        <v>17.6581779357176</v>
      </c>
    </row>
    <row r="3094" spans="1:37" x14ac:dyDescent="0.2">
      <c r="A3094" t="str">
        <f>"20200111160218045"</f>
        <v>20200111160218045</v>
      </c>
      <c r="B3094" t="str">
        <f>"1578729738035258"</f>
        <v>1578729738035258</v>
      </c>
      <c r="C3094" t="s">
        <v>37</v>
      </c>
      <c r="D3094">
        <v>5.191408</v>
      </c>
      <c r="E3094">
        <v>0.63178129999999999</v>
      </c>
      <c r="F3094" t="s">
        <v>54</v>
      </c>
      <c r="G3094">
        <v>-190.71350000000001</v>
      </c>
      <c r="H3094" s="1">
        <v>6.4823339999999901E-6</v>
      </c>
      <c r="I3094">
        <v>203.18289999999999</v>
      </c>
      <c r="J3094">
        <v>-203.55369999999999</v>
      </c>
      <c r="K3094">
        <v>1.0976870000000001</v>
      </c>
      <c r="L3094">
        <v>213.8647</v>
      </c>
      <c r="M3094">
        <v>0.97591489999999903</v>
      </c>
      <c r="N3094">
        <v>0</v>
      </c>
      <c r="O3094">
        <v>-0.21765960000000001</v>
      </c>
      <c r="P3094">
        <v>0.9343863</v>
      </c>
      <c r="Q3094">
        <v>1.255069E-2</v>
      </c>
      <c r="R3094">
        <v>-0.35604029999999998</v>
      </c>
      <c r="S3094">
        <v>2.4562680000000001</v>
      </c>
      <c r="T3094">
        <v>-0.206232899999999</v>
      </c>
      <c r="U3094">
        <v>-2.01821899999999</v>
      </c>
      <c r="V3094">
        <v>0.14453640000000001</v>
      </c>
      <c r="W3094">
        <v>2.461787E-2</v>
      </c>
      <c r="X3094">
        <v>0.989193199999999</v>
      </c>
      <c r="Y3094">
        <v>0.45095649999999998</v>
      </c>
      <c r="Z3094">
        <v>-9.6457170000000003E-4</v>
      </c>
      <c r="AA3094">
        <v>0.89254539999999905</v>
      </c>
      <c r="AB3094">
        <v>25</v>
      </c>
      <c r="AC3094">
        <v>12.8401999999999</v>
      </c>
      <c r="AD3094">
        <v>-1.0976805176660001</v>
      </c>
      <c r="AE3094">
        <v>-10.681800000000001</v>
      </c>
      <c r="AF3094">
        <v>7.5977377574174403</v>
      </c>
      <c r="AG3094">
        <v>-1.0976805176660001</v>
      </c>
      <c r="AH3094">
        <v>14.793636673351999</v>
      </c>
      <c r="AI3094">
        <v>93.776250894013899</v>
      </c>
      <c r="AJ3094">
        <v>62.815807593516702</v>
      </c>
      <c r="AK3094">
        <v>16.666799559978301</v>
      </c>
    </row>
    <row r="3095" spans="1:37" x14ac:dyDescent="0.2">
      <c r="A3095" t="str">
        <f>"20200111160218065"</f>
        <v>20200111160218065</v>
      </c>
      <c r="B3095" t="str">
        <f>"1578729738054778"</f>
        <v>1578729738054778</v>
      </c>
      <c r="C3095" t="s">
        <v>37</v>
      </c>
      <c r="D3095">
        <v>5.2204519999999999</v>
      </c>
      <c r="E3095">
        <v>0.63109700000000002</v>
      </c>
      <c r="F3095" t="s">
        <v>54</v>
      </c>
      <c r="G3095">
        <v>-191.07299999999901</v>
      </c>
      <c r="H3095" s="1">
        <v>6.3014599999999901E-6</v>
      </c>
      <c r="I3095">
        <v>203.42400000000001</v>
      </c>
      <c r="J3095">
        <v>-203.33539999999999</v>
      </c>
      <c r="K3095">
        <v>1.0975699999999999</v>
      </c>
      <c r="L3095">
        <v>213.80529999999999</v>
      </c>
      <c r="M3095">
        <v>0.97380149999999999</v>
      </c>
      <c r="N3095">
        <v>0</v>
      </c>
      <c r="O3095">
        <v>-0.22692570000000001</v>
      </c>
      <c r="P3095">
        <v>0.93037859999999994</v>
      </c>
      <c r="Q3095">
        <v>1.2358640000000001E-2</v>
      </c>
      <c r="R3095">
        <v>-0.36639149999999998</v>
      </c>
      <c r="S3095">
        <v>2.436798</v>
      </c>
      <c r="T3095">
        <v>-0.21431649999999999</v>
      </c>
      <c r="U3095">
        <v>-2.0384980000000001</v>
      </c>
      <c r="V3095">
        <v>0.1461189</v>
      </c>
      <c r="W3095">
        <v>2.4384289999999999E-2</v>
      </c>
      <c r="X3095">
        <v>0.98896649999999997</v>
      </c>
      <c r="Y3095">
        <v>0.45033059999999903</v>
      </c>
      <c r="Z3095">
        <v>-3.2020829999999999E-4</v>
      </c>
      <c r="AA3095">
        <v>0.89286180000000004</v>
      </c>
      <c r="AB3095">
        <v>25</v>
      </c>
      <c r="AC3095">
        <v>12.2624</v>
      </c>
      <c r="AD3095">
        <v>-1.0975636985399999</v>
      </c>
      <c r="AE3095">
        <v>-10.3812999999999</v>
      </c>
      <c r="AF3095">
        <v>7.2934248293500996</v>
      </c>
      <c r="AG3095">
        <v>-1.0975636985399999</v>
      </c>
      <c r="AH3095">
        <v>14.2320506715776</v>
      </c>
      <c r="AI3095">
        <v>93.9261602620372</v>
      </c>
      <c r="AJ3095">
        <v>62.8664582247685</v>
      </c>
      <c r="AK3095">
        <v>16.029658702919601</v>
      </c>
    </row>
    <row r="3096" spans="1:37" x14ac:dyDescent="0.2">
      <c r="A3096" t="str">
        <f>"20200111160218091"</f>
        <v>20200111160218091</v>
      </c>
      <c r="B3096" t="str">
        <f>"1578729738084567"</f>
        <v>1578729738084567</v>
      </c>
      <c r="C3096" t="s">
        <v>37</v>
      </c>
      <c r="D3096">
        <v>5.0895619999999999</v>
      </c>
      <c r="E3096">
        <v>0.63005</v>
      </c>
      <c r="F3096" t="s">
        <v>54</v>
      </c>
      <c r="G3096">
        <v>-191.32679999999999</v>
      </c>
      <c r="H3096" s="1">
        <v>6.1829309999999902E-6</v>
      </c>
      <c r="I3096">
        <v>203.56829999999999</v>
      </c>
      <c r="J3096">
        <v>-203.054</v>
      </c>
      <c r="K3096">
        <v>1.097413</v>
      </c>
      <c r="L3096">
        <v>213.72499999999999</v>
      </c>
      <c r="M3096">
        <v>0.97087009999999996</v>
      </c>
      <c r="N3096">
        <v>0</v>
      </c>
      <c r="O3096">
        <v>-0.23915500000000001</v>
      </c>
      <c r="P3096">
        <v>0.92506409999999994</v>
      </c>
      <c r="Q3096">
        <v>1.1614930000000001E-2</v>
      </c>
      <c r="R3096">
        <v>-0.37963370000000002</v>
      </c>
      <c r="S3096">
        <v>2.4162599999999999</v>
      </c>
      <c r="T3096">
        <v>-0.2208406</v>
      </c>
      <c r="U3096">
        <v>-2.0597840000000001</v>
      </c>
      <c r="V3096">
        <v>0.14779149999999999</v>
      </c>
      <c r="W3096">
        <v>2.3590099999999999E-2</v>
      </c>
      <c r="X3096">
        <v>0.98873719999999998</v>
      </c>
      <c r="Y3096">
        <v>0.44740069999999998</v>
      </c>
      <c r="Z3096">
        <v>6.8484990000000005E-4</v>
      </c>
      <c r="AA3096">
        <v>0.89433339999999995</v>
      </c>
      <c r="AB3096">
        <v>25</v>
      </c>
      <c r="AC3096">
        <v>11.7272</v>
      </c>
      <c r="AD3096">
        <v>-1.0974068170689999</v>
      </c>
      <c r="AE3096">
        <v>-10.156700000000001</v>
      </c>
      <c r="AF3096">
        <v>7.02184580597444</v>
      </c>
      <c r="AG3096">
        <v>-1.0974068170689999</v>
      </c>
      <c r="AH3096">
        <v>13.7473201219644</v>
      </c>
      <c r="AI3096">
        <v>94.066330601572801</v>
      </c>
      <c r="AJ3096">
        <v>62.942997868550002</v>
      </c>
      <c r="AK3096">
        <v>15.475769149893599</v>
      </c>
    </row>
    <row r="3097" spans="1:37" x14ac:dyDescent="0.2">
      <c r="A3097" t="str">
        <f>"20200111160218115"</f>
        <v>20200111160218115</v>
      </c>
      <c r="B3097" t="str">
        <f>"1578729738105062"</f>
        <v>1578729738105062</v>
      </c>
      <c r="C3097" t="s">
        <v>37</v>
      </c>
      <c r="D3097">
        <v>5.1289300000000004</v>
      </c>
      <c r="E3097">
        <v>0.62938300000000003</v>
      </c>
      <c r="F3097" t="s">
        <v>54</v>
      </c>
      <c r="G3097">
        <v>-191.64449999999999</v>
      </c>
      <c r="H3097" s="1">
        <v>6.0280980000000003E-6</v>
      </c>
      <c r="I3097">
        <v>203.7671</v>
      </c>
      <c r="J3097">
        <v>-202.7962</v>
      </c>
      <c r="K3097">
        <v>1.0972580000000001</v>
      </c>
      <c r="L3097">
        <v>213.64760000000001</v>
      </c>
      <c r="M3097">
        <v>0.96796409999999999</v>
      </c>
      <c r="N3097">
        <v>0</v>
      </c>
      <c r="O3097">
        <v>-0.25065479999999901</v>
      </c>
      <c r="P3097">
        <v>0.919794</v>
      </c>
      <c r="Q3097">
        <v>1.075099E-2</v>
      </c>
      <c r="R3097">
        <v>-0.39225460000000001</v>
      </c>
      <c r="S3097">
        <v>2.3898929999999998</v>
      </c>
      <c r="T3097">
        <v>-0.22986889999999999</v>
      </c>
      <c r="U3097">
        <v>-2.0858460000000001</v>
      </c>
      <c r="V3097">
        <v>0.14958160000000001</v>
      </c>
      <c r="W3097">
        <v>2.2675310000000001E-2</v>
      </c>
      <c r="X3097">
        <v>0.98848930000000002</v>
      </c>
      <c r="Y3097">
        <v>0.44719379999999997</v>
      </c>
      <c r="Z3097">
        <v>1.6040449999999999E-3</v>
      </c>
      <c r="AA3097">
        <v>0.8944356</v>
      </c>
      <c r="AB3097">
        <v>24</v>
      </c>
      <c r="AC3097">
        <v>11.1517</v>
      </c>
      <c r="AD3097">
        <v>-1.097251971902</v>
      </c>
      <c r="AE3097">
        <v>-9.8805000000000103</v>
      </c>
      <c r="AF3097">
        <v>6.7329618959078203</v>
      </c>
      <c r="AG3097">
        <v>-1.097251971902</v>
      </c>
      <c r="AH3097">
        <v>13.200887935178599</v>
      </c>
      <c r="AI3097">
        <v>94.234720618107005</v>
      </c>
      <c r="AJ3097">
        <v>62.976665064309699</v>
      </c>
      <c r="AK3097">
        <v>14.8593465555769</v>
      </c>
    </row>
    <row r="3098" spans="1:37" x14ac:dyDescent="0.2">
      <c r="A3098" t="str">
        <f>"20200111160218141"</f>
        <v>20200111160218141</v>
      </c>
      <c r="B3098" t="str">
        <f>"1578729738135319"</f>
        <v>1578729738135319</v>
      </c>
      <c r="C3098" t="s">
        <v>37</v>
      </c>
      <c r="D3098">
        <v>5.1092379999999897</v>
      </c>
      <c r="E3098">
        <v>0.61539009999999905</v>
      </c>
      <c r="F3098" t="s">
        <v>54</v>
      </c>
      <c r="G3098">
        <v>-191.79419999999999</v>
      </c>
      <c r="H3098" s="1">
        <v>5.9837249999999899E-6</v>
      </c>
      <c r="I3098">
        <v>203.8074</v>
      </c>
      <c r="J3098">
        <v>-202.52850000000001</v>
      </c>
      <c r="K3098">
        <v>1.097118</v>
      </c>
      <c r="L3098">
        <v>213.5634</v>
      </c>
      <c r="M3098">
        <v>0.96472389999999997</v>
      </c>
      <c r="N3098">
        <v>0</v>
      </c>
      <c r="O3098">
        <v>-0.26284819999999998</v>
      </c>
      <c r="P3098">
        <v>0.91381259999999997</v>
      </c>
      <c r="Q3098">
        <v>1.041917E-2</v>
      </c>
      <c r="R3098">
        <v>-0.40600310000000001</v>
      </c>
      <c r="S3098">
        <v>2.363022</v>
      </c>
      <c r="T3098">
        <v>-0.2356675</v>
      </c>
      <c r="U3098">
        <v>-2.11348</v>
      </c>
      <c r="V3098">
        <v>0.1519334</v>
      </c>
      <c r="W3098">
        <v>2.2283919999999999E-2</v>
      </c>
      <c r="X3098">
        <v>0.98813949999999995</v>
      </c>
      <c r="Y3098">
        <v>0.4467737</v>
      </c>
      <c r="Z3098">
        <v>2.6251690000000001E-3</v>
      </c>
      <c r="AA3098">
        <v>0.89464310000000002</v>
      </c>
      <c r="AB3098">
        <v>24</v>
      </c>
      <c r="AC3098">
        <v>10.734299999999999</v>
      </c>
      <c r="AD3098">
        <v>-1.0971120162750001</v>
      </c>
      <c r="AE3098">
        <v>-9.7560000000000002</v>
      </c>
      <c r="AF3098">
        <v>6.5535845913407904</v>
      </c>
      <c r="AG3098">
        <v>-1.0971120162750001</v>
      </c>
      <c r="AH3098">
        <v>12.8478968166407</v>
      </c>
      <c r="AI3098">
        <v>94.349984058450701</v>
      </c>
      <c r="AJ3098">
        <v>62.974323127430502</v>
      </c>
      <c r="AK3098">
        <v>14.4644937133369</v>
      </c>
    </row>
    <row r="3099" spans="1:37" x14ac:dyDescent="0.2">
      <c r="A3099" t="str">
        <f>"20200111160218161"</f>
        <v>20200111160218161</v>
      </c>
      <c r="B3099" t="str">
        <f>"1578729738154839"</f>
        <v>1578729738154839</v>
      </c>
      <c r="C3099" t="s">
        <v>37</v>
      </c>
      <c r="D3099">
        <v>5.0934499999999998</v>
      </c>
      <c r="E3099">
        <v>0.61445830000000001</v>
      </c>
      <c r="F3099" t="s">
        <v>54</v>
      </c>
      <c r="G3099">
        <v>-194.11519999999999</v>
      </c>
      <c r="H3099" s="1">
        <v>4.6457070000000002E-6</v>
      </c>
      <c r="I3099">
        <v>206.33959999999999</v>
      </c>
      <c r="J3099">
        <v>-202.31309999999999</v>
      </c>
      <c r="K3099">
        <v>1.09701</v>
      </c>
      <c r="L3099">
        <v>213.49270000000001</v>
      </c>
      <c r="M3099">
        <v>0.96194389999999996</v>
      </c>
      <c r="N3099">
        <v>0</v>
      </c>
      <c r="O3099">
        <v>-0.2728448</v>
      </c>
      <c r="P3099">
        <v>0.90838090000000005</v>
      </c>
      <c r="Q3099">
        <v>9.5513630000000002E-3</v>
      </c>
      <c r="R3099">
        <v>-0.41803489999999999</v>
      </c>
      <c r="S3099">
        <v>2.3789669999999998</v>
      </c>
      <c r="T3099">
        <v>-0.31022319999999998</v>
      </c>
      <c r="U3099">
        <v>-2.042618</v>
      </c>
      <c r="V3099">
        <v>0.15471560000000001</v>
      </c>
      <c r="W3099">
        <v>2.1350020000000001E-2</v>
      </c>
      <c r="X3099">
        <v>0.98772839999999995</v>
      </c>
      <c r="Y3099">
        <v>0.41897959999999901</v>
      </c>
      <c r="Z3099">
        <v>6.0813630000000002E-3</v>
      </c>
      <c r="AA3099">
        <v>0.90797530000000004</v>
      </c>
      <c r="AB3099">
        <v>24</v>
      </c>
      <c r="AC3099">
        <v>8.1979000000000006</v>
      </c>
      <c r="AD3099">
        <v>-1.0970053542930001</v>
      </c>
      <c r="AE3099">
        <v>-7.1531000000000198</v>
      </c>
      <c r="AF3099">
        <v>4.5978926486860896</v>
      </c>
      <c r="AG3099">
        <v>-1.0970053542930001</v>
      </c>
      <c r="AH3099">
        <v>9.7396692858429308</v>
      </c>
      <c r="AI3099">
        <v>95.815726288170197</v>
      </c>
      <c r="AJ3099">
        <v>64.728991233356993</v>
      </c>
      <c r="AK3099">
        <v>10.826134829835601</v>
      </c>
    </row>
    <row r="3100" spans="1:37" x14ac:dyDescent="0.2">
      <c r="A3100" t="str">
        <f>"20200111160218183"</f>
        <v>20200111160218183</v>
      </c>
      <c r="B3100" t="str">
        <f>"1578729738174869"</f>
        <v>1578729738174869</v>
      </c>
      <c r="C3100" t="s">
        <v>37</v>
      </c>
      <c r="D3100">
        <v>5.0416730000000003</v>
      </c>
      <c r="E3100">
        <v>0.61346230000000002</v>
      </c>
      <c r="F3100" t="s">
        <v>54</v>
      </c>
      <c r="G3100">
        <v>-193.84440000000001</v>
      </c>
      <c r="H3100" s="1">
        <v>4.8059839999999998E-6</v>
      </c>
      <c r="I3100">
        <v>206.05599999999899</v>
      </c>
      <c r="J3100">
        <v>-202.0787</v>
      </c>
      <c r="K3100">
        <v>1.0968959999999901</v>
      </c>
      <c r="L3100">
        <v>213.4128</v>
      </c>
      <c r="M3100">
        <v>0.95872829999999998</v>
      </c>
      <c r="N3100">
        <v>0</v>
      </c>
      <c r="O3100">
        <v>-0.2839354</v>
      </c>
      <c r="P3100">
        <v>0.90230659999999896</v>
      </c>
      <c r="Q3100">
        <v>8.6741279999999997E-3</v>
      </c>
      <c r="R3100">
        <v>-0.43100850000000002</v>
      </c>
      <c r="S3100">
        <v>2.3543240000000001</v>
      </c>
      <c r="T3100">
        <v>-0.30497039999999997</v>
      </c>
      <c r="U3100">
        <v>-2.0674290000000002</v>
      </c>
      <c r="V3100">
        <v>0.15744920000000001</v>
      </c>
      <c r="W3100">
        <v>2.0407040000000001E-2</v>
      </c>
      <c r="X3100">
        <v>0.98731619999999998</v>
      </c>
      <c r="Y3100">
        <v>0.41867320000000002</v>
      </c>
      <c r="Z3100">
        <v>7.1452729999999997E-3</v>
      </c>
      <c r="AA3100">
        <v>0.90810879999999905</v>
      </c>
      <c r="AB3100">
        <v>24</v>
      </c>
      <c r="AC3100">
        <v>8.2342999999999904</v>
      </c>
      <c r="AD3100">
        <v>-1.09689119401599</v>
      </c>
      <c r="AE3100">
        <v>-7.3568000000000202</v>
      </c>
      <c r="AF3100">
        <v>4.6696038338502497</v>
      </c>
      <c r="AG3100">
        <v>-1.09689119401599</v>
      </c>
      <c r="AH3100">
        <v>9.8868507612144896</v>
      </c>
      <c r="AI3100">
        <v>95.728642453513899</v>
      </c>
      <c r="AJ3100">
        <v>64.718424559090906</v>
      </c>
      <c r="AK3100">
        <v>10.989003059019799</v>
      </c>
    </row>
    <row r="3101" spans="1:37" x14ac:dyDescent="0.2">
      <c r="A3101" t="str">
        <f>"20200111160218204"</f>
        <v>20200111160218204</v>
      </c>
      <c r="B3101" t="str">
        <f>"1578729738195364"</f>
        <v>1578729738195364</v>
      </c>
      <c r="C3101" t="s">
        <v>37</v>
      </c>
      <c r="D3101">
        <v>5.037407</v>
      </c>
      <c r="E3101">
        <v>0.6123632</v>
      </c>
      <c r="F3101" t="s">
        <v>54</v>
      </c>
      <c r="G3101">
        <v>-193.7569</v>
      </c>
      <c r="H3101" s="1">
        <v>4.8708689999999996E-6</v>
      </c>
      <c r="I3101">
        <v>205.92740000000001</v>
      </c>
      <c r="J3101">
        <v>-201.8648</v>
      </c>
      <c r="K3101">
        <v>1.096797</v>
      </c>
      <c r="L3101">
        <v>213.33699999999999</v>
      </c>
      <c r="M3101">
        <v>0.95561459999999998</v>
      </c>
      <c r="N3101">
        <v>0</v>
      </c>
      <c r="O3101">
        <v>-0.29424329999999999</v>
      </c>
      <c r="P3101">
        <v>0.89653359999999904</v>
      </c>
      <c r="Q3101">
        <v>7.3077309999999996E-3</v>
      </c>
      <c r="R3101">
        <v>-0.44291599999999998</v>
      </c>
      <c r="S3101">
        <v>2.32763699999999</v>
      </c>
      <c r="T3101">
        <v>-0.30680359999999901</v>
      </c>
      <c r="U3101">
        <v>-2.0936889999999999</v>
      </c>
      <c r="V3101">
        <v>0.15986359999999999</v>
      </c>
      <c r="W3101">
        <v>1.8982530000000001E-2</v>
      </c>
      <c r="X3101">
        <v>0.98695659999999896</v>
      </c>
      <c r="Y3101">
        <v>0.41975639999999997</v>
      </c>
      <c r="Z3101">
        <v>8.2097799999999999E-3</v>
      </c>
      <c r="AA3101">
        <v>0.90759969999999901</v>
      </c>
      <c r="AB3101">
        <v>24</v>
      </c>
      <c r="AC3101">
        <v>8.1079000000000008</v>
      </c>
      <c r="AD3101">
        <v>-1.0967921291310001</v>
      </c>
      <c r="AE3101">
        <v>-7.40960000000001</v>
      </c>
      <c r="AF3101">
        <v>4.6491880649091204</v>
      </c>
      <c r="AG3101">
        <v>-1.0967921291310001</v>
      </c>
      <c r="AH3101">
        <v>9.8313209604362797</v>
      </c>
      <c r="AI3101">
        <v>95.7589591249656</v>
      </c>
      <c r="AJ3101">
        <v>64.690740746624002</v>
      </c>
      <c r="AK3101">
        <v>10.9303602165953</v>
      </c>
    </row>
    <row r="3102" spans="1:37" x14ac:dyDescent="0.2">
      <c r="A3102" t="str">
        <f>"20200111160218223"</f>
        <v>20200111160218223</v>
      </c>
      <c r="B3102" t="str">
        <f>"1578729738214885"</f>
        <v>1578729738214885</v>
      </c>
      <c r="C3102" t="s">
        <v>37</v>
      </c>
      <c r="D3102">
        <v>5.0380739999999999</v>
      </c>
      <c r="E3102">
        <v>0.61157530000000004</v>
      </c>
      <c r="F3102" t="s">
        <v>54</v>
      </c>
      <c r="G3102">
        <v>-193.76009999999999</v>
      </c>
      <c r="H3102" s="1">
        <v>4.8824419999999999E-6</v>
      </c>
      <c r="I3102">
        <v>205.89259999999999</v>
      </c>
      <c r="J3102">
        <v>-201.65620000000001</v>
      </c>
      <c r="K3102">
        <v>1.096695</v>
      </c>
      <c r="L3102">
        <v>213.2603</v>
      </c>
      <c r="M3102">
        <v>0.95240749999999996</v>
      </c>
      <c r="N3102">
        <v>0</v>
      </c>
      <c r="O3102">
        <v>-0.30446220000000002</v>
      </c>
      <c r="P3102">
        <v>0.89076259999999996</v>
      </c>
      <c r="Q3102">
        <v>6.3958499999999998E-3</v>
      </c>
      <c r="R3102">
        <v>-0.45442349999999998</v>
      </c>
      <c r="S3102">
        <v>2.3034970000000001</v>
      </c>
      <c r="T3102">
        <v>-0.31172939999999999</v>
      </c>
      <c r="U3102">
        <v>-2.1158290000000002</v>
      </c>
      <c r="V3102">
        <v>0.1619862</v>
      </c>
      <c r="W3102">
        <v>1.8019009999999999E-2</v>
      </c>
      <c r="X3102">
        <v>0.98662850000000002</v>
      </c>
      <c r="Y3102">
        <v>0.41952209999999901</v>
      </c>
      <c r="Z3102">
        <v>9.4476119999999993E-3</v>
      </c>
      <c r="AA3102">
        <v>0.9076959</v>
      </c>
      <c r="AB3102">
        <v>24</v>
      </c>
      <c r="AC3102">
        <v>7.8961000000000103</v>
      </c>
      <c r="AD3102">
        <v>-1.0966901175579999</v>
      </c>
      <c r="AE3102">
        <v>-7.3677000000000099</v>
      </c>
      <c r="AF3102">
        <v>4.5664126802157998</v>
      </c>
      <c r="AG3102">
        <v>-1.0966901175579999</v>
      </c>
      <c r="AH3102">
        <v>9.6649117254222006</v>
      </c>
      <c r="AI3102">
        <v>95.857840460636496</v>
      </c>
      <c r="AJ3102">
        <v>64.7105164908386</v>
      </c>
      <c r="AK3102">
        <v>10.7454814987597</v>
      </c>
    </row>
    <row r="3103" spans="1:37" x14ac:dyDescent="0.2">
      <c r="A3103" t="str">
        <f>"20200111160218247"</f>
        <v>20200111160218247</v>
      </c>
      <c r="B3103" t="str">
        <f>"1578729738235380"</f>
        <v>1578729738235380</v>
      </c>
      <c r="C3103" t="s">
        <v>37</v>
      </c>
      <c r="D3103">
        <v>5.0668550000000003</v>
      </c>
      <c r="E3103">
        <v>0.60957150000000004</v>
      </c>
      <c r="F3103" t="s">
        <v>54</v>
      </c>
      <c r="G3103">
        <v>-193.65539999999999</v>
      </c>
      <c r="H3103" s="1">
        <v>4.9573260000000002E-6</v>
      </c>
      <c r="I3103">
        <v>205.7465</v>
      </c>
      <c r="J3103">
        <v>-201.42070000000001</v>
      </c>
      <c r="K3103">
        <v>1.096579</v>
      </c>
      <c r="L3103">
        <v>213.1705</v>
      </c>
      <c r="M3103">
        <v>0.94858030000000004</v>
      </c>
      <c r="N3103">
        <v>0</v>
      </c>
      <c r="O3103">
        <v>-0.31618299999999999</v>
      </c>
      <c r="P3103">
        <v>0.88413430000000004</v>
      </c>
      <c r="Q3103">
        <v>5.8961309999999998E-3</v>
      </c>
      <c r="R3103">
        <v>-0.467196</v>
      </c>
      <c r="S3103">
        <v>2.27851899999999</v>
      </c>
      <c r="T3103">
        <v>-0.3123223</v>
      </c>
      <c r="U3103">
        <v>-2.1398320000000002</v>
      </c>
      <c r="V3103">
        <v>0.16401350000000001</v>
      </c>
      <c r="W3103">
        <v>1.7467860000000002E-2</v>
      </c>
      <c r="X3103">
        <v>0.98630339999999905</v>
      </c>
      <c r="Y3103">
        <v>0.4184233</v>
      </c>
      <c r="Z3103">
        <v>1.078323E-2</v>
      </c>
      <c r="AA3103">
        <v>0.90818809999999905</v>
      </c>
      <c r="AB3103">
        <v>24</v>
      </c>
      <c r="AC3103">
        <v>7.7653000000000203</v>
      </c>
      <c r="AD3103">
        <v>-1.096574042674</v>
      </c>
      <c r="AE3103">
        <v>-7.4240000000000004</v>
      </c>
      <c r="AF3103">
        <v>4.5402146190061199</v>
      </c>
      <c r="AG3103">
        <v>-1.096574042674</v>
      </c>
      <c r="AH3103">
        <v>9.6142722613419398</v>
      </c>
      <c r="AI3103">
        <v>95.888392918993105</v>
      </c>
      <c r="AJ3103">
        <v>64.721587741869996</v>
      </c>
      <c r="AK3103">
        <v>10.6887910697567</v>
      </c>
    </row>
    <row r="3104" spans="1:37" x14ac:dyDescent="0.2">
      <c r="A3104" t="str">
        <f>"20200111160218271"</f>
        <v>20200111160218271</v>
      </c>
      <c r="B3104" t="str">
        <f>"1578729738265169"</f>
        <v>1578729738265169</v>
      </c>
      <c r="C3104" t="s">
        <v>37</v>
      </c>
      <c r="D3104">
        <v>5.0133510000000001</v>
      </c>
      <c r="E3104">
        <v>0.6043828</v>
      </c>
      <c r="F3104" t="s">
        <v>54</v>
      </c>
      <c r="G3104">
        <v>-189.9408</v>
      </c>
      <c r="H3104" s="1">
        <v>7.0484339999999998E-6</v>
      </c>
      <c r="I3104">
        <v>202.1397</v>
      </c>
      <c r="J3104">
        <v>-201.1729</v>
      </c>
      <c r="K3104">
        <v>1.0964529999999999</v>
      </c>
      <c r="L3104">
        <v>213.07210000000001</v>
      </c>
      <c r="M3104">
        <v>0.94430550000000002</v>
      </c>
      <c r="N3104">
        <v>0</v>
      </c>
      <c r="O3104">
        <v>-0.32872839999999998</v>
      </c>
      <c r="P3104">
        <v>0.87715969999999999</v>
      </c>
      <c r="Q3104">
        <v>4.5516710000000002E-3</v>
      </c>
      <c r="R3104">
        <v>-0.48017759999999998</v>
      </c>
      <c r="S3104">
        <v>2.251404</v>
      </c>
      <c r="T3104">
        <v>-0.2150571</v>
      </c>
      <c r="U3104">
        <v>-2.1633450000000001</v>
      </c>
      <c r="V3104">
        <v>0.16545479999999901</v>
      </c>
      <c r="W3104">
        <v>1.608476E-2</v>
      </c>
      <c r="X3104">
        <v>0.98608619999999902</v>
      </c>
      <c r="Y3104">
        <v>0.41707</v>
      </c>
      <c r="Z3104">
        <v>8.4215499999999999E-3</v>
      </c>
      <c r="AA3104">
        <v>0.90883539999999996</v>
      </c>
      <c r="AB3104">
        <v>24</v>
      </c>
      <c r="AC3104">
        <v>11.232100000000001</v>
      </c>
      <c r="AD3104">
        <v>-1.0964459515660001</v>
      </c>
      <c r="AE3104">
        <v>-10.932399999999999</v>
      </c>
      <c r="AF3104">
        <v>6.5996658434423701</v>
      </c>
      <c r="AG3104">
        <v>-1.0964459515660001</v>
      </c>
      <c r="AH3104">
        <v>14.1327632616703</v>
      </c>
      <c r="AI3104">
        <v>94.020993726676394</v>
      </c>
      <c r="AJ3104">
        <v>64.968539017286304</v>
      </c>
      <c r="AK3104">
        <v>15.636264911423799</v>
      </c>
    </row>
    <row r="3105" spans="1:37" x14ac:dyDescent="0.2">
      <c r="A3105" t="str">
        <f>"20200111160218290"</f>
        <v>20200111160218290</v>
      </c>
      <c r="B3105" t="str">
        <f>"1578729738284689"</f>
        <v>1578729738284689</v>
      </c>
      <c r="C3105" t="s">
        <v>37</v>
      </c>
      <c r="D3105">
        <v>5.0433309999999896</v>
      </c>
      <c r="E3105">
        <v>0.60323819999999995</v>
      </c>
      <c r="F3105" t="s">
        <v>54</v>
      </c>
      <c r="G3105">
        <v>-192.74099999999899</v>
      </c>
      <c r="H3105" s="1">
        <v>5.4372640000000003E-6</v>
      </c>
      <c r="I3105">
        <v>204.9623</v>
      </c>
      <c r="J3105">
        <v>-200.97120000000001</v>
      </c>
      <c r="K3105">
        <v>1.09636</v>
      </c>
      <c r="L3105">
        <v>212.9889</v>
      </c>
      <c r="M3105">
        <v>0.94063099999999999</v>
      </c>
      <c r="N3105">
        <v>0</v>
      </c>
      <c r="O3105">
        <v>-0.33909840000000002</v>
      </c>
      <c r="P3105">
        <v>0.87093790000000004</v>
      </c>
      <c r="Q3105">
        <v>2.6841259999999998E-3</v>
      </c>
      <c r="R3105">
        <v>-0.4913862</v>
      </c>
      <c r="S3105">
        <v>2.241501</v>
      </c>
      <c r="T3105">
        <v>-0.29147269999999997</v>
      </c>
      <c r="U3105">
        <v>-2.155853</v>
      </c>
      <c r="V3105">
        <v>0.16721369999999999</v>
      </c>
      <c r="W3105">
        <v>1.417334E-2</v>
      </c>
      <c r="X3105">
        <v>0.9858188</v>
      </c>
      <c r="Y3105">
        <v>0.40736790000000001</v>
      </c>
      <c r="Z3105">
        <v>1.298172E-2</v>
      </c>
      <c r="AA3105">
        <v>0.91317190000000004</v>
      </c>
      <c r="AB3105">
        <v>24</v>
      </c>
      <c r="AC3105">
        <v>8.2302000000000195</v>
      </c>
      <c r="AD3105">
        <v>-1.0963545627360001</v>
      </c>
      <c r="AE3105">
        <v>-8.0266000000000002</v>
      </c>
      <c r="AF3105">
        <v>4.7168591013493097</v>
      </c>
      <c r="AG3105">
        <v>-1.0963545627360001</v>
      </c>
      <c r="AH3105">
        <v>10.3702534037457</v>
      </c>
      <c r="AI3105">
        <v>95.496879240498203</v>
      </c>
      <c r="AJ3105">
        <v>65.541817494748699</v>
      </c>
      <c r="AK3105">
        <v>11.4452133561203</v>
      </c>
    </row>
    <row r="3106" spans="1:37" x14ac:dyDescent="0.2">
      <c r="A3106" t="str">
        <f>"20200111160218314"</f>
        <v>20200111160218314</v>
      </c>
      <c r="B3106" t="str">
        <f>"1578729738305185"</f>
        <v>1578729738305185</v>
      </c>
      <c r="C3106" t="s">
        <v>37</v>
      </c>
      <c r="D3106">
        <v>5.0894170000000001</v>
      </c>
      <c r="E3106">
        <v>0.602415699999999</v>
      </c>
      <c r="F3106" t="s">
        <v>54</v>
      </c>
      <c r="G3106">
        <v>-192.60169999999999</v>
      </c>
      <c r="H3106" s="1">
        <v>5.5344379999999997E-6</v>
      </c>
      <c r="I3106">
        <v>204.7748</v>
      </c>
      <c r="J3106">
        <v>-200.72839999999999</v>
      </c>
      <c r="K3106">
        <v>1.0962700000000001</v>
      </c>
      <c r="L3106">
        <v>212.88489999999999</v>
      </c>
      <c r="M3106">
        <v>0.93597399999999997</v>
      </c>
      <c r="N3106">
        <v>0</v>
      </c>
      <c r="O3106">
        <v>-0.35174689999999997</v>
      </c>
      <c r="P3106">
        <v>0.86274359999999894</v>
      </c>
      <c r="Q3106">
        <v>3.043152E-4</v>
      </c>
      <c r="R3106">
        <v>-0.50564179999999903</v>
      </c>
      <c r="S3106">
        <v>2.2175289999999999</v>
      </c>
      <c r="T3106">
        <v>-0.29048459999999998</v>
      </c>
      <c r="U3106">
        <v>-2.1763759999999999</v>
      </c>
      <c r="V3106">
        <v>0.1700895</v>
      </c>
      <c r="W3106">
        <v>1.1728799999999999E-2</v>
      </c>
      <c r="X3106">
        <v>0.98535879999999998</v>
      </c>
      <c r="Y3106">
        <v>0.40434759999999997</v>
      </c>
      <c r="Z3106">
        <v>1.4372660000000001E-2</v>
      </c>
      <c r="AA3106">
        <v>0.91449239999999998</v>
      </c>
      <c r="AB3106">
        <v>24</v>
      </c>
      <c r="AC3106">
        <v>8.1266999999999996</v>
      </c>
      <c r="AD3106">
        <v>-1.096264465562</v>
      </c>
      <c r="AE3106">
        <v>-8.1100999999999797</v>
      </c>
      <c r="AF3106">
        <v>4.6900777496321497</v>
      </c>
      <c r="AG3106">
        <v>-1.096264465562</v>
      </c>
      <c r="AH3106">
        <v>10.365762385840799</v>
      </c>
      <c r="AI3106">
        <v>95.5037062404826</v>
      </c>
      <c r="AJ3106">
        <v>65.655219771542704</v>
      </c>
      <c r="AK3106">
        <v>11.4301205118652</v>
      </c>
    </row>
    <row r="3107" spans="1:37" x14ac:dyDescent="0.2">
      <c r="A3107" t="str">
        <f>"20200111160218335"</f>
        <v>20200111160218335</v>
      </c>
      <c r="B3107" t="str">
        <f>"1578729738325681"</f>
        <v>1578729738325681</v>
      </c>
      <c r="C3107" t="s">
        <v>37</v>
      </c>
      <c r="D3107">
        <v>5.0311659999999998</v>
      </c>
      <c r="E3107">
        <v>0.59383960000000002</v>
      </c>
      <c r="F3107" t="s">
        <v>54</v>
      </c>
      <c r="G3107">
        <v>-192.78809999999999</v>
      </c>
      <c r="H3107" s="1">
        <v>5.4605679999999998E-6</v>
      </c>
      <c r="I3107">
        <v>204.86689999999999</v>
      </c>
      <c r="J3107">
        <v>-200.5232</v>
      </c>
      <c r="K3107">
        <v>1.0961989999999999</v>
      </c>
      <c r="L3107">
        <v>212.79390000000001</v>
      </c>
      <c r="M3107">
        <v>0.93183700000000003</v>
      </c>
      <c r="N3107">
        <v>0</v>
      </c>
      <c r="O3107">
        <v>-0.36256349999999998</v>
      </c>
      <c r="P3107">
        <v>0.85517459999999901</v>
      </c>
      <c r="Q3107">
        <v>-2.810033E-3</v>
      </c>
      <c r="R3107">
        <v>-0.51833240000000003</v>
      </c>
      <c r="S3107">
        <v>2.1845400000000001</v>
      </c>
      <c r="T3107">
        <v>-0.3016027</v>
      </c>
      <c r="U3107">
        <v>-2.2059169999999999</v>
      </c>
      <c r="V3107">
        <v>0.17317449999999901</v>
      </c>
      <c r="W3107">
        <v>8.5460740000000007E-3</v>
      </c>
      <c r="X3107">
        <v>0.98485409999999995</v>
      </c>
      <c r="Y3107">
        <v>0.4067828</v>
      </c>
      <c r="Z3107">
        <v>1.593905E-2</v>
      </c>
      <c r="AA3107">
        <v>0.91338589999999997</v>
      </c>
      <c r="AB3107">
        <v>24</v>
      </c>
      <c r="AC3107">
        <v>7.7351000000000099</v>
      </c>
      <c r="AD3107">
        <v>-1.0961935394319999</v>
      </c>
      <c r="AE3107">
        <v>-7.92700000000002</v>
      </c>
      <c r="AF3107">
        <v>4.5382723715343696</v>
      </c>
      <c r="AG3107">
        <v>-1.0961935394319999</v>
      </c>
      <c r="AH3107">
        <v>9.9852271746851802</v>
      </c>
      <c r="AI3107">
        <v>95.707370292104102</v>
      </c>
      <c r="AJ3107">
        <v>65.558267287100705</v>
      </c>
      <c r="AK3107">
        <v>11.0228089942716</v>
      </c>
    </row>
    <row r="3108" spans="1:37" x14ac:dyDescent="0.2">
      <c r="A3108" t="str">
        <f>"20200111160218363"</f>
        <v>20200111160218363</v>
      </c>
      <c r="B3108" t="str">
        <f>"1578729738354960"</f>
        <v>1578729738354960</v>
      </c>
      <c r="C3108" t="s">
        <v>37</v>
      </c>
      <c r="D3108">
        <v>5.1755899999999997</v>
      </c>
      <c r="E3108">
        <v>0.6193495</v>
      </c>
      <c r="F3108" t="s">
        <v>54</v>
      </c>
      <c r="G3108">
        <v>-192.9511</v>
      </c>
      <c r="H3108" s="1">
        <v>5.2881719999999997E-6</v>
      </c>
      <c r="I3108">
        <v>205.25229999999999</v>
      </c>
      <c r="J3108">
        <v>-200.249</v>
      </c>
      <c r="K3108">
        <v>1.096122</v>
      </c>
      <c r="L3108">
        <v>212.6677</v>
      </c>
      <c r="M3108">
        <v>0.92601169999999999</v>
      </c>
      <c r="N3108">
        <v>0</v>
      </c>
      <c r="O3108">
        <v>-0.37719159999999902</v>
      </c>
      <c r="P3108">
        <v>0.84461439999999999</v>
      </c>
      <c r="Q3108">
        <v>-5.5652369999999998E-3</v>
      </c>
      <c r="R3108">
        <v>-0.53534569999999904</v>
      </c>
      <c r="S3108">
        <v>2.18689</v>
      </c>
      <c r="T3108">
        <v>-0.31659100000000001</v>
      </c>
      <c r="U3108">
        <v>-2.1780849999999998</v>
      </c>
      <c r="V3108">
        <v>0.1773286</v>
      </c>
      <c r="W3108">
        <v>5.6984749999999997E-3</v>
      </c>
      <c r="X3108">
        <v>0.98413519999999899</v>
      </c>
      <c r="Y3108">
        <v>0.38613999999999998</v>
      </c>
      <c r="Z3108">
        <v>1.955641E-2</v>
      </c>
      <c r="AA3108">
        <v>0.92223290000000002</v>
      </c>
      <c r="AB3108">
        <v>24</v>
      </c>
      <c r="AC3108">
        <v>7.2979000000000198</v>
      </c>
      <c r="AD3108">
        <v>-1.096116711828</v>
      </c>
      <c r="AE3108">
        <v>-7.4154</v>
      </c>
      <c r="AF3108">
        <v>4.0693444794972597</v>
      </c>
      <c r="AG3108">
        <v>-1.096116711828</v>
      </c>
      <c r="AH3108">
        <v>9.4511595020730503</v>
      </c>
      <c r="AI3108">
        <v>96.080365249426393</v>
      </c>
      <c r="AJ3108">
        <v>66.704949619917798</v>
      </c>
      <c r="AK3108">
        <v>10.348210099934599</v>
      </c>
    </row>
    <row r="3109" spans="1:37" x14ac:dyDescent="0.2">
      <c r="A3109" t="str">
        <f>"20200111160218383"</f>
        <v>20200111160218383</v>
      </c>
      <c r="B3109" t="str">
        <f>"1578729738374990"</f>
        <v>1578729738374990</v>
      </c>
      <c r="C3109" t="s">
        <v>37</v>
      </c>
      <c r="D3109">
        <v>5.0535059999999996</v>
      </c>
      <c r="E3109">
        <v>0.6598231</v>
      </c>
      <c r="F3109" t="s">
        <v>54</v>
      </c>
      <c r="G3109">
        <v>-192.39169999999999</v>
      </c>
      <c r="H3109" s="1">
        <v>5.9581209999999997E-6</v>
      </c>
      <c r="I3109">
        <v>203.40369999999999</v>
      </c>
      <c r="J3109">
        <v>-200.0394</v>
      </c>
      <c r="K3109">
        <v>1.096068</v>
      </c>
      <c r="L3109">
        <v>212.56739999999999</v>
      </c>
      <c r="M3109">
        <v>0.92132190000000003</v>
      </c>
      <c r="N3109">
        <v>0</v>
      </c>
      <c r="O3109">
        <v>-0.3885055</v>
      </c>
      <c r="P3109">
        <v>0.83614549999999999</v>
      </c>
      <c r="Q3109">
        <v>-7.0898459999999899E-3</v>
      </c>
      <c r="R3109">
        <v>-0.54846189999999995</v>
      </c>
      <c r="S3109">
        <v>2.0317229999999999</v>
      </c>
      <c r="T3109">
        <v>-0.28343279999999998</v>
      </c>
      <c r="U3109">
        <v>-2.39546199999999</v>
      </c>
      <c r="V3109">
        <v>0.18060589999999899</v>
      </c>
      <c r="W3109">
        <v>4.1010899999999999E-3</v>
      </c>
      <c r="X3109">
        <v>0.98354699999999995</v>
      </c>
      <c r="Y3109">
        <v>0.45108959999999998</v>
      </c>
      <c r="Z3109">
        <v>1.5208640000000001E-2</v>
      </c>
      <c r="AA3109">
        <v>0.89234910000000001</v>
      </c>
      <c r="AB3109">
        <v>24</v>
      </c>
      <c r="AC3109">
        <v>7.6477000000000102</v>
      </c>
      <c r="AD3109">
        <v>-1.0960620418789999</v>
      </c>
      <c r="AE3109">
        <v>-9.1637000000000004</v>
      </c>
      <c r="AF3109">
        <v>5.4264115695238404</v>
      </c>
      <c r="AG3109">
        <v>-1.0960620418789999</v>
      </c>
      <c r="AH3109">
        <v>10.518655846427899</v>
      </c>
      <c r="AI3109">
        <v>95.290787701567695</v>
      </c>
      <c r="AJ3109">
        <v>62.7114921198473</v>
      </c>
      <c r="AK3109">
        <v>11.886522424035601</v>
      </c>
    </row>
    <row r="3110" spans="1:37" x14ac:dyDescent="0.2">
      <c r="A3110" t="str">
        <f>"20200111160218426"</f>
        <v>20200111160218426</v>
      </c>
      <c r="B3110" t="str">
        <f>"1578729738415005"</f>
        <v>1578729738415005</v>
      </c>
      <c r="C3110" t="s">
        <v>37</v>
      </c>
      <c r="D3110">
        <v>5.1193839999999904</v>
      </c>
      <c r="E3110">
        <v>0.66820599999999997</v>
      </c>
      <c r="F3110" t="s">
        <v>38</v>
      </c>
      <c r="G3110">
        <v>-185.31950000000001</v>
      </c>
      <c r="H3110" s="1">
        <v>-1.5586969999999999E-6</v>
      </c>
      <c r="I3110">
        <v>190.56880000000001</v>
      </c>
      <c r="J3110">
        <v>-199.62530000000001</v>
      </c>
      <c r="K3110">
        <v>1.0959639999999999</v>
      </c>
      <c r="L3110">
        <v>212.3597</v>
      </c>
      <c r="M3110">
        <v>0.91141689999999997</v>
      </c>
      <c r="N3110">
        <v>0</v>
      </c>
      <c r="O3110">
        <v>-0.4112034</v>
      </c>
      <c r="P3110">
        <v>0.81951450000000003</v>
      </c>
      <c r="Q3110">
        <v>-7.2207189999999996E-3</v>
      </c>
      <c r="R3110">
        <v>-0.57301309999999905</v>
      </c>
      <c r="S3110">
        <v>1.811234</v>
      </c>
      <c r="T3110">
        <v>-0.13486789999999901</v>
      </c>
      <c r="U3110">
        <v>-2.7068629999999998</v>
      </c>
      <c r="V3110">
        <v>0.1854083</v>
      </c>
      <c r="W3110">
        <v>3.8593359999999901E-3</v>
      </c>
      <c r="X3110">
        <v>0.98265400000000003</v>
      </c>
      <c r="Y3110">
        <v>0.52876290000000004</v>
      </c>
      <c r="Z3110">
        <v>6.2312309999999899E-3</v>
      </c>
      <c r="AA3110">
        <v>0.84874669999999897</v>
      </c>
      <c r="AB3110">
        <v>24</v>
      </c>
      <c r="AC3110">
        <v>14.3058</v>
      </c>
      <c r="AD3110">
        <v>-1.0959655586970001</v>
      </c>
      <c r="AE3110">
        <v>-21.790899999999901</v>
      </c>
      <c r="AF3110">
        <v>13.954947703293399</v>
      </c>
      <c r="AG3110">
        <v>-1.0959655586970001</v>
      </c>
      <c r="AH3110">
        <v>21.962758132131501</v>
      </c>
      <c r="AI3110">
        <v>92.411767638716896</v>
      </c>
      <c r="AJ3110">
        <v>57.5684739297715</v>
      </c>
      <c r="AK3110">
        <v>26.044278655359498</v>
      </c>
    </row>
    <row r="3111" spans="1:37" x14ac:dyDescent="0.2">
      <c r="A3111" t="str">
        <f>"20200111160218452"</f>
        <v>20200111160218452</v>
      </c>
      <c r="B3111" t="str">
        <f>"1578729738445262"</f>
        <v>1578729738445262</v>
      </c>
      <c r="C3111" t="s">
        <v>37</v>
      </c>
      <c r="D3111">
        <v>5.1365410000000002</v>
      </c>
      <c r="E3111">
        <v>0.66929539999999998</v>
      </c>
      <c r="F3111" t="s">
        <v>38</v>
      </c>
      <c r="G3111">
        <v>-189.78720000000001</v>
      </c>
      <c r="H3111" s="1">
        <v>-2.784057E-6</v>
      </c>
      <c r="I3111">
        <v>196.03450000000001</v>
      </c>
      <c r="J3111">
        <v>-199.3835</v>
      </c>
      <c r="K3111">
        <v>1.0958889999999999</v>
      </c>
      <c r="L3111">
        <v>212.232</v>
      </c>
      <c r="M3111">
        <v>0.90521219999999902</v>
      </c>
      <c r="N3111">
        <v>0</v>
      </c>
      <c r="O3111">
        <v>-0.42468739999999999</v>
      </c>
      <c r="P3111">
        <v>0.81071519999999897</v>
      </c>
      <c r="Q3111">
        <v>-6.624408E-3</v>
      </c>
      <c r="R3111">
        <v>-0.58540369999999997</v>
      </c>
      <c r="S3111">
        <v>1.6937869999999999</v>
      </c>
      <c r="T3111">
        <v>-0.1886892</v>
      </c>
      <c r="U3111">
        <v>-2.810654</v>
      </c>
      <c r="V3111">
        <v>0.1857693</v>
      </c>
      <c r="W3111">
        <v>4.4453640000000003E-3</v>
      </c>
      <c r="X3111">
        <v>0.98258330000000005</v>
      </c>
      <c r="Y3111">
        <v>0.55594829999999995</v>
      </c>
      <c r="Z3111">
        <v>8.6107979999999994E-3</v>
      </c>
      <c r="AA3111">
        <v>0.83117229999999998</v>
      </c>
      <c r="AB3111">
        <v>24</v>
      </c>
      <c r="AC3111">
        <v>9.5962999999999798</v>
      </c>
      <c r="AD3111">
        <v>-1.0958917840569999</v>
      </c>
      <c r="AE3111">
        <v>-16.197499999999899</v>
      </c>
      <c r="AF3111">
        <v>10.5522183015397</v>
      </c>
      <c r="AG3111">
        <v>-1.0958917840569999</v>
      </c>
      <c r="AH3111">
        <v>15.5147950095898</v>
      </c>
      <c r="AI3111">
        <v>93.342642861554594</v>
      </c>
      <c r="AJ3111">
        <v>55.778849424886602</v>
      </c>
      <c r="AK3111">
        <v>18.795189652549499</v>
      </c>
    </row>
    <row r="3112" spans="1:37" x14ac:dyDescent="0.2">
      <c r="A3112" t="str">
        <f>"20200111160218486"</f>
        <v>20200111160218486</v>
      </c>
      <c r="B3112" t="str">
        <f>"1578729738475049"</f>
        <v>1578729738475049</v>
      </c>
      <c r="C3112" t="s">
        <v>37</v>
      </c>
      <c r="D3112">
        <v>4.9859309999999999</v>
      </c>
      <c r="E3112">
        <v>0.67165200000000003</v>
      </c>
      <c r="F3112" t="s">
        <v>38</v>
      </c>
      <c r="G3112">
        <v>-190.74170000000001</v>
      </c>
      <c r="H3112" s="1">
        <v>-3.5120739999999999E-6</v>
      </c>
      <c r="I3112">
        <v>197.3158</v>
      </c>
      <c r="J3112">
        <v>-199.04470000000001</v>
      </c>
      <c r="K3112">
        <v>1.095793</v>
      </c>
      <c r="L3112">
        <v>212.04480000000001</v>
      </c>
      <c r="M3112">
        <v>0.89596450000000005</v>
      </c>
      <c r="N3112">
        <v>0</v>
      </c>
      <c r="O3112">
        <v>-0.44386320000000001</v>
      </c>
      <c r="P3112">
        <v>0.79806580000000005</v>
      </c>
      <c r="Q3112">
        <v>-8.3127019999999999E-3</v>
      </c>
      <c r="R3112">
        <v>-0.60251279999999996</v>
      </c>
      <c r="S3112">
        <v>1.6465299999999901</v>
      </c>
      <c r="T3112">
        <v>-0.20880370000000001</v>
      </c>
      <c r="U3112">
        <v>-2.8420259999999899</v>
      </c>
      <c r="V3112">
        <v>0.18571979999999999</v>
      </c>
      <c r="W3112">
        <v>2.7554630000000001E-3</v>
      </c>
      <c r="X3112">
        <v>0.98259889999999905</v>
      </c>
      <c r="Y3112">
        <v>0.55257290000000003</v>
      </c>
      <c r="Z3112">
        <v>1.1040009999999999E-2</v>
      </c>
      <c r="AA3112">
        <v>0.83339149999999995</v>
      </c>
      <c r="AB3112">
        <v>24</v>
      </c>
      <c r="AC3112">
        <v>8.3029999999999902</v>
      </c>
      <c r="AD3112">
        <v>-1.0957965120740001</v>
      </c>
      <c r="AE3112">
        <v>-14.728999999999999</v>
      </c>
      <c r="AF3112">
        <v>9.4725867172643898</v>
      </c>
      <c r="AG3112">
        <v>-1.0957965120740001</v>
      </c>
      <c r="AH3112">
        <v>13.9200164174581</v>
      </c>
      <c r="AI3112">
        <v>93.723629482708404</v>
      </c>
      <c r="AJ3112">
        <v>55.764669048488201</v>
      </c>
      <c r="AK3112">
        <v>16.8729821363703</v>
      </c>
    </row>
    <row r="3113" spans="1:37" x14ac:dyDescent="0.2">
      <c r="A3113" t="str">
        <f>"20200111160218514"</f>
        <v>20200111160218514</v>
      </c>
      <c r="B3113" t="str">
        <f>"1578729738505306"</f>
        <v>1578729738505306</v>
      </c>
      <c r="C3113" t="s">
        <v>37</v>
      </c>
      <c r="D3113">
        <v>5.0140339999999997</v>
      </c>
      <c r="E3113">
        <v>0.67200019999999905</v>
      </c>
      <c r="F3113" t="s">
        <v>38</v>
      </c>
      <c r="G3113">
        <v>-190.09190000000001</v>
      </c>
      <c r="H3113" s="1">
        <v>-2.596983E-6</v>
      </c>
      <c r="I3113">
        <v>195.58580000000001</v>
      </c>
      <c r="J3113">
        <v>-198.79390000000001</v>
      </c>
      <c r="K3113">
        <v>1.0957239999999999</v>
      </c>
      <c r="L3113">
        <v>211.89959999999999</v>
      </c>
      <c r="M3113">
        <v>0.88867999999999903</v>
      </c>
      <c r="N3113">
        <v>0</v>
      </c>
      <c r="O3113">
        <v>-0.45827279999999998</v>
      </c>
      <c r="P3113">
        <v>0.78865419999999997</v>
      </c>
      <c r="Q3113">
        <v>-1.1312539999999999E-2</v>
      </c>
      <c r="R3113">
        <v>-0.61473299999999997</v>
      </c>
      <c r="S3113">
        <v>1.5733489999999899</v>
      </c>
      <c r="T3113">
        <v>-0.19257289999999999</v>
      </c>
      <c r="U3113">
        <v>-2.892471</v>
      </c>
      <c r="V3113">
        <v>0.1849412</v>
      </c>
      <c r="W3113">
        <v>-2.2629369999999999E-4</v>
      </c>
      <c r="X3113">
        <v>0.982749599999999</v>
      </c>
      <c r="Y3113">
        <v>0.56155379999999999</v>
      </c>
      <c r="Z3113">
        <v>1.082175E-2</v>
      </c>
      <c r="AA3113">
        <v>0.82736949999999998</v>
      </c>
      <c r="AB3113">
        <v>24</v>
      </c>
      <c r="AC3113">
        <v>8.7019999999999893</v>
      </c>
      <c r="AD3113">
        <v>-1.0957265969829999</v>
      </c>
      <c r="AE3113">
        <v>-16.313799999999901</v>
      </c>
      <c r="AF3113">
        <v>10.474301853316099</v>
      </c>
      <c r="AG3113">
        <v>-1.0957265969829999</v>
      </c>
      <c r="AH3113">
        <v>15.158008845680699</v>
      </c>
      <c r="AI3113">
        <v>93.403368278966695</v>
      </c>
      <c r="AJ3113">
        <v>55.355225720589999</v>
      </c>
      <c r="AK3113">
        <v>18.457433414628699</v>
      </c>
    </row>
    <row r="3114" spans="1:37" x14ac:dyDescent="0.2">
      <c r="A3114" t="str">
        <f>"20200111160218535"</f>
        <v>20200111160218535</v>
      </c>
      <c r="B3114" t="str">
        <f>"1578729738524826"</f>
        <v>1578729738524826</v>
      </c>
      <c r="C3114" t="s">
        <v>37</v>
      </c>
      <c r="D3114">
        <v>4.9841480000000002</v>
      </c>
      <c r="E3114">
        <v>0.67141490000000004</v>
      </c>
      <c r="F3114" t="s">
        <v>38</v>
      </c>
      <c r="G3114">
        <v>-189.51</v>
      </c>
      <c r="H3114" s="1">
        <v>-2.017117E-6</v>
      </c>
      <c r="I3114">
        <v>194.13210000000001</v>
      </c>
      <c r="J3114">
        <v>-198.59049999999999</v>
      </c>
      <c r="K3114">
        <v>1.0956569999999899</v>
      </c>
      <c r="L3114">
        <v>211.77770000000001</v>
      </c>
      <c r="M3114">
        <v>0.882472699999999</v>
      </c>
      <c r="N3114">
        <v>0</v>
      </c>
      <c r="O3114">
        <v>-0.47011409999999998</v>
      </c>
      <c r="P3114">
        <v>0.78132080000000004</v>
      </c>
      <c r="Q3114">
        <v>-1.52151E-2</v>
      </c>
      <c r="R3114">
        <v>-0.62394439999999995</v>
      </c>
      <c r="S3114">
        <v>1.525574</v>
      </c>
      <c r="T3114">
        <v>-0.1800562</v>
      </c>
      <c r="U3114">
        <v>-2.91966199999999</v>
      </c>
      <c r="V3114">
        <v>0.18327969999999999</v>
      </c>
      <c r="W3114">
        <v>-4.09099099999999E-3</v>
      </c>
      <c r="X3114">
        <v>0.98305229999999999</v>
      </c>
      <c r="Y3114">
        <v>0.56432609999999905</v>
      </c>
      <c r="Z3114">
        <v>1.077725E-2</v>
      </c>
      <c r="AA3114">
        <v>0.82548169999999899</v>
      </c>
      <c r="AB3114">
        <v>24</v>
      </c>
      <c r="AC3114">
        <v>9.0805000000000007</v>
      </c>
      <c r="AD3114">
        <v>-1.095659017117</v>
      </c>
      <c r="AE3114">
        <v>-17.645600000000002</v>
      </c>
      <c r="AF3114">
        <v>11.269862309040301</v>
      </c>
      <c r="AG3114">
        <v>-1.095659017117</v>
      </c>
      <c r="AH3114">
        <v>16.261084813353001</v>
      </c>
      <c r="AI3114">
        <v>93.169758149071995</v>
      </c>
      <c r="AJ3114">
        <v>55.275825807801198</v>
      </c>
      <c r="AK3114">
        <v>19.8149727341114</v>
      </c>
    </row>
    <row r="3115" spans="1:37" x14ac:dyDescent="0.2">
      <c r="A3115" t="str">
        <f>"20200111160218558"</f>
        <v>20200111160218558</v>
      </c>
      <c r="B3115" t="str">
        <f>"1578729738555082"</f>
        <v>1578729738555082</v>
      </c>
      <c r="C3115" t="s">
        <v>37</v>
      </c>
      <c r="D3115">
        <v>5.0079370000000001</v>
      </c>
      <c r="E3115">
        <v>0.66936899999999999</v>
      </c>
      <c r="F3115" t="s">
        <v>38</v>
      </c>
      <c r="G3115">
        <v>-189.6611</v>
      </c>
      <c r="H3115" s="1">
        <v>-2.0335370000000001E-6</v>
      </c>
      <c r="I3115">
        <v>194.2329</v>
      </c>
      <c r="J3115">
        <v>-198.38560000000001</v>
      </c>
      <c r="K3115">
        <v>1.095591</v>
      </c>
      <c r="L3115">
        <v>211.65099999999899</v>
      </c>
      <c r="M3115">
        <v>0.87593989999999999</v>
      </c>
      <c r="N3115">
        <v>0</v>
      </c>
      <c r="O3115">
        <v>-0.4821762</v>
      </c>
      <c r="P3115">
        <v>0.77399530000000005</v>
      </c>
      <c r="Q3115">
        <v>-1.69097E-2</v>
      </c>
      <c r="R3115">
        <v>-0.63296569999999996</v>
      </c>
      <c r="S3115">
        <v>1.493179</v>
      </c>
      <c r="T3115">
        <v>-0.1832174</v>
      </c>
      <c r="U3115">
        <v>-2.9338679999999999</v>
      </c>
      <c r="V3115">
        <v>0.18117739999999999</v>
      </c>
      <c r="W3115">
        <v>-5.7350880000000002E-3</v>
      </c>
      <c r="X3115">
        <v>0.98343369999999997</v>
      </c>
      <c r="Y3115">
        <v>0.56185799999999997</v>
      </c>
      <c r="Z3115">
        <v>1.183613E-2</v>
      </c>
      <c r="AA3115">
        <v>0.82714900000000002</v>
      </c>
      <c r="AB3115">
        <v>24</v>
      </c>
      <c r="AC3115">
        <v>8.7245000000000008</v>
      </c>
      <c r="AD3115">
        <v>-1.0955930335369899</v>
      </c>
      <c r="AE3115">
        <v>-17.4180999999999</v>
      </c>
      <c r="AF3115">
        <v>11.0169185431337</v>
      </c>
      <c r="AG3115">
        <v>-1.0955930335369899</v>
      </c>
      <c r="AH3115">
        <v>15.992038862448799</v>
      </c>
      <c r="AI3115">
        <v>93.229038639334107</v>
      </c>
      <c r="AJ3115">
        <v>55.437036402176098</v>
      </c>
      <c r="AK3115">
        <v>19.4504016734681</v>
      </c>
    </row>
    <row r="3116" spans="1:37" x14ac:dyDescent="0.2">
      <c r="A3116" t="str">
        <f>"20200111160218582"</f>
        <v>20200111160218582</v>
      </c>
      <c r="B3116" t="str">
        <f>"1578729738574601"</f>
        <v>1578729738574601</v>
      </c>
      <c r="C3116" t="s">
        <v>37</v>
      </c>
      <c r="D3116">
        <v>4.9976120000000002</v>
      </c>
      <c r="E3116">
        <v>0.66805319999999901</v>
      </c>
      <c r="F3116" t="s">
        <v>38</v>
      </c>
      <c r="G3116">
        <v>-189.76490000000001</v>
      </c>
      <c r="H3116" s="1">
        <v>-2.0899599999999899E-6</v>
      </c>
      <c r="I3116">
        <v>194.40729999999999</v>
      </c>
      <c r="J3116">
        <v>-198.16560000000001</v>
      </c>
      <c r="K3116">
        <v>1.095513</v>
      </c>
      <c r="L3116">
        <v>211.5103</v>
      </c>
      <c r="M3116">
        <v>0.86858659999999999</v>
      </c>
      <c r="N3116">
        <v>0</v>
      </c>
      <c r="O3116">
        <v>-0.49529909999999999</v>
      </c>
      <c r="P3116">
        <v>0.76599790000000001</v>
      </c>
      <c r="Q3116">
        <v>-1.598579E-2</v>
      </c>
      <c r="R3116">
        <v>-0.64264449999999995</v>
      </c>
      <c r="S3116">
        <v>1.468979</v>
      </c>
      <c r="T3116">
        <v>-0.1866912</v>
      </c>
      <c r="U3116">
        <v>-2.9383539999999999</v>
      </c>
      <c r="V3116">
        <v>0.17875429999999901</v>
      </c>
      <c r="W3116">
        <v>-4.7535030000000001E-3</v>
      </c>
      <c r="X3116">
        <v>0.98388220000000004</v>
      </c>
      <c r="Y3116">
        <v>0.55535570000000001</v>
      </c>
      <c r="Z3116">
        <v>1.3170050000000001E-2</v>
      </c>
      <c r="AA3116">
        <v>0.83150869999999999</v>
      </c>
      <c r="AB3116">
        <v>24</v>
      </c>
      <c r="AC3116">
        <v>8.4007000000000005</v>
      </c>
      <c r="AD3116">
        <v>-1.0955150899599999</v>
      </c>
      <c r="AE3116">
        <v>-17.103000000000002</v>
      </c>
      <c r="AF3116">
        <v>10.660602322082999</v>
      </c>
      <c r="AG3116">
        <v>-1.0955150899599999</v>
      </c>
      <c r="AH3116">
        <v>15.717743790439499</v>
      </c>
      <c r="AI3116">
        <v>93.301333505907607</v>
      </c>
      <c r="AJ3116">
        <v>55.852811061753599</v>
      </c>
      <c r="AK3116">
        <v>19.023566044352201</v>
      </c>
    </row>
    <row r="3117" spans="1:37" x14ac:dyDescent="0.2">
      <c r="A3117" t="str">
        <f>"20200111160218622"</f>
        <v>20200111160218622</v>
      </c>
      <c r="B3117" t="str">
        <f>"1578729738614616"</f>
        <v>1578729738614616</v>
      </c>
      <c r="C3117" t="s">
        <v>37</v>
      </c>
      <c r="D3117">
        <v>5.1844970000000004</v>
      </c>
      <c r="E3117">
        <v>0.66475669999999898</v>
      </c>
      <c r="F3117" t="s">
        <v>38</v>
      </c>
      <c r="G3117">
        <v>-189.56190000000001</v>
      </c>
      <c r="H3117" s="1">
        <v>-1.8974729999999999E-6</v>
      </c>
      <c r="I3117">
        <v>193.87469999999999</v>
      </c>
      <c r="J3117">
        <v>-197.80350000000001</v>
      </c>
      <c r="K3117">
        <v>1.0953679999999999</v>
      </c>
      <c r="L3117">
        <v>211.26779999999999</v>
      </c>
      <c r="M3117">
        <v>0.85563840000000002</v>
      </c>
      <c r="N3117">
        <v>0</v>
      </c>
      <c r="O3117">
        <v>-0.51734409999999997</v>
      </c>
      <c r="P3117">
        <v>0.75116430000000001</v>
      </c>
      <c r="Q3117">
        <v>-1.0363809999999999E-2</v>
      </c>
      <c r="R3117">
        <v>-0.66003429999999996</v>
      </c>
      <c r="S3117">
        <v>1.4386289999999999</v>
      </c>
      <c r="T3117">
        <v>-0.18318299999999901</v>
      </c>
      <c r="U3117">
        <v>-2.9488829999999999</v>
      </c>
      <c r="V3117">
        <v>0.17622499999999999</v>
      </c>
      <c r="W3117">
        <v>9.2250429999999998E-4</v>
      </c>
      <c r="X3117">
        <v>0.98434949999999999</v>
      </c>
      <c r="Y3117">
        <v>0.54214010000000001</v>
      </c>
      <c r="Z3117">
        <v>1.479808E-2</v>
      </c>
      <c r="AA3117">
        <v>0.84015779999999995</v>
      </c>
      <c r="AB3117">
        <v>24</v>
      </c>
      <c r="AC3117">
        <v>8.2416</v>
      </c>
      <c r="AD3117">
        <v>-1.095369897473</v>
      </c>
      <c r="AE3117">
        <v>-17.3931</v>
      </c>
      <c r="AF3117">
        <v>10.585439691103501</v>
      </c>
      <c r="AG3117">
        <v>-1.095369897473</v>
      </c>
      <c r="AH3117">
        <v>16.000134456591098</v>
      </c>
      <c r="AI3117">
        <v>93.267798900633096</v>
      </c>
      <c r="AJ3117">
        <v>56.5119995419155</v>
      </c>
      <c r="AK3117">
        <v>19.216026417947901</v>
      </c>
    </row>
    <row r="3118" spans="1:37" x14ac:dyDescent="0.2">
      <c r="A3118" t="str">
        <f>"20200111160218645"</f>
        <v>20200111160218645</v>
      </c>
      <c r="B3118" t="str">
        <f>"1578729738635114"</f>
        <v>1578729738635114</v>
      </c>
      <c r="C3118" t="s">
        <v>37</v>
      </c>
      <c r="D3118">
        <v>5.1991250000000004</v>
      </c>
      <c r="E3118">
        <v>0.66299019999999897</v>
      </c>
      <c r="F3118" t="s">
        <v>38</v>
      </c>
      <c r="G3118">
        <v>-189.0136</v>
      </c>
      <c r="H3118" s="1">
        <v>-1.4181090000000001E-6</v>
      </c>
      <c r="I3118">
        <v>192.53049999999999</v>
      </c>
      <c r="J3118">
        <v>-197.5984</v>
      </c>
      <c r="K3118">
        <v>1.0952869999999999</v>
      </c>
      <c r="L3118">
        <v>211.124</v>
      </c>
      <c r="M3118">
        <v>0.847804</v>
      </c>
      <c r="N3118">
        <v>0</v>
      </c>
      <c r="O3118">
        <v>-0.530084</v>
      </c>
      <c r="P3118">
        <v>0.74061409999999905</v>
      </c>
      <c r="Q3118">
        <v>-7.0259959999999996E-3</v>
      </c>
      <c r="R3118">
        <v>-0.67189399999999999</v>
      </c>
      <c r="S3118">
        <v>1.3892519999999999</v>
      </c>
      <c r="T3118">
        <v>-0.17312349999999899</v>
      </c>
      <c r="U3118">
        <v>-2.9614259999999999</v>
      </c>
      <c r="V3118">
        <v>0.17720720000000001</v>
      </c>
      <c r="W3118">
        <v>4.231266E-3</v>
      </c>
      <c r="X3118">
        <v>0.9841645</v>
      </c>
      <c r="Y3118">
        <v>0.54240379999999999</v>
      </c>
      <c r="Z3118">
        <v>1.4817530000000001E-2</v>
      </c>
      <c r="AA3118">
        <v>0.83998719999999905</v>
      </c>
      <c r="AB3118">
        <v>24</v>
      </c>
      <c r="AC3118">
        <v>8.5847999999999995</v>
      </c>
      <c r="AD3118">
        <v>-1.0952884181089999</v>
      </c>
      <c r="AE3118">
        <v>-18.593499999999999</v>
      </c>
      <c r="AF3118">
        <v>11.182335809186</v>
      </c>
      <c r="AG3118">
        <v>-1.0952884181089999</v>
      </c>
      <c r="AH3118">
        <v>17.087520027860599</v>
      </c>
      <c r="AI3118">
        <v>93.070100618246002</v>
      </c>
      <c r="AJ3118">
        <v>56.798647661110103</v>
      </c>
      <c r="AK3118">
        <v>20.450614454602199</v>
      </c>
    </row>
    <row r="3119" spans="1:37" x14ac:dyDescent="0.2">
      <c r="A3119" t="str">
        <f>"20200111160218670"</f>
        <v>20200111160218670</v>
      </c>
      <c r="B3119" t="str">
        <f>"1578729738665369"</f>
        <v>1578729738665369</v>
      </c>
      <c r="C3119" t="s">
        <v>37</v>
      </c>
      <c r="D3119">
        <v>5.1699739999999998</v>
      </c>
      <c r="E3119">
        <v>0.6613232</v>
      </c>
      <c r="F3119" t="s">
        <v>38</v>
      </c>
      <c r="G3119">
        <v>-188.8742</v>
      </c>
      <c r="H3119" s="1">
        <v>-1.1897639999999899E-6</v>
      </c>
      <c r="I3119">
        <v>191.94059999999999</v>
      </c>
      <c r="J3119">
        <v>-197.38980000000001</v>
      </c>
      <c r="K3119">
        <v>1.0952059999999999</v>
      </c>
      <c r="L3119">
        <v>210.97280000000001</v>
      </c>
      <c r="M3119">
        <v>0.83942939999999999</v>
      </c>
      <c r="N3119">
        <v>0</v>
      </c>
      <c r="O3119">
        <v>-0.54324759999999905</v>
      </c>
      <c r="P3119">
        <v>0.72830329999999999</v>
      </c>
      <c r="Q3119">
        <v>-3.3355279999999999E-3</v>
      </c>
      <c r="R3119">
        <v>-0.68524689999999999</v>
      </c>
      <c r="S3119">
        <v>1.35202</v>
      </c>
      <c r="T3119">
        <v>-0.16974069999999999</v>
      </c>
      <c r="U3119">
        <v>-2.9729160000000001</v>
      </c>
      <c r="V3119">
        <v>0.17981320000000001</v>
      </c>
      <c r="W3119">
        <v>7.8499150000000007E-3</v>
      </c>
      <c r="X3119">
        <v>0.98366949999999997</v>
      </c>
      <c r="Y3119">
        <v>0.53923319999999997</v>
      </c>
      <c r="Z3119">
        <v>1.54524E-2</v>
      </c>
      <c r="AA3119">
        <v>0.84201469999999901</v>
      </c>
      <c r="AB3119">
        <v>23</v>
      </c>
      <c r="AC3119">
        <v>8.5155999999999992</v>
      </c>
      <c r="AD3119">
        <v>-1.0952071897640001</v>
      </c>
      <c r="AE3119">
        <v>-19.0322</v>
      </c>
      <c r="AF3119">
        <v>11.3202397354864</v>
      </c>
      <c r="AG3119">
        <v>-1.0952071897640001</v>
      </c>
      <c r="AH3119">
        <v>17.441421584761901</v>
      </c>
      <c r="AI3119">
        <v>93.015084831656296</v>
      </c>
      <c r="AJ3119">
        <v>57.014679049458003</v>
      </c>
      <c r="AK3119">
        <v>20.821875356336101</v>
      </c>
    </row>
    <row r="3120" spans="1:37" x14ac:dyDescent="0.2">
      <c r="A3120" t="str">
        <f>"20200111160218693"</f>
        <v>20200111160218693</v>
      </c>
      <c r="B3120" t="str">
        <f>"1578729738684890"</f>
        <v>1578729738684890</v>
      </c>
      <c r="C3120" t="s">
        <v>37</v>
      </c>
      <c r="D3120">
        <v>5.1595559999999896</v>
      </c>
      <c r="E3120">
        <v>0.63553970000000004</v>
      </c>
      <c r="F3120" t="s">
        <v>38</v>
      </c>
      <c r="G3120">
        <v>-188.7824</v>
      </c>
      <c r="H3120" s="1">
        <v>-9.3548209999999995E-7</v>
      </c>
      <c r="I3120">
        <v>191.3099</v>
      </c>
      <c r="J3120">
        <v>-197.1908</v>
      </c>
      <c r="K3120">
        <v>1.0951150000000001</v>
      </c>
      <c r="L3120">
        <v>210.82299999999901</v>
      </c>
      <c r="M3120">
        <v>0.83099290000000003</v>
      </c>
      <c r="N3120">
        <v>0</v>
      </c>
      <c r="O3120">
        <v>-0.556065699999999</v>
      </c>
      <c r="P3120">
        <v>0.71520419999999996</v>
      </c>
      <c r="Q3120">
        <v>9.4491429999999895E-4</v>
      </c>
      <c r="R3120">
        <v>-0.69891510000000001</v>
      </c>
      <c r="S3120">
        <v>1.307709</v>
      </c>
      <c r="T3120">
        <v>-0.16639219999999999</v>
      </c>
      <c r="U3120">
        <v>-2.9873349999999999</v>
      </c>
      <c r="V3120">
        <v>0.183439299999999</v>
      </c>
      <c r="W3120">
        <v>1.203014E-2</v>
      </c>
      <c r="X3120">
        <v>0.98295739999999998</v>
      </c>
      <c r="Y3120">
        <v>0.538278699999999</v>
      </c>
      <c r="Z3120">
        <v>1.5976089999999998E-2</v>
      </c>
      <c r="AA3120">
        <v>0.84261549999999996</v>
      </c>
      <c r="AB3120">
        <v>23</v>
      </c>
      <c r="AC3120">
        <v>8.4084000000000003</v>
      </c>
      <c r="AD3120">
        <v>-1.0951159354820901</v>
      </c>
      <c r="AE3120">
        <v>-19.513099999999898</v>
      </c>
      <c r="AF3120">
        <v>11.510443045569501</v>
      </c>
      <c r="AG3120">
        <v>-1.0951159354820901</v>
      </c>
      <c r="AH3120">
        <v>17.792777436659499</v>
      </c>
      <c r="AI3120">
        <v>92.958271240530195</v>
      </c>
      <c r="AJ3120">
        <v>57.1005014524535</v>
      </c>
      <c r="AK3120">
        <v>21.219625513376698</v>
      </c>
    </row>
    <row r="3121" spans="1:37" x14ac:dyDescent="0.2">
      <c r="A3121" t="str">
        <f>"20200111160218714"</f>
        <v>20200111160218714</v>
      </c>
      <c r="B3121" t="str">
        <f>"1578729738705386"</f>
        <v>1578729738705386</v>
      </c>
      <c r="C3121" t="s">
        <v>37</v>
      </c>
      <c r="D3121">
        <v>5.1875140000000002</v>
      </c>
      <c r="E3121">
        <v>0.63355879999999998</v>
      </c>
      <c r="F3121" t="s">
        <v>38</v>
      </c>
      <c r="G3121">
        <v>-190.9761</v>
      </c>
      <c r="H3121" s="1">
        <v>-3.9201690000000004E-6</v>
      </c>
      <c r="I3121">
        <v>198.1217</v>
      </c>
      <c r="J3121">
        <v>-197.01220000000001</v>
      </c>
      <c r="K3121">
        <v>1.0950469999999899</v>
      </c>
      <c r="L3121">
        <v>210.68430000000001</v>
      </c>
      <c r="M3121">
        <v>0.82306979999999996</v>
      </c>
      <c r="N3121">
        <v>0</v>
      </c>
      <c r="O3121">
        <v>-0.56772659999999997</v>
      </c>
      <c r="P3121">
        <v>0.70215799999999995</v>
      </c>
      <c r="Q3121">
        <v>5.7168080000000003E-3</v>
      </c>
      <c r="R3121">
        <v>-0.71199829999999997</v>
      </c>
      <c r="S3121">
        <v>1.3996280000000001</v>
      </c>
      <c r="T3121">
        <v>-0.24663399999999999</v>
      </c>
      <c r="U3121">
        <v>-2.860474</v>
      </c>
      <c r="V3121">
        <v>0.18784999999999999</v>
      </c>
      <c r="W3121">
        <v>1.668501E-2</v>
      </c>
      <c r="X3121">
        <v>0.98205599999999904</v>
      </c>
      <c r="Y3121">
        <v>0.48988090000000001</v>
      </c>
      <c r="Z3121">
        <v>2.7235349999999998E-2</v>
      </c>
      <c r="AA3121">
        <v>0.87136389999999997</v>
      </c>
      <c r="AB3121">
        <v>23</v>
      </c>
      <c r="AC3121">
        <v>6.0361000000000002</v>
      </c>
      <c r="AD3121">
        <v>-1.095050920169</v>
      </c>
      <c r="AE3121">
        <v>-12.5626</v>
      </c>
      <c r="AF3121">
        <v>6.8714629854246203</v>
      </c>
      <c r="AG3121">
        <v>-1.095050920169</v>
      </c>
      <c r="AH3121">
        <v>12.027475669961699</v>
      </c>
      <c r="AI3121">
        <v>94.520047745808199</v>
      </c>
      <c r="AJ3121">
        <v>60.260075618674698</v>
      </c>
      <c r="AK3121">
        <v>13.8951902134999</v>
      </c>
    </row>
    <row r="3122" spans="1:37" x14ac:dyDescent="0.2">
      <c r="A3122" t="str">
        <f>"20200111160218738"</f>
        <v>20200111160218738</v>
      </c>
      <c r="B3122" t="str">
        <f>"1578729738734665"</f>
        <v>1578729738734665</v>
      </c>
      <c r="C3122" t="s">
        <v>37</v>
      </c>
      <c r="D3122">
        <v>5.1818179999999998</v>
      </c>
      <c r="E3122">
        <v>0.6311523</v>
      </c>
      <c r="F3122" t="s">
        <v>38</v>
      </c>
      <c r="G3122">
        <v>-190.8201</v>
      </c>
      <c r="H3122" s="1">
        <v>-3.6491689999999999E-6</v>
      </c>
      <c r="I3122">
        <v>197.58680000000001</v>
      </c>
      <c r="J3122">
        <v>-196.81540000000001</v>
      </c>
      <c r="K3122">
        <v>1.0949770000000001</v>
      </c>
      <c r="L3122">
        <v>210.5264</v>
      </c>
      <c r="M3122">
        <v>0.81391669999999905</v>
      </c>
      <c r="N3122">
        <v>0</v>
      </c>
      <c r="O3122">
        <v>-0.58077140000000005</v>
      </c>
      <c r="P3122">
        <v>0.6871427</v>
      </c>
      <c r="Q3122">
        <v>9.8750079999999994E-3</v>
      </c>
      <c r="R3122">
        <v>-0.72645569999999904</v>
      </c>
      <c r="S3122">
        <v>1.3592070000000001</v>
      </c>
      <c r="T3122">
        <v>-0.24036950000000001</v>
      </c>
      <c r="U3122">
        <v>-2.8749849999999899</v>
      </c>
      <c r="V3122">
        <v>0.19276219999999999</v>
      </c>
      <c r="W3122">
        <v>2.0713099999999901E-2</v>
      </c>
      <c r="X3122">
        <v>0.98102690000000004</v>
      </c>
      <c r="Y3122">
        <v>0.48770730000000001</v>
      </c>
      <c r="Z3122">
        <v>2.7829090000000001E-2</v>
      </c>
      <c r="AA3122">
        <v>0.87256350000000005</v>
      </c>
      <c r="AB3122">
        <v>23</v>
      </c>
      <c r="AC3122">
        <v>5.9953000000000101</v>
      </c>
      <c r="AD3122">
        <v>-1.094980649169</v>
      </c>
      <c r="AE3122">
        <v>-12.939599999999899</v>
      </c>
      <c r="AF3122">
        <v>7.0093956485467501</v>
      </c>
      <c r="AG3122">
        <v>-1.094980649169</v>
      </c>
      <c r="AH3122">
        <v>12.3234864196146</v>
      </c>
      <c r="AI3122">
        <v>94.416414187626302</v>
      </c>
      <c r="AJ3122">
        <v>60.369495649997603</v>
      </c>
      <c r="AK3122">
        <v>14.2196669269834</v>
      </c>
    </row>
    <row r="3123" spans="1:37" x14ac:dyDescent="0.2">
      <c r="A3123" t="str">
        <f>"20200111160218760"</f>
        <v>20200111160218760</v>
      </c>
      <c r="B3123" t="str">
        <f>"1578729738755163"</f>
        <v>1578729738755163</v>
      </c>
      <c r="C3123" t="s">
        <v>37</v>
      </c>
      <c r="D3123">
        <v>5.209225</v>
      </c>
      <c r="E3123">
        <v>0.63187579999999999</v>
      </c>
      <c r="F3123" t="s">
        <v>38</v>
      </c>
      <c r="G3123">
        <v>-190.7456</v>
      </c>
      <c r="H3123" s="1">
        <v>-3.45274499999999E-6</v>
      </c>
      <c r="I3123">
        <v>197.17509999999999</v>
      </c>
      <c r="J3123">
        <v>-196.6318</v>
      </c>
      <c r="K3123">
        <v>1.0949139999999999</v>
      </c>
      <c r="L3123">
        <v>210.3741</v>
      </c>
      <c r="M3123">
        <v>0.80496109999999998</v>
      </c>
      <c r="N3123">
        <v>0</v>
      </c>
      <c r="O3123">
        <v>-0.59312089999999995</v>
      </c>
      <c r="P3123">
        <v>0.6719946</v>
      </c>
      <c r="Q3123">
        <v>1.347551E-2</v>
      </c>
      <c r="R3123">
        <v>-0.74043400000000004</v>
      </c>
      <c r="S3123">
        <v>1.3139190000000001</v>
      </c>
      <c r="T3123">
        <v>-0.2370274</v>
      </c>
      <c r="U3123">
        <v>-2.8901209999999899</v>
      </c>
      <c r="V3123">
        <v>0.19809599999999999</v>
      </c>
      <c r="W3123">
        <v>2.417074E-2</v>
      </c>
      <c r="X3123">
        <v>0.97988459999999999</v>
      </c>
      <c r="Y3123">
        <v>0.48743959999999997</v>
      </c>
      <c r="Z3123">
        <v>2.8592670000000001E-2</v>
      </c>
      <c r="AA3123">
        <v>0.87268840000000003</v>
      </c>
      <c r="AB3123">
        <v>23</v>
      </c>
      <c r="AC3123">
        <v>5.8861999999999997</v>
      </c>
      <c r="AD3123">
        <v>-1.0949174527450001</v>
      </c>
      <c r="AE3123">
        <v>-13.199</v>
      </c>
      <c r="AF3123">
        <v>7.0936113998771901</v>
      </c>
      <c r="AG3123">
        <v>-1.0949174527450001</v>
      </c>
      <c r="AH3123">
        <v>12.4965766199852</v>
      </c>
      <c r="AI3123">
        <v>94.357352294159199</v>
      </c>
      <c r="AJ3123">
        <v>60.418832999119502</v>
      </c>
      <c r="AK3123">
        <v>14.411196832322901</v>
      </c>
    </row>
    <row r="3124" spans="1:37" x14ac:dyDescent="0.2">
      <c r="A3124" t="str">
        <f>"20200111160218787"</f>
        <v>20200111160218787</v>
      </c>
      <c r="B3124" t="str">
        <f>"1578729738774681"</f>
        <v>1578729738774681</v>
      </c>
      <c r="C3124" t="s">
        <v>37</v>
      </c>
      <c r="D3124">
        <v>4.9308389999999997</v>
      </c>
      <c r="E3124">
        <v>0.63363179999999997</v>
      </c>
      <c r="F3124" t="s">
        <v>38</v>
      </c>
      <c r="G3124">
        <v>-190.0849</v>
      </c>
      <c r="H3124" s="1">
        <v>-2.374451E-6</v>
      </c>
      <c r="I3124">
        <v>195.07140000000001</v>
      </c>
      <c r="J3124">
        <v>-196.4205</v>
      </c>
      <c r="K3124">
        <v>1.0948359999999999</v>
      </c>
      <c r="L3124">
        <v>210.19280000000001</v>
      </c>
      <c r="M3124">
        <v>0.79413429999999996</v>
      </c>
      <c r="N3124">
        <v>0</v>
      </c>
      <c r="O3124">
        <v>-0.6075391</v>
      </c>
      <c r="P3124">
        <v>0.65415089999999998</v>
      </c>
      <c r="Q3124">
        <v>1.70977E-2</v>
      </c>
      <c r="R3124">
        <v>-0.75617069999999997</v>
      </c>
      <c r="S3124">
        <v>1.249771</v>
      </c>
      <c r="T3124">
        <v>-0.20901410000000001</v>
      </c>
      <c r="U3124">
        <v>-2.9212189999999998</v>
      </c>
      <c r="V3124">
        <v>0.20382020000000001</v>
      </c>
      <c r="W3124">
        <v>2.7638079999999999E-2</v>
      </c>
      <c r="X3124">
        <v>0.97861810000000005</v>
      </c>
      <c r="Y3124">
        <v>0.49126619999999999</v>
      </c>
      <c r="Z3124">
        <v>2.6213139999999999E-2</v>
      </c>
      <c r="AA3124">
        <v>0.87061489999999997</v>
      </c>
      <c r="AB3124">
        <v>23</v>
      </c>
      <c r="AC3124">
        <v>6.3356000000000003</v>
      </c>
      <c r="AD3124">
        <v>-1.094838374451</v>
      </c>
      <c r="AE3124">
        <v>-15.1213999999999</v>
      </c>
      <c r="AF3124">
        <v>8.1240768623954498</v>
      </c>
      <c r="AG3124">
        <v>-1.094838374451</v>
      </c>
      <c r="AH3124">
        <v>14.156784223782299</v>
      </c>
      <c r="AI3124">
        <v>93.837453312025303</v>
      </c>
      <c r="AJ3124">
        <v>60.1500130568622</v>
      </c>
      <c r="AK3124">
        <v>16.358906916142399</v>
      </c>
    </row>
    <row r="3125" spans="1:37" x14ac:dyDescent="0.2">
      <c r="A3125" t="str">
        <f>"20200111160218808"</f>
        <v>20200111160218808</v>
      </c>
      <c r="B3125" t="str">
        <f>"1578729738804937"</f>
        <v>1578729738804937</v>
      </c>
      <c r="C3125" t="s">
        <v>37</v>
      </c>
      <c r="D3125">
        <v>5.1000290000000001</v>
      </c>
      <c r="E3125">
        <v>0.63339809999999996</v>
      </c>
      <c r="F3125" t="s">
        <v>38</v>
      </c>
      <c r="G3125">
        <v>-189.50069999999999</v>
      </c>
      <c r="H3125" s="1">
        <v>-1.390979E-6</v>
      </c>
      <c r="I3125">
        <v>192.6687</v>
      </c>
      <c r="J3125">
        <v>-196.24010000000001</v>
      </c>
      <c r="K3125">
        <v>1.0947750000000001</v>
      </c>
      <c r="L3125">
        <v>210.03229999999999</v>
      </c>
      <c r="M3125">
        <v>0.78441749999999999</v>
      </c>
      <c r="N3125">
        <v>0</v>
      </c>
      <c r="O3125">
        <v>-0.62003280000000005</v>
      </c>
      <c r="P3125">
        <v>0.63823079999999999</v>
      </c>
      <c r="Q3125">
        <v>2.1371950000000001E-2</v>
      </c>
      <c r="R3125">
        <v>-0.76954840000000002</v>
      </c>
      <c r="S3125">
        <v>1.1689449999999999</v>
      </c>
      <c r="T3125">
        <v>-0.184949</v>
      </c>
      <c r="U3125">
        <v>-2.9603120000000001</v>
      </c>
      <c r="V3125">
        <v>0.20877229999999999</v>
      </c>
      <c r="W3125">
        <v>3.1778050000000002E-2</v>
      </c>
      <c r="X3125">
        <v>0.97744789999999904</v>
      </c>
      <c r="Y3125">
        <v>0.501969</v>
      </c>
      <c r="Z3125">
        <v>2.3735610000000001E-2</v>
      </c>
      <c r="AA3125">
        <v>0.86455979999999999</v>
      </c>
      <c r="AB3125">
        <v>23</v>
      </c>
      <c r="AC3125">
        <v>6.7394000000000096</v>
      </c>
      <c r="AD3125">
        <v>-1.094776390979</v>
      </c>
      <c r="AE3125">
        <v>-17.363599999999899</v>
      </c>
      <c r="AF3125">
        <v>9.4103248190348907</v>
      </c>
      <c r="AG3125">
        <v>-1.094776390979</v>
      </c>
      <c r="AH3125">
        <v>15.9992249412717</v>
      </c>
      <c r="AI3125">
        <v>93.375452956009596</v>
      </c>
      <c r="AJ3125">
        <v>59.537073055188401</v>
      </c>
      <c r="AK3125">
        <v>18.593760976935201</v>
      </c>
    </row>
    <row r="3126" spans="1:37" x14ac:dyDescent="0.2">
      <c r="A3126" t="str">
        <f>"20200111160218829"</f>
        <v>20200111160218829</v>
      </c>
      <c r="B3126" t="str">
        <f>"1578729738825433"</f>
        <v>1578729738825433</v>
      </c>
      <c r="C3126" t="s">
        <v>37</v>
      </c>
      <c r="D3126">
        <v>5.1113330000000001</v>
      </c>
      <c r="E3126">
        <v>0.63138609999999995</v>
      </c>
      <c r="F3126" t="s">
        <v>38</v>
      </c>
      <c r="G3126">
        <v>-189.0292</v>
      </c>
      <c r="H3126" s="1">
        <v>-6.0298250000000003E-7</v>
      </c>
      <c r="I3126">
        <v>190.6369</v>
      </c>
      <c r="J3126">
        <v>-196.08770000000001</v>
      </c>
      <c r="K3126">
        <v>1.0947229999999999</v>
      </c>
      <c r="L3126">
        <v>209.89230000000001</v>
      </c>
      <c r="M3126">
        <v>0.77583530000000001</v>
      </c>
      <c r="N3126">
        <v>0</v>
      </c>
      <c r="O3126">
        <v>-0.63073780000000002</v>
      </c>
      <c r="P3126">
        <v>0.62366250000000001</v>
      </c>
      <c r="Q3126">
        <v>2.3997649999999999E-2</v>
      </c>
      <c r="R3126">
        <v>-0.78132539999999995</v>
      </c>
      <c r="S3126">
        <v>1.1091</v>
      </c>
      <c r="T3126">
        <v>-0.16838710000000001</v>
      </c>
      <c r="U3126">
        <v>-2.9832000000000001</v>
      </c>
      <c r="V3126">
        <v>0.21372949999999999</v>
      </c>
      <c r="W3126">
        <v>3.4267690000000003E-2</v>
      </c>
      <c r="X3126">
        <v>0.97629169999999998</v>
      </c>
      <c r="Y3126">
        <v>0.50749469999999997</v>
      </c>
      <c r="Z3126">
        <v>2.2161650000000001E-2</v>
      </c>
      <c r="AA3126">
        <v>0.86136990000000002</v>
      </c>
      <c r="AB3126">
        <v>23</v>
      </c>
      <c r="AC3126">
        <v>7.0585000000000004</v>
      </c>
      <c r="AD3126">
        <v>-1.0947236029824901</v>
      </c>
      <c r="AE3126">
        <v>-19.255400000000002</v>
      </c>
      <c r="AF3126">
        <v>10.458464407485399</v>
      </c>
      <c r="AG3126">
        <v>-1.0947236029824901</v>
      </c>
      <c r="AH3126">
        <v>17.573466917906401</v>
      </c>
      <c r="AI3126">
        <v>93.064203082661606</v>
      </c>
      <c r="AJ3126">
        <v>59.241933146667002</v>
      </c>
      <c r="AK3126">
        <v>20.479371011930901</v>
      </c>
    </row>
    <row r="3127" spans="1:37" x14ac:dyDescent="0.2">
      <c r="A3127" t="str">
        <f>"20200111160218868"</f>
        <v>20200111160218868</v>
      </c>
      <c r="B3127" t="str">
        <f>"1578729738865449"</f>
        <v>1578729738865449</v>
      </c>
      <c r="C3127" t="s">
        <v>37</v>
      </c>
      <c r="D3127">
        <v>5.236135</v>
      </c>
      <c r="E3127">
        <v>0.63358959999999998</v>
      </c>
      <c r="F3127" t="s">
        <v>38</v>
      </c>
      <c r="G3127">
        <v>-189.2029</v>
      </c>
      <c r="H3127" s="1">
        <v>-5.4353440000000002E-7</v>
      </c>
      <c r="I3127">
        <v>190.5702</v>
      </c>
      <c r="J3127">
        <v>-195.78550000000001</v>
      </c>
      <c r="K3127">
        <v>1.0945849999999999</v>
      </c>
      <c r="L3127">
        <v>209.60210000000001</v>
      </c>
      <c r="M3127">
        <v>0.75776929999999998</v>
      </c>
      <c r="N3127">
        <v>0</v>
      </c>
      <c r="O3127">
        <v>-0.65232959999999995</v>
      </c>
      <c r="P3127">
        <v>0.5962383</v>
      </c>
      <c r="Q3127">
        <v>2.4229939999999998E-2</v>
      </c>
      <c r="R3127">
        <v>-0.80244209999999905</v>
      </c>
      <c r="S3127">
        <v>1.066635</v>
      </c>
      <c r="T3127">
        <v>-0.16959920000000001</v>
      </c>
      <c r="U3127">
        <v>-2.9934689999999899</v>
      </c>
      <c r="V3127">
        <v>0.22005529999999901</v>
      </c>
      <c r="W3127">
        <v>3.432727E-2</v>
      </c>
      <c r="X3127">
        <v>0.97488319999999995</v>
      </c>
      <c r="Y3127">
        <v>0.49496570000000001</v>
      </c>
      <c r="Z3127">
        <v>2.4082010000000001E-2</v>
      </c>
      <c r="AA3127">
        <v>0.86857870000000004</v>
      </c>
      <c r="AB3127">
        <v>23</v>
      </c>
      <c r="AC3127">
        <v>6.58260000000001</v>
      </c>
      <c r="AD3127">
        <v>-1.0945855435344001</v>
      </c>
      <c r="AE3127">
        <v>-19.0319</v>
      </c>
      <c r="AF3127">
        <v>10.0992033872901</v>
      </c>
      <c r="AG3127">
        <v>-1.0945855435344001</v>
      </c>
      <c r="AH3127">
        <v>17.354085212983701</v>
      </c>
      <c r="AI3127">
        <v>93.120361692555903</v>
      </c>
      <c r="AJ3127">
        <v>59.802750847578899</v>
      </c>
      <c r="AK3127">
        <v>20.108612586388599</v>
      </c>
    </row>
    <row r="3128" spans="1:37" x14ac:dyDescent="0.2">
      <c r="A3128" t="str">
        <f>"20200111160218891"</f>
        <v>20200111160218891</v>
      </c>
      <c r="B3128" t="str">
        <f>"1578729738884969"</f>
        <v>1578729738884969</v>
      </c>
      <c r="C3128" t="s">
        <v>37</v>
      </c>
      <c r="D3128">
        <v>5.2430690000000002</v>
      </c>
      <c r="E3128">
        <v>0.63543859999999996</v>
      </c>
      <c r="F3128" t="s">
        <v>38</v>
      </c>
      <c r="G3128">
        <v>-190.5462</v>
      </c>
      <c r="H3128" s="1">
        <v>-1.548465E-6</v>
      </c>
      <c r="I3128">
        <v>192.85980000000001</v>
      </c>
      <c r="J3128">
        <v>-195.60929999999999</v>
      </c>
      <c r="K3128">
        <v>1.0945240000000001</v>
      </c>
      <c r="L3128">
        <v>209.4246</v>
      </c>
      <c r="M3128">
        <v>0.74656230000000001</v>
      </c>
      <c r="N3128">
        <v>0</v>
      </c>
      <c r="O3128">
        <v>-0.66512550000000004</v>
      </c>
      <c r="P3128">
        <v>0.58066530000000005</v>
      </c>
      <c r="Q3128">
        <v>2.4108560000000001E-2</v>
      </c>
      <c r="R3128">
        <v>-0.81378589999999995</v>
      </c>
      <c r="S3128">
        <v>0.95075989999999999</v>
      </c>
      <c r="T3128">
        <v>-0.19863400000000001</v>
      </c>
      <c r="U3128">
        <v>-3.038208</v>
      </c>
      <c r="V3128">
        <v>0.22226209999999999</v>
      </c>
      <c r="W3128">
        <v>3.4150939999999998E-2</v>
      </c>
      <c r="X3128">
        <v>0.974388699999999</v>
      </c>
      <c r="Y3128">
        <v>0.51395429999999998</v>
      </c>
      <c r="Z3128">
        <v>2.85765999999999E-2</v>
      </c>
      <c r="AA3128">
        <v>0.85734149999999998</v>
      </c>
      <c r="AB3128">
        <v>23</v>
      </c>
      <c r="AC3128">
        <v>5.0630999999999897</v>
      </c>
      <c r="AD3128">
        <v>-1.0945255484650001</v>
      </c>
      <c r="AE3128">
        <v>-16.564799999999899</v>
      </c>
      <c r="AF3128">
        <v>8.9644018304584403</v>
      </c>
      <c r="AG3128">
        <v>-1.0945255484650001</v>
      </c>
      <c r="AH3128">
        <v>14.740603192835099</v>
      </c>
      <c r="AI3128">
        <v>93.630086301903106</v>
      </c>
      <c r="AJ3128">
        <v>58.694396687861797</v>
      </c>
      <c r="AK3128">
        <v>17.287101227296301</v>
      </c>
    </row>
    <row r="3129" spans="1:37" x14ac:dyDescent="0.2">
      <c r="A3129" t="str">
        <f>"20200111160218914"</f>
        <v>20200111160218914</v>
      </c>
      <c r="B3129" t="str">
        <f>"1578729738905466"</f>
        <v>1578729738905466</v>
      </c>
      <c r="C3129" t="s">
        <v>37</v>
      </c>
      <c r="D3129">
        <v>5.213527</v>
      </c>
      <c r="E3129">
        <v>0.63844279999999998</v>
      </c>
      <c r="F3129" t="s">
        <v>38</v>
      </c>
      <c r="G3129">
        <v>-190.85069999999999</v>
      </c>
      <c r="H3129" s="1">
        <v>-1.6269419999999999E-6</v>
      </c>
      <c r="I3129">
        <v>192.85390000000001</v>
      </c>
      <c r="J3129">
        <v>-195.4434</v>
      </c>
      <c r="K3129">
        <v>1.094471</v>
      </c>
      <c r="L3129">
        <v>209.2516</v>
      </c>
      <c r="M3129">
        <v>0.73552340000000005</v>
      </c>
      <c r="N3129">
        <v>0</v>
      </c>
      <c r="O3129">
        <v>-0.67731209999999997</v>
      </c>
      <c r="P3129">
        <v>0.56668599999999902</v>
      </c>
      <c r="Q3129">
        <v>2.2208169999999999E-2</v>
      </c>
      <c r="R3129">
        <v>-0.82363500000000001</v>
      </c>
      <c r="S3129">
        <v>0.88000489999999998</v>
      </c>
      <c r="T3129">
        <v>-0.2024136</v>
      </c>
      <c r="U3129">
        <v>-3.0644680000000002</v>
      </c>
      <c r="V3129">
        <v>0.2228725</v>
      </c>
      <c r="W3129">
        <v>3.2243210000000001E-2</v>
      </c>
      <c r="X3129">
        <v>0.97431420000000002</v>
      </c>
      <c r="Y3129">
        <v>0.52010869999999998</v>
      </c>
      <c r="Z3129">
        <v>2.9859839999999999E-2</v>
      </c>
      <c r="AA3129">
        <v>0.85357799999999995</v>
      </c>
      <c r="AB3129">
        <v>23</v>
      </c>
      <c r="AC3129">
        <v>4.5926999999999998</v>
      </c>
      <c r="AD3129">
        <v>-1.094472626942</v>
      </c>
      <c r="AE3129">
        <v>-16.397699999999901</v>
      </c>
      <c r="AF3129">
        <v>8.9145110584084808</v>
      </c>
      <c r="AG3129">
        <v>-1.094472626942</v>
      </c>
      <c r="AH3129">
        <v>14.426641121258401</v>
      </c>
      <c r="AI3129">
        <v>93.692613701408206</v>
      </c>
      <c r="AJ3129">
        <v>58.287248951879</v>
      </c>
      <c r="AK3129">
        <v>16.99395044665</v>
      </c>
    </row>
    <row r="3130" spans="1:37" x14ac:dyDescent="0.2">
      <c r="A3130" t="str">
        <f>"20200111160218935"</f>
        <v>20200111160218935</v>
      </c>
      <c r="B3130" t="str">
        <f>"1578729738924985"</f>
        <v>1578729738924985</v>
      </c>
      <c r="C3130" t="s">
        <v>37</v>
      </c>
      <c r="D3130">
        <v>5.281345</v>
      </c>
      <c r="E3130">
        <v>0.64063199999999998</v>
      </c>
      <c r="F3130" t="s">
        <v>38</v>
      </c>
      <c r="G3130">
        <v>-191.29679999999999</v>
      </c>
      <c r="H3130" s="1">
        <v>-1.970477E-6</v>
      </c>
      <c r="I3130">
        <v>193.37799999999999</v>
      </c>
      <c r="J3130">
        <v>-195.2912</v>
      </c>
      <c r="K3130">
        <v>1.094428</v>
      </c>
      <c r="L3130">
        <v>209.08760000000001</v>
      </c>
      <c r="M3130">
        <v>0.72497590000000001</v>
      </c>
      <c r="N3130">
        <v>0</v>
      </c>
      <c r="O3130">
        <v>-0.68858920000000001</v>
      </c>
      <c r="P3130">
        <v>0.55424359999999995</v>
      </c>
      <c r="Q3130">
        <v>2.018607E-2</v>
      </c>
      <c r="R3130">
        <v>-0.83210989999999996</v>
      </c>
      <c r="S3130">
        <v>0.80780030000000003</v>
      </c>
      <c r="T3130">
        <v>-0.21321590000000001</v>
      </c>
      <c r="U3130">
        <v>-3.092346</v>
      </c>
      <c r="V3130">
        <v>0.22245979999999899</v>
      </c>
      <c r="W3130">
        <v>3.024481E-2</v>
      </c>
      <c r="X3130">
        <v>0.97447260000000002</v>
      </c>
      <c r="Y3130">
        <v>0.52749569999999901</v>
      </c>
      <c r="Z3130">
        <v>3.2093200000000002E-2</v>
      </c>
      <c r="AA3130">
        <v>0.84895129999999996</v>
      </c>
      <c r="AB3130">
        <v>23</v>
      </c>
      <c r="AC3130">
        <v>3.9944000000000099</v>
      </c>
      <c r="AD3130">
        <v>-1.094429970477</v>
      </c>
      <c r="AE3130">
        <v>-15.7096</v>
      </c>
      <c r="AF3130">
        <v>8.6004749490932397</v>
      </c>
      <c r="AG3130">
        <v>-1.094429970477</v>
      </c>
      <c r="AH3130">
        <v>13.652813705349599</v>
      </c>
      <c r="AI3130">
        <v>93.880186390495595</v>
      </c>
      <c r="AJ3130">
        <v>57.791468780395597</v>
      </c>
      <c r="AK3130">
        <v>16.172979576541898</v>
      </c>
    </row>
    <row r="3131" spans="1:37" x14ac:dyDescent="0.2">
      <c r="A3131" t="str">
        <f>"20200111160218957"</f>
        <v>20200111160218957</v>
      </c>
      <c r="B3131" t="str">
        <f>"1578729738945484"</f>
        <v>1578729738945484</v>
      </c>
      <c r="C3131" t="s">
        <v>37</v>
      </c>
      <c r="D3131">
        <v>5.2719399999999998</v>
      </c>
      <c r="E3131">
        <v>0.64215109999999997</v>
      </c>
      <c r="F3131" t="s">
        <v>38</v>
      </c>
      <c r="G3131">
        <v>-191.64580000000001</v>
      </c>
      <c r="H3131" s="1">
        <v>-2.2798059999999999E-6</v>
      </c>
      <c r="I3131">
        <v>193.8826</v>
      </c>
      <c r="J3131">
        <v>-195.13759999999999</v>
      </c>
      <c r="K3131">
        <v>1.0943879999999999</v>
      </c>
      <c r="L3131">
        <v>208.91659999999999</v>
      </c>
      <c r="M3131">
        <v>0.71388589999999996</v>
      </c>
      <c r="N3131">
        <v>0</v>
      </c>
      <c r="O3131">
        <v>-0.70007940000000002</v>
      </c>
      <c r="P3131">
        <v>0.54259429999999997</v>
      </c>
      <c r="Q3131">
        <v>1.7623420000000001E-2</v>
      </c>
      <c r="R3131">
        <v>-0.83981030000000001</v>
      </c>
      <c r="S3131">
        <v>0.74649049999999995</v>
      </c>
      <c r="T3131">
        <v>-0.22410759999999999</v>
      </c>
      <c r="U3131">
        <v>-3.1135410000000001</v>
      </c>
      <c r="V3131">
        <v>0.22045519999999999</v>
      </c>
      <c r="W3131">
        <v>2.7752949999999998E-2</v>
      </c>
      <c r="X3131">
        <v>0.97500219999999904</v>
      </c>
      <c r="Y3131">
        <v>0.5310819</v>
      </c>
      <c r="Z3131">
        <v>3.4576240000000001E-2</v>
      </c>
      <c r="AA3131">
        <v>0.84661469999999905</v>
      </c>
      <c r="AB3131">
        <v>23</v>
      </c>
      <c r="AC3131">
        <v>3.49179999999998</v>
      </c>
      <c r="AD3131">
        <v>-1.0943902798059999</v>
      </c>
      <c r="AE3131">
        <v>-15.033999999999899</v>
      </c>
      <c r="AF3131">
        <v>8.2476161120566207</v>
      </c>
      <c r="AG3131">
        <v>-1.0943902798059999</v>
      </c>
      <c r="AH3131">
        <v>12.9542740595227</v>
      </c>
      <c r="AI3131">
        <v>94.076203710291395</v>
      </c>
      <c r="AJ3131">
        <v>57.516257537351201</v>
      </c>
      <c r="AK3131">
        <v>15.3959110813752</v>
      </c>
    </row>
    <row r="3132" spans="1:37" x14ac:dyDescent="0.2">
      <c r="A3132" t="str">
        <f>"20200111160218981"</f>
        <v>20200111160218981</v>
      </c>
      <c r="B3132" t="str">
        <f>"1578729738974761"</f>
        <v>1578729738974761</v>
      </c>
      <c r="C3132" t="s">
        <v>37</v>
      </c>
      <c r="D3132">
        <v>5.3107899999999999</v>
      </c>
      <c r="E3132">
        <v>0.64334329999999995</v>
      </c>
      <c r="F3132" t="s">
        <v>38</v>
      </c>
      <c r="G3132">
        <v>-191.94630000000001</v>
      </c>
      <c r="H3132" s="1">
        <v>-2.6226620000000001E-6</v>
      </c>
      <c r="I3132">
        <v>194.49539999999999</v>
      </c>
      <c r="J3132">
        <v>-194.9718</v>
      </c>
      <c r="K3132">
        <v>1.094352</v>
      </c>
      <c r="L3132">
        <v>208.72559999999999</v>
      </c>
      <c r="M3132">
        <v>0.70139059999999998</v>
      </c>
      <c r="N3132">
        <v>0</v>
      </c>
      <c r="O3132">
        <v>-0.71259709999999998</v>
      </c>
      <c r="P3132">
        <v>0.52924289999999996</v>
      </c>
      <c r="Q3132">
        <v>1.5328369999999999E-2</v>
      </c>
      <c r="R3132">
        <v>-0.84833230000000004</v>
      </c>
      <c r="S3132">
        <v>0.6925964</v>
      </c>
      <c r="T3132">
        <v>-0.2375101</v>
      </c>
      <c r="U3132">
        <v>-3.1297609999999998</v>
      </c>
      <c r="V3132">
        <v>0.21860650000000001</v>
      </c>
      <c r="W3132">
        <v>2.552691E-2</v>
      </c>
      <c r="X3132">
        <v>0.97547909999999904</v>
      </c>
      <c r="Y3132">
        <v>0.5309507</v>
      </c>
      <c r="Z3132">
        <v>3.7788000000000002E-2</v>
      </c>
      <c r="AA3132">
        <v>0.84655979999999997</v>
      </c>
      <c r="AB3132">
        <v>23</v>
      </c>
      <c r="AC3132">
        <v>3.0254999999999899</v>
      </c>
      <c r="AD3132">
        <v>-1.094354622662</v>
      </c>
      <c r="AE3132">
        <v>-14.2301999999999</v>
      </c>
      <c r="AF3132">
        <v>7.7819368493095897</v>
      </c>
      <c r="AG3132">
        <v>-1.094354622662</v>
      </c>
      <c r="AH3132">
        <v>12.195025808481301</v>
      </c>
      <c r="AI3132">
        <v>94.326068282332102</v>
      </c>
      <c r="AJ3132">
        <v>57.457081361043002</v>
      </c>
      <c r="AK3132">
        <v>14.507749916382901</v>
      </c>
    </row>
    <row r="3133" spans="1:37" x14ac:dyDescent="0.2">
      <c r="A3133" t="str">
        <f>"20200111160219003"</f>
        <v>20200111160219003</v>
      </c>
      <c r="B3133" t="str">
        <f>"1578729738995257"</f>
        <v>1578729738995257</v>
      </c>
      <c r="C3133" t="s">
        <v>37</v>
      </c>
      <c r="D3133">
        <v>5.3311960000000003</v>
      </c>
      <c r="E3133">
        <v>0.64381369999999905</v>
      </c>
      <c r="F3133" t="s">
        <v>38</v>
      </c>
      <c r="G3133">
        <v>-192.2705</v>
      </c>
      <c r="H3133" s="1">
        <v>-3.0792570000000002E-6</v>
      </c>
      <c r="I3133">
        <v>195.3587</v>
      </c>
      <c r="J3133">
        <v>-194.8254</v>
      </c>
      <c r="K3133">
        <v>1.094314</v>
      </c>
      <c r="L3133">
        <v>208.55090000000001</v>
      </c>
      <c r="M3133">
        <v>0.68988019999999906</v>
      </c>
      <c r="N3133">
        <v>0</v>
      </c>
      <c r="O3133">
        <v>-0.72374589999999905</v>
      </c>
      <c r="P3133">
        <v>0.51800800000000002</v>
      </c>
      <c r="Q3133">
        <v>1.252814E-2</v>
      </c>
      <c r="R3133">
        <v>-0.8552843</v>
      </c>
      <c r="S3133">
        <v>0.63548280000000001</v>
      </c>
      <c r="T3133">
        <v>-0.25744420000000001</v>
      </c>
      <c r="U3133">
        <v>-3.1445159999999999</v>
      </c>
      <c r="V3133">
        <v>0.2158014</v>
      </c>
      <c r="W3133">
        <v>2.2820219999999999E-2</v>
      </c>
      <c r="X3133">
        <v>0.9761706</v>
      </c>
      <c r="Y3133">
        <v>0.53293880000000005</v>
      </c>
      <c r="Z3133">
        <v>4.1997050000000001E-2</v>
      </c>
      <c r="AA3133">
        <v>0.8451109</v>
      </c>
      <c r="AB3133">
        <v>23</v>
      </c>
      <c r="AC3133">
        <v>2.5548999999999999</v>
      </c>
      <c r="AD3133">
        <v>-1.0943170792569901</v>
      </c>
      <c r="AE3133">
        <v>-13.1922</v>
      </c>
      <c r="AF3133">
        <v>7.2050859633417996</v>
      </c>
      <c r="AG3133">
        <v>-1.0943170792569901</v>
      </c>
      <c r="AH3133">
        <v>11.237301693529499</v>
      </c>
      <c r="AI3133">
        <v>94.686556032304395</v>
      </c>
      <c r="AJ3133">
        <v>57.332989673527003</v>
      </c>
      <c r="AK3133">
        <v>13.393570956264799</v>
      </c>
    </row>
    <row r="3134" spans="1:37" x14ac:dyDescent="0.2">
      <c r="A3134" t="str">
        <f>"20200111160219024"</f>
        <v>20200111160219024</v>
      </c>
      <c r="B3134" t="str">
        <f>"1578729739014777"</f>
        <v>1578729739014777</v>
      </c>
      <c r="C3134" t="s">
        <v>37</v>
      </c>
      <c r="D3134">
        <v>5.3137980000000002</v>
      </c>
      <c r="E3134">
        <v>0.64416180000000001</v>
      </c>
      <c r="F3134" t="s">
        <v>38</v>
      </c>
      <c r="G3134">
        <v>-192.44579999999999</v>
      </c>
      <c r="H3134" s="1">
        <v>-3.3318750000000002E-6</v>
      </c>
      <c r="I3134">
        <v>195.8389</v>
      </c>
      <c r="J3134">
        <v>-194.68270000000001</v>
      </c>
      <c r="K3134">
        <v>1.0942810000000001</v>
      </c>
      <c r="L3134">
        <v>208.3749</v>
      </c>
      <c r="M3134">
        <v>0.67820170000000002</v>
      </c>
      <c r="N3134">
        <v>0</v>
      </c>
      <c r="O3134">
        <v>-0.73470009999999997</v>
      </c>
      <c r="P3134">
        <v>0.50677799999999995</v>
      </c>
      <c r="Q3134">
        <v>1.0020319999999999E-2</v>
      </c>
      <c r="R3134">
        <v>-0.86201859999999997</v>
      </c>
      <c r="S3134">
        <v>0.5904083</v>
      </c>
      <c r="T3134">
        <v>-0.27151120000000001</v>
      </c>
      <c r="U3134">
        <v>-3.1539919999999899</v>
      </c>
      <c r="V3134">
        <v>0.2128961</v>
      </c>
      <c r="W3134">
        <v>2.0408470000000001E-2</v>
      </c>
      <c r="X3134">
        <v>0.97686170000000005</v>
      </c>
      <c r="Y3134">
        <v>0.53153660000000003</v>
      </c>
      <c r="Z3134">
        <v>4.5528449999999998E-2</v>
      </c>
      <c r="AA3134">
        <v>0.84581090000000003</v>
      </c>
      <c r="AB3134">
        <v>23</v>
      </c>
      <c r="AC3134">
        <v>2.2369000000000199</v>
      </c>
      <c r="AD3134">
        <v>-1.094284331875</v>
      </c>
      <c r="AE3134">
        <v>-12.536</v>
      </c>
      <c r="AF3134">
        <v>6.8090887748181901</v>
      </c>
      <c r="AG3134">
        <v>-1.094284331875</v>
      </c>
      <c r="AH3134">
        <v>10.6500084923291</v>
      </c>
      <c r="AI3134">
        <v>94.947679611535406</v>
      </c>
      <c r="AJ3134">
        <v>57.4071628474356</v>
      </c>
      <c r="AK3134">
        <v>12.6879402989226</v>
      </c>
    </row>
    <row r="3135" spans="1:37" x14ac:dyDescent="0.2">
      <c r="A3135" t="str">
        <f>"20200111160219050"</f>
        <v>20200111160219050</v>
      </c>
      <c r="B3135" t="str">
        <f>"1578729739045034"</f>
        <v>1578729739045034</v>
      </c>
      <c r="C3135" t="s">
        <v>37</v>
      </c>
      <c r="D3135">
        <v>5.2871579999999998</v>
      </c>
      <c r="E3135">
        <v>0.64434069999999899</v>
      </c>
      <c r="F3135" t="s">
        <v>38</v>
      </c>
      <c r="G3135">
        <v>-192.56599999999901</v>
      </c>
      <c r="H3135" s="1">
        <v>-3.4839630000000001E-6</v>
      </c>
      <c r="I3135">
        <v>196.11879999999999</v>
      </c>
      <c r="J3135">
        <v>-194.52420000000001</v>
      </c>
      <c r="K3135">
        <v>1.094244</v>
      </c>
      <c r="L3135">
        <v>208.17250000000001</v>
      </c>
      <c r="M3135">
        <v>0.66467290000000001</v>
      </c>
      <c r="N3135">
        <v>0</v>
      </c>
      <c r="O3135">
        <v>-0.74696130000000005</v>
      </c>
      <c r="P3135">
        <v>0.49302889999999999</v>
      </c>
      <c r="Q3135">
        <v>7.3392049999999997E-3</v>
      </c>
      <c r="R3135">
        <v>-0.86998209999999998</v>
      </c>
      <c r="S3135">
        <v>0.54617309999999997</v>
      </c>
      <c r="T3135">
        <v>-0.2823563</v>
      </c>
      <c r="U3135">
        <v>-3.1624150000000002</v>
      </c>
      <c r="V3135">
        <v>0.2105186</v>
      </c>
      <c r="W3135">
        <v>1.7809229999999999E-2</v>
      </c>
      <c r="X3135">
        <v>0.97742759999999995</v>
      </c>
      <c r="Y3135">
        <v>0.52795579999999998</v>
      </c>
      <c r="Z3135">
        <v>4.88776E-2</v>
      </c>
      <c r="AA3135">
        <v>0.84786419999999996</v>
      </c>
      <c r="AB3135">
        <v>23</v>
      </c>
      <c r="AC3135">
        <v>1.9582000000000299</v>
      </c>
      <c r="AD3135">
        <v>-1.0942474839630001</v>
      </c>
      <c r="AE3135">
        <v>-12.053699999999999</v>
      </c>
      <c r="AF3135">
        <v>6.4977433179867701</v>
      </c>
      <c r="AG3135">
        <v>-1.0942474839630001</v>
      </c>
      <c r="AH3135">
        <v>10.224448354490599</v>
      </c>
      <c r="AI3135">
        <v>95.161279460818406</v>
      </c>
      <c r="AJ3135">
        <v>57.563616869298997</v>
      </c>
      <c r="AK3135">
        <v>12.1637736716961</v>
      </c>
    </row>
    <row r="3136" spans="1:37" x14ac:dyDescent="0.2">
      <c r="A3136" t="str">
        <f>"20200111160219072"</f>
        <v>20200111160219072</v>
      </c>
      <c r="B3136" t="str">
        <f>"1578729739065530"</f>
        <v>1578729739065530</v>
      </c>
      <c r="C3136" t="s">
        <v>37</v>
      </c>
      <c r="D3136">
        <v>5.2602440000000001</v>
      </c>
      <c r="E3136">
        <v>0.64439539999999995</v>
      </c>
      <c r="F3136" t="s">
        <v>38</v>
      </c>
      <c r="G3136">
        <v>-192.68209999999999</v>
      </c>
      <c r="H3136" s="1">
        <v>-3.6119279999999899E-6</v>
      </c>
      <c r="I3136">
        <v>196.3451</v>
      </c>
      <c r="J3136">
        <v>-194.38040000000001</v>
      </c>
      <c r="K3136">
        <v>1.0942099999999999</v>
      </c>
      <c r="L3136">
        <v>207.9812</v>
      </c>
      <c r="M3136">
        <v>0.65180499999999997</v>
      </c>
      <c r="N3136">
        <v>0</v>
      </c>
      <c r="O3136">
        <v>-0.75821549999999904</v>
      </c>
      <c r="P3136">
        <v>0.47957299999999897</v>
      </c>
      <c r="Q3136">
        <v>6.2950949999999997E-3</v>
      </c>
      <c r="R3136">
        <v>-0.87747989999999998</v>
      </c>
      <c r="S3136">
        <v>0.49385069999999998</v>
      </c>
      <c r="T3136">
        <v>-0.29336859999999998</v>
      </c>
      <c r="U3136">
        <v>-3.170944</v>
      </c>
      <c r="V3136">
        <v>0.208840099999999</v>
      </c>
      <c r="W3136">
        <v>1.682614E-2</v>
      </c>
      <c r="X3136">
        <v>0.97780509999999998</v>
      </c>
      <c r="Y3136">
        <v>0.52745880000000001</v>
      </c>
      <c r="Z3136">
        <v>5.214912E-2</v>
      </c>
      <c r="AA3136">
        <v>0.84797860000000003</v>
      </c>
      <c r="AB3136">
        <v>23</v>
      </c>
      <c r="AC3136">
        <v>1.6983000000000099</v>
      </c>
      <c r="AD3136">
        <v>-1.0942136119279999</v>
      </c>
      <c r="AE3136">
        <v>-11.636100000000001</v>
      </c>
      <c r="AF3136">
        <v>6.24354908471825</v>
      </c>
      <c r="AG3136">
        <v>-1.0942136119279999</v>
      </c>
      <c r="AH3136">
        <v>9.8456731059570899</v>
      </c>
      <c r="AI3136">
        <v>95.361841646053904</v>
      </c>
      <c r="AJ3136">
        <v>57.619523564020596</v>
      </c>
      <c r="AK3136">
        <v>11.7096749532675</v>
      </c>
    </row>
    <row r="3137" spans="1:37" x14ac:dyDescent="0.2">
      <c r="A3137" t="str">
        <f>"20200111160219095"</f>
        <v>20200111160219095</v>
      </c>
      <c r="B3137" t="str">
        <f>"1578729739085049"</f>
        <v>1578729739085049</v>
      </c>
      <c r="C3137" t="s">
        <v>37</v>
      </c>
      <c r="D3137">
        <v>5.2326839999999999</v>
      </c>
      <c r="E3137">
        <v>0.64431119999999897</v>
      </c>
      <c r="F3137" t="s">
        <v>38</v>
      </c>
      <c r="G3137">
        <v>-192.73140000000001</v>
      </c>
      <c r="H3137" s="1">
        <v>-3.5469170000000001E-6</v>
      </c>
      <c r="I3137">
        <v>196.16290000000001</v>
      </c>
      <c r="J3137">
        <v>-194.23570000000001</v>
      </c>
      <c r="K3137">
        <v>1.094204</v>
      </c>
      <c r="L3137">
        <v>207.78139999999999</v>
      </c>
      <c r="M3137">
        <v>0.63827970000000001</v>
      </c>
      <c r="N3137">
        <v>0</v>
      </c>
      <c r="O3137">
        <v>-0.76963539999999997</v>
      </c>
      <c r="P3137">
        <v>0.46463149999999998</v>
      </c>
      <c r="Q3137">
        <v>7.1621369999999998E-3</v>
      </c>
      <c r="R3137">
        <v>-0.88547520000000002</v>
      </c>
      <c r="S3137">
        <v>0.44349670000000002</v>
      </c>
      <c r="T3137">
        <v>-0.29429919999999998</v>
      </c>
      <c r="U3137">
        <v>-3.1786349999999999</v>
      </c>
      <c r="V3137">
        <v>0.208121</v>
      </c>
      <c r="W3137">
        <v>1.7727219999999998E-2</v>
      </c>
      <c r="X3137">
        <v>0.97794249999999905</v>
      </c>
      <c r="Y3137">
        <v>0.52589330000000001</v>
      </c>
      <c r="Z3137">
        <v>5.3761299999999998E-2</v>
      </c>
      <c r="AA3137">
        <v>0.84884979999999999</v>
      </c>
      <c r="AB3137">
        <v>23</v>
      </c>
      <c r="AC3137">
        <v>1.5043</v>
      </c>
      <c r="AD3137">
        <v>-1.0942075469170001</v>
      </c>
      <c r="AE3137">
        <v>-11.6184999999999</v>
      </c>
      <c r="AF3137">
        <v>6.2047790904788203</v>
      </c>
      <c r="AG3137">
        <v>-1.0942075469170001</v>
      </c>
      <c r="AH3137">
        <v>9.8178189644713907</v>
      </c>
      <c r="AI3137">
        <v>95.382131106803598</v>
      </c>
      <c r="AJ3137">
        <v>57.707457524668499</v>
      </c>
      <c r="AK3137">
        <v>11.6655965529632</v>
      </c>
    </row>
    <row r="3138" spans="1:37" x14ac:dyDescent="0.2">
      <c r="A3138" t="str">
        <f>"20200111160219119"</f>
        <v>20200111160219119</v>
      </c>
      <c r="B3138" t="str">
        <f>"1578729739115305"</f>
        <v>1578729739115305</v>
      </c>
      <c r="C3138" t="s">
        <v>37</v>
      </c>
      <c r="D3138">
        <v>5.2327579999999996</v>
      </c>
      <c r="E3138">
        <v>0.64404879999999998</v>
      </c>
      <c r="F3138" t="s">
        <v>38</v>
      </c>
      <c r="G3138">
        <v>-192.76320000000001</v>
      </c>
      <c r="H3138" s="1">
        <v>-3.3665319999999999E-6</v>
      </c>
      <c r="I3138">
        <v>195.72280000000001</v>
      </c>
      <c r="J3138">
        <v>-194.0985</v>
      </c>
      <c r="K3138">
        <v>1.094233</v>
      </c>
      <c r="L3138">
        <v>207.5849</v>
      </c>
      <c r="M3138">
        <v>0.62488809999999995</v>
      </c>
      <c r="N3138">
        <v>0</v>
      </c>
      <c r="O3138">
        <v>-0.78054760000000001</v>
      </c>
      <c r="P3138">
        <v>0.44937309999999903</v>
      </c>
      <c r="Q3138">
        <v>1.120954E-2</v>
      </c>
      <c r="R3138">
        <v>-0.89327409999999996</v>
      </c>
      <c r="S3138">
        <v>0.38908389999999998</v>
      </c>
      <c r="T3138">
        <v>-0.28911589999999998</v>
      </c>
      <c r="U3138">
        <v>-3.186188</v>
      </c>
      <c r="V3138">
        <v>0.2080784</v>
      </c>
      <c r="W3138">
        <v>2.179099E-2</v>
      </c>
      <c r="X3138">
        <v>0.9778694</v>
      </c>
      <c r="Y3138">
        <v>0.52574030000000005</v>
      </c>
      <c r="Z3138">
        <v>5.4138369999999998E-2</v>
      </c>
      <c r="AA3138">
        <v>0.84892060000000003</v>
      </c>
      <c r="AB3138">
        <v>23</v>
      </c>
      <c r="AC3138">
        <v>1.3352999999999799</v>
      </c>
      <c r="AD3138">
        <v>-1.0942363665320001</v>
      </c>
      <c r="AE3138">
        <v>-11.8620999999999</v>
      </c>
      <c r="AF3138">
        <v>6.3179598486705197</v>
      </c>
      <c r="AG3138">
        <v>-1.0942363665320001</v>
      </c>
      <c r="AH3138">
        <v>10.010542869655501</v>
      </c>
      <c r="AI3138">
        <v>95.281284177889006</v>
      </c>
      <c r="AJ3138">
        <v>57.742723125430203</v>
      </c>
      <c r="AK3138">
        <v>11.8880165890053</v>
      </c>
    </row>
    <row r="3139" spans="1:37" x14ac:dyDescent="0.2">
      <c r="A3139" t="str">
        <f>"20200111160219140"</f>
        <v>20200111160219140</v>
      </c>
      <c r="B3139" t="str">
        <f>"1578729739134825"</f>
        <v>1578729739134825</v>
      </c>
      <c r="C3139" t="s">
        <v>37</v>
      </c>
      <c r="D3139">
        <v>5.1944599999999896</v>
      </c>
      <c r="E3139">
        <v>0.64374229999999999</v>
      </c>
      <c r="F3139" t="s">
        <v>38</v>
      </c>
      <c r="G3139">
        <v>-192.75899999999999</v>
      </c>
      <c r="H3139" s="1">
        <v>-2.986551E-6</v>
      </c>
      <c r="I3139">
        <v>194.83959999999999</v>
      </c>
      <c r="J3139">
        <v>-193.97</v>
      </c>
      <c r="K3139">
        <v>1.094252</v>
      </c>
      <c r="L3139">
        <v>207.3939</v>
      </c>
      <c r="M3139">
        <v>0.61180389999999996</v>
      </c>
      <c r="N3139">
        <v>0</v>
      </c>
      <c r="O3139">
        <v>-0.79084460000000001</v>
      </c>
      <c r="P3139">
        <v>0.43436520000000001</v>
      </c>
      <c r="Q3139">
        <v>1.416852E-2</v>
      </c>
      <c r="R3139">
        <v>-0.90062580000000003</v>
      </c>
      <c r="S3139">
        <v>0.33560180000000001</v>
      </c>
      <c r="T3139">
        <v>-0.27413569999999998</v>
      </c>
      <c r="U3139">
        <v>-3.1930239999999999</v>
      </c>
      <c r="V3139">
        <v>0.20820459999999999</v>
      </c>
      <c r="W3139">
        <v>2.476136E-2</v>
      </c>
      <c r="X3139">
        <v>0.97777179999999997</v>
      </c>
      <c r="Y3139">
        <v>0.52584430000000004</v>
      </c>
      <c r="Z3139">
        <v>5.2526620000000003E-2</v>
      </c>
      <c r="AA3139">
        <v>0.84895739999999997</v>
      </c>
      <c r="AB3139">
        <v>23</v>
      </c>
      <c r="AC3139">
        <v>1.2109999999999801</v>
      </c>
      <c r="AD3139">
        <v>-1.0942549865510001</v>
      </c>
      <c r="AE3139">
        <v>-12.5543</v>
      </c>
      <c r="AF3139">
        <v>6.67369992487333</v>
      </c>
      <c r="AG3139">
        <v>-1.0942549865510001</v>
      </c>
      <c r="AH3139">
        <v>10.591066086894401</v>
      </c>
      <c r="AI3139">
        <v>94.995647419013906</v>
      </c>
      <c r="AJ3139">
        <v>57.783928453310303</v>
      </c>
      <c r="AK3139">
        <v>12.566079162563399</v>
      </c>
    </row>
    <row r="3140" spans="1:37" x14ac:dyDescent="0.2">
      <c r="A3140" t="str">
        <f>"20200111160219159"</f>
        <v>20200111160219159</v>
      </c>
      <c r="B3140" t="str">
        <f>"1578729739155321"</f>
        <v>1578729739155321</v>
      </c>
      <c r="C3140" t="s">
        <v>37</v>
      </c>
      <c r="D3140">
        <v>5.1290259999999996</v>
      </c>
      <c r="E3140">
        <v>0.64323409999999903</v>
      </c>
      <c r="F3140" t="s">
        <v>38</v>
      </c>
      <c r="G3140">
        <v>-192.7955</v>
      </c>
      <c r="H3140" s="1">
        <v>-2.7136120000000001E-6</v>
      </c>
      <c r="I3140">
        <v>194.1808</v>
      </c>
      <c r="J3140">
        <v>-193.86879999999999</v>
      </c>
      <c r="K3140">
        <v>1.09426</v>
      </c>
      <c r="L3140">
        <v>207.23830000000001</v>
      </c>
      <c r="M3140">
        <v>0.60109190000000001</v>
      </c>
      <c r="N3140">
        <v>0</v>
      </c>
      <c r="O3140">
        <v>-0.79901619999999995</v>
      </c>
      <c r="P3140">
        <v>0.42216229999999899</v>
      </c>
      <c r="Q3140">
        <v>1.6271669999999998E-2</v>
      </c>
      <c r="R3140">
        <v>-0.90637440000000002</v>
      </c>
      <c r="S3140">
        <v>0.2842865</v>
      </c>
      <c r="T3140">
        <v>-0.26485009999999998</v>
      </c>
      <c r="U3140">
        <v>-3.1980590000000002</v>
      </c>
      <c r="V3140">
        <v>0.20826629999999999</v>
      </c>
      <c r="W3140">
        <v>2.6873999999999999E-2</v>
      </c>
      <c r="X3140">
        <v>0.97770290000000004</v>
      </c>
      <c r="Y3140">
        <v>0.52802269999999996</v>
      </c>
      <c r="Z3140">
        <v>5.1609700000000001E-2</v>
      </c>
      <c r="AA3140">
        <v>0.84766059999999999</v>
      </c>
      <c r="AB3140">
        <v>22</v>
      </c>
      <c r="AC3140">
        <v>1.0732999999999799</v>
      </c>
      <c r="AD3140">
        <v>-1.094262713612</v>
      </c>
      <c r="AE3140">
        <v>-13.057499999999999</v>
      </c>
      <c r="AF3140">
        <v>6.9436501260866699</v>
      </c>
      <c r="AG3140">
        <v>-1.094262713612</v>
      </c>
      <c r="AH3140">
        <v>11.002999963532901</v>
      </c>
      <c r="AI3140">
        <v>94.807509685208899</v>
      </c>
      <c r="AJ3140">
        <v>57.745254568877002</v>
      </c>
      <c r="AK3140">
        <v>13.0567107709947</v>
      </c>
    </row>
    <row r="3141" spans="1:37" x14ac:dyDescent="0.2">
      <c r="A3141" t="str">
        <f>"20200111160219185"</f>
        <v>20200111160219185</v>
      </c>
      <c r="B3141" t="str">
        <f>"1578729739175351"</f>
        <v>1578729739175351</v>
      </c>
      <c r="C3141" t="s">
        <v>37</v>
      </c>
      <c r="D3141">
        <v>5.098249</v>
      </c>
      <c r="E3141">
        <v>0.64258709999999997</v>
      </c>
      <c r="F3141" t="s">
        <v>38</v>
      </c>
      <c r="G3141">
        <v>-192.84299999999999</v>
      </c>
      <c r="H3141" s="1">
        <v>-2.584355E-6</v>
      </c>
      <c r="I3141">
        <v>193.85</v>
      </c>
      <c r="J3141">
        <v>-193.72460000000001</v>
      </c>
      <c r="K3141">
        <v>1.094263</v>
      </c>
      <c r="L3141">
        <v>207.00839999999999</v>
      </c>
      <c r="M3141">
        <v>0.58518210000000004</v>
      </c>
      <c r="N3141">
        <v>0</v>
      </c>
      <c r="O3141">
        <v>-0.81074060000000003</v>
      </c>
      <c r="P3141">
        <v>0.40444819999999998</v>
      </c>
      <c r="Q3141">
        <v>1.7619320000000001E-2</v>
      </c>
      <c r="R3141">
        <v>-0.91439139999999997</v>
      </c>
      <c r="S3141">
        <v>0.245223999999999</v>
      </c>
      <c r="T3141">
        <v>-0.26157559999999902</v>
      </c>
      <c r="U3141">
        <v>-3.2003629999999998</v>
      </c>
      <c r="V3141">
        <v>0.20798339999999901</v>
      </c>
      <c r="W3141">
        <v>2.824581E-2</v>
      </c>
      <c r="X3141">
        <v>0.97772440000000005</v>
      </c>
      <c r="Y3141">
        <v>0.52156809999999998</v>
      </c>
      <c r="Z3141">
        <v>5.2504929999999998E-2</v>
      </c>
      <c r="AA3141">
        <v>0.85159249999999997</v>
      </c>
      <c r="AB3141">
        <v>22</v>
      </c>
      <c r="AC3141">
        <v>0.88160000000002003</v>
      </c>
      <c r="AD3141">
        <v>-1.094265584355</v>
      </c>
      <c r="AE3141">
        <v>-13.1584</v>
      </c>
      <c r="AF3141">
        <v>6.9384548644275696</v>
      </c>
      <c r="AG3141">
        <v>-1.094265584355</v>
      </c>
      <c r="AH3141">
        <v>11.1089255049339</v>
      </c>
      <c r="AI3141">
        <v>94.775755857311097</v>
      </c>
      <c r="AJ3141">
        <v>58.011768200524898</v>
      </c>
      <c r="AK3141">
        <v>13.143355695901001</v>
      </c>
    </row>
    <row r="3142" spans="1:37" x14ac:dyDescent="0.2">
      <c r="A3142" t="str">
        <f>"20200111160219205"</f>
        <v>20200111160219205</v>
      </c>
      <c r="B3142" t="str">
        <f>"1578729739194870"</f>
        <v>1578729739194870</v>
      </c>
      <c r="C3142" t="s">
        <v>37</v>
      </c>
      <c r="D3142">
        <v>5.0787829999999996</v>
      </c>
      <c r="E3142">
        <v>0.64186069999999995</v>
      </c>
      <c r="F3142" t="s">
        <v>38</v>
      </c>
      <c r="G3142">
        <v>-192.93729999999999</v>
      </c>
      <c r="H3142" s="1">
        <v>-2.511201E-6</v>
      </c>
      <c r="I3142">
        <v>193.62099999999899</v>
      </c>
      <c r="J3142">
        <v>-193.6165</v>
      </c>
      <c r="K3142">
        <v>1.0942780000000001</v>
      </c>
      <c r="L3142">
        <v>206.8288</v>
      </c>
      <c r="M3142">
        <v>0.57268850000000004</v>
      </c>
      <c r="N3142">
        <v>0</v>
      </c>
      <c r="O3142">
        <v>-0.81961329999999999</v>
      </c>
      <c r="P3142">
        <v>0.39062619999999998</v>
      </c>
      <c r="Q3142">
        <v>1.924474E-2</v>
      </c>
      <c r="R3142">
        <v>-0.92034850000000001</v>
      </c>
      <c r="S3142">
        <v>0.18835450000000001</v>
      </c>
      <c r="T3142">
        <v>-0.26177620000000001</v>
      </c>
      <c r="U3142">
        <v>-3.2026059999999998</v>
      </c>
      <c r="V3142">
        <v>0.20775179999999999</v>
      </c>
      <c r="W3142">
        <v>2.988973E-2</v>
      </c>
      <c r="X3142">
        <v>0.97772479999999995</v>
      </c>
      <c r="Y3142">
        <v>0.52359319999999998</v>
      </c>
      <c r="Z3142">
        <v>5.3517999999999899E-2</v>
      </c>
      <c r="AA3142">
        <v>0.85028579999999998</v>
      </c>
      <c r="AB3142">
        <v>22</v>
      </c>
      <c r="AC3142">
        <v>0.67920000000000802</v>
      </c>
      <c r="AD3142">
        <v>-1.0942805112009999</v>
      </c>
      <c r="AE3142">
        <v>-13.207800000000001</v>
      </c>
      <c r="AF3142">
        <v>6.9605384519067002</v>
      </c>
      <c r="AG3142">
        <v>-1.0942805112009999</v>
      </c>
      <c r="AH3142">
        <v>11.139464511558099</v>
      </c>
      <c r="AI3142">
        <v>94.762212545809803</v>
      </c>
      <c r="AJ3142">
        <v>58.000634471494003</v>
      </c>
      <c r="AK3142">
        <v>13.1808275530001</v>
      </c>
    </row>
    <row r="3143" spans="1:37" x14ac:dyDescent="0.2">
      <c r="A3143" t="str">
        <f>"20200111160219226"</f>
        <v>20200111160219226</v>
      </c>
      <c r="B3143" t="str">
        <f>"1578729739215366"</f>
        <v>1578729739215366</v>
      </c>
      <c r="C3143" t="s">
        <v>37</v>
      </c>
      <c r="D3143">
        <v>5.1261589999999897</v>
      </c>
      <c r="E3143">
        <v>0.61927699999999997</v>
      </c>
      <c r="F3143" t="s">
        <v>38</v>
      </c>
      <c r="G3143">
        <v>-193.00540000000001</v>
      </c>
      <c r="H3143" s="1">
        <v>-2.47107E-6</v>
      </c>
      <c r="I3143">
        <v>193.48519999999999</v>
      </c>
      <c r="J3143">
        <v>-193.511</v>
      </c>
      <c r="K3143">
        <v>1.0942860000000001</v>
      </c>
      <c r="L3143">
        <v>206.6472</v>
      </c>
      <c r="M3143">
        <v>0.55999639999999995</v>
      </c>
      <c r="N3143">
        <v>0</v>
      </c>
      <c r="O3143">
        <v>-0.82833650000000003</v>
      </c>
      <c r="P3143">
        <v>0.37712220000000002</v>
      </c>
      <c r="Q3143">
        <v>2.0457329999999999E-2</v>
      </c>
      <c r="R3143">
        <v>-0.92593769999999997</v>
      </c>
      <c r="S3143">
        <v>0.146698</v>
      </c>
      <c r="T3143">
        <v>-0.2626616</v>
      </c>
      <c r="U3143">
        <v>-3.2028810000000001</v>
      </c>
      <c r="V3143">
        <v>0.20700959999999999</v>
      </c>
      <c r="W3143">
        <v>3.1134169999999999E-2</v>
      </c>
      <c r="X3143">
        <v>0.97784340000000003</v>
      </c>
      <c r="Y3143">
        <v>0.52150909999999995</v>
      </c>
      <c r="Z3143">
        <v>5.4794290000000002E-2</v>
      </c>
      <c r="AA3143">
        <v>0.85148449999999998</v>
      </c>
      <c r="AB3143">
        <v>22</v>
      </c>
      <c r="AC3143">
        <v>0.50559999999998695</v>
      </c>
      <c r="AD3143">
        <v>-1.09428847107</v>
      </c>
      <c r="AE3143">
        <v>-13.162000000000001</v>
      </c>
      <c r="AF3143">
        <v>6.9051192702117001</v>
      </c>
      <c r="AG3143">
        <v>-1.09428847107</v>
      </c>
      <c r="AH3143">
        <v>11.1104832250737</v>
      </c>
      <c r="AI3143">
        <v>94.781780732516594</v>
      </c>
      <c r="AJ3143">
        <v>58.139220113224901</v>
      </c>
      <c r="AK3143">
        <v>13.1271084740094</v>
      </c>
    </row>
    <row r="3144" spans="1:37" x14ac:dyDescent="0.2">
      <c r="A3144" t="str">
        <f>"20200111160219248"</f>
        <v>20200111160219248</v>
      </c>
      <c r="B3144" t="str">
        <f>"1578729739245622"</f>
        <v>1578729739245622</v>
      </c>
      <c r="C3144" t="s">
        <v>37</v>
      </c>
      <c r="D3144">
        <v>5.1364239999999999</v>
      </c>
      <c r="E3144">
        <v>0.61681790000000003</v>
      </c>
      <c r="F3144" t="s">
        <v>38</v>
      </c>
      <c r="G3144">
        <v>-192.62540000000001</v>
      </c>
      <c r="H3144" s="1">
        <v>-3.6399079999999999E-6</v>
      </c>
      <c r="I3144">
        <v>196.44550000000001</v>
      </c>
      <c r="J3144">
        <v>-193.3982</v>
      </c>
      <c r="K3144">
        <v>1.0943069999999999</v>
      </c>
      <c r="L3144">
        <v>206.44569999999999</v>
      </c>
      <c r="M3144">
        <v>0.54584029999999994</v>
      </c>
      <c r="N3144">
        <v>0</v>
      </c>
      <c r="O3144">
        <v>-0.83773240000000004</v>
      </c>
      <c r="P3144">
        <v>0.36211379999999999</v>
      </c>
      <c r="Q3144">
        <v>2.0476569999999999E-2</v>
      </c>
      <c r="R3144">
        <v>-0.93190910000000005</v>
      </c>
      <c r="S3144">
        <v>0.27227779999999902</v>
      </c>
      <c r="T3144">
        <v>-0.33643289999999998</v>
      </c>
      <c r="U3144">
        <v>-3.1364749999999999</v>
      </c>
      <c r="V3144">
        <v>0.20619179999999901</v>
      </c>
      <c r="W3144">
        <v>3.1187550000000001E-2</v>
      </c>
      <c r="X3144">
        <v>0.97801450000000001</v>
      </c>
      <c r="Y3144">
        <v>0.47148849999999998</v>
      </c>
      <c r="Z3144">
        <v>7.4540699999999904E-2</v>
      </c>
      <c r="AA3144">
        <v>0.87871619999999995</v>
      </c>
      <c r="AB3144">
        <v>22</v>
      </c>
      <c r="AC3144">
        <v>0.77279999999998905</v>
      </c>
      <c r="AD3144">
        <v>-1.09431063990799</v>
      </c>
      <c r="AE3144">
        <v>-10.0001999999999</v>
      </c>
      <c r="AF3144">
        <v>4.75514159628261</v>
      </c>
      <c r="AG3144">
        <v>-1.09431063990799</v>
      </c>
      <c r="AH3144">
        <v>8.6969484399277501</v>
      </c>
      <c r="AI3144">
        <v>96.300072220243393</v>
      </c>
      <c r="AJ3144">
        <v>61.331935651059602</v>
      </c>
      <c r="AK3144">
        <v>9.9722514781805796</v>
      </c>
    </row>
    <row r="3145" spans="1:37" x14ac:dyDescent="0.2">
      <c r="A3145" t="str">
        <f>"20200111160219271"</f>
        <v>20200111160219271</v>
      </c>
      <c r="B3145" t="str">
        <f>"1578729739265144"</f>
        <v>1578729739265144</v>
      </c>
      <c r="C3145" t="s">
        <v>37</v>
      </c>
      <c r="D3145">
        <v>5.1793500000000003</v>
      </c>
      <c r="E3145">
        <v>0.61538099999999996</v>
      </c>
      <c r="F3145" t="s">
        <v>38</v>
      </c>
      <c r="G3145">
        <v>-192.6216</v>
      </c>
      <c r="H3145" s="1">
        <v>-3.5964380000000002E-6</v>
      </c>
      <c r="I3145">
        <v>196.34649999999999</v>
      </c>
      <c r="J3145">
        <v>-193.28649999999999</v>
      </c>
      <c r="K3145">
        <v>1.0943209999999901</v>
      </c>
      <c r="L3145">
        <v>206.23740000000001</v>
      </c>
      <c r="M3145">
        <v>0.53113390000000005</v>
      </c>
      <c r="N3145">
        <v>0</v>
      </c>
      <c r="O3145">
        <v>-0.84713249999999995</v>
      </c>
      <c r="P3145">
        <v>0.34628540000000002</v>
      </c>
      <c r="Q3145">
        <v>2.1590560000000002E-2</v>
      </c>
      <c r="R3145">
        <v>-0.93788090000000002</v>
      </c>
      <c r="S3145">
        <v>0.2409058</v>
      </c>
      <c r="T3145">
        <v>-0.33948400000000001</v>
      </c>
      <c r="U3145">
        <v>-3.133057</v>
      </c>
      <c r="V3145">
        <v>0.2056915</v>
      </c>
      <c r="W3145">
        <v>3.232662E-2</v>
      </c>
      <c r="X3145">
        <v>0.97808280000000003</v>
      </c>
      <c r="Y3145">
        <v>0.46475929999999999</v>
      </c>
      <c r="Z3145">
        <v>7.698497E-2</v>
      </c>
      <c r="AA3145">
        <v>0.88208399999999998</v>
      </c>
      <c r="AB3145">
        <v>22</v>
      </c>
      <c r="AC3145">
        <v>0.66489999999998795</v>
      </c>
      <c r="AD3145">
        <v>-1.094324596438</v>
      </c>
      <c r="AE3145">
        <v>-9.8909000000000091</v>
      </c>
      <c r="AF3145">
        <v>4.6342779978698001</v>
      </c>
      <c r="AG3145">
        <v>-1.094324596438</v>
      </c>
      <c r="AH3145">
        <v>8.6280617168549298</v>
      </c>
      <c r="AI3145">
        <v>96.375534305206102</v>
      </c>
      <c r="AJ3145">
        <v>61.7590018454122</v>
      </c>
      <c r="AK3145">
        <v>9.8548225693701408</v>
      </c>
    </row>
    <row r="3146" spans="1:37" x14ac:dyDescent="0.2">
      <c r="A3146" t="str">
        <f>"20200111160219293"</f>
        <v>20200111160219293</v>
      </c>
      <c r="B3146" t="str">
        <f>"1578729739284662"</f>
        <v>1578729739284662</v>
      </c>
      <c r="C3146" t="s">
        <v>37</v>
      </c>
      <c r="D3146">
        <v>5.2372050000000003</v>
      </c>
      <c r="E3146">
        <v>0.61219919999999906</v>
      </c>
      <c r="F3146" t="s">
        <v>38</v>
      </c>
      <c r="G3146">
        <v>-192.65</v>
      </c>
      <c r="H3146" s="1">
        <v>-3.5624919999999898E-6</v>
      </c>
      <c r="I3146">
        <v>196.24979999999999</v>
      </c>
      <c r="J3146">
        <v>-193.18010000000001</v>
      </c>
      <c r="K3146">
        <v>1.09433</v>
      </c>
      <c r="L3146">
        <v>206.02979999999999</v>
      </c>
      <c r="M3146">
        <v>0.51641990000000004</v>
      </c>
      <c r="N3146">
        <v>0</v>
      </c>
      <c r="O3146">
        <v>-0.85618169999999905</v>
      </c>
      <c r="P3146">
        <v>0.33086349999999998</v>
      </c>
      <c r="Q3146">
        <v>2.33575E-2</v>
      </c>
      <c r="R3146">
        <v>-0.94338979999999995</v>
      </c>
      <c r="S3146">
        <v>0.19967650000000001</v>
      </c>
      <c r="T3146">
        <v>-0.34326499999999999</v>
      </c>
      <c r="U3146">
        <v>-3.1328740000000002</v>
      </c>
      <c r="V3146">
        <v>0.20485100000000001</v>
      </c>
      <c r="W3146">
        <v>3.4128060000000002E-2</v>
      </c>
      <c r="X3146">
        <v>0.97819799999999901</v>
      </c>
      <c r="Y3146">
        <v>0.46102089999999901</v>
      </c>
      <c r="Z3146">
        <v>7.9409610000000005E-2</v>
      </c>
      <c r="AA3146">
        <v>0.88382909999999903</v>
      </c>
      <c r="AB3146">
        <v>22</v>
      </c>
      <c r="AC3146">
        <v>0.53010000000000401</v>
      </c>
      <c r="AD3146">
        <v>-1.0943335624920001</v>
      </c>
      <c r="AE3146">
        <v>-9.7799999999999994</v>
      </c>
      <c r="AF3146">
        <v>4.5406455473121401</v>
      </c>
      <c r="AG3146">
        <v>-1.0943335624920001</v>
      </c>
      <c r="AH3146">
        <v>8.5417169046123096</v>
      </c>
      <c r="AI3146">
        <v>96.454195841167703</v>
      </c>
      <c r="AJ3146">
        <v>62.005574213140399</v>
      </c>
      <c r="AK3146">
        <v>9.73529432584664</v>
      </c>
    </row>
    <row r="3147" spans="1:37" x14ac:dyDescent="0.2">
      <c r="A3147" t="str">
        <f>"20200111160219314"</f>
        <v>20200111160219314</v>
      </c>
      <c r="B3147" t="str">
        <f>"1578729739305158"</f>
        <v>1578729739305158</v>
      </c>
      <c r="C3147" t="s">
        <v>37</v>
      </c>
      <c r="D3147">
        <v>5.199643</v>
      </c>
      <c r="E3147">
        <v>0.59881930000000005</v>
      </c>
      <c r="F3147" t="s">
        <v>38</v>
      </c>
      <c r="G3147">
        <v>-192.6241</v>
      </c>
      <c r="H3147" s="1">
        <v>-3.4286270000000002E-6</v>
      </c>
      <c r="I3147">
        <v>195.9538</v>
      </c>
      <c r="J3147">
        <v>-193.08410000000001</v>
      </c>
      <c r="K3147">
        <v>1.0943419999999999</v>
      </c>
      <c r="L3147">
        <v>205.8347</v>
      </c>
      <c r="M3147">
        <v>0.50252870000000005</v>
      </c>
      <c r="N3147">
        <v>0</v>
      </c>
      <c r="O3147">
        <v>-0.86440810000000001</v>
      </c>
      <c r="P3147">
        <v>0.31585730000000001</v>
      </c>
      <c r="Q3147">
        <v>2.2409640000000002E-2</v>
      </c>
      <c r="R3147">
        <v>-0.94854229999999995</v>
      </c>
      <c r="S3147">
        <v>0.1725922</v>
      </c>
      <c r="T3147">
        <v>-0.33971299999999999</v>
      </c>
      <c r="U3147">
        <v>-3.1278990000000002</v>
      </c>
      <c r="V3147">
        <v>0.20456079999999999</v>
      </c>
      <c r="W3147">
        <v>3.3200189999999997E-2</v>
      </c>
      <c r="X3147">
        <v>0.97829069999999996</v>
      </c>
      <c r="Y3147">
        <v>0.45423190000000002</v>
      </c>
      <c r="Z3147">
        <v>8.0229259999999997E-2</v>
      </c>
      <c r="AA3147">
        <v>0.88726349999999998</v>
      </c>
      <c r="AB3147">
        <v>22</v>
      </c>
      <c r="AC3147">
        <v>0.46000000000000701</v>
      </c>
      <c r="AD3147">
        <v>-1.094345428627</v>
      </c>
      <c r="AE3147">
        <v>-9.8808999999999898</v>
      </c>
      <c r="AF3147">
        <v>4.5131696718720598</v>
      </c>
      <c r="AG3147">
        <v>-1.094345428627</v>
      </c>
      <c r="AH3147">
        <v>8.6673622651197206</v>
      </c>
      <c r="AI3147">
        <v>96.389812523364</v>
      </c>
      <c r="AJ3147">
        <v>62.493621445595501</v>
      </c>
      <c r="AK3147">
        <v>9.8330799365755102</v>
      </c>
    </row>
    <row r="3148" spans="1:37" x14ac:dyDescent="0.2">
      <c r="A3148" t="str">
        <f>"20200111160219337"</f>
        <v>20200111160219337</v>
      </c>
      <c r="B3148" t="str">
        <f>"1578729739335414"</f>
        <v>1578729739335414</v>
      </c>
      <c r="C3148" t="s">
        <v>37</v>
      </c>
      <c r="D3148">
        <v>5.1221860000000001</v>
      </c>
      <c r="E3148">
        <v>0.59960059999999904</v>
      </c>
      <c r="F3148" t="s">
        <v>38</v>
      </c>
      <c r="G3148">
        <v>-192.3579</v>
      </c>
      <c r="H3148" s="1">
        <v>-3.2921389999999998E-6</v>
      </c>
      <c r="I3148">
        <v>195.80070000000001</v>
      </c>
      <c r="J3148">
        <v>-192.98580000000001</v>
      </c>
      <c r="K3148">
        <v>1.0943559999999899</v>
      </c>
      <c r="L3148">
        <v>205.62629999999999</v>
      </c>
      <c r="M3148">
        <v>0.48763139999999999</v>
      </c>
      <c r="N3148">
        <v>0</v>
      </c>
      <c r="O3148">
        <v>-0.87289850000000002</v>
      </c>
      <c r="P3148">
        <v>0.29912640000000001</v>
      </c>
      <c r="Q3148">
        <v>1.9489630000000001E-2</v>
      </c>
      <c r="R3148">
        <v>-0.95401449999999999</v>
      </c>
      <c r="S3148">
        <v>0.22406010000000001</v>
      </c>
      <c r="T3148">
        <v>-0.33767370000000002</v>
      </c>
      <c r="U3148">
        <v>-3.0961150000000002</v>
      </c>
      <c r="V3148">
        <v>0.20494709999999999</v>
      </c>
      <c r="W3148">
        <v>3.0282469999999999E-2</v>
      </c>
      <c r="X3148">
        <v>0.97830450000000002</v>
      </c>
      <c r="Y3148">
        <v>0.4235468</v>
      </c>
      <c r="Z3148">
        <v>8.2728590000000005E-2</v>
      </c>
      <c r="AA3148">
        <v>0.90208880000000002</v>
      </c>
      <c r="AB3148">
        <v>22</v>
      </c>
      <c r="AC3148">
        <v>0.627900000000011</v>
      </c>
      <c r="AD3148">
        <v>-1.094359292139</v>
      </c>
      <c r="AE3148">
        <v>-9.8255999999999801</v>
      </c>
      <c r="AF3148">
        <v>4.1919477554283802</v>
      </c>
      <c r="AG3148">
        <v>-1.094359292139</v>
      </c>
      <c r="AH3148">
        <v>8.7756864076181706</v>
      </c>
      <c r="AI3148">
        <v>96.420194612377301</v>
      </c>
      <c r="AJ3148">
        <v>64.467244500117303</v>
      </c>
      <c r="AK3148">
        <v>9.78686467513403</v>
      </c>
    </row>
    <row r="3149" spans="1:37" x14ac:dyDescent="0.2">
      <c r="A3149" t="str">
        <f>"20200111160219362"</f>
        <v>20200111160219362</v>
      </c>
      <c r="B3149" t="str">
        <f>"1578729739354934"</f>
        <v>1578729739354934</v>
      </c>
      <c r="C3149" t="s">
        <v>37</v>
      </c>
      <c r="D3149">
        <v>4.9372920000000002</v>
      </c>
      <c r="E3149">
        <v>0.59937629999999997</v>
      </c>
      <c r="F3149" t="s">
        <v>38</v>
      </c>
      <c r="G3149">
        <v>-192.45660000000001</v>
      </c>
      <c r="H3149" s="1">
        <v>-3.1921989999999999E-6</v>
      </c>
      <c r="I3149">
        <v>195.50659999999999</v>
      </c>
      <c r="J3149">
        <v>-192.8852</v>
      </c>
      <c r="K3149">
        <v>1.0943829999999899</v>
      </c>
      <c r="L3149">
        <v>205.40260000000001</v>
      </c>
      <c r="M3149">
        <v>0.4715917</v>
      </c>
      <c r="N3149">
        <v>0</v>
      </c>
      <c r="O3149">
        <v>-0.8816676</v>
      </c>
      <c r="P3149">
        <v>0.28204259999999998</v>
      </c>
      <c r="Q3149">
        <v>1.6335769999999999E-2</v>
      </c>
      <c r="R3149">
        <v>-0.95926309999999904</v>
      </c>
      <c r="S3149">
        <v>0.1621552</v>
      </c>
      <c r="T3149">
        <v>-0.33530559999999998</v>
      </c>
      <c r="U3149">
        <v>-3.100616</v>
      </c>
      <c r="V3149">
        <v>0.2044792</v>
      </c>
      <c r="W3149">
        <v>2.7156659999999999E-2</v>
      </c>
      <c r="X3149">
        <v>0.97849419999999898</v>
      </c>
      <c r="Y3149">
        <v>0.42502469999999998</v>
      </c>
      <c r="Z3149">
        <v>8.3415690000000001E-2</v>
      </c>
      <c r="AA3149">
        <v>0.90132999999999996</v>
      </c>
      <c r="AB3149">
        <v>22</v>
      </c>
      <c r="AC3149">
        <v>0.42859999999998799</v>
      </c>
      <c r="AD3149">
        <v>-1.0943861921989999</v>
      </c>
      <c r="AE3149">
        <v>-9.8960000000000097</v>
      </c>
      <c r="AF3149">
        <v>4.2378229539907304</v>
      </c>
      <c r="AG3149">
        <v>-1.0943861921989999</v>
      </c>
      <c r="AH3149">
        <v>8.8206102592046705</v>
      </c>
      <c r="AI3149">
        <v>96.3810937447697</v>
      </c>
      <c r="AJ3149">
        <v>64.338249913402706</v>
      </c>
      <c r="AK3149">
        <v>9.8468263857871108</v>
      </c>
    </row>
    <row r="3150" spans="1:37" x14ac:dyDescent="0.2">
      <c r="A3150" t="str">
        <f>"20200111160219385"</f>
        <v>20200111160219385</v>
      </c>
      <c r="B3150" t="str">
        <f>"1578729739374963"</f>
        <v>1578729739374963</v>
      </c>
      <c r="C3150" t="s">
        <v>37</v>
      </c>
      <c r="D3150">
        <v>5.1670069999999999</v>
      </c>
      <c r="E3150">
        <v>0.59758319999999998</v>
      </c>
      <c r="F3150" t="s">
        <v>38</v>
      </c>
      <c r="G3150">
        <v>-192.53919999999999</v>
      </c>
      <c r="H3150" s="1">
        <v>-3.1822339999999999E-6</v>
      </c>
      <c r="I3150">
        <v>195.43209999999999</v>
      </c>
      <c r="J3150">
        <v>-192.79050000000001</v>
      </c>
      <c r="K3150">
        <v>1.094422</v>
      </c>
      <c r="L3150">
        <v>205.18170000000001</v>
      </c>
      <c r="M3150">
        <v>0.45569799999999899</v>
      </c>
      <c r="N3150">
        <v>0</v>
      </c>
      <c r="O3150">
        <v>-0.88998619999999995</v>
      </c>
      <c r="P3150">
        <v>0.26561119999999999</v>
      </c>
      <c r="Q3150">
        <v>1.5914060000000001E-2</v>
      </c>
      <c r="R3150">
        <v>-0.96394899999999994</v>
      </c>
      <c r="S3150">
        <v>0.1076355</v>
      </c>
      <c r="T3150">
        <v>-0.3404335</v>
      </c>
      <c r="U3150">
        <v>-3.1015470000000001</v>
      </c>
      <c r="V3150">
        <v>0.2036338</v>
      </c>
      <c r="W3150">
        <v>2.6774369999999999E-2</v>
      </c>
      <c r="X3150">
        <v>0.97868099999999902</v>
      </c>
      <c r="Y3150">
        <v>0.42461939999999998</v>
      </c>
      <c r="Z3150">
        <v>8.6018769999999994E-2</v>
      </c>
      <c r="AA3150">
        <v>0.90127639999999998</v>
      </c>
      <c r="AB3150">
        <v>22</v>
      </c>
      <c r="AC3150">
        <v>0.25130000000001401</v>
      </c>
      <c r="AD3150">
        <v>-1.0944251822340001</v>
      </c>
      <c r="AE3150">
        <v>-9.7496000000000098</v>
      </c>
      <c r="AF3150">
        <v>4.1673000145184096</v>
      </c>
      <c r="AG3150">
        <v>-1.0944251822340001</v>
      </c>
      <c r="AH3150">
        <v>8.6833420970256991</v>
      </c>
      <c r="AI3150">
        <v>96.482665446004404</v>
      </c>
      <c r="AJ3150">
        <v>64.362770717168004</v>
      </c>
      <c r="AK3150">
        <v>9.6935331981941406</v>
      </c>
    </row>
    <row r="3151" spans="1:37" x14ac:dyDescent="0.2">
      <c r="A3151" t="str">
        <f>"20200111160219407"</f>
        <v>20200111160219407</v>
      </c>
      <c r="B3151" t="str">
        <f>"1578729739395460"</f>
        <v>1578729739395460</v>
      </c>
      <c r="C3151" t="s">
        <v>37</v>
      </c>
      <c r="D3151">
        <v>5.1647280000000002</v>
      </c>
      <c r="E3151">
        <v>0.59561850000000005</v>
      </c>
      <c r="F3151" t="s">
        <v>38</v>
      </c>
      <c r="G3151">
        <v>-192.5728</v>
      </c>
      <c r="H3151" s="1">
        <v>-3.0733179999999999E-6</v>
      </c>
      <c r="I3151">
        <v>195.1574</v>
      </c>
      <c r="J3151">
        <v>-192.7097</v>
      </c>
      <c r="K3151">
        <v>1.0944739999999999</v>
      </c>
      <c r="L3151">
        <v>204.9836</v>
      </c>
      <c r="M3151">
        <v>0.44141359999999902</v>
      </c>
      <c r="N3151">
        <v>0</v>
      </c>
      <c r="O3151">
        <v>-0.89715679999999998</v>
      </c>
      <c r="P3151">
        <v>0.25242680000000001</v>
      </c>
      <c r="Q3151">
        <v>1.7515940000000001E-2</v>
      </c>
      <c r="R3151">
        <v>-0.96745769999999998</v>
      </c>
      <c r="S3151">
        <v>6.7321779999999998E-2</v>
      </c>
      <c r="T3151">
        <v>-0.33836679999999902</v>
      </c>
      <c r="U3151">
        <v>-3.099243</v>
      </c>
      <c r="V3151">
        <v>0.2013751</v>
      </c>
      <c r="W3151">
        <v>2.84541E-2</v>
      </c>
      <c r="X3151">
        <v>0.97910079999999999</v>
      </c>
      <c r="Y3151">
        <v>0.42184369999999999</v>
      </c>
      <c r="Z3151">
        <v>8.6794209999999997E-2</v>
      </c>
      <c r="AA3151">
        <v>0.90250469999999905</v>
      </c>
      <c r="AB3151">
        <v>22</v>
      </c>
      <c r="AC3151">
        <v>0.136899999999997</v>
      </c>
      <c r="AD3151">
        <v>-1.094477073318</v>
      </c>
      <c r="AE3151">
        <v>-9.8262</v>
      </c>
      <c r="AF3151">
        <v>4.1635096669863998</v>
      </c>
      <c r="AG3151">
        <v>-1.094477073318</v>
      </c>
      <c r="AH3151">
        <v>8.7684790210637509</v>
      </c>
      <c r="AI3151">
        <v>96.433168889121504</v>
      </c>
      <c r="AJ3151">
        <v>64.600374785922597</v>
      </c>
      <c r="AK3151">
        <v>9.7682607025991608</v>
      </c>
    </row>
    <row r="3152" spans="1:37" x14ac:dyDescent="0.2">
      <c r="A3152" t="str">
        <f>"20200111160219427"</f>
        <v>20200111160219427</v>
      </c>
      <c r="B3152" t="str">
        <f>"1578729739424739"</f>
        <v>1578729739424739</v>
      </c>
      <c r="C3152" t="s">
        <v>37</v>
      </c>
      <c r="D3152">
        <v>4.8727919999999996</v>
      </c>
      <c r="E3152">
        <v>0.60715229999999998</v>
      </c>
      <c r="F3152" t="s">
        <v>38</v>
      </c>
      <c r="G3152">
        <v>-192.57749999999999</v>
      </c>
      <c r="H3152" s="1">
        <v>-2.8092609999999999E-6</v>
      </c>
      <c r="I3152">
        <v>194.53890000000001</v>
      </c>
      <c r="J3152">
        <v>-192.63299999999899</v>
      </c>
      <c r="K3152">
        <v>1.0945320000000001</v>
      </c>
      <c r="L3152">
        <v>204.7869</v>
      </c>
      <c r="M3152">
        <v>0.42720279999999999</v>
      </c>
      <c r="N3152">
        <v>0</v>
      </c>
      <c r="O3152">
        <v>-0.90401010000000004</v>
      </c>
      <c r="P3152">
        <v>0.23970849999999999</v>
      </c>
      <c r="Q3152">
        <v>2.056322E-2</v>
      </c>
      <c r="R3152">
        <v>-0.97062739999999903</v>
      </c>
      <c r="S3152">
        <v>3.9184570000000002E-2</v>
      </c>
      <c r="T3152">
        <v>-0.32448389999999999</v>
      </c>
      <c r="U3152">
        <v>-3.0965729999999998</v>
      </c>
      <c r="V3152">
        <v>0.1988219</v>
      </c>
      <c r="W3152">
        <v>3.1586459999999997E-2</v>
      </c>
      <c r="X3152">
        <v>0.97952649999999997</v>
      </c>
      <c r="Y3152">
        <v>0.41572369999999997</v>
      </c>
      <c r="Z3152">
        <v>8.455116E-2</v>
      </c>
      <c r="AA3152">
        <v>0.90555229999999998</v>
      </c>
      <c r="AB3152">
        <v>22</v>
      </c>
      <c r="AC3152">
        <v>5.5499999999994998E-2</v>
      </c>
      <c r="AD3152">
        <v>-1.0945348092610001</v>
      </c>
      <c r="AE3152">
        <v>-10.2479999999999</v>
      </c>
      <c r="AF3152">
        <v>4.2795555252906299</v>
      </c>
      <c r="AG3152">
        <v>-1.0945348092610001</v>
      </c>
      <c r="AH3152">
        <v>9.1844628461889108</v>
      </c>
      <c r="AI3152">
        <v>96.165267379048103</v>
      </c>
      <c r="AJ3152">
        <v>65.016552334106194</v>
      </c>
      <c r="AK3152">
        <v>10.191514103201399</v>
      </c>
    </row>
    <row r="3153" spans="1:37" x14ac:dyDescent="0.2">
      <c r="A3153" t="str">
        <f>"20200111160219451"</f>
        <v>20200111160219451</v>
      </c>
      <c r="B3153" t="str">
        <f>"1578729739445235"</f>
        <v>1578729739445235</v>
      </c>
      <c r="C3153" t="s">
        <v>37</v>
      </c>
      <c r="D3153">
        <v>4.9154749999999998</v>
      </c>
      <c r="E3153">
        <v>0.60511870000000001</v>
      </c>
      <c r="F3153" t="s">
        <v>38</v>
      </c>
      <c r="G3153">
        <v>-193.16650000000001</v>
      </c>
      <c r="H3153" s="1">
        <v>-4.1976539999999996E-6</v>
      </c>
      <c r="I3153">
        <v>187.6712</v>
      </c>
      <c r="J3153">
        <v>-192.55260000000001</v>
      </c>
      <c r="K3153">
        <v>1.0945860000000001</v>
      </c>
      <c r="L3153">
        <v>204.5701</v>
      </c>
      <c r="M3153">
        <v>0.41152109999999897</v>
      </c>
      <c r="N3153">
        <v>0</v>
      </c>
      <c r="O3153">
        <v>-0.91125540000000005</v>
      </c>
      <c r="P3153">
        <v>0.22568640000000001</v>
      </c>
      <c r="Q3153">
        <v>2.3477419999999999E-2</v>
      </c>
      <c r="R3153">
        <v>-0.97391689999999997</v>
      </c>
      <c r="S3153">
        <v>-9.7228999999999996E-2</v>
      </c>
      <c r="T3153">
        <v>-0.19945940000000001</v>
      </c>
      <c r="U3153">
        <v>-3.11901899999999</v>
      </c>
      <c r="V3153">
        <v>0.19606460000000001</v>
      </c>
      <c r="W3153">
        <v>3.4591749999999998E-2</v>
      </c>
      <c r="X3153">
        <v>0.97998059999999998</v>
      </c>
      <c r="Y3153">
        <v>0.4396813</v>
      </c>
      <c r="Z3153">
        <v>5.2058849999999997E-2</v>
      </c>
      <c r="AA3153">
        <v>0.89664390000000005</v>
      </c>
      <c r="AB3153">
        <v>22</v>
      </c>
      <c r="AC3153">
        <v>-0.613900000000001</v>
      </c>
      <c r="AD3153">
        <v>-1.094590197654</v>
      </c>
      <c r="AE3153">
        <v>-16.898899999999902</v>
      </c>
      <c r="AF3153">
        <v>7.4833105026097897</v>
      </c>
      <c r="AG3153">
        <v>-1.094590197654</v>
      </c>
      <c r="AH3153">
        <v>15.0853730377116</v>
      </c>
      <c r="AI3153">
        <v>93.719073128829606</v>
      </c>
      <c r="AJ3153">
        <v>63.615645627751199</v>
      </c>
      <c r="AK3153">
        <v>16.875027213791</v>
      </c>
    </row>
    <row r="3154" spans="1:37" x14ac:dyDescent="0.2">
      <c r="A3154" t="str">
        <f>"20200111160219473"</f>
        <v>20200111160219473</v>
      </c>
      <c r="B3154" t="str">
        <f>"1578729739465264"</f>
        <v>1578729739465264</v>
      </c>
      <c r="C3154" t="s">
        <v>37</v>
      </c>
      <c r="D3154">
        <v>4.9487620000000003</v>
      </c>
      <c r="E3154">
        <v>0.60360619999999998</v>
      </c>
      <c r="F3154" t="s">
        <v>38</v>
      </c>
      <c r="G3154">
        <v>-193.35</v>
      </c>
      <c r="H3154" s="1">
        <v>-3.2242349999999999E-6</v>
      </c>
      <c r="I3154">
        <v>185.02709999999999</v>
      </c>
      <c r="J3154">
        <v>-192.47730000000001</v>
      </c>
      <c r="K3154">
        <v>1.0946469999999999</v>
      </c>
      <c r="L3154">
        <v>204.35499999999999</v>
      </c>
      <c r="M3154">
        <v>0.39595349999999901</v>
      </c>
      <c r="N3154">
        <v>0</v>
      </c>
      <c r="O3154">
        <v>-0.91812719999999903</v>
      </c>
      <c r="P3154">
        <v>0.21166179999999901</v>
      </c>
      <c r="Q3154">
        <v>2.502397E-2</v>
      </c>
      <c r="R3154">
        <v>-0.97702299999999997</v>
      </c>
      <c r="S3154">
        <v>-0.1270599</v>
      </c>
      <c r="T3154">
        <v>-0.17441419999999999</v>
      </c>
      <c r="U3154">
        <v>-3.1140289999999999</v>
      </c>
      <c r="V3154">
        <v>0.19349269999999999</v>
      </c>
      <c r="W3154">
        <v>3.6223419999999999E-2</v>
      </c>
      <c r="X3154">
        <v>0.98043279999999999</v>
      </c>
      <c r="Y3154">
        <v>0.4330331</v>
      </c>
      <c r="Z3154">
        <v>4.6271090000000001E-2</v>
      </c>
      <c r="AA3154">
        <v>0.90018960000000003</v>
      </c>
      <c r="AB3154">
        <v>22</v>
      </c>
      <c r="AC3154">
        <v>-0.87269999999998005</v>
      </c>
      <c r="AD3154">
        <v>-1.094650224235</v>
      </c>
      <c r="AE3154">
        <v>-19.3279</v>
      </c>
      <c r="AF3154">
        <v>8.4283325609797792</v>
      </c>
      <c r="AG3154">
        <v>-1.094650224235</v>
      </c>
      <c r="AH3154">
        <v>17.3466848122637</v>
      </c>
      <c r="AI3154">
        <v>93.248578339345499</v>
      </c>
      <c r="AJ3154">
        <v>64.086009664532</v>
      </c>
      <c r="AK3154">
        <v>19.316897340098599</v>
      </c>
    </row>
    <row r="3155" spans="1:37" x14ac:dyDescent="0.2">
      <c r="A3155" t="str">
        <f>"20200111160219495"</f>
        <v>20200111160219495</v>
      </c>
      <c r="B3155" t="str">
        <f>"1578729739484784"</f>
        <v>1578729739484784</v>
      </c>
      <c r="C3155" t="s">
        <v>37</v>
      </c>
      <c r="D3155">
        <v>4.986154</v>
      </c>
      <c r="E3155">
        <v>0.60255749999999997</v>
      </c>
      <c r="F3155" t="s">
        <v>38</v>
      </c>
      <c r="G3155">
        <v>-193.55840000000001</v>
      </c>
      <c r="H3155" s="1">
        <v>-2.58326199999999E-6</v>
      </c>
      <c r="I3155">
        <v>183.40369999999999</v>
      </c>
      <c r="J3155">
        <v>-192.405</v>
      </c>
      <c r="K3155">
        <v>1.09470499999999</v>
      </c>
      <c r="L3155">
        <v>204.13679999999999</v>
      </c>
      <c r="M3155">
        <v>0.38014530000000002</v>
      </c>
      <c r="N3155">
        <v>0</v>
      </c>
      <c r="O3155">
        <v>-0.92478439999999995</v>
      </c>
      <c r="P3155">
        <v>0.19827039999999899</v>
      </c>
      <c r="Q3155">
        <v>2.547133E-2</v>
      </c>
      <c r="R3155">
        <v>-0.97981629999999997</v>
      </c>
      <c r="S3155">
        <v>-0.16044620000000001</v>
      </c>
      <c r="T3155">
        <v>-0.16246150000000001</v>
      </c>
      <c r="U3155">
        <v>-3.109467</v>
      </c>
      <c r="V3155">
        <v>0.1900917</v>
      </c>
      <c r="W3155">
        <v>3.6778079999999998E-2</v>
      </c>
      <c r="X3155">
        <v>0.98107719999999898</v>
      </c>
      <c r="Y3155">
        <v>0.427272599999999</v>
      </c>
      <c r="Z3155">
        <v>4.3750999999999998E-2</v>
      </c>
      <c r="AA3155">
        <v>0.90306369999999903</v>
      </c>
      <c r="AB3155">
        <v>22</v>
      </c>
      <c r="AC3155">
        <v>-1.1534</v>
      </c>
      <c r="AD3155">
        <v>-1.0947075832619999</v>
      </c>
      <c r="AE3155">
        <v>-20.7331</v>
      </c>
      <c r="AF3155">
        <v>8.92461177946082</v>
      </c>
      <c r="AG3155">
        <v>-1.0947075832619999</v>
      </c>
      <c r="AH3155">
        <v>18.685723354004399</v>
      </c>
      <c r="AI3155">
        <v>93.026124392342297</v>
      </c>
      <c r="AJ3155">
        <v>64.470084312418393</v>
      </c>
      <c r="AK3155">
        <v>20.736521824291799</v>
      </c>
    </row>
    <row r="3156" spans="1:37" x14ac:dyDescent="0.2">
      <c r="A3156" t="str">
        <f>"20200111160219516"</f>
        <v>20200111160219516</v>
      </c>
      <c r="B3156" t="str">
        <f>"1578729739515040"</f>
        <v>1578729739515040</v>
      </c>
      <c r="C3156" t="s">
        <v>37</v>
      </c>
      <c r="D3156">
        <v>4.9482160000000004</v>
      </c>
      <c r="E3156">
        <v>0.58961059999999998</v>
      </c>
      <c r="F3156" t="s">
        <v>38</v>
      </c>
      <c r="G3156">
        <v>-193.74520000000001</v>
      </c>
      <c r="H3156" s="1">
        <v>-2.3726310000000002E-6</v>
      </c>
      <c r="I3156">
        <v>182.79689999999999</v>
      </c>
      <c r="J3156">
        <v>-192.3391</v>
      </c>
      <c r="K3156">
        <v>1.0947709999999999</v>
      </c>
      <c r="L3156">
        <v>203.92609999999999</v>
      </c>
      <c r="M3156">
        <v>0.3648863</v>
      </c>
      <c r="N3156">
        <v>0</v>
      </c>
      <c r="O3156">
        <v>-0.93091089999999999</v>
      </c>
      <c r="P3156">
        <v>0.18639829999999999</v>
      </c>
      <c r="Q3156">
        <v>2.6864039999999999E-2</v>
      </c>
      <c r="R3156">
        <v>-0.98210730000000002</v>
      </c>
      <c r="S3156">
        <v>-0.19502259999999999</v>
      </c>
      <c r="T3156">
        <v>-0.159304</v>
      </c>
      <c r="U3156">
        <v>-3.105423</v>
      </c>
      <c r="V3156">
        <v>0.18584349999999999</v>
      </c>
      <c r="W3156">
        <v>3.8299079999999999E-2</v>
      </c>
      <c r="X3156">
        <v>0.981832699999999</v>
      </c>
      <c r="Y3156">
        <v>0.42248479999999999</v>
      </c>
      <c r="Z3156">
        <v>4.347115E-2</v>
      </c>
      <c r="AA3156">
        <v>0.90532690000000005</v>
      </c>
      <c r="AB3156">
        <v>22</v>
      </c>
      <c r="AC3156">
        <v>-1.4060999999999999</v>
      </c>
      <c r="AD3156">
        <v>-1.0947733726309901</v>
      </c>
      <c r="AE3156">
        <v>-21.129200000000001</v>
      </c>
      <c r="AF3156">
        <v>8.9958511644699808</v>
      </c>
      <c r="AG3156">
        <v>-1.0947733726309901</v>
      </c>
      <c r="AH3156">
        <v>19.1077834999302</v>
      </c>
      <c r="AI3156">
        <v>92.967392203293301</v>
      </c>
      <c r="AJ3156">
        <v>64.789172756403104</v>
      </c>
      <c r="AK3156">
        <v>21.1478428495892</v>
      </c>
    </row>
    <row r="3157" spans="1:37" x14ac:dyDescent="0.2">
      <c r="A3157" t="str">
        <f>"20200111160219539"</f>
        <v>20200111160219539</v>
      </c>
      <c r="B3157" t="str">
        <f>"1578729739535535"</f>
        <v>1578729739535535</v>
      </c>
      <c r="C3157" t="s">
        <v>37</v>
      </c>
      <c r="D3157">
        <v>5.0843930000000004</v>
      </c>
      <c r="E3157">
        <v>0.58895679999999995</v>
      </c>
      <c r="F3157" t="s">
        <v>38</v>
      </c>
      <c r="G3157">
        <v>-193.23910000000001</v>
      </c>
      <c r="H3157" s="1">
        <v>-2.188106E-6</v>
      </c>
      <c r="I3157">
        <v>182.6806</v>
      </c>
      <c r="J3157">
        <v>-192.27690000000001</v>
      </c>
      <c r="K3157">
        <v>1.094841</v>
      </c>
      <c r="L3157">
        <v>203.71559999999999</v>
      </c>
      <c r="M3157">
        <v>0.34964669999999998</v>
      </c>
      <c r="N3157">
        <v>0</v>
      </c>
      <c r="O3157">
        <v>-0.93674159999999995</v>
      </c>
      <c r="P3157">
        <v>0.17446010000000001</v>
      </c>
      <c r="Q3157">
        <v>2.9007729999999999E-2</v>
      </c>
      <c r="R3157">
        <v>-0.98423709999999898</v>
      </c>
      <c r="S3157">
        <v>-0.13064580000000001</v>
      </c>
      <c r="T3157">
        <v>-0.1589072</v>
      </c>
      <c r="U3157">
        <v>-3.0838009999999998</v>
      </c>
      <c r="V3157">
        <v>0.18176400000000001</v>
      </c>
      <c r="W3157">
        <v>4.0566579999999998E-2</v>
      </c>
      <c r="X3157">
        <v>0.98250509999999902</v>
      </c>
      <c r="Y3157">
        <v>0.388970599999999</v>
      </c>
      <c r="Z3157">
        <v>4.4531019999999998E-2</v>
      </c>
      <c r="AA3157">
        <v>0.92017329999999997</v>
      </c>
      <c r="AB3157">
        <v>22</v>
      </c>
      <c r="AC3157">
        <v>-0.96219999999999495</v>
      </c>
      <c r="AD3157">
        <v>-1.0948431881059999</v>
      </c>
      <c r="AE3157">
        <v>-21.035</v>
      </c>
      <c r="AF3157">
        <v>8.2349718967352299</v>
      </c>
      <c r="AG3157">
        <v>-1.0948431881059999</v>
      </c>
      <c r="AH3157">
        <v>19.318245653450099</v>
      </c>
      <c r="AI3157">
        <v>92.984404092948495</v>
      </c>
      <c r="AJ3157">
        <v>66.912442920631904</v>
      </c>
      <c r="AK3157">
        <v>21.0287436351677</v>
      </c>
    </row>
    <row r="3158" spans="1:37" x14ac:dyDescent="0.2">
      <c r="A3158" t="str">
        <f>"20200111160219562"</f>
        <v>20200111160219562</v>
      </c>
      <c r="B3158" t="str">
        <f>"1578729739555055"</f>
        <v>1578729739555055</v>
      </c>
      <c r="C3158" t="s">
        <v>37</v>
      </c>
      <c r="D3158">
        <v>5.0750070000000003</v>
      </c>
      <c r="E3158">
        <v>0.57670779999999999</v>
      </c>
      <c r="F3158" t="s">
        <v>38</v>
      </c>
      <c r="G3158">
        <v>-193.4006</v>
      </c>
      <c r="H3158" s="1">
        <v>-2.0813409999999999E-6</v>
      </c>
      <c r="I3158">
        <v>182.33160000000001</v>
      </c>
      <c r="J3158">
        <v>-192.21360000000001</v>
      </c>
      <c r="K3158">
        <v>1.094935</v>
      </c>
      <c r="L3158">
        <v>203.48750000000001</v>
      </c>
      <c r="M3158">
        <v>0.33318140000000002</v>
      </c>
      <c r="N3158">
        <v>0</v>
      </c>
      <c r="O3158">
        <v>-0.94272420000000001</v>
      </c>
      <c r="P3158">
        <v>0.16253889999999999</v>
      </c>
      <c r="Q3158">
        <v>3.0622659999999999E-2</v>
      </c>
      <c r="R3158">
        <v>-0.98622719999999897</v>
      </c>
      <c r="S3158">
        <v>-0.1619263</v>
      </c>
      <c r="T3158">
        <v>-0.15776679999999901</v>
      </c>
      <c r="U3158">
        <v>-3.08142099999999</v>
      </c>
      <c r="V3158">
        <v>0.1764473</v>
      </c>
      <c r="W3158">
        <v>4.2338889999999997E-2</v>
      </c>
      <c r="X3158">
        <v>0.98339909999999997</v>
      </c>
      <c r="Y3158">
        <v>0.38217079999999998</v>
      </c>
      <c r="Z3158">
        <v>4.4765760000000002E-2</v>
      </c>
      <c r="AA3158">
        <v>0.92300680000000002</v>
      </c>
      <c r="AB3158">
        <v>22</v>
      </c>
      <c r="AC3158">
        <v>-1.1869999999999801</v>
      </c>
      <c r="AD3158">
        <v>-1.094937081341</v>
      </c>
      <c r="AE3158">
        <v>-21.155899999999999</v>
      </c>
      <c r="AF3158">
        <v>8.1470784233277094</v>
      </c>
      <c r="AG3158">
        <v>-1.094937081341</v>
      </c>
      <c r="AH3158">
        <v>19.4991790191349</v>
      </c>
      <c r="AI3158">
        <v>92.965976675958302</v>
      </c>
      <c r="AJ3158">
        <v>67.324023798359505</v>
      </c>
      <c r="AK3158">
        <v>21.1610906256794</v>
      </c>
    </row>
    <row r="3159" spans="1:37" x14ac:dyDescent="0.2">
      <c r="A3159" t="str">
        <f>"20200111160219585"</f>
        <v>20200111160219585</v>
      </c>
      <c r="B3159" t="str">
        <f>"1578729739575552"</f>
        <v>1578729739575552</v>
      </c>
      <c r="C3159" t="s">
        <v>37</v>
      </c>
      <c r="D3159">
        <v>5.0789279999999897</v>
      </c>
      <c r="E3159">
        <v>0.57574289999999995</v>
      </c>
      <c r="F3159" t="s">
        <v>38</v>
      </c>
      <c r="G3159">
        <v>-192.7276</v>
      </c>
      <c r="H3159" s="1">
        <v>-4.0540699999999901E-6</v>
      </c>
      <c r="I3159">
        <v>187.47810000000001</v>
      </c>
      <c r="J3159">
        <v>-192.15719999999999</v>
      </c>
      <c r="K3159">
        <v>1.0950439999999999</v>
      </c>
      <c r="L3159">
        <v>203.2704</v>
      </c>
      <c r="M3159">
        <v>0.31756329999999999</v>
      </c>
      <c r="N3159">
        <v>0</v>
      </c>
      <c r="O3159">
        <v>-0.94809940000000004</v>
      </c>
      <c r="P3159">
        <v>0.1537251</v>
      </c>
      <c r="Q3159">
        <v>3.1885999999999998E-2</v>
      </c>
      <c r="R3159">
        <v>-0.98759920000000001</v>
      </c>
      <c r="S3159">
        <v>-9.8403930000000001E-2</v>
      </c>
      <c r="T3159">
        <v>-0.2095976</v>
      </c>
      <c r="U3159">
        <v>-3.0645899999999999</v>
      </c>
      <c r="V3159">
        <v>0.1689841</v>
      </c>
      <c r="W3159">
        <v>4.3815229999999997E-2</v>
      </c>
      <c r="X3159">
        <v>0.98464439999999998</v>
      </c>
      <c r="Y3159">
        <v>0.3477867</v>
      </c>
      <c r="Z3159">
        <v>6.0783570000000002E-2</v>
      </c>
      <c r="AA3159">
        <v>0.93560129999999997</v>
      </c>
      <c r="AB3159">
        <v>22</v>
      </c>
      <c r="AC3159">
        <v>-0.57040000000000601</v>
      </c>
      <c r="AD3159">
        <v>-1.0950480540700001</v>
      </c>
      <c r="AE3159">
        <v>-15.7922999999999</v>
      </c>
      <c r="AF3159">
        <v>5.5300218142969504</v>
      </c>
      <c r="AG3159">
        <v>-1.0950480540700001</v>
      </c>
      <c r="AH3159">
        <v>14.722766653276301</v>
      </c>
      <c r="AI3159">
        <v>93.9829732768074</v>
      </c>
      <c r="AJ3159">
        <v>69.413307754633195</v>
      </c>
      <c r="AK3159">
        <v>15.765155547413601</v>
      </c>
    </row>
    <row r="3160" spans="1:37" x14ac:dyDescent="0.2">
      <c r="A3160" t="str">
        <f>"20200111160219606"</f>
        <v>20200111160219606</v>
      </c>
      <c r="B3160" t="str">
        <f>"1578729739595071"</f>
        <v>1578729739595071</v>
      </c>
      <c r="C3160" t="s">
        <v>37</v>
      </c>
      <c r="D3160">
        <v>5.254257</v>
      </c>
      <c r="E3160">
        <v>0.57573969999999997</v>
      </c>
      <c r="F3160" t="s">
        <v>38</v>
      </c>
      <c r="G3160">
        <v>-192.7783</v>
      </c>
      <c r="H3160" s="1">
        <v>-3.9366459999999997E-6</v>
      </c>
      <c r="I3160">
        <v>187.10659999999999</v>
      </c>
      <c r="J3160">
        <v>-192.10759999999999</v>
      </c>
      <c r="K3160">
        <v>1.0951469999999901</v>
      </c>
      <c r="L3160">
        <v>203.06649999999999</v>
      </c>
      <c r="M3160">
        <v>0.30298259999999899</v>
      </c>
      <c r="N3160">
        <v>0</v>
      </c>
      <c r="O3160">
        <v>-0.95285959999999903</v>
      </c>
      <c r="P3160">
        <v>0.14691989999999999</v>
      </c>
      <c r="Q3160">
        <v>3.2042420000000002E-2</v>
      </c>
      <c r="R3160">
        <v>-0.98862919999999999</v>
      </c>
      <c r="S3160">
        <v>-0.117691</v>
      </c>
      <c r="T3160">
        <v>-0.20748820000000001</v>
      </c>
      <c r="U3160">
        <v>-3.0626829999999998</v>
      </c>
      <c r="V3160">
        <v>0.16064229999999999</v>
      </c>
      <c r="W3160">
        <v>4.4204439999999998E-2</v>
      </c>
      <c r="X3160">
        <v>0.98602230000000002</v>
      </c>
      <c r="Y3160">
        <v>0.33929680000000001</v>
      </c>
      <c r="Z3160">
        <v>6.0791850000000001E-2</v>
      </c>
      <c r="AA3160">
        <v>0.93871299999999902</v>
      </c>
      <c r="AB3160">
        <v>22</v>
      </c>
      <c r="AC3160">
        <v>-0.67070000000000995</v>
      </c>
      <c r="AD3160">
        <v>-1.0951509366459999</v>
      </c>
      <c r="AE3160">
        <v>-15.959899999999999</v>
      </c>
      <c r="AF3160">
        <v>5.4497519043551597</v>
      </c>
      <c r="AG3160">
        <v>-1.0951509366459999</v>
      </c>
      <c r="AH3160">
        <v>14.936082016149401</v>
      </c>
      <c r="AI3160">
        <v>93.9403461383354</v>
      </c>
      <c r="AJ3160">
        <v>69.9544108254766</v>
      </c>
      <c r="AK3160">
        <v>15.9369287312895</v>
      </c>
    </row>
    <row r="3161" spans="1:37" x14ac:dyDescent="0.2">
      <c r="A3161" t="str">
        <f>"20200111160219628"</f>
        <v>20200111160219628</v>
      </c>
      <c r="B3161" t="str">
        <f>"1578729739625327"</f>
        <v>1578729739625327</v>
      </c>
      <c r="C3161" t="s">
        <v>37</v>
      </c>
      <c r="D3161">
        <v>5.1687769999999897</v>
      </c>
      <c r="E3161">
        <v>0.56311230000000001</v>
      </c>
      <c r="F3161" t="s">
        <v>38</v>
      </c>
      <c r="G3161">
        <v>-192.851</v>
      </c>
      <c r="H3161" s="1">
        <v>-3.803657E-6</v>
      </c>
      <c r="I3161">
        <v>186.68729999999999</v>
      </c>
      <c r="J3161">
        <v>-192.0583</v>
      </c>
      <c r="K3161">
        <v>1.095264</v>
      </c>
      <c r="L3161">
        <v>202.84960000000001</v>
      </c>
      <c r="M3161">
        <v>0.2875876</v>
      </c>
      <c r="N3161">
        <v>0</v>
      </c>
      <c r="O3161">
        <v>-0.957619199999999</v>
      </c>
      <c r="P3161">
        <v>0.13923940000000001</v>
      </c>
      <c r="Q3161">
        <v>3.0250099999999999E-2</v>
      </c>
      <c r="R3161">
        <v>-0.98979680000000003</v>
      </c>
      <c r="S3161">
        <v>-0.1389618</v>
      </c>
      <c r="T3161">
        <v>-0.20471809999999999</v>
      </c>
      <c r="U3161">
        <v>-3.0617830000000001</v>
      </c>
      <c r="V3161">
        <v>0.15235879999999999</v>
      </c>
      <c r="W3161">
        <v>4.264093E-2</v>
      </c>
      <c r="X3161">
        <v>0.98740490000000003</v>
      </c>
      <c r="Y3161">
        <v>0.33064709999999897</v>
      </c>
      <c r="Z3161">
        <v>6.0570800000000001E-2</v>
      </c>
      <c r="AA3161">
        <v>0.94180869999999905</v>
      </c>
      <c r="AB3161">
        <v>22</v>
      </c>
      <c r="AC3161">
        <v>-0.79269999999999596</v>
      </c>
      <c r="AD3161">
        <v>-1.095267803657</v>
      </c>
      <c r="AE3161">
        <v>-16.162299999999998</v>
      </c>
      <c r="AF3161">
        <v>5.3832194767536699</v>
      </c>
      <c r="AG3161">
        <v>-1.095267803657</v>
      </c>
      <c r="AH3161">
        <v>15.181779434740299</v>
      </c>
      <c r="AI3161">
        <v>93.889870953001093</v>
      </c>
      <c r="AJ3161">
        <v>70.476296478471198</v>
      </c>
      <c r="AK3161">
        <v>16.145125899222101</v>
      </c>
    </row>
    <row r="3162" spans="1:37" x14ac:dyDescent="0.2">
      <c r="A3162" t="str">
        <f>"20200111160219652"</f>
        <v>20200111160219652</v>
      </c>
      <c r="B3162" t="str">
        <f>"1578729739644848"</f>
        <v>1578729739644848</v>
      </c>
      <c r="C3162" t="s">
        <v>37</v>
      </c>
      <c r="D3162">
        <v>4.9830230000000002</v>
      </c>
      <c r="E3162">
        <v>0.56429010000000002</v>
      </c>
      <c r="F3162" t="s">
        <v>38</v>
      </c>
      <c r="G3162">
        <v>-192.37520000000001</v>
      </c>
      <c r="H3162" s="1">
        <v>-3.9583779999999999E-6</v>
      </c>
      <c r="I3162">
        <v>187.38059999999999</v>
      </c>
      <c r="J3162">
        <v>-192.0103</v>
      </c>
      <c r="K3162">
        <v>1.0954250000000001</v>
      </c>
      <c r="L3162">
        <v>202.62129999999999</v>
      </c>
      <c r="M3162">
        <v>0.2715574</v>
      </c>
      <c r="N3162">
        <v>0</v>
      </c>
      <c r="O3162">
        <v>-0.96228860000000005</v>
      </c>
      <c r="P3162">
        <v>0.13025049999999999</v>
      </c>
      <c r="Q3162">
        <v>2.9190819999999999E-2</v>
      </c>
      <c r="R3162">
        <v>-0.99105140000000003</v>
      </c>
      <c r="S3162">
        <v>-6.242371E-2</v>
      </c>
      <c r="T3162">
        <v>-0.215689399999999</v>
      </c>
      <c r="U3162">
        <v>-3.0462950000000002</v>
      </c>
      <c r="V3162">
        <v>0.1447917</v>
      </c>
      <c r="W3162">
        <v>4.1786249999999997E-2</v>
      </c>
      <c r="X3162">
        <v>0.9885794</v>
      </c>
      <c r="Y3162">
        <v>0.29119259999999902</v>
      </c>
      <c r="Z3162">
        <v>6.5107129999999999E-2</v>
      </c>
      <c r="AA3162">
        <v>0.95444640000000003</v>
      </c>
      <c r="AB3162">
        <v>22</v>
      </c>
      <c r="AC3162">
        <v>-0.364900000000005</v>
      </c>
      <c r="AD3162">
        <v>-1.0954289583779999</v>
      </c>
      <c r="AE3162">
        <v>-15.2407</v>
      </c>
      <c r="AF3162">
        <v>4.4673760827650604</v>
      </c>
      <c r="AG3162">
        <v>-1.0954289583779999</v>
      </c>
      <c r="AH3162">
        <v>14.493901119945299</v>
      </c>
      <c r="AI3162">
        <v>94.131050993302793</v>
      </c>
      <c r="AJ3162">
        <v>72.869417632523394</v>
      </c>
      <c r="AK3162">
        <v>15.2062678965769</v>
      </c>
    </row>
    <row r="3163" spans="1:37" x14ac:dyDescent="0.2">
      <c r="A3163" t="str">
        <f>"20200111160219675"</f>
        <v>20200111160219675</v>
      </c>
      <c r="B3163" t="str">
        <f>"1578729739665343"</f>
        <v>1578729739665343</v>
      </c>
      <c r="C3163" t="s">
        <v>37</v>
      </c>
      <c r="D3163">
        <v>5.0108489999999897</v>
      </c>
      <c r="E3163">
        <v>0.56401869999999998</v>
      </c>
      <c r="F3163" t="s">
        <v>38</v>
      </c>
      <c r="G3163">
        <v>-192.49619999999999</v>
      </c>
      <c r="H3163" s="1">
        <v>-4.0536749999999998E-6</v>
      </c>
      <c r="I3163">
        <v>187.5976</v>
      </c>
      <c r="J3163">
        <v>-191.96690000000001</v>
      </c>
      <c r="K3163">
        <v>1.0956219999999901</v>
      </c>
      <c r="L3163">
        <v>202.39709999999999</v>
      </c>
      <c r="M3163">
        <v>0.2560074</v>
      </c>
      <c r="N3163">
        <v>0</v>
      </c>
      <c r="O3163">
        <v>-0.96654259999999903</v>
      </c>
      <c r="P3163">
        <v>0.1212303</v>
      </c>
      <c r="Q3163">
        <v>2.9709889999999999E-2</v>
      </c>
      <c r="R3163">
        <v>-0.992179699999999</v>
      </c>
      <c r="S3163">
        <v>-9.8526000000000002E-2</v>
      </c>
      <c r="T3163">
        <v>-0.222136</v>
      </c>
      <c r="U3163">
        <v>-3.0465849999999999</v>
      </c>
      <c r="V3163">
        <v>0.13782729999999899</v>
      </c>
      <c r="W3163">
        <v>4.2486099999999999E-2</v>
      </c>
      <c r="X3163">
        <v>0.9895446</v>
      </c>
      <c r="Y3163">
        <v>0.28706100000000001</v>
      </c>
      <c r="Z3163">
        <v>6.7533830000000003E-2</v>
      </c>
      <c r="AA3163">
        <v>0.95552870000000001</v>
      </c>
      <c r="AB3163">
        <v>22</v>
      </c>
      <c r="AC3163">
        <v>-0.52929999999997701</v>
      </c>
      <c r="AD3163">
        <v>-1.09562605367499</v>
      </c>
      <c r="AE3163">
        <v>-14.799499999999901</v>
      </c>
      <c r="AF3163">
        <v>4.27750873528566</v>
      </c>
      <c r="AG3163">
        <v>-1.09562605367499</v>
      </c>
      <c r="AH3163">
        <v>14.093511044410601</v>
      </c>
      <c r="AI3163">
        <v>94.254336853840201</v>
      </c>
      <c r="AJ3163">
        <v>73.116479201453302</v>
      </c>
      <c r="AK3163">
        <v>14.769039609563601</v>
      </c>
    </row>
    <row r="3164" spans="1:37" x14ac:dyDescent="0.2">
      <c r="A3164" t="str">
        <f>"20200111160219695"</f>
        <v>20200111160219695</v>
      </c>
      <c r="B3164" t="str">
        <f>"1578729739684863"</f>
        <v>1578729739684863</v>
      </c>
      <c r="C3164" t="s">
        <v>37</v>
      </c>
      <c r="D3164">
        <v>5.1107059999999898</v>
      </c>
      <c r="E3164">
        <v>0.55349689999999996</v>
      </c>
      <c r="F3164" t="s">
        <v>38</v>
      </c>
      <c r="G3164">
        <v>-192.5652</v>
      </c>
      <c r="H3164" s="1">
        <v>-4.0595559999999997E-6</v>
      </c>
      <c r="I3164">
        <v>187.5789</v>
      </c>
      <c r="J3164">
        <v>-191.9307</v>
      </c>
      <c r="K3164">
        <v>1.095793</v>
      </c>
      <c r="L3164">
        <v>202.19540000000001</v>
      </c>
      <c r="M3164">
        <v>0.24216299999999999</v>
      </c>
      <c r="N3164">
        <v>0</v>
      </c>
      <c r="O3164">
        <v>-0.97010469999999904</v>
      </c>
      <c r="P3164">
        <v>0.1131422</v>
      </c>
      <c r="Q3164">
        <v>3.0990299999999998E-2</v>
      </c>
      <c r="R3164">
        <v>-0.99309530000000001</v>
      </c>
      <c r="S3164">
        <v>-0.1229706</v>
      </c>
      <c r="T3164">
        <v>-0.22516910000000001</v>
      </c>
      <c r="U3164">
        <v>-3.0453950000000001</v>
      </c>
      <c r="V3164">
        <v>0.13173869999999999</v>
      </c>
      <c r="W3164">
        <v>4.3915280000000001E-2</v>
      </c>
      <c r="X3164">
        <v>0.99031130000000001</v>
      </c>
      <c r="Y3164">
        <v>0.28102939999999998</v>
      </c>
      <c r="Z3164">
        <v>6.8926669999999995E-2</v>
      </c>
      <c r="AA3164">
        <v>0.95722079999999998</v>
      </c>
      <c r="AB3164">
        <v>22</v>
      </c>
      <c r="AC3164">
        <v>-0.63450000000000195</v>
      </c>
      <c r="AD3164">
        <v>-1.095797059556</v>
      </c>
      <c r="AE3164">
        <v>-14.6165</v>
      </c>
      <c r="AF3164">
        <v>4.1324519403962396</v>
      </c>
      <c r="AG3164">
        <v>-1.095797059556</v>
      </c>
      <c r="AH3164">
        <v>13.9494092927564</v>
      </c>
      <c r="AI3164">
        <v>94.307356949790304</v>
      </c>
      <c r="AJ3164">
        <v>73.498305836238103</v>
      </c>
      <c r="AK3164">
        <v>14.5898577735444</v>
      </c>
    </row>
    <row r="3165" spans="1:37" x14ac:dyDescent="0.2">
      <c r="A3165" t="str">
        <f>"20200111160219718"</f>
        <v>20200111160219718</v>
      </c>
      <c r="B3165" t="str">
        <f>"1578729739715120"</f>
        <v>1578729739715120</v>
      </c>
      <c r="C3165" t="s">
        <v>37</v>
      </c>
      <c r="D3165">
        <v>5.2894709999999998</v>
      </c>
      <c r="E3165">
        <v>0.53898840000000003</v>
      </c>
      <c r="F3165" t="s">
        <v>38</v>
      </c>
      <c r="G3165">
        <v>-192.2124</v>
      </c>
      <c r="H3165" s="1">
        <v>-4.293951E-6</v>
      </c>
      <c r="I3165">
        <v>188.45160000000001</v>
      </c>
      <c r="J3165">
        <v>-191.8947</v>
      </c>
      <c r="K3165">
        <v>1.095985</v>
      </c>
      <c r="L3165">
        <v>201.97720000000001</v>
      </c>
      <c r="M3165">
        <v>0.22738409999999901</v>
      </c>
      <c r="N3165">
        <v>0</v>
      </c>
      <c r="O3165">
        <v>-0.97367569999999903</v>
      </c>
      <c r="P3165">
        <v>0.10400180000000001</v>
      </c>
      <c r="Q3165">
        <v>3.1905410000000002E-2</v>
      </c>
      <c r="R3165">
        <v>-0.99406530000000004</v>
      </c>
      <c r="S3165">
        <v>-6.2210080000000001E-2</v>
      </c>
      <c r="T3165">
        <v>-0.24202199999999999</v>
      </c>
      <c r="U3165">
        <v>-3.035507</v>
      </c>
      <c r="V3165">
        <v>0.1257789</v>
      </c>
      <c r="W3165">
        <v>4.4969000000000002E-2</v>
      </c>
      <c r="X3165">
        <v>0.99103859999999999</v>
      </c>
      <c r="Y3165">
        <v>0.2472472</v>
      </c>
      <c r="Z3165">
        <v>7.5113340000000001E-2</v>
      </c>
      <c r="AA3165">
        <v>0.96603660000000002</v>
      </c>
      <c r="AB3165">
        <v>22</v>
      </c>
      <c r="AC3165">
        <v>-0.31770000000000198</v>
      </c>
      <c r="AD3165">
        <v>-1.0959892939510001</v>
      </c>
      <c r="AE3165">
        <v>-13.525599999999899</v>
      </c>
      <c r="AF3165">
        <v>3.36319937446879</v>
      </c>
      <c r="AG3165">
        <v>-1.0959892939510001</v>
      </c>
      <c r="AH3165">
        <v>13.013559708707399</v>
      </c>
      <c r="AI3165">
        <v>94.661584616187895</v>
      </c>
      <c r="AJ3165">
        <v>75.509640546948503</v>
      </c>
      <c r="AK3165">
        <v>13.485734642835499</v>
      </c>
    </row>
    <row r="3166" spans="1:37" x14ac:dyDescent="0.2">
      <c r="A3166" t="str">
        <f>"20200111160219740"</f>
        <v>20200111160219740</v>
      </c>
      <c r="B3166" t="str">
        <f>"1578729739735617"</f>
        <v>1578729739735617</v>
      </c>
      <c r="C3166" t="s">
        <v>37</v>
      </c>
      <c r="D3166">
        <v>5.1014200000000001</v>
      </c>
      <c r="E3166">
        <v>0.5377014</v>
      </c>
      <c r="F3166" t="s">
        <v>38</v>
      </c>
      <c r="G3166">
        <v>-191.77619999999999</v>
      </c>
      <c r="H3166" s="1">
        <v>-4.4877609999999996E-6</v>
      </c>
      <c r="I3166">
        <v>189.24850000000001</v>
      </c>
      <c r="J3166">
        <v>-191.86179999999999</v>
      </c>
      <c r="K3166">
        <v>1.096187</v>
      </c>
      <c r="L3166">
        <v>201.7593</v>
      </c>
      <c r="M3166">
        <v>0.21284710000000001</v>
      </c>
      <c r="N3166">
        <v>0</v>
      </c>
      <c r="O3166">
        <v>-0.97695730000000003</v>
      </c>
      <c r="P3166">
        <v>9.4214450000000005E-2</v>
      </c>
      <c r="Q3166">
        <v>3.2765540000000003E-2</v>
      </c>
      <c r="R3166">
        <v>-0.99501260000000002</v>
      </c>
      <c r="S3166">
        <v>2.8152469999999999E-2</v>
      </c>
      <c r="T3166">
        <v>-0.26031739999999998</v>
      </c>
      <c r="U3166">
        <v>-3.0233150000000002</v>
      </c>
      <c r="V3166">
        <v>0.12074799999999999</v>
      </c>
      <c r="W3166">
        <v>4.5939319999999999E-2</v>
      </c>
      <c r="X3166">
        <v>0.99161960000000005</v>
      </c>
      <c r="Y3166">
        <v>0.20379029999999901</v>
      </c>
      <c r="Z3166">
        <v>8.1939349999999994E-2</v>
      </c>
      <c r="AA3166">
        <v>0.97557959999999999</v>
      </c>
      <c r="AB3166">
        <v>21</v>
      </c>
      <c r="AC3166">
        <v>8.5599999999999399E-2</v>
      </c>
      <c r="AD3166">
        <v>-1.0961914877609999</v>
      </c>
      <c r="AE3166">
        <v>-12.5107999999999</v>
      </c>
      <c r="AF3166">
        <v>2.5599309518056002</v>
      </c>
      <c r="AG3166">
        <v>-1.0961914877609999</v>
      </c>
      <c r="AH3166">
        <v>12.149004884356399</v>
      </c>
      <c r="AI3166">
        <v>95.045572094838306</v>
      </c>
      <c r="AJ3166">
        <v>78.101200842243003</v>
      </c>
      <c r="AK3166">
        <v>12.4640764574022</v>
      </c>
    </row>
    <row r="3167" spans="1:37" x14ac:dyDescent="0.2">
      <c r="A3167" t="str">
        <f>"20200111160219763"</f>
        <v>20200111160219763</v>
      </c>
      <c r="B3167" t="str">
        <f>"1578729739755137"</f>
        <v>1578729739755137</v>
      </c>
      <c r="C3167" t="s">
        <v>37</v>
      </c>
      <c r="D3167">
        <v>5.1080410000000001</v>
      </c>
      <c r="E3167">
        <v>0.53586440000000002</v>
      </c>
      <c r="F3167" t="s">
        <v>42</v>
      </c>
      <c r="G3167">
        <v>-191.85910000000001</v>
      </c>
      <c r="H3167">
        <v>1.025733</v>
      </c>
      <c r="I3167">
        <v>200.9265</v>
      </c>
      <c r="J3167">
        <v>-191.82939999999999</v>
      </c>
      <c r="K3167">
        <v>1.096425</v>
      </c>
      <c r="L3167">
        <v>201.5223</v>
      </c>
      <c r="M3167">
        <v>0.19734599999999999</v>
      </c>
      <c r="N3167">
        <v>0</v>
      </c>
      <c r="O3167">
        <v>-0.98020750000000001</v>
      </c>
      <c r="P3167">
        <v>8.3732440000000005E-2</v>
      </c>
      <c r="Q3167">
        <v>3.2972599999999998E-2</v>
      </c>
      <c r="R3167">
        <v>-0.99594280000000002</v>
      </c>
      <c r="S3167">
        <v>9.8114009999999904E-3</v>
      </c>
      <c r="T3167">
        <v>-0.25558690000000001</v>
      </c>
      <c r="U3167">
        <v>-3.0225520000000001</v>
      </c>
      <c r="V3167">
        <v>0.1154548</v>
      </c>
      <c r="W3167">
        <v>4.6256070000000003E-2</v>
      </c>
      <c r="X3167">
        <v>0.99223510000000004</v>
      </c>
      <c r="Y3167">
        <v>0.19419129999999901</v>
      </c>
      <c r="Z3167">
        <v>8.0974099999999993E-2</v>
      </c>
      <c r="AA3167">
        <v>0.97761600000000004</v>
      </c>
      <c r="AB3167">
        <v>21</v>
      </c>
      <c r="AC3167">
        <v>-2.97000000000196E-2</v>
      </c>
      <c r="AD3167">
        <v>-7.0691999999999894E-2</v>
      </c>
      <c r="AE3167">
        <v>-0.595799999999997</v>
      </c>
      <c r="AF3167">
        <v>0.14467737610433601</v>
      </c>
      <c r="AG3167">
        <v>-7.0691999999999894E-2</v>
      </c>
      <c r="AH3167">
        <v>0.57021060118434097</v>
      </c>
      <c r="AI3167">
        <v>96.852237417068906</v>
      </c>
      <c r="AJ3167">
        <v>75.762995731553303</v>
      </c>
      <c r="AK3167">
        <v>0.59251078616633002</v>
      </c>
    </row>
    <row r="3168" spans="1:37" x14ac:dyDescent="0.2">
      <c r="A3168" t="str">
        <f>"20200111160219787"</f>
        <v>20200111160219787</v>
      </c>
      <c r="B3168" t="str">
        <f>"1578729739774655"</f>
        <v>1578729739774655</v>
      </c>
      <c r="C3168" t="s">
        <v>37</v>
      </c>
      <c r="D3168">
        <v>5.0753279999999998</v>
      </c>
      <c r="E3168">
        <v>0.53488340000000001</v>
      </c>
      <c r="F3168" t="s">
        <v>42</v>
      </c>
      <c r="G3168">
        <v>-191.83109999999999</v>
      </c>
      <c r="H3168">
        <v>1.0305690000000001</v>
      </c>
      <c r="I3168">
        <v>200.73179999999999</v>
      </c>
      <c r="J3168">
        <v>-191.8021</v>
      </c>
      <c r="K3168">
        <v>1.096678</v>
      </c>
      <c r="L3168">
        <v>201.3004</v>
      </c>
      <c r="M3168">
        <v>0.183151799999999</v>
      </c>
      <c r="N3168">
        <v>0</v>
      </c>
      <c r="O3168">
        <v>-0.98295969999999999</v>
      </c>
      <c r="P3168">
        <v>7.4237730000000002E-2</v>
      </c>
      <c r="Q3168">
        <v>3.3408479999999997E-2</v>
      </c>
      <c r="R3168">
        <v>-0.99668069999999898</v>
      </c>
      <c r="S3168">
        <v>-6.3018800000000002E-3</v>
      </c>
      <c r="T3168">
        <v>-0.25100319999999998</v>
      </c>
      <c r="U3168">
        <v>-3.021042</v>
      </c>
      <c r="V3168">
        <v>0.1105366</v>
      </c>
      <c r="W3168">
        <v>4.6787160000000001E-2</v>
      </c>
      <c r="X3168">
        <v>0.99277019999999905</v>
      </c>
      <c r="Y3168">
        <v>0.18521219999999999</v>
      </c>
      <c r="Z3168">
        <v>7.9984139999999995E-2</v>
      </c>
      <c r="AA3168">
        <v>0.97943809999999998</v>
      </c>
      <c r="AB3168">
        <v>21</v>
      </c>
      <c r="AC3168">
        <v>-2.89999999999963E-2</v>
      </c>
      <c r="AD3168">
        <v>-6.6108999999999904E-2</v>
      </c>
      <c r="AE3168">
        <v>-0.56860000000000299</v>
      </c>
      <c r="AF3168">
        <v>0.13089738011445001</v>
      </c>
      <c r="AG3168">
        <v>-6.6108999999999904E-2</v>
      </c>
      <c r="AH3168">
        <v>0.54630182706602903</v>
      </c>
      <c r="AI3168">
        <v>96.711749305905698</v>
      </c>
      <c r="AJ3168">
        <v>76.525595384977294</v>
      </c>
      <c r="AK3168">
        <v>0.56564141490657205</v>
      </c>
    </row>
    <row r="3169" spans="1:37" x14ac:dyDescent="0.2">
      <c r="A3169" t="str">
        <f>"20200111160219809"</f>
        <v>20200111160219809</v>
      </c>
      <c r="B3169" t="str">
        <f>"1578729739795153"</f>
        <v>1578729739795153</v>
      </c>
      <c r="C3169" t="s">
        <v>37</v>
      </c>
      <c r="D3169">
        <v>5.0592920000000001</v>
      </c>
      <c r="E3169">
        <v>0.53421719999999995</v>
      </c>
      <c r="F3169" t="s">
        <v>42</v>
      </c>
      <c r="G3169">
        <v>-191.80860000000001</v>
      </c>
      <c r="H3169">
        <v>1.034262</v>
      </c>
      <c r="I3169">
        <v>200.53659999999999</v>
      </c>
      <c r="J3169">
        <v>-191.7784</v>
      </c>
      <c r="K3169">
        <v>1.0969640000000001</v>
      </c>
      <c r="L3169">
        <v>201.08539999999999</v>
      </c>
      <c r="M3169">
        <v>0.1697533</v>
      </c>
      <c r="N3169">
        <v>0</v>
      </c>
      <c r="O3169">
        <v>-0.98536329999999905</v>
      </c>
      <c r="P3169">
        <v>6.5482070000000003E-2</v>
      </c>
      <c r="Q3169">
        <v>3.5178870000000001E-2</v>
      </c>
      <c r="R3169">
        <v>-0.99723359999999905</v>
      </c>
      <c r="S3169">
        <v>-2.575684E-2</v>
      </c>
      <c r="T3169">
        <v>-0.24683369999999999</v>
      </c>
      <c r="U3169">
        <v>-3.0201720000000001</v>
      </c>
      <c r="V3169">
        <v>0.10572769999999999</v>
      </c>
      <c r="W3169">
        <v>4.8646620000000002E-2</v>
      </c>
      <c r="X3169">
        <v>0.99320450000000005</v>
      </c>
      <c r="Y3169">
        <v>0.178140299999999</v>
      </c>
      <c r="Z3169">
        <v>7.9031569999999995E-2</v>
      </c>
      <c r="AA3169">
        <v>0.98082619999999898</v>
      </c>
      <c r="AB3169">
        <v>21</v>
      </c>
      <c r="AC3169">
        <v>-3.02000000000077E-2</v>
      </c>
      <c r="AD3169">
        <v>-6.2701999999999994E-2</v>
      </c>
      <c r="AE3169">
        <v>-0.54879999999999995</v>
      </c>
      <c r="AF3169">
        <v>0.121354177127924</v>
      </c>
      <c r="AG3169">
        <v>-6.2701999999999994E-2</v>
      </c>
      <c r="AH3169">
        <v>0.52882363803503596</v>
      </c>
      <c r="AI3169">
        <v>96.592143600195001</v>
      </c>
      <c r="AJ3169">
        <v>77.075563524956706</v>
      </c>
      <c r="AK3169">
        <v>0.54618020584327798</v>
      </c>
    </row>
    <row r="3170" spans="1:37" x14ac:dyDescent="0.2">
      <c r="A3170" t="str">
        <f>"20200111160219833"</f>
        <v>20200111160219833</v>
      </c>
      <c r="B3170" t="str">
        <f>"1578729739825409"</f>
        <v>1578729739825409</v>
      </c>
      <c r="C3170" t="s">
        <v>37</v>
      </c>
      <c r="D3170">
        <v>5.1370649999999998</v>
      </c>
      <c r="E3170">
        <v>0.53344029999999998</v>
      </c>
      <c r="F3170" t="s">
        <v>42</v>
      </c>
      <c r="G3170">
        <v>-191.78960000000001</v>
      </c>
      <c r="H3170">
        <v>1.037568</v>
      </c>
      <c r="I3170">
        <v>200.34099999999901</v>
      </c>
      <c r="J3170">
        <v>-191.75569999999999</v>
      </c>
      <c r="K3170">
        <v>1.0973139999999999</v>
      </c>
      <c r="L3170">
        <v>200.8526</v>
      </c>
      <c r="M3170">
        <v>0.15573970000000001</v>
      </c>
      <c r="N3170">
        <v>0</v>
      </c>
      <c r="O3170">
        <v>-0.98767680000000002</v>
      </c>
      <c r="P3170">
        <v>5.707102E-2</v>
      </c>
      <c r="Q3170">
        <v>3.7884569999999999E-2</v>
      </c>
      <c r="R3170">
        <v>-0.99765119999999896</v>
      </c>
      <c r="S3170">
        <v>-4.5257569999999997E-2</v>
      </c>
      <c r="T3170">
        <v>-0.24055219999999999</v>
      </c>
      <c r="U3170">
        <v>-3.01975999999999</v>
      </c>
      <c r="V3170">
        <v>9.9982539999999995E-2</v>
      </c>
      <c r="W3170">
        <v>5.1452619999999998E-2</v>
      </c>
      <c r="X3170">
        <v>0.99365789999999998</v>
      </c>
      <c r="Y3170">
        <v>0.17049439999999999</v>
      </c>
      <c r="Z3170">
        <v>7.7369279999999999E-2</v>
      </c>
      <c r="AA3170">
        <v>0.98231650000000004</v>
      </c>
      <c r="AB3170">
        <v>21</v>
      </c>
      <c r="AC3170">
        <v>-3.3900000000016903E-2</v>
      </c>
      <c r="AD3170">
        <v>-5.9745999999999799E-2</v>
      </c>
      <c r="AE3170">
        <v>-0.51160000000001504</v>
      </c>
      <c r="AF3170">
        <v>0.111656107887721</v>
      </c>
      <c r="AG3170">
        <v>-5.9745999999999799E-2</v>
      </c>
      <c r="AH3170">
        <v>0.49337646418879999</v>
      </c>
      <c r="AI3170">
        <v>96.735962454292505</v>
      </c>
      <c r="AJ3170">
        <v>77.248186932098506</v>
      </c>
      <c r="AK3170">
        <v>0.50936922400168305</v>
      </c>
    </row>
    <row r="3171" spans="1:37" x14ac:dyDescent="0.2">
      <c r="A3171" t="str">
        <f>"20200111160219853"</f>
        <v>20200111160219853</v>
      </c>
      <c r="B3171" t="str">
        <f>"1578729739844928"</f>
        <v>1578729739844928</v>
      </c>
      <c r="C3171" t="s">
        <v>37</v>
      </c>
      <c r="D3171">
        <v>5.0929510000000002</v>
      </c>
      <c r="E3171">
        <v>0.52267609999999998</v>
      </c>
      <c r="F3171" t="s">
        <v>42</v>
      </c>
      <c r="G3171">
        <v>-191.7748</v>
      </c>
      <c r="H3171">
        <v>1.0285299999999999</v>
      </c>
      <c r="I3171">
        <v>199.9581</v>
      </c>
      <c r="J3171">
        <v>-191.7379</v>
      </c>
      <c r="K3171">
        <v>1.097634</v>
      </c>
      <c r="L3171">
        <v>200.64760000000001</v>
      </c>
      <c r="M3171">
        <v>0.1437995</v>
      </c>
      <c r="N3171">
        <v>0</v>
      </c>
      <c r="O3171">
        <v>-0.98948709999999995</v>
      </c>
      <c r="P3171">
        <v>5.1312730000000001E-2</v>
      </c>
      <c r="Q3171">
        <v>3.9327220000000003E-2</v>
      </c>
      <c r="R3171">
        <v>-0.99790809999999996</v>
      </c>
      <c r="S3171">
        <v>-6.4086909999999997E-2</v>
      </c>
      <c r="T3171">
        <v>-0.23178879999999999</v>
      </c>
      <c r="U3171">
        <v>-3.0195310000000002</v>
      </c>
      <c r="V3171">
        <v>9.3686480000000003E-2</v>
      </c>
      <c r="W3171">
        <v>5.2998799999999999E-2</v>
      </c>
      <c r="X3171">
        <v>0.99419009999999997</v>
      </c>
      <c r="Y3171">
        <v>0.16472000000000001</v>
      </c>
      <c r="Z3171">
        <v>7.4813779999999996E-2</v>
      </c>
      <c r="AA3171">
        <v>0.98349900000000001</v>
      </c>
      <c r="AB3171">
        <v>21</v>
      </c>
      <c r="AC3171">
        <v>-3.6900000000002799E-2</v>
      </c>
      <c r="AD3171">
        <v>-6.9103999999999999E-2</v>
      </c>
      <c r="AE3171">
        <v>-0.68950000000000899</v>
      </c>
      <c r="AF3171">
        <v>0.134332428776199</v>
      </c>
      <c r="AG3171">
        <v>-6.9103999999999999E-2</v>
      </c>
      <c r="AH3171">
        <v>0.67031151784625098</v>
      </c>
      <c r="AI3171">
        <v>95.771997410687504</v>
      </c>
      <c r="AJ3171">
        <v>78.667867982328303</v>
      </c>
      <c r="AK3171">
        <v>0.68712305680588004</v>
      </c>
    </row>
    <row r="3172" spans="1:37" x14ac:dyDescent="0.2">
      <c r="A3172" t="str">
        <f>"20200111160219876"</f>
        <v>20200111160219876</v>
      </c>
      <c r="B3172" t="str">
        <f>"1578729739865423"</f>
        <v>1578729739865423</v>
      </c>
      <c r="C3172" t="s">
        <v>37</v>
      </c>
      <c r="D3172">
        <v>5.0873540000000004</v>
      </c>
      <c r="E3172">
        <v>0.52202519999999997</v>
      </c>
      <c r="F3172" t="s">
        <v>42</v>
      </c>
      <c r="G3172">
        <v>-191.73679999999999</v>
      </c>
      <c r="H3172">
        <v>1.0337179999999999</v>
      </c>
      <c r="I3172">
        <v>199.76650000000001</v>
      </c>
      <c r="J3172">
        <v>-191.7216</v>
      </c>
      <c r="K3172">
        <v>1.0979620000000001</v>
      </c>
      <c r="L3172">
        <v>200.43510000000001</v>
      </c>
      <c r="M3172">
        <v>0.13179969999999999</v>
      </c>
      <c r="N3172">
        <v>0</v>
      </c>
      <c r="O3172">
        <v>-0.99115830000000005</v>
      </c>
      <c r="P3172">
        <v>4.5253929999999998E-2</v>
      </c>
      <c r="Q3172">
        <v>4.1900069999999998E-2</v>
      </c>
      <c r="R3172">
        <v>-0.99809680000000001</v>
      </c>
      <c r="S3172">
        <v>3.7689209999999902E-3</v>
      </c>
      <c r="T3172">
        <v>-0.21873490000000001</v>
      </c>
      <c r="U3172">
        <v>-3.0147089999999999</v>
      </c>
      <c r="V3172">
        <v>8.7658819999999998E-2</v>
      </c>
      <c r="W3172">
        <v>5.5655139999999999E-2</v>
      </c>
      <c r="X3172">
        <v>0.9945946</v>
      </c>
      <c r="Y3172">
        <v>0.13057750000000001</v>
      </c>
      <c r="Z3172">
        <v>7.1109519999999996E-2</v>
      </c>
      <c r="AA3172">
        <v>0.98888469999999995</v>
      </c>
      <c r="AB3172">
        <v>21</v>
      </c>
      <c r="AC3172">
        <v>-1.51999999999929E-2</v>
      </c>
      <c r="AD3172">
        <v>-6.4243999999999898E-2</v>
      </c>
      <c r="AE3172">
        <v>-0.66859999999999697</v>
      </c>
      <c r="AF3172">
        <v>0.10225535056228199</v>
      </c>
      <c r="AG3172">
        <v>-6.4243999999999898E-2</v>
      </c>
      <c r="AH3172">
        <v>0.65472065068949703</v>
      </c>
      <c r="AI3172">
        <v>95.537462237347796</v>
      </c>
      <c r="AJ3172">
        <v>81.123163806193801</v>
      </c>
      <c r="AK3172">
        <v>0.66576465713786204</v>
      </c>
    </row>
    <row r="3173" spans="1:37" x14ac:dyDescent="0.2">
      <c r="A3173" t="str">
        <f>"20200111160219896"</f>
        <v>20200111160219896</v>
      </c>
      <c r="B3173" t="str">
        <f>"1578729739884944"</f>
        <v>1578729739884944</v>
      </c>
      <c r="C3173" t="s">
        <v>37</v>
      </c>
      <c r="D3173">
        <v>5.112959</v>
      </c>
      <c r="E3173">
        <v>0.52135580000000004</v>
      </c>
      <c r="F3173" t="s">
        <v>42</v>
      </c>
      <c r="G3173">
        <v>-191.72409999999999</v>
      </c>
      <c r="H3173">
        <v>1.0352030000000001</v>
      </c>
      <c r="I3173">
        <v>199.57239999999999</v>
      </c>
      <c r="J3173">
        <v>-191.7079</v>
      </c>
      <c r="K3173">
        <v>1.0982430000000001</v>
      </c>
      <c r="L3173">
        <v>200.2319</v>
      </c>
      <c r="M3173">
        <v>0.12069879999999999</v>
      </c>
      <c r="N3173">
        <v>0</v>
      </c>
      <c r="O3173">
        <v>-0.99257249999999997</v>
      </c>
      <c r="P3173">
        <v>3.9035090000000001E-2</v>
      </c>
      <c r="Q3173">
        <v>4.4885840000000003E-2</v>
      </c>
      <c r="R3173">
        <v>-0.99822919999999904</v>
      </c>
      <c r="S3173">
        <v>-8.7127690000000004E-3</v>
      </c>
      <c r="T3173">
        <v>-0.21908229999999901</v>
      </c>
      <c r="U3173">
        <v>-3.01532</v>
      </c>
      <c r="V3173">
        <v>8.2714079999999995E-2</v>
      </c>
      <c r="W3173">
        <v>5.8695709999999998E-2</v>
      </c>
      <c r="X3173">
        <v>0.99484329999999999</v>
      </c>
      <c r="Y3173">
        <v>0.123572</v>
      </c>
      <c r="Z3173">
        <v>7.1393310000000001E-2</v>
      </c>
      <c r="AA3173">
        <v>0.98976409999999904</v>
      </c>
      <c r="AB3173">
        <v>21</v>
      </c>
      <c r="AC3173">
        <v>-1.6199999999997699E-2</v>
      </c>
      <c r="AD3173">
        <v>-6.3039999999999902E-2</v>
      </c>
      <c r="AE3173">
        <v>-0.65950000000000797</v>
      </c>
      <c r="AF3173">
        <v>9.4825717878742402E-2</v>
      </c>
      <c r="AG3173">
        <v>-6.3039999999999902E-2</v>
      </c>
      <c r="AH3173">
        <v>0.64681546523864097</v>
      </c>
      <c r="AI3173">
        <v>95.508077318282702</v>
      </c>
      <c r="AJ3173">
        <v>81.659624811543196</v>
      </c>
      <c r="AK3173">
        <v>0.65676190848975002</v>
      </c>
    </row>
    <row r="3174" spans="1:37" x14ac:dyDescent="0.2">
      <c r="A3174" t="str">
        <f>"20200111160219920"</f>
        <v>20200111160219920</v>
      </c>
      <c r="B3174" t="str">
        <f>"1578729739915199"</f>
        <v>1578729739915199</v>
      </c>
      <c r="C3174" t="s">
        <v>37</v>
      </c>
      <c r="D3174">
        <v>5.1625249999999996</v>
      </c>
      <c r="E3174">
        <v>0.52025159999999904</v>
      </c>
      <c r="F3174" t="s">
        <v>42</v>
      </c>
      <c r="G3174">
        <v>-191.71379999999999</v>
      </c>
      <c r="H3174">
        <v>1.0376430000000001</v>
      </c>
      <c r="I3174">
        <v>199.37799999999999</v>
      </c>
      <c r="J3174">
        <v>-191.6951</v>
      </c>
      <c r="K3174">
        <v>1.0985450000000001</v>
      </c>
      <c r="L3174">
        <v>200.01050000000001</v>
      </c>
      <c r="M3174">
        <v>0.1090598</v>
      </c>
      <c r="N3174">
        <v>0</v>
      </c>
      <c r="O3174">
        <v>-0.99392019999999903</v>
      </c>
      <c r="P3174">
        <v>3.2114570000000002E-2</v>
      </c>
      <c r="Q3174">
        <v>4.5875649999999997E-2</v>
      </c>
      <c r="R3174">
        <v>-0.99843059999999995</v>
      </c>
      <c r="S3174">
        <v>-2.085876E-2</v>
      </c>
      <c r="T3174">
        <v>-0.21388080000000001</v>
      </c>
      <c r="U3174">
        <v>-3.0157780000000001</v>
      </c>
      <c r="V3174">
        <v>7.7916470000000002E-2</v>
      </c>
      <c r="W3174">
        <v>5.9727219999999998E-2</v>
      </c>
      <c r="X3174">
        <v>0.99516919999999898</v>
      </c>
      <c r="Y3174">
        <v>0.1159269</v>
      </c>
      <c r="Z3174">
        <v>6.9870929999999998E-2</v>
      </c>
      <c r="AA3174">
        <v>0.99079719999999905</v>
      </c>
      <c r="AB3174">
        <v>21</v>
      </c>
      <c r="AC3174">
        <v>-1.8699999999995401E-2</v>
      </c>
      <c r="AD3174">
        <v>-6.0901999999999998E-2</v>
      </c>
      <c r="AE3174">
        <v>-0.63250000000002105</v>
      </c>
      <c r="AF3174">
        <v>8.67728445534834E-2</v>
      </c>
      <c r="AG3174">
        <v>-6.0901999999999998E-2</v>
      </c>
      <c r="AH3174">
        <v>0.62093487681571902</v>
      </c>
      <c r="AI3174">
        <v>95.548147363476801</v>
      </c>
      <c r="AJ3174">
        <v>82.044692502204597</v>
      </c>
      <c r="AK3174">
        <v>0.62991959915695195</v>
      </c>
    </row>
    <row r="3175" spans="1:37" x14ac:dyDescent="0.2">
      <c r="A3175" t="str">
        <f>"20200111160219943"</f>
        <v>20200111160219943</v>
      </c>
      <c r="B3175" t="str">
        <f>"1578729739934719"</f>
        <v>1578729739934719</v>
      </c>
      <c r="C3175" t="s">
        <v>37</v>
      </c>
      <c r="D3175">
        <v>5.1542079999999997</v>
      </c>
      <c r="E3175">
        <v>0.51985599999999998</v>
      </c>
      <c r="F3175" t="s">
        <v>42</v>
      </c>
      <c r="G3175">
        <v>-191.7039</v>
      </c>
      <c r="H3175">
        <v>1.03989</v>
      </c>
      <c r="I3175">
        <v>199.1841</v>
      </c>
      <c r="J3175">
        <v>-191.6841</v>
      </c>
      <c r="K3175">
        <v>1.0988610000000001</v>
      </c>
      <c r="L3175">
        <v>199.78290000000001</v>
      </c>
      <c r="M3175">
        <v>9.7611779999999995E-2</v>
      </c>
      <c r="N3175">
        <v>0</v>
      </c>
      <c r="O3175">
        <v>-0.99511130000000003</v>
      </c>
      <c r="P3175">
        <v>2.6002549999999999E-2</v>
      </c>
      <c r="Q3175">
        <v>4.5200770000000001E-2</v>
      </c>
      <c r="R3175">
        <v>-0.99863979999999997</v>
      </c>
      <c r="S3175">
        <v>-3.1570429999999997E-2</v>
      </c>
      <c r="T3175">
        <v>-0.21373409999999901</v>
      </c>
      <c r="U3175">
        <v>-3.0155789999999998</v>
      </c>
      <c r="V3175">
        <v>7.2494799999999998E-2</v>
      </c>
      <c r="W3175">
        <v>5.9095099999999998E-2</v>
      </c>
      <c r="X3175">
        <v>0.99561659999999996</v>
      </c>
      <c r="Y3175">
        <v>0.10800949999999999</v>
      </c>
      <c r="Z3175">
        <v>6.9984329999999997E-2</v>
      </c>
      <c r="AA3175">
        <v>0.99168349999999905</v>
      </c>
      <c r="AB3175">
        <v>21</v>
      </c>
      <c r="AC3175">
        <v>-1.9800000000003599E-2</v>
      </c>
      <c r="AD3175">
        <v>-5.89710000000001E-2</v>
      </c>
      <c r="AE3175">
        <v>-0.59880000000001099</v>
      </c>
      <c r="AF3175">
        <v>7.7411973265206505E-2</v>
      </c>
      <c r="AG3175">
        <v>-5.89710000000001E-2</v>
      </c>
      <c r="AH3175">
        <v>0.58830731099594602</v>
      </c>
      <c r="AI3175">
        <v>95.675518708880901</v>
      </c>
      <c r="AJ3175">
        <v>82.503844001840804</v>
      </c>
      <c r="AK3175">
        <v>0.59630167249228305</v>
      </c>
    </row>
    <row r="3176" spans="1:37" x14ac:dyDescent="0.2">
      <c r="A3176" t="str">
        <f>"20200111160219963"</f>
        <v>20200111160219963</v>
      </c>
      <c r="B3176" t="str">
        <f>"1578729739955215"</f>
        <v>1578729739955215</v>
      </c>
      <c r="C3176" t="s">
        <v>37</v>
      </c>
      <c r="D3176">
        <v>5.1405649999999996</v>
      </c>
      <c r="E3176">
        <v>0.51191900000000001</v>
      </c>
      <c r="F3176" t="s">
        <v>42</v>
      </c>
      <c r="G3176">
        <v>-191.69640000000001</v>
      </c>
      <c r="H3176">
        <v>1.0423089999999999</v>
      </c>
      <c r="I3176">
        <v>198.99010000000001</v>
      </c>
      <c r="J3176">
        <v>-191.67580000000001</v>
      </c>
      <c r="K3176">
        <v>1.099159</v>
      </c>
      <c r="L3176">
        <v>199.57490000000001</v>
      </c>
      <c r="M3176">
        <v>8.7624969999999996E-2</v>
      </c>
      <c r="N3176">
        <v>0</v>
      </c>
      <c r="O3176">
        <v>-0.99604199999999998</v>
      </c>
      <c r="P3176">
        <v>2.1550759999999999E-2</v>
      </c>
      <c r="Q3176">
        <v>4.4860990000000003E-2</v>
      </c>
      <c r="R3176">
        <v>-0.99876109999999896</v>
      </c>
      <c r="S3176">
        <v>-4.6752929999999998E-2</v>
      </c>
      <c r="T3176">
        <v>-0.21486129999999901</v>
      </c>
      <c r="U3176">
        <v>-3.0150450000000002</v>
      </c>
      <c r="V3176">
        <v>6.689254E-2</v>
      </c>
      <c r="W3176">
        <v>5.879711E-2</v>
      </c>
      <c r="X3176">
        <v>0.99602630000000003</v>
      </c>
      <c r="Y3176">
        <v>0.10302989999999999</v>
      </c>
      <c r="Z3176">
        <v>7.0479410000000006E-2</v>
      </c>
      <c r="AA3176">
        <v>0.99217809999999995</v>
      </c>
      <c r="AB3176">
        <v>21</v>
      </c>
      <c r="AC3176">
        <v>-2.06000000000017E-2</v>
      </c>
      <c r="AD3176">
        <v>-5.6849999999999998E-2</v>
      </c>
      <c r="AE3176">
        <v>-0.58480000000000099</v>
      </c>
      <c r="AF3176">
        <v>7.1098451701032697E-2</v>
      </c>
      <c r="AG3176">
        <v>-5.6849999999999998E-2</v>
      </c>
      <c r="AH3176">
        <v>0.57531464555945799</v>
      </c>
      <c r="AI3176">
        <v>95.601055053587899</v>
      </c>
      <c r="AJ3176">
        <v>82.955001173104904</v>
      </c>
      <c r="AK3176">
        <v>0.582472191378686</v>
      </c>
    </row>
    <row r="3177" spans="1:37" x14ac:dyDescent="0.2">
      <c r="A3177" t="str">
        <f>"20200111160219987"</f>
        <v>20200111160219987</v>
      </c>
      <c r="B3177" t="str">
        <f>"1578729739974748"</f>
        <v>1578729739974748</v>
      </c>
      <c r="C3177" t="s">
        <v>37</v>
      </c>
      <c r="D3177">
        <v>5.1477199999999996</v>
      </c>
      <c r="E3177">
        <v>0.51068630000000004</v>
      </c>
      <c r="F3177" t="s">
        <v>42</v>
      </c>
      <c r="G3177">
        <v>-191.67509999999999</v>
      </c>
      <c r="H3177">
        <v>1.041094</v>
      </c>
      <c r="I3177">
        <v>198.79949999999999</v>
      </c>
      <c r="J3177">
        <v>-191.6687</v>
      </c>
      <c r="K3177">
        <v>1.0994999999999999</v>
      </c>
      <c r="L3177">
        <v>199.35650000000001</v>
      </c>
      <c r="M3177">
        <v>7.7633869999999994E-2</v>
      </c>
      <c r="N3177">
        <v>0</v>
      </c>
      <c r="O3177">
        <v>-0.99687190000000003</v>
      </c>
      <c r="P3177">
        <v>1.6064200000000001E-2</v>
      </c>
      <c r="Q3177">
        <v>4.4872509999999997E-2</v>
      </c>
      <c r="R3177">
        <v>-0.99886369999999902</v>
      </c>
      <c r="S3177">
        <v>3.2348629999999902E-3</v>
      </c>
      <c r="T3177">
        <v>-0.2254525</v>
      </c>
      <c r="U3177">
        <v>-3.0137939999999999</v>
      </c>
      <c r="V3177">
        <v>6.2322309999999999E-2</v>
      </c>
      <c r="W3177">
        <v>5.8828529999999997E-2</v>
      </c>
      <c r="X3177">
        <v>0.99632080000000001</v>
      </c>
      <c r="Y3177">
        <v>7.6574879999999998E-2</v>
      </c>
      <c r="Z3177">
        <v>7.4151460000000002E-2</v>
      </c>
      <c r="AA3177">
        <v>0.99430269999999998</v>
      </c>
      <c r="AB3177">
        <v>21</v>
      </c>
      <c r="AC3177">
        <v>-6.39999999998508E-3</v>
      </c>
      <c r="AD3177">
        <v>-5.8405999999999902E-2</v>
      </c>
      <c r="AE3177">
        <v>-0.55700000000001604</v>
      </c>
      <c r="AF3177">
        <v>4.9087829118851199E-2</v>
      </c>
      <c r="AG3177">
        <v>-5.8405999999999902E-2</v>
      </c>
      <c r="AH3177">
        <v>0.54878839687035297</v>
      </c>
      <c r="AI3177">
        <v>96.050982374181899</v>
      </c>
      <c r="AJ3177">
        <v>84.888630372042201</v>
      </c>
      <c r="AK3177">
        <v>0.55406640427220799</v>
      </c>
    </row>
    <row r="3178" spans="1:37" x14ac:dyDescent="0.2">
      <c r="A3178" t="str">
        <f>"20200111160220007"</f>
        <v>20200111160220007</v>
      </c>
      <c r="B3178" t="str">
        <f>"1578729740004992"</f>
        <v>1578729740004992</v>
      </c>
      <c r="C3178" t="s">
        <v>37</v>
      </c>
      <c r="D3178">
        <v>5.1747959999999997</v>
      </c>
      <c r="E3178">
        <v>0.50932479999999902</v>
      </c>
      <c r="F3178" t="s">
        <v>42</v>
      </c>
      <c r="G3178">
        <v>-191.6696</v>
      </c>
      <c r="H3178">
        <v>1.0437700000000001</v>
      </c>
      <c r="I3178">
        <v>198.6054</v>
      </c>
      <c r="J3178">
        <v>-191.6635</v>
      </c>
      <c r="K3178">
        <v>1.099847</v>
      </c>
      <c r="L3178">
        <v>199.1532</v>
      </c>
      <c r="M3178">
        <v>6.8839789999999998E-2</v>
      </c>
      <c r="N3178">
        <v>0</v>
      </c>
      <c r="O3178">
        <v>-0.99751909999999899</v>
      </c>
      <c r="P3178">
        <v>1.075276E-2</v>
      </c>
      <c r="Q3178">
        <v>4.522197E-2</v>
      </c>
      <c r="R3178">
        <v>-0.99891949999999996</v>
      </c>
      <c r="S3178">
        <v>-3.5095209999999998E-3</v>
      </c>
      <c r="T3178">
        <v>-0.22361819999999999</v>
      </c>
      <c r="U3178">
        <v>-3.0135040000000002</v>
      </c>
      <c r="V3178">
        <v>5.878295E-2</v>
      </c>
      <c r="W3178">
        <v>5.9184100000000003E-2</v>
      </c>
      <c r="X3178">
        <v>0.99651489999999998</v>
      </c>
      <c r="Y3178">
        <v>7.0005629999999999E-2</v>
      </c>
      <c r="Z3178">
        <v>7.3647969999999993E-2</v>
      </c>
      <c r="AA3178">
        <v>0.99482420000000005</v>
      </c>
      <c r="AB3178">
        <v>21</v>
      </c>
      <c r="AC3178">
        <v>-6.1000000000035401E-3</v>
      </c>
      <c r="AD3178">
        <v>-5.6076999999999898E-2</v>
      </c>
      <c r="AE3178">
        <v>-0.54779999999999496</v>
      </c>
      <c r="AF3178">
        <v>4.3345879031226602E-2</v>
      </c>
      <c r="AG3178">
        <v>-5.6076999999999898E-2</v>
      </c>
      <c r="AH3178">
        <v>0.54041780929289696</v>
      </c>
      <c r="AI3178">
        <v>95.9053222686303</v>
      </c>
      <c r="AJ3178">
        <v>85.414232209481</v>
      </c>
      <c r="AK3178">
        <v>0.54504578134219495</v>
      </c>
    </row>
    <row r="3179" spans="1:37" x14ac:dyDescent="0.2">
      <c r="A3179" t="str">
        <f>"20200111160220032"</f>
        <v>20200111160220032</v>
      </c>
      <c r="B3179" t="str">
        <f>"1578729740025487"</f>
        <v>1578729740025487</v>
      </c>
      <c r="C3179" t="s">
        <v>37</v>
      </c>
      <c r="D3179">
        <v>5.1665529999999897</v>
      </c>
      <c r="E3179">
        <v>0.50255609999999995</v>
      </c>
      <c r="F3179" t="s">
        <v>42</v>
      </c>
      <c r="G3179">
        <v>-191.66550000000001</v>
      </c>
      <c r="H3179">
        <v>1.04562</v>
      </c>
      <c r="I3179">
        <v>198.41159999999999</v>
      </c>
      <c r="J3179">
        <v>-191.6591</v>
      </c>
      <c r="K3179">
        <v>1.100252</v>
      </c>
      <c r="L3179">
        <v>198.92740000000001</v>
      </c>
      <c r="M3179">
        <v>5.9697269999999997E-2</v>
      </c>
      <c r="N3179">
        <v>0</v>
      </c>
      <c r="O3179">
        <v>-0.99810959999999904</v>
      </c>
      <c r="P3179">
        <v>5.5142539999999997E-3</v>
      </c>
      <c r="Q3179">
        <v>4.4973970000000002E-2</v>
      </c>
      <c r="R3179">
        <v>-0.99897309999999995</v>
      </c>
      <c r="S3179">
        <v>-7.8277590000000001E-3</v>
      </c>
      <c r="T3179">
        <v>-0.22022929999999899</v>
      </c>
      <c r="U3179">
        <v>-3.01329</v>
      </c>
      <c r="V3179">
        <v>5.4812609999999998E-2</v>
      </c>
      <c r="W3179">
        <v>5.8939430000000001E-2</v>
      </c>
      <c r="X3179">
        <v>0.99675559999999996</v>
      </c>
      <c r="Y3179">
        <v>6.2289520000000001E-2</v>
      </c>
      <c r="Z3179">
        <v>7.2625789999999996E-2</v>
      </c>
      <c r="AA3179">
        <v>0.99541219999999997</v>
      </c>
      <c r="AB3179">
        <v>21</v>
      </c>
      <c r="AC3179">
        <v>-6.4000000000134999E-3</v>
      </c>
      <c r="AD3179">
        <v>-5.4632E-2</v>
      </c>
      <c r="AE3179">
        <v>-0.51580000000001203</v>
      </c>
      <c r="AF3179">
        <v>3.67712702884192E-2</v>
      </c>
      <c r="AG3179">
        <v>-5.4632E-2</v>
      </c>
      <c r="AH3179">
        <v>0.50879083661048696</v>
      </c>
      <c r="AI3179">
        <v>96.112895561840205</v>
      </c>
      <c r="AJ3179">
        <v>85.866313359356496</v>
      </c>
      <c r="AK3179">
        <v>0.513034986293745</v>
      </c>
    </row>
    <row r="3180" spans="1:37" x14ac:dyDescent="0.2">
      <c r="A3180" t="str">
        <f>"20200111160220053"</f>
        <v>20200111160220053</v>
      </c>
      <c r="B3180" t="str">
        <f>"1578729740045007"</f>
        <v>1578729740045007</v>
      </c>
      <c r="C3180" t="s">
        <v>37</v>
      </c>
      <c r="D3180">
        <v>5.1819660000000001</v>
      </c>
      <c r="E3180">
        <v>0.50065839999999995</v>
      </c>
      <c r="F3180" t="s">
        <v>42</v>
      </c>
      <c r="G3180">
        <v>-191.65029999999999</v>
      </c>
      <c r="H3180">
        <v>1.035801</v>
      </c>
      <c r="I3180">
        <v>198.0351</v>
      </c>
      <c r="J3180">
        <v>-191.65620000000001</v>
      </c>
      <c r="K3180">
        <v>1.1006279999999999</v>
      </c>
      <c r="L3180">
        <v>198.71099999999899</v>
      </c>
      <c r="M3180">
        <v>5.1565710000000001E-2</v>
      </c>
      <c r="N3180">
        <v>0</v>
      </c>
      <c r="O3180">
        <v>-0.99856389999999995</v>
      </c>
      <c r="P3180">
        <v>2.5817380000000001E-3</v>
      </c>
      <c r="Q3180">
        <v>4.3690769999999997E-2</v>
      </c>
      <c r="R3180">
        <v>-0.99904199999999999</v>
      </c>
      <c r="S3180">
        <v>3.0258179999999999E-2</v>
      </c>
      <c r="T3180">
        <v>-0.21737600000000001</v>
      </c>
      <c r="U3180">
        <v>-3.0127109999999999</v>
      </c>
      <c r="V3180">
        <v>4.9547849999999997E-2</v>
      </c>
      <c r="W3180">
        <v>5.7671300000000002E-2</v>
      </c>
      <c r="X3180">
        <v>0.99710529999999997</v>
      </c>
      <c r="Y3180">
        <v>4.1564810000000001E-2</v>
      </c>
      <c r="Z3180">
        <v>7.1789499999999895E-2</v>
      </c>
      <c r="AA3180">
        <v>0.99655339999999903</v>
      </c>
      <c r="AB3180">
        <v>21</v>
      </c>
      <c r="AC3180">
        <v>5.9000000000253199E-3</v>
      </c>
      <c r="AD3180">
        <v>-6.4827000000000107E-2</v>
      </c>
      <c r="AE3180">
        <v>-0.67589999999998396</v>
      </c>
      <c r="AF3180">
        <v>2.8700791675409499E-2</v>
      </c>
      <c r="AG3180">
        <v>-6.4827000000000107E-2</v>
      </c>
      <c r="AH3180">
        <v>0.66914973578206005</v>
      </c>
      <c r="AI3180">
        <v>95.528475471782599</v>
      </c>
      <c r="AJ3180">
        <v>87.544007197206199</v>
      </c>
      <c r="AK3180">
        <v>0.67289497268815701</v>
      </c>
    </row>
    <row r="3181" spans="1:37" x14ac:dyDescent="0.2">
      <c r="A3181" t="str">
        <f>"20200111160220075"</f>
        <v>20200111160220075</v>
      </c>
      <c r="B3181" t="str">
        <f>"1578729740065503"</f>
        <v>1578729740065503</v>
      </c>
      <c r="C3181" t="s">
        <v>37</v>
      </c>
      <c r="D3181">
        <v>5.1586980000000002</v>
      </c>
      <c r="E3181">
        <v>0.49902399999999902</v>
      </c>
      <c r="F3181" t="s">
        <v>42</v>
      </c>
      <c r="G3181">
        <v>-191.6464</v>
      </c>
      <c r="H3181">
        <v>1.039183</v>
      </c>
      <c r="I3181">
        <v>197.84209999999999</v>
      </c>
      <c r="J3181">
        <v>-191.65430000000001</v>
      </c>
      <c r="K3181">
        <v>1.100902</v>
      </c>
      <c r="L3181">
        <v>198.5078</v>
      </c>
      <c r="M3181">
        <v>4.4393009999999997E-2</v>
      </c>
      <c r="N3181">
        <v>0</v>
      </c>
      <c r="O3181">
        <v>-0.99890990000000002</v>
      </c>
      <c r="P3181" s="1">
        <v>-2.6770289999999999E-5</v>
      </c>
      <c r="Q3181">
        <v>4.4098430000000001E-2</v>
      </c>
      <c r="R3181">
        <v>-0.99902729999999995</v>
      </c>
      <c r="S3181">
        <v>3.4164430000000003E-2</v>
      </c>
      <c r="T3181">
        <v>-0.21293039999999999</v>
      </c>
      <c r="U3181">
        <v>-3.01207</v>
      </c>
      <c r="V3181">
        <v>4.4943490000000003E-2</v>
      </c>
      <c r="W3181">
        <v>5.8079749999999999E-2</v>
      </c>
      <c r="X3181">
        <v>0.99729979999999996</v>
      </c>
      <c r="Y3181">
        <v>3.3092320000000001E-2</v>
      </c>
      <c r="Z3181">
        <v>7.0390690000000006E-2</v>
      </c>
      <c r="AA3181">
        <v>0.99697039999999904</v>
      </c>
      <c r="AB3181">
        <v>21</v>
      </c>
      <c r="AC3181">
        <v>7.9000000000064505E-3</v>
      </c>
      <c r="AD3181">
        <v>-6.1719000000000003E-2</v>
      </c>
      <c r="AE3181">
        <v>-0.66570000000001495</v>
      </c>
      <c r="AF3181">
        <v>2.1478696419229702E-2</v>
      </c>
      <c r="AG3181">
        <v>-6.1719000000000003E-2</v>
      </c>
      <c r="AH3181">
        <v>0.65972433434239997</v>
      </c>
      <c r="AI3181">
        <v>95.341805572193806</v>
      </c>
      <c r="AJ3181">
        <v>88.135275514423796</v>
      </c>
      <c r="AK3181">
        <v>0.66295306521984798</v>
      </c>
    </row>
    <row r="3182" spans="1:37" x14ac:dyDescent="0.2">
      <c r="A3182" t="str">
        <f>"20200111160220098"</f>
        <v>20200111160220098</v>
      </c>
      <c r="B3182" t="str">
        <f>"1578729740094783"</f>
        <v>1578729740094783</v>
      </c>
      <c r="C3182" t="s">
        <v>37</v>
      </c>
      <c r="D3182">
        <v>5.1705329999999998</v>
      </c>
      <c r="E3182">
        <v>0.4967104</v>
      </c>
      <c r="F3182" t="s">
        <v>42</v>
      </c>
      <c r="G3182">
        <v>-191.64349999999999</v>
      </c>
      <c r="H3182">
        <v>1.04157099999999</v>
      </c>
      <c r="I3182">
        <v>197.64859999999999</v>
      </c>
      <c r="J3182">
        <v>-191.6534</v>
      </c>
      <c r="K3182">
        <v>1.1011610000000001</v>
      </c>
      <c r="L3182">
        <v>198.2946</v>
      </c>
      <c r="M3182">
        <v>3.7380429999999999E-2</v>
      </c>
      <c r="N3182">
        <v>0</v>
      </c>
      <c r="O3182">
        <v>-0.99919799999999903</v>
      </c>
      <c r="P3182">
        <v>-3.6959150000000001E-3</v>
      </c>
      <c r="Q3182">
        <v>4.3382869999999997E-2</v>
      </c>
      <c r="R3182">
        <v>-0.99905189999999999</v>
      </c>
      <c r="S3182">
        <v>3.8345339999999999E-2</v>
      </c>
      <c r="T3182">
        <v>-0.20788909999999999</v>
      </c>
      <c r="U3182">
        <v>-3.0121000000000002</v>
      </c>
      <c r="V3182">
        <v>4.1554420000000002E-2</v>
      </c>
      <c r="W3182">
        <v>5.7345220000000002E-2</v>
      </c>
      <c r="X3182">
        <v>0.99748919999999996</v>
      </c>
      <c r="Y3182">
        <v>2.4690900000000002E-2</v>
      </c>
      <c r="Z3182">
        <v>6.8768789999999996E-2</v>
      </c>
      <c r="AA3182">
        <v>0.99732699999999996</v>
      </c>
      <c r="AB3182">
        <v>21</v>
      </c>
      <c r="AC3182">
        <v>9.9000000000160002E-3</v>
      </c>
      <c r="AD3182">
        <v>-5.9590000000000198E-2</v>
      </c>
      <c r="AE3182">
        <v>-0.64600000000001501</v>
      </c>
      <c r="AF3182">
        <v>1.41369030209206E-2</v>
      </c>
      <c r="AG3182">
        <v>-5.9590000000000198E-2</v>
      </c>
      <c r="AH3182">
        <v>0.64047000679649801</v>
      </c>
      <c r="AI3182">
        <v>95.314269286903695</v>
      </c>
      <c r="AJ3182">
        <v>88.735532709307606</v>
      </c>
      <c r="AK3182">
        <v>0.64339152134056699</v>
      </c>
    </row>
    <row r="3183" spans="1:37" x14ac:dyDescent="0.2">
      <c r="A3183" t="str">
        <f>"20200111160220122"</f>
        <v>20200111160220122</v>
      </c>
      <c r="B3183" t="str">
        <f>"1578729740115280"</f>
        <v>1578729740115280</v>
      </c>
      <c r="C3183" t="s">
        <v>37</v>
      </c>
      <c r="D3183">
        <v>5.3821890000000003</v>
      </c>
      <c r="E3183">
        <v>0.49541359999999901</v>
      </c>
      <c r="F3183" t="s">
        <v>42</v>
      </c>
      <c r="G3183">
        <v>-191.64080000000001</v>
      </c>
      <c r="H3183">
        <v>1.045596</v>
      </c>
      <c r="I3183">
        <v>197.44370000000001</v>
      </c>
      <c r="J3183">
        <v>-191.6534</v>
      </c>
      <c r="K3183">
        <v>1.1014189999999999</v>
      </c>
      <c r="L3183">
        <v>198.0668</v>
      </c>
      <c r="M3183">
        <v>3.050249E-2</v>
      </c>
      <c r="N3183">
        <v>0</v>
      </c>
      <c r="O3183">
        <v>-0.99943280000000001</v>
      </c>
      <c r="P3183">
        <v>-8.0462499999999996E-3</v>
      </c>
      <c r="Q3183">
        <v>4.0640639999999999E-2</v>
      </c>
      <c r="R3183">
        <v>-0.99914159999999996</v>
      </c>
      <c r="S3183">
        <v>4.5211790000000002E-2</v>
      </c>
      <c r="T3183">
        <v>-0.1965237</v>
      </c>
      <c r="U3183">
        <v>-3.0115660000000002</v>
      </c>
      <c r="V3183">
        <v>3.896662E-2</v>
      </c>
      <c r="W3183">
        <v>5.4573419999999997E-2</v>
      </c>
      <c r="X3183">
        <v>0.99774909999999895</v>
      </c>
      <c r="Y3183">
        <v>1.5529940000000001E-2</v>
      </c>
      <c r="Z3183">
        <v>6.5064830000000004E-2</v>
      </c>
      <c r="AA3183">
        <v>0.99776019999999899</v>
      </c>
      <c r="AB3183">
        <v>21</v>
      </c>
      <c r="AC3183">
        <v>1.2599999999991901E-2</v>
      </c>
      <c r="AD3183">
        <v>-5.5823000000000102E-2</v>
      </c>
      <c r="AE3183">
        <v>-0.62309999999999299</v>
      </c>
      <c r="AF3183">
        <v>6.3628526966601597E-3</v>
      </c>
      <c r="AG3183">
        <v>-5.5823000000000102E-2</v>
      </c>
      <c r="AH3183">
        <v>0.61823432327638606</v>
      </c>
      <c r="AI3183">
        <v>95.159215758070999</v>
      </c>
      <c r="AJ3183">
        <v>89.410334043040507</v>
      </c>
      <c r="AK3183">
        <v>0.62078206457697505</v>
      </c>
    </row>
    <row r="3184" spans="1:37" x14ac:dyDescent="0.2">
      <c r="A3184" t="str">
        <f>"20200111160220144"</f>
        <v>20200111160220144</v>
      </c>
      <c r="B3184" t="str">
        <f>"1578729740134799"</f>
        <v>1578729740134799</v>
      </c>
      <c r="C3184" t="s">
        <v>37</v>
      </c>
      <c r="D3184">
        <v>5.2171430000000001</v>
      </c>
      <c r="E3184">
        <v>0.49431049999999899</v>
      </c>
      <c r="F3184" t="s">
        <v>38</v>
      </c>
      <c r="G3184">
        <v>-191.4211</v>
      </c>
      <c r="H3184" s="1">
        <v>-1.219517E-6</v>
      </c>
      <c r="I3184">
        <v>181.5504</v>
      </c>
      <c r="J3184">
        <v>-191.6542</v>
      </c>
      <c r="K3184">
        <v>1.1017030000000001</v>
      </c>
      <c r="L3184">
        <v>197.85290000000001</v>
      </c>
      <c r="M3184">
        <v>2.4626120000000001E-2</v>
      </c>
      <c r="N3184">
        <v>0</v>
      </c>
      <c r="O3184">
        <v>-0.99959599999999904</v>
      </c>
      <c r="P3184">
        <v>-1.308074E-2</v>
      </c>
      <c r="Q3184">
        <v>3.6699120000000002E-2</v>
      </c>
      <c r="R3184">
        <v>-0.99924059999999904</v>
      </c>
      <c r="S3184">
        <v>4.2358399999999997E-2</v>
      </c>
      <c r="T3184">
        <v>-0.2008009</v>
      </c>
      <c r="U3184">
        <v>-3.0111240000000001</v>
      </c>
      <c r="V3184">
        <v>3.8059080000000002E-2</v>
      </c>
      <c r="W3184">
        <v>5.0593060000000002E-2</v>
      </c>
      <c r="X3184">
        <v>0.99799389999999999</v>
      </c>
      <c r="Y3184">
        <v>1.059567E-2</v>
      </c>
      <c r="Z3184">
        <v>6.6503209999999993E-2</v>
      </c>
      <c r="AA3184">
        <v>0.99772999999999901</v>
      </c>
      <c r="AB3184">
        <v>21</v>
      </c>
      <c r="AC3184">
        <v>0.233100000000007</v>
      </c>
      <c r="AD3184">
        <v>-1.1017042195169999</v>
      </c>
      <c r="AE3184">
        <v>-16.302499999999998</v>
      </c>
      <c r="AF3184">
        <v>0.16771268886941401</v>
      </c>
      <c r="AG3184">
        <v>-1.1017042195169999</v>
      </c>
      <c r="AH3184">
        <v>16.229193915779899</v>
      </c>
      <c r="AI3184">
        <v>93.883307612192795</v>
      </c>
      <c r="AJ3184">
        <v>89.407925787783199</v>
      </c>
      <c r="AK3184">
        <v>16.267409593702901</v>
      </c>
    </row>
    <row r="3185" spans="1:37" x14ac:dyDescent="0.2">
      <c r="A3185" t="str">
        <f>"20200111160220165"</f>
        <v>20200111160220165</v>
      </c>
      <c r="B3185" t="str">
        <f>"1578729740155295"</f>
        <v>1578729740155295</v>
      </c>
      <c r="C3185" t="s">
        <v>37</v>
      </c>
      <c r="D3185">
        <v>5.2560570000000002</v>
      </c>
      <c r="E3185">
        <v>0.4938845</v>
      </c>
      <c r="F3185" t="s">
        <v>38</v>
      </c>
      <c r="G3185">
        <v>-191.46610000000001</v>
      </c>
      <c r="H3185" s="1">
        <v>-1.4755070000000001E-6</v>
      </c>
      <c r="I3185">
        <v>182.11920000000001</v>
      </c>
      <c r="J3185">
        <v>-191.65549999999999</v>
      </c>
      <c r="K3185">
        <v>1.1019909999999999</v>
      </c>
      <c r="L3185">
        <v>197.65280000000001</v>
      </c>
      <c r="M3185">
        <v>1.9647749999999999E-2</v>
      </c>
      <c r="N3185">
        <v>0</v>
      </c>
      <c r="O3185">
        <v>-0.99970729999999997</v>
      </c>
      <c r="P3185">
        <v>-1.5563550000000001E-2</v>
      </c>
      <c r="Q3185">
        <v>3.2396990000000001E-2</v>
      </c>
      <c r="R3185">
        <v>-0.99935419999999997</v>
      </c>
      <c r="S3185">
        <v>3.5995480000000003E-2</v>
      </c>
      <c r="T3185">
        <v>-0.2108004</v>
      </c>
      <c r="U3185">
        <v>-3.0104829999999998</v>
      </c>
      <c r="V3185">
        <v>3.5500860000000002E-2</v>
      </c>
      <c r="W3185">
        <v>4.6270840000000001E-2</v>
      </c>
      <c r="X3185">
        <v>0.99829789999999996</v>
      </c>
      <c r="Y3185">
        <v>7.7239439999999999E-3</v>
      </c>
      <c r="Z3185">
        <v>6.9827360000000005E-2</v>
      </c>
      <c r="AA3185">
        <v>0.99752919999999901</v>
      </c>
      <c r="AB3185">
        <v>21</v>
      </c>
      <c r="AC3185">
        <v>0.189399999999977</v>
      </c>
      <c r="AD3185">
        <v>-1.1019924755069901</v>
      </c>
      <c r="AE3185">
        <v>-15.5336</v>
      </c>
      <c r="AF3185">
        <v>0.115287137051639</v>
      </c>
      <c r="AG3185">
        <v>-1.1019924755069901</v>
      </c>
      <c r="AH3185">
        <v>15.456543787448901</v>
      </c>
      <c r="AI3185">
        <v>94.077956498705404</v>
      </c>
      <c r="AJ3185">
        <v>89.572650653024198</v>
      </c>
      <c r="AK3185">
        <v>15.4962067743486</v>
      </c>
    </row>
    <row r="3186" spans="1:37" x14ac:dyDescent="0.2">
      <c r="A3186" t="str">
        <f>"20200111160220187"</f>
        <v>20200111160220187</v>
      </c>
      <c r="B3186" t="str">
        <f>"1578729740185551"</f>
        <v>1578729740185551</v>
      </c>
      <c r="C3186" t="s">
        <v>37</v>
      </c>
      <c r="D3186">
        <v>5.2559699999999996</v>
      </c>
      <c r="E3186">
        <v>0.49303329999999901</v>
      </c>
      <c r="F3186" t="s">
        <v>42</v>
      </c>
      <c r="G3186">
        <v>-191.64750000000001</v>
      </c>
      <c r="H3186">
        <v>1.043266</v>
      </c>
      <c r="I3186">
        <v>196.87540000000001</v>
      </c>
      <c r="J3186">
        <v>-191.65719999999999</v>
      </c>
      <c r="K3186">
        <v>1.102314</v>
      </c>
      <c r="L3186">
        <v>197.44579999999999</v>
      </c>
      <c r="M3186">
        <v>1.499027E-2</v>
      </c>
      <c r="N3186">
        <v>0</v>
      </c>
      <c r="O3186">
        <v>-0.99978880000000003</v>
      </c>
      <c r="P3186">
        <v>-1.9972790000000001E-2</v>
      </c>
      <c r="Q3186">
        <v>2.915133E-2</v>
      </c>
      <c r="R3186">
        <v>-0.99937529999999997</v>
      </c>
      <c r="S3186">
        <v>3.1539919999999999E-2</v>
      </c>
      <c r="T3186">
        <v>-0.22727329999999901</v>
      </c>
      <c r="U3186">
        <v>-3.0097809999999998</v>
      </c>
      <c r="V3186">
        <v>3.519779E-2</v>
      </c>
      <c r="W3186">
        <v>4.2991559999999998E-2</v>
      </c>
      <c r="X3186">
        <v>0.99845519999999999</v>
      </c>
      <c r="Y3186">
        <v>4.54328299999999E-3</v>
      </c>
      <c r="Z3186">
        <v>7.5282100000000005E-2</v>
      </c>
      <c r="AA3186">
        <v>0.99715189999999998</v>
      </c>
      <c r="AB3186">
        <v>21</v>
      </c>
      <c r="AC3186">
        <v>9.6999999999809391E-3</v>
      </c>
      <c r="AD3186">
        <v>-5.9047999999999899E-2</v>
      </c>
      <c r="AE3186">
        <v>-0.57039999999997804</v>
      </c>
      <c r="AF3186">
        <v>-1.13545027926369E-3</v>
      </c>
      <c r="AG3186">
        <v>-5.9047999999999899E-2</v>
      </c>
      <c r="AH3186">
        <v>0.56443432772878399</v>
      </c>
      <c r="AI3186">
        <v>95.972231911165906</v>
      </c>
      <c r="AJ3186">
        <v>90.115259504775906</v>
      </c>
      <c r="AK3186">
        <v>0.56751569658466805</v>
      </c>
    </row>
    <row r="3187" spans="1:37" x14ac:dyDescent="0.2">
      <c r="A3187" t="str">
        <f>"20200111160220210"</f>
        <v>20200111160220210</v>
      </c>
      <c r="B3187" t="str">
        <f>"1578729740205072"</f>
        <v>1578729740205072</v>
      </c>
      <c r="C3187" t="s">
        <v>37</v>
      </c>
      <c r="D3187">
        <v>5.2167649999999997</v>
      </c>
      <c r="E3187">
        <v>0.49260920000000002</v>
      </c>
      <c r="F3187" t="s">
        <v>38</v>
      </c>
      <c r="G3187">
        <v>-191.5461</v>
      </c>
      <c r="H3187" s="1">
        <v>-1.9780770000000002E-6</v>
      </c>
      <c r="I3187">
        <v>183.24109999999999</v>
      </c>
      <c r="J3187">
        <v>-191.65940000000001</v>
      </c>
      <c r="K3187">
        <v>1.1026359999999999</v>
      </c>
      <c r="L3187">
        <v>197.23159999999999</v>
      </c>
      <c r="M3187">
        <v>1.066747E-2</v>
      </c>
      <c r="N3187">
        <v>0</v>
      </c>
      <c r="O3187">
        <v>-0.99984530000000005</v>
      </c>
      <c r="P3187">
        <v>-2.5257310000000002E-2</v>
      </c>
      <c r="Q3187">
        <v>2.5867979999999999E-2</v>
      </c>
      <c r="R3187">
        <v>-0.99934659999999997</v>
      </c>
      <c r="S3187">
        <v>2.3544309999999999E-2</v>
      </c>
      <c r="T3187">
        <v>-0.23351449999999899</v>
      </c>
      <c r="U3187">
        <v>-3.009125</v>
      </c>
      <c r="V3187">
        <v>3.6110740000000002E-2</v>
      </c>
      <c r="W3187">
        <v>3.9670850000000001E-2</v>
      </c>
      <c r="X3187">
        <v>0.99856009999999995</v>
      </c>
      <c r="Y3187">
        <v>2.8680149999999998E-3</v>
      </c>
      <c r="Z3187">
        <v>7.7361609999999997E-2</v>
      </c>
      <c r="AA3187">
        <v>0.99699899999999997</v>
      </c>
      <c r="AB3187">
        <v>21</v>
      </c>
      <c r="AC3187">
        <v>0.113300000000009</v>
      </c>
      <c r="AD3187">
        <v>-1.1026379780769999</v>
      </c>
      <c r="AE3187">
        <v>-13.9904999999999</v>
      </c>
      <c r="AF3187">
        <v>3.5742283551172697E-2</v>
      </c>
      <c r="AG3187">
        <v>-1.1026379780769999</v>
      </c>
      <c r="AH3187">
        <v>13.9045495118215</v>
      </c>
      <c r="AI3187">
        <v>94.534081628926899</v>
      </c>
      <c r="AJ3187">
        <v>89.852718889934707</v>
      </c>
      <c r="AK3187">
        <v>13.948246669321099</v>
      </c>
    </row>
    <row r="3188" spans="1:37" x14ac:dyDescent="0.2">
      <c r="A3188" t="str">
        <f>"20200111160220232"</f>
        <v>20200111160220232</v>
      </c>
      <c r="B3188" t="str">
        <f>"1578729740225568"</f>
        <v>1578729740225568</v>
      </c>
      <c r="C3188" t="s">
        <v>37</v>
      </c>
      <c r="D3188">
        <v>5.1928539999999996</v>
      </c>
      <c r="E3188">
        <v>0.4934653</v>
      </c>
      <c r="F3188" t="s">
        <v>42</v>
      </c>
      <c r="G3188">
        <v>-191.65620000000001</v>
      </c>
      <c r="H3188">
        <v>1.0293319999999999</v>
      </c>
      <c r="I3188">
        <v>196.3313</v>
      </c>
      <c r="J3188">
        <v>-191.6619</v>
      </c>
      <c r="K3188">
        <v>1.1028899999999999</v>
      </c>
      <c r="L3188">
        <v>197.01669999999999</v>
      </c>
      <c r="M3188">
        <v>6.8134769999999897E-3</v>
      </c>
      <c r="N3188">
        <v>0</v>
      </c>
      <c r="O3188">
        <v>-0.99987990000000004</v>
      </c>
      <c r="P3188">
        <v>-3.1318270000000002E-2</v>
      </c>
      <c r="Q3188">
        <v>2.1858989999999998E-2</v>
      </c>
      <c r="R3188">
        <v>-0.99927080000000001</v>
      </c>
      <c r="S3188">
        <v>1.062012E-2</v>
      </c>
      <c r="T3188">
        <v>-0.24496699999999999</v>
      </c>
      <c r="U3188">
        <v>-3.008591</v>
      </c>
      <c r="V3188">
        <v>3.8277329999999998E-2</v>
      </c>
      <c r="W3188">
        <v>3.5620140000000002E-2</v>
      </c>
      <c r="X3188">
        <v>0.99863210000000002</v>
      </c>
      <c r="Y3188">
        <v>3.2959109999999999E-3</v>
      </c>
      <c r="Z3188">
        <v>8.1150650000000005E-2</v>
      </c>
      <c r="AA3188">
        <v>0.99669640000000004</v>
      </c>
      <c r="AB3188">
        <v>21</v>
      </c>
      <c r="AC3188">
        <v>5.6999999999902597E-3</v>
      </c>
      <c r="AD3188">
        <v>-7.3557999999999998E-2</v>
      </c>
      <c r="AE3188">
        <v>-0.68539999999998702</v>
      </c>
      <c r="AF3188">
        <v>-1.0177367004310801E-3</v>
      </c>
      <c r="AG3188">
        <v>-7.3557999999999998E-2</v>
      </c>
      <c r="AH3188">
        <v>0.67761875287184703</v>
      </c>
      <c r="AI3188">
        <v>96.1954006490827</v>
      </c>
      <c r="AJ3188">
        <v>90.086054250264596</v>
      </c>
      <c r="AK3188">
        <v>0.68160031499082196</v>
      </c>
    </row>
    <row r="3189" spans="1:37" x14ac:dyDescent="0.2">
      <c r="A3189" t="str">
        <f>"20200111160220254"</f>
        <v>20200111160220254</v>
      </c>
      <c r="B3189" t="str">
        <f>"1578729740245087"</f>
        <v>1578729740245087</v>
      </c>
      <c r="C3189" t="s">
        <v>37</v>
      </c>
      <c r="D3189">
        <v>5.2319820000000004</v>
      </c>
      <c r="E3189">
        <v>0.57343520000000003</v>
      </c>
      <c r="F3189" t="s">
        <v>42</v>
      </c>
      <c r="G3189">
        <v>-191.66630000000001</v>
      </c>
      <c r="H3189">
        <v>1.027814</v>
      </c>
      <c r="I3189">
        <v>196.14429999999999</v>
      </c>
      <c r="J3189">
        <v>-191.66460000000001</v>
      </c>
      <c r="K3189">
        <v>1.103043</v>
      </c>
      <c r="L3189">
        <v>196.81049999999999</v>
      </c>
      <c r="M3189">
        <v>3.4320009999999901E-3</v>
      </c>
      <c r="N3189">
        <v>0</v>
      </c>
      <c r="O3189">
        <v>-0.999897699999999</v>
      </c>
      <c r="P3189">
        <v>-3.7262879999999998E-2</v>
      </c>
      <c r="Q3189">
        <v>1.779613E-2</v>
      </c>
      <c r="R3189">
        <v>-0.99914720000000001</v>
      </c>
      <c r="S3189">
        <v>-1.464844E-2</v>
      </c>
      <c r="T3189">
        <v>-0.25874819999999998</v>
      </c>
      <c r="U3189">
        <v>-3.00738499999999</v>
      </c>
      <c r="V3189">
        <v>4.0812809999999998E-2</v>
      </c>
      <c r="W3189">
        <v>3.1514979999999998E-2</v>
      </c>
      <c r="X3189">
        <v>0.99866969999999999</v>
      </c>
      <c r="Y3189">
        <v>8.2850990000000006E-3</v>
      </c>
      <c r="Z3189">
        <v>8.571819E-2</v>
      </c>
      <c r="AA3189">
        <v>0.99628499999999998</v>
      </c>
      <c r="AB3189">
        <v>21</v>
      </c>
      <c r="AC3189">
        <v>-1.6999999999995901E-3</v>
      </c>
      <c r="AD3189">
        <v>-7.5228999999999893E-2</v>
      </c>
      <c r="AE3189">
        <v>-0.66620000000000301</v>
      </c>
      <c r="AF3189">
        <v>3.9364146359395797E-3</v>
      </c>
      <c r="AG3189">
        <v>-7.5228999999999893E-2</v>
      </c>
      <c r="AH3189">
        <v>0.65780232815170303</v>
      </c>
      <c r="AI3189">
        <v>96.524121644156907</v>
      </c>
      <c r="AJ3189">
        <v>89.657135216427804</v>
      </c>
      <c r="AK3189">
        <v>0.66210180540683194</v>
      </c>
    </row>
    <row r="3190" spans="1:37" x14ac:dyDescent="0.2">
      <c r="A3190" t="str">
        <f>"20200111160220276"</f>
        <v>20200111160220276</v>
      </c>
      <c r="B3190" t="str">
        <f>"1578729740265584"</f>
        <v>1578729740265584</v>
      </c>
      <c r="C3190" t="s">
        <v>37</v>
      </c>
      <c r="D3190">
        <v>5.2055189999999998</v>
      </c>
      <c r="E3190">
        <v>0.58565109999999998</v>
      </c>
      <c r="F3190" t="s">
        <v>38</v>
      </c>
      <c r="G3190">
        <v>-194.14019999999999</v>
      </c>
      <c r="H3190" s="1">
        <v>-3.7321670000000002E-6</v>
      </c>
      <c r="I3190">
        <v>185.79589999999999</v>
      </c>
      <c r="J3190">
        <v>-191.66759999999999</v>
      </c>
      <c r="K3190">
        <v>1.1031280000000001</v>
      </c>
      <c r="L3190">
        <v>196.61089999999999</v>
      </c>
      <c r="M3190">
        <v>4.143924E-4</v>
      </c>
      <c r="N3190">
        <v>0</v>
      </c>
      <c r="O3190">
        <v>-0.99990440000000003</v>
      </c>
      <c r="P3190">
        <v>-4.2865510000000002E-2</v>
      </c>
      <c r="Q3190">
        <v>1.460499E-2</v>
      </c>
      <c r="R3190">
        <v>-0.99897429999999998</v>
      </c>
      <c r="S3190">
        <v>-0.67041019999999996</v>
      </c>
      <c r="T3190">
        <v>-0.29871379999999997</v>
      </c>
      <c r="U3190">
        <v>-2.98286399999999</v>
      </c>
      <c r="V3190">
        <v>4.338127E-2</v>
      </c>
      <c r="W3190">
        <v>2.8282040000000001E-2</v>
      </c>
      <c r="X3190">
        <v>0.99865820000000005</v>
      </c>
      <c r="Y3190">
        <v>0.2186487</v>
      </c>
      <c r="Z3190">
        <v>9.7238359999999996E-2</v>
      </c>
      <c r="AA3190">
        <v>0.97094669999999905</v>
      </c>
      <c r="AB3190">
        <v>21</v>
      </c>
      <c r="AC3190">
        <v>-2.4725999999999999</v>
      </c>
      <c r="AD3190">
        <v>-1.103131732167</v>
      </c>
      <c r="AE3190">
        <v>-10.8149999999999</v>
      </c>
      <c r="AF3190">
        <v>2.4528301860386401</v>
      </c>
      <c r="AG3190">
        <v>-1.103131732167</v>
      </c>
      <c r="AH3190">
        <v>10.708100945122</v>
      </c>
      <c r="AI3190">
        <v>95.734285202096601</v>
      </c>
      <c r="AJ3190">
        <v>77.098232413004993</v>
      </c>
      <c r="AK3190">
        <v>11.040683918624801</v>
      </c>
    </row>
    <row r="3191" spans="1:37" x14ac:dyDescent="0.2">
      <c r="A3191" t="str">
        <f>"20200111160220299"</f>
        <v>20200111160220299</v>
      </c>
      <c r="B3191" t="str">
        <f>"1578729740294863"</f>
        <v>1578729740294863</v>
      </c>
      <c r="C3191" t="s">
        <v>37</v>
      </c>
      <c r="D3191">
        <v>5.1918930000000003</v>
      </c>
      <c r="E3191">
        <v>0.58947069999999901</v>
      </c>
      <c r="F3191" t="s">
        <v>38</v>
      </c>
      <c r="G3191">
        <v>-194.5558</v>
      </c>
      <c r="H3191" s="1">
        <v>-3.769933E-6</v>
      </c>
      <c r="I3191">
        <v>185.6902</v>
      </c>
      <c r="J3191">
        <v>-191.67140000000001</v>
      </c>
      <c r="K3191">
        <v>1.103226</v>
      </c>
      <c r="L3191">
        <v>196.39230000000001</v>
      </c>
      <c r="M3191">
        <v>-2.6139729999999999E-3</v>
      </c>
      <c r="N3191">
        <v>0</v>
      </c>
      <c r="O3191">
        <v>-0.99990140000000005</v>
      </c>
      <c r="P3191">
        <v>-4.7159029999999998E-2</v>
      </c>
      <c r="Q3191">
        <v>1.369657E-2</v>
      </c>
      <c r="R3191">
        <v>-0.99879370000000001</v>
      </c>
      <c r="S3191">
        <v>-0.78645319999999996</v>
      </c>
      <c r="T3191">
        <v>-0.3003845</v>
      </c>
      <c r="U3191">
        <v>-2.9737239999999998</v>
      </c>
      <c r="V3191">
        <v>4.464017E-2</v>
      </c>
      <c r="W3191">
        <v>2.733874E-2</v>
      </c>
      <c r="X3191">
        <v>0.99862899999999999</v>
      </c>
      <c r="Y3191">
        <v>0.25193779999999999</v>
      </c>
      <c r="Z3191">
        <v>9.722538E-2</v>
      </c>
      <c r="AA3191">
        <v>0.96284709999999996</v>
      </c>
      <c r="AB3191">
        <v>21</v>
      </c>
      <c r="AC3191">
        <v>-2.8843999999999901</v>
      </c>
      <c r="AD3191">
        <v>-1.103229769933</v>
      </c>
      <c r="AE3191">
        <v>-10.7021</v>
      </c>
      <c r="AF3191">
        <v>2.82839173382082</v>
      </c>
      <c r="AG3191">
        <v>-1.103229769933</v>
      </c>
      <c r="AH3191">
        <v>10.6045451516145</v>
      </c>
      <c r="AI3191">
        <v>95.740076695040997</v>
      </c>
      <c r="AJ3191">
        <v>75.065995021201402</v>
      </c>
      <c r="AK3191">
        <v>11.0305617988316</v>
      </c>
    </row>
    <row r="3192" spans="1:37" x14ac:dyDescent="0.2">
      <c r="A3192" t="str">
        <f>"20200111160220323"</f>
        <v>20200111160220323</v>
      </c>
      <c r="B3192" t="str">
        <f>"1578729740315359"</f>
        <v>1578729740315359</v>
      </c>
      <c r="C3192" t="s">
        <v>37</v>
      </c>
      <c r="D3192">
        <v>5.2198399999999996</v>
      </c>
      <c r="E3192">
        <v>0.59102519999999903</v>
      </c>
      <c r="F3192" t="s">
        <v>38</v>
      </c>
      <c r="G3192">
        <v>-194.8364</v>
      </c>
      <c r="H3192" s="1">
        <v>-3.617951E-6</v>
      </c>
      <c r="I3192">
        <v>185.09729999999999</v>
      </c>
      <c r="J3192">
        <v>-191.6755</v>
      </c>
      <c r="K3192">
        <v>1.103361</v>
      </c>
      <c r="L3192">
        <v>196.1763</v>
      </c>
      <c r="M3192">
        <v>-5.328714E-3</v>
      </c>
      <c r="N3192">
        <v>0</v>
      </c>
      <c r="O3192">
        <v>-0.99989110000000003</v>
      </c>
      <c r="P3192">
        <v>-5.0437740000000002E-2</v>
      </c>
      <c r="Q3192">
        <v>1.369189E-2</v>
      </c>
      <c r="R3192">
        <v>-0.99863349999999995</v>
      </c>
      <c r="S3192">
        <v>-0.83175659999999896</v>
      </c>
      <c r="T3192">
        <v>-0.28992810000000002</v>
      </c>
      <c r="U3192">
        <v>-2.9683229999999998</v>
      </c>
      <c r="V3192">
        <v>4.5198969999999998E-2</v>
      </c>
      <c r="W3192">
        <v>2.731014E-2</v>
      </c>
      <c r="X3192">
        <v>0.99860469999999901</v>
      </c>
      <c r="Y3192">
        <v>0.26349609999999901</v>
      </c>
      <c r="Z3192">
        <v>9.3703980000000006E-2</v>
      </c>
      <c r="AA3192">
        <v>0.96009859999999903</v>
      </c>
      <c r="AB3192">
        <v>21</v>
      </c>
      <c r="AC3192">
        <v>-3.1608999999999901</v>
      </c>
      <c r="AD3192">
        <v>-1.1033646179509999</v>
      </c>
      <c r="AE3192">
        <v>-11.079000000000001</v>
      </c>
      <c r="AF3192">
        <v>3.0736222887099198</v>
      </c>
      <c r="AG3192">
        <v>-1.1033646179509999</v>
      </c>
      <c r="AH3192">
        <v>10.9948461208119</v>
      </c>
      <c r="AI3192">
        <v>95.520347245309907</v>
      </c>
      <c r="AJ3192">
        <v>74.381601893488295</v>
      </c>
      <c r="AK3192">
        <v>11.4695775281452</v>
      </c>
    </row>
    <row r="3193" spans="1:37" x14ac:dyDescent="0.2">
      <c r="A3193" t="str">
        <f>"20200111160220345"</f>
        <v>20200111160220345</v>
      </c>
      <c r="B3193" t="str">
        <f>"1578729740334879"</f>
        <v>1578729740334879</v>
      </c>
      <c r="C3193" t="s">
        <v>37</v>
      </c>
      <c r="D3193">
        <v>5.185676</v>
      </c>
      <c r="E3193">
        <v>0.59196780000000004</v>
      </c>
      <c r="F3193" t="s">
        <v>38</v>
      </c>
      <c r="G3193">
        <v>-195.0369</v>
      </c>
      <c r="H3193" s="1">
        <v>-3.4567709999999999E-6</v>
      </c>
      <c r="I3193">
        <v>184.52289999999999</v>
      </c>
      <c r="J3193">
        <v>-191.6797</v>
      </c>
      <c r="K3193">
        <v>1.103556</v>
      </c>
      <c r="L3193">
        <v>195.9649</v>
      </c>
      <c r="M3193">
        <v>-7.685496E-3</v>
      </c>
      <c r="N3193">
        <v>0</v>
      </c>
      <c r="O3193">
        <v>-0.99987619999999899</v>
      </c>
      <c r="P3193">
        <v>-5.2640619999999999E-2</v>
      </c>
      <c r="Q3193">
        <v>1.351772E-2</v>
      </c>
      <c r="R3193">
        <v>-0.99852220000000003</v>
      </c>
      <c r="S3193">
        <v>-0.85517880000000002</v>
      </c>
      <c r="T3193">
        <v>-0.28071119999999999</v>
      </c>
      <c r="U3193">
        <v>-2.9647669999999899</v>
      </c>
      <c r="V3193">
        <v>4.5034989999999997E-2</v>
      </c>
      <c r="W3193">
        <v>2.7124720000000001E-2</v>
      </c>
      <c r="X3193">
        <v>0.99861710000000004</v>
      </c>
      <c r="Y3193">
        <v>0.26861299999999999</v>
      </c>
      <c r="Z3193">
        <v>9.0692079999999994E-2</v>
      </c>
      <c r="AA3193">
        <v>0.95896919999999897</v>
      </c>
      <c r="AB3193">
        <v>21</v>
      </c>
      <c r="AC3193">
        <v>-3.3572000000000002</v>
      </c>
      <c r="AD3193">
        <v>-1.1035594567710001</v>
      </c>
      <c r="AE3193">
        <v>-11.442</v>
      </c>
      <c r="AF3193">
        <v>3.2413929113830502</v>
      </c>
      <c r="AG3193">
        <v>-1.1035594567710001</v>
      </c>
      <c r="AH3193">
        <v>11.370082647793801</v>
      </c>
      <c r="AI3193">
        <v>95.332501198330306</v>
      </c>
      <c r="AJ3193">
        <v>74.088163395814107</v>
      </c>
      <c r="AK3193">
        <v>11.8744789737595</v>
      </c>
    </row>
    <row r="3194" spans="1:37" x14ac:dyDescent="0.2">
      <c r="A3194" t="str">
        <f>"20200111160220367"</f>
        <v>20200111160220367</v>
      </c>
      <c r="B3194" t="str">
        <f>"1578729740355374"</f>
        <v>1578729740355374</v>
      </c>
      <c r="C3194" t="s">
        <v>37</v>
      </c>
      <c r="D3194">
        <v>5.1859489999999999</v>
      </c>
      <c r="E3194">
        <v>0.59221859999999904</v>
      </c>
      <c r="F3194" t="s">
        <v>38</v>
      </c>
      <c r="G3194">
        <v>-195.14879999999999</v>
      </c>
      <c r="H3194" s="1">
        <v>-3.32619899999999E-6</v>
      </c>
      <c r="I3194">
        <v>184.1491</v>
      </c>
      <c r="J3194">
        <v>-191.68369999999999</v>
      </c>
      <c r="K3194">
        <v>1.1037980000000001</v>
      </c>
      <c r="L3194">
        <v>195.7619</v>
      </c>
      <c r="M3194">
        <v>-9.6149640000000001E-3</v>
      </c>
      <c r="N3194">
        <v>0</v>
      </c>
      <c r="O3194">
        <v>-0.99985999999999997</v>
      </c>
      <c r="P3194">
        <v>-5.4051910000000002E-2</v>
      </c>
      <c r="Q3194">
        <v>1.245215E-2</v>
      </c>
      <c r="R3194">
        <v>-0.99846109999999899</v>
      </c>
      <c r="S3194">
        <v>-0.86975100000000005</v>
      </c>
      <c r="T3194">
        <v>-0.27667540000000002</v>
      </c>
      <c r="U3194">
        <v>-2.9623569999999999</v>
      </c>
      <c r="V3194">
        <v>4.4500949999999997E-2</v>
      </c>
      <c r="W3194">
        <v>2.6059840000000001E-2</v>
      </c>
      <c r="X3194">
        <v>0.99866939999999904</v>
      </c>
      <c r="Y3194">
        <v>0.27134399999999997</v>
      </c>
      <c r="Z3194">
        <v>8.9371569999999997E-2</v>
      </c>
      <c r="AA3194">
        <v>0.95832410000000001</v>
      </c>
      <c r="AB3194">
        <v>21</v>
      </c>
      <c r="AC3194">
        <v>-3.4651000000000001</v>
      </c>
      <c r="AD3194">
        <v>-1.1038013261990001</v>
      </c>
      <c r="AE3194">
        <v>-11.612799999999901</v>
      </c>
      <c r="AF3194">
        <v>3.32568295765661</v>
      </c>
      <c r="AG3194">
        <v>-1.1038013261990001</v>
      </c>
      <c r="AH3194">
        <v>11.549766699953</v>
      </c>
      <c r="AI3194">
        <v>95.247196142037197</v>
      </c>
      <c r="AJ3194">
        <v>73.936576365394501</v>
      </c>
      <c r="AK3194">
        <v>12.0696170331088</v>
      </c>
    </row>
    <row r="3195" spans="1:37" x14ac:dyDescent="0.2">
      <c r="A3195" t="str">
        <f>"20200111160220389"</f>
        <v>20200111160220389</v>
      </c>
      <c r="B3195" t="str">
        <f>"1578729740384655"</f>
        <v>1578729740384655</v>
      </c>
      <c r="C3195" t="s">
        <v>37</v>
      </c>
      <c r="D3195">
        <v>5.223471</v>
      </c>
      <c r="E3195">
        <v>0.59231160000000005</v>
      </c>
      <c r="F3195" t="s">
        <v>38</v>
      </c>
      <c r="G3195">
        <v>-195.1542</v>
      </c>
      <c r="H3195" s="1">
        <v>-3.2743109999999998E-6</v>
      </c>
      <c r="I3195">
        <v>184.0248</v>
      </c>
      <c r="J3195">
        <v>-191.6875</v>
      </c>
      <c r="K3195">
        <v>1.104077</v>
      </c>
      <c r="L3195">
        <v>195.56099999999901</v>
      </c>
      <c r="M3195">
        <v>-1.113719E-2</v>
      </c>
      <c r="N3195">
        <v>0</v>
      </c>
      <c r="O3195">
        <v>-0.99984439999999997</v>
      </c>
      <c r="P3195">
        <v>-5.5389710000000002E-2</v>
      </c>
      <c r="Q3195">
        <v>1.159716E-2</v>
      </c>
      <c r="R3195">
        <v>-0.9983976</v>
      </c>
      <c r="S3195">
        <v>-0.87544249999999901</v>
      </c>
      <c r="T3195">
        <v>-0.27843600000000002</v>
      </c>
      <c r="U3195">
        <v>-2.960709</v>
      </c>
      <c r="V3195">
        <v>4.42998E-2</v>
      </c>
      <c r="W3195">
        <v>2.5211830000000001E-2</v>
      </c>
      <c r="X3195">
        <v>0.99870009999999998</v>
      </c>
      <c r="Y3195">
        <v>0.27170359999999899</v>
      </c>
      <c r="Z3195">
        <v>8.9952649999999995E-2</v>
      </c>
      <c r="AA3195">
        <v>0.95816789999999996</v>
      </c>
      <c r="AB3195">
        <v>21</v>
      </c>
      <c r="AC3195">
        <v>-3.4666999999999999</v>
      </c>
      <c r="AD3195">
        <v>-1.1040802743109901</v>
      </c>
      <c r="AE3195">
        <v>-11.5361999999999</v>
      </c>
      <c r="AF3195">
        <v>3.3101834097533098</v>
      </c>
      <c r="AG3195">
        <v>-1.1040802743109901</v>
      </c>
      <c r="AH3195">
        <v>11.47767398723</v>
      </c>
      <c r="AI3195">
        <v>95.280655329150306</v>
      </c>
      <c r="AJ3195">
        <v>73.912336288494004</v>
      </c>
      <c r="AK3195">
        <v>11.9963872734864</v>
      </c>
    </row>
    <row r="3196" spans="1:37" x14ac:dyDescent="0.2">
      <c r="A3196" t="str">
        <f>"20200111160220411"</f>
        <v>20200111160220411</v>
      </c>
      <c r="B3196" t="str">
        <f>"1578729740405151"</f>
        <v>1578729740405151</v>
      </c>
      <c r="C3196" t="s">
        <v>37</v>
      </c>
      <c r="D3196">
        <v>5.2438419999999999</v>
      </c>
      <c r="E3196">
        <v>0.59222399999999997</v>
      </c>
      <c r="F3196" t="s">
        <v>38</v>
      </c>
      <c r="G3196">
        <v>-195.15539999999999</v>
      </c>
      <c r="H3196" s="1">
        <v>-3.2192079999999998E-6</v>
      </c>
      <c r="I3196">
        <v>183.8956</v>
      </c>
      <c r="J3196">
        <v>-191.69139999999999</v>
      </c>
      <c r="K3196">
        <v>1.1043719999999999</v>
      </c>
      <c r="L3196">
        <v>195.3485</v>
      </c>
      <c r="M3196">
        <v>-1.22346E-2</v>
      </c>
      <c r="N3196">
        <v>0</v>
      </c>
      <c r="O3196">
        <v>-0.99983199999999905</v>
      </c>
      <c r="P3196">
        <v>-5.7033819999999999E-2</v>
      </c>
      <c r="Q3196">
        <v>1.166471E-2</v>
      </c>
      <c r="R3196">
        <v>-0.99830469999999905</v>
      </c>
      <c r="S3196">
        <v>-0.87973020000000002</v>
      </c>
      <c r="T3196">
        <v>-0.28008339999999998</v>
      </c>
      <c r="U3196">
        <v>-2.9592740000000002</v>
      </c>
      <c r="V3196">
        <v>4.4830149999999999E-2</v>
      </c>
      <c r="W3196">
        <v>2.5289530000000001E-2</v>
      </c>
      <c r="X3196">
        <v>0.99867450000000002</v>
      </c>
      <c r="Y3196">
        <v>0.2720361</v>
      </c>
      <c r="Z3196">
        <v>9.0497869999999994E-2</v>
      </c>
      <c r="AA3196">
        <v>0.95802219999999905</v>
      </c>
      <c r="AB3196">
        <v>21</v>
      </c>
      <c r="AC3196">
        <v>-3.4639999999999902</v>
      </c>
      <c r="AD3196">
        <v>-1.1043752192080001</v>
      </c>
      <c r="AE3196">
        <v>-11.4529</v>
      </c>
      <c r="AF3196">
        <v>3.2955314747967002</v>
      </c>
      <c r="AG3196">
        <v>-1.1043752192080001</v>
      </c>
      <c r="AH3196">
        <v>11.3973337873018</v>
      </c>
      <c r="AI3196">
        <v>95.318025149310003</v>
      </c>
      <c r="AJ3196">
        <v>73.872809761008895</v>
      </c>
      <c r="AK3196">
        <v>11.9155104710352</v>
      </c>
    </row>
    <row r="3197" spans="1:37" x14ac:dyDescent="0.2">
      <c r="A3197" t="str">
        <f>"20200111160220434"</f>
        <v>20200111160220434</v>
      </c>
      <c r="B3197" t="str">
        <f>"1578729740424674"</f>
        <v>1578729740424674</v>
      </c>
      <c r="C3197" t="s">
        <v>37</v>
      </c>
      <c r="D3197">
        <v>5.2443559999999998</v>
      </c>
      <c r="E3197">
        <v>0.59197509999999998</v>
      </c>
      <c r="F3197" t="s">
        <v>38</v>
      </c>
      <c r="G3197">
        <v>-195.1814</v>
      </c>
      <c r="H3197" s="1">
        <v>-3.1278559999999998E-6</v>
      </c>
      <c r="I3197">
        <v>183.66659999999999</v>
      </c>
      <c r="J3197">
        <v>-191.69479999999999</v>
      </c>
      <c r="K3197">
        <v>1.104641</v>
      </c>
      <c r="L3197">
        <v>195.13730000000001</v>
      </c>
      <c r="M3197">
        <v>-1.282263E-2</v>
      </c>
      <c r="N3197">
        <v>0</v>
      </c>
      <c r="O3197">
        <v>-0.99982479999999996</v>
      </c>
      <c r="P3197">
        <v>-5.8469880000000002E-2</v>
      </c>
      <c r="Q3197">
        <v>1.1690030000000001E-2</v>
      </c>
      <c r="R3197">
        <v>-0.99822099999999903</v>
      </c>
      <c r="S3197">
        <v>-0.88366699999999998</v>
      </c>
      <c r="T3197">
        <v>-0.27962789999999998</v>
      </c>
      <c r="U3197">
        <v>-2.9578700000000002</v>
      </c>
      <c r="V3197">
        <v>4.5662920000000003E-2</v>
      </c>
      <c r="W3197">
        <v>2.5325750000000001E-2</v>
      </c>
      <c r="X3197">
        <v>0.99863579999999996</v>
      </c>
      <c r="Y3197">
        <v>0.27276889999999998</v>
      </c>
      <c r="Z3197">
        <v>9.0365479999999998E-2</v>
      </c>
      <c r="AA3197">
        <v>0.95782630000000002</v>
      </c>
      <c r="AB3197">
        <v>21</v>
      </c>
      <c r="AC3197">
        <v>-3.4866000000000001</v>
      </c>
      <c r="AD3197">
        <v>-1.104644127856</v>
      </c>
      <c r="AE3197">
        <v>-11.470700000000001</v>
      </c>
      <c r="AF3197">
        <v>3.31110512239351</v>
      </c>
      <c r="AG3197">
        <v>-1.104644127856</v>
      </c>
      <c r="AH3197">
        <v>11.4175379809161</v>
      </c>
      <c r="AI3197">
        <v>95.308751414049098</v>
      </c>
      <c r="AJ3197">
        <v>73.827752534954001</v>
      </c>
      <c r="AK3197">
        <v>11.9391720536396</v>
      </c>
    </row>
    <row r="3198" spans="1:37" x14ac:dyDescent="0.2">
      <c r="A3198" t="str">
        <f>"20200111160220454"</f>
        <v>20200111160220454</v>
      </c>
      <c r="B3198" t="str">
        <f>"1578729740445167"</f>
        <v>1578729740445167</v>
      </c>
      <c r="C3198" t="s">
        <v>37</v>
      </c>
      <c r="D3198">
        <v>5.2807120000000003</v>
      </c>
      <c r="E3198">
        <v>0.59171609999999997</v>
      </c>
      <c r="F3198" t="s">
        <v>38</v>
      </c>
      <c r="G3198">
        <v>-195.1942</v>
      </c>
      <c r="H3198" s="1">
        <v>-3.0426209999999998E-6</v>
      </c>
      <c r="I3198">
        <v>183.46</v>
      </c>
      <c r="J3198">
        <v>-191.69759999999999</v>
      </c>
      <c r="K3198">
        <v>1.104827</v>
      </c>
      <c r="L3198">
        <v>194.94589999999999</v>
      </c>
      <c r="M3198">
        <v>-1.2998060000000001E-2</v>
      </c>
      <c r="N3198">
        <v>0</v>
      </c>
      <c r="O3198">
        <v>-0.99982280000000001</v>
      </c>
      <c r="P3198">
        <v>-5.9802840000000003E-2</v>
      </c>
      <c r="Q3198">
        <v>1.1318659999999999E-2</v>
      </c>
      <c r="R3198">
        <v>-0.99814650000000005</v>
      </c>
      <c r="S3198">
        <v>-0.88604740000000004</v>
      </c>
      <c r="T3198">
        <v>-0.27969829999999901</v>
      </c>
      <c r="U3198">
        <v>-2.95672599999999</v>
      </c>
      <c r="V3198">
        <v>4.6809610000000001E-2</v>
      </c>
      <c r="W3198">
        <v>2.4962040000000001E-2</v>
      </c>
      <c r="X3198">
        <v>0.99859189999999998</v>
      </c>
      <c r="Y3198">
        <v>0.2734085</v>
      </c>
      <c r="Z3198">
        <v>9.0402460000000004E-2</v>
      </c>
      <c r="AA3198">
        <v>0.95764039999999995</v>
      </c>
      <c r="AB3198">
        <v>21</v>
      </c>
      <c r="AC3198">
        <v>-3.4965999999999999</v>
      </c>
      <c r="AD3198">
        <v>-1.104830042621</v>
      </c>
      <c r="AE3198">
        <v>-11.4858999999999</v>
      </c>
      <c r="AF3198">
        <v>3.3188926208270799</v>
      </c>
      <c r="AG3198">
        <v>-1.104830042621</v>
      </c>
      <c r="AH3198">
        <v>11.433565737078901</v>
      </c>
      <c r="AI3198">
        <v>95.301851722455496</v>
      </c>
      <c r="AJ3198">
        <v>73.813241812330901</v>
      </c>
      <c r="AK3198">
        <v>11.9566769261264</v>
      </c>
    </row>
    <row r="3199" spans="1:37" x14ac:dyDescent="0.2">
      <c r="A3199" t="str">
        <f>"20200111160220478"</f>
        <v>20200111160220478</v>
      </c>
      <c r="B3199" t="str">
        <f>"1578729740475423"</f>
        <v>1578729740475423</v>
      </c>
      <c r="C3199" t="s">
        <v>37</v>
      </c>
      <c r="D3199">
        <v>5.2700750000000003</v>
      </c>
      <c r="E3199">
        <v>0.5912809</v>
      </c>
      <c r="F3199" t="s">
        <v>38</v>
      </c>
      <c r="G3199">
        <v>-195.1919</v>
      </c>
      <c r="H3199" s="1">
        <v>-2.98104699999999E-6</v>
      </c>
      <c r="I3199">
        <v>183.31780000000001</v>
      </c>
      <c r="J3199">
        <v>-191.7004</v>
      </c>
      <c r="K3199">
        <v>1.104978</v>
      </c>
      <c r="L3199">
        <v>194.73519999999999</v>
      </c>
      <c r="M3199">
        <v>-1.283521E-2</v>
      </c>
      <c r="N3199">
        <v>0</v>
      </c>
      <c r="O3199">
        <v>-0.99982479999999996</v>
      </c>
      <c r="P3199">
        <v>-6.055721E-2</v>
      </c>
      <c r="Q3199">
        <v>1.0704119999999999E-2</v>
      </c>
      <c r="R3199">
        <v>-0.99810759999999898</v>
      </c>
      <c r="S3199">
        <v>-0.88815309999999903</v>
      </c>
      <c r="T3199">
        <v>-0.28081980000000001</v>
      </c>
      <c r="U3199">
        <v>-2.9555660000000001</v>
      </c>
      <c r="V3199">
        <v>4.7717879999999997E-2</v>
      </c>
      <c r="W3199">
        <v>2.4351879999999999E-2</v>
      </c>
      <c r="X3199">
        <v>0.99856389999999995</v>
      </c>
      <c r="Y3199">
        <v>0.27428449999999999</v>
      </c>
      <c r="Z3199">
        <v>9.0775389999999997E-2</v>
      </c>
      <c r="AA3199">
        <v>0.95735459999999994</v>
      </c>
      <c r="AB3199">
        <v>21</v>
      </c>
      <c r="AC3199">
        <v>-3.4914999999999998</v>
      </c>
      <c r="AD3199">
        <v>-1.1049809810469999</v>
      </c>
      <c r="AE3199">
        <v>-11.417399999999899</v>
      </c>
      <c r="AF3199">
        <v>3.31624887249595</v>
      </c>
      <c r="AG3199">
        <v>-1.1049809810469999</v>
      </c>
      <c r="AH3199">
        <v>11.363940458280201</v>
      </c>
      <c r="AI3199">
        <v>95.3326735738233</v>
      </c>
      <c r="AJ3199">
        <v>73.731588612985107</v>
      </c>
      <c r="AK3199">
        <v>11.889391586289999</v>
      </c>
    </row>
    <row r="3200" spans="1:37" x14ac:dyDescent="0.2">
      <c r="A3200" t="str">
        <f>"20200111160220499"</f>
        <v>20200111160220499</v>
      </c>
      <c r="B3200" t="str">
        <f>"1578729740494943"</f>
        <v>1578729740494943</v>
      </c>
      <c r="C3200" t="s">
        <v>37</v>
      </c>
      <c r="D3200">
        <v>5.2453269999999996</v>
      </c>
      <c r="E3200">
        <v>0.59111409999999998</v>
      </c>
      <c r="F3200" t="s">
        <v>38</v>
      </c>
      <c r="G3200">
        <v>-195.1891</v>
      </c>
      <c r="H3200" s="1">
        <v>-2.8966119999999998E-6</v>
      </c>
      <c r="I3200">
        <v>183.12280000000001</v>
      </c>
      <c r="J3200">
        <v>-191.70259999999999</v>
      </c>
      <c r="K3200">
        <v>1.105092</v>
      </c>
      <c r="L3200">
        <v>194.5384</v>
      </c>
      <c r="M3200">
        <v>-1.2388359999999999E-2</v>
      </c>
      <c r="N3200">
        <v>0</v>
      </c>
      <c r="O3200">
        <v>-0.99983060000000001</v>
      </c>
      <c r="P3200">
        <v>-6.0095719999999998E-2</v>
      </c>
      <c r="Q3200">
        <v>1.0474310000000001E-2</v>
      </c>
      <c r="R3200">
        <v>-0.99813779999999996</v>
      </c>
      <c r="S3200">
        <v>-0.88772580000000001</v>
      </c>
      <c r="T3200">
        <v>-0.28117049999999999</v>
      </c>
      <c r="U3200">
        <v>-2.9548649999999999</v>
      </c>
      <c r="V3200">
        <v>4.7695519999999998E-2</v>
      </c>
      <c r="W3200">
        <v>2.4124019999999999E-2</v>
      </c>
      <c r="X3200">
        <v>0.99857059999999997</v>
      </c>
      <c r="Y3200">
        <v>0.27464629999999901</v>
      </c>
      <c r="Z3200">
        <v>9.0906109999999998E-2</v>
      </c>
      <c r="AA3200">
        <v>0.95723840000000004</v>
      </c>
      <c r="AB3200">
        <v>21</v>
      </c>
      <c r="AC3200">
        <v>-3.4864999999999999</v>
      </c>
      <c r="AD3200">
        <v>-1.105094896612</v>
      </c>
      <c r="AE3200">
        <v>-11.4155999999999</v>
      </c>
      <c r="AF3200">
        <v>3.3163715392580002</v>
      </c>
      <c r="AG3200">
        <v>-1.105094896612</v>
      </c>
      <c r="AH3200">
        <v>11.360539833092099</v>
      </c>
      <c r="AI3200">
        <v>95.334667366100703</v>
      </c>
      <c r="AJ3200">
        <v>73.726406456801797</v>
      </c>
      <c r="AK3200">
        <v>11.8861861089329</v>
      </c>
    </row>
    <row r="3201" spans="1:37" x14ac:dyDescent="0.2">
      <c r="A3201" t="str">
        <f>"20200111160220523"</f>
        <v>20200111160220523</v>
      </c>
      <c r="B3201" t="str">
        <f>"1578729740515440"</f>
        <v>1578729740515440</v>
      </c>
      <c r="C3201" t="s">
        <v>37</v>
      </c>
      <c r="D3201">
        <v>5.2922789999999997</v>
      </c>
      <c r="E3201">
        <v>0.59075159999999904</v>
      </c>
      <c r="F3201" t="s">
        <v>38</v>
      </c>
      <c r="G3201">
        <v>-195.20840000000001</v>
      </c>
      <c r="H3201" s="1">
        <v>-2.782537E-6</v>
      </c>
      <c r="I3201">
        <v>182.8449</v>
      </c>
      <c r="J3201">
        <v>-191.7047</v>
      </c>
      <c r="K3201">
        <v>1.1052070000000001</v>
      </c>
      <c r="L3201">
        <v>194.322</v>
      </c>
      <c r="M3201">
        <v>-1.162261E-2</v>
      </c>
      <c r="N3201">
        <v>0</v>
      </c>
      <c r="O3201">
        <v>-0.99984010000000001</v>
      </c>
      <c r="P3201">
        <v>-5.9374639999999999E-2</v>
      </c>
      <c r="Q3201">
        <v>1.0012760000000001E-2</v>
      </c>
      <c r="R3201">
        <v>-0.99818589999999996</v>
      </c>
      <c r="S3201">
        <v>-0.88597109999999901</v>
      </c>
      <c r="T3201">
        <v>-0.27927940000000001</v>
      </c>
      <c r="U3201">
        <v>-2.95518499999999</v>
      </c>
      <c r="V3201">
        <v>4.7732249999999997E-2</v>
      </c>
      <c r="W3201">
        <v>2.3666380000000001E-2</v>
      </c>
      <c r="X3201">
        <v>0.99857969999999896</v>
      </c>
      <c r="Y3201">
        <v>0.27484829999999999</v>
      </c>
      <c r="Z3201">
        <v>9.0296650000000006E-2</v>
      </c>
      <c r="AA3201">
        <v>0.95723819999999904</v>
      </c>
      <c r="AB3201">
        <v>21</v>
      </c>
      <c r="AC3201">
        <v>-3.5036999999999998</v>
      </c>
      <c r="AD3201">
        <v>-1.105209782537</v>
      </c>
      <c r="AE3201">
        <v>-11.4771</v>
      </c>
      <c r="AF3201">
        <v>3.3417108078424</v>
      </c>
      <c r="AG3201">
        <v>-1.105209782537</v>
      </c>
      <c r="AH3201">
        <v>11.420178014611</v>
      </c>
      <c r="AI3201">
        <v>95.306530260446806</v>
      </c>
      <c r="AJ3201">
        <v>73.689753646143302</v>
      </c>
      <c r="AK3201">
        <v>11.950271363951201</v>
      </c>
    </row>
    <row r="3202" spans="1:37" x14ac:dyDescent="0.2">
      <c r="A3202" t="str">
        <f>"20200111160220545"</f>
        <v>20200111160220545</v>
      </c>
      <c r="B3202" t="str">
        <f>"1578729740534959"</f>
        <v>1578729740534959</v>
      </c>
      <c r="C3202" t="s">
        <v>37</v>
      </c>
      <c r="D3202">
        <v>6.3190019999999896</v>
      </c>
      <c r="E3202">
        <v>0.55997149999999996</v>
      </c>
      <c r="F3202" t="s">
        <v>38</v>
      </c>
      <c r="G3202">
        <v>-195.21090000000001</v>
      </c>
      <c r="H3202" s="1">
        <v>-2.6658329999999998E-6</v>
      </c>
      <c r="I3202">
        <v>182.57130000000001</v>
      </c>
      <c r="J3202">
        <v>-191.7062</v>
      </c>
      <c r="K3202">
        <v>1.1053269999999999</v>
      </c>
      <c r="L3202">
        <v>194.1199</v>
      </c>
      <c r="M3202">
        <v>-1.070576E-2</v>
      </c>
      <c r="N3202">
        <v>0</v>
      </c>
      <c r="O3202">
        <v>-0.99985040000000003</v>
      </c>
      <c r="P3202">
        <v>-5.8612369999999997E-2</v>
      </c>
      <c r="Q3202">
        <v>9.2589719999999903E-3</v>
      </c>
      <c r="R3202">
        <v>-0.99823809999999902</v>
      </c>
      <c r="S3202">
        <v>-0.88194269999999997</v>
      </c>
      <c r="T3202">
        <v>-0.27800549999999902</v>
      </c>
      <c r="U3202">
        <v>-2.9557799999999999</v>
      </c>
      <c r="V3202">
        <v>4.7879709999999999E-2</v>
      </c>
      <c r="W3202">
        <v>2.291938E-2</v>
      </c>
      <c r="X3202">
        <v>0.99859010000000004</v>
      </c>
      <c r="Y3202">
        <v>0.2744895</v>
      </c>
      <c r="Z3202">
        <v>8.9894160000000001E-2</v>
      </c>
      <c r="AA3202">
        <v>0.95737899999999998</v>
      </c>
      <c r="AB3202">
        <v>21</v>
      </c>
      <c r="AC3202">
        <v>-3.5047000000000099</v>
      </c>
      <c r="AD3202">
        <v>-1.1053296658329901</v>
      </c>
      <c r="AE3202">
        <v>-11.548599999999899</v>
      </c>
      <c r="AF3202">
        <v>3.3527281209979498</v>
      </c>
      <c r="AG3202">
        <v>-1.1053296658329901</v>
      </c>
      <c r="AH3202">
        <v>11.4890902675387</v>
      </c>
      <c r="AI3202">
        <v>95.276574951629499</v>
      </c>
      <c r="AJ3202">
        <v>73.731782688495102</v>
      </c>
      <c r="AK3202">
        <v>12.019223548097999</v>
      </c>
    </row>
    <row r="3203" spans="1:37" x14ac:dyDescent="0.2">
      <c r="A3203" t="str">
        <f>"20200111160220567"</f>
        <v>20200111160220567</v>
      </c>
      <c r="B3203" t="str">
        <f>"1578729740565215"</f>
        <v>1578729740565215</v>
      </c>
      <c r="C3203" t="s">
        <v>37</v>
      </c>
      <c r="D3203">
        <v>5.4412430000000001</v>
      </c>
      <c r="E3203">
        <v>0.47659829999999997</v>
      </c>
      <c r="F3203" t="s">
        <v>77</v>
      </c>
      <c r="G3203">
        <v>-199.96080000000001</v>
      </c>
      <c r="H3203">
        <v>5.3042110000000003E-2</v>
      </c>
      <c r="I3203">
        <v>156.2689</v>
      </c>
      <c r="J3203">
        <v>-191.7072</v>
      </c>
      <c r="K3203">
        <v>1.105432</v>
      </c>
      <c r="L3203">
        <v>193.9271</v>
      </c>
      <c r="M3203">
        <v>-9.6773980000000002E-3</v>
      </c>
      <c r="N3203">
        <v>0</v>
      </c>
      <c r="O3203">
        <v>-0.99986119999999901</v>
      </c>
      <c r="P3203">
        <v>-5.7484489999999999E-2</v>
      </c>
      <c r="Q3203">
        <v>7.9923100000000007E-3</v>
      </c>
      <c r="R3203">
        <v>-0.99831460000000005</v>
      </c>
      <c r="S3203">
        <v>-0.64727780000000001</v>
      </c>
      <c r="T3203">
        <v>-8.2513810000000007E-2</v>
      </c>
      <c r="U3203">
        <v>-2.968048</v>
      </c>
      <c r="V3203">
        <v>4.7774669999999998E-2</v>
      </c>
      <c r="W3203">
        <v>2.1659890000000001E-2</v>
      </c>
      <c r="X3203">
        <v>0.99862329999999999</v>
      </c>
      <c r="Y3203">
        <v>0.2035293</v>
      </c>
      <c r="Z3203">
        <v>2.7178029999999999E-2</v>
      </c>
      <c r="AA3203">
        <v>0.978691599999999</v>
      </c>
      <c r="AB3203">
        <v>20</v>
      </c>
      <c r="AC3203">
        <v>-8.2536000000000005</v>
      </c>
      <c r="AD3203">
        <v>-1.0523898899999999</v>
      </c>
      <c r="AE3203">
        <v>-37.658200000000001</v>
      </c>
      <c r="AF3203">
        <v>7.8828724123602303</v>
      </c>
      <c r="AG3203">
        <v>-1.0523898899999999</v>
      </c>
      <c r="AH3203">
        <v>37.708217767597901</v>
      </c>
      <c r="AI3203">
        <v>91.564829861304105</v>
      </c>
      <c r="AJ3203">
        <v>78.192407218415497</v>
      </c>
      <c r="AK3203">
        <v>38.537733316305797</v>
      </c>
    </row>
    <row r="3204" spans="1:37" x14ac:dyDescent="0.2">
      <c r="A3204" t="str">
        <f>"20200111160220591"</f>
        <v>20200111160220591</v>
      </c>
      <c r="B3204" t="str">
        <f>"1578729740584735"</f>
        <v>1578729740584735</v>
      </c>
      <c r="C3204" t="s">
        <v>37</v>
      </c>
      <c r="D3204">
        <v>5.3187129999999998</v>
      </c>
      <c r="E3204">
        <v>0.47120129999999999</v>
      </c>
      <c r="F3204" t="s">
        <v>38</v>
      </c>
      <c r="G3204">
        <v>-191.5395</v>
      </c>
      <c r="H3204" s="1">
        <v>-2.667543E-6</v>
      </c>
      <c r="I3204">
        <v>174.85239999999999</v>
      </c>
      <c r="J3204">
        <v>-191.70779999999999</v>
      </c>
      <c r="K3204">
        <v>1.105531</v>
      </c>
      <c r="L3204">
        <v>193.7114</v>
      </c>
      <c r="M3204">
        <v>-8.3549569999999997E-3</v>
      </c>
      <c r="N3204">
        <v>0</v>
      </c>
      <c r="O3204">
        <v>-0.99987300000000001</v>
      </c>
      <c r="P3204">
        <v>-5.6141730000000001E-2</v>
      </c>
      <c r="Q3204">
        <v>5.6194929999999997E-3</v>
      </c>
      <c r="R3204">
        <v>-0.99840699999999905</v>
      </c>
      <c r="S3204">
        <v>2.6443479999999998E-2</v>
      </c>
      <c r="T3204">
        <v>-0.174320899999999</v>
      </c>
      <c r="U3204">
        <v>-3.0079799999999999</v>
      </c>
      <c r="V3204">
        <v>4.7751990000000001E-2</v>
      </c>
      <c r="W3204">
        <v>1.929527E-2</v>
      </c>
      <c r="X3204">
        <v>0.99867280000000003</v>
      </c>
      <c r="Y3204">
        <v>-1.7131150000000001E-2</v>
      </c>
      <c r="Z3204">
        <v>5.7847349999999999E-2</v>
      </c>
      <c r="AA3204">
        <v>0.99817839999999902</v>
      </c>
      <c r="AB3204">
        <v>20</v>
      </c>
      <c r="AC3204">
        <v>0.16829999999998699</v>
      </c>
      <c r="AD3204">
        <v>-1.1055336675430001</v>
      </c>
      <c r="AE3204">
        <v>-18.859000000000002</v>
      </c>
      <c r="AF3204">
        <v>-0.32475885098540103</v>
      </c>
      <c r="AG3204">
        <v>-1.1055336675430001</v>
      </c>
      <c r="AH3204">
        <v>18.7923620057819</v>
      </c>
      <c r="AI3204">
        <v>93.366264879051101</v>
      </c>
      <c r="AJ3204">
        <v>90.990054337138403</v>
      </c>
      <c r="AK3204">
        <v>18.8276536710691</v>
      </c>
    </row>
    <row r="3205" spans="1:37" x14ac:dyDescent="0.2">
      <c r="A3205" t="str">
        <f>"20200111160220614"</f>
        <v>20200111160220614</v>
      </c>
      <c r="B3205" t="str">
        <f>"1578729740605231"</f>
        <v>1578729740605231</v>
      </c>
      <c r="C3205" t="s">
        <v>37</v>
      </c>
      <c r="D3205">
        <v>5.1972579999999997</v>
      </c>
      <c r="E3205">
        <v>0.4695397</v>
      </c>
      <c r="F3205" t="s">
        <v>38</v>
      </c>
      <c r="G3205">
        <v>-191.3254</v>
      </c>
      <c r="H3205" s="1">
        <v>-4.13484E-6</v>
      </c>
      <c r="I3205">
        <v>178.44640000000001</v>
      </c>
      <c r="J3205">
        <v>-191.70779999999999</v>
      </c>
      <c r="K3205">
        <v>1.105591</v>
      </c>
      <c r="L3205">
        <v>193.50360000000001</v>
      </c>
      <c r="M3205">
        <v>-6.9013049999999999E-3</v>
      </c>
      <c r="N3205">
        <v>0</v>
      </c>
      <c r="O3205">
        <v>-0.99988410000000005</v>
      </c>
      <c r="P3205">
        <v>-5.3894369999999997E-2</v>
      </c>
      <c r="Q3205">
        <v>2.072038E-3</v>
      </c>
      <c r="R3205">
        <v>-0.99854469999999995</v>
      </c>
      <c r="S3205">
        <v>7.5408939999999994E-2</v>
      </c>
      <c r="T3205">
        <v>-0.21801039999999999</v>
      </c>
      <c r="U3205">
        <v>-3.0102540000000002</v>
      </c>
      <c r="V3205">
        <v>4.6961330000000003E-2</v>
      </c>
      <c r="W3205">
        <v>1.5751009999999999E-2</v>
      </c>
      <c r="X3205">
        <v>0.99877249999999995</v>
      </c>
      <c r="Y3205">
        <v>-3.1876660000000001E-2</v>
      </c>
      <c r="Z3205">
        <v>7.220124E-2</v>
      </c>
      <c r="AA3205">
        <v>0.99688060000000001</v>
      </c>
      <c r="AB3205">
        <v>20</v>
      </c>
      <c r="AC3205">
        <v>0.38239999999998903</v>
      </c>
      <c r="AD3205">
        <v>-1.1055951348399999</v>
      </c>
      <c r="AE3205">
        <v>-15.0571999999999</v>
      </c>
      <c r="AF3205">
        <v>-0.48370859202639099</v>
      </c>
      <c r="AG3205">
        <v>-1.1055951348399999</v>
      </c>
      <c r="AH3205">
        <v>14.973525408042301</v>
      </c>
      <c r="AI3205">
        <v>94.220672348438697</v>
      </c>
      <c r="AJ3205">
        <v>91.850254065163995</v>
      </c>
      <c r="AK3205">
        <v>15.022076346146999</v>
      </c>
    </row>
    <row r="3206" spans="1:37" x14ac:dyDescent="0.2">
      <c r="A3206" t="str">
        <f>"20200111160220635"</f>
        <v>20200111160220635</v>
      </c>
      <c r="B3206" t="str">
        <f>"1578729740624751"</f>
        <v>1578729740624751</v>
      </c>
      <c r="C3206" t="s">
        <v>37</v>
      </c>
      <c r="D3206">
        <v>5.1568230000000002</v>
      </c>
      <c r="E3206">
        <v>0.4689875</v>
      </c>
      <c r="F3206" t="s">
        <v>38</v>
      </c>
      <c r="G3206">
        <v>-191.26300000000001</v>
      </c>
      <c r="H3206" s="1">
        <v>-4.4834600000000001E-6</v>
      </c>
      <c r="I3206">
        <v>179.5033</v>
      </c>
      <c r="J3206">
        <v>-191.7073</v>
      </c>
      <c r="K3206">
        <v>1.1056159999999999</v>
      </c>
      <c r="L3206">
        <v>193.30340000000001</v>
      </c>
      <c r="M3206">
        <v>-5.3769559999999996E-3</v>
      </c>
      <c r="N3206">
        <v>0</v>
      </c>
      <c r="O3206">
        <v>-0.99989340000000004</v>
      </c>
      <c r="P3206">
        <v>-5.0237049999999998E-2</v>
      </c>
      <c r="Q3206">
        <v>-1.8252850000000001E-3</v>
      </c>
      <c r="R3206">
        <v>-0.99873579999999995</v>
      </c>
      <c r="S3206">
        <v>9.5626829999999996E-2</v>
      </c>
      <c r="T3206">
        <v>-0.23769870000000001</v>
      </c>
      <c r="U3206">
        <v>-3.0100099999999999</v>
      </c>
      <c r="V3206">
        <v>4.483463E-2</v>
      </c>
      <c r="W3206">
        <v>1.1850380000000001E-2</v>
      </c>
      <c r="X3206">
        <v>0.99892409999999998</v>
      </c>
      <c r="Y3206">
        <v>-3.7029439999999997E-2</v>
      </c>
      <c r="Z3206">
        <v>7.8675919999999996E-2</v>
      </c>
      <c r="AA3206">
        <v>0.99621229999999905</v>
      </c>
      <c r="AB3206">
        <v>20</v>
      </c>
      <c r="AC3206">
        <v>0.44429999999999797</v>
      </c>
      <c r="AD3206">
        <v>-1.1056204834600001</v>
      </c>
      <c r="AE3206">
        <v>-13.8001</v>
      </c>
      <c r="AF3206">
        <v>-0.51519945325643302</v>
      </c>
      <c r="AG3206">
        <v>-1.1056204834600001</v>
      </c>
      <c r="AH3206">
        <v>13.709604426600601</v>
      </c>
      <c r="AI3206">
        <v>94.6074411265283</v>
      </c>
      <c r="AJ3206">
        <v>92.152131418984695</v>
      </c>
      <c r="AK3206">
        <v>13.7637596849098</v>
      </c>
    </row>
    <row r="3207" spans="1:37" x14ac:dyDescent="0.2">
      <c r="A3207" t="str">
        <f>"20200111160220656"</f>
        <v>20200111160220656</v>
      </c>
      <c r="B3207" t="str">
        <f>"1578729740645247"</f>
        <v>1578729740645247</v>
      </c>
      <c r="C3207" t="s">
        <v>37</v>
      </c>
      <c r="D3207">
        <v>5.1610930000000002</v>
      </c>
      <c r="E3207">
        <v>0.4687634</v>
      </c>
      <c r="F3207" t="s">
        <v>38</v>
      </c>
      <c r="G3207">
        <v>-191.22210000000001</v>
      </c>
      <c r="H3207" s="1">
        <v>-5.6195349999999996E-7</v>
      </c>
      <c r="I3207">
        <v>180.14109999999999</v>
      </c>
      <c r="J3207">
        <v>-191.70650000000001</v>
      </c>
      <c r="K3207">
        <v>1.105618</v>
      </c>
      <c r="L3207">
        <v>193.11189999999999</v>
      </c>
      <c r="M3207">
        <v>-3.8191620000000001E-3</v>
      </c>
      <c r="N3207">
        <v>0</v>
      </c>
      <c r="O3207">
        <v>-0.99990089999999998</v>
      </c>
      <c r="P3207">
        <v>-4.4974989999999999E-2</v>
      </c>
      <c r="Q3207">
        <v>-4.8472630000000001E-3</v>
      </c>
      <c r="R3207">
        <v>-0.99897659999999999</v>
      </c>
      <c r="S3207">
        <v>0.1109161</v>
      </c>
      <c r="T3207">
        <v>-0.25274530000000001</v>
      </c>
      <c r="U3207">
        <v>-3.00892599999999</v>
      </c>
      <c r="V3207">
        <v>4.1135650000000003E-2</v>
      </c>
      <c r="W3207">
        <v>8.8192919999999994E-3</v>
      </c>
      <c r="X3207">
        <v>0.99911459999999996</v>
      </c>
      <c r="Y3207">
        <v>-4.0524919999999999E-2</v>
      </c>
      <c r="Z3207">
        <v>8.3640199999999998E-2</v>
      </c>
      <c r="AA3207">
        <v>0.99567159999999999</v>
      </c>
      <c r="AB3207">
        <v>20</v>
      </c>
      <c r="AC3207">
        <v>0.484399999999993</v>
      </c>
      <c r="AD3207">
        <v>-1.1056185619534999</v>
      </c>
      <c r="AE3207">
        <v>-12.970799999999899</v>
      </c>
      <c r="AF3207">
        <v>-0.53009247563553497</v>
      </c>
      <c r="AG3207">
        <v>-1.1056185619534999</v>
      </c>
      <c r="AH3207">
        <v>12.875436518756199</v>
      </c>
      <c r="AI3207">
        <v>94.903836315689801</v>
      </c>
      <c r="AJ3207">
        <v>92.357583635841806</v>
      </c>
      <c r="AK3207">
        <v>12.9336868674707</v>
      </c>
    </row>
    <row r="3208" spans="1:37" x14ac:dyDescent="0.2">
      <c r="A3208" t="str">
        <f>"20200111160220690"</f>
        <v>20200111160220690</v>
      </c>
      <c r="B3208" t="str">
        <f>"1578729740685263"</f>
        <v>1578729740685263</v>
      </c>
      <c r="C3208" t="s">
        <v>37</v>
      </c>
      <c r="D3208">
        <v>5.1905000000000001</v>
      </c>
      <c r="E3208">
        <v>0.46838839999999998</v>
      </c>
      <c r="F3208" t="s">
        <v>38</v>
      </c>
      <c r="G3208">
        <v>-191.16669999999999</v>
      </c>
      <c r="H3208" s="1">
        <v>-6.6571050000000001E-7</v>
      </c>
      <c r="I3208">
        <v>180.41730000000001</v>
      </c>
      <c r="J3208">
        <v>-191.70439999999999</v>
      </c>
      <c r="K3208">
        <v>1.1056379999999999</v>
      </c>
      <c r="L3208">
        <v>192.81309999999999</v>
      </c>
      <c r="M3208">
        <v>-1.2348139999999899E-3</v>
      </c>
      <c r="N3208">
        <v>0</v>
      </c>
      <c r="O3208">
        <v>-0.9999074</v>
      </c>
      <c r="P3208">
        <v>-3.588363E-2</v>
      </c>
      <c r="Q3208">
        <v>-3.7926320000000002E-3</v>
      </c>
      <c r="R3208">
        <v>-0.99934880000000004</v>
      </c>
      <c r="S3208">
        <v>0.12788389999999999</v>
      </c>
      <c r="T3208">
        <v>-0.26194059999999902</v>
      </c>
      <c r="U3208">
        <v>-3.007568</v>
      </c>
      <c r="V3208">
        <v>3.4622920000000001E-2</v>
      </c>
      <c r="W3208">
        <v>9.8573189999999998E-3</v>
      </c>
      <c r="X3208">
        <v>0.99935189999999996</v>
      </c>
      <c r="Y3208">
        <v>-4.355618E-2</v>
      </c>
      <c r="Z3208">
        <v>8.6685230000000002E-2</v>
      </c>
      <c r="AA3208">
        <v>0.99528309999999998</v>
      </c>
      <c r="AB3208">
        <v>20</v>
      </c>
      <c r="AC3208">
        <v>0.53770000000000095</v>
      </c>
      <c r="AD3208">
        <v>-1.1056386657105</v>
      </c>
      <c r="AE3208">
        <v>-12.3957999999999</v>
      </c>
      <c r="AF3208">
        <v>-0.548650810464408</v>
      </c>
      <c r="AG3208">
        <v>-1.1056386657105</v>
      </c>
      <c r="AH3208">
        <v>12.2974754873515</v>
      </c>
      <c r="AI3208">
        <v>95.132444705439994</v>
      </c>
      <c r="AJ3208">
        <v>92.554552233090305</v>
      </c>
      <c r="AK3208">
        <v>12.359262030272999</v>
      </c>
    </row>
    <row r="3209" spans="1:37" x14ac:dyDescent="0.2">
      <c r="A3209" t="str">
        <f>"20200111160220712"</f>
        <v>20200111160220712</v>
      </c>
      <c r="B3209" t="str">
        <f>"1578729740704783"</f>
        <v>1578729740704783</v>
      </c>
      <c r="C3209" t="s">
        <v>37</v>
      </c>
      <c r="D3209">
        <v>5.050135</v>
      </c>
      <c r="E3209">
        <v>0.4688717</v>
      </c>
      <c r="F3209" t="s">
        <v>38</v>
      </c>
      <c r="G3209">
        <v>-191.01339999999999</v>
      </c>
      <c r="H3209" s="1">
        <v>-3.1262650000000002E-7</v>
      </c>
      <c r="I3209">
        <v>179.6893</v>
      </c>
      <c r="J3209">
        <v>-191.70240000000001</v>
      </c>
      <c r="K3209">
        <v>1.1056520000000001</v>
      </c>
      <c r="L3209">
        <v>192.6011</v>
      </c>
      <c r="M3209">
        <v>6.900497E-4</v>
      </c>
      <c r="N3209">
        <v>0</v>
      </c>
      <c r="O3209">
        <v>-0.99990789999999996</v>
      </c>
      <c r="P3209">
        <v>-2.98454999999999E-2</v>
      </c>
      <c r="Q3209">
        <v>-1.9462710000000001E-3</v>
      </c>
      <c r="R3209">
        <v>-0.99955289999999997</v>
      </c>
      <c r="S3209">
        <v>0.1583252</v>
      </c>
      <c r="T3209">
        <v>-0.25330439999999999</v>
      </c>
      <c r="U3209">
        <v>-3.0066989999999998</v>
      </c>
      <c r="V3209">
        <v>3.05034E-2</v>
      </c>
      <c r="W3209">
        <v>1.1692559999999999E-2</v>
      </c>
      <c r="X3209">
        <v>0.99946630000000003</v>
      </c>
      <c r="Y3209">
        <v>-5.1710350000000002E-2</v>
      </c>
      <c r="Z3209">
        <v>8.3835450000000006E-2</v>
      </c>
      <c r="AA3209">
        <v>0.99513700000000005</v>
      </c>
      <c r="AB3209">
        <v>20</v>
      </c>
      <c r="AC3209">
        <v>0.68900000000002104</v>
      </c>
      <c r="AD3209">
        <v>-1.1056523126265001</v>
      </c>
      <c r="AE3209">
        <v>-12.911799999999999</v>
      </c>
      <c r="AF3209">
        <v>-0.67515260315019898</v>
      </c>
      <c r="AG3209">
        <v>-1.1056523126265001</v>
      </c>
      <c r="AH3209">
        <v>12.818544833259899</v>
      </c>
      <c r="AI3209">
        <v>94.923005530208997</v>
      </c>
      <c r="AJ3209">
        <v>93.014982099848197</v>
      </c>
      <c r="AK3209">
        <v>12.883842195410899</v>
      </c>
    </row>
    <row r="3210" spans="1:37" x14ac:dyDescent="0.2">
      <c r="A3210" t="str">
        <f>"20200111160220735"</f>
        <v>20200111160220735</v>
      </c>
      <c r="B3210" t="str">
        <f>"1578729740725279"</f>
        <v>1578729740725279</v>
      </c>
      <c r="C3210" t="s">
        <v>37</v>
      </c>
      <c r="D3210">
        <v>5.0748639999999998</v>
      </c>
      <c r="E3210">
        <v>0.46926519999999999</v>
      </c>
      <c r="F3210" t="s">
        <v>38</v>
      </c>
      <c r="G3210">
        <v>-190.9308</v>
      </c>
      <c r="H3210" s="1">
        <v>-4.3044139999999998E-6</v>
      </c>
      <c r="I3210">
        <v>179.15029999999999</v>
      </c>
      <c r="J3210">
        <v>-191.70009999999999</v>
      </c>
      <c r="K3210">
        <v>1.105656</v>
      </c>
      <c r="L3210">
        <v>192.4067</v>
      </c>
      <c r="M3210">
        <v>2.4850989999999902E-3</v>
      </c>
      <c r="N3210">
        <v>0</v>
      </c>
      <c r="O3210">
        <v>-0.99990499999999904</v>
      </c>
      <c r="P3210">
        <v>-2.4466189999999999E-2</v>
      </c>
      <c r="Q3210">
        <v>3.0227679999999998E-4</v>
      </c>
      <c r="R3210">
        <v>-0.99970059999999905</v>
      </c>
      <c r="S3210">
        <v>0.1724396</v>
      </c>
      <c r="T3210">
        <v>-0.24709429999999999</v>
      </c>
      <c r="U3210">
        <v>-3.0060119999999899</v>
      </c>
      <c r="V3210">
        <v>2.6912450000000001E-2</v>
      </c>
      <c r="W3210">
        <v>1.393113E-2</v>
      </c>
      <c r="X3210">
        <v>0.99954069999999995</v>
      </c>
      <c r="Y3210">
        <v>-5.4597420000000001E-2</v>
      </c>
      <c r="Z3210">
        <v>8.1795469999999995E-2</v>
      </c>
      <c r="AA3210">
        <v>0.9951525</v>
      </c>
      <c r="AB3210">
        <v>20</v>
      </c>
      <c r="AC3210">
        <v>0.76929999999998699</v>
      </c>
      <c r="AD3210">
        <v>-1.1056603044140001</v>
      </c>
      <c r="AE3210">
        <v>-13.256399999999999</v>
      </c>
      <c r="AF3210">
        <v>-0.73128103092511398</v>
      </c>
      <c r="AG3210">
        <v>-1.1056603044140001</v>
      </c>
      <c r="AH3210">
        <v>13.166982044112</v>
      </c>
      <c r="AI3210">
        <v>94.792639589304201</v>
      </c>
      <c r="AJ3210">
        <v>93.178884540033195</v>
      </c>
      <c r="AK3210">
        <v>13.2335434712293</v>
      </c>
    </row>
    <row r="3211" spans="1:37" x14ac:dyDescent="0.2">
      <c r="A3211" t="str">
        <f>"20200111160220757"</f>
        <v>20200111160220757</v>
      </c>
      <c r="B3211" t="str">
        <f>"1578729740744799"</f>
        <v>1578729740744799</v>
      </c>
      <c r="C3211" t="s">
        <v>37</v>
      </c>
      <c r="D3211">
        <v>5.2309010000000002</v>
      </c>
      <c r="E3211">
        <v>0.46993740000000001</v>
      </c>
      <c r="F3211" t="s">
        <v>38</v>
      </c>
      <c r="G3211">
        <v>-190.84139999999999</v>
      </c>
      <c r="H3211" s="1">
        <v>-4.0308389999999996E-6</v>
      </c>
      <c r="I3211">
        <v>178.4632</v>
      </c>
      <c r="J3211">
        <v>-191.69739999999999</v>
      </c>
      <c r="K3211">
        <v>1.105656</v>
      </c>
      <c r="L3211">
        <v>192.2079</v>
      </c>
      <c r="M3211">
        <v>4.3384959999999998E-3</v>
      </c>
      <c r="N3211">
        <v>0</v>
      </c>
      <c r="O3211">
        <v>-0.99989879999999998</v>
      </c>
      <c r="P3211">
        <v>-1.8844429999999999E-2</v>
      </c>
      <c r="Q3211">
        <v>2.3600090000000002E-3</v>
      </c>
      <c r="R3211">
        <v>-0.99981989999999998</v>
      </c>
      <c r="S3211">
        <v>0.18508910000000001</v>
      </c>
      <c r="T3211">
        <v>-0.23832039999999899</v>
      </c>
      <c r="U3211">
        <v>-3.0054630000000002</v>
      </c>
      <c r="V3211">
        <v>2.3138579999999999E-2</v>
      </c>
      <c r="W3211">
        <v>1.5976529999999999E-2</v>
      </c>
      <c r="X3211">
        <v>0.99960459999999995</v>
      </c>
      <c r="Y3211">
        <v>-5.694486E-2</v>
      </c>
      <c r="Z3211">
        <v>7.8908119999999998E-2</v>
      </c>
      <c r="AA3211">
        <v>0.99525419999999998</v>
      </c>
      <c r="AB3211">
        <v>20</v>
      </c>
      <c r="AC3211">
        <v>0.85599999999999399</v>
      </c>
      <c r="AD3211">
        <v>-1.1056600308390001</v>
      </c>
      <c r="AE3211">
        <v>-13.7446999999999</v>
      </c>
      <c r="AF3211">
        <v>-0.79125470080994798</v>
      </c>
      <c r="AG3211">
        <v>-1.1056600308390001</v>
      </c>
      <c r="AH3211">
        <v>13.660230627082999</v>
      </c>
      <c r="AI3211">
        <v>94.619726866415505</v>
      </c>
      <c r="AJ3211">
        <v>93.315094369432202</v>
      </c>
      <c r="AK3211">
        <v>13.7277262826167</v>
      </c>
    </row>
    <row r="3212" spans="1:37" x14ac:dyDescent="0.2">
      <c r="A3212" t="str">
        <f>"20200111160220780"</f>
        <v>20200111160220780</v>
      </c>
      <c r="B3212" t="str">
        <f>"1578729740775055"</f>
        <v>1578729740775055</v>
      </c>
      <c r="C3212" t="s">
        <v>37</v>
      </c>
      <c r="D3212">
        <v>5.011571</v>
      </c>
      <c r="E3212">
        <v>0.47065559999999901</v>
      </c>
      <c r="F3212" t="s">
        <v>38</v>
      </c>
      <c r="G3212">
        <v>-190.75370000000001</v>
      </c>
      <c r="H3212" s="1">
        <v>-3.7057680000000001E-6</v>
      </c>
      <c r="I3212">
        <v>177.75989999999999</v>
      </c>
      <c r="J3212">
        <v>-191.69399999999999</v>
      </c>
      <c r="K3212">
        <v>1.1056410000000001</v>
      </c>
      <c r="L3212">
        <v>191.99629999999999</v>
      </c>
      <c r="M3212">
        <v>6.3218299999999996E-3</v>
      </c>
      <c r="N3212">
        <v>0</v>
      </c>
      <c r="O3212">
        <v>-0.99988809999999995</v>
      </c>
      <c r="P3212">
        <v>-1.343141E-2</v>
      </c>
      <c r="Q3212">
        <v>3.510099E-3</v>
      </c>
      <c r="R3212">
        <v>-0.9999036</v>
      </c>
      <c r="S3212">
        <v>0.19624330000000001</v>
      </c>
      <c r="T3212">
        <v>-0.22994329999999999</v>
      </c>
      <c r="U3212">
        <v>-3.0047609999999998</v>
      </c>
      <c r="V3212">
        <v>1.970678E-2</v>
      </c>
      <c r="W3212">
        <v>1.7114109999999998E-2</v>
      </c>
      <c r="X3212">
        <v>0.99965930000000003</v>
      </c>
      <c r="Y3212">
        <v>-5.8672420000000003E-2</v>
      </c>
      <c r="Z3212">
        <v>7.6154579999999999E-2</v>
      </c>
      <c r="AA3212">
        <v>0.99536829999999998</v>
      </c>
      <c r="AB3212">
        <v>20</v>
      </c>
      <c r="AC3212">
        <v>0.94030000000000702</v>
      </c>
      <c r="AD3212">
        <v>-1.1056447057679999</v>
      </c>
      <c r="AE3212">
        <v>-14.2364</v>
      </c>
      <c r="AF3212">
        <v>-0.84519710479869004</v>
      </c>
      <c r="AG3212">
        <v>-1.1056447057679999</v>
      </c>
      <c r="AH3212">
        <v>14.1570420379952</v>
      </c>
      <c r="AI3212">
        <v>94.4577486122149</v>
      </c>
      <c r="AJ3212">
        <v>93.416590471168703</v>
      </c>
      <c r="AK3212">
        <v>14.2252819876063</v>
      </c>
    </row>
    <row r="3213" spans="1:37" x14ac:dyDescent="0.2">
      <c r="A3213" t="str">
        <f>"20200111160220803"</f>
        <v>20200111160220803</v>
      </c>
      <c r="B3213" t="str">
        <f>"1578729740795551"</f>
        <v>1578729740795551</v>
      </c>
      <c r="C3213" t="s">
        <v>37</v>
      </c>
      <c r="D3213">
        <v>4.9375369999999998</v>
      </c>
      <c r="E3213">
        <v>0.47136679999999997</v>
      </c>
      <c r="F3213" t="s">
        <v>38</v>
      </c>
      <c r="G3213">
        <v>-190.68549999999999</v>
      </c>
      <c r="H3213" s="1">
        <v>-3.4960309999999999E-6</v>
      </c>
      <c r="I3213">
        <v>177.3133</v>
      </c>
      <c r="J3213">
        <v>-191.69040000000001</v>
      </c>
      <c r="K3213">
        <v>1.1056109999999999</v>
      </c>
      <c r="L3213">
        <v>191.78970000000001</v>
      </c>
      <c r="M3213">
        <v>8.2456119999999994E-3</v>
      </c>
      <c r="N3213">
        <v>0</v>
      </c>
      <c r="O3213">
        <v>-0.9998745</v>
      </c>
      <c r="P3213">
        <v>-8.3138869999999903E-3</v>
      </c>
      <c r="Q3213">
        <v>2.5931019999999999E-3</v>
      </c>
      <c r="R3213">
        <v>-0.99996240000000003</v>
      </c>
      <c r="S3213">
        <v>0.20632929999999899</v>
      </c>
      <c r="T3213">
        <v>-0.22619259999999999</v>
      </c>
      <c r="U3213">
        <v>-3.0038450000000001</v>
      </c>
      <c r="V3213">
        <v>1.651729E-2</v>
      </c>
      <c r="W3213">
        <v>1.6184879999999999E-2</v>
      </c>
      <c r="X3213">
        <v>0.99973259999999897</v>
      </c>
      <c r="Y3213">
        <v>-6.0104999999999999E-2</v>
      </c>
      <c r="Z3213">
        <v>7.4928980000000006E-2</v>
      </c>
      <c r="AA3213">
        <v>0.99537580000000003</v>
      </c>
      <c r="AB3213">
        <v>20</v>
      </c>
      <c r="AC3213">
        <v>1.0049000000000201</v>
      </c>
      <c r="AD3213">
        <v>-1.1056144960309999</v>
      </c>
      <c r="AE3213">
        <v>-14.4764</v>
      </c>
      <c r="AF3213">
        <v>-0.88037758136543298</v>
      </c>
      <c r="AG3213">
        <v>-1.1056144960309999</v>
      </c>
      <c r="AH3213">
        <v>14.4005997621368</v>
      </c>
      <c r="AI3213">
        <v>94.382154929805907</v>
      </c>
      <c r="AJ3213">
        <v>93.4984111482419</v>
      </c>
      <c r="AK3213">
        <v>14.469786508752</v>
      </c>
    </row>
    <row r="3214" spans="1:37" x14ac:dyDescent="0.2">
      <c r="A3214" t="str">
        <f>"20200111160220823"</f>
        <v>20200111160220823</v>
      </c>
      <c r="B3214" t="str">
        <f>"1578729740815072"</f>
        <v>1578729740815072</v>
      </c>
      <c r="C3214" t="s">
        <v>37</v>
      </c>
      <c r="D3214">
        <v>5.1725339999999997</v>
      </c>
      <c r="E3214">
        <v>0.471923499999999</v>
      </c>
      <c r="F3214" t="s">
        <v>38</v>
      </c>
      <c r="G3214">
        <v>-190.64789999999999</v>
      </c>
      <c r="H3214" s="1">
        <v>-3.4718980000000001E-6</v>
      </c>
      <c r="I3214">
        <v>177.28030000000001</v>
      </c>
      <c r="J3214">
        <v>-191.68680000000001</v>
      </c>
      <c r="K3214">
        <v>1.105566</v>
      </c>
      <c r="L3214">
        <v>191.60419999999999</v>
      </c>
      <c r="M3214">
        <v>9.9347740000000004E-3</v>
      </c>
      <c r="N3214">
        <v>0</v>
      </c>
      <c r="O3214">
        <v>-0.99985919999999895</v>
      </c>
      <c r="P3214">
        <v>-3.870367E-3</v>
      </c>
      <c r="Q3214">
        <v>1.5393060000000001E-3</v>
      </c>
      <c r="R3214">
        <v>-0.99999159999999998</v>
      </c>
      <c r="S3214">
        <v>0.2157288</v>
      </c>
      <c r="T3214">
        <v>-0.2287921</v>
      </c>
      <c r="U3214">
        <v>-3.0025179999999998</v>
      </c>
      <c r="V3214">
        <v>1.37678E-2</v>
      </c>
      <c r="W3214">
        <v>1.512023E-2</v>
      </c>
      <c r="X3214">
        <v>0.99979089999999904</v>
      </c>
      <c r="Y3214">
        <v>-6.1544700000000001E-2</v>
      </c>
      <c r="Z3214">
        <v>7.5805079999999997E-2</v>
      </c>
      <c r="AA3214">
        <v>0.99522149999999998</v>
      </c>
      <c r="AB3214">
        <v>20</v>
      </c>
      <c r="AC3214">
        <v>1.0389000000000099</v>
      </c>
      <c r="AD3214">
        <v>-1.105569471898</v>
      </c>
      <c r="AE3214">
        <v>-14.323899999999901</v>
      </c>
      <c r="AF3214">
        <v>-0.89124934010586798</v>
      </c>
      <c r="AG3214">
        <v>-1.105569471898</v>
      </c>
      <c r="AH3214">
        <v>14.2490733420341</v>
      </c>
      <c r="AI3214">
        <v>94.428007310426807</v>
      </c>
      <c r="AJ3214">
        <v>93.5790670568135</v>
      </c>
      <c r="AK3214">
        <v>14.319661321068301</v>
      </c>
    </row>
    <row r="3215" spans="1:37" x14ac:dyDescent="0.2">
      <c r="A3215" t="str">
        <f>"20200111160220846"</f>
        <v>20200111160220846</v>
      </c>
      <c r="B3215" t="str">
        <f>"1578729740835567"</f>
        <v>1578729740835567</v>
      </c>
      <c r="C3215" t="s">
        <v>37</v>
      </c>
      <c r="D3215">
        <v>5.0798110000000003</v>
      </c>
      <c r="E3215">
        <v>0.47235459999999901</v>
      </c>
      <c r="F3215" t="s">
        <v>38</v>
      </c>
      <c r="G3215">
        <v>-190.61060000000001</v>
      </c>
      <c r="H3215" s="1">
        <v>-3.4380130000000001E-6</v>
      </c>
      <c r="I3215">
        <v>177.22450000000001</v>
      </c>
      <c r="J3215">
        <v>-191.68270000000001</v>
      </c>
      <c r="K3215">
        <v>1.1055059999999901</v>
      </c>
      <c r="L3215">
        <v>191.40629999999999</v>
      </c>
      <c r="M3215">
        <v>1.1670939999999999E-2</v>
      </c>
      <c r="N3215">
        <v>0</v>
      </c>
      <c r="O3215">
        <v>-0.99984030000000002</v>
      </c>
      <c r="P3215">
        <v>-2.015443E-4</v>
      </c>
      <c r="Q3215">
        <v>8.3840480000000001E-4</v>
      </c>
      <c r="R3215">
        <v>-0.99999989999999905</v>
      </c>
      <c r="S3215">
        <v>0.22462460000000001</v>
      </c>
      <c r="T3215">
        <v>-0.2307476</v>
      </c>
      <c r="U3215">
        <v>-3.0012509999999999</v>
      </c>
      <c r="V3215">
        <v>1.183947E-2</v>
      </c>
      <c r="W3215">
        <v>1.440935E-2</v>
      </c>
      <c r="X3215">
        <v>0.99982610000000005</v>
      </c>
      <c r="Y3215">
        <v>-6.2771859999999999E-2</v>
      </c>
      <c r="Z3215">
        <v>7.6467899999999894E-2</v>
      </c>
      <c r="AA3215">
        <v>0.99509409999999898</v>
      </c>
      <c r="AB3215">
        <v>20</v>
      </c>
      <c r="AC3215">
        <v>1.0721000000000001</v>
      </c>
      <c r="AD3215">
        <v>-1.1055094380129999</v>
      </c>
      <c r="AE3215">
        <v>-14.1817999999999</v>
      </c>
      <c r="AF3215">
        <v>-0.90105262852072199</v>
      </c>
      <c r="AG3215">
        <v>-1.1055094380129999</v>
      </c>
      <c r="AH3215">
        <v>14.1081050284463</v>
      </c>
      <c r="AI3215">
        <v>94.471461494207603</v>
      </c>
      <c r="AJ3215">
        <v>93.654387856507597</v>
      </c>
      <c r="AK3215">
        <v>14.180009677379401</v>
      </c>
    </row>
    <row r="3216" spans="1:37" x14ac:dyDescent="0.2">
      <c r="A3216" t="str">
        <f>"20200111160220868"</f>
        <v>20200111160220868</v>
      </c>
      <c r="B3216" t="str">
        <f>"1578729740864848"</f>
        <v>1578729740864848</v>
      </c>
      <c r="C3216" t="s">
        <v>37</v>
      </c>
      <c r="D3216">
        <v>4.9868879999999898</v>
      </c>
      <c r="E3216">
        <v>0.47327069999999999</v>
      </c>
      <c r="F3216" t="s">
        <v>38</v>
      </c>
      <c r="G3216">
        <v>-190.57339999999999</v>
      </c>
      <c r="H3216" s="1">
        <v>-3.3659249999999999E-6</v>
      </c>
      <c r="I3216">
        <v>177.0795</v>
      </c>
      <c r="J3216">
        <v>-191.67840000000001</v>
      </c>
      <c r="K3216">
        <v>1.1054250000000001</v>
      </c>
      <c r="L3216">
        <v>191.20699999999999</v>
      </c>
      <c r="M3216">
        <v>1.332818E-2</v>
      </c>
      <c r="N3216">
        <v>0</v>
      </c>
      <c r="O3216">
        <v>-0.99981960000000003</v>
      </c>
      <c r="P3216">
        <v>2.5783109999999998E-3</v>
      </c>
      <c r="Q3216">
        <v>7.1458479999999896E-4</v>
      </c>
      <c r="R3216">
        <v>-0.99999669999999896</v>
      </c>
      <c r="S3216">
        <v>0.2323151</v>
      </c>
      <c r="T3216">
        <v>-0.2315103</v>
      </c>
      <c r="U3216">
        <v>-3.0002439999999999</v>
      </c>
      <c r="V3216">
        <v>1.072007E-2</v>
      </c>
      <c r="W3216">
        <v>1.4276799999999999E-2</v>
      </c>
      <c r="X3216">
        <v>0.99984059999999897</v>
      </c>
      <c r="Y3216">
        <v>-6.367689E-2</v>
      </c>
      <c r="Z3216">
        <v>7.6732700000000001E-2</v>
      </c>
      <c r="AA3216">
        <v>0.99501629999999996</v>
      </c>
      <c r="AB3216">
        <v>20</v>
      </c>
      <c r="AC3216">
        <v>1.10500000000001</v>
      </c>
      <c r="AD3216">
        <v>-1.1054283659249999</v>
      </c>
      <c r="AE3216">
        <v>-14.1274999999999</v>
      </c>
      <c r="AF3216">
        <v>-0.91104673555024296</v>
      </c>
      <c r="AG3216">
        <v>-1.1054283659249999</v>
      </c>
      <c r="AH3216">
        <v>14.0554423587268</v>
      </c>
      <c r="AI3216">
        <v>94.487546802584802</v>
      </c>
      <c r="AJ3216">
        <v>93.708614245947402</v>
      </c>
      <c r="AK3216">
        <v>14.1282496412698</v>
      </c>
    </row>
    <row r="3217" spans="1:37" x14ac:dyDescent="0.2">
      <c r="A3217" t="str">
        <f>"20200111160220891"</f>
        <v>20200111160220891</v>
      </c>
      <c r="B3217" t="str">
        <f>"1578729740885343"</f>
        <v>1578729740885343</v>
      </c>
      <c r="C3217" t="s">
        <v>37</v>
      </c>
      <c r="D3217">
        <v>4.9978590000000001</v>
      </c>
      <c r="E3217">
        <v>0.47394029999999998</v>
      </c>
      <c r="F3217" t="s">
        <v>38</v>
      </c>
      <c r="G3217">
        <v>-190.56129999999999</v>
      </c>
      <c r="H3217" s="1">
        <v>-3.2701229999999998E-6</v>
      </c>
      <c r="I3217">
        <v>176.86369999999999</v>
      </c>
      <c r="J3217">
        <v>-191.6738</v>
      </c>
      <c r="K3217">
        <v>1.1053389999999901</v>
      </c>
      <c r="L3217">
        <v>191.00620000000001</v>
      </c>
      <c r="M3217">
        <v>1.488007E-2</v>
      </c>
      <c r="N3217">
        <v>0</v>
      </c>
      <c r="O3217">
        <v>-0.99979769999999901</v>
      </c>
      <c r="P3217">
        <v>5.046264E-3</v>
      </c>
      <c r="Q3217">
        <v>7.9079789999999997E-4</v>
      </c>
      <c r="R3217">
        <v>-0.99998690000000001</v>
      </c>
      <c r="S3217">
        <v>0.23362729999999901</v>
      </c>
      <c r="T3217">
        <v>-0.23117570000000001</v>
      </c>
      <c r="U3217">
        <v>-2.9995729999999998</v>
      </c>
      <c r="V3217">
        <v>9.8070789999999998E-3</v>
      </c>
      <c r="W3217">
        <v>1.434498E-2</v>
      </c>
      <c r="X3217">
        <v>0.99984899999999999</v>
      </c>
      <c r="Y3217">
        <v>-6.2578250000000002E-2</v>
      </c>
      <c r="Z3217">
        <v>7.6638319999999996E-2</v>
      </c>
      <c r="AA3217">
        <v>0.99509319999999901</v>
      </c>
      <c r="AB3217">
        <v>20</v>
      </c>
      <c r="AC3217">
        <v>1.11250000000001</v>
      </c>
      <c r="AD3217">
        <v>-1.10534227012299</v>
      </c>
      <c r="AE3217">
        <v>-14.1425</v>
      </c>
      <c r="AF3217">
        <v>-0.89647363031923699</v>
      </c>
      <c r="AG3217">
        <v>-1.10534227012299</v>
      </c>
      <c r="AH3217">
        <v>14.0720577064398</v>
      </c>
      <c r="AI3217">
        <v>94.482239842951003</v>
      </c>
      <c r="AJ3217">
        <v>93.645155457817197</v>
      </c>
      <c r="AK3217">
        <v>14.1438415784874</v>
      </c>
    </row>
    <row r="3218" spans="1:37" x14ac:dyDescent="0.2">
      <c r="A3218" t="str">
        <f>"20200111160220913"</f>
        <v>20200111160220913</v>
      </c>
      <c r="B3218" t="str">
        <f>"1578729740904863"</f>
        <v>1578729740904863</v>
      </c>
      <c r="C3218" t="s">
        <v>37</v>
      </c>
      <c r="D3218">
        <v>4.857443</v>
      </c>
      <c r="E3218">
        <v>0.48935010000000001</v>
      </c>
      <c r="F3218" t="s">
        <v>38</v>
      </c>
      <c r="G3218">
        <v>-190.54499999999999</v>
      </c>
      <c r="H3218" s="1">
        <v>-3.1716350000000002E-6</v>
      </c>
      <c r="I3218">
        <v>176.64429999999999</v>
      </c>
      <c r="J3218">
        <v>-191.66900000000001</v>
      </c>
      <c r="K3218">
        <v>1.105245</v>
      </c>
      <c r="L3218">
        <v>190.80340000000001</v>
      </c>
      <c r="M3218">
        <v>1.632573E-2</v>
      </c>
      <c r="N3218">
        <v>0</v>
      </c>
      <c r="O3218">
        <v>-0.99977539999999998</v>
      </c>
      <c r="P3218">
        <v>5.77232099999999E-3</v>
      </c>
      <c r="Q3218">
        <v>-2.089204E-4</v>
      </c>
      <c r="R3218">
        <v>-0.99998349999999903</v>
      </c>
      <c r="S3218">
        <v>0.23571779999999901</v>
      </c>
      <c r="T3218">
        <v>-0.23081389999999999</v>
      </c>
      <c r="U3218">
        <v>-2.9990079999999999</v>
      </c>
      <c r="V3218">
        <v>1.053172E-2</v>
      </c>
      <c r="W3218">
        <v>1.3339429999999999E-2</v>
      </c>
      <c r="X3218">
        <v>0.99985559999999996</v>
      </c>
      <c r="Y3218">
        <v>-6.1839659999999998E-2</v>
      </c>
      <c r="Z3218">
        <v>7.6530459999999995E-2</v>
      </c>
      <c r="AA3218">
        <v>0.99514769999999897</v>
      </c>
      <c r="AB3218">
        <v>20</v>
      </c>
      <c r="AC3218">
        <v>1.1240000000000201</v>
      </c>
      <c r="AD3218">
        <v>-1.105248171635</v>
      </c>
      <c r="AE3218">
        <v>-14.1591</v>
      </c>
      <c r="AF3218">
        <v>-0.88729875217167398</v>
      </c>
      <c r="AG3218">
        <v>-1.105248171635</v>
      </c>
      <c r="AH3218">
        <v>14.0902468067047</v>
      </c>
      <c r="AI3218">
        <v>94.476303972753996</v>
      </c>
      <c r="AJ3218">
        <v>93.603303271060298</v>
      </c>
      <c r="AK3218">
        <v>14.1613533135206</v>
      </c>
    </row>
    <row r="3219" spans="1:37" x14ac:dyDescent="0.2">
      <c r="A3219" t="str">
        <f>"20200111160220936"</f>
        <v>20200111160220936</v>
      </c>
      <c r="B3219" t="str">
        <f>"1578729740925359"</f>
        <v>1578729740925359</v>
      </c>
      <c r="C3219" t="s">
        <v>37</v>
      </c>
      <c r="D3219">
        <v>4.8919309999999996</v>
      </c>
      <c r="E3219">
        <v>0.48946909999999999</v>
      </c>
      <c r="F3219" t="s">
        <v>42</v>
      </c>
      <c r="G3219">
        <v>-191.63589999999999</v>
      </c>
      <c r="H3219">
        <v>1.030548</v>
      </c>
      <c r="I3219">
        <v>189.94649999999999</v>
      </c>
      <c r="J3219">
        <v>-191.6643</v>
      </c>
      <c r="K3219">
        <v>1.105156</v>
      </c>
      <c r="L3219">
        <v>190.61080000000001</v>
      </c>
      <c r="M3219">
        <v>1.7600069999999999E-2</v>
      </c>
      <c r="N3219">
        <v>0</v>
      </c>
      <c r="O3219">
        <v>-0.99975380000000003</v>
      </c>
      <c r="P3219">
        <v>5.5649949999999997E-3</v>
      </c>
      <c r="Q3219">
        <v>-1.7040650000000001E-3</v>
      </c>
      <c r="R3219">
        <v>-0.99998299999999996</v>
      </c>
      <c r="S3219">
        <v>0.1163025</v>
      </c>
      <c r="T3219">
        <v>-0.26162239999999998</v>
      </c>
      <c r="U3219">
        <v>-2.9993289999999999</v>
      </c>
      <c r="V3219">
        <v>1.2018310000000001E-2</v>
      </c>
      <c r="W3219">
        <v>1.184084E-2</v>
      </c>
      <c r="X3219">
        <v>0.99985769999999996</v>
      </c>
      <c r="Y3219">
        <v>-2.1006219999999999E-2</v>
      </c>
      <c r="Z3219">
        <v>8.6834969999999997E-2</v>
      </c>
      <c r="AA3219">
        <v>0.99600119999999903</v>
      </c>
      <c r="AB3219">
        <v>20</v>
      </c>
      <c r="AC3219">
        <v>2.84000000000048E-2</v>
      </c>
      <c r="AD3219">
        <v>-7.4607999999999994E-2</v>
      </c>
      <c r="AE3219">
        <v>-0.66430000000002498</v>
      </c>
      <c r="AF3219">
        <v>-1.64951214360817E-2</v>
      </c>
      <c r="AG3219">
        <v>-7.4607999999999994E-2</v>
      </c>
      <c r="AH3219">
        <v>0.65643204621459195</v>
      </c>
      <c r="AI3219">
        <v>96.482203816713096</v>
      </c>
      <c r="AJ3219">
        <v>91.439451344698099</v>
      </c>
      <c r="AK3219">
        <v>0.66086418725231899</v>
      </c>
    </row>
    <row r="3220" spans="1:37" x14ac:dyDescent="0.2">
      <c r="A3220" t="str">
        <f>"20200111160220957"</f>
        <v>20200111160220957</v>
      </c>
      <c r="B3220" t="str">
        <f>"1578729740944879"</f>
        <v>1578729740944879</v>
      </c>
      <c r="C3220" t="s">
        <v>37</v>
      </c>
      <c r="D3220">
        <v>4.9170319999999998</v>
      </c>
      <c r="E3220">
        <v>0.48876629999999899</v>
      </c>
      <c r="F3220" t="s">
        <v>42</v>
      </c>
      <c r="G3220">
        <v>-191.63210000000001</v>
      </c>
      <c r="H3220">
        <v>1.0317959999999999</v>
      </c>
      <c r="I3220">
        <v>189.7681</v>
      </c>
      <c r="J3220">
        <v>-191.65950000000001</v>
      </c>
      <c r="K3220">
        <v>1.105083</v>
      </c>
      <c r="L3220">
        <v>190.42250000000001</v>
      </c>
      <c r="M3220">
        <v>1.8752540000000002E-2</v>
      </c>
      <c r="N3220">
        <v>0</v>
      </c>
      <c r="O3220">
        <v>-0.99973269999999903</v>
      </c>
      <c r="P3220">
        <v>4.0546230000000003E-3</v>
      </c>
      <c r="Q3220">
        <v>-4.2788130000000002E-3</v>
      </c>
      <c r="R3220">
        <v>-0.99998259999999894</v>
      </c>
      <c r="S3220">
        <v>0.1149292</v>
      </c>
      <c r="T3220">
        <v>-0.26122790000000001</v>
      </c>
      <c r="U3220">
        <v>-2.9989619999999899</v>
      </c>
      <c r="V3220">
        <v>1.4686619999999999E-2</v>
      </c>
      <c r="W3220">
        <v>9.2636860000000001E-3</v>
      </c>
      <c r="X3220">
        <v>0.99984930000000005</v>
      </c>
      <c r="Y3220">
        <v>-1.940337E-2</v>
      </c>
      <c r="Z3220">
        <v>8.6714970000000002E-2</v>
      </c>
      <c r="AA3220">
        <v>0.99604419999999905</v>
      </c>
      <c r="AB3220">
        <v>20</v>
      </c>
      <c r="AC3220">
        <v>2.7400000000000001E-2</v>
      </c>
      <c r="AD3220">
        <v>-7.3287000000000102E-2</v>
      </c>
      <c r="AE3220">
        <v>-0.65440000000000897</v>
      </c>
      <c r="AF3220">
        <v>-1.49354043499508E-2</v>
      </c>
      <c r="AG3220">
        <v>-7.3287000000000102E-2</v>
      </c>
      <c r="AH3220">
        <v>0.64670202138125399</v>
      </c>
      <c r="AI3220">
        <v>96.463707436959794</v>
      </c>
      <c r="AJ3220">
        <v>91.322995003550503</v>
      </c>
      <c r="AK3220">
        <v>0.65101271502997304</v>
      </c>
    </row>
    <row r="3221" spans="1:37" x14ac:dyDescent="0.2">
      <c r="A3221" t="str">
        <f>"20200111160220980"</f>
        <v>20200111160220980</v>
      </c>
      <c r="B3221" t="str">
        <f>"1578729740975135"</f>
        <v>1578729740975135</v>
      </c>
      <c r="C3221" t="s">
        <v>37</v>
      </c>
      <c r="D3221">
        <v>4.9598719999999998</v>
      </c>
      <c r="E3221">
        <v>0.48776709999999901</v>
      </c>
      <c r="F3221" t="s">
        <v>42</v>
      </c>
      <c r="G3221">
        <v>-191.62739999999999</v>
      </c>
      <c r="H3221">
        <v>1.0309409999999899</v>
      </c>
      <c r="I3221">
        <v>189.5915</v>
      </c>
      <c r="J3221">
        <v>-191.65430000000001</v>
      </c>
      <c r="K3221">
        <v>1.1050120000000001</v>
      </c>
      <c r="L3221">
        <v>190.2199</v>
      </c>
      <c r="M3221">
        <v>1.9888980000000001E-2</v>
      </c>
      <c r="N3221">
        <v>0</v>
      </c>
      <c r="O3221">
        <v>-0.99971069999999995</v>
      </c>
      <c r="P3221">
        <v>2.0237639999999999E-3</v>
      </c>
      <c r="Q3221">
        <v>-6.4524859999999899E-3</v>
      </c>
      <c r="R3221">
        <v>-0.99997719999999901</v>
      </c>
      <c r="S3221">
        <v>0.116348299999999</v>
      </c>
      <c r="T3221">
        <v>-0.26776420000000001</v>
      </c>
      <c r="U3221">
        <v>-2.9984280000000001</v>
      </c>
      <c r="V3221">
        <v>1.785778E-2</v>
      </c>
      <c r="W3221">
        <v>7.0865199999999998E-3</v>
      </c>
      <c r="X3221">
        <v>0.99981540000000002</v>
      </c>
      <c r="Y3221">
        <v>-1.8736909999999999E-2</v>
      </c>
      <c r="Z3221">
        <v>8.8880280000000006E-2</v>
      </c>
      <c r="AA3221">
        <v>0.99586609999999998</v>
      </c>
      <c r="AB3221">
        <v>20</v>
      </c>
      <c r="AC3221">
        <v>2.6900000000011901E-2</v>
      </c>
      <c r="AD3221">
        <v>-7.4071000000000206E-2</v>
      </c>
      <c r="AE3221">
        <v>-0.62839999999999896</v>
      </c>
      <c r="AF3221">
        <v>-1.41983895028163E-2</v>
      </c>
      <c r="AG3221">
        <v>-7.4071000000000206E-2</v>
      </c>
      <c r="AH3221">
        <v>0.620209375519296</v>
      </c>
      <c r="AI3221">
        <v>96.808753894182601</v>
      </c>
      <c r="AJ3221">
        <v>91.311437323420193</v>
      </c>
      <c r="AK3221">
        <v>0.62477818206745095</v>
      </c>
    </row>
    <row r="3222" spans="1:37" x14ac:dyDescent="0.2">
      <c r="A3222" t="str">
        <f>"20200111160221003"</f>
        <v>20200111160221003</v>
      </c>
      <c r="B3222" t="str">
        <f>"1578729740995631"</f>
        <v>1578729740995631</v>
      </c>
      <c r="C3222" t="s">
        <v>37</v>
      </c>
      <c r="D3222">
        <v>4.9580000000000002</v>
      </c>
      <c r="E3222">
        <v>0.48809949999999902</v>
      </c>
      <c r="F3222" t="s">
        <v>42</v>
      </c>
      <c r="G3222">
        <v>-191.6225</v>
      </c>
      <c r="H3222">
        <v>1.0333760000000001</v>
      </c>
      <c r="I3222">
        <v>189.41229999999999</v>
      </c>
      <c r="J3222">
        <v>-191.64879999999999</v>
      </c>
      <c r="K3222">
        <v>1.1049469999999999</v>
      </c>
      <c r="L3222">
        <v>190.0121</v>
      </c>
      <c r="M3222">
        <v>2.0953329999999999E-2</v>
      </c>
      <c r="N3222">
        <v>0</v>
      </c>
      <c r="O3222">
        <v>-0.99968939999999995</v>
      </c>
      <c r="P3222">
        <v>6.4836220000000005E-4</v>
      </c>
      <c r="Q3222">
        <v>-8.0480880000000001E-3</v>
      </c>
      <c r="R3222">
        <v>-0.99996779999999996</v>
      </c>
      <c r="S3222">
        <v>0.1180573</v>
      </c>
      <c r="T3222">
        <v>-0.26599459999999903</v>
      </c>
      <c r="U3222">
        <v>-2.9981080000000002</v>
      </c>
      <c r="V3222">
        <v>2.030001E-2</v>
      </c>
      <c r="W3222">
        <v>5.4862859999999999E-3</v>
      </c>
      <c r="X3222">
        <v>0.99977890000000003</v>
      </c>
      <c r="Y3222">
        <v>-1.8245379999999999E-2</v>
      </c>
      <c r="Z3222">
        <v>8.8303409999999999E-2</v>
      </c>
      <c r="AA3222">
        <v>0.99592649999999905</v>
      </c>
      <c r="AB3222">
        <v>20</v>
      </c>
      <c r="AC3222">
        <v>2.6299999999992E-2</v>
      </c>
      <c r="AD3222">
        <v>-7.1570999999999801E-2</v>
      </c>
      <c r="AE3222">
        <v>-0.59980000000001599</v>
      </c>
      <c r="AF3222">
        <v>-1.3532955464376601E-2</v>
      </c>
      <c r="AG3222">
        <v>-7.1570999999999801E-2</v>
      </c>
      <c r="AH3222">
        <v>0.59180916870741496</v>
      </c>
      <c r="AI3222">
        <v>96.893847068065895</v>
      </c>
      <c r="AJ3222">
        <v>91.309959638773293</v>
      </c>
      <c r="AK3222">
        <v>0.59627480333380101</v>
      </c>
    </row>
    <row r="3223" spans="1:37" x14ac:dyDescent="0.2">
      <c r="A3223" t="str">
        <f>"20200111160221024"</f>
        <v>20200111160221024</v>
      </c>
      <c r="B3223" t="str">
        <f>"1578729741015151"</f>
        <v>1578729741015151</v>
      </c>
      <c r="C3223" t="s">
        <v>37</v>
      </c>
      <c r="D3223">
        <v>4.8413949999999897</v>
      </c>
      <c r="E3223">
        <v>0.48801440000000001</v>
      </c>
      <c r="F3223" t="s">
        <v>42</v>
      </c>
      <c r="G3223">
        <v>-191.62</v>
      </c>
      <c r="H3223">
        <v>1.0352490000000001</v>
      </c>
      <c r="I3223">
        <v>189.23410000000001</v>
      </c>
      <c r="J3223">
        <v>-191.64359999999999</v>
      </c>
      <c r="K3223">
        <v>1.104895</v>
      </c>
      <c r="L3223">
        <v>189.81880000000001</v>
      </c>
      <c r="M3223">
        <v>2.1864729999999999E-2</v>
      </c>
      <c r="N3223">
        <v>0</v>
      </c>
      <c r="O3223">
        <v>-0.99966969999999999</v>
      </c>
      <c r="P3223">
        <v>-2.87342E-4</v>
      </c>
      <c r="Q3223">
        <v>-8.3691249999999998E-3</v>
      </c>
      <c r="R3223">
        <v>-0.99996509999999905</v>
      </c>
      <c r="S3223">
        <v>0.111556999999999</v>
      </c>
      <c r="T3223">
        <v>-0.2687466</v>
      </c>
      <c r="U3223">
        <v>-2.9978639999999999</v>
      </c>
      <c r="V3223">
        <v>2.2147920000000001E-2</v>
      </c>
      <c r="W3223">
        <v>5.1601340000000002E-3</v>
      </c>
      <c r="X3223">
        <v>0.9997414</v>
      </c>
      <c r="Y3223">
        <v>-1.5177599999999999E-2</v>
      </c>
      <c r="Z3223">
        <v>8.9220300000000002E-2</v>
      </c>
      <c r="AA3223">
        <v>0.99589629999999996</v>
      </c>
      <c r="AB3223">
        <v>20</v>
      </c>
      <c r="AC3223">
        <v>2.35999999999876E-2</v>
      </c>
      <c r="AD3223">
        <v>-6.9646000000000097E-2</v>
      </c>
      <c r="AE3223">
        <v>-0.584699999999997</v>
      </c>
      <c r="AF3223">
        <v>-1.0657912981110599E-2</v>
      </c>
      <c r="AG3223">
        <v>-6.9646000000000097E-2</v>
      </c>
      <c r="AH3223">
        <v>0.57690434996390305</v>
      </c>
      <c r="AI3223">
        <v>96.882480405143198</v>
      </c>
      <c r="AJ3223">
        <v>91.058379910678696</v>
      </c>
      <c r="AK3223">
        <v>0.58119083391979498</v>
      </c>
    </row>
    <row r="3224" spans="1:37" x14ac:dyDescent="0.2">
      <c r="A3224" t="str">
        <f>"20200111160221047"</f>
        <v>20200111160221047</v>
      </c>
      <c r="B3224" t="str">
        <f>"1578729741045408"</f>
        <v>1578729741045408</v>
      </c>
      <c r="C3224" t="s">
        <v>37</v>
      </c>
      <c r="D3224">
        <v>4.9788370000000004</v>
      </c>
      <c r="E3224">
        <v>0.48787730000000001</v>
      </c>
      <c r="F3224" t="s">
        <v>42</v>
      </c>
      <c r="G3224">
        <v>-191.6156</v>
      </c>
      <c r="H3224">
        <v>1.0367309999999901</v>
      </c>
      <c r="I3224">
        <v>189.054</v>
      </c>
      <c r="J3224">
        <v>-191.63829999999999</v>
      </c>
      <c r="K3224">
        <v>1.1048549999999999</v>
      </c>
      <c r="L3224">
        <v>189.62459999999999</v>
      </c>
      <c r="M3224">
        <v>2.2714410000000001E-2</v>
      </c>
      <c r="N3224">
        <v>0</v>
      </c>
      <c r="O3224">
        <v>-0.99965099999999996</v>
      </c>
      <c r="P3224">
        <v>-6.8357490000000003E-4</v>
      </c>
      <c r="Q3224">
        <v>-7.74151599999999E-3</v>
      </c>
      <c r="R3224">
        <v>-0.99997000000000003</v>
      </c>
      <c r="S3224">
        <v>0.10975650000000001</v>
      </c>
      <c r="T3224">
        <v>-0.26722679999999999</v>
      </c>
      <c r="U3224">
        <v>-2.9978940000000001</v>
      </c>
      <c r="V3224">
        <v>2.339393E-2</v>
      </c>
      <c r="W3224">
        <v>5.7823969999999999E-3</v>
      </c>
      <c r="X3224">
        <v>0.99970959999999998</v>
      </c>
      <c r="Y3224">
        <v>-1.373167E-2</v>
      </c>
      <c r="Z3224">
        <v>8.8718210000000006E-2</v>
      </c>
      <c r="AA3224">
        <v>0.99596209999999996</v>
      </c>
      <c r="AB3224">
        <v>20</v>
      </c>
      <c r="AC3224">
        <v>2.2699999999986099E-2</v>
      </c>
      <c r="AD3224">
        <v>-6.8124000000000004E-2</v>
      </c>
      <c r="AE3224">
        <v>-0.57059999999998401</v>
      </c>
      <c r="AF3224">
        <v>-9.59556168814194E-3</v>
      </c>
      <c r="AG3224">
        <v>-6.8124000000000004E-2</v>
      </c>
      <c r="AH3224">
        <v>0.56295671426442695</v>
      </c>
      <c r="AI3224">
        <v>96.898882389931899</v>
      </c>
      <c r="AJ3224">
        <v>90.976508387111707</v>
      </c>
      <c r="AK3224">
        <v>0.56714479307802002</v>
      </c>
    </row>
    <row r="3225" spans="1:37" x14ac:dyDescent="0.2">
      <c r="A3225" t="str">
        <f>"20200111160221070"</f>
        <v>20200111160221070</v>
      </c>
      <c r="B3225" t="str">
        <f>"1578729741064928"</f>
        <v>1578729741064928</v>
      </c>
      <c r="C3225" t="s">
        <v>37</v>
      </c>
      <c r="D3225">
        <v>5.1472199999999999</v>
      </c>
      <c r="E3225">
        <v>0.48813820000000002</v>
      </c>
      <c r="F3225" t="s">
        <v>38</v>
      </c>
      <c r="G3225">
        <v>-191.1729</v>
      </c>
      <c r="H3225" s="1">
        <v>-3.446994E-6</v>
      </c>
      <c r="I3225">
        <v>176.89670000000001</v>
      </c>
      <c r="J3225">
        <v>-191.6328</v>
      </c>
      <c r="K3225">
        <v>1.1048180000000001</v>
      </c>
      <c r="L3225">
        <v>189.4238</v>
      </c>
      <c r="M3225">
        <v>2.3532790000000001E-2</v>
      </c>
      <c r="N3225">
        <v>0</v>
      </c>
      <c r="O3225">
        <v>-0.99963210000000002</v>
      </c>
      <c r="P3225">
        <v>-9.2834359999999997E-4</v>
      </c>
      <c r="Q3225">
        <v>-7.200283E-3</v>
      </c>
      <c r="R3225">
        <v>-0.99997389999999997</v>
      </c>
      <c r="S3225">
        <v>0.10963440000000001</v>
      </c>
      <c r="T3225">
        <v>-0.26025679999999901</v>
      </c>
      <c r="U3225">
        <v>-2.998138</v>
      </c>
      <c r="V3225">
        <v>2.4457260000000001E-2</v>
      </c>
      <c r="W3225">
        <v>6.3178749999999997E-3</v>
      </c>
      <c r="X3225">
        <v>0.99968089999999998</v>
      </c>
      <c r="Y3225">
        <v>-1.2877009999999999E-2</v>
      </c>
      <c r="Z3225">
        <v>8.6412859999999994E-2</v>
      </c>
      <c r="AA3225">
        <v>0.99617619999999896</v>
      </c>
      <c r="AB3225">
        <v>20</v>
      </c>
      <c r="AC3225">
        <v>0.45990000000000397</v>
      </c>
      <c r="AD3225">
        <v>-1.1048214469940001</v>
      </c>
      <c r="AE3225">
        <v>-12.5270999999999</v>
      </c>
      <c r="AF3225">
        <v>-0.163676780777922</v>
      </c>
      <c r="AG3225">
        <v>-1.1048214469940001</v>
      </c>
      <c r="AH3225">
        <v>12.437839223428799</v>
      </c>
      <c r="AI3225">
        <v>95.075677640518904</v>
      </c>
      <c r="AJ3225">
        <v>90.753945061308698</v>
      </c>
      <c r="AK3225">
        <v>12.487884731457401</v>
      </c>
    </row>
    <row r="3226" spans="1:37" x14ac:dyDescent="0.2">
      <c r="A3226" t="str">
        <f>"20200111160221092"</f>
        <v>20200111160221092</v>
      </c>
      <c r="B3226" t="str">
        <f>"1578729741085423"</f>
        <v>1578729741085423</v>
      </c>
      <c r="C3226" t="s">
        <v>37</v>
      </c>
      <c r="D3226">
        <v>5.0112209999999999</v>
      </c>
      <c r="E3226">
        <v>0.48811080000000001</v>
      </c>
      <c r="F3226" t="s">
        <v>42</v>
      </c>
      <c r="G3226">
        <v>-191.601</v>
      </c>
      <c r="H3226">
        <v>1.028384</v>
      </c>
      <c r="I3226">
        <v>188.53450000000001</v>
      </c>
      <c r="J3226">
        <v>-191.62710000000001</v>
      </c>
      <c r="K3226">
        <v>1.1047910000000001</v>
      </c>
      <c r="L3226">
        <v>189.2226</v>
      </c>
      <c r="M3226">
        <v>2.4299500000000002E-2</v>
      </c>
      <c r="N3226">
        <v>0</v>
      </c>
      <c r="O3226">
        <v>-0.99961390000000006</v>
      </c>
      <c r="P3226">
        <v>-1.076015E-3</v>
      </c>
      <c r="Q3226">
        <v>-6.9385059999999997E-3</v>
      </c>
      <c r="R3226">
        <v>-0.99997579999999997</v>
      </c>
      <c r="S3226">
        <v>0.10760499999999899</v>
      </c>
      <c r="T3226">
        <v>-0.25784109999999999</v>
      </c>
      <c r="U3226">
        <v>-2.9983219999999999</v>
      </c>
      <c r="V3226">
        <v>2.5371890000000001E-2</v>
      </c>
      <c r="W3226">
        <v>6.5748849999999999E-3</v>
      </c>
      <c r="X3226">
        <v>0.9996564</v>
      </c>
      <c r="Y3226">
        <v>-1.143695E-2</v>
      </c>
      <c r="Z3226">
        <v>8.5610930000000002E-2</v>
      </c>
      <c r="AA3226">
        <v>0.99626299999999901</v>
      </c>
      <c r="AB3226">
        <v>20</v>
      </c>
      <c r="AC3226">
        <v>2.6100000000013699E-2</v>
      </c>
      <c r="AD3226">
        <v>-7.64070000000001E-2</v>
      </c>
      <c r="AE3226">
        <v>-0.68809999999999105</v>
      </c>
      <c r="AF3226">
        <v>-9.2563211311624694E-3</v>
      </c>
      <c r="AG3226">
        <v>-7.64070000000001E-2</v>
      </c>
      <c r="AH3226">
        <v>0.68015677121397999</v>
      </c>
      <c r="AI3226">
        <v>96.408994575426902</v>
      </c>
      <c r="AJ3226">
        <v>90.779695827809206</v>
      </c>
      <c r="AK3226">
        <v>0.68449758404110495</v>
      </c>
    </row>
    <row r="3227" spans="1:37" x14ac:dyDescent="0.2">
      <c r="A3227" t="str">
        <f>"20200111160221115"</f>
        <v>20200111160221115</v>
      </c>
      <c r="B3227" t="str">
        <f>"1578729741104942"</f>
        <v>1578729741104942</v>
      </c>
      <c r="C3227" t="s">
        <v>37</v>
      </c>
      <c r="D3227">
        <v>4.8922040000000004</v>
      </c>
      <c r="E3227">
        <v>0.48809439999999998</v>
      </c>
      <c r="F3227" t="s">
        <v>42</v>
      </c>
      <c r="G3227">
        <v>-191.59610000000001</v>
      </c>
      <c r="H3227">
        <v>1.0322119999999999</v>
      </c>
      <c r="I3227">
        <v>188.3553</v>
      </c>
      <c r="J3227">
        <v>-191.62129999999999</v>
      </c>
      <c r="K3227">
        <v>1.104781</v>
      </c>
      <c r="L3227">
        <v>189.02099999999999</v>
      </c>
      <c r="M3227">
        <v>2.5036619999999999E-2</v>
      </c>
      <c r="N3227">
        <v>0</v>
      </c>
      <c r="O3227">
        <v>-0.99959529999999996</v>
      </c>
      <c r="P3227">
        <v>-1.567211E-3</v>
      </c>
      <c r="Q3227">
        <v>-6.3917440000000004E-3</v>
      </c>
      <c r="R3227">
        <v>-0.99997819999999904</v>
      </c>
      <c r="S3227">
        <v>0.1073303</v>
      </c>
      <c r="T3227">
        <v>-0.25098239999999999</v>
      </c>
      <c r="U3227">
        <v>-2.998459</v>
      </c>
      <c r="V3227">
        <v>2.6599970000000001E-2</v>
      </c>
      <c r="W3227">
        <v>7.1179900000000003E-3</v>
      </c>
      <c r="X3227">
        <v>0.99962079999999998</v>
      </c>
      <c r="Y3227">
        <v>-1.061366E-2</v>
      </c>
      <c r="Z3227">
        <v>8.3344150000000006E-2</v>
      </c>
      <c r="AA3227">
        <v>0.99646429999999997</v>
      </c>
      <c r="AB3227">
        <v>20</v>
      </c>
      <c r="AC3227">
        <v>2.5199999999983898E-2</v>
      </c>
      <c r="AD3227">
        <v>-7.25689999999998E-2</v>
      </c>
      <c r="AE3227">
        <v>-0.66569999999998597</v>
      </c>
      <c r="AF3227">
        <v>-8.4237405782293297E-3</v>
      </c>
      <c r="AG3227">
        <v>-7.25689999999998E-2</v>
      </c>
      <c r="AH3227">
        <v>0.65831041665787704</v>
      </c>
      <c r="AI3227">
        <v>96.290103874071505</v>
      </c>
      <c r="AJ3227">
        <v>90.7331168258155</v>
      </c>
      <c r="AK3227">
        <v>0.66235173725641905</v>
      </c>
    </row>
    <row r="3228" spans="1:37" x14ac:dyDescent="0.2">
      <c r="A3228" t="str">
        <f>"20200111160221136"</f>
        <v>20200111160221136</v>
      </c>
      <c r="B3228" t="str">
        <f>"1578729741125439"</f>
        <v>1578729741125439</v>
      </c>
      <c r="C3228" t="s">
        <v>37</v>
      </c>
      <c r="D3228">
        <v>4.9558660000000003</v>
      </c>
      <c r="E3228">
        <v>0.487759</v>
      </c>
      <c r="F3228" t="s">
        <v>42</v>
      </c>
      <c r="G3228">
        <v>-191.5916</v>
      </c>
      <c r="H3228">
        <v>1.034718</v>
      </c>
      <c r="I3228">
        <v>188.17760000000001</v>
      </c>
      <c r="J3228">
        <v>-191.61609999999999</v>
      </c>
      <c r="K3228">
        <v>1.1047709999999999</v>
      </c>
      <c r="L3228">
        <v>188.84190000000001</v>
      </c>
      <c r="M3228">
        <v>2.5674539999999999E-2</v>
      </c>
      <c r="N3228">
        <v>0</v>
      </c>
      <c r="O3228">
        <v>-0.99957949999999995</v>
      </c>
      <c r="P3228">
        <v>-2.619966E-3</v>
      </c>
      <c r="Q3228">
        <v>-6.2121609999999999E-3</v>
      </c>
      <c r="R3228">
        <v>-0.99997760000000002</v>
      </c>
      <c r="S3228">
        <v>0.10636900000000001</v>
      </c>
      <c r="T3228">
        <v>-0.24925140000000001</v>
      </c>
      <c r="U3228">
        <v>-2.9986269999999999</v>
      </c>
      <c r="V3228">
        <v>2.829017E-2</v>
      </c>
      <c r="W3228">
        <v>7.2953699999999998E-3</v>
      </c>
      <c r="X3228">
        <v>0.99957309999999999</v>
      </c>
      <c r="Y3228">
        <v>-9.6561930000000004E-3</v>
      </c>
      <c r="Z3228">
        <v>8.2767560000000004E-2</v>
      </c>
      <c r="AA3228">
        <v>0.99652209999999997</v>
      </c>
      <c r="AB3228">
        <v>20</v>
      </c>
      <c r="AC3228">
        <v>2.4499999999988999E-2</v>
      </c>
      <c r="AD3228">
        <v>-7.0052999999999893E-2</v>
      </c>
      <c r="AE3228">
        <v>-0.664299999999997</v>
      </c>
      <c r="AF3228">
        <v>-7.3531167045471496E-3</v>
      </c>
      <c r="AG3228">
        <v>-7.0052999999999893E-2</v>
      </c>
      <c r="AH3228">
        <v>0.65740925999991096</v>
      </c>
      <c r="AI3228">
        <v>96.082061971201199</v>
      </c>
      <c r="AJ3228">
        <v>90.640826059971502</v>
      </c>
      <c r="AK3228">
        <v>0.66117200959198297</v>
      </c>
    </row>
    <row r="3229" spans="1:37" x14ac:dyDescent="0.2">
      <c r="A3229" t="str">
        <f>"20200111160221158"</f>
        <v>20200111160221158</v>
      </c>
      <c r="B3229" t="str">
        <f>"1578729741155696"</f>
        <v>1578729741155696</v>
      </c>
      <c r="C3229" t="s">
        <v>37</v>
      </c>
      <c r="D3229">
        <v>4.9990410000000001</v>
      </c>
      <c r="E3229">
        <v>0.48749549999999903</v>
      </c>
      <c r="F3229" t="s">
        <v>42</v>
      </c>
      <c r="G3229">
        <v>-191.58629999999999</v>
      </c>
      <c r="H3229">
        <v>1.035577</v>
      </c>
      <c r="I3229">
        <v>188.00139999999999</v>
      </c>
      <c r="J3229">
        <v>-191.6103</v>
      </c>
      <c r="K3229">
        <v>1.1047670000000001</v>
      </c>
      <c r="L3229">
        <v>188.64879999999999</v>
      </c>
      <c r="M3229">
        <v>2.635415E-2</v>
      </c>
      <c r="N3229">
        <v>0</v>
      </c>
      <c r="O3229">
        <v>-0.99956199999999995</v>
      </c>
      <c r="P3229">
        <v>-3.560269E-3</v>
      </c>
      <c r="Q3229">
        <v>-7.50409699999999E-3</v>
      </c>
      <c r="R3229">
        <v>-0.99996580000000002</v>
      </c>
      <c r="S3229">
        <v>0.10617069999999899</v>
      </c>
      <c r="T3229">
        <v>-0.24687190000000001</v>
      </c>
      <c r="U3229">
        <v>-2.99880999999999</v>
      </c>
      <c r="V3229">
        <v>2.9910309999999999E-2</v>
      </c>
      <c r="W3229">
        <v>6.0017400000000002E-3</v>
      </c>
      <c r="X3229">
        <v>0.99953449999999899</v>
      </c>
      <c r="Y3229">
        <v>-8.9106419999999999E-3</v>
      </c>
      <c r="Z3229">
        <v>8.1975999999999993E-2</v>
      </c>
      <c r="AA3229">
        <v>0.99659449999999905</v>
      </c>
      <c r="AB3229">
        <v>20</v>
      </c>
      <c r="AC3229">
        <v>2.4000000000000899E-2</v>
      </c>
      <c r="AD3229">
        <v>-6.9190000000000002E-2</v>
      </c>
      <c r="AE3229">
        <v>-0.64740000000000397</v>
      </c>
      <c r="AF3229">
        <v>-6.8503026514955996E-3</v>
      </c>
      <c r="AG3229">
        <v>-6.9190000000000002E-2</v>
      </c>
      <c r="AH3229">
        <v>0.64050189655563095</v>
      </c>
      <c r="AI3229">
        <v>96.165099218160606</v>
      </c>
      <c r="AJ3229">
        <v>90.612767062836795</v>
      </c>
      <c r="AK3229">
        <v>0.64426459024051397</v>
      </c>
    </row>
    <row r="3230" spans="1:37" x14ac:dyDescent="0.2">
      <c r="A3230" t="str">
        <f>"20200111160221181"</f>
        <v>20200111160221181</v>
      </c>
      <c r="B3230" t="str">
        <f>"1578729741175215"</f>
        <v>1578729741175215</v>
      </c>
      <c r="C3230" t="s">
        <v>37</v>
      </c>
      <c r="D3230">
        <v>5.0259390000000002</v>
      </c>
      <c r="E3230">
        <v>0.48758779999999902</v>
      </c>
      <c r="F3230" t="s">
        <v>42</v>
      </c>
      <c r="G3230">
        <v>-191.5813</v>
      </c>
      <c r="H3230">
        <v>1.036154</v>
      </c>
      <c r="I3230">
        <v>187.82579999999999</v>
      </c>
      <c r="J3230">
        <v>-191.60409999999999</v>
      </c>
      <c r="K3230">
        <v>1.104773</v>
      </c>
      <c r="L3230">
        <v>188.4443</v>
      </c>
      <c r="M3230">
        <v>2.707298E-2</v>
      </c>
      <c r="N3230">
        <v>0</v>
      </c>
      <c r="O3230">
        <v>-0.99954270000000001</v>
      </c>
      <c r="P3230">
        <v>-3.67701099999999E-3</v>
      </c>
      <c r="Q3230">
        <v>-8.8567170000000001E-3</v>
      </c>
      <c r="R3230">
        <v>-0.99995429999999996</v>
      </c>
      <c r="S3230">
        <v>0.1060181</v>
      </c>
      <c r="T3230">
        <v>-0.25010860000000001</v>
      </c>
      <c r="U3230">
        <v>-2.9986269999999999</v>
      </c>
      <c r="V3230">
        <v>3.07464E-2</v>
      </c>
      <c r="W3230">
        <v>4.6465869999999998E-3</v>
      </c>
      <c r="X3230">
        <v>0.99951639999999997</v>
      </c>
      <c r="Y3230">
        <v>-8.139884E-3</v>
      </c>
      <c r="Z3230">
        <v>8.3046369999999994E-2</v>
      </c>
      <c r="AA3230">
        <v>0.99651239999999996</v>
      </c>
      <c r="AB3230">
        <v>20</v>
      </c>
      <c r="AC3230">
        <v>2.2799999999989402E-2</v>
      </c>
      <c r="AD3230">
        <v>-6.8618999999999902E-2</v>
      </c>
      <c r="AE3230">
        <v>-0.61850000000001104</v>
      </c>
      <c r="AF3230">
        <v>-5.9720756608053899E-3</v>
      </c>
      <c r="AG3230">
        <v>-6.8618999999999902E-2</v>
      </c>
      <c r="AH3230">
        <v>0.61137559595281998</v>
      </c>
      <c r="AI3230">
        <v>96.403606315555706</v>
      </c>
      <c r="AJ3230">
        <v>90.559662259784204</v>
      </c>
      <c r="AK3230">
        <v>0.61524332761547595</v>
      </c>
    </row>
    <row r="3231" spans="1:37" x14ac:dyDescent="0.2">
      <c r="A3231" t="str">
        <f>"20200111160221204"</f>
        <v>20200111160221204</v>
      </c>
      <c r="B3231" t="str">
        <f>"1578729741195712"</f>
        <v>1578729741195712</v>
      </c>
      <c r="C3231" t="s">
        <v>37</v>
      </c>
      <c r="D3231">
        <v>5.1199909999999997</v>
      </c>
      <c r="E3231">
        <v>0.48750359999999998</v>
      </c>
      <c r="F3231" t="s">
        <v>42</v>
      </c>
      <c r="G3231">
        <v>-191.5762</v>
      </c>
      <c r="H3231">
        <v>1.0372509999999999</v>
      </c>
      <c r="I3231">
        <v>187.65</v>
      </c>
      <c r="J3231">
        <v>-191.5977</v>
      </c>
      <c r="K3231">
        <v>1.1047670000000001</v>
      </c>
      <c r="L3231">
        <v>188.2398</v>
      </c>
      <c r="M3231">
        <v>2.7796339999999999E-2</v>
      </c>
      <c r="N3231">
        <v>0</v>
      </c>
      <c r="O3231">
        <v>-0.99952289999999899</v>
      </c>
      <c r="P3231">
        <v>-4.5924889999999999E-3</v>
      </c>
      <c r="Q3231">
        <v>-1.05908999999999E-2</v>
      </c>
      <c r="R3231">
        <v>-0.99993369999999904</v>
      </c>
      <c r="S3231">
        <v>0.1052704</v>
      </c>
      <c r="T3231">
        <v>-0.25500420000000001</v>
      </c>
      <c r="U3231">
        <v>-2.998291</v>
      </c>
      <c r="V3231">
        <v>3.2385520000000001E-2</v>
      </c>
      <c r="W3231">
        <v>2.9109129999999898E-3</v>
      </c>
      <c r="X3231">
        <v>0.9994712</v>
      </c>
      <c r="Y3231">
        <v>-7.1671629999999998E-3</v>
      </c>
      <c r="Z3231">
        <v>8.4667939999999997E-2</v>
      </c>
      <c r="AA3231">
        <v>0.99638340000000003</v>
      </c>
      <c r="AB3231">
        <v>20</v>
      </c>
      <c r="AC3231">
        <v>2.15000000000031E-2</v>
      </c>
      <c r="AD3231">
        <v>-6.7516000000000104E-2</v>
      </c>
      <c r="AE3231">
        <v>-0.58979999999999599</v>
      </c>
      <c r="AF3231">
        <v>-5.0300961696875196E-3</v>
      </c>
      <c r="AG3231">
        <v>-6.7516000000000104E-2</v>
      </c>
      <c r="AH3231">
        <v>0.58254618498451205</v>
      </c>
      <c r="AI3231">
        <v>96.610733043598799</v>
      </c>
      <c r="AJ3231">
        <v>90.494718060535405</v>
      </c>
      <c r="AK3231">
        <v>0.58646719410678505</v>
      </c>
    </row>
    <row r="3232" spans="1:37" x14ac:dyDescent="0.2">
      <c r="A3232" t="str">
        <f>"20200111160221225"</f>
        <v>20200111160221225</v>
      </c>
      <c r="B3232" t="str">
        <f>"1578729741215231"</f>
        <v>1578729741215231</v>
      </c>
      <c r="C3232" t="s">
        <v>37</v>
      </c>
      <c r="D3232">
        <v>5.2108400000000001</v>
      </c>
      <c r="E3232">
        <v>0.48745939999999999</v>
      </c>
      <c r="F3232" t="s">
        <v>42</v>
      </c>
      <c r="G3232">
        <v>-191.57140000000001</v>
      </c>
      <c r="H3232">
        <v>1.038411</v>
      </c>
      <c r="I3232">
        <v>187.4744</v>
      </c>
      <c r="J3232">
        <v>-191.59180000000001</v>
      </c>
      <c r="K3232">
        <v>1.104765</v>
      </c>
      <c r="L3232">
        <v>188.05590000000001</v>
      </c>
      <c r="M3232">
        <v>2.8453490000000001E-2</v>
      </c>
      <c r="N3232">
        <v>0</v>
      </c>
      <c r="O3232">
        <v>-0.99950430000000001</v>
      </c>
      <c r="P3232">
        <v>-5.0609679999999999E-3</v>
      </c>
      <c r="Q3232">
        <v>-1.133194E-2</v>
      </c>
      <c r="R3232">
        <v>-0.99992320000000001</v>
      </c>
      <c r="S3232">
        <v>0.103622399999999</v>
      </c>
      <c r="T3232">
        <v>-0.26006000000000001</v>
      </c>
      <c r="U3232">
        <v>-2.9979399999999998</v>
      </c>
      <c r="V3232">
        <v>3.3511119999999998E-2</v>
      </c>
      <c r="W3232">
        <v>2.1684790000000001E-3</v>
      </c>
      <c r="X3232">
        <v>0.99943599999999999</v>
      </c>
      <c r="Y3232">
        <v>-5.9617790000000004E-3</v>
      </c>
      <c r="Z3232">
        <v>8.6342970000000005E-2</v>
      </c>
      <c r="AA3232">
        <v>0.99624760000000001</v>
      </c>
      <c r="AB3232">
        <v>20</v>
      </c>
      <c r="AC3232">
        <v>2.0399999999994999E-2</v>
      </c>
      <c r="AD3232">
        <v>-6.6353999999999996E-2</v>
      </c>
      <c r="AE3232">
        <v>-0.58150000000000501</v>
      </c>
      <c r="AF3232">
        <v>-3.7951771234909699E-3</v>
      </c>
      <c r="AG3232">
        <v>-6.6353999999999996E-2</v>
      </c>
      <c r="AH3232">
        <v>0.57437543702218996</v>
      </c>
      <c r="AI3232">
        <v>96.589668603057802</v>
      </c>
      <c r="AJ3232">
        <v>90.378575498258897</v>
      </c>
      <c r="AK3232">
        <v>0.57820792050942305</v>
      </c>
    </row>
    <row r="3233" spans="1:37" x14ac:dyDescent="0.2">
      <c r="A3233" t="str">
        <f>"20200111160221248"</f>
        <v>20200111160221248</v>
      </c>
      <c r="B3233" t="str">
        <f>"1578729741245487"</f>
        <v>1578729741245487</v>
      </c>
      <c r="C3233" t="s">
        <v>37</v>
      </c>
      <c r="D3233">
        <v>5.1498569999999999</v>
      </c>
      <c r="E3233">
        <v>0.48731970000000002</v>
      </c>
      <c r="F3233" t="s">
        <v>42</v>
      </c>
      <c r="G3233">
        <v>-191.5658</v>
      </c>
      <c r="H3233">
        <v>1.0387200000000001</v>
      </c>
      <c r="I3233">
        <v>187.2997</v>
      </c>
      <c r="J3233">
        <v>-191.58539999999999</v>
      </c>
      <c r="K3233">
        <v>1.1047709999999999</v>
      </c>
      <c r="L3233">
        <v>187.8587</v>
      </c>
      <c r="M3233">
        <v>2.916241E-2</v>
      </c>
      <c r="N3233">
        <v>0</v>
      </c>
      <c r="O3233">
        <v>-0.99948400000000004</v>
      </c>
      <c r="P3233">
        <v>-5.6825340000000004E-3</v>
      </c>
      <c r="Q3233">
        <v>-1.180925E-2</v>
      </c>
      <c r="R3233">
        <v>-0.99991439999999998</v>
      </c>
      <c r="S3233">
        <v>0.10290530000000001</v>
      </c>
      <c r="T3233">
        <v>-0.2617835</v>
      </c>
      <c r="U3233">
        <v>-2.99780299999999</v>
      </c>
      <c r="V3233">
        <v>3.4841329999999997E-2</v>
      </c>
      <c r="W3233">
        <v>1.690212E-3</v>
      </c>
      <c r="X3233">
        <v>0.99939140000000004</v>
      </c>
      <c r="Y3233">
        <v>-5.0143419999999998E-3</v>
      </c>
      <c r="Z3233">
        <v>8.6912799999999998E-2</v>
      </c>
      <c r="AA3233">
        <v>0.99620330000000001</v>
      </c>
      <c r="AB3233">
        <v>20</v>
      </c>
      <c r="AC3233">
        <v>1.9599999999996901E-2</v>
      </c>
      <c r="AD3233">
        <v>-6.6050999999999804E-2</v>
      </c>
      <c r="AE3233">
        <v>-0.55899999999999705</v>
      </c>
      <c r="AF3233">
        <v>-3.2431730114671699E-3</v>
      </c>
      <c r="AG3233">
        <v>-6.6050999999999804E-2</v>
      </c>
      <c r="AH3233">
        <v>0.55164150078685104</v>
      </c>
      <c r="AI3233">
        <v>96.827709198271705</v>
      </c>
      <c r="AJ3233">
        <v>90.336845550343497</v>
      </c>
      <c r="AK3233">
        <v>0.55559121497963904</v>
      </c>
    </row>
    <row r="3234" spans="1:37" x14ac:dyDescent="0.2">
      <c r="A3234" t="str">
        <f>"20200111160221270"</f>
        <v>20200111160221270</v>
      </c>
      <c r="B3234" t="str">
        <f>"1578729741265007"</f>
        <v>1578729741265007</v>
      </c>
      <c r="C3234" t="s">
        <v>37</v>
      </c>
      <c r="D3234">
        <v>5.204726</v>
      </c>
      <c r="E3234">
        <v>0.4871452</v>
      </c>
      <c r="F3234" t="s">
        <v>42</v>
      </c>
      <c r="G3234">
        <v>-191.56030000000001</v>
      </c>
      <c r="H3234">
        <v>1.0399689999999999</v>
      </c>
      <c r="I3234">
        <v>187.12029999999999</v>
      </c>
      <c r="J3234">
        <v>-191.5789</v>
      </c>
      <c r="K3234">
        <v>1.1047670000000001</v>
      </c>
      <c r="L3234">
        <v>187.66319999999999</v>
      </c>
      <c r="M3234">
        <v>2.9861530000000001E-2</v>
      </c>
      <c r="N3234">
        <v>0</v>
      </c>
      <c r="O3234">
        <v>-0.99946329999999906</v>
      </c>
      <c r="P3234">
        <v>-6.9859969999999999E-3</v>
      </c>
      <c r="Q3234">
        <v>-1.193133E-2</v>
      </c>
      <c r="R3234">
        <v>-0.99990440000000003</v>
      </c>
      <c r="S3234">
        <v>0.10214230000000001</v>
      </c>
      <c r="T3234">
        <v>-0.26317579999999902</v>
      </c>
      <c r="U3234">
        <v>-2.9977259999999899</v>
      </c>
      <c r="V3234">
        <v>3.6843010000000002E-2</v>
      </c>
      <c r="W3234">
        <v>1.5667109999999999E-3</v>
      </c>
      <c r="X3234">
        <v>0.99931990000000004</v>
      </c>
      <c r="Y3234">
        <v>-4.0611140000000002E-3</v>
      </c>
      <c r="Z3234">
        <v>8.7371569999999996E-2</v>
      </c>
      <c r="AA3234">
        <v>0.99616749999999898</v>
      </c>
      <c r="AB3234">
        <v>20</v>
      </c>
      <c r="AC3234">
        <v>1.8599999999992099E-2</v>
      </c>
      <c r="AD3234">
        <v>-6.4797999999999897E-2</v>
      </c>
      <c r="AE3234">
        <v>-0.54290000000000205</v>
      </c>
      <c r="AF3234">
        <v>-2.3450409135015501E-3</v>
      </c>
      <c r="AG3234">
        <v>-6.4797999999999897E-2</v>
      </c>
      <c r="AH3234">
        <v>0.53559238367548101</v>
      </c>
      <c r="AI3234">
        <v>96.898268669390106</v>
      </c>
      <c r="AJ3234">
        <v>90.250862582531198</v>
      </c>
      <c r="AK3234">
        <v>0.53950299486848996</v>
      </c>
    </row>
    <row r="3235" spans="1:37" x14ac:dyDescent="0.2">
      <c r="A3235" t="str">
        <f>"20200111160221293"</f>
        <v>20200111160221293</v>
      </c>
      <c r="B3235" t="str">
        <f>"1578729741285507"</f>
        <v>1578729741285507</v>
      </c>
      <c r="C3235" t="s">
        <v>37</v>
      </c>
      <c r="D3235">
        <v>5.1664199999999996</v>
      </c>
      <c r="E3235">
        <v>0.48705779999999899</v>
      </c>
      <c r="F3235" t="s">
        <v>42</v>
      </c>
      <c r="G3235">
        <v>-191.5498</v>
      </c>
      <c r="H3235">
        <v>1.0277270000000001</v>
      </c>
      <c r="I3235">
        <v>186.78639999999999</v>
      </c>
      <c r="J3235">
        <v>-191.57220000000001</v>
      </c>
      <c r="K3235">
        <v>1.1047549999999999</v>
      </c>
      <c r="L3235">
        <v>187.46639999999999</v>
      </c>
      <c r="M3235">
        <v>3.0549670000000001E-2</v>
      </c>
      <c r="N3235">
        <v>0</v>
      </c>
      <c r="O3235">
        <v>-0.99944249999999901</v>
      </c>
      <c r="P3235">
        <v>-8.7069460000000001E-3</v>
      </c>
      <c r="Q3235">
        <v>-1.225191E-2</v>
      </c>
      <c r="R3235">
        <v>-0.99988729999999904</v>
      </c>
      <c r="S3235">
        <v>9.9746699999999994E-2</v>
      </c>
      <c r="T3235">
        <v>-0.26357799999999998</v>
      </c>
      <c r="U3235">
        <v>-2.997849</v>
      </c>
      <c r="V3235">
        <v>3.9250899999999998E-2</v>
      </c>
      <c r="W3235">
        <v>1.243893E-3</v>
      </c>
      <c r="X3235">
        <v>0.99922860000000002</v>
      </c>
      <c r="Y3235">
        <v>-2.5756889999999999E-3</v>
      </c>
      <c r="Z3235">
        <v>8.7499190000000004E-2</v>
      </c>
      <c r="AA3235">
        <v>0.99616130000000003</v>
      </c>
      <c r="AB3235">
        <v>20</v>
      </c>
      <c r="AC3235">
        <v>2.24000000000046E-2</v>
      </c>
      <c r="AD3235">
        <v>-7.7027999999999805E-2</v>
      </c>
      <c r="AE3235">
        <v>-0.68000000000000604</v>
      </c>
      <c r="AF3235">
        <v>-1.59345839915847E-3</v>
      </c>
      <c r="AG3235">
        <v>-7.7027999999999805E-2</v>
      </c>
      <c r="AH3235">
        <v>0.67175658615529699</v>
      </c>
      <c r="AI3235">
        <v>96.541320679124595</v>
      </c>
      <c r="AJ3235">
        <v>90.135909750266407</v>
      </c>
      <c r="AK3235">
        <v>0.67616030860786902</v>
      </c>
    </row>
    <row r="3236" spans="1:37" x14ac:dyDescent="0.2">
      <c r="A3236" t="str">
        <f>"20200111160221314"</f>
        <v>20200111160221314</v>
      </c>
      <c r="B3236" t="str">
        <f>"1578729741305023"</f>
        <v>1578729741305023</v>
      </c>
      <c r="C3236" t="s">
        <v>37</v>
      </c>
      <c r="D3236">
        <v>5.2220559999999896</v>
      </c>
      <c r="E3236">
        <v>0.48680190000000001</v>
      </c>
      <c r="F3236" t="s">
        <v>42</v>
      </c>
      <c r="G3236">
        <v>-191.54499999999999</v>
      </c>
      <c r="H3236">
        <v>1.0292559999999999</v>
      </c>
      <c r="I3236">
        <v>186.6121</v>
      </c>
      <c r="J3236">
        <v>-191.56559999999999</v>
      </c>
      <c r="K3236">
        <v>1.1047400000000001</v>
      </c>
      <c r="L3236">
        <v>187.27809999999999</v>
      </c>
      <c r="M3236">
        <v>3.1189720000000001E-2</v>
      </c>
      <c r="N3236">
        <v>0</v>
      </c>
      <c r="O3236">
        <v>-0.999422699999999</v>
      </c>
      <c r="P3236">
        <v>-1.0481860000000001E-2</v>
      </c>
      <c r="Q3236">
        <v>-1.2771390000000001E-2</v>
      </c>
      <c r="R3236">
        <v>-0.99986369999999902</v>
      </c>
      <c r="S3236">
        <v>9.5413209999999998E-2</v>
      </c>
      <c r="T3236">
        <v>-0.26495809999999997</v>
      </c>
      <c r="U3236">
        <v>-2.997925</v>
      </c>
      <c r="V3236">
        <v>4.1664510000000002E-2</v>
      </c>
      <c r="W3236">
        <v>7.2175649999999902E-4</v>
      </c>
      <c r="X3236">
        <v>0.9991314</v>
      </c>
      <c r="Y3236">
        <v>-4.9473119999999995E-4</v>
      </c>
      <c r="Z3236">
        <v>8.7951169999999995E-2</v>
      </c>
      <c r="AA3236">
        <v>0.99612469999999997</v>
      </c>
      <c r="AB3236">
        <v>19</v>
      </c>
      <c r="AC3236">
        <v>2.06000000000017E-2</v>
      </c>
      <c r="AD3236">
        <v>-7.5484000000000107E-2</v>
      </c>
      <c r="AE3236">
        <v>-0.66599999999999604</v>
      </c>
      <c r="AF3236">
        <v>1.8192784362592099E-4</v>
      </c>
      <c r="AG3236">
        <v>-7.5484000000000107E-2</v>
      </c>
      <c r="AH3236">
        <v>0.657875621918525</v>
      </c>
      <c r="AI3236">
        <v>96.545437480111005</v>
      </c>
      <c r="AJ3236">
        <v>89.984155519671603</v>
      </c>
      <c r="AK3236">
        <v>0.66219196708237604</v>
      </c>
    </row>
    <row r="3237" spans="1:37" x14ac:dyDescent="0.2">
      <c r="A3237" t="str">
        <f>"20200111160221336"</f>
        <v>20200111160221336</v>
      </c>
      <c r="B3237" t="str">
        <f>"1578729741325519"</f>
        <v>1578729741325519</v>
      </c>
      <c r="C3237" t="s">
        <v>37</v>
      </c>
      <c r="D3237">
        <v>5.1920390000000003</v>
      </c>
      <c r="E3237">
        <v>0.48660360000000003</v>
      </c>
      <c r="F3237" t="s">
        <v>42</v>
      </c>
      <c r="G3237">
        <v>-191.53989999999999</v>
      </c>
      <c r="H3237">
        <v>1.0303059999999999</v>
      </c>
      <c r="I3237">
        <v>186.43819999999999</v>
      </c>
      <c r="J3237">
        <v>-191.5591</v>
      </c>
      <c r="K3237">
        <v>1.104724</v>
      </c>
      <c r="L3237">
        <v>187.0926</v>
      </c>
      <c r="M3237">
        <v>3.179009E-2</v>
      </c>
      <c r="N3237">
        <v>0</v>
      </c>
      <c r="O3237">
        <v>-0.99940409999999902</v>
      </c>
      <c r="P3237">
        <v>-1.1927510000000001E-2</v>
      </c>
      <c r="Q3237">
        <v>-1.3196660000000001E-2</v>
      </c>
      <c r="R3237">
        <v>-0.99984219999999902</v>
      </c>
      <c r="S3237">
        <v>9.2071529999999999E-2</v>
      </c>
      <c r="T3237">
        <v>-0.26577339999999999</v>
      </c>
      <c r="U3237">
        <v>-2.9979550000000001</v>
      </c>
      <c r="V3237">
        <v>4.3709209999999998E-2</v>
      </c>
      <c r="W3237">
        <v>2.926033E-4</v>
      </c>
      <c r="X3237">
        <v>0.99904419999999905</v>
      </c>
      <c r="Y3237">
        <v>1.216265E-3</v>
      </c>
      <c r="Z3237">
        <v>8.8217790000000004E-2</v>
      </c>
      <c r="AA3237">
        <v>0.99610049999999895</v>
      </c>
      <c r="AB3237">
        <v>19</v>
      </c>
      <c r="AC3237">
        <v>1.9200000000011999E-2</v>
      </c>
      <c r="AD3237">
        <v>-7.4418000000000095E-2</v>
      </c>
      <c r="AE3237">
        <v>-0.65440000000000897</v>
      </c>
      <c r="AF3237">
        <v>1.59442071833254E-3</v>
      </c>
      <c r="AG3237">
        <v>-7.4418000000000095E-2</v>
      </c>
      <c r="AH3237">
        <v>0.64632840850599904</v>
      </c>
      <c r="AI3237">
        <v>96.5680710442536</v>
      </c>
      <c r="AJ3237">
        <v>89.858657933930999</v>
      </c>
      <c r="AK3237">
        <v>0.65060048612287802</v>
      </c>
    </row>
    <row r="3238" spans="1:37" x14ac:dyDescent="0.2">
      <c r="A3238" t="str">
        <f>"20200111160221360"</f>
        <v>20200111160221360</v>
      </c>
      <c r="B3238" t="str">
        <f>"1578729741354799"</f>
        <v>1578729741354799</v>
      </c>
      <c r="C3238" t="s">
        <v>37</v>
      </c>
      <c r="D3238">
        <v>5.2048920000000001</v>
      </c>
      <c r="E3238">
        <v>0.48636000000000001</v>
      </c>
      <c r="F3238" t="s">
        <v>42</v>
      </c>
      <c r="G3238">
        <v>-191.53460000000001</v>
      </c>
      <c r="H3238">
        <v>1.03104</v>
      </c>
      <c r="I3238">
        <v>186.2647</v>
      </c>
      <c r="J3238">
        <v>-191.5521</v>
      </c>
      <c r="K3238">
        <v>1.1046860000000001</v>
      </c>
      <c r="L3238">
        <v>186.89410000000001</v>
      </c>
      <c r="M3238">
        <v>3.2376820000000001E-2</v>
      </c>
      <c r="N3238">
        <v>0</v>
      </c>
      <c r="O3238">
        <v>-0.99938499999999997</v>
      </c>
      <c r="P3238">
        <v>-1.266873E-2</v>
      </c>
      <c r="Q3238">
        <v>-1.519678E-2</v>
      </c>
      <c r="R3238">
        <v>-0.99980440000000004</v>
      </c>
      <c r="S3238">
        <v>8.9447020000000002E-2</v>
      </c>
      <c r="T3238">
        <v>-0.26691799999999999</v>
      </c>
      <c r="U3238">
        <v>-2.9980319999999998</v>
      </c>
      <c r="V3238">
        <v>4.5036640000000003E-2</v>
      </c>
      <c r="W3238">
        <v>-1.713794E-3</v>
      </c>
      <c r="X3238">
        <v>0.99898390000000004</v>
      </c>
      <c r="Y3238">
        <v>2.6763350000000002E-3</v>
      </c>
      <c r="Z3238">
        <v>8.8591050000000005E-2</v>
      </c>
      <c r="AA3238">
        <v>0.99606450000000002</v>
      </c>
      <c r="AB3238">
        <v>19</v>
      </c>
      <c r="AC3238">
        <v>1.7499999999984001E-2</v>
      </c>
      <c r="AD3238">
        <v>-7.36460000000001E-2</v>
      </c>
      <c r="AE3238">
        <v>-0.62940000000000396</v>
      </c>
      <c r="AF3238">
        <v>2.8500048549586999E-3</v>
      </c>
      <c r="AG3238">
        <v>-7.36460000000001E-2</v>
      </c>
      <c r="AH3238">
        <v>0.62113897845559696</v>
      </c>
      <c r="AI3238">
        <v>96.761696662501194</v>
      </c>
      <c r="AJ3238">
        <v>89.737108586769395</v>
      </c>
      <c r="AK3238">
        <v>0.62549619215510499</v>
      </c>
    </row>
    <row r="3239" spans="1:37" x14ac:dyDescent="0.2">
      <c r="A3239" t="str">
        <f>"20200111160221383"</f>
        <v>20200111160221383</v>
      </c>
      <c r="B3239" t="str">
        <f>"1578729741374826"</f>
        <v>1578729741374826</v>
      </c>
      <c r="C3239" t="s">
        <v>37</v>
      </c>
      <c r="D3239">
        <v>5.337345</v>
      </c>
      <c r="E3239">
        <v>0.4860834</v>
      </c>
      <c r="F3239" t="s">
        <v>42</v>
      </c>
      <c r="G3239">
        <v>-191.5283</v>
      </c>
      <c r="H3239">
        <v>1.0316879999999999</v>
      </c>
      <c r="I3239">
        <v>186.09139999999999</v>
      </c>
      <c r="J3239">
        <v>-191.54480000000001</v>
      </c>
      <c r="K3239">
        <v>1.104633</v>
      </c>
      <c r="L3239">
        <v>186.6884</v>
      </c>
      <c r="M3239">
        <v>3.2906989999999997E-2</v>
      </c>
      <c r="N3239">
        <v>0</v>
      </c>
      <c r="O3239">
        <v>-0.99936800000000003</v>
      </c>
      <c r="P3239">
        <v>-1.2350450000000001E-2</v>
      </c>
      <c r="Q3239">
        <v>-1.7241429999999999E-2</v>
      </c>
      <c r="R3239">
        <v>-0.99977569999999905</v>
      </c>
      <c r="S3239">
        <v>8.9401250000000002E-2</v>
      </c>
      <c r="T3239">
        <v>-0.27272750000000001</v>
      </c>
      <c r="U3239">
        <v>-2.9975740000000002</v>
      </c>
      <c r="V3239">
        <v>4.5248370000000003E-2</v>
      </c>
      <c r="W3239">
        <v>-3.7666709999999901E-3</v>
      </c>
      <c r="X3239">
        <v>0.99896870000000004</v>
      </c>
      <c r="Y3239">
        <v>3.2226450000000001E-3</v>
      </c>
      <c r="Z3239">
        <v>9.0514880000000006E-2</v>
      </c>
      <c r="AA3239">
        <v>0.99588989999999999</v>
      </c>
      <c r="AB3239">
        <v>19</v>
      </c>
      <c r="AC3239">
        <v>1.6500000000007699E-2</v>
      </c>
      <c r="AD3239">
        <v>-7.2944999999999996E-2</v>
      </c>
      <c r="AE3239">
        <v>-0.59700000000000797</v>
      </c>
      <c r="AF3239">
        <v>3.1097943222389902E-3</v>
      </c>
      <c r="AG3239">
        <v>-7.2944999999999996E-2</v>
      </c>
      <c r="AH3239">
        <v>0.58844126143591002</v>
      </c>
      <c r="AI3239">
        <v>97.066414946724507</v>
      </c>
      <c r="AJ3239">
        <v>89.697206088801593</v>
      </c>
      <c r="AK3239">
        <v>0.592953423133733</v>
      </c>
    </row>
    <row r="3240" spans="1:37" x14ac:dyDescent="0.2">
      <c r="A3240" t="str">
        <f>"20200111160221406"</f>
        <v>20200111160221406</v>
      </c>
      <c r="B3240" t="str">
        <f>"1578729741395322"</f>
        <v>1578729741395322</v>
      </c>
      <c r="C3240" t="s">
        <v>37</v>
      </c>
      <c r="D3240">
        <v>5.3316699999999999</v>
      </c>
      <c r="E3240">
        <v>0.48585050000000002</v>
      </c>
      <c r="F3240" t="s">
        <v>42</v>
      </c>
      <c r="G3240">
        <v>-191.52109999999999</v>
      </c>
      <c r="H3240">
        <v>1.0331239999999999</v>
      </c>
      <c r="I3240">
        <v>185.91759999999999</v>
      </c>
      <c r="J3240">
        <v>-191.53790000000001</v>
      </c>
      <c r="K3240">
        <v>1.1045769999999999</v>
      </c>
      <c r="L3240">
        <v>186.49619999999999</v>
      </c>
      <c r="M3240">
        <v>3.3317439999999997E-2</v>
      </c>
      <c r="N3240">
        <v>0</v>
      </c>
      <c r="O3240">
        <v>-0.99935439999999998</v>
      </c>
      <c r="P3240">
        <v>-1.038569E-2</v>
      </c>
      <c r="Q3240">
        <v>-1.7969329999999999E-2</v>
      </c>
      <c r="R3240">
        <v>-0.99978489999999998</v>
      </c>
      <c r="S3240">
        <v>9.2132569999999997E-2</v>
      </c>
      <c r="T3240">
        <v>-0.27812759999999997</v>
      </c>
      <c r="U3240">
        <v>-2.9970249999999998</v>
      </c>
      <c r="V3240">
        <v>4.3695030000000003E-2</v>
      </c>
      <c r="W3240">
        <v>-4.5030280000000001E-3</v>
      </c>
      <c r="X3240">
        <v>0.9990348</v>
      </c>
      <c r="Y3240">
        <v>2.7262059999999901E-3</v>
      </c>
      <c r="Z3240">
        <v>9.2305680000000001E-2</v>
      </c>
      <c r="AA3240">
        <v>0.99572700000000003</v>
      </c>
      <c r="AB3240">
        <v>19</v>
      </c>
      <c r="AC3240">
        <v>1.6800000000017599E-2</v>
      </c>
      <c r="AD3240">
        <v>-7.1453000000000197E-2</v>
      </c>
      <c r="AE3240">
        <v>-0.57859999999999401</v>
      </c>
      <c r="AF3240">
        <v>2.4511913486667401E-3</v>
      </c>
      <c r="AG3240">
        <v>-7.1453000000000197E-2</v>
      </c>
      <c r="AH3240">
        <v>0.57015073897074597</v>
      </c>
      <c r="AI3240">
        <v>97.143172008094993</v>
      </c>
      <c r="AJ3240">
        <v>89.753675573503997</v>
      </c>
      <c r="AK3240">
        <v>0.574615875778694</v>
      </c>
    </row>
    <row r="3241" spans="1:37" x14ac:dyDescent="0.2">
      <c r="A3241" t="str">
        <f>"20200111160221426"</f>
        <v>20200111160221426</v>
      </c>
      <c r="B3241" t="str">
        <f>"1578729741414842"</f>
        <v>1578729741414842</v>
      </c>
      <c r="C3241" t="s">
        <v>37</v>
      </c>
      <c r="D3241">
        <v>5.3028209999999998</v>
      </c>
      <c r="E3241">
        <v>0.48562609999999901</v>
      </c>
      <c r="F3241" t="s">
        <v>42</v>
      </c>
      <c r="G3241">
        <v>-191.51300000000001</v>
      </c>
      <c r="H3241">
        <v>1.0343869999999999</v>
      </c>
      <c r="I3241">
        <v>185.74379999999999</v>
      </c>
      <c r="J3241">
        <v>-191.5317</v>
      </c>
      <c r="K3241">
        <v>1.104525</v>
      </c>
      <c r="L3241">
        <v>186.32060000000001</v>
      </c>
      <c r="M3241">
        <v>3.361389E-2</v>
      </c>
      <c r="N3241">
        <v>0</v>
      </c>
      <c r="O3241">
        <v>-0.99934429999999996</v>
      </c>
      <c r="P3241">
        <v>-9.1790959999999994E-3</v>
      </c>
      <c r="Q3241">
        <v>-1.825922E-2</v>
      </c>
      <c r="R3241">
        <v>-0.99979130000000005</v>
      </c>
      <c r="S3241">
        <v>9.9807740000000006E-2</v>
      </c>
      <c r="T3241">
        <v>-0.27974189999999999</v>
      </c>
      <c r="U3241">
        <v>-2.9966430000000002</v>
      </c>
      <c r="V3241">
        <v>4.2785129999999998E-2</v>
      </c>
      <c r="W3241">
        <v>-4.8007220000000003E-3</v>
      </c>
      <c r="X3241">
        <v>0.99907279999999998</v>
      </c>
      <c r="Y3241">
        <v>4.7291720000000001E-4</v>
      </c>
      <c r="Z3241">
        <v>9.2843549999999997E-2</v>
      </c>
      <c r="AA3241">
        <v>0.99568060000000003</v>
      </c>
      <c r="AB3241">
        <v>19</v>
      </c>
      <c r="AC3241">
        <v>1.8699999999995401E-2</v>
      </c>
      <c r="AD3241">
        <v>-7.0137999999999798E-2</v>
      </c>
      <c r="AE3241">
        <v>-0.57680000000001996</v>
      </c>
      <c r="AF3241">
        <v>6.9061593964503702E-4</v>
      </c>
      <c r="AG3241">
        <v>-7.0137999999999798E-2</v>
      </c>
      <c r="AH3241">
        <v>0.56870251054276</v>
      </c>
      <c r="AI3241">
        <v>97.030772041328603</v>
      </c>
      <c r="AJ3241">
        <v>89.930421690740502</v>
      </c>
      <c r="AK3241">
        <v>0.573011659123978</v>
      </c>
    </row>
    <row r="3242" spans="1:37" x14ac:dyDescent="0.2">
      <c r="A3242" t="str">
        <f>"20200111160221449"</f>
        <v>20200111160221449</v>
      </c>
      <c r="B3242" t="str">
        <f>"1578729741445098"</f>
        <v>1578729741445098</v>
      </c>
      <c r="C3242" t="s">
        <v>37</v>
      </c>
      <c r="D3242">
        <v>5.3165339999999999</v>
      </c>
      <c r="E3242">
        <v>0.48532159999999902</v>
      </c>
      <c r="F3242" t="s">
        <v>42</v>
      </c>
      <c r="G3242">
        <v>-191.50540000000001</v>
      </c>
      <c r="H3242">
        <v>1.034438</v>
      </c>
      <c r="I3242">
        <v>185.57130000000001</v>
      </c>
      <c r="J3242">
        <v>-191.52459999999999</v>
      </c>
      <c r="K3242">
        <v>1.104465</v>
      </c>
      <c r="L3242">
        <v>186.1216</v>
      </c>
      <c r="M3242">
        <v>3.3869650000000001E-2</v>
      </c>
      <c r="N3242">
        <v>0</v>
      </c>
      <c r="O3242">
        <v>-0.9993358</v>
      </c>
      <c r="P3242">
        <v>-8.3680990000000004E-3</v>
      </c>
      <c r="Q3242">
        <v>-1.8821569999999999E-2</v>
      </c>
      <c r="R3242">
        <v>-0.99978809999999996</v>
      </c>
      <c r="S3242">
        <v>0.1053009</v>
      </c>
      <c r="T3242">
        <v>-0.28032459999999998</v>
      </c>
      <c r="U3242">
        <v>-2.9964750000000002</v>
      </c>
      <c r="V3242">
        <v>4.2229570000000001E-2</v>
      </c>
      <c r="W3242">
        <v>-5.3712819999999998E-3</v>
      </c>
      <c r="X3242">
        <v>0.99909349999999997</v>
      </c>
      <c r="Y3242">
        <v>-1.0955239999999901E-3</v>
      </c>
      <c r="Z3242">
        <v>9.3036320000000006E-2</v>
      </c>
      <c r="AA3242">
        <v>0.995662099999999</v>
      </c>
      <c r="AB3242">
        <v>19</v>
      </c>
      <c r="AC3242">
        <v>1.9199999999983602E-2</v>
      </c>
      <c r="AD3242">
        <v>-7.0027000000000006E-2</v>
      </c>
      <c r="AE3242">
        <v>-0.55029999999999202</v>
      </c>
      <c r="AF3242">
        <v>-5.40093389447913E-4</v>
      </c>
      <c r="AG3242">
        <v>-7.0027000000000006E-2</v>
      </c>
      <c r="AH3242">
        <v>0.54187063155543502</v>
      </c>
      <c r="AI3242">
        <v>97.3636297585752</v>
      </c>
      <c r="AJ3242">
        <v>90.057107840338105</v>
      </c>
      <c r="AK3242">
        <v>0.54637702529677701</v>
      </c>
    </row>
    <row r="3243" spans="1:37" x14ac:dyDescent="0.2">
      <c r="A3243" t="str">
        <f>"20200111160221472"</f>
        <v>20200111160221472</v>
      </c>
      <c r="B3243" t="str">
        <f>"1578729741465595"</f>
        <v>1578729741465595</v>
      </c>
      <c r="C3243" t="s">
        <v>37</v>
      </c>
      <c r="D3243">
        <v>5.4907409999999999</v>
      </c>
      <c r="E3243">
        <v>0.4850469</v>
      </c>
      <c r="F3243" t="s">
        <v>42</v>
      </c>
      <c r="G3243">
        <v>-191.4982</v>
      </c>
      <c r="H3243">
        <v>1.036656</v>
      </c>
      <c r="I3243">
        <v>185.39709999999999</v>
      </c>
      <c r="J3243">
        <v>-191.51759999999999</v>
      </c>
      <c r="K3243">
        <v>1.1044259999999999</v>
      </c>
      <c r="L3243">
        <v>185.92230000000001</v>
      </c>
      <c r="M3243">
        <v>3.4050530000000002E-2</v>
      </c>
      <c r="N3243">
        <v>0</v>
      </c>
      <c r="O3243">
        <v>-0.99932960000000004</v>
      </c>
      <c r="P3243">
        <v>-7.8674119999999903E-3</v>
      </c>
      <c r="Q3243">
        <v>-1.8945130000000001E-2</v>
      </c>
      <c r="R3243">
        <v>-0.99978979999999995</v>
      </c>
      <c r="S3243">
        <v>0.1105652</v>
      </c>
      <c r="T3243">
        <v>-0.28070640000000002</v>
      </c>
      <c r="U3243">
        <v>-2.9962770000000001</v>
      </c>
      <c r="V3243">
        <v>4.190953E-2</v>
      </c>
      <c r="W3243">
        <v>-5.5012119999999897E-3</v>
      </c>
      <c r="X3243">
        <v>0.9991063</v>
      </c>
      <c r="Y3243">
        <v>-2.6634499999999999E-3</v>
      </c>
      <c r="Z3243">
        <v>9.3164129999999998E-2</v>
      </c>
      <c r="AA3243">
        <v>0.99564719999999995</v>
      </c>
      <c r="AB3243">
        <v>19</v>
      </c>
      <c r="AC3243">
        <v>1.93999999999903E-2</v>
      </c>
      <c r="AD3243">
        <v>-6.7770000000000094E-2</v>
      </c>
      <c r="AE3243">
        <v>-0.52520000000001199</v>
      </c>
      <c r="AF3243">
        <v>-1.4791962186577799E-3</v>
      </c>
      <c r="AG3243">
        <v>-6.7770000000000094E-2</v>
      </c>
      <c r="AH3243">
        <v>0.51696014622705699</v>
      </c>
      <c r="AI3243">
        <v>97.468472439778296</v>
      </c>
      <c r="AJ3243">
        <v>90.163941978363994</v>
      </c>
      <c r="AK3243">
        <v>0.52138541762169899</v>
      </c>
    </row>
    <row r="3244" spans="1:37" x14ac:dyDescent="0.2">
      <c r="A3244" t="str">
        <f>"20200111160221494"</f>
        <v>20200111160221494</v>
      </c>
      <c r="B3244" t="str">
        <f>"1578729741485621"</f>
        <v>1578729741485621</v>
      </c>
      <c r="C3244" t="s">
        <v>37</v>
      </c>
      <c r="D3244">
        <v>5.8653879999999896</v>
      </c>
      <c r="E3244">
        <v>0.48495100000000002</v>
      </c>
      <c r="F3244" t="s">
        <v>42</v>
      </c>
      <c r="G3244">
        <v>-191.48490000000001</v>
      </c>
      <c r="H3244">
        <v>1.0240009999999999</v>
      </c>
      <c r="I3244">
        <v>185.06190000000001</v>
      </c>
      <c r="J3244">
        <v>-191.51089999999999</v>
      </c>
      <c r="K3244">
        <v>1.1044119999999999</v>
      </c>
      <c r="L3244">
        <v>185.7328</v>
      </c>
      <c r="M3244">
        <v>3.418351E-2</v>
      </c>
      <c r="N3244">
        <v>0</v>
      </c>
      <c r="O3244">
        <v>-0.99932500000000002</v>
      </c>
      <c r="P3244">
        <v>-9.2137809999999903E-3</v>
      </c>
      <c r="Q3244">
        <v>-1.770265E-2</v>
      </c>
      <c r="R3244">
        <v>-0.99980100000000005</v>
      </c>
      <c r="S3244">
        <v>0.1147156</v>
      </c>
      <c r="T3244">
        <v>-0.2802482</v>
      </c>
      <c r="U3244">
        <v>-2.9962309999999999</v>
      </c>
      <c r="V3244">
        <v>4.3388179999999998E-2</v>
      </c>
      <c r="W3244">
        <v>-4.2637809999999899E-3</v>
      </c>
      <c r="X3244">
        <v>0.99904919999999997</v>
      </c>
      <c r="Y3244">
        <v>-3.908707E-3</v>
      </c>
      <c r="Z3244">
        <v>9.3011579999999996E-2</v>
      </c>
      <c r="AA3244">
        <v>0.99565740000000003</v>
      </c>
      <c r="AB3244">
        <v>19</v>
      </c>
      <c r="AC3244">
        <v>2.5999999999981999E-2</v>
      </c>
      <c r="AD3244">
        <v>-8.0411000000000205E-2</v>
      </c>
      <c r="AE3244">
        <v>-0.67089999999998895</v>
      </c>
      <c r="AF3244">
        <v>-3.0058932694112602E-3</v>
      </c>
      <c r="AG3244">
        <v>-8.0411000000000205E-2</v>
      </c>
      <c r="AH3244">
        <v>0.66190250552232199</v>
      </c>
      <c r="AI3244">
        <v>96.926545034356096</v>
      </c>
      <c r="AJ3244">
        <v>90.260195138453298</v>
      </c>
      <c r="AK3244">
        <v>0.66677574275919405</v>
      </c>
    </row>
    <row r="3245" spans="1:37" x14ac:dyDescent="0.2">
      <c r="A3245" t="str">
        <f>"20200111160221514"</f>
        <v>20200111160221514</v>
      </c>
      <c r="B3245" t="str">
        <f>"1578729741505141"</f>
        <v>1578729741505141</v>
      </c>
      <c r="C3245" t="s">
        <v>37</v>
      </c>
      <c r="D3245">
        <v>5.3456049999999999</v>
      </c>
      <c r="E3245">
        <v>0.4844987</v>
      </c>
      <c r="F3245" t="s">
        <v>42</v>
      </c>
      <c r="G3245">
        <v>-191.4795</v>
      </c>
      <c r="H3245">
        <v>1.026767</v>
      </c>
      <c r="I3245">
        <v>184.88900000000001</v>
      </c>
      <c r="J3245">
        <v>-191.50470000000001</v>
      </c>
      <c r="K3245">
        <v>1.1044160000000001</v>
      </c>
      <c r="L3245">
        <v>185.5557</v>
      </c>
      <c r="M3245">
        <v>3.429107E-2</v>
      </c>
      <c r="N3245">
        <v>0</v>
      </c>
      <c r="O3245">
        <v>-0.99932149999999997</v>
      </c>
      <c r="P3245">
        <v>-1.138922E-2</v>
      </c>
      <c r="Q3245">
        <v>-1.540922E-2</v>
      </c>
      <c r="R3245">
        <v>-0.9998165</v>
      </c>
      <c r="S3245">
        <v>0.111892699999999</v>
      </c>
      <c r="T3245">
        <v>-0.2758332</v>
      </c>
      <c r="U3245">
        <v>-2.99675</v>
      </c>
      <c r="V3245">
        <v>4.5670379999999997E-2</v>
      </c>
      <c r="W3245">
        <v>-1.9740360000000002E-3</v>
      </c>
      <c r="X3245">
        <v>0.99895460000000003</v>
      </c>
      <c r="Y3245">
        <v>-2.8630169999999998E-3</v>
      </c>
      <c r="Z3245">
        <v>9.1544260000000002E-2</v>
      </c>
      <c r="AA3245">
        <v>0.99579689999999998</v>
      </c>
      <c r="AB3245">
        <v>19</v>
      </c>
      <c r="AC3245">
        <v>2.5200000000012299E-2</v>
      </c>
      <c r="AD3245">
        <v>-7.7648999999999996E-2</v>
      </c>
      <c r="AE3245">
        <v>-0.66669999999999097</v>
      </c>
      <c r="AF3245">
        <v>-2.2902330733930399E-3</v>
      </c>
      <c r="AG3245">
        <v>-7.7648999999999996E-2</v>
      </c>
      <c r="AH3245">
        <v>0.658255732323759</v>
      </c>
      <c r="AI3245">
        <v>96.727580298704794</v>
      </c>
      <c r="AJ3245">
        <v>90.199345259425797</v>
      </c>
      <c r="AK3245">
        <v>0.66282367301237699</v>
      </c>
    </row>
    <row r="3246" spans="1:37" x14ac:dyDescent="0.2">
      <c r="A3246" t="str">
        <f>"20200111160221538"</f>
        <v>20200111160221538</v>
      </c>
      <c r="B3246" t="str">
        <f>"1578729741535399"</f>
        <v>1578729741535399</v>
      </c>
      <c r="C3246" t="s">
        <v>37</v>
      </c>
      <c r="D3246">
        <v>5.432194</v>
      </c>
      <c r="E3246">
        <v>0.48426720000000001</v>
      </c>
      <c r="F3246" t="s">
        <v>42</v>
      </c>
      <c r="G3246">
        <v>-191.47450000000001</v>
      </c>
      <c r="H3246">
        <v>1.032375</v>
      </c>
      <c r="I3246">
        <v>184.71459999999999</v>
      </c>
      <c r="J3246">
        <v>-191.49789999999999</v>
      </c>
      <c r="K3246">
        <v>1.1044290000000001</v>
      </c>
      <c r="L3246">
        <v>185.36019999999999</v>
      </c>
      <c r="M3246">
        <v>3.4408800000000003E-2</v>
      </c>
      <c r="N3246">
        <v>0</v>
      </c>
      <c r="O3246">
        <v>-0.99931759999999903</v>
      </c>
      <c r="P3246">
        <v>-1.4226859999999999E-2</v>
      </c>
      <c r="Q3246">
        <v>-1.3235739999999999E-2</v>
      </c>
      <c r="R3246">
        <v>-0.99981160000000002</v>
      </c>
      <c r="S3246">
        <v>0.108367899999999</v>
      </c>
      <c r="T3246">
        <v>-0.25690740000000001</v>
      </c>
      <c r="U3246">
        <v>-2.9978180000000001</v>
      </c>
      <c r="V3246">
        <v>4.8623840000000002E-2</v>
      </c>
      <c r="W3246">
        <v>1.9675889999999901E-4</v>
      </c>
      <c r="X3246">
        <v>0.99881710000000001</v>
      </c>
      <c r="Y3246">
        <v>-1.5828159999999999E-3</v>
      </c>
      <c r="Z3246">
        <v>8.5281819999999994E-2</v>
      </c>
      <c r="AA3246">
        <v>0.99635560000000001</v>
      </c>
      <c r="AB3246">
        <v>19</v>
      </c>
      <c r="AC3246">
        <v>2.3399999999980901E-2</v>
      </c>
      <c r="AD3246">
        <v>-7.2054000000000007E-2</v>
      </c>
      <c r="AE3246">
        <v>-0.64560000000000095</v>
      </c>
      <c r="AF3246">
        <v>-1.1554424067905301E-3</v>
      </c>
      <c r="AG3246">
        <v>-7.2054000000000007E-2</v>
      </c>
      <c r="AH3246">
        <v>0.63808511905355103</v>
      </c>
      <c r="AI3246">
        <v>96.442665259254696</v>
      </c>
      <c r="AJ3246">
        <v>90.103750893171494</v>
      </c>
      <c r="AK3246">
        <v>0.64214152110009204</v>
      </c>
    </row>
    <row r="3247" spans="1:37" x14ac:dyDescent="0.2">
      <c r="A3247" t="str">
        <f>"20200111160221562"</f>
        <v>20200111160221562</v>
      </c>
      <c r="B3247" t="str">
        <f>"1578729741554918"</f>
        <v>1578729741554918</v>
      </c>
      <c r="C3247" t="s">
        <v>37</v>
      </c>
      <c r="D3247">
        <v>5.4167019999999999</v>
      </c>
      <c r="E3247">
        <v>0.4843287</v>
      </c>
      <c r="F3247" t="s">
        <v>42</v>
      </c>
      <c r="G3247">
        <v>-191.4701</v>
      </c>
      <c r="H3247">
        <v>1.036294</v>
      </c>
      <c r="I3247">
        <v>184.5403</v>
      </c>
      <c r="J3247">
        <v>-191.4905</v>
      </c>
      <c r="K3247">
        <v>1.104454</v>
      </c>
      <c r="L3247">
        <v>185.15260000000001</v>
      </c>
      <c r="M3247">
        <v>3.454952E-2</v>
      </c>
      <c r="N3247">
        <v>0</v>
      </c>
      <c r="O3247">
        <v>-0.99931289999999995</v>
      </c>
      <c r="P3247">
        <v>-1.6032629999999999E-2</v>
      </c>
      <c r="Q3247">
        <v>-1.1122740000000001E-2</v>
      </c>
      <c r="R3247">
        <v>-0.99981019999999898</v>
      </c>
      <c r="S3247">
        <v>0.1020508</v>
      </c>
      <c r="T3247">
        <v>-0.24933609999999901</v>
      </c>
      <c r="U3247">
        <v>-2.9987029999999999</v>
      </c>
      <c r="V3247">
        <v>5.0569009999999998E-2</v>
      </c>
      <c r="W3247">
        <v>2.3077150000000001E-3</v>
      </c>
      <c r="X3247">
        <v>0.99871790000000005</v>
      </c>
      <c r="Y3247">
        <v>6.5775679999999996E-4</v>
      </c>
      <c r="Z3247">
        <v>8.2764210000000005E-2</v>
      </c>
      <c r="AA3247">
        <v>0.99656889999999998</v>
      </c>
      <c r="AB3247">
        <v>19</v>
      </c>
      <c r="AC3247">
        <v>2.0399999999994999E-2</v>
      </c>
      <c r="AD3247">
        <v>-6.8159999999999998E-2</v>
      </c>
      <c r="AE3247">
        <v>-0.61230000000000395</v>
      </c>
      <c r="AF3247">
        <v>7.5935785381922203E-4</v>
      </c>
      <c r="AG3247">
        <v>-6.8159999999999998E-2</v>
      </c>
      <c r="AH3247">
        <v>0.60514875389526002</v>
      </c>
      <c r="AI3247">
        <v>96.426332917106393</v>
      </c>
      <c r="AJ3247">
        <v>89.928103665341595</v>
      </c>
      <c r="AK3247">
        <v>0.60897567813939502</v>
      </c>
    </row>
    <row r="3248" spans="1:37" x14ac:dyDescent="0.2">
      <c r="A3248" t="str">
        <f>"20200111160221584"</f>
        <v>20200111160221584</v>
      </c>
      <c r="B3248" t="str">
        <f>"1578729741574945"</f>
        <v>1578729741574945</v>
      </c>
      <c r="C3248" t="s">
        <v>37</v>
      </c>
      <c r="D3248">
        <v>5.363969</v>
      </c>
      <c r="E3248">
        <v>0.48557129999999998</v>
      </c>
      <c r="F3248" t="s">
        <v>42</v>
      </c>
      <c r="G3248">
        <v>-191.46559999999999</v>
      </c>
      <c r="H3248">
        <v>1.0407409999999999</v>
      </c>
      <c r="I3248">
        <v>184.36580000000001</v>
      </c>
      <c r="J3248">
        <v>-191.4837</v>
      </c>
      <c r="K3248">
        <v>1.1044830000000001</v>
      </c>
      <c r="L3248">
        <v>184.96109999999999</v>
      </c>
      <c r="M3248">
        <v>3.4702990000000003E-2</v>
      </c>
      <c r="N3248">
        <v>0</v>
      </c>
      <c r="O3248">
        <v>-0.99930730000000001</v>
      </c>
      <c r="P3248">
        <v>-1.737969E-2</v>
      </c>
      <c r="Q3248">
        <v>-9.7814080000000001E-3</v>
      </c>
      <c r="R3248">
        <v>-0.9998011</v>
      </c>
      <c r="S3248">
        <v>9.6282960000000001E-2</v>
      </c>
      <c r="T3248">
        <v>-0.2430998</v>
      </c>
      <c r="U3248">
        <v>-2.9994200000000002</v>
      </c>
      <c r="V3248">
        <v>5.2068150000000001E-2</v>
      </c>
      <c r="W3248">
        <v>3.6480990000000001E-3</v>
      </c>
      <c r="X3248">
        <v>0.99863679999999999</v>
      </c>
      <c r="Y3248">
        <v>2.7282719999999999E-3</v>
      </c>
      <c r="Z3248">
        <v>8.0690410000000004E-2</v>
      </c>
      <c r="AA3248">
        <v>0.9967355</v>
      </c>
      <c r="AB3248">
        <v>19</v>
      </c>
      <c r="AC3248">
        <v>1.8100000000003998E-2</v>
      </c>
      <c r="AD3248">
        <v>-6.3742000000000104E-2</v>
      </c>
      <c r="AE3248">
        <v>-0.59529999999997996</v>
      </c>
      <c r="AF3248">
        <v>2.5423386953285099E-3</v>
      </c>
      <c r="AG3248">
        <v>-6.3742000000000104E-2</v>
      </c>
      <c r="AH3248">
        <v>0.58882482129084901</v>
      </c>
      <c r="AI3248">
        <v>96.178318481121096</v>
      </c>
      <c r="AJ3248">
        <v>89.7526184921051</v>
      </c>
      <c r="AK3248">
        <v>0.59227035736920197</v>
      </c>
    </row>
    <row r="3249" spans="1:37" x14ac:dyDescent="0.2">
      <c r="A3249" t="str">
        <f>"20200111160221628"</f>
        <v>20200111160221628</v>
      </c>
      <c r="B3249" t="str">
        <f>"1578729741625698"</f>
        <v>1578729741625698</v>
      </c>
      <c r="C3249" t="s">
        <v>37</v>
      </c>
      <c r="D3249">
        <v>5.6314690000000001</v>
      </c>
      <c r="E3249">
        <v>0.53662969999999999</v>
      </c>
      <c r="F3249" t="s">
        <v>42</v>
      </c>
      <c r="G3249">
        <v>-191.46279999999999</v>
      </c>
      <c r="H3249">
        <v>1.042692</v>
      </c>
      <c r="I3249">
        <v>184.19399999999999</v>
      </c>
      <c r="J3249">
        <v>-191.47040000000001</v>
      </c>
      <c r="K3249">
        <v>1.1045129999999901</v>
      </c>
      <c r="L3249">
        <v>184.59030000000001</v>
      </c>
      <c r="M3249">
        <v>3.5062799999999998E-2</v>
      </c>
      <c r="N3249">
        <v>0</v>
      </c>
      <c r="O3249">
        <v>-0.99929489999999999</v>
      </c>
      <c r="P3249">
        <v>-1.8139559999999999E-2</v>
      </c>
      <c r="Q3249">
        <v>-8.1538979999999997E-3</v>
      </c>
      <c r="R3249">
        <v>-0.99980239999999998</v>
      </c>
      <c r="S3249">
        <v>8.2534789999999997E-2</v>
      </c>
      <c r="T3249">
        <v>-0.2417715</v>
      </c>
      <c r="U3249">
        <v>-2.9996640000000001</v>
      </c>
      <c r="V3249">
        <v>5.3186669999999998E-2</v>
      </c>
      <c r="W3249">
        <v>5.2740969999999898E-3</v>
      </c>
      <c r="X3249">
        <v>0.99857070000000003</v>
      </c>
      <c r="Y3249">
        <v>7.6541100000000004E-3</v>
      </c>
      <c r="Z3249">
        <v>8.0248760000000002E-2</v>
      </c>
      <c r="AA3249">
        <v>0.99674549999999995</v>
      </c>
      <c r="AB3249">
        <v>19</v>
      </c>
      <c r="AC3249">
        <v>7.6000000000249202E-3</v>
      </c>
      <c r="AD3249">
        <v>-6.1820999999999897E-2</v>
      </c>
      <c r="AE3249">
        <v>-0.39629999999999599</v>
      </c>
      <c r="AF3249">
        <v>6.1516711804707799E-3</v>
      </c>
      <c r="AG3249">
        <v>-6.1820999999999897E-2</v>
      </c>
      <c r="AH3249">
        <v>0.38691092233207702</v>
      </c>
      <c r="AI3249">
        <v>99.076911785990504</v>
      </c>
      <c r="AJ3249">
        <v>89.089105322185304</v>
      </c>
      <c r="AK3249">
        <v>0.39186699391397001</v>
      </c>
    </row>
    <row r="3250" spans="1:37" x14ac:dyDescent="0.2">
      <c r="A3250" t="str">
        <f>"20200111160221651"</f>
        <v>20200111160221651</v>
      </c>
      <c r="B3250" t="str">
        <f>"1578729741645217"</f>
        <v>1578729741645217</v>
      </c>
      <c r="C3250" t="s">
        <v>37</v>
      </c>
      <c r="D3250">
        <v>5.6228910000000001</v>
      </c>
      <c r="E3250">
        <v>0.53459080000000003</v>
      </c>
      <c r="F3250" t="s">
        <v>42</v>
      </c>
      <c r="G3250">
        <v>-191.54750000000001</v>
      </c>
      <c r="H3250">
        <v>1.017779</v>
      </c>
      <c r="I3250">
        <v>183.8665</v>
      </c>
      <c r="J3250">
        <v>-191.46360000000001</v>
      </c>
      <c r="K3250">
        <v>1.10453</v>
      </c>
      <c r="L3250">
        <v>184.40280000000001</v>
      </c>
      <c r="M3250">
        <v>3.5264190000000001E-2</v>
      </c>
      <c r="N3250">
        <v>0</v>
      </c>
      <c r="O3250">
        <v>-0.9992877</v>
      </c>
      <c r="P3250">
        <v>-1.7909089999999999E-2</v>
      </c>
      <c r="Q3250">
        <v>-7.1731769999999898E-3</v>
      </c>
      <c r="R3250">
        <v>-0.99981409999999904</v>
      </c>
      <c r="S3250">
        <v>-0.31794739999999999</v>
      </c>
      <c r="T3250">
        <v>-0.35859740000000001</v>
      </c>
      <c r="U3250">
        <v>-2.9918979999999999</v>
      </c>
      <c r="V3250">
        <v>5.315769E-2</v>
      </c>
      <c r="W3250">
        <v>6.2539809999999996E-3</v>
      </c>
      <c r="X3250">
        <v>0.99856659999999997</v>
      </c>
      <c r="Y3250">
        <v>0.13993889999999901</v>
      </c>
      <c r="Z3250">
        <v>0.1179798</v>
      </c>
      <c r="AA3250">
        <v>0.98310629999999999</v>
      </c>
      <c r="AB3250">
        <v>19</v>
      </c>
      <c r="AC3250">
        <v>-8.3899999999999794E-2</v>
      </c>
      <c r="AD3250">
        <v>-8.6750999999999995E-2</v>
      </c>
      <c r="AE3250">
        <v>-0.53630000000001099</v>
      </c>
      <c r="AF3250">
        <v>0.100202460859684</v>
      </c>
      <c r="AG3250">
        <v>-8.6750999999999995E-2</v>
      </c>
      <c r="AH3250">
        <v>0.51973310774979997</v>
      </c>
      <c r="AI3250">
        <v>99.307811227738597</v>
      </c>
      <c r="AJ3250">
        <v>79.087495567743602</v>
      </c>
      <c r="AK3250">
        <v>0.53636626707372503</v>
      </c>
    </row>
    <row r="3251" spans="1:37" x14ac:dyDescent="0.2">
      <c r="A3251" t="str">
        <f>"20200111160221673"</f>
        <v>20200111160221673</v>
      </c>
      <c r="B3251" t="str">
        <f>"1578729741665714"</f>
        <v>1578729741665714</v>
      </c>
      <c r="C3251" t="s">
        <v>37</v>
      </c>
      <c r="D3251">
        <v>5.6097080000000004</v>
      </c>
      <c r="E3251">
        <v>0.53525919999999905</v>
      </c>
      <c r="F3251" t="s">
        <v>42</v>
      </c>
      <c r="G3251">
        <v>-191.55090000000001</v>
      </c>
      <c r="H3251">
        <v>1.0004249999999999</v>
      </c>
      <c r="I3251">
        <v>183.53479999999999</v>
      </c>
      <c r="J3251">
        <v>-191.45660000000001</v>
      </c>
      <c r="K3251">
        <v>1.1045370000000001</v>
      </c>
      <c r="L3251">
        <v>184.21039999999999</v>
      </c>
      <c r="M3251">
        <v>3.5473930000000001E-2</v>
      </c>
      <c r="N3251">
        <v>0</v>
      </c>
      <c r="O3251">
        <v>-0.99928030000000001</v>
      </c>
      <c r="P3251">
        <v>-1.74697999999999E-2</v>
      </c>
      <c r="Q3251">
        <v>-6.2503769999999997E-3</v>
      </c>
      <c r="R3251">
        <v>-0.99982780000000004</v>
      </c>
      <c r="S3251">
        <v>-0.30030820000000003</v>
      </c>
      <c r="T3251">
        <v>-0.35901499999999997</v>
      </c>
      <c r="U3251">
        <v>-2.992569</v>
      </c>
      <c r="V3251">
        <v>5.2928450000000002E-2</v>
      </c>
      <c r="W3251">
        <v>7.1761630000000002E-3</v>
      </c>
      <c r="X3251">
        <v>0.99857249999999997</v>
      </c>
      <c r="Y3251">
        <v>0.13438559999999999</v>
      </c>
      <c r="Z3251">
        <v>0.11816889999999899</v>
      </c>
      <c r="AA3251">
        <v>0.98385800000000001</v>
      </c>
      <c r="AB3251">
        <v>19</v>
      </c>
      <c r="AC3251">
        <v>-9.4300000000004006E-2</v>
      </c>
      <c r="AD3251">
        <v>-0.104112</v>
      </c>
      <c r="AE3251">
        <v>-0.67560000000000198</v>
      </c>
      <c r="AF3251">
        <v>0.11551811769339899</v>
      </c>
      <c r="AG3251">
        <v>-0.104112</v>
      </c>
      <c r="AH3251">
        <v>0.65653591503025199</v>
      </c>
      <c r="AI3251">
        <v>98.876668371786295</v>
      </c>
      <c r="AJ3251">
        <v>80.020896677437705</v>
      </c>
      <c r="AK3251">
        <v>0.67470226899280294</v>
      </c>
    </row>
    <row r="3252" spans="1:37" x14ac:dyDescent="0.2">
      <c r="A3252" t="str">
        <f>"20200111160221695"</f>
        <v>20200111160221695</v>
      </c>
      <c r="B3252" t="str">
        <f>"1578729741684767"</f>
        <v>1578729741684767</v>
      </c>
      <c r="C3252" t="s">
        <v>37</v>
      </c>
      <c r="D3252">
        <v>5.3523779999999999</v>
      </c>
      <c r="E3252">
        <v>0.53663439999999996</v>
      </c>
      <c r="F3252" t="s">
        <v>42</v>
      </c>
      <c r="G3252">
        <v>-191.5429</v>
      </c>
      <c r="H3252">
        <v>1.0037689999999999</v>
      </c>
      <c r="I3252">
        <v>183.3639</v>
      </c>
      <c r="J3252">
        <v>-191.4496</v>
      </c>
      <c r="K3252">
        <v>1.1045450000000001</v>
      </c>
      <c r="L3252">
        <v>184.0196</v>
      </c>
      <c r="M3252">
        <v>3.568114E-2</v>
      </c>
      <c r="N3252">
        <v>0</v>
      </c>
      <c r="O3252">
        <v>-0.99927319999999997</v>
      </c>
      <c r="P3252">
        <v>-1.7090379999999999E-2</v>
      </c>
      <c r="Q3252">
        <v>-5.1866969999999997E-3</v>
      </c>
      <c r="R3252">
        <v>-0.99984069999999903</v>
      </c>
      <c r="S3252">
        <v>-0.30426029999999998</v>
      </c>
      <c r="T3252">
        <v>-0.35646809999999901</v>
      </c>
      <c r="U3252">
        <v>-2.9929809999999999</v>
      </c>
      <c r="V3252">
        <v>5.2756459999999998E-2</v>
      </c>
      <c r="W3252">
        <v>8.238525E-3</v>
      </c>
      <c r="X3252">
        <v>0.99857340000000006</v>
      </c>
      <c r="Y3252">
        <v>0.13587379999999999</v>
      </c>
      <c r="Z3252">
        <v>0.11730549999999999</v>
      </c>
      <c r="AA3252">
        <v>0.98375699999999999</v>
      </c>
      <c r="AB3252">
        <v>19</v>
      </c>
      <c r="AC3252">
        <v>-9.3299999999999203E-2</v>
      </c>
      <c r="AD3252">
        <v>-0.10077599999999901</v>
      </c>
      <c r="AE3252">
        <v>-0.65569999999999595</v>
      </c>
      <c r="AF3252">
        <v>0.11399943015493499</v>
      </c>
      <c r="AG3252">
        <v>-0.10077599999999901</v>
      </c>
      <c r="AH3252">
        <v>0.63720023617537203</v>
      </c>
      <c r="AI3252">
        <v>98.848914707825699</v>
      </c>
      <c r="AJ3252">
        <v>79.856710041814907</v>
      </c>
      <c r="AK3252">
        <v>0.65511511449027005</v>
      </c>
    </row>
    <row r="3253" spans="1:37" x14ac:dyDescent="0.2">
      <c r="A3253" t="str">
        <f>"20200111160221930"</f>
        <v>20200111160221930</v>
      </c>
      <c r="B3253" t="str">
        <f>"1578729741924901"</f>
        <v>1578729741924901</v>
      </c>
      <c r="C3253" t="s">
        <v>37</v>
      </c>
      <c r="D3253">
        <v>5.4032609999999996</v>
      </c>
      <c r="E3253">
        <v>0.53804739999999995</v>
      </c>
      <c r="F3253" t="s">
        <v>42</v>
      </c>
      <c r="G3253">
        <v>-191.483</v>
      </c>
      <c r="H3253">
        <v>1.0113719999999999</v>
      </c>
      <c r="I3253">
        <v>181.51159999999999</v>
      </c>
      <c r="J3253">
        <v>-191.37469999999999</v>
      </c>
      <c r="K3253">
        <v>1.104611</v>
      </c>
      <c r="L3253">
        <v>182.05119999999999</v>
      </c>
      <c r="M3253">
        <v>3.8034399999999899E-2</v>
      </c>
      <c r="N3253">
        <v>0</v>
      </c>
      <c r="O3253">
        <v>-0.99918660000000004</v>
      </c>
      <c r="P3253">
        <v>-4.8223410000000001E-2</v>
      </c>
      <c r="Q3253">
        <v>-1.328727E-2</v>
      </c>
      <c r="R3253">
        <v>-0.99874830000000003</v>
      </c>
      <c r="S3253">
        <v>-0.40855409999999998</v>
      </c>
      <c r="T3253">
        <v>-0.37893080000000001</v>
      </c>
      <c r="U3253">
        <v>-2.9798580000000001</v>
      </c>
      <c r="V3253">
        <v>8.6178669999999999E-2</v>
      </c>
      <c r="W3253">
        <v>1.10928199999999E-4</v>
      </c>
      <c r="X3253">
        <v>0.99627969999999899</v>
      </c>
      <c r="Y3253">
        <v>0.17236170000000001</v>
      </c>
      <c r="Z3253">
        <v>0.1244931</v>
      </c>
      <c r="AA3253">
        <v>0.97713510000000003</v>
      </c>
      <c r="AB3253">
        <v>19</v>
      </c>
      <c r="AC3253">
        <v>-0.108300000000014</v>
      </c>
      <c r="AD3253">
        <v>-9.3239000000000002E-2</v>
      </c>
      <c r="AE3253">
        <v>-0.53960000000000696</v>
      </c>
      <c r="AF3253">
        <v>0.12515473597171101</v>
      </c>
      <c r="AG3253">
        <v>-9.3239000000000002E-2</v>
      </c>
      <c r="AH3253">
        <v>0.52016075460602496</v>
      </c>
      <c r="AI3253">
        <v>99.886030143605794</v>
      </c>
      <c r="AJ3253">
        <v>76.471343405966806</v>
      </c>
      <c r="AK3253">
        <v>0.54306945199436296</v>
      </c>
    </row>
    <row r="3254" spans="1:37" x14ac:dyDescent="0.2">
      <c r="A3254" t="str">
        <f>"20200111160221952"</f>
        <v>20200111160221952</v>
      </c>
      <c r="B3254" t="str">
        <f>"1578729741945397"</f>
        <v>1578729741945397</v>
      </c>
      <c r="C3254" t="s">
        <v>37</v>
      </c>
      <c r="D3254">
        <v>5.3940000000000001</v>
      </c>
      <c r="E3254">
        <v>0.53879969999999999</v>
      </c>
      <c r="F3254" t="s">
        <v>42</v>
      </c>
      <c r="G3254">
        <v>-191.4967</v>
      </c>
      <c r="H3254">
        <v>0.99215149999999996</v>
      </c>
      <c r="I3254">
        <v>181.18620000000001</v>
      </c>
      <c r="J3254">
        <v>-191.36709999999999</v>
      </c>
      <c r="K3254">
        <v>1.1046559999999901</v>
      </c>
      <c r="L3254">
        <v>181.864</v>
      </c>
      <c r="M3254">
        <v>3.8435869999999997E-2</v>
      </c>
      <c r="N3254">
        <v>0</v>
      </c>
      <c r="O3254">
        <v>-0.99917140000000004</v>
      </c>
      <c r="P3254">
        <v>-4.8571929999999999E-2</v>
      </c>
      <c r="Q3254">
        <v>-1.3326350000000001E-2</v>
      </c>
      <c r="R3254">
        <v>-0.99873099999999904</v>
      </c>
      <c r="S3254">
        <v>-0.41969299999999998</v>
      </c>
      <c r="T3254">
        <v>-0.38732369999999999</v>
      </c>
      <c r="U3254">
        <v>-2.978348</v>
      </c>
      <c r="V3254">
        <v>8.6926539999999997E-2</v>
      </c>
      <c r="W3254" s="1">
        <v>7.8143549999999998E-5</v>
      </c>
      <c r="X3254">
        <v>0.99621469999999901</v>
      </c>
      <c r="Y3254">
        <v>0.17635970000000001</v>
      </c>
      <c r="Z3254">
        <v>0.12718779999999999</v>
      </c>
      <c r="AA3254">
        <v>0.976074</v>
      </c>
      <c r="AB3254">
        <v>19</v>
      </c>
      <c r="AC3254">
        <v>-0.12960000000001001</v>
      </c>
      <c r="AD3254">
        <v>-0.11250449999999899</v>
      </c>
      <c r="AE3254">
        <v>-0.67779999999998997</v>
      </c>
      <c r="AF3254">
        <v>0.15153081412764899</v>
      </c>
      <c r="AG3254">
        <v>-0.11250449999999899</v>
      </c>
      <c r="AH3254">
        <v>0.65491032375139502</v>
      </c>
      <c r="AI3254">
        <v>99.501224766091795</v>
      </c>
      <c r="AJ3254">
        <v>76.972356574621898</v>
      </c>
      <c r="AK3254">
        <v>0.68156172303511497</v>
      </c>
    </row>
    <row r="3255" spans="1:37" x14ac:dyDescent="0.2">
      <c r="A3255" t="str">
        <f>"20200111160221974"</f>
        <v>20200111160221974</v>
      </c>
      <c r="B3255" t="str">
        <f>"1578729741964916"</f>
        <v>1578729741964916</v>
      </c>
      <c r="C3255" t="s">
        <v>37</v>
      </c>
      <c r="D3255">
        <v>5.2528389999999998</v>
      </c>
      <c r="E3255">
        <v>0.53866630000000004</v>
      </c>
      <c r="F3255" t="s">
        <v>42</v>
      </c>
      <c r="G3255">
        <v>-191.4881</v>
      </c>
      <c r="H3255">
        <v>0.99386629999999998</v>
      </c>
      <c r="I3255">
        <v>181.01939999999999</v>
      </c>
      <c r="J3255">
        <v>-191.3596</v>
      </c>
      <c r="K3255">
        <v>1.1046940000000001</v>
      </c>
      <c r="L3255">
        <v>181.6825</v>
      </c>
      <c r="M3255">
        <v>3.8878030000000001E-2</v>
      </c>
      <c r="N3255">
        <v>0</v>
      </c>
      <c r="O3255">
        <v>-0.99915399999999999</v>
      </c>
      <c r="P3255">
        <v>-4.7664369999999998E-2</v>
      </c>
      <c r="Q3255">
        <v>-1.311938E-2</v>
      </c>
      <c r="R3255">
        <v>-0.99877719999999903</v>
      </c>
      <c r="S3255">
        <v>-0.42599490000000001</v>
      </c>
      <c r="T3255">
        <v>-0.39075159999999998</v>
      </c>
      <c r="U3255">
        <v>-2.9778899999999999</v>
      </c>
      <c r="V3255">
        <v>8.6462140000000007E-2</v>
      </c>
      <c r="W3255">
        <v>2.9117259999999898E-4</v>
      </c>
      <c r="X3255">
        <v>0.99625509999999995</v>
      </c>
      <c r="Y3255">
        <v>0.17882029999999999</v>
      </c>
      <c r="Z3255">
        <v>0.12826309999999999</v>
      </c>
      <c r="AA3255">
        <v>0.97548539999999995</v>
      </c>
      <c r="AB3255">
        <v>19</v>
      </c>
      <c r="AC3255">
        <v>-0.128500000000002</v>
      </c>
      <c r="AD3255">
        <v>-0.110827699999999</v>
      </c>
      <c r="AE3255">
        <v>-0.66310000000001401</v>
      </c>
      <c r="AF3255">
        <v>0.15014283191271</v>
      </c>
      <c r="AG3255">
        <v>-0.110827699999999</v>
      </c>
      <c r="AH3255">
        <v>0.64036166190437604</v>
      </c>
      <c r="AI3255">
        <v>99.564542174964899</v>
      </c>
      <c r="AJ3255">
        <v>76.804464396482999</v>
      </c>
      <c r="AK3255">
        <v>0.666999780433992</v>
      </c>
    </row>
    <row r="3256" spans="1:37" x14ac:dyDescent="0.2">
      <c r="A3256" t="str">
        <f>"20200111160221996"</f>
        <v>20200111160221996</v>
      </c>
      <c r="B3256" t="str">
        <f>"1578729741985412"</f>
        <v>1578729741985412</v>
      </c>
      <c r="C3256" t="s">
        <v>37</v>
      </c>
      <c r="D3256">
        <v>5.3721990000000002</v>
      </c>
      <c r="E3256">
        <v>0.49375590000000003</v>
      </c>
      <c r="F3256" t="s">
        <v>42</v>
      </c>
      <c r="G3256">
        <v>-191.47710000000001</v>
      </c>
      <c r="H3256">
        <v>0.99588860000000001</v>
      </c>
      <c r="I3256">
        <v>180.85290000000001</v>
      </c>
      <c r="J3256">
        <v>-191.35220000000001</v>
      </c>
      <c r="K3256">
        <v>1.1047229999999999</v>
      </c>
      <c r="L3256">
        <v>181.50530000000001</v>
      </c>
      <c r="M3256">
        <v>3.9362019999999998E-2</v>
      </c>
      <c r="N3256">
        <v>0</v>
      </c>
      <c r="O3256">
        <v>-0.999135199999999</v>
      </c>
      <c r="P3256">
        <v>-4.5476879999999997E-2</v>
      </c>
      <c r="Q3256">
        <v>-1.263217E-2</v>
      </c>
      <c r="R3256">
        <v>-0.99888580000000005</v>
      </c>
      <c r="S3256">
        <v>-0.42179870000000003</v>
      </c>
      <c r="T3256">
        <v>-0.39061230000000002</v>
      </c>
      <c r="U3256">
        <v>-2.9784090000000001</v>
      </c>
      <c r="V3256">
        <v>8.4762809999999994E-2</v>
      </c>
      <c r="W3256">
        <v>7.846989E-4</v>
      </c>
      <c r="X3256">
        <v>0.99640079999999998</v>
      </c>
      <c r="Y3256">
        <v>0.17792669999999999</v>
      </c>
      <c r="Z3256">
        <v>0.12821569999999999</v>
      </c>
      <c r="AA3256">
        <v>0.9756551</v>
      </c>
      <c r="AB3256">
        <v>19</v>
      </c>
      <c r="AC3256">
        <v>-0.124899999999996</v>
      </c>
      <c r="AD3256">
        <v>-0.108834399999999</v>
      </c>
      <c r="AE3256">
        <v>-0.65239999999999998</v>
      </c>
      <c r="AF3256">
        <v>0.146551037789689</v>
      </c>
      <c r="AG3256">
        <v>-0.108834399999999</v>
      </c>
      <c r="AH3256">
        <v>0.63006319001175104</v>
      </c>
      <c r="AI3256">
        <v>99.550259092640204</v>
      </c>
      <c r="AJ3256">
        <v>76.905974812854694</v>
      </c>
      <c r="AK3256">
        <v>0.65597389941092898</v>
      </c>
    </row>
    <row r="3257" spans="1:37" x14ac:dyDescent="0.2">
      <c r="A3257" t="str">
        <f>"20200111160222018"</f>
        <v>20200111160222018</v>
      </c>
      <c r="B3257" t="str">
        <f>"1578729742015669"</f>
        <v>1578729742015669</v>
      </c>
      <c r="C3257" t="s">
        <v>37</v>
      </c>
      <c r="D3257">
        <v>5.4611769999999904</v>
      </c>
      <c r="E3257">
        <v>0.4798481</v>
      </c>
      <c r="F3257" t="s">
        <v>42</v>
      </c>
      <c r="G3257">
        <v>-191.36940000000001</v>
      </c>
      <c r="H3257">
        <v>1.0173110000000001</v>
      </c>
      <c r="I3257">
        <v>180.68190000000001</v>
      </c>
      <c r="J3257">
        <v>-191.3442</v>
      </c>
      <c r="K3257">
        <v>1.1047499999999999</v>
      </c>
      <c r="L3257">
        <v>181.3186</v>
      </c>
      <c r="M3257">
        <v>3.9930800000000002E-2</v>
      </c>
      <c r="N3257">
        <v>0</v>
      </c>
      <c r="O3257">
        <v>-0.99911260000000002</v>
      </c>
      <c r="P3257">
        <v>-4.1560939999999998E-2</v>
      </c>
      <c r="Q3257">
        <v>-1.243727E-2</v>
      </c>
      <c r="R3257">
        <v>-0.99905849999999996</v>
      </c>
      <c r="S3257">
        <v>-6.2225339999999997E-2</v>
      </c>
      <c r="T3257">
        <v>-0.31819150000000002</v>
      </c>
      <c r="U3257">
        <v>-2.9964750000000002</v>
      </c>
      <c r="V3257">
        <v>8.1423880000000004E-2</v>
      </c>
      <c r="W3257">
        <v>9.849704999999999E-4</v>
      </c>
      <c r="X3257">
        <v>0.99667909999999904</v>
      </c>
      <c r="Y3257">
        <v>6.0555060000000001E-2</v>
      </c>
      <c r="Z3257">
        <v>0.1053606</v>
      </c>
      <c r="AA3257">
        <v>0.99258860000000004</v>
      </c>
      <c r="AB3257">
        <v>19</v>
      </c>
      <c r="AC3257">
        <v>-2.5200000000012299E-2</v>
      </c>
      <c r="AD3257">
        <v>-8.7438999999999795E-2</v>
      </c>
      <c r="AE3257">
        <v>-0.63669999999999005</v>
      </c>
      <c r="AF3257">
        <v>4.9670797250325999E-2</v>
      </c>
      <c r="AG3257">
        <v>-8.7438999999999795E-2</v>
      </c>
      <c r="AH3257">
        <v>0.623445987424184</v>
      </c>
      <c r="AI3257">
        <v>97.958826816006706</v>
      </c>
      <c r="AJ3257">
        <v>85.444788480490999</v>
      </c>
      <c r="AK3257">
        <v>0.63150428823231097</v>
      </c>
    </row>
    <row r="3258" spans="1:37" x14ac:dyDescent="0.2">
      <c r="A3258" t="str">
        <f>"20200111160222042"</f>
        <v>20200111160222042</v>
      </c>
      <c r="B3258" t="str">
        <f>"1578729742035189"</f>
        <v>1578729742035189</v>
      </c>
      <c r="C3258" t="s">
        <v>37</v>
      </c>
      <c r="D3258">
        <v>5.4406509999999999</v>
      </c>
      <c r="E3258">
        <v>0.47749639999999999</v>
      </c>
      <c r="F3258" t="s">
        <v>42</v>
      </c>
      <c r="G3258">
        <v>-191.32919999999999</v>
      </c>
      <c r="H3258">
        <v>1.0318020000000001</v>
      </c>
      <c r="I3258">
        <v>180.5104</v>
      </c>
      <c r="J3258">
        <v>-191.33580000000001</v>
      </c>
      <c r="K3258">
        <v>1.104779</v>
      </c>
      <c r="L3258">
        <v>181.12690000000001</v>
      </c>
      <c r="M3258">
        <v>4.0573810000000002E-2</v>
      </c>
      <c r="N3258">
        <v>0</v>
      </c>
      <c r="O3258">
        <v>-0.99908669999999999</v>
      </c>
      <c r="P3258">
        <v>-3.7469719999999998E-2</v>
      </c>
      <c r="Q3258">
        <v>-1.3123889999999999E-2</v>
      </c>
      <c r="R3258">
        <v>-0.99921150000000003</v>
      </c>
      <c r="S3258">
        <v>5.6381229999999997E-2</v>
      </c>
      <c r="T3258">
        <v>-0.27109509999999998</v>
      </c>
      <c r="U3258">
        <v>-3.0018159999999998</v>
      </c>
      <c r="V3258">
        <v>7.7984090000000006E-2</v>
      </c>
      <c r="W3258">
        <v>3.035704E-4</v>
      </c>
      <c r="X3258">
        <v>0.99695460000000002</v>
      </c>
      <c r="Y3258">
        <v>2.188263E-2</v>
      </c>
      <c r="Z3258">
        <v>8.9814829999999998E-2</v>
      </c>
      <c r="AA3258">
        <v>0.99571810000000005</v>
      </c>
      <c r="AB3258">
        <v>19</v>
      </c>
      <c r="AC3258">
        <v>6.6000000000201401E-3</v>
      </c>
      <c r="AD3258">
        <v>-7.2977E-2</v>
      </c>
      <c r="AE3258">
        <v>-0.61650000000000205</v>
      </c>
      <c r="AF3258">
        <v>1.8166906460690701E-2</v>
      </c>
      <c r="AG3258">
        <v>-7.2977E-2</v>
      </c>
      <c r="AH3258">
        <v>0.60774519731664101</v>
      </c>
      <c r="AI3258">
        <v>96.84416690271</v>
      </c>
      <c r="AJ3258">
        <v>88.287806782388103</v>
      </c>
      <c r="AK3258">
        <v>0.61238052212720995</v>
      </c>
    </row>
    <row r="3259" spans="1:37" x14ac:dyDescent="0.2">
      <c r="A3259" t="str">
        <f>"20200111160222063"</f>
        <v>20200111160222063</v>
      </c>
      <c r="B3259" t="str">
        <f>"1578729742055684"</f>
        <v>1578729742055684</v>
      </c>
      <c r="C3259" t="s">
        <v>37</v>
      </c>
      <c r="D3259">
        <v>5.3207449999999996</v>
      </c>
      <c r="E3259">
        <v>0.4761804</v>
      </c>
      <c r="F3259" t="s">
        <v>42</v>
      </c>
      <c r="G3259">
        <v>-191.3135</v>
      </c>
      <c r="H3259">
        <v>1.035182</v>
      </c>
      <c r="I3259">
        <v>180.34379999999999</v>
      </c>
      <c r="J3259">
        <v>-191.32749999999999</v>
      </c>
      <c r="K3259">
        <v>1.1048</v>
      </c>
      <c r="L3259">
        <v>180.94290000000001</v>
      </c>
      <c r="M3259">
        <v>4.1238459999999998E-2</v>
      </c>
      <c r="N3259">
        <v>0</v>
      </c>
      <c r="O3259">
        <v>-0.99905969999999999</v>
      </c>
      <c r="P3259">
        <v>-3.3516320000000002E-2</v>
      </c>
      <c r="Q3259">
        <v>-1.438526E-2</v>
      </c>
      <c r="R3259">
        <v>-0.99933499999999997</v>
      </c>
      <c r="S3259">
        <v>8.6593630000000005E-2</v>
      </c>
      <c r="T3259">
        <v>-0.26706439999999998</v>
      </c>
      <c r="U3259">
        <v>-3.0020899999999999</v>
      </c>
      <c r="V3259">
        <v>7.4703400000000003E-2</v>
      </c>
      <c r="W3259">
        <v>-9.5422170000000002E-4</v>
      </c>
      <c r="X3259">
        <v>0.99720529999999996</v>
      </c>
      <c r="Y3259">
        <v>1.253025E-2</v>
      </c>
      <c r="Z3259">
        <v>8.8474999999999998E-2</v>
      </c>
      <c r="AA3259">
        <v>0.99599959999999899</v>
      </c>
      <c r="AB3259">
        <v>19</v>
      </c>
      <c r="AC3259">
        <v>1.3999999999981499E-2</v>
      </c>
      <c r="AD3259">
        <v>-6.9617999999999902E-2</v>
      </c>
      <c r="AE3259">
        <v>-0.59910000000002095</v>
      </c>
      <c r="AF3259">
        <v>1.0577333202155099E-2</v>
      </c>
      <c r="AG3259">
        <v>-6.9617999999999902E-2</v>
      </c>
      <c r="AH3259">
        <v>0.59118893635882996</v>
      </c>
      <c r="AI3259">
        <v>96.715115437985801</v>
      </c>
      <c r="AJ3259">
        <v>88.974994523853695</v>
      </c>
      <c r="AK3259">
        <v>0.59536787314630502</v>
      </c>
    </row>
    <row r="3260" spans="1:37" x14ac:dyDescent="0.2">
      <c r="A3260" t="str">
        <f>"20200111160222085"</f>
        <v>20200111160222085</v>
      </c>
      <c r="B3260" t="str">
        <f>"1578729742075205"</f>
        <v>1578729742075205</v>
      </c>
      <c r="C3260" t="s">
        <v>37</v>
      </c>
      <c r="D3260">
        <v>5.2988189999999999</v>
      </c>
      <c r="E3260">
        <v>0.47573189999999999</v>
      </c>
      <c r="F3260" t="s">
        <v>42</v>
      </c>
      <c r="G3260">
        <v>-191.2997</v>
      </c>
      <c r="H3260">
        <v>1.0357940000000001</v>
      </c>
      <c r="I3260">
        <v>180.17779999999999</v>
      </c>
      <c r="J3260">
        <v>-191.3194</v>
      </c>
      <c r="K3260">
        <v>1.1048180000000001</v>
      </c>
      <c r="L3260">
        <v>180.7655</v>
      </c>
      <c r="M3260">
        <v>4.1915899999999999E-2</v>
      </c>
      <c r="N3260">
        <v>0</v>
      </c>
      <c r="O3260">
        <v>-0.99903140000000001</v>
      </c>
      <c r="P3260">
        <v>-3.024889E-2</v>
      </c>
      <c r="Q3260">
        <v>-1.5351139999999999E-2</v>
      </c>
      <c r="R3260">
        <v>-0.9994248</v>
      </c>
      <c r="S3260">
        <v>0.10916140000000001</v>
      </c>
      <c r="T3260">
        <v>-0.2707579</v>
      </c>
      <c r="U3260">
        <v>-3.0017399999999999</v>
      </c>
      <c r="V3260">
        <v>7.2119680000000005E-2</v>
      </c>
      <c r="W3260">
        <v>-1.9175329999999999E-3</v>
      </c>
      <c r="X3260">
        <v>0.99739409999999895</v>
      </c>
      <c r="Y3260">
        <v>5.7284789999999999E-3</v>
      </c>
      <c r="Z3260">
        <v>8.9687349999999999E-2</v>
      </c>
      <c r="AA3260">
        <v>0.99595349999999905</v>
      </c>
      <c r="AB3260">
        <v>19</v>
      </c>
      <c r="AC3260">
        <v>1.97000000000002E-2</v>
      </c>
      <c r="AD3260">
        <v>-6.9023999999999905E-2</v>
      </c>
      <c r="AE3260">
        <v>-0.58770000000001199</v>
      </c>
      <c r="AF3260">
        <v>4.8861759450225398E-3</v>
      </c>
      <c r="AG3260">
        <v>-6.9023999999999905E-2</v>
      </c>
      <c r="AH3260">
        <v>0.58001746384707098</v>
      </c>
      <c r="AI3260">
        <v>96.786232957205499</v>
      </c>
      <c r="AJ3260">
        <v>89.517341020279702</v>
      </c>
      <c r="AK3260">
        <v>0.58413050396204602</v>
      </c>
    </row>
    <row r="3261" spans="1:37" x14ac:dyDescent="0.2">
      <c r="A3261" t="str">
        <f>"20200111160222108"</f>
        <v>20200111160222108</v>
      </c>
      <c r="B3261" t="str">
        <f>"1578729742105461"</f>
        <v>1578729742105461</v>
      </c>
      <c r="C3261" t="s">
        <v>37</v>
      </c>
      <c r="D3261">
        <v>5.2394559999999997</v>
      </c>
      <c r="E3261">
        <v>0.47589229999999999</v>
      </c>
      <c r="F3261" t="s">
        <v>42</v>
      </c>
      <c r="G3261">
        <v>-191.28880000000001</v>
      </c>
      <c r="H3261">
        <v>1.036645</v>
      </c>
      <c r="I3261">
        <v>180.01220000000001</v>
      </c>
      <c r="J3261">
        <v>-191.3109</v>
      </c>
      <c r="K3261">
        <v>1.1048359999999999</v>
      </c>
      <c r="L3261">
        <v>180.58279999999999</v>
      </c>
      <c r="M3261">
        <v>4.264635E-2</v>
      </c>
      <c r="N3261">
        <v>0</v>
      </c>
      <c r="O3261">
        <v>-0.99900040000000001</v>
      </c>
      <c r="P3261">
        <v>-2.7966970000000001E-2</v>
      </c>
      <c r="Q3261">
        <v>-1.5605539999999999E-2</v>
      </c>
      <c r="R3261">
        <v>-0.99948709999999996</v>
      </c>
      <c r="S3261">
        <v>0.1227417</v>
      </c>
      <c r="T3261">
        <v>-0.27178540000000001</v>
      </c>
      <c r="U3261">
        <v>-3.0012509999999999</v>
      </c>
      <c r="V3261">
        <v>7.0571999999999996E-2</v>
      </c>
      <c r="W3261">
        <v>-2.1701910000000001E-3</v>
      </c>
      <c r="X3261">
        <v>0.99750439999999996</v>
      </c>
      <c r="Y3261">
        <v>1.9551339999999999E-3</v>
      </c>
      <c r="Z3261">
        <v>9.0028189999999994E-2</v>
      </c>
      <c r="AA3261">
        <v>0.99593729999999903</v>
      </c>
      <c r="AB3261">
        <v>18</v>
      </c>
      <c r="AC3261">
        <v>2.20999999999946E-2</v>
      </c>
      <c r="AD3261">
        <v>-6.8191000000000099E-2</v>
      </c>
      <c r="AE3261">
        <v>-0.57059999999998401</v>
      </c>
      <c r="AF3261">
        <v>2.22457703655914E-3</v>
      </c>
      <c r="AG3261">
        <v>-6.8191000000000099E-2</v>
      </c>
      <c r="AH3261">
        <v>0.56299468619707405</v>
      </c>
      <c r="AI3261">
        <v>96.906080623472505</v>
      </c>
      <c r="AJ3261">
        <v>89.773606722782105</v>
      </c>
      <c r="AK3261">
        <v>0.56711372572891705</v>
      </c>
    </row>
    <row r="3262" spans="1:37" x14ac:dyDescent="0.2">
      <c r="A3262" t="str">
        <f>"20200111160222131"</f>
        <v>20200111160222131</v>
      </c>
      <c r="B3262" t="str">
        <f>"1578729742124980"</f>
        <v>1578729742124980</v>
      </c>
      <c r="C3262" t="s">
        <v>37</v>
      </c>
      <c r="D3262">
        <v>5.2475050000000003</v>
      </c>
      <c r="E3262">
        <v>0.47602349999999999</v>
      </c>
      <c r="F3262" t="s">
        <v>42</v>
      </c>
      <c r="G3262">
        <v>-191.27950000000001</v>
      </c>
      <c r="H3262">
        <v>1.038802</v>
      </c>
      <c r="I3262">
        <v>179.8459</v>
      </c>
      <c r="J3262">
        <v>-191.30160000000001</v>
      </c>
      <c r="K3262">
        <v>1.104851</v>
      </c>
      <c r="L3262">
        <v>180.3879</v>
      </c>
      <c r="M3262">
        <v>4.3462269999999997E-2</v>
      </c>
      <c r="N3262">
        <v>0</v>
      </c>
      <c r="O3262">
        <v>-0.9989654</v>
      </c>
      <c r="P3262">
        <v>-2.618879E-2</v>
      </c>
      <c r="Q3262">
        <v>-1.552046E-2</v>
      </c>
      <c r="R3262">
        <v>-0.9995366</v>
      </c>
      <c r="S3262">
        <v>0.12773129999999999</v>
      </c>
      <c r="T3262">
        <v>-0.26888809999999902</v>
      </c>
      <c r="U3262">
        <v>-3.0009000000000001</v>
      </c>
      <c r="V3262">
        <v>6.9612240000000006E-2</v>
      </c>
      <c r="W3262">
        <v>-2.084247E-3</v>
      </c>
      <c r="X3262">
        <v>0.99757189999999996</v>
      </c>
      <c r="Y3262">
        <v>1.110425E-3</v>
      </c>
      <c r="Z3262">
        <v>8.9078749999999998E-2</v>
      </c>
      <c r="AA3262">
        <v>0.99602400000000002</v>
      </c>
      <c r="AB3262">
        <v>18</v>
      </c>
      <c r="AC3262">
        <v>2.20999999999946E-2</v>
      </c>
      <c r="AD3262">
        <v>-6.6048999999999997E-2</v>
      </c>
      <c r="AE3262">
        <v>-0.54200000000000104</v>
      </c>
      <c r="AF3262">
        <v>1.45793280643443E-3</v>
      </c>
      <c r="AG3262">
        <v>-6.6048999999999997E-2</v>
      </c>
      <c r="AH3262">
        <v>0.53452371959793399</v>
      </c>
      <c r="AI3262">
        <v>97.044082509774299</v>
      </c>
      <c r="AJ3262">
        <v>89.843724073576098</v>
      </c>
      <c r="AK3262">
        <v>0.538590941979049</v>
      </c>
    </row>
    <row r="3263" spans="1:37" x14ac:dyDescent="0.2">
      <c r="A3263" t="str">
        <f>"20200111160222153"</f>
        <v>20200111160222153</v>
      </c>
      <c r="B3263" t="str">
        <f>"1578729742145477"</f>
        <v>1578729742145477</v>
      </c>
      <c r="C3263" t="s">
        <v>37</v>
      </c>
      <c r="D3263">
        <v>5.3452599999999997</v>
      </c>
      <c r="E3263">
        <v>0.47643659999999999</v>
      </c>
      <c r="F3263" t="s">
        <v>42</v>
      </c>
      <c r="G3263">
        <v>-191.2637</v>
      </c>
      <c r="H3263">
        <v>1.027285</v>
      </c>
      <c r="I3263">
        <v>179.5265</v>
      </c>
      <c r="J3263">
        <v>-191.2928</v>
      </c>
      <c r="K3263">
        <v>1.1048690000000001</v>
      </c>
      <c r="L3263">
        <v>180.2064</v>
      </c>
      <c r="M3263">
        <v>4.4244829999999999E-2</v>
      </c>
      <c r="N3263">
        <v>0</v>
      </c>
      <c r="O3263">
        <v>-0.99893109999999996</v>
      </c>
      <c r="P3263">
        <v>-2.465579E-2</v>
      </c>
      <c r="Q3263">
        <v>-1.462331E-2</v>
      </c>
      <c r="R3263">
        <v>-0.99958919999999996</v>
      </c>
      <c r="S3263">
        <v>0.13204959999999999</v>
      </c>
      <c r="T3263">
        <v>-0.27020290000000002</v>
      </c>
      <c r="U3263">
        <v>-3.0006409999999999</v>
      </c>
      <c r="V3263">
        <v>6.8863530000000006E-2</v>
      </c>
      <c r="W3263">
        <v>-1.187425E-3</v>
      </c>
      <c r="X3263">
        <v>0.9976254</v>
      </c>
      <c r="Y3263">
        <v>4.6115279999999999E-4</v>
      </c>
      <c r="Z3263">
        <v>8.9511170000000001E-2</v>
      </c>
      <c r="AA3263">
        <v>0.99598569999999997</v>
      </c>
      <c r="AB3263">
        <v>18</v>
      </c>
      <c r="AC3263">
        <v>2.9099999999999598E-2</v>
      </c>
      <c r="AD3263">
        <v>-7.7584000000000097E-2</v>
      </c>
      <c r="AE3263">
        <v>-0.67990000000000295</v>
      </c>
      <c r="AF3263">
        <v>1.0002548245266901E-3</v>
      </c>
      <c r="AG3263">
        <v>-7.7584000000000097E-2</v>
      </c>
      <c r="AH3263">
        <v>0.67179012304533103</v>
      </c>
      <c r="AI3263">
        <v>96.587808463967207</v>
      </c>
      <c r="AJ3263">
        <v>89.914690115907007</v>
      </c>
      <c r="AK3263">
        <v>0.67625605134961597</v>
      </c>
    </row>
    <row r="3264" spans="1:37" x14ac:dyDescent="0.2">
      <c r="A3264" t="str">
        <f>"20200111160222175"</f>
        <v>20200111160222175</v>
      </c>
      <c r="B3264" t="str">
        <f>"1578729742164996"</f>
        <v>1578729742164996</v>
      </c>
      <c r="C3264" t="s">
        <v>37</v>
      </c>
      <c r="D3264">
        <v>5.4090689999999997</v>
      </c>
      <c r="E3264">
        <v>0.47675309999999999</v>
      </c>
      <c r="F3264" t="s">
        <v>42</v>
      </c>
      <c r="G3264">
        <v>-191.25540000000001</v>
      </c>
      <c r="H3264">
        <v>1.029752</v>
      </c>
      <c r="I3264">
        <v>179.36170000000001</v>
      </c>
      <c r="J3264">
        <v>-191.28399999999999</v>
      </c>
      <c r="K3264">
        <v>1.1048849999999999</v>
      </c>
      <c r="L3264">
        <v>180.02889999999999</v>
      </c>
      <c r="M3264">
        <v>4.5020989999999997E-2</v>
      </c>
      <c r="N3264">
        <v>0</v>
      </c>
      <c r="O3264">
        <v>-0.99889649999999996</v>
      </c>
      <c r="P3264">
        <v>-2.4038779999999999E-2</v>
      </c>
      <c r="Q3264">
        <v>-1.1531319999999999E-2</v>
      </c>
      <c r="R3264">
        <v>-0.99964500000000001</v>
      </c>
      <c r="S3264">
        <v>0.13301089999999999</v>
      </c>
      <c r="T3264">
        <v>-0.26687470000000002</v>
      </c>
      <c r="U3264">
        <v>-3.0005950000000001</v>
      </c>
      <c r="V3264">
        <v>6.9021479999999996E-2</v>
      </c>
      <c r="W3264">
        <v>1.903358E-3</v>
      </c>
      <c r="X3264">
        <v>0.99761339999999998</v>
      </c>
      <c r="Y3264">
        <v>9.1468729999999996E-4</v>
      </c>
      <c r="Z3264">
        <v>8.8413430000000001E-2</v>
      </c>
      <c r="AA3264">
        <v>0.99608339999999995</v>
      </c>
      <c r="AB3264">
        <v>18</v>
      </c>
      <c r="AC3264">
        <v>2.8600000000011502E-2</v>
      </c>
      <c r="AD3264">
        <v>-7.5133000000000102E-2</v>
      </c>
      <c r="AE3264">
        <v>-0.66719999999997903</v>
      </c>
      <c r="AF3264">
        <v>1.4513257602842601E-3</v>
      </c>
      <c r="AG3264">
        <v>-7.5133000000000102E-2</v>
      </c>
      <c r="AH3264">
        <v>0.65946383722877899</v>
      </c>
      <c r="AI3264">
        <v>96.499691626433901</v>
      </c>
      <c r="AJ3264">
        <v>89.873905585387604</v>
      </c>
      <c r="AK3264">
        <v>0.66373159232325896</v>
      </c>
    </row>
    <row r="3265" spans="1:37" x14ac:dyDescent="0.2">
      <c r="A3265" t="str">
        <f>"20200111160222197"</f>
        <v>20200111160222197</v>
      </c>
      <c r="B3265" t="str">
        <f>"1578729742185492"</f>
        <v>1578729742185492</v>
      </c>
      <c r="C3265" t="s">
        <v>37</v>
      </c>
      <c r="D3265">
        <v>5.3357429999999999</v>
      </c>
      <c r="E3265">
        <v>0.47675249999999902</v>
      </c>
      <c r="F3265" t="s">
        <v>42</v>
      </c>
      <c r="G3265">
        <v>-191.2474</v>
      </c>
      <c r="H3265">
        <v>1.0332749999999999</v>
      </c>
      <c r="I3265">
        <v>179.1961</v>
      </c>
      <c r="J3265">
        <v>-191.27510000000001</v>
      </c>
      <c r="K3265">
        <v>1.1048899999999999</v>
      </c>
      <c r="L3265">
        <v>179.8535</v>
      </c>
      <c r="M3265">
        <v>4.5790810000000001E-2</v>
      </c>
      <c r="N3265">
        <v>0</v>
      </c>
      <c r="O3265">
        <v>-0.99886119999999901</v>
      </c>
      <c r="P3265">
        <v>-2.3453149999999999E-2</v>
      </c>
      <c r="Q3265">
        <v>-8.6726279999999999E-3</v>
      </c>
      <c r="R3265">
        <v>-0.99968749999999995</v>
      </c>
      <c r="S3265">
        <v>0.1322479</v>
      </c>
      <c r="T3265">
        <v>-0.2581407</v>
      </c>
      <c r="U3265">
        <v>-3.00126599999999</v>
      </c>
      <c r="V3265">
        <v>6.920432E-2</v>
      </c>
      <c r="W3265">
        <v>4.7595959999999996E-3</v>
      </c>
      <c r="X3265">
        <v>0.99759109999999995</v>
      </c>
      <c r="Y3265">
        <v>1.9368289999999999E-3</v>
      </c>
      <c r="Z3265">
        <v>8.5518460000000004E-2</v>
      </c>
      <c r="AA3265">
        <v>0.99633470000000002</v>
      </c>
      <c r="AB3265">
        <v>18</v>
      </c>
      <c r="AC3265">
        <v>2.7700000000010001E-2</v>
      </c>
      <c r="AD3265">
        <v>-7.1614999999999901E-2</v>
      </c>
      <c r="AE3265">
        <v>-0.65739999999999499</v>
      </c>
      <c r="AF3265">
        <v>2.4061382389515299E-3</v>
      </c>
      <c r="AG3265">
        <v>-7.1614999999999901E-2</v>
      </c>
      <c r="AH3265">
        <v>0.65027553694856799</v>
      </c>
      <c r="AI3265">
        <v>96.284628613492202</v>
      </c>
      <c r="AJ3265">
        <v>89.787996120077494</v>
      </c>
      <c r="AK3265">
        <v>0.65421156492374399</v>
      </c>
    </row>
    <row r="3266" spans="1:37" x14ac:dyDescent="0.2">
      <c r="A3266" t="str">
        <f>"20200111160222220"</f>
        <v>20200111160222220</v>
      </c>
      <c r="B3266" t="str">
        <f>"1578729742214772"</f>
        <v>1578729742214772</v>
      </c>
      <c r="C3266" t="s">
        <v>37</v>
      </c>
      <c r="D3266">
        <v>5.2389400000000004</v>
      </c>
      <c r="E3266">
        <v>0.4769156</v>
      </c>
      <c r="F3266" t="s">
        <v>42</v>
      </c>
      <c r="G3266">
        <v>-191.23869999999999</v>
      </c>
      <c r="H3266">
        <v>1.0367949999999999</v>
      </c>
      <c r="I3266">
        <v>179.03</v>
      </c>
      <c r="J3266">
        <v>-191.2654</v>
      </c>
      <c r="K3266">
        <v>1.1048799999999901</v>
      </c>
      <c r="L3266">
        <v>179.6636</v>
      </c>
      <c r="M3266">
        <v>4.662003E-2</v>
      </c>
      <c r="N3266">
        <v>0</v>
      </c>
      <c r="O3266">
        <v>-0.99882329999999997</v>
      </c>
      <c r="P3266">
        <v>-2.3638449999999998E-2</v>
      </c>
      <c r="Q3266">
        <v>-8.0221759999999902E-3</v>
      </c>
      <c r="R3266">
        <v>-0.99968869999999899</v>
      </c>
      <c r="S3266">
        <v>0.1336975</v>
      </c>
      <c r="T3266">
        <v>-0.24841830000000001</v>
      </c>
      <c r="U3266">
        <v>-3.0019230000000001</v>
      </c>
      <c r="V3266">
        <v>7.0217039999999994E-2</v>
      </c>
      <c r="W3266">
        <v>5.4061789999999997E-3</v>
      </c>
      <c r="X3266">
        <v>0.99751710000000005</v>
      </c>
      <c r="Y3266">
        <v>2.2843099999999999E-3</v>
      </c>
      <c r="Z3266">
        <v>8.2296369999999994E-2</v>
      </c>
      <c r="AA3266">
        <v>0.99660530000000003</v>
      </c>
      <c r="AB3266">
        <v>18</v>
      </c>
      <c r="AC3266">
        <v>2.6700000000005199E-2</v>
      </c>
      <c r="AD3266">
        <v>-6.8084999999999701E-2</v>
      </c>
      <c r="AE3266">
        <v>-0.63360000000000105</v>
      </c>
      <c r="AF3266">
        <v>2.8374193373401999E-3</v>
      </c>
      <c r="AG3266">
        <v>-6.8084999999999701E-2</v>
      </c>
      <c r="AH3266">
        <v>0.62692944843198495</v>
      </c>
      <c r="AI3266">
        <v>96.198010111043601</v>
      </c>
      <c r="AJ3266">
        <v>89.740686861769007</v>
      </c>
      <c r="AK3266">
        <v>0.63062203536248995</v>
      </c>
    </row>
    <row r="3267" spans="1:37" x14ac:dyDescent="0.2">
      <c r="A3267" t="str">
        <f>"20200111160222243"</f>
        <v>20200111160222243</v>
      </c>
      <c r="B3267" t="str">
        <f>"1578729742235269"</f>
        <v>1578729742235269</v>
      </c>
      <c r="C3267" t="s">
        <v>37</v>
      </c>
      <c r="D3267">
        <v>5.2966230000000003</v>
      </c>
      <c r="E3267">
        <v>0.477163</v>
      </c>
      <c r="F3267" t="s">
        <v>42</v>
      </c>
      <c r="G3267">
        <v>-191.2303</v>
      </c>
      <c r="H3267">
        <v>1.0394680000000001</v>
      </c>
      <c r="I3267">
        <v>178.8648</v>
      </c>
      <c r="J3267">
        <v>-191.2559</v>
      </c>
      <c r="K3267">
        <v>1.10487</v>
      </c>
      <c r="L3267">
        <v>179.48070000000001</v>
      </c>
      <c r="M3267">
        <v>4.7411370000000001E-2</v>
      </c>
      <c r="N3267">
        <v>0</v>
      </c>
      <c r="O3267">
        <v>-0.9987857</v>
      </c>
      <c r="P3267">
        <v>-2.3310580000000001E-2</v>
      </c>
      <c r="Q3267">
        <v>-8.3386750000000003E-3</v>
      </c>
      <c r="R3267">
        <v>-0.99969370000000002</v>
      </c>
      <c r="S3267">
        <v>0.13189699999999999</v>
      </c>
      <c r="T3267">
        <v>-0.24584249999999999</v>
      </c>
      <c r="U3267">
        <v>-3.002075</v>
      </c>
      <c r="V3267">
        <v>7.0680569999999998E-2</v>
      </c>
      <c r="W3267">
        <v>5.0862249999999998E-3</v>
      </c>
      <c r="X3267">
        <v>0.99748609999999904</v>
      </c>
      <c r="Y3267">
        <v>3.6723400000000001E-3</v>
      </c>
      <c r="Z3267">
        <v>8.1440990000000005E-2</v>
      </c>
      <c r="AA3267">
        <v>0.99667139999999999</v>
      </c>
      <c r="AB3267">
        <v>18</v>
      </c>
      <c r="AC3267">
        <v>2.5599999999997101E-2</v>
      </c>
      <c r="AD3267">
        <v>-6.5401999999999905E-2</v>
      </c>
      <c r="AE3267">
        <v>-0.61590000000001</v>
      </c>
      <c r="AF3267">
        <v>3.59164432474849E-3</v>
      </c>
      <c r="AG3267">
        <v>-6.5401999999999905E-2</v>
      </c>
      <c r="AH3267">
        <v>0.60955946239918302</v>
      </c>
      <c r="AI3267">
        <v>96.123952717042997</v>
      </c>
      <c r="AJ3267">
        <v>89.662405897092398</v>
      </c>
      <c r="AK3267">
        <v>0.61306856036934099</v>
      </c>
    </row>
    <row r="3268" spans="1:37" x14ac:dyDescent="0.2">
      <c r="A3268" t="str">
        <f>"20200111160222264"</f>
        <v>20200111160222264</v>
      </c>
      <c r="B3268" t="str">
        <f>"1578729742254791"</f>
        <v>1578729742254791</v>
      </c>
      <c r="C3268" t="s">
        <v>37</v>
      </c>
      <c r="D3268">
        <v>5.3814859999999998</v>
      </c>
      <c r="E3268">
        <v>0.47729300000000002</v>
      </c>
      <c r="F3268" t="s">
        <v>42</v>
      </c>
      <c r="G3268">
        <v>-191.22200000000001</v>
      </c>
      <c r="H3268">
        <v>1.04047</v>
      </c>
      <c r="I3268">
        <v>178.70140000000001</v>
      </c>
      <c r="J3268">
        <v>-191.24639999999999</v>
      </c>
      <c r="K3268">
        <v>1.104859</v>
      </c>
      <c r="L3268">
        <v>179.3006</v>
      </c>
      <c r="M3268">
        <v>4.818178E-2</v>
      </c>
      <c r="N3268">
        <v>0</v>
      </c>
      <c r="O3268">
        <v>-0.998749</v>
      </c>
      <c r="P3268">
        <v>-2.2998879999999999E-2</v>
      </c>
      <c r="Q3268">
        <v>-8.2166329999999992E-3</v>
      </c>
      <c r="R3268">
        <v>-0.99970149999999902</v>
      </c>
      <c r="S3268">
        <v>0.13142400000000001</v>
      </c>
      <c r="T3268">
        <v>-0.24820780000000001</v>
      </c>
      <c r="U3268">
        <v>-3.0018919999999998</v>
      </c>
      <c r="V3268">
        <v>7.1139030000000006E-2</v>
      </c>
      <c r="W3268">
        <v>5.1997120000000004E-3</v>
      </c>
      <c r="X3268">
        <v>0.99745289999999998</v>
      </c>
      <c r="Y3268">
        <v>4.6005680000000002E-3</v>
      </c>
      <c r="Z3268">
        <v>8.2219849999999997E-2</v>
      </c>
      <c r="AA3268">
        <v>0.99660360000000003</v>
      </c>
      <c r="AB3268">
        <v>18</v>
      </c>
      <c r="AC3268">
        <v>2.43999999999857E-2</v>
      </c>
      <c r="AD3268">
        <v>-6.4389000000000002E-2</v>
      </c>
      <c r="AE3268">
        <v>-0.59919999999999596</v>
      </c>
      <c r="AF3268">
        <v>4.4501477242904104E-3</v>
      </c>
      <c r="AG3268">
        <v>-6.4389000000000002E-2</v>
      </c>
      <c r="AH3268">
        <v>0.59284527683960297</v>
      </c>
      <c r="AI3268">
        <v>96.198431499599096</v>
      </c>
      <c r="AJ3268">
        <v>89.569921691263602</v>
      </c>
      <c r="AK3268">
        <v>0.59634827861476503</v>
      </c>
    </row>
    <row r="3269" spans="1:37" x14ac:dyDescent="0.2">
      <c r="A3269" t="str">
        <f>"20200111160222286"</f>
        <v>20200111160222286</v>
      </c>
      <c r="B3269" t="str">
        <f>"1578729742275284"</f>
        <v>1578729742275284</v>
      </c>
      <c r="C3269" t="s">
        <v>37</v>
      </c>
      <c r="D3269">
        <v>5.3279690000000004</v>
      </c>
      <c r="E3269">
        <v>0.4770973</v>
      </c>
      <c r="F3269" t="s">
        <v>42</v>
      </c>
      <c r="G3269">
        <v>-191.2131</v>
      </c>
      <c r="H3269">
        <v>1.0415939999999999</v>
      </c>
      <c r="I3269">
        <v>178.53799999999899</v>
      </c>
      <c r="J3269">
        <v>-191.23699999999999</v>
      </c>
      <c r="K3269">
        <v>1.104843</v>
      </c>
      <c r="L3269">
        <v>179.12530000000001</v>
      </c>
      <c r="M3269">
        <v>4.8928230000000003E-2</v>
      </c>
      <c r="N3269">
        <v>0</v>
      </c>
      <c r="O3269">
        <v>-0.99871319999999997</v>
      </c>
      <c r="P3269">
        <v>-2.2588830000000001E-2</v>
      </c>
      <c r="Q3269">
        <v>-7.4621109999999996E-3</v>
      </c>
      <c r="R3269">
        <v>-0.99971679999999996</v>
      </c>
      <c r="S3269">
        <v>0.13148499999999999</v>
      </c>
      <c r="T3269">
        <v>-0.2490146</v>
      </c>
      <c r="U3269">
        <v>-3.0018919999999998</v>
      </c>
      <c r="V3269">
        <v>7.1475090000000005E-2</v>
      </c>
      <c r="W3269">
        <v>5.9073260000000001E-3</v>
      </c>
      <c r="X3269">
        <v>0.99742489999999995</v>
      </c>
      <c r="Y3269">
        <v>5.3286619999999996E-3</v>
      </c>
      <c r="Z3269">
        <v>8.2480600000000001E-2</v>
      </c>
      <c r="AA3269">
        <v>0.99657839999999998</v>
      </c>
      <c r="AB3269">
        <v>18</v>
      </c>
      <c r="AC3269">
        <v>2.38999999999975E-2</v>
      </c>
      <c r="AD3269">
        <v>-6.3248999999999805E-2</v>
      </c>
      <c r="AE3269">
        <v>-0.58730000000002702</v>
      </c>
      <c r="AF3269">
        <v>4.8110304705984196E-3</v>
      </c>
      <c r="AG3269">
        <v>-6.3248999999999805E-2</v>
      </c>
      <c r="AH3269">
        <v>0.58103814816270005</v>
      </c>
      <c r="AI3269">
        <v>96.212268813615495</v>
      </c>
      <c r="AJ3269">
        <v>89.525598374736404</v>
      </c>
      <c r="AK3269">
        <v>0.58449030071980601</v>
      </c>
    </row>
    <row r="3270" spans="1:37" x14ac:dyDescent="0.2">
      <c r="A3270" t="str">
        <f>"20200111160222308"</f>
        <v>20200111160222308</v>
      </c>
      <c r="B3270" t="str">
        <f>"1578729742305541"</f>
        <v>1578729742305541</v>
      </c>
      <c r="C3270" t="s">
        <v>37</v>
      </c>
      <c r="D3270">
        <v>5.3168100000000003</v>
      </c>
      <c r="E3270">
        <v>0.47735319999999998</v>
      </c>
      <c r="F3270" t="s">
        <v>42</v>
      </c>
      <c r="G3270">
        <v>-191.20320000000001</v>
      </c>
      <c r="H3270">
        <v>1.0430649999999999</v>
      </c>
      <c r="I3270">
        <v>178.36689999999999</v>
      </c>
      <c r="J3270">
        <v>-191.22730000000001</v>
      </c>
      <c r="K3270">
        <v>1.1048149999999901</v>
      </c>
      <c r="L3270">
        <v>178.94560000000001</v>
      </c>
      <c r="M3270">
        <v>4.9681490000000002E-2</v>
      </c>
      <c r="N3270">
        <v>0</v>
      </c>
      <c r="O3270">
        <v>-0.99867790000000001</v>
      </c>
      <c r="P3270">
        <v>-2.1975149999999999E-2</v>
      </c>
      <c r="Q3270">
        <v>-6.5036829999999997E-3</v>
      </c>
      <c r="R3270">
        <v>-0.9997376</v>
      </c>
      <c r="S3270">
        <v>0.13442989999999999</v>
      </c>
      <c r="T3270">
        <v>-0.24475259999999999</v>
      </c>
      <c r="U3270">
        <v>-3.002075</v>
      </c>
      <c r="V3270">
        <v>7.1614639999999993E-2</v>
      </c>
      <c r="W3270">
        <v>6.7317619999999996E-3</v>
      </c>
      <c r="X3270">
        <v>0.99740960000000001</v>
      </c>
      <c r="Y3270">
        <v>5.1045709999999996E-3</v>
      </c>
      <c r="Z3270">
        <v>8.1067169999999994E-2</v>
      </c>
      <c r="AA3270">
        <v>0.99669560000000001</v>
      </c>
      <c r="AB3270">
        <v>18</v>
      </c>
      <c r="AC3270">
        <v>2.4100000000004201E-2</v>
      </c>
      <c r="AD3270">
        <v>-6.1749999999999902E-2</v>
      </c>
      <c r="AE3270">
        <v>-0.57870000000002597</v>
      </c>
      <c r="AF3270">
        <v>4.6303197461872898E-3</v>
      </c>
      <c r="AG3270">
        <v>-6.1749999999999902E-2</v>
      </c>
      <c r="AH3270">
        <v>0.57267356508585299</v>
      </c>
      <c r="AI3270">
        <v>96.154087151143798</v>
      </c>
      <c r="AJ3270">
        <v>89.536748307541998</v>
      </c>
      <c r="AK3270">
        <v>0.57601173122523497</v>
      </c>
    </row>
    <row r="3271" spans="1:37" x14ac:dyDescent="0.2">
      <c r="A3271" t="str">
        <f>"20200111160222332"</f>
        <v>20200111160222332</v>
      </c>
      <c r="B3271" t="str">
        <f>"1578729742325061"</f>
        <v>1578729742325061</v>
      </c>
      <c r="C3271" t="s">
        <v>37</v>
      </c>
      <c r="D3271">
        <v>5.3439019999999999</v>
      </c>
      <c r="E3271">
        <v>0.47749039999999998</v>
      </c>
      <c r="F3271" t="s">
        <v>38</v>
      </c>
      <c r="G3271">
        <v>-190.61590000000001</v>
      </c>
      <c r="H3271" s="1">
        <v>-2.8583600000000002E-6</v>
      </c>
      <c r="I3271">
        <v>165.29169999999999</v>
      </c>
      <c r="J3271">
        <v>-191.2167</v>
      </c>
      <c r="K3271">
        <v>1.1047629999999999</v>
      </c>
      <c r="L3271">
        <v>178.7517</v>
      </c>
      <c r="M3271">
        <v>5.0494120000000003E-2</v>
      </c>
      <c r="N3271">
        <v>0</v>
      </c>
      <c r="O3271">
        <v>-0.99863999999999997</v>
      </c>
      <c r="P3271">
        <v>-2.140365E-2</v>
      </c>
      <c r="Q3271">
        <v>-6.2339250000000004E-3</v>
      </c>
      <c r="R3271">
        <v>-0.99975159999999996</v>
      </c>
      <c r="S3271">
        <v>0.13444519999999999</v>
      </c>
      <c r="T3271">
        <v>-0.24292359999999999</v>
      </c>
      <c r="U3271">
        <v>-3.002167</v>
      </c>
      <c r="V3271">
        <v>7.1856089999999997E-2</v>
      </c>
      <c r="W3271">
        <v>6.7699079999999998E-3</v>
      </c>
      <c r="X3271">
        <v>0.9973921</v>
      </c>
      <c r="Y3271">
        <v>5.9122389999999997E-3</v>
      </c>
      <c r="Z3271">
        <v>8.0457769999999998E-2</v>
      </c>
      <c r="AA3271">
        <v>0.99674050000000003</v>
      </c>
      <c r="AB3271">
        <v>18</v>
      </c>
      <c r="AC3271">
        <v>0.60079999999999201</v>
      </c>
      <c r="AD3271">
        <v>-1.10476585836</v>
      </c>
      <c r="AE3271">
        <v>-13.46</v>
      </c>
      <c r="AF3271">
        <v>7.9142552475268593E-2</v>
      </c>
      <c r="AG3271">
        <v>-1.10476585836</v>
      </c>
      <c r="AH3271">
        <v>13.3831864950208</v>
      </c>
      <c r="AI3271">
        <v>94.718915677553795</v>
      </c>
      <c r="AJ3271">
        <v>89.6611807373895</v>
      </c>
      <c r="AK3271">
        <v>13.428940833361301</v>
      </c>
    </row>
    <row r="3272" spans="1:37" x14ac:dyDescent="0.2">
      <c r="A3272" t="str">
        <f>"20200111160222354"</f>
        <v>20200111160222354</v>
      </c>
      <c r="B3272" t="str">
        <f>"1578729742345556"</f>
        <v>1578729742345556</v>
      </c>
      <c r="C3272" t="s">
        <v>37</v>
      </c>
      <c r="D3272">
        <v>5.4108320000000001</v>
      </c>
      <c r="E3272">
        <v>0.47761909999999902</v>
      </c>
      <c r="F3272" t="s">
        <v>42</v>
      </c>
      <c r="G3272">
        <v>-191.1781</v>
      </c>
      <c r="H3272">
        <v>1.035231</v>
      </c>
      <c r="I3272">
        <v>177.89320000000001</v>
      </c>
      <c r="J3272">
        <v>-191.20670000000001</v>
      </c>
      <c r="K3272">
        <v>1.1047100000000001</v>
      </c>
      <c r="L3272">
        <v>178.57259999999999</v>
      </c>
      <c r="M3272">
        <v>5.1250289999999997E-2</v>
      </c>
      <c r="N3272">
        <v>0</v>
      </c>
      <c r="O3272">
        <v>-0.99860469999999901</v>
      </c>
      <c r="P3272">
        <v>-2.0513880000000002E-2</v>
      </c>
      <c r="Q3272">
        <v>-6.2411630000000001E-3</v>
      </c>
      <c r="R3272">
        <v>-0.99977039999999995</v>
      </c>
      <c r="S3272">
        <v>0.1351166</v>
      </c>
      <c r="T3272">
        <v>-0.24321699999999999</v>
      </c>
      <c r="U3272">
        <v>-3.0021059999999999</v>
      </c>
      <c r="V3272">
        <v>7.1723839999999997E-2</v>
      </c>
      <c r="W3272">
        <v>6.5300640000000004E-3</v>
      </c>
      <c r="X3272">
        <v>0.99740309999999899</v>
      </c>
      <c r="Y3272">
        <v>6.4462469999999996E-3</v>
      </c>
      <c r="Z3272">
        <v>8.0550750000000004E-2</v>
      </c>
      <c r="AA3272">
        <v>0.99672969999999905</v>
      </c>
      <c r="AB3272">
        <v>18</v>
      </c>
      <c r="AC3272">
        <v>2.8600000000011502E-2</v>
      </c>
      <c r="AD3272">
        <v>-6.9478999999999999E-2</v>
      </c>
      <c r="AE3272">
        <v>-0.67939999999998602</v>
      </c>
      <c r="AF3272">
        <v>6.1951841367797701E-3</v>
      </c>
      <c r="AG3272">
        <v>-6.9478999999999999E-2</v>
      </c>
      <c r="AH3272">
        <v>0.67294753646319305</v>
      </c>
      <c r="AI3272">
        <v>95.894414113039005</v>
      </c>
      <c r="AJ3272">
        <v>89.472547475227202</v>
      </c>
      <c r="AK3272">
        <v>0.67655310107882105</v>
      </c>
    </row>
    <row r="3273" spans="1:37" x14ac:dyDescent="0.2">
      <c r="A3273" t="str">
        <f>"20200111160222375"</f>
        <v>20200111160222375</v>
      </c>
      <c r="B3273" t="str">
        <f>"1578729742365076"</f>
        <v>1578729742365076</v>
      </c>
      <c r="C3273" t="s">
        <v>37</v>
      </c>
      <c r="D3273">
        <v>5.4263339999999998</v>
      </c>
      <c r="E3273">
        <v>0.47788969999999997</v>
      </c>
      <c r="F3273" t="s">
        <v>42</v>
      </c>
      <c r="G3273">
        <v>-191.16849999999999</v>
      </c>
      <c r="H3273">
        <v>1.036171</v>
      </c>
      <c r="I3273">
        <v>177.7294</v>
      </c>
      <c r="J3273">
        <v>-191.197</v>
      </c>
      <c r="K3273">
        <v>1.104663</v>
      </c>
      <c r="L3273">
        <v>178.4</v>
      </c>
      <c r="M3273">
        <v>5.1982970000000003E-2</v>
      </c>
      <c r="N3273">
        <v>0</v>
      </c>
      <c r="O3273">
        <v>-0.99856959999999995</v>
      </c>
      <c r="P3273">
        <v>-1.923149E-2</v>
      </c>
      <c r="Q3273">
        <v>-6.7011010000000001E-3</v>
      </c>
      <c r="R3273">
        <v>-0.99979280000000004</v>
      </c>
      <c r="S3273">
        <v>0.136795</v>
      </c>
      <c r="T3273">
        <v>-0.24423</v>
      </c>
      <c r="U3273">
        <v>-3.0019680000000002</v>
      </c>
      <c r="V3273">
        <v>7.1176690000000001E-2</v>
      </c>
      <c r="W3273">
        <v>5.8591659999999999E-3</v>
      </c>
      <c r="X3273">
        <v>0.99744650000000001</v>
      </c>
      <c r="Y3273">
        <v>6.622836E-3</v>
      </c>
      <c r="Z3273">
        <v>8.0882060000000006E-2</v>
      </c>
      <c r="AA3273">
        <v>0.99670170000000002</v>
      </c>
      <c r="AB3273">
        <v>18</v>
      </c>
      <c r="AC3273">
        <v>2.8500000000008099E-2</v>
      </c>
      <c r="AD3273">
        <v>-6.8491999999999997E-2</v>
      </c>
      <c r="AE3273">
        <v>-0.67060000000000697</v>
      </c>
      <c r="AF3273">
        <v>6.3350809253847704E-3</v>
      </c>
      <c r="AG3273">
        <v>-6.8491999999999997E-2</v>
      </c>
      <c r="AH3273">
        <v>0.66425801070895396</v>
      </c>
      <c r="AI3273">
        <v>95.886728487978999</v>
      </c>
      <c r="AJ3273">
        <v>89.4535822078265</v>
      </c>
      <c r="AK3273">
        <v>0.66780984726593196</v>
      </c>
    </row>
    <row r="3274" spans="1:37" x14ac:dyDescent="0.2">
      <c r="A3274" t="str">
        <f>"20200111160222398"</f>
        <v>20200111160222398</v>
      </c>
      <c r="B3274" t="str">
        <f>"1578729742395333"</f>
        <v>1578729742395333</v>
      </c>
      <c r="C3274" t="s">
        <v>37</v>
      </c>
      <c r="D3274">
        <v>5.3377999999999997</v>
      </c>
      <c r="E3274">
        <v>0.47799709999999901</v>
      </c>
      <c r="F3274" t="s">
        <v>42</v>
      </c>
      <c r="G3274">
        <v>-191.15860000000001</v>
      </c>
      <c r="H3274">
        <v>1.035992</v>
      </c>
      <c r="I3274">
        <v>177.56639999999999</v>
      </c>
      <c r="J3274">
        <v>-191.18629999999999</v>
      </c>
      <c r="K3274">
        <v>1.104625</v>
      </c>
      <c r="L3274">
        <v>178.21260000000001</v>
      </c>
      <c r="M3274">
        <v>5.2778859999999997E-2</v>
      </c>
      <c r="N3274">
        <v>0</v>
      </c>
      <c r="O3274">
        <v>-0.99853049999999999</v>
      </c>
      <c r="P3274">
        <v>-1.8356089999999999E-2</v>
      </c>
      <c r="Q3274">
        <v>-6.6356490000000004E-3</v>
      </c>
      <c r="R3274">
        <v>-0.99980979999999997</v>
      </c>
      <c r="S3274">
        <v>0.13865659999999999</v>
      </c>
      <c r="T3274">
        <v>-0.247335</v>
      </c>
      <c r="U3274">
        <v>-3.001633</v>
      </c>
      <c r="V3274">
        <v>7.1098410000000001E-2</v>
      </c>
      <c r="W3274">
        <v>5.6913229999999999E-3</v>
      </c>
      <c r="X3274">
        <v>0.99745309999999898</v>
      </c>
      <c r="Y3274">
        <v>6.80168599999999E-3</v>
      </c>
      <c r="Z3274">
        <v>8.1906240000000005E-2</v>
      </c>
      <c r="AA3274">
        <v>0.99661679999999997</v>
      </c>
      <c r="AB3274">
        <v>18</v>
      </c>
      <c r="AC3274">
        <v>2.76999999999816E-2</v>
      </c>
      <c r="AD3274">
        <v>-6.8632999999999902E-2</v>
      </c>
      <c r="AE3274">
        <v>-0.64620000000002098</v>
      </c>
      <c r="AF3274">
        <v>6.3751088617161004E-3</v>
      </c>
      <c r="AG3274">
        <v>-6.8632999999999902E-2</v>
      </c>
      <c r="AH3274">
        <v>0.63955990640556204</v>
      </c>
      <c r="AI3274">
        <v>96.124831090801706</v>
      </c>
      <c r="AJ3274">
        <v>89.428896759934801</v>
      </c>
      <c r="AK3274">
        <v>0.64326355763675103</v>
      </c>
    </row>
    <row r="3275" spans="1:37" x14ac:dyDescent="0.2">
      <c r="A3275" t="str">
        <f>"20200111160222420"</f>
        <v>20200111160222420</v>
      </c>
      <c r="B3275" t="str">
        <f>"1578729742414853"</f>
        <v>1578729742414853</v>
      </c>
      <c r="C3275" t="s">
        <v>37</v>
      </c>
      <c r="D3275">
        <v>5.3324689999999997</v>
      </c>
      <c r="E3275">
        <v>0.47808529999999999</v>
      </c>
      <c r="F3275" t="s">
        <v>42</v>
      </c>
      <c r="G3275">
        <v>-191.14840000000001</v>
      </c>
      <c r="H3275">
        <v>1.0377769999999999</v>
      </c>
      <c r="I3275">
        <v>177.40129999999999</v>
      </c>
      <c r="J3275">
        <v>-191.17580000000001</v>
      </c>
      <c r="K3275">
        <v>1.10459</v>
      </c>
      <c r="L3275">
        <v>178.03049999999999</v>
      </c>
      <c r="M3275">
        <v>5.3549890000000003E-2</v>
      </c>
      <c r="N3275">
        <v>0</v>
      </c>
      <c r="O3275">
        <v>-0.99849270000000001</v>
      </c>
      <c r="P3275">
        <v>-1.7219169999999999E-2</v>
      </c>
      <c r="Q3275">
        <v>-6.6512469999999999E-3</v>
      </c>
      <c r="R3275">
        <v>-0.99982990000000005</v>
      </c>
      <c r="S3275">
        <v>0.140640299999999</v>
      </c>
      <c r="T3275">
        <v>-0.24743000000000001</v>
      </c>
      <c r="U3275">
        <v>-3.0014949999999998</v>
      </c>
      <c r="V3275">
        <v>7.0734420000000006E-2</v>
      </c>
      <c r="W3275">
        <v>5.4185759999999996E-3</v>
      </c>
      <c r="X3275">
        <v>0.99748049999999999</v>
      </c>
      <c r="Y3275">
        <v>6.9144649999999998E-3</v>
      </c>
      <c r="Z3275">
        <v>8.1934859999999998E-2</v>
      </c>
      <c r="AA3275">
        <v>0.99661369999999905</v>
      </c>
      <c r="AB3275">
        <v>18</v>
      </c>
      <c r="AC3275">
        <v>2.7400000000000001E-2</v>
      </c>
      <c r="AD3275">
        <v>-6.6812999999999997E-2</v>
      </c>
      <c r="AE3275">
        <v>-0.62919999999999698</v>
      </c>
      <c r="AF3275">
        <v>6.2648423662820503E-3</v>
      </c>
      <c r="AG3275">
        <v>-6.6812999999999997E-2</v>
      </c>
      <c r="AH3275">
        <v>0.62275571894793003</v>
      </c>
      <c r="AI3275">
        <v>96.1233070861133</v>
      </c>
      <c r="AJ3275">
        <v>89.423631276198805</v>
      </c>
      <c r="AK3275">
        <v>0.62636084703725503</v>
      </c>
    </row>
    <row r="3276" spans="1:37" x14ac:dyDescent="0.2">
      <c r="A3276" t="str">
        <f>"20200111160222443"</f>
        <v>20200111160222443</v>
      </c>
      <c r="B3276" t="str">
        <f>"1578729742435348"</f>
        <v>1578729742435348</v>
      </c>
      <c r="C3276" t="s">
        <v>37</v>
      </c>
      <c r="D3276">
        <v>5.5069530000000002</v>
      </c>
      <c r="E3276">
        <v>0.4780258</v>
      </c>
      <c r="F3276" t="s">
        <v>42</v>
      </c>
      <c r="G3276">
        <v>-191.13800000000001</v>
      </c>
      <c r="H3276">
        <v>1.0387959999999901</v>
      </c>
      <c r="I3276">
        <v>177.23650000000001</v>
      </c>
      <c r="J3276">
        <v>-191.16470000000001</v>
      </c>
      <c r="K3276">
        <v>1.1045499999999999</v>
      </c>
      <c r="L3276">
        <v>177.8417</v>
      </c>
      <c r="M3276">
        <v>5.4347659999999999E-2</v>
      </c>
      <c r="N3276">
        <v>0</v>
      </c>
      <c r="O3276">
        <v>-0.99845319999999904</v>
      </c>
      <c r="P3276">
        <v>-1.642277E-2</v>
      </c>
      <c r="Q3276">
        <v>-6.2755679999999996E-3</v>
      </c>
      <c r="R3276">
        <v>-0.99984549999999905</v>
      </c>
      <c r="S3276">
        <v>0.1434937</v>
      </c>
      <c r="T3276">
        <v>-0.24889359999999999</v>
      </c>
      <c r="U3276">
        <v>-3.0013429999999999</v>
      </c>
      <c r="V3276">
        <v>7.0736679999999996E-2</v>
      </c>
      <c r="W3276">
        <v>5.48247199999999E-3</v>
      </c>
      <c r="X3276">
        <v>0.99747999999999903</v>
      </c>
      <c r="Y3276">
        <v>6.7674049999999998E-3</v>
      </c>
      <c r="Z3276">
        <v>8.2413299999999995E-2</v>
      </c>
      <c r="AA3276">
        <v>0.99657519999999999</v>
      </c>
      <c r="AB3276">
        <v>18</v>
      </c>
      <c r="AC3276">
        <v>2.6700000000005199E-2</v>
      </c>
      <c r="AD3276">
        <v>-6.5754000000000007E-2</v>
      </c>
      <c r="AE3276">
        <v>-0.60519999999999596</v>
      </c>
      <c r="AF3276">
        <v>6.1603535943851604E-3</v>
      </c>
      <c r="AG3276">
        <v>-6.5754000000000007E-2</v>
      </c>
      <c r="AH3276">
        <v>0.598702975539389</v>
      </c>
      <c r="AI3276">
        <v>96.267199001499506</v>
      </c>
      <c r="AJ3276">
        <v>89.410475945512005</v>
      </c>
      <c r="AK3276">
        <v>0.60233445144049902</v>
      </c>
    </row>
    <row r="3277" spans="1:37" x14ac:dyDescent="0.2">
      <c r="A3277" t="str">
        <f>"20200111160222465"</f>
        <v>20200111160222465</v>
      </c>
      <c r="B3277" t="str">
        <f>"1578729742454868"</f>
        <v>1578729742454868</v>
      </c>
      <c r="C3277" t="s">
        <v>37</v>
      </c>
      <c r="D3277">
        <v>5.4508890000000001</v>
      </c>
      <c r="E3277">
        <v>0.47804750000000001</v>
      </c>
      <c r="F3277" t="s">
        <v>42</v>
      </c>
      <c r="G3277">
        <v>-191.12719999999999</v>
      </c>
      <c r="H3277">
        <v>1.0409979999999901</v>
      </c>
      <c r="I3277">
        <v>177.0702</v>
      </c>
      <c r="J3277">
        <v>-191.15389999999999</v>
      </c>
      <c r="K3277">
        <v>1.1045069999999999</v>
      </c>
      <c r="L3277">
        <v>177.6602</v>
      </c>
      <c r="M3277">
        <v>5.5115669999999999E-2</v>
      </c>
      <c r="N3277">
        <v>0</v>
      </c>
      <c r="O3277">
        <v>-0.99841530000000001</v>
      </c>
      <c r="P3277">
        <v>-1.578485E-2</v>
      </c>
      <c r="Q3277">
        <v>-5.5451729999999996E-3</v>
      </c>
      <c r="R3277">
        <v>-0.99985999999999997</v>
      </c>
      <c r="S3277">
        <v>0.14640810000000001</v>
      </c>
      <c r="T3277">
        <v>-0.24737300000000001</v>
      </c>
      <c r="U3277">
        <v>-3.0013429999999999</v>
      </c>
      <c r="V3277">
        <v>7.0867150000000004E-2</v>
      </c>
      <c r="W3277">
        <v>5.8734709999999999E-3</v>
      </c>
      <c r="X3277">
        <v>0.99746849999999998</v>
      </c>
      <c r="Y3277">
        <v>6.56887599999999E-3</v>
      </c>
      <c r="Z3277">
        <v>8.1906160000000006E-2</v>
      </c>
      <c r="AA3277">
        <v>0.99661840000000002</v>
      </c>
      <c r="AB3277">
        <v>18</v>
      </c>
      <c r="AC3277">
        <v>2.6700000000005199E-2</v>
      </c>
      <c r="AD3277">
        <v>-6.3508999999999996E-2</v>
      </c>
      <c r="AE3277">
        <v>-0.59000000000000297</v>
      </c>
      <c r="AF3277">
        <v>5.7939388058728097E-3</v>
      </c>
      <c r="AG3277">
        <v>-6.3508999999999996E-2</v>
      </c>
      <c r="AH3277">
        <v>0.58382388138143104</v>
      </c>
      <c r="AI3277">
        <v>96.207982787843505</v>
      </c>
      <c r="AJ3277">
        <v>89.431408420846793</v>
      </c>
      <c r="AK3277">
        <v>0.58729659225911202</v>
      </c>
    </row>
    <row r="3278" spans="1:37" x14ac:dyDescent="0.2">
      <c r="A3278" t="str">
        <f>"20200111160222487"</f>
        <v>20200111160222487</v>
      </c>
      <c r="B3278" t="str">
        <f>"1578729742475365"</f>
        <v>1578729742475365</v>
      </c>
      <c r="C3278" t="s">
        <v>37</v>
      </c>
      <c r="D3278">
        <v>5.326225</v>
      </c>
      <c r="E3278">
        <v>0.47825820000000002</v>
      </c>
      <c r="F3278" t="s">
        <v>42</v>
      </c>
      <c r="G3278">
        <v>-191.11670000000001</v>
      </c>
      <c r="H3278">
        <v>1.042686</v>
      </c>
      <c r="I3278">
        <v>176.90389999999999</v>
      </c>
      <c r="J3278">
        <v>-191.1431</v>
      </c>
      <c r="K3278">
        <v>1.104463</v>
      </c>
      <c r="L3278">
        <v>177.4812</v>
      </c>
      <c r="M3278">
        <v>5.5875000000000001E-2</v>
      </c>
      <c r="N3278">
        <v>0</v>
      </c>
      <c r="O3278">
        <v>-0.99837690000000001</v>
      </c>
      <c r="P3278">
        <v>-1.5694650000000001E-2</v>
      </c>
      <c r="Q3278">
        <v>-5.2738339999999998E-3</v>
      </c>
      <c r="R3278">
        <v>-0.9998629</v>
      </c>
      <c r="S3278">
        <v>0.14813229999999999</v>
      </c>
      <c r="T3278">
        <v>-0.24543389999999901</v>
      </c>
      <c r="U3278">
        <v>-3.0014189999999998</v>
      </c>
      <c r="V3278">
        <v>7.1535650000000006E-2</v>
      </c>
      <c r="W3278">
        <v>5.7823969999999999E-3</v>
      </c>
      <c r="X3278">
        <v>0.99742129999999996</v>
      </c>
      <c r="Y3278">
        <v>6.7566600000000003E-3</v>
      </c>
      <c r="Z3278">
        <v>8.1259999999999999E-2</v>
      </c>
      <c r="AA3278">
        <v>0.99666999999999994</v>
      </c>
      <c r="AB3278">
        <v>18</v>
      </c>
      <c r="AC3278">
        <v>2.6399999999995299E-2</v>
      </c>
      <c r="AD3278">
        <v>-6.1776999999999901E-2</v>
      </c>
      <c r="AE3278">
        <v>-0.57730000000000803</v>
      </c>
      <c r="AF3278">
        <v>5.8331883789877904E-3</v>
      </c>
      <c r="AG3278">
        <v>-6.1776999999999901E-2</v>
      </c>
      <c r="AH3278">
        <v>0.57134428882099597</v>
      </c>
      <c r="AI3278">
        <v>96.170852152725004</v>
      </c>
      <c r="AJ3278">
        <v>89.415054162537501</v>
      </c>
      <c r="AK3278">
        <v>0.57470402833461498</v>
      </c>
    </row>
    <row r="3279" spans="1:37" x14ac:dyDescent="0.2">
      <c r="A3279" t="str">
        <f>"20200111160222511"</f>
        <v>20200111160222511</v>
      </c>
      <c r="B3279" t="str">
        <f>"1578729742505621"</f>
        <v>1578729742505621</v>
      </c>
      <c r="C3279" t="s">
        <v>37</v>
      </c>
      <c r="D3279">
        <v>6.1622680000000001</v>
      </c>
      <c r="E3279">
        <v>0.5127737</v>
      </c>
      <c r="F3279" t="s">
        <v>42</v>
      </c>
      <c r="G3279">
        <v>-191.1069</v>
      </c>
      <c r="H3279">
        <v>1.0434920000000001</v>
      </c>
      <c r="I3279">
        <v>176.73769999999999</v>
      </c>
      <c r="J3279">
        <v>-191.13149999999999</v>
      </c>
      <c r="K3279">
        <v>1.104406</v>
      </c>
      <c r="L3279">
        <v>177.29050000000001</v>
      </c>
      <c r="M3279">
        <v>5.6683829999999998E-2</v>
      </c>
      <c r="N3279">
        <v>0</v>
      </c>
      <c r="O3279">
        <v>-0.99833590000000005</v>
      </c>
      <c r="P3279">
        <v>-1.546764E-2</v>
      </c>
      <c r="Q3279">
        <v>-4.0724380000000003E-3</v>
      </c>
      <c r="R3279">
        <v>-0.99987209999999904</v>
      </c>
      <c r="S3279">
        <v>0.146835299999999</v>
      </c>
      <c r="T3279">
        <v>-0.24631829999999999</v>
      </c>
      <c r="U3279">
        <v>-3.0014189999999998</v>
      </c>
      <c r="V3279">
        <v>7.2116570000000005E-2</v>
      </c>
      <c r="W3279">
        <v>6.5753629999999999E-3</v>
      </c>
      <c r="X3279">
        <v>0.99737450000000005</v>
      </c>
      <c r="Y3279">
        <v>7.9973359999999903E-3</v>
      </c>
      <c r="Z3279">
        <v>8.1545790000000007E-2</v>
      </c>
      <c r="AA3279">
        <v>0.99663749999999995</v>
      </c>
      <c r="AB3279">
        <v>19</v>
      </c>
      <c r="AC3279">
        <v>2.4599999999992399E-2</v>
      </c>
      <c r="AD3279">
        <v>-6.0913999999999899E-2</v>
      </c>
      <c r="AE3279">
        <v>-0.55280000000001905</v>
      </c>
      <c r="AF3279">
        <v>6.6950072282201999E-3</v>
      </c>
      <c r="AG3279">
        <v>-6.0913999999999899E-2</v>
      </c>
      <c r="AH3279">
        <v>0.54668079683041904</v>
      </c>
      <c r="AI3279">
        <v>96.357493036712498</v>
      </c>
      <c r="AJ3279">
        <v>89.298353838910501</v>
      </c>
      <c r="AK3279">
        <v>0.55010474651735897</v>
      </c>
    </row>
    <row r="3280" spans="1:37" x14ac:dyDescent="0.2">
      <c r="A3280" t="str">
        <f>"20200111160222533"</f>
        <v>20200111160222533</v>
      </c>
      <c r="B3280" t="str">
        <f>"1578729742525140"</f>
        <v>1578729742525140</v>
      </c>
      <c r="C3280" t="s">
        <v>37</v>
      </c>
      <c r="D3280">
        <v>5.4516819999999999</v>
      </c>
      <c r="E3280">
        <v>0.51466350000000005</v>
      </c>
      <c r="F3280" t="s">
        <v>42</v>
      </c>
      <c r="G3280">
        <v>-191.1662</v>
      </c>
      <c r="H3280">
        <v>1.001706</v>
      </c>
      <c r="I3280">
        <v>176.42400000000001</v>
      </c>
      <c r="J3280">
        <v>-191.11940000000001</v>
      </c>
      <c r="K3280">
        <v>1.104349</v>
      </c>
      <c r="L3280">
        <v>177.09289999999999</v>
      </c>
      <c r="M3280">
        <v>5.7514089999999997E-2</v>
      </c>
      <c r="N3280">
        <v>0</v>
      </c>
      <c r="O3280">
        <v>-0.99829299999999999</v>
      </c>
      <c r="P3280">
        <v>-1.581246E-2</v>
      </c>
      <c r="Q3280">
        <v>-1.583994E-3</v>
      </c>
      <c r="R3280">
        <v>-0.99987369999999898</v>
      </c>
      <c r="S3280">
        <v>-0.1191406</v>
      </c>
      <c r="T3280">
        <v>-0.35544999999999999</v>
      </c>
      <c r="U3280">
        <v>-2.997131</v>
      </c>
      <c r="V3280">
        <v>7.3288279999999997E-2</v>
      </c>
      <c r="W3280">
        <v>8.6266569999999994E-3</v>
      </c>
      <c r="X3280">
        <v>0.99727350000000003</v>
      </c>
      <c r="Y3280">
        <v>9.6851160000000006E-2</v>
      </c>
      <c r="Z3280">
        <v>0.1171566</v>
      </c>
      <c r="AA3280">
        <v>0.98837960000000002</v>
      </c>
      <c r="AB3280">
        <v>19</v>
      </c>
      <c r="AC3280">
        <v>-4.6799999999990398E-2</v>
      </c>
      <c r="AD3280">
        <v>-0.102643</v>
      </c>
      <c r="AE3280">
        <v>-0.66889999999997896</v>
      </c>
      <c r="AF3280">
        <v>8.3245058218620396E-2</v>
      </c>
      <c r="AG3280">
        <v>-0.102643</v>
      </c>
      <c r="AH3280">
        <v>0.649872817814939</v>
      </c>
      <c r="AI3280">
        <v>98.903766025872699</v>
      </c>
      <c r="AJ3280">
        <v>82.700483128099293</v>
      </c>
      <c r="AK3280">
        <v>0.66317418865751299</v>
      </c>
    </row>
    <row r="3281" spans="1:37" x14ac:dyDescent="0.2">
      <c r="A3281" t="str">
        <f>"20200111160222554"</f>
        <v>20200111160222554</v>
      </c>
      <c r="B3281" t="str">
        <f>"1578729742545636"</f>
        <v>1578729742545636</v>
      </c>
      <c r="C3281" t="s">
        <v>37</v>
      </c>
      <c r="D3281">
        <v>5.30952</v>
      </c>
      <c r="E3281">
        <v>0.51975769999999999</v>
      </c>
      <c r="F3281" t="s">
        <v>77</v>
      </c>
      <c r="G3281">
        <v>-194.0033</v>
      </c>
      <c r="H3281" s="1">
        <v>-2.91411E-6</v>
      </c>
      <c r="I3281">
        <v>123.04089999999999</v>
      </c>
      <c r="J3281">
        <v>-191.10830000000001</v>
      </c>
      <c r="K3281">
        <v>1.1043019999999999</v>
      </c>
      <c r="L3281">
        <v>176.916</v>
      </c>
      <c r="M3281">
        <v>5.8248080000000001E-2</v>
      </c>
      <c r="N3281">
        <v>0</v>
      </c>
      <c r="O3281">
        <v>-0.99825409999999903</v>
      </c>
      <c r="P3281">
        <v>-1.7189179999999998E-2</v>
      </c>
      <c r="Q3281">
        <v>4.703199E-4</v>
      </c>
      <c r="R3281">
        <v>-0.99985210000000002</v>
      </c>
      <c r="S3281">
        <v>-0.15994259999999999</v>
      </c>
      <c r="T3281">
        <v>-6.124806E-2</v>
      </c>
      <c r="U3281">
        <v>-2.997757</v>
      </c>
      <c r="V3281">
        <v>7.5392989999999993E-2</v>
      </c>
      <c r="W3281">
        <v>1.0297890000000001E-2</v>
      </c>
      <c r="X3281">
        <v>0.99710069999999995</v>
      </c>
      <c r="Y3281">
        <v>0.111345</v>
      </c>
      <c r="Z3281">
        <v>2.0297039999999999E-2</v>
      </c>
      <c r="AA3281">
        <v>0.99357450000000003</v>
      </c>
      <c r="AB3281">
        <v>19</v>
      </c>
      <c r="AC3281">
        <v>-2.89499999999998</v>
      </c>
      <c r="AD3281">
        <v>-1.1043049141100001</v>
      </c>
      <c r="AE3281">
        <v>-53.875100000000003</v>
      </c>
      <c r="AF3281">
        <v>6.0258314111675402</v>
      </c>
      <c r="AG3281">
        <v>-1.1043049141100001</v>
      </c>
      <c r="AH3281">
        <v>53.592530579761203</v>
      </c>
      <c r="AI3281">
        <v>91.173055762480402</v>
      </c>
      <c r="AJ3281">
        <v>83.584727086022596</v>
      </c>
      <c r="AK3281">
        <v>53.941537496457897</v>
      </c>
    </row>
    <row r="3282" spans="1:37" x14ac:dyDescent="0.2">
      <c r="A3282" t="str">
        <f>"20200111160222576"</f>
        <v>20200111160222576</v>
      </c>
      <c r="B3282" t="str">
        <f>"1578729742565156"</f>
        <v>1578729742565156</v>
      </c>
      <c r="C3282" t="s">
        <v>37</v>
      </c>
      <c r="D3282">
        <v>5.3065480000000003</v>
      </c>
      <c r="E3282">
        <v>0.52083959999999996</v>
      </c>
      <c r="F3282" t="s">
        <v>42</v>
      </c>
      <c r="G3282">
        <v>-191.15819999999999</v>
      </c>
      <c r="H3282">
        <v>1.0065850000000001</v>
      </c>
      <c r="I3282">
        <v>176.08369999999999</v>
      </c>
      <c r="J3282">
        <v>-191.09690000000001</v>
      </c>
      <c r="K3282">
        <v>1.1042379999999901</v>
      </c>
      <c r="L3282">
        <v>176.73439999999999</v>
      </c>
      <c r="M3282">
        <v>5.8987789999999998E-2</v>
      </c>
      <c r="N3282">
        <v>0</v>
      </c>
      <c r="O3282">
        <v>-0.9982145</v>
      </c>
      <c r="P3282">
        <v>-1.9095649999999999E-2</v>
      </c>
      <c r="Q3282">
        <v>-1.2282669999999999E-3</v>
      </c>
      <c r="R3282">
        <v>-0.99981710000000001</v>
      </c>
      <c r="S3282">
        <v>-0.17893979999999901</v>
      </c>
      <c r="T3282">
        <v>-0.35215150000000001</v>
      </c>
      <c r="U3282">
        <v>-2.9975130000000001</v>
      </c>
      <c r="V3282">
        <v>7.8034679999999995E-2</v>
      </c>
      <c r="W3282">
        <v>8.2122989999999993E-3</v>
      </c>
      <c r="X3282">
        <v>0.99691679999999905</v>
      </c>
      <c r="Y3282">
        <v>0.1179684</v>
      </c>
      <c r="Z3282">
        <v>0.115864699999999</v>
      </c>
      <c r="AA3282">
        <v>0.98623470000000002</v>
      </c>
      <c r="AB3282">
        <v>19</v>
      </c>
      <c r="AC3282">
        <v>-6.1299999999988503E-2</v>
      </c>
      <c r="AD3282">
        <v>-9.7652999999999698E-2</v>
      </c>
      <c r="AE3282">
        <v>-0.65069999999999995</v>
      </c>
      <c r="AF3282">
        <v>9.7403852950829498E-2</v>
      </c>
      <c r="AG3282">
        <v>-9.7652999999999698E-2</v>
      </c>
      <c r="AH3282">
        <v>0.631845402103831</v>
      </c>
      <c r="AI3282">
        <v>98.684671049843502</v>
      </c>
      <c r="AJ3282">
        <v>81.236399314356902</v>
      </c>
      <c r="AK3282">
        <v>0.64672423113597599</v>
      </c>
    </row>
    <row r="3283" spans="1:37" x14ac:dyDescent="0.2">
      <c r="A3283" t="str">
        <f>"20200111160222600"</f>
        <v>20200111160222600</v>
      </c>
      <c r="B3283" t="str">
        <f>"1578729742595414"</f>
        <v>1578729742595414</v>
      </c>
      <c r="C3283" t="s">
        <v>37</v>
      </c>
      <c r="D3283">
        <v>5.2973460000000001</v>
      </c>
      <c r="E3283">
        <v>0.52041320000000002</v>
      </c>
      <c r="F3283" t="s">
        <v>42</v>
      </c>
      <c r="G3283">
        <v>-191.1497</v>
      </c>
      <c r="H3283">
        <v>1.0057700000000001</v>
      </c>
      <c r="I3283">
        <v>175.91409999999999</v>
      </c>
      <c r="J3283">
        <v>-191.0838</v>
      </c>
      <c r="K3283">
        <v>1.104155</v>
      </c>
      <c r="L3283">
        <v>176.52979999999999</v>
      </c>
      <c r="M3283">
        <v>5.9794409999999999E-2</v>
      </c>
      <c r="N3283">
        <v>0</v>
      </c>
      <c r="O3283">
        <v>-0.99817060000000002</v>
      </c>
      <c r="P3283">
        <v>-2.0247370000000001E-2</v>
      </c>
      <c r="Q3283">
        <v>-4.9773880000000001E-3</v>
      </c>
      <c r="R3283">
        <v>-0.99978259999999997</v>
      </c>
      <c r="S3283">
        <v>-0.19305420000000001</v>
      </c>
      <c r="T3283">
        <v>-0.35970489999999999</v>
      </c>
      <c r="U3283">
        <v>-2.9964140000000001</v>
      </c>
      <c r="V3283">
        <v>7.9991499999999993E-2</v>
      </c>
      <c r="W3283">
        <v>4.0138300000000003E-3</v>
      </c>
      <c r="X3283">
        <v>0.99678750000000005</v>
      </c>
      <c r="Y3283">
        <v>0.123399299999999</v>
      </c>
      <c r="Z3283">
        <v>0.1182928</v>
      </c>
      <c r="AA3283">
        <v>0.98528139999999997</v>
      </c>
      <c r="AB3283">
        <v>19</v>
      </c>
      <c r="AC3283">
        <v>-6.5899999999999098E-2</v>
      </c>
      <c r="AD3283">
        <v>-9.8384999999999903E-2</v>
      </c>
      <c r="AE3283">
        <v>-0.61570000000000302</v>
      </c>
      <c r="AF3283">
        <v>0.100072651744437</v>
      </c>
      <c r="AG3283">
        <v>-9.8384999999999903E-2</v>
      </c>
      <c r="AH3283">
        <v>0.595621279502067</v>
      </c>
      <c r="AI3283">
        <v>99.252061658930899</v>
      </c>
      <c r="AJ3283">
        <v>80.462589912512001</v>
      </c>
      <c r="AK3283">
        <v>0.61193043105229095</v>
      </c>
    </row>
    <row r="3284" spans="1:37" x14ac:dyDescent="0.2">
      <c r="A3284" t="str">
        <f>"20200111160222622"</f>
        <v>20200111160222622</v>
      </c>
      <c r="B3284" t="str">
        <f>"1578729742614933"</f>
        <v>1578729742614933</v>
      </c>
      <c r="C3284" t="s">
        <v>37</v>
      </c>
      <c r="D3284">
        <v>5.3469600000000002</v>
      </c>
      <c r="E3284">
        <v>0.52037449999999996</v>
      </c>
      <c r="F3284" t="s">
        <v>42</v>
      </c>
      <c r="G3284">
        <v>-191.13499999999999</v>
      </c>
      <c r="H3284">
        <v>1.0068239999999999</v>
      </c>
      <c r="I3284">
        <v>175.74299999999999</v>
      </c>
      <c r="J3284">
        <v>-191.0718</v>
      </c>
      <c r="K3284">
        <v>1.10408</v>
      </c>
      <c r="L3284">
        <v>176.3424</v>
      </c>
      <c r="M3284">
        <v>6.0498070000000001E-2</v>
      </c>
      <c r="N3284">
        <v>0</v>
      </c>
      <c r="O3284">
        <v>-0.99813220000000002</v>
      </c>
      <c r="P3284">
        <v>-2.2007639999999998E-2</v>
      </c>
      <c r="Q3284">
        <v>-7.54259599999999E-3</v>
      </c>
      <c r="R3284">
        <v>-0.99972969999999906</v>
      </c>
      <c r="S3284">
        <v>-0.19401550000000001</v>
      </c>
      <c r="T3284">
        <v>-0.37064150000000001</v>
      </c>
      <c r="U3284">
        <v>-2.9948730000000001</v>
      </c>
      <c r="V3284">
        <v>8.2450399999999993E-2</v>
      </c>
      <c r="W3284">
        <v>1.020256E-3</v>
      </c>
      <c r="X3284">
        <v>0.99659469999999994</v>
      </c>
      <c r="Y3284">
        <v>0.12441769999999901</v>
      </c>
      <c r="Z3284">
        <v>0.1218809</v>
      </c>
      <c r="AA3284">
        <v>0.98471580000000003</v>
      </c>
      <c r="AB3284">
        <v>19</v>
      </c>
      <c r="AC3284">
        <v>-6.3199999999994802E-2</v>
      </c>
      <c r="AD3284">
        <v>-9.7255999999999995E-2</v>
      </c>
      <c r="AE3284">
        <v>-0.59940000000000204</v>
      </c>
      <c r="AF3284">
        <v>9.68269563869181E-2</v>
      </c>
      <c r="AG3284">
        <v>-9.7255999999999995E-2</v>
      </c>
      <c r="AH3284">
        <v>0.57939251232892397</v>
      </c>
      <c r="AI3284">
        <v>99.400759232496</v>
      </c>
      <c r="AJ3284">
        <v>80.512515340150401</v>
      </c>
      <c r="AK3284">
        <v>0.595424111337437</v>
      </c>
    </row>
    <row r="3285" spans="1:37" x14ac:dyDescent="0.2">
      <c r="A3285" t="str">
        <f>"20200111160222645"</f>
        <v>20200111160222645</v>
      </c>
      <c r="B3285" t="str">
        <f>"1578729742635428"</f>
        <v>1578729742635428</v>
      </c>
      <c r="C3285" t="s">
        <v>37</v>
      </c>
      <c r="D3285">
        <v>6.1657120000000001</v>
      </c>
      <c r="E3285">
        <v>0.52050949999999996</v>
      </c>
      <c r="F3285" t="s">
        <v>42</v>
      </c>
      <c r="G3285">
        <v>-191.1233</v>
      </c>
      <c r="H3285">
        <v>1.006389</v>
      </c>
      <c r="I3285">
        <v>175.57130000000001</v>
      </c>
      <c r="J3285">
        <v>-191.05869999999999</v>
      </c>
      <c r="K3285">
        <v>1.1039939999999999</v>
      </c>
      <c r="L3285">
        <v>176.1405</v>
      </c>
      <c r="M3285">
        <v>6.1204439999999999E-2</v>
      </c>
      <c r="N3285">
        <v>0</v>
      </c>
      <c r="O3285">
        <v>-0.99809300000000001</v>
      </c>
      <c r="P3285">
        <v>-2.3949069999999999E-2</v>
      </c>
      <c r="Q3285">
        <v>-8.6957949999999992E-3</v>
      </c>
      <c r="R3285">
        <v>-0.9996758</v>
      </c>
      <c r="S3285">
        <v>-0.19966129999999899</v>
      </c>
      <c r="T3285">
        <v>-0.3793395</v>
      </c>
      <c r="U3285">
        <v>-2.9935610000000001</v>
      </c>
      <c r="V3285">
        <v>8.5091199999999895E-2</v>
      </c>
      <c r="W3285">
        <v>-6.0136309999999998E-4</v>
      </c>
      <c r="X3285">
        <v>0.99637299999999995</v>
      </c>
      <c r="Y3285">
        <v>0.12697249999999999</v>
      </c>
      <c r="Z3285">
        <v>0.1247142</v>
      </c>
      <c r="AA3285">
        <v>0.98403469999999904</v>
      </c>
      <c r="AB3285">
        <v>19</v>
      </c>
      <c r="AC3285">
        <v>-6.46000000000128E-2</v>
      </c>
      <c r="AD3285">
        <v>-9.7605000000000094E-2</v>
      </c>
      <c r="AE3285">
        <v>-0.56919999999999504</v>
      </c>
      <c r="AF3285">
        <v>9.6515663884012004E-2</v>
      </c>
      <c r="AG3285">
        <v>-9.7605000000000094E-2</v>
      </c>
      <c r="AH3285">
        <v>0.54826249723445997</v>
      </c>
      <c r="AI3285">
        <v>99.944592771059305</v>
      </c>
      <c r="AJ3285">
        <v>80.0159950033309</v>
      </c>
      <c r="AK3285">
        <v>0.56518472668123099</v>
      </c>
    </row>
    <row r="3286" spans="1:37" x14ac:dyDescent="0.2">
      <c r="A3286" t="str">
        <f>"20200111160222666"</f>
        <v>20200111160222666</v>
      </c>
      <c r="B3286" t="str">
        <f>"1578729742654948"</f>
        <v>1578729742654948</v>
      </c>
      <c r="C3286" t="s">
        <v>37</v>
      </c>
      <c r="D3286">
        <v>5.375203</v>
      </c>
      <c r="E3286">
        <v>0.50970749999999998</v>
      </c>
      <c r="F3286" t="s">
        <v>42</v>
      </c>
      <c r="G3286">
        <v>-191.1104</v>
      </c>
      <c r="H3286">
        <v>1.0090649999999901</v>
      </c>
      <c r="I3286">
        <v>175.39699999999999</v>
      </c>
      <c r="J3286">
        <v>-191.04660000000001</v>
      </c>
      <c r="K3286">
        <v>1.1039159999999999</v>
      </c>
      <c r="L3286">
        <v>175.95509999999999</v>
      </c>
      <c r="M3286">
        <v>6.1788830000000003E-2</v>
      </c>
      <c r="N3286">
        <v>0</v>
      </c>
      <c r="O3286">
        <v>-0.99806010000000001</v>
      </c>
      <c r="P3286">
        <v>-2.5066629999999999E-2</v>
      </c>
      <c r="Q3286">
        <v>-8.7606919999999901E-3</v>
      </c>
      <c r="R3286">
        <v>-0.99964759999999997</v>
      </c>
      <c r="S3286">
        <v>-0.2070313</v>
      </c>
      <c r="T3286">
        <v>-0.38224759999999902</v>
      </c>
      <c r="U3286">
        <v>-2.9926759999999999</v>
      </c>
      <c r="V3286">
        <v>8.6788340000000005E-2</v>
      </c>
      <c r="W3286">
        <v>-1.0841970000000001E-3</v>
      </c>
      <c r="X3286">
        <v>0.99622619999999895</v>
      </c>
      <c r="Y3286">
        <v>0.1299756</v>
      </c>
      <c r="Z3286">
        <v>0.1256497</v>
      </c>
      <c r="AA3286">
        <v>0.98352349999999999</v>
      </c>
      <c r="AB3286">
        <v>19</v>
      </c>
      <c r="AC3286">
        <v>-6.3799999999986298E-2</v>
      </c>
      <c r="AD3286">
        <v>-9.4851000000000005E-2</v>
      </c>
      <c r="AE3286">
        <v>-0.55809999999996696</v>
      </c>
      <c r="AF3286">
        <v>9.5442228438287396E-2</v>
      </c>
      <c r="AG3286">
        <v>-9.4851000000000005E-2</v>
      </c>
      <c r="AH3286">
        <v>0.53775895318622702</v>
      </c>
      <c r="AI3286">
        <v>99.8521767617016</v>
      </c>
      <c r="AJ3286">
        <v>79.935862090385996</v>
      </c>
      <c r="AK3286">
        <v>0.55433800420159995</v>
      </c>
    </row>
    <row r="3287" spans="1:37" x14ac:dyDescent="0.2">
      <c r="A3287" t="str">
        <f>"20200111160222689"</f>
        <v>20200111160222689</v>
      </c>
      <c r="B3287" t="str">
        <f>"1578729742685204"</f>
        <v>1578729742685204</v>
      </c>
      <c r="C3287" t="s">
        <v>37</v>
      </c>
      <c r="D3287">
        <v>5.3668670000000001</v>
      </c>
      <c r="E3287">
        <v>0.51122709999999905</v>
      </c>
      <c r="F3287" t="s">
        <v>38</v>
      </c>
      <c r="G3287">
        <v>-194.08879999999999</v>
      </c>
      <c r="H3287" s="1">
        <v>-3.5627389999999998E-6</v>
      </c>
      <c r="I3287">
        <v>115.3579</v>
      </c>
      <c r="J3287">
        <v>-191.0341</v>
      </c>
      <c r="K3287">
        <v>1.1038299999999901</v>
      </c>
      <c r="L3287">
        <v>175.76300000000001</v>
      </c>
      <c r="M3287">
        <v>6.2313599999999997E-2</v>
      </c>
      <c r="N3287">
        <v>0</v>
      </c>
      <c r="O3287">
        <v>-0.99803019999999998</v>
      </c>
      <c r="P3287">
        <v>-2.4768990000000001E-2</v>
      </c>
      <c r="Q3287">
        <v>-6.8887419999999998E-3</v>
      </c>
      <c r="R3287">
        <v>-0.99966969999999999</v>
      </c>
      <c r="S3287">
        <v>-0.15045169999999999</v>
      </c>
      <c r="T3287">
        <v>-5.4593919999999997E-2</v>
      </c>
      <c r="U3287">
        <v>-2.9968110000000001</v>
      </c>
      <c r="V3287">
        <v>8.7015289999999995E-2</v>
      </c>
      <c r="W3287">
        <v>3.8177220000000002E-4</v>
      </c>
      <c r="X3287">
        <v>0.99620689999999901</v>
      </c>
      <c r="Y3287">
        <v>0.11227189999999999</v>
      </c>
      <c r="Z3287">
        <v>1.8092219999999999E-2</v>
      </c>
      <c r="AA3287">
        <v>0.99351279999999997</v>
      </c>
      <c r="AB3287">
        <v>19</v>
      </c>
      <c r="AC3287">
        <v>-3.0546999999999902</v>
      </c>
      <c r="AD3287">
        <v>-1.1038335627389999</v>
      </c>
      <c r="AE3287">
        <v>-60.405099999999997</v>
      </c>
      <c r="AF3287">
        <v>6.8106532300314102</v>
      </c>
      <c r="AG3287">
        <v>-1.1038335627389999</v>
      </c>
      <c r="AH3287">
        <v>60.077338661095602</v>
      </c>
      <c r="AI3287">
        <v>91.045910192285703</v>
      </c>
      <c r="AJ3287">
        <v>83.532289984111699</v>
      </c>
      <c r="AK3287">
        <v>60.472225579632301</v>
      </c>
    </row>
    <row r="3288" spans="1:37" x14ac:dyDescent="0.2">
      <c r="A3288" t="str">
        <f>"20200111160222712"</f>
        <v>20200111160222712</v>
      </c>
      <c r="B3288" t="str">
        <f>"1578729742705701"</f>
        <v>1578729742705701</v>
      </c>
      <c r="C3288" t="s">
        <v>37</v>
      </c>
      <c r="D3288">
        <v>5.3656600000000001</v>
      </c>
      <c r="E3288">
        <v>0.51878789999999997</v>
      </c>
      <c r="F3288" t="s">
        <v>77</v>
      </c>
      <c r="G3288">
        <v>-192.82310000000001</v>
      </c>
      <c r="H3288" s="1">
        <v>-9.1057669999999999E-6</v>
      </c>
      <c r="I3288">
        <v>141.7808</v>
      </c>
      <c r="J3288">
        <v>-191.02080000000001</v>
      </c>
      <c r="K3288">
        <v>1.103737</v>
      </c>
      <c r="L3288">
        <v>175.55850000000001</v>
      </c>
      <c r="M3288">
        <v>6.275298E-2</v>
      </c>
      <c r="N3288">
        <v>0</v>
      </c>
      <c r="O3288">
        <v>-0.99800540000000004</v>
      </c>
      <c r="P3288">
        <v>-2.4778229999999998E-2</v>
      </c>
      <c r="Q3288">
        <v>-4.7179520000000001E-3</v>
      </c>
      <c r="R3288">
        <v>-0.99968179999999995</v>
      </c>
      <c r="S3288">
        <v>-0.15774540000000001</v>
      </c>
      <c r="T3288">
        <v>-9.7332600000000005E-2</v>
      </c>
      <c r="U3288">
        <v>-2.996429</v>
      </c>
      <c r="V3288">
        <v>8.7463040000000006E-2</v>
      </c>
      <c r="W3288">
        <v>2.1618029999999999E-3</v>
      </c>
      <c r="X3288">
        <v>0.99616539999999998</v>
      </c>
      <c r="Y3288">
        <v>0.11510819999999999</v>
      </c>
      <c r="Z3288">
        <v>3.2239509999999999E-2</v>
      </c>
      <c r="AA3288">
        <v>0.99282959999999998</v>
      </c>
      <c r="AB3288">
        <v>20</v>
      </c>
      <c r="AC3288">
        <v>-1.8023</v>
      </c>
      <c r="AD3288">
        <v>-1.1037461057669999</v>
      </c>
      <c r="AE3288">
        <v>-33.777700000000003</v>
      </c>
      <c r="AF3288">
        <v>3.9142814165984898</v>
      </c>
      <c r="AG3288">
        <v>-1.1037461057669999</v>
      </c>
      <c r="AH3288">
        <v>33.562286550504297</v>
      </c>
      <c r="AI3288">
        <v>91.870906846128506</v>
      </c>
      <c r="AJ3288">
        <v>83.347795917529396</v>
      </c>
      <c r="AK3288">
        <v>33.807793967848397</v>
      </c>
    </row>
    <row r="3289" spans="1:37" x14ac:dyDescent="0.2">
      <c r="A3289" t="str">
        <f>"20200111160222734"</f>
        <v>20200111160222734</v>
      </c>
      <c r="B3289" t="str">
        <f>"1578729742725220"</f>
        <v>1578729742725220</v>
      </c>
      <c r="C3289" t="s">
        <v>37</v>
      </c>
      <c r="D3289">
        <v>5.4098739999999896</v>
      </c>
      <c r="E3289">
        <v>0.51804689999999998</v>
      </c>
      <c r="F3289" t="s">
        <v>42</v>
      </c>
      <c r="G3289">
        <v>-191.07730000000001</v>
      </c>
      <c r="H3289">
        <v>0.99979419999999897</v>
      </c>
      <c r="I3289">
        <v>174.69630000000001</v>
      </c>
      <c r="J3289">
        <v>-191.00790000000001</v>
      </c>
      <c r="K3289">
        <v>1.1036360000000001</v>
      </c>
      <c r="L3289">
        <v>175.36019999999999</v>
      </c>
      <c r="M3289">
        <v>6.3054040000000006E-2</v>
      </c>
      <c r="N3289">
        <v>0</v>
      </c>
      <c r="O3289">
        <v>-0.99798889999999996</v>
      </c>
      <c r="P3289">
        <v>-2.595546E-2</v>
      </c>
      <c r="Q3289">
        <v>-3.1902139999999998E-3</v>
      </c>
      <c r="R3289">
        <v>-0.99965809999999999</v>
      </c>
      <c r="S3289">
        <v>-0.19560239999999901</v>
      </c>
      <c r="T3289">
        <v>-0.36111169999999998</v>
      </c>
      <c r="U3289">
        <v>-2.99437</v>
      </c>
      <c r="V3289">
        <v>8.8936890000000005E-2</v>
      </c>
      <c r="W3289">
        <v>3.3519840000000001E-3</v>
      </c>
      <c r="X3289">
        <v>0.99603159999999902</v>
      </c>
      <c r="Y3289">
        <v>0.12751189999999901</v>
      </c>
      <c r="Z3289">
        <v>0.1187583</v>
      </c>
      <c r="AA3289">
        <v>0.98470159999999995</v>
      </c>
      <c r="AB3289">
        <v>20</v>
      </c>
      <c r="AC3289">
        <v>-6.9400000000001599E-2</v>
      </c>
      <c r="AD3289">
        <v>-0.1038418</v>
      </c>
      <c r="AE3289">
        <v>-0.66389999999998395</v>
      </c>
      <c r="AF3289">
        <v>0.108498668903121</v>
      </c>
      <c r="AG3289">
        <v>-0.1038418</v>
      </c>
      <c r="AH3289">
        <v>0.642650537452231</v>
      </c>
      <c r="AI3289">
        <v>99.052779032662201</v>
      </c>
      <c r="AJ3289">
        <v>80.417122239001699</v>
      </c>
      <c r="AK3289">
        <v>0.65996575204220398</v>
      </c>
    </row>
    <row r="3290" spans="1:37" x14ac:dyDescent="0.2">
      <c r="A3290" t="str">
        <f>"20200111160222767"</f>
        <v>20200111160222767</v>
      </c>
      <c r="B3290" t="str">
        <f>"1578729742755477"</f>
        <v>1578729742755477</v>
      </c>
      <c r="C3290" t="s">
        <v>37</v>
      </c>
      <c r="D3290">
        <v>6.2321989999999996</v>
      </c>
      <c r="E3290">
        <v>0.55757800000000002</v>
      </c>
      <c r="F3290" t="s">
        <v>42</v>
      </c>
      <c r="G3290">
        <v>-191.0624</v>
      </c>
      <c r="H3290">
        <v>1.00369</v>
      </c>
      <c r="I3290">
        <v>174.51560000000001</v>
      </c>
      <c r="J3290">
        <v>-190.9889</v>
      </c>
      <c r="K3290">
        <v>1.1034949999999999</v>
      </c>
      <c r="L3290">
        <v>175.0658</v>
      </c>
      <c r="M3290">
        <v>6.3305169999999994E-2</v>
      </c>
      <c r="N3290">
        <v>0</v>
      </c>
      <c r="O3290">
        <v>-0.99797530000000001</v>
      </c>
      <c r="P3290">
        <v>-2.9050490000000002E-2</v>
      </c>
      <c r="Q3290">
        <v>-2.9548259999999998E-3</v>
      </c>
      <c r="R3290">
        <v>-0.99957379999999996</v>
      </c>
      <c r="S3290">
        <v>-0.1925964</v>
      </c>
      <c r="T3290">
        <v>-0.35449019999999998</v>
      </c>
      <c r="U3290">
        <v>-2.994888</v>
      </c>
      <c r="V3290">
        <v>9.2271679999999995E-2</v>
      </c>
      <c r="W3290">
        <v>3.156959E-3</v>
      </c>
      <c r="X3290">
        <v>0.99572890000000003</v>
      </c>
      <c r="Y3290">
        <v>0.1267826</v>
      </c>
      <c r="Z3290">
        <v>0.1165976</v>
      </c>
      <c r="AA3290">
        <v>0.98505390000000004</v>
      </c>
      <c r="AB3290">
        <v>20</v>
      </c>
      <c r="AC3290">
        <v>-7.3499999999995597E-2</v>
      </c>
      <c r="AD3290">
        <v>-9.9805000000000102E-2</v>
      </c>
      <c r="AE3290">
        <v>-0.55019999999998903</v>
      </c>
      <c r="AF3290">
        <v>0.104795869893787</v>
      </c>
      <c r="AG3290">
        <v>-9.9805000000000102E-2</v>
      </c>
      <c r="AH3290">
        <v>0.52739367177070395</v>
      </c>
      <c r="AI3290">
        <v>100.515177763897</v>
      </c>
      <c r="AJ3290">
        <v>78.761417992447093</v>
      </c>
      <c r="AK3290">
        <v>0.54688874316041702</v>
      </c>
    </row>
    <row r="3291" spans="1:37" x14ac:dyDescent="0.2">
      <c r="A3291" t="str">
        <f>"20200111160222790"</f>
        <v>20200111160222790</v>
      </c>
      <c r="B3291" t="str">
        <f>"1578729742785733"</f>
        <v>1578729742785733</v>
      </c>
      <c r="C3291" t="s">
        <v>37</v>
      </c>
      <c r="D3291">
        <v>5.3573589999999998</v>
      </c>
      <c r="E3291">
        <v>0.61455630000000006</v>
      </c>
      <c r="F3291" t="s">
        <v>77</v>
      </c>
      <c r="G3291">
        <v>-195.61279999999999</v>
      </c>
      <c r="H3291" s="1">
        <v>-1.16277E-5</v>
      </c>
      <c r="I3291">
        <v>149.3776</v>
      </c>
      <c r="J3291">
        <v>-190.9759</v>
      </c>
      <c r="K3291">
        <v>1.1033999999999999</v>
      </c>
      <c r="L3291">
        <v>174.8622</v>
      </c>
      <c r="M3291">
        <v>6.3324249999999999E-2</v>
      </c>
      <c r="N3291">
        <v>0</v>
      </c>
      <c r="O3291">
        <v>-0.99797559999999996</v>
      </c>
      <c r="P3291">
        <v>-3.1917420000000002E-2</v>
      </c>
      <c r="Q3291">
        <v>-3.9924770000000004E-3</v>
      </c>
      <c r="R3291">
        <v>-0.99948289999999995</v>
      </c>
      <c r="S3291">
        <v>-0.53735350000000004</v>
      </c>
      <c r="T3291">
        <v>-0.12824050000000001</v>
      </c>
      <c r="U3291">
        <v>-2.9852750000000001</v>
      </c>
      <c r="V3291">
        <v>9.5146369999999994E-2</v>
      </c>
      <c r="W3291">
        <v>1.8704559999999999E-3</v>
      </c>
      <c r="X3291">
        <v>0.9954615</v>
      </c>
      <c r="Y3291">
        <v>0.23896629999999999</v>
      </c>
      <c r="Z3291">
        <v>4.1831350000000003E-2</v>
      </c>
      <c r="AA3291">
        <v>0.97012640000000006</v>
      </c>
      <c r="AB3291">
        <v>20</v>
      </c>
      <c r="AC3291">
        <v>-4.63689999999999</v>
      </c>
      <c r="AD3291">
        <v>-1.1034116276999999</v>
      </c>
      <c r="AE3291">
        <v>-25.4846</v>
      </c>
      <c r="AF3291">
        <v>6.2301096609376403</v>
      </c>
      <c r="AG3291">
        <v>-1.1034116276999999</v>
      </c>
      <c r="AH3291">
        <v>25.094282013444101</v>
      </c>
      <c r="AI3291">
        <v>92.443621560914195</v>
      </c>
      <c r="AJ3291">
        <v>76.057188111059006</v>
      </c>
      <c r="AK3291">
        <v>25.879620812092998</v>
      </c>
    </row>
    <row r="3292" spans="1:37" x14ac:dyDescent="0.2">
      <c r="A3292" t="str">
        <f>"20200111160222812"</f>
        <v>20200111160222812</v>
      </c>
      <c r="B3292" t="str">
        <f>"1578729742805253"</f>
        <v>1578729742805253</v>
      </c>
      <c r="C3292" t="s">
        <v>37</v>
      </c>
      <c r="D3292">
        <v>5.5931980000000001</v>
      </c>
      <c r="E3292">
        <v>0.62031890000000001</v>
      </c>
      <c r="F3292" t="s">
        <v>38</v>
      </c>
      <c r="G3292">
        <v>-194.20830000000001</v>
      </c>
      <c r="H3292" s="1">
        <v>-3.727989E-6</v>
      </c>
      <c r="I3292">
        <v>165.10929999999999</v>
      </c>
      <c r="J3292">
        <v>-190.96260000000001</v>
      </c>
      <c r="K3292">
        <v>1.1032919999999999</v>
      </c>
      <c r="L3292">
        <v>174.65110000000001</v>
      </c>
      <c r="M3292">
        <v>6.313995E-2</v>
      </c>
      <c r="N3292">
        <v>0</v>
      </c>
      <c r="O3292">
        <v>-0.99798819999999999</v>
      </c>
      <c r="P3292">
        <v>-3.4178390000000003E-2</v>
      </c>
      <c r="Q3292">
        <v>-5.8759459999999999E-3</v>
      </c>
      <c r="R3292">
        <v>-0.99939840000000002</v>
      </c>
      <c r="S3292">
        <v>-0.98394780000000004</v>
      </c>
      <c r="T3292">
        <v>-0.33587659999999903</v>
      </c>
      <c r="U3292">
        <v>-2.9687809999999999</v>
      </c>
      <c r="V3292">
        <v>9.7213110000000005E-2</v>
      </c>
      <c r="W3292">
        <v>-2.2319559999999999E-4</v>
      </c>
      <c r="X3292">
        <v>0.99526360000000003</v>
      </c>
      <c r="Y3292">
        <v>0.37214589999999997</v>
      </c>
      <c r="Z3292">
        <v>0.10526050000000001</v>
      </c>
      <c r="AA3292">
        <v>0.92218630000000001</v>
      </c>
      <c r="AB3292">
        <v>20</v>
      </c>
      <c r="AC3292">
        <v>-3.2456999999999998</v>
      </c>
      <c r="AD3292">
        <v>-1.1032957279889899</v>
      </c>
      <c r="AE3292">
        <v>-9.5418000000000198</v>
      </c>
      <c r="AF3292">
        <v>3.7962114417335799</v>
      </c>
      <c r="AG3292">
        <v>-1.1032957279889899</v>
      </c>
      <c r="AH3292">
        <v>9.2074884068851297</v>
      </c>
      <c r="AI3292">
        <v>96.321432089217197</v>
      </c>
      <c r="AJ3292">
        <v>67.593837675282998</v>
      </c>
      <c r="AK3292">
        <v>10.0202956811</v>
      </c>
    </row>
    <row r="3293" spans="1:37" x14ac:dyDescent="0.2">
      <c r="A3293" t="str">
        <f>"20200111160222836"</f>
        <v>20200111160222836</v>
      </c>
      <c r="B3293" t="str">
        <f>"1578729742824775"</f>
        <v>1578729742824775</v>
      </c>
      <c r="C3293" t="s">
        <v>37</v>
      </c>
      <c r="D3293">
        <v>5.3208159999999998</v>
      </c>
      <c r="E3293">
        <v>0.62007000000000001</v>
      </c>
      <c r="F3293" t="s">
        <v>77</v>
      </c>
      <c r="G3293">
        <v>-196.57220000000001</v>
      </c>
      <c r="H3293" s="1">
        <v>-1.47702299999999E-5</v>
      </c>
      <c r="I3293">
        <v>158.79259999999999</v>
      </c>
      <c r="J3293">
        <v>-190.9494</v>
      </c>
      <c r="K3293">
        <v>1.103178</v>
      </c>
      <c r="L3293">
        <v>174.4365</v>
      </c>
      <c r="M3293">
        <v>6.2770870000000006E-2</v>
      </c>
      <c r="N3293">
        <v>0</v>
      </c>
      <c r="O3293">
        <v>-0.99801269999999997</v>
      </c>
      <c r="P3293">
        <v>-3.5473329999999997E-2</v>
      </c>
      <c r="Q3293">
        <v>-6.7012189999999996E-3</v>
      </c>
      <c r="R3293">
        <v>-0.99934849999999997</v>
      </c>
      <c r="S3293">
        <v>-1.048691</v>
      </c>
      <c r="T3293">
        <v>-0.20626</v>
      </c>
      <c r="U3293">
        <v>-2.9647060000000001</v>
      </c>
      <c r="V3293">
        <v>9.8133440000000002E-2</v>
      </c>
      <c r="W3293">
        <v>-1.2245310000000001E-3</v>
      </c>
      <c r="X3293">
        <v>0.99517250000000002</v>
      </c>
      <c r="Y3293">
        <v>0.39129759999999902</v>
      </c>
      <c r="Z3293">
        <v>6.4481819999999995E-2</v>
      </c>
      <c r="AA3293">
        <v>0.91800230000000005</v>
      </c>
      <c r="AB3293">
        <v>20</v>
      </c>
      <c r="AC3293">
        <v>-5.6228000000000096</v>
      </c>
      <c r="AD3293">
        <v>-1.10319277023</v>
      </c>
      <c r="AE3293">
        <v>-15.6439</v>
      </c>
      <c r="AF3293">
        <v>6.5647961127469596</v>
      </c>
      <c r="AG3293">
        <v>-1.10319277023</v>
      </c>
      <c r="AH3293">
        <v>15.193184525516299</v>
      </c>
      <c r="AI3293">
        <v>93.813403632239201</v>
      </c>
      <c r="AJ3293">
        <v>66.631395810107307</v>
      </c>
      <c r="AK3293">
        <v>16.5875386455198</v>
      </c>
    </row>
    <row r="3294" spans="1:37" x14ac:dyDescent="0.2">
      <c r="A3294" t="str">
        <f>"20200111160222856"</f>
        <v>20200111160222856</v>
      </c>
      <c r="B3294" t="str">
        <f>"1578729742845269"</f>
        <v>1578729742845269</v>
      </c>
      <c r="C3294" t="s">
        <v>37</v>
      </c>
      <c r="D3294">
        <v>5.3449849999999897</v>
      </c>
      <c r="E3294">
        <v>0.61945220000000001</v>
      </c>
      <c r="F3294" t="s">
        <v>38</v>
      </c>
      <c r="G3294">
        <v>-195.77770000000001</v>
      </c>
      <c r="H3294" s="1">
        <v>-2.1005859999999999E-6</v>
      </c>
      <c r="I3294">
        <v>160.78319999999999</v>
      </c>
      <c r="J3294">
        <v>-190.9374</v>
      </c>
      <c r="K3294">
        <v>1.1030690000000001</v>
      </c>
      <c r="L3294">
        <v>174.2397</v>
      </c>
      <c r="M3294">
        <v>6.2260900000000001E-2</v>
      </c>
      <c r="N3294">
        <v>0</v>
      </c>
      <c r="O3294">
        <v>-0.99804490000000001</v>
      </c>
      <c r="P3294">
        <v>-3.621241E-2</v>
      </c>
      <c r="Q3294">
        <v>-5.7907979999999998E-3</v>
      </c>
      <c r="R3294">
        <v>-0.99932749999999904</v>
      </c>
      <c r="S3294">
        <v>-1.047882</v>
      </c>
      <c r="T3294">
        <v>-0.2394212</v>
      </c>
      <c r="U3294">
        <v>-2.9631349999999999</v>
      </c>
      <c r="V3294">
        <v>9.836172E-2</v>
      </c>
      <c r="W3294">
        <v>-4.479617E-4</v>
      </c>
      <c r="X3294">
        <v>0.995150599999999</v>
      </c>
      <c r="Y3294">
        <v>0.39051439999999998</v>
      </c>
      <c r="Z3294">
        <v>7.4846800000000005E-2</v>
      </c>
      <c r="AA3294">
        <v>0.91754919999999995</v>
      </c>
      <c r="AB3294">
        <v>21</v>
      </c>
      <c r="AC3294">
        <v>-4.8403000000000098</v>
      </c>
      <c r="AD3294">
        <v>-1.1030711005860001</v>
      </c>
      <c r="AE3294">
        <v>-13.4565</v>
      </c>
      <c r="AF3294">
        <v>5.6352071787655298</v>
      </c>
      <c r="AG3294">
        <v>-1.1030711005860001</v>
      </c>
      <c r="AH3294">
        <v>13.051373573157001</v>
      </c>
      <c r="AI3294">
        <v>94.436905612870405</v>
      </c>
      <c r="AJ3294">
        <v>66.646704169724302</v>
      </c>
      <c r="AK3294">
        <v>14.258705339078301</v>
      </c>
    </row>
    <row r="3295" spans="1:37" x14ac:dyDescent="0.2">
      <c r="A3295" t="str">
        <f>"20200111160222879"</f>
        <v>20200111160222879</v>
      </c>
      <c r="B3295" t="str">
        <f>"1578729742875525"</f>
        <v>1578729742875525</v>
      </c>
      <c r="C3295" t="s">
        <v>37</v>
      </c>
      <c r="D3295">
        <v>5.3205369999999998</v>
      </c>
      <c r="E3295">
        <v>0.61961690000000003</v>
      </c>
      <c r="F3295" t="s">
        <v>38</v>
      </c>
      <c r="G3295">
        <v>-195.32589999999999</v>
      </c>
      <c r="H3295" s="1">
        <v>-2.4480379999999999E-6</v>
      </c>
      <c r="I3295">
        <v>161.77260000000001</v>
      </c>
      <c r="J3295">
        <v>-190.9255</v>
      </c>
      <c r="K3295">
        <v>1.1029370000000001</v>
      </c>
      <c r="L3295">
        <v>174.03649999999999</v>
      </c>
      <c r="M3295">
        <v>6.1534209999999999E-2</v>
      </c>
      <c r="N3295">
        <v>0</v>
      </c>
      <c r="O3295">
        <v>-0.99809040000000004</v>
      </c>
      <c r="P3295">
        <v>-3.67339E-2</v>
      </c>
      <c r="Q3295">
        <v>-6.8137719999999896E-3</v>
      </c>
      <c r="R3295">
        <v>-0.99930180000000002</v>
      </c>
      <c r="S3295">
        <v>-1.0428770000000001</v>
      </c>
      <c r="T3295">
        <v>-0.26213379999999997</v>
      </c>
      <c r="U3295">
        <v>-2.9626919999999899</v>
      </c>
      <c r="V3295">
        <v>9.8154480000000002E-2</v>
      </c>
      <c r="W3295">
        <v>-1.5790719999999999E-3</v>
      </c>
      <c r="X3295">
        <v>0.99516990000000005</v>
      </c>
      <c r="Y3295">
        <v>0.38832040000000001</v>
      </c>
      <c r="Z3295">
        <v>8.1976259999999995E-2</v>
      </c>
      <c r="AA3295">
        <v>0.91787099999999899</v>
      </c>
      <c r="AB3295">
        <v>21</v>
      </c>
      <c r="AC3295">
        <v>-4.4003999999999897</v>
      </c>
      <c r="AD3295">
        <v>-1.1029394480379999</v>
      </c>
      <c r="AE3295">
        <v>-12.2638999999999</v>
      </c>
      <c r="AF3295">
        <v>5.1101044599996204</v>
      </c>
      <c r="AG3295">
        <v>-1.1029394480379999</v>
      </c>
      <c r="AH3295">
        <v>11.884719076113701</v>
      </c>
      <c r="AI3295">
        <v>94.873039105428603</v>
      </c>
      <c r="AJ3295">
        <v>66.733616472662703</v>
      </c>
      <c r="AK3295">
        <v>12.983689403874701</v>
      </c>
    </row>
    <row r="3296" spans="1:37" x14ac:dyDescent="0.2">
      <c r="A3296" t="str">
        <f>"20200111160222902"</f>
        <v>20200111160222902</v>
      </c>
      <c r="B3296" t="str">
        <f>"1578729742895045"</f>
        <v>1578729742895045</v>
      </c>
      <c r="C3296" t="s">
        <v>37</v>
      </c>
      <c r="D3296">
        <v>5.386584</v>
      </c>
      <c r="E3296">
        <v>0.62021139999999997</v>
      </c>
      <c r="F3296" t="s">
        <v>38</v>
      </c>
      <c r="G3296">
        <v>-194.91900000000001</v>
      </c>
      <c r="H3296" s="1">
        <v>-2.7814109999999998E-6</v>
      </c>
      <c r="I3296">
        <v>162.70689999999999</v>
      </c>
      <c r="J3296">
        <v>-190.9128</v>
      </c>
      <c r="K3296">
        <v>1.1027709999999999</v>
      </c>
      <c r="L3296">
        <v>173.81479999999999</v>
      </c>
      <c r="M3296">
        <v>6.0487520000000003E-2</v>
      </c>
      <c r="N3296">
        <v>0</v>
      </c>
      <c r="O3296">
        <v>-0.99815469999999895</v>
      </c>
      <c r="P3296">
        <v>-3.7838030000000002E-2</v>
      </c>
      <c r="Q3296">
        <v>-9.2696280000000002E-3</v>
      </c>
      <c r="R3296">
        <v>-0.99924089999999999</v>
      </c>
      <c r="S3296">
        <v>-1.043976</v>
      </c>
      <c r="T3296">
        <v>-0.2883288</v>
      </c>
      <c r="U3296">
        <v>-2.9617770000000001</v>
      </c>
      <c r="V3296">
        <v>9.8204369999999999E-2</v>
      </c>
      <c r="W3296">
        <v>-4.1191759999999996E-3</v>
      </c>
      <c r="X3296">
        <v>0.99515769999999903</v>
      </c>
      <c r="Y3296">
        <v>0.38750970000000001</v>
      </c>
      <c r="Z3296">
        <v>9.0144379999999996E-2</v>
      </c>
      <c r="AA3296">
        <v>0.91744760000000003</v>
      </c>
      <c r="AB3296">
        <v>21</v>
      </c>
      <c r="AC3296">
        <v>-4.0061999999999998</v>
      </c>
      <c r="AD3296">
        <v>-1.1027737814109999</v>
      </c>
      <c r="AE3296">
        <v>-11.107900000000001</v>
      </c>
      <c r="AF3296">
        <v>4.6303783955051996</v>
      </c>
      <c r="AG3296">
        <v>-1.1027737814109999</v>
      </c>
      <c r="AH3296">
        <v>10.7514608457926</v>
      </c>
      <c r="AI3296">
        <v>95.381639450504196</v>
      </c>
      <c r="AJ3296">
        <v>66.699695082373495</v>
      </c>
      <c r="AK3296">
        <v>11.757994064343601</v>
      </c>
    </row>
    <row r="3297" spans="1:37" x14ac:dyDescent="0.2">
      <c r="A3297" t="str">
        <f>"20200111160222923"</f>
        <v>20200111160222923</v>
      </c>
      <c r="B3297" t="str">
        <f>"1578729742915541"</f>
        <v>1578729742915541</v>
      </c>
      <c r="C3297" t="s">
        <v>37</v>
      </c>
      <c r="D3297">
        <v>5.3544229999999997</v>
      </c>
      <c r="E3297">
        <v>0.620571599999999</v>
      </c>
      <c r="F3297" t="s">
        <v>38</v>
      </c>
      <c r="G3297">
        <v>-194.71</v>
      </c>
      <c r="H3297" s="1">
        <v>-2.9231680000000002E-6</v>
      </c>
      <c r="I3297">
        <v>163.12440000000001</v>
      </c>
      <c r="J3297">
        <v>-190.90199999999999</v>
      </c>
      <c r="K3297">
        <v>1.102614</v>
      </c>
      <c r="L3297">
        <v>173.61680000000001</v>
      </c>
      <c r="M3297">
        <v>5.9312499999999997E-2</v>
      </c>
      <c r="N3297">
        <v>0</v>
      </c>
      <c r="O3297">
        <v>-0.99822549999999899</v>
      </c>
      <c r="P3297">
        <v>-4.048086E-2</v>
      </c>
      <c r="Q3297">
        <v>-1.127509E-2</v>
      </c>
      <c r="R3297">
        <v>-0.99911709999999998</v>
      </c>
      <c r="S3297">
        <v>-1.051239</v>
      </c>
      <c r="T3297">
        <v>-0.3053033</v>
      </c>
      <c r="U3297">
        <v>-2.959641</v>
      </c>
      <c r="V3297">
        <v>9.9657910000000002E-2</v>
      </c>
      <c r="W3297">
        <v>-6.1737229999999999E-3</v>
      </c>
      <c r="X3297">
        <v>0.99500259999999996</v>
      </c>
      <c r="Y3297">
        <v>0.38846770000000003</v>
      </c>
      <c r="Z3297">
        <v>9.5417169999999996E-2</v>
      </c>
      <c r="AA3297">
        <v>0.91650889999999996</v>
      </c>
      <c r="AB3297">
        <v>21</v>
      </c>
      <c r="AC3297">
        <v>-3.8079999999999901</v>
      </c>
      <c r="AD3297">
        <v>-1.1026169231680001</v>
      </c>
      <c r="AE3297">
        <v>-10.4924</v>
      </c>
      <c r="AF3297">
        <v>4.3808860861673802</v>
      </c>
      <c r="AG3297">
        <v>-1.1026169231680001</v>
      </c>
      <c r="AH3297">
        <v>10.1490277152337</v>
      </c>
      <c r="AI3297">
        <v>95.696217327820904</v>
      </c>
      <c r="AJ3297">
        <v>66.652280013480507</v>
      </c>
      <c r="AK3297">
        <v>11.109036436334801</v>
      </c>
    </row>
    <row r="3298" spans="1:37" x14ac:dyDescent="0.2">
      <c r="A3298" t="str">
        <f>"20200111160222945"</f>
        <v>20200111160222945</v>
      </c>
      <c r="B3298" t="str">
        <f>"1578729742935060"</f>
        <v>1578729742935060</v>
      </c>
      <c r="C3298" t="s">
        <v>37</v>
      </c>
      <c r="D3298">
        <v>5.3521080000000003</v>
      </c>
      <c r="E3298">
        <v>0.62110580000000004</v>
      </c>
      <c r="F3298" t="s">
        <v>38</v>
      </c>
      <c r="G3298">
        <v>-194.6147</v>
      </c>
      <c r="H3298" s="1">
        <v>-2.9706099999999998E-6</v>
      </c>
      <c r="I3298">
        <v>163.2784</v>
      </c>
      <c r="J3298">
        <v>-190.89099999999999</v>
      </c>
      <c r="K3298">
        <v>1.102436</v>
      </c>
      <c r="L3298">
        <v>173.40440000000001</v>
      </c>
      <c r="M3298">
        <v>5.7793659999999997E-2</v>
      </c>
      <c r="N3298">
        <v>0</v>
      </c>
      <c r="O3298">
        <v>-0.99831440000000005</v>
      </c>
      <c r="P3298">
        <v>-4.5382949999999998E-2</v>
      </c>
      <c r="Q3298">
        <v>-1.303668E-2</v>
      </c>
      <c r="R3298">
        <v>-0.99888500000000002</v>
      </c>
      <c r="S3298">
        <v>-1.0615540000000001</v>
      </c>
      <c r="T3298">
        <v>-0.31527359999999999</v>
      </c>
      <c r="U3298">
        <v>-2.95607</v>
      </c>
      <c r="V3298">
        <v>0.1030175</v>
      </c>
      <c r="W3298">
        <v>-7.9609769999999993E-3</v>
      </c>
      <c r="X3298">
        <v>0.99464769999999902</v>
      </c>
      <c r="Y3298">
        <v>0.39014779999999999</v>
      </c>
      <c r="Z3298">
        <v>9.8533270000000006E-2</v>
      </c>
      <c r="AA3298">
        <v>0.91546489999999903</v>
      </c>
      <c r="AB3298">
        <v>21</v>
      </c>
      <c r="AC3298">
        <v>-3.7237</v>
      </c>
      <c r="AD3298">
        <v>-1.10243897061</v>
      </c>
      <c r="AE3298">
        <v>-10.125999999999999</v>
      </c>
      <c r="AF3298">
        <v>4.2582416679494601</v>
      </c>
      <c r="AG3298">
        <v>-1.10243897061</v>
      </c>
      <c r="AH3298">
        <v>9.7916290158560901</v>
      </c>
      <c r="AI3298">
        <v>95.894842179526094</v>
      </c>
      <c r="AJ3298">
        <v>66.496455906348103</v>
      </c>
      <c r="AK3298">
        <v>10.7342439217084</v>
      </c>
    </row>
    <row r="3299" spans="1:37" x14ac:dyDescent="0.2">
      <c r="A3299" t="str">
        <f>"20200111160222967"</f>
        <v>20200111160222967</v>
      </c>
      <c r="B3299" t="str">
        <f>"1578729742955557"</f>
        <v>1578729742955557</v>
      </c>
      <c r="C3299" t="s">
        <v>37</v>
      </c>
      <c r="D3299">
        <v>5.3555400000000004</v>
      </c>
      <c r="E3299">
        <v>0.62158639999999998</v>
      </c>
      <c r="F3299" t="s">
        <v>38</v>
      </c>
      <c r="G3299">
        <v>-194.52950000000001</v>
      </c>
      <c r="H3299" s="1">
        <v>-3.0359699999999998E-6</v>
      </c>
      <c r="I3299">
        <v>163.46459999999999</v>
      </c>
      <c r="J3299">
        <v>-190.8809</v>
      </c>
      <c r="K3299">
        <v>1.1022780000000001</v>
      </c>
      <c r="L3299">
        <v>173.19820000000001</v>
      </c>
      <c r="M3299">
        <v>5.6047010000000001E-2</v>
      </c>
      <c r="N3299">
        <v>0</v>
      </c>
      <c r="O3299">
        <v>-0.9984132</v>
      </c>
      <c r="P3299">
        <v>-5.0113249999999998E-2</v>
      </c>
      <c r="Q3299">
        <v>-1.34218999999999E-2</v>
      </c>
      <c r="R3299">
        <v>-0.99865329999999997</v>
      </c>
      <c r="S3299">
        <v>-1.0798649999999901</v>
      </c>
      <c r="T3299">
        <v>-0.32718999999999998</v>
      </c>
      <c r="U3299">
        <v>-2.9500120000000001</v>
      </c>
      <c r="V3299">
        <v>0.1059828</v>
      </c>
      <c r="W3299">
        <v>-8.3177930000000004E-3</v>
      </c>
      <c r="X3299">
        <v>0.99433309999999997</v>
      </c>
      <c r="Y3299">
        <v>0.39402389999999998</v>
      </c>
      <c r="Z3299">
        <v>0.1022348</v>
      </c>
      <c r="AA3299">
        <v>0.91339649999999994</v>
      </c>
      <c r="AB3299">
        <v>21</v>
      </c>
      <c r="AC3299">
        <v>-3.6486000000000098</v>
      </c>
      <c r="AD3299">
        <v>-1.1022810359699999</v>
      </c>
      <c r="AE3299">
        <v>-9.7336000000000205</v>
      </c>
      <c r="AF3299">
        <v>4.1418392504164796</v>
      </c>
      <c r="AG3299">
        <v>-1.1022810359699999</v>
      </c>
      <c r="AH3299">
        <v>9.40801533096651</v>
      </c>
      <c r="AI3299">
        <v>96.120569131451305</v>
      </c>
      <c r="AJ3299">
        <v>66.238707488138104</v>
      </c>
      <c r="AK3299">
        <v>10.3383078076758</v>
      </c>
    </row>
    <row r="3300" spans="1:37" x14ac:dyDescent="0.2">
      <c r="A3300" t="str">
        <f>"20200111160222991"</f>
        <v>20200111160222991</v>
      </c>
      <c r="B3300" t="str">
        <f>"1578729742984837"</f>
        <v>1578729742984837</v>
      </c>
      <c r="C3300" t="s">
        <v>37</v>
      </c>
      <c r="D3300">
        <v>5.6181469999999996</v>
      </c>
      <c r="E3300">
        <v>0.62184410000000001</v>
      </c>
      <c r="F3300" t="s">
        <v>38</v>
      </c>
      <c r="G3300">
        <v>-194.5153</v>
      </c>
      <c r="H3300" s="1">
        <v>-3.0224309999999999E-6</v>
      </c>
      <c r="I3300">
        <v>163.44399999999999</v>
      </c>
      <c r="J3300">
        <v>-190.8707</v>
      </c>
      <c r="K3300">
        <v>1.1021259999999999</v>
      </c>
      <c r="L3300">
        <v>172.97450000000001</v>
      </c>
      <c r="M3300">
        <v>5.3839779999999997E-2</v>
      </c>
      <c r="N3300">
        <v>0</v>
      </c>
      <c r="O3300">
        <v>-0.99853349999999996</v>
      </c>
      <c r="P3300">
        <v>-5.505297E-2</v>
      </c>
      <c r="Q3300">
        <v>-1.339007E-2</v>
      </c>
      <c r="R3300">
        <v>-0.99839349999999905</v>
      </c>
      <c r="S3300">
        <v>-1.0971219999999999</v>
      </c>
      <c r="T3300">
        <v>-0.33274599999999999</v>
      </c>
      <c r="U3300">
        <v>-2.9445039999999998</v>
      </c>
      <c r="V3300">
        <v>0.1087</v>
      </c>
      <c r="W3300">
        <v>-8.1444919999999997E-3</v>
      </c>
      <c r="X3300">
        <v>0.99404130000000002</v>
      </c>
      <c r="Y3300">
        <v>0.39718969999999998</v>
      </c>
      <c r="Z3300">
        <v>0.1039755</v>
      </c>
      <c r="AA3300">
        <v>0.91182750000000001</v>
      </c>
      <c r="AB3300">
        <v>21</v>
      </c>
      <c r="AC3300">
        <v>-3.6445999999999898</v>
      </c>
      <c r="AD3300">
        <v>-1.1021290224310001</v>
      </c>
      <c r="AE3300">
        <v>-9.5305000000000106</v>
      </c>
      <c r="AF3300">
        <v>4.1045542559636399</v>
      </c>
      <c r="AG3300">
        <v>-1.1021290224310001</v>
      </c>
      <c r="AH3300">
        <v>9.2129615386311503</v>
      </c>
      <c r="AI3300">
        <v>96.2361895341527</v>
      </c>
      <c r="AJ3300">
        <v>65.986094362702303</v>
      </c>
      <c r="AK3300">
        <v>10.1459703495787</v>
      </c>
    </row>
    <row r="3301" spans="1:37" x14ac:dyDescent="0.2">
      <c r="A3301" t="str">
        <f>"20200111160223013"</f>
        <v>20200111160223013</v>
      </c>
      <c r="B3301" t="str">
        <f>"1578729743005332"</f>
        <v>1578729743005332</v>
      </c>
      <c r="C3301" t="s">
        <v>37</v>
      </c>
      <c r="D3301">
        <v>5.3687899999999997</v>
      </c>
      <c r="E3301">
        <v>0.62196960000000001</v>
      </c>
      <c r="F3301" t="s">
        <v>38</v>
      </c>
      <c r="G3301">
        <v>-194.52979999999999</v>
      </c>
      <c r="H3301" s="1">
        <v>-2.9674339999999998E-6</v>
      </c>
      <c r="I3301">
        <v>163.31950000000001</v>
      </c>
      <c r="J3301">
        <v>-190.86160000000001</v>
      </c>
      <c r="K3301">
        <v>1.102015</v>
      </c>
      <c r="L3301">
        <v>172.75659999999999</v>
      </c>
      <c r="M3301">
        <v>5.1385170000000001E-2</v>
      </c>
      <c r="N3301">
        <v>0</v>
      </c>
      <c r="O3301">
        <v>-0.99866089999999996</v>
      </c>
      <c r="P3301">
        <v>-6.0094210000000002E-2</v>
      </c>
      <c r="Q3301">
        <v>-1.2392510000000001E-2</v>
      </c>
      <c r="R3301">
        <v>-0.9981158</v>
      </c>
      <c r="S3301">
        <v>-1.1137999999999999</v>
      </c>
      <c r="T3301">
        <v>-0.33548129999999998</v>
      </c>
      <c r="U3301">
        <v>-2.9389189999999998</v>
      </c>
      <c r="V3301">
        <v>0.11127819999999999</v>
      </c>
      <c r="W3301">
        <v>-6.8542029999999997E-3</v>
      </c>
      <c r="X3301">
        <v>0.99376569999999997</v>
      </c>
      <c r="Y3301">
        <v>0.40000140000000001</v>
      </c>
      <c r="Z3301">
        <v>0.10485849999999999</v>
      </c>
      <c r="AA3301">
        <v>0.91049639999999998</v>
      </c>
      <c r="AB3301">
        <v>21</v>
      </c>
      <c r="AC3301">
        <v>-3.6681999999999801</v>
      </c>
      <c r="AD3301">
        <v>-1.1020179674339901</v>
      </c>
      <c r="AE3301">
        <v>-9.4370999999999796</v>
      </c>
      <c r="AF3301">
        <v>4.0997219545925097</v>
      </c>
      <c r="AG3301">
        <v>-1.1020179674339901</v>
      </c>
      <c r="AH3301">
        <v>9.1280024896285301</v>
      </c>
      <c r="AI3301">
        <v>96.284728718364406</v>
      </c>
      <c r="AJ3301">
        <v>65.813396385377303</v>
      </c>
      <c r="AK3301">
        <v>10.066905838249401</v>
      </c>
    </row>
    <row r="3302" spans="1:37" x14ac:dyDescent="0.2">
      <c r="A3302" t="str">
        <f>"20200111160223035"</f>
        <v>20200111160223035</v>
      </c>
      <c r="B3302" t="str">
        <f>"1578729743024870"</f>
        <v>1578729743024870</v>
      </c>
      <c r="C3302" t="s">
        <v>37</v>
      </c>
      <c r="D3302">
        <v>5.3731059999999999</v>
      </c>
      <c r="E3302">
        <v>0.62207789999999996</v>
      </c>
      <c r="F3302" t="s">
        <v>38</v>
      </c>
      <c r="G3302">
        <v>-194.5719</v>
      </c>
      <c r="H3302" s="1">
        <v>-2.8840479999999999E-6</v>
      </c>
      <c r="I3302">
        <v>163.11940000000001</v>
      </c>
      <c r="J3302">
        <v>-190.8537</v>
      </c>
      <c r="K3302">
        <v>1.101945</v>
      </c>
      <c r="L3302">
        <v>172.54689999999999</v>
      </c>
      <c r="M3302">
        <v>4.8793830000000003E-2</v>
      </c>
      <c r="N3302">
        <v>0</v>
      </c>
      <c r="O3302">
        <v>-0.99878840000000002</v>
      </c>
      <c r="P3302">
        <v>-6.5475950000000005E-2</v>
      </c>
      <c r="Q3302">
        <v>-1.1517950000000001E-2</v>
      </c>
      <c r="R3302">
        <v>-0.99778820000000001</v>
      </c>
      <c r="S3302">
        <v>-1.129364</v>
      </c>
      <c r="T3302">
        <v>-0.33544590000000002</v>
      </c>
      <c r="U3302">
        <v>-2.9335019999999998</v>
      </c>
      <c r="V3302">
        <v>0.11406179999999901</v>
      </c>
      <c r="W3302">
        <v>-5.6060619999999898E-3</v>
      </c>
      <c r="X3302">
        <v>0.9934579</v>
      </c>
      <c r="Y3302">
        <v>0.40239530000000001</v>
      </c>
      <c r="Z3302">
        <v>0.1048954</v>
      </c>
      <c r="AA3302">
        <v>0.90943660000000004</v>
      </c>
      <c r="AB3302">
        <v>21</v>
      </c>
      <c r="AC3302">
        <v>-3.7181999999999902</v>
      </c>
      <c r="AD3302">
        <v>-1.1019478840479999</v>
      </c>
      <c r="AE3302">
        <v>-9.4274999999999807</v>
      </c>
      <c r="AF3302">
        <v>4.1250127990809702</v>
      </c>
      <c r="AG3302">
        <v>-1.1019478840479999</v>
      </c>
      <c r="AH3302">
        <v>9.1269305006899408</v>
      </c>
      <c r="AI3302">
        <v>96.278474187038796</v>
      </c>
      <c r="AJ3302">
        <v>65.678907089287705</v>
      </c>
      <c r="AK3302">
        <v>10.0762532766978</v>
      </c>
    </row>
    <row r="3303" spans="1:37" x14ac:dyDescent="0.2">
      <c r="A3303" t="str">
        <f>"20200111160223057"</f>
        <v>20200111160223057</v>
      </c>
      <c r="B3303" t="str">
        <f>"1578729743045349"</f>
        <v>1578729743045349</v>
      </c>
      <c r="C3303" t="s">
        <v>37</v>
      </c>
      <c r="D3303">
        <v>6.2063449999999998</v>
      </c>
      <c r="E3303">
        <v>0.62206479999999997</v>
      </c>
      <c r="F3303" t="s">
        <v>38</v>
      </c>
      <c r="G3303">
        <v>-194.6037</v>
      </c>
      <c r="H3303" s="1">
        <v>-2.818064E-6</v>
      </c>
      <c r="I3303">
        <v>162.96180000000001</v>
      </c>
      <c r="J3303">
        <v>-190.8468</v>
      </c>
      <c r="K3303">
        <v>1.1019209999999999</v>
      </c>
      <c r="L3303">
        <v>172.34270000000001</v>
      </c>
      <c r="M3303">
        <v>4.6071819999999999E-2</v>
      </c>
      <c r="N3303">
        <v>0</v>
      </c>
      <c r="O3303">
        <v>-0.99891390000000002</v>
      </c>
      <c r="P3303">
        <v>-7.0062250000000006E-2</v>
      </c>
      <c r="Q3303">
        <v>-1.0716089999999999E-2</v>
      </c>
      <c r="R3303">
        <v>-0.99748530000000002</v>
      </c>
      <c r="S3303">
        <v>-1.145386</v>
      </c>
      <c r="T3303">
        <v>-0.33657490000000001</v>
      </c>
      <c r="U3303">
        <v>-2.9276119999999999</v>
      </c>
      <c r="V3303">
        <v>0.1159263</v>
      </c>
      <c r="W3303">
        <v>-4.3291450000000004E-3</v>
      </c>
      <c r="X3303">
        <v>0.99324840000000003</v>
      </c>
      <c r="Y3303">
        <v>0.40482420000000002</v>
      </c>
      <c r="Z3303">
        <v>0.1053023</v>
      </c>
      <c r="AA3303">
        <v>0.90831090000000003</v>
      </c>
      <c r="AB3303">
        <v>21</v>
      </c>
      <c r="AC3303">
        <v>-3.7568999999999999</v>
      </c>
      <c r="AD3303">
        <v>-1.1019238180640001</v>
      </c>
      <c r="AE3303">
        <v>-9.3808999999999898</v>
      </c>
      <c r="AF3303">
        <v>4.1359364657518602</v>
      </c>
      <c r="AG3303">
        <v>-1.1019238180640001</v>
      </c>
      <c r="AH3303">
        <v>9.0897622534823892</v>
      </c>
      <c r="AI3303">
        <v>96.296635036868594</v>
      </c>
      <c r="AJ3303">
        <v>65.533970659699705</v>
      </c>
      <c r="AK3303">
        <v>10.047088353069499</v>
      </c>
    </row>
    <row r="3304" spans="1:37" x14ac:dyDescent="0.2">
      <c r="A3304" t="str">
        <f>"20200111160223081"</f>
        <v>20200111160223081</v>
      </c>
      <c r="B3304" t="str">
        <f>"1578729743075605"</f>
        <v>1578729743075605</v>
      </c>
      <c r="C3304" t="s">
        <v>37</v>
      </c>
      <c r="D3304">
        <v>5.3258779999999897</v>
      </c>
      <c r="E3304">
        <v>0.62241179999999996</v>
      </c>
      <c r="F3304" t="s">
        <v>38</v>
      </c>
      <c r="G3304">
        <v>-194.63229999999999</v>
      </c>
      <c r="H3304" s="1">
        <v>-2.744225E-6</v>
      </c>
      <c r="I3304">
        <v>162.7895</v>
      </c>
      <c r="J3304">
        <v>-190.8399</v>
      </c>
      <c r="K3304">
        <v>1.101931</v>
      </c>
      <c r="L3304">
        <v>172.10980000000001</v>
      </c>
      <c r="M3304">
        <v>4.2726430000000003E-2</v>
      </c>
      <c r="N3304">
        <v>0</v>
      </c>
      <c r="O3304">
        <v>-0.99905739999999998</v>
      </c>
      <c r="P3304">
        <v>-7.5061530000000001E-2</v>
      </c>
      <c r="Q3304">
        <v>-1.0956850000000001E-2</v>
      </c>
      <c r="R3304">
        <v>-0.99711909999999904</v>
      </c>
      <c r="S3304">
        <v>-1.158096</v>
      </c>
      <c r="T3304">
        <v>-0.33711029999999997</v>
      </c>
      <c r="U3304">
        <v>-2.9225919999999999</v>
      </c>
      <c r="V3304">
        <v>0.117579999999999</v>
      </c>
      <c r="W3304">
        <v>-3.9016540000000001E-3</v>
      </c>
      <c r="X3304">
        <v>0.99305580000000004</v>
      </c>
      <c r="Y3304">
        <v>0.40570479999999998</v>
      </c>
      <c r="Z3304">
        <v>0.105557399999999</v>
      </c>
      <c r="AA3304">
        <v>0.90788840000000004</v>
      </c>
      <c r="AB3304">
        <v>21</v>
      </c>
      <c r="AC3304">
        <v>-3.7923999999999798</v>
      </c>
      <c r="AD3304">
        <v>-1.1019337442249999</v>
      </c>
      <c r="AE3304">
        <v>-9.3202999999999996</v>
      </c>
      <c r="AF3304">
        <v>4.1375513068386898</v>
      </c>
      <c r="AG3304">
        <v>-1.1019337442249999</v>
      </c>
      <c r="AH3304">
        <v>9.0413185605986204</v>
      </c>
      <c r="AI3304">
        <v>96.323954251691404</v>
      </c>
      <c r="AJ3304">
        <v>65.409889408630093</v>
      </c>
      <c r="AK3304">
        <v>10.003950724969</v>
      </c>
    </row>
    <row r="3305" spans="1:37" x14ac:dyDescent="0.2">
      <c r="A3305" t="str">
        <f>"20200111160223102"</f>
        <v>20200111160223102</v>
      </c>
      <c r="B3305" t="str">
        <f>"1578729743095634"</f>
        <v>1578729743095634</v>
      </c>
      <c r="C3305" t="s">
        <v>37</v>
      </c>
      <c r="D3305">
        <v>5.3191800000000002</v>
      </c>
      <c r="E3305">
        <v>0.62281200000000003</v>
      </c>
      <c r="F3305" t="s">
        <v>38</v>
      </c>
      <c r="G3305">
        <v>-194.29669999999999</v>
      </c>
      <c r="H3305" s="1">
        <v>-2.9936649999999999E-6</v>
      </c>
      <c r="I3305">
        <v>163.5061</v>
      </c>
      <c r="J3305">
        <v>-190.83449999999999</v>
      </c>
      <c r="K3305">
        <v>1.101926</v>
      </c>
      <c r="L3305">
        <v>171.9008</v>
      </c>
      <c r="M3305">
        <v>3.9506270000000003E-2</v>
      </c>
      <c r="N3305">
        <v>0</v>
      </c>
      <c r="O3305">
        <v>-0.99918469999999904</v>
      </c>
      <c r="P3305">
        <v>-7.8137189999999995E-2</v>
      </c>
      <c r="Q3305">
        <v>-1.254505E-2</v>
      </c>
      <c r="R3305">
        <v>-0.99686399999999997</v>
      </c>
      <c r="S3305">
        <v>-1.171753</v>
      </c>
      <c r="T3305">
        <v>-0.37352059999999998</v>
      </c>
      <c r="U3305">
        <v>-2.9163509999999899</v>
      </c>
      <c r="V3305">
        <v>0.11743669999999901</v>
      </c>
      <c r="W3305">
        <v>-4.867077E-3</v>
      </c>
      <c r="X3305">
        <v>0.99306849999999902</v>
      </c>
      <c r="Y3305">
        <v>0.40661720000000001</v>
      </c>
      <c r="Z3305">
        <v>0.11692760000000001</v>
      </c>
      <c r="AA3305">
        <v>0.90608519999999904</v>
      </c>
      <c r="AB3305">
        <v>21</v>
      </c>
      <c r="AC3305">
        <v>-3.46219999999999</v>
      </c>
      <c r="AD3305">
        <v>-1.1019289936650001</v>
      </c>
      <c r="AE3305">
        <v>-8.3947000000000003</v>
      </c>
      <c r="AF3305">
        <v>3.7361345840992799</v>
      </c>
      <c r="AG3305">
        <v>-1.1019289936650001</v>
      </c>
      <c r="AH3305">
        <v>8.1316190258893908</v>
      </c>
      <c r="AI3305">
        <v>97.019856938074895</v>
      </c>
      <c r="AJ3305">
        <v>65.323222341261499</v>
      </c>
      <c r="AK3305">
        <v>9.01643927056511</v>
      </c>
    </row>
    <row r="3306" spans="1:37" x14ac:dyDescent="0.2">
      <c r="A3306" t="str">
        <f>"20200111160223126"</f>
        <v>20200111160223126</v>
      </c>
      <c r="B3306" t="str">
        <f>"1578729743115154"</f>
        <v>1578729743115154</v>
      </c>
      <c r="C3306" t="s">
        <v>37</v>
      </c>
      <c r="D3306">
        <v>5.9399569999999997</v>
      </c>
      <c r="E3306">
        <v>0.62265879999999996</v>
      </c>
      <c r="F3306" t="s">
        <v>38</v>
      </c>
      <c r="G3306">
        <v>-194.22839999999999</v>
      </c>
      <c r="H3306" s="1">
        <v>-2.99473299999999E-6</v>
      </c>
      <c r="I3306">
        <v>163.54679999999999</v>
      </c>
      <c r="J3306">
        <v>-190.82980000000001</v>
      </c>
      <c r="K3306">
        <v>1.1018760000000001</v>
      </c>
      <c r="L3306">
        <v>171.67609999999999</v>
      </c>
      <c r="M3306">
        <v>3.5841520000000002E-2</v>
      </c>
      <c r="N3306">
        <v>0</v>
      </c>
      <c r="O3306">
        <v>-0.99931729999999996</v>
      </c>
      <c r="P3306">
        <v>-8.1333600000000006E-2</v>
      </c>
      <c r="Q3306">
        <v>-1.4856319999999999E-2</v>
      </c>
      <c r="R3306">
        <v>-0.99657649999999998</v>
      </c>
      <c r="S3306">
        <v>-1.1829829999999999</v>
      </c>
      <c r="T3306">
        <v>-0.38408799999999998</v>
      </c>
      <c r="U3306">
        <v>-2.9118650000000001</v>
      </c>
      <c r="V3306">
        <v>0.116968</v>
      </c>
      <c r="W3306">
        <v>-6.5689199999999998E-3</v>
      </c>
      <c r="X3306">
        <v>0.99311389999999999</v>
      </c>
      <c r="Y3306">
        <v>0.40660649999999998</v>
      </c>
      <c r="Z3306">
        <v>0.1202971</v>
      </c>
      <c r="AA3306">
        <v>0.90564880000000003</v>
      </c>
      <c r="AB3306">
        <v>21</v>
      </c>
      <c r="AC3306">
        <v>-3.3985999999999801</v>
      </c>
      <c r="AD3306">
        <v>-1.1018789947330001</v>
      </c>
      <c r="AE3306">
        <v>-8.1293000000000006</v>
      </c>
      <c r="AF3306">
        <v>3.6310095550472599</v>
      </c>
      <c r="AG3306">
        <v>-1.1018789947330001</v>
      </c>
      <c r="AH3306">
        <v>7.8790414102772397</v>
      </c>
      <c r="AI3306">
        <v>97.238442152341804</v>
      </c>
      <c r="AJ3306">
        <v>65.257666779288897</v>
      </c>
      <c r="AK3306">
        <v>8.7451507278458003</v>
      </c>
    </row>
    <row r="3307" spans="1:37" x14ac:dyDescent="0.2">
      <c r="A3307" t="str">
        <f>"20200111160223147"</f>
        <v>20200111160223147</v>
      </c>
      <c r="B3307" t="str">
        <f>"1578729743135650"</f>
        <v>1578729743135650</v>
      </c>
      <c r="C3307" t="s">
        <v>37</v>
      </c>
      <c r="D3307">
        <v>5.6398159999999997</v>
      </c>
      <c r="E3307">
        <v>0.60989599999999999</v>
      </c>
      <c r="F3307" t="s">
        <v>38</v>
      </c>
      <c r="G3307">
        <v>-194.16239999999999</v>
      </c>
      <c r="H3307" s="1">
        <v>-2.972465E-6</v>
      </c>
      <c r="I3307">
        <v>163.5369</v>
      </c>
      <c r="J3307">
        <v>-190.82640000000001</v>
      </c>
      <c r="K3307">
        <v>1.10181</v>
      </c>
      <c r="L3307">
        <v>171.47630000000001</v>
      </c>
      <c r="M3307">
        <v>3.2434150000000002E-2</v>
      </c>
      <c r="N3307">
        <v>0</v>
      </c>
      <c r="O3307">
        <v>-0.99942869999999995</v>
      </c>
      <c r="P3307">
        <v>-8.2959320000000003E-2</v>
      </c>
      <c r="Q3307">
        <v>-1.7138090000000002E-2</v>
      </c>
      <c r="R3307">
        <v>-0.99640550000000006</v>
      </c>
      <c r="S3307">
        <v>-1.190399</v>
      </c>
      <c r="T3307">
        <v>-0.39358340000000003</v>
      </c>
      <c r="U3307">
        <v>-2.9072719999999999</v>
      </c>
      <c r="V3307">
        <v>0.1151895</v>
      </c>
      <c r="W3307">
        <v>-8.3563149999999996E-3</v>
      </c>
      <c r="X3307">
        <v>0.99330839999999998</v>
      </c>
      <c r="Y3307">
        <v>0.40583190000000002</v>
      </c>
      <c r="Z3307">
        <v>0.1233882</v>
      </c>
      <c r="AA3307">
        <v>0.90558039999999995</v>
      </c>
      <c r="AB3307">
        <v>21</v>
      </c>
      <c r="AC3307">
        <v>-3.3359999999999799</v>
      </c>
      <c r="AD3307">
        <v>-1.1018129724650001</v>
      </c>
      <c r="AE3307">
        <v>-7.9394</v>
      </c>
      <c r="AF3307">
        <v>3.5339164590444101</v>
      </c>
      <c r="AG3307">
        <v>-1.1018129724650001</v>
      </c>
      <c r="AH3307">
        <v>7.7009584144953998</v>
      </c>
      <c r="AI3307">
        <v>97.408978321299401</v>
      </c>
      <c r="AJ3307">
        <v>65.349937705700796</v>
      </c>
      <c r="AK3307">
        <v>8.5444319803942896</v>
      </c>
    </row>
    <row r="3308" spans="1:37" x14ac:dyDescent="0.2">
      <c r="A3308" t="str">
        <f>"20200111160223170"</f>
        <v>20200111160223170</v>
      </c>
      <c r="B3308" t="str">
        <f>"1578729743164930"</f>
        <v>1578729743164930</v>
      </c>
      <c r="C3308" t="s">
        <v>37</v>
      </c>
      <c r="D3308">
        <v>5.2706809999999997</v>
      </c>
      <c r="E3308">
        <v>0.60040070000000001</v>
      </c>
      <c r="F3308" t="s">
        <v>70</v>
      </c>
      <c r="G3308">
        <v>-219.85120000000001</v>
      </c>
      <c r="H3308">
        <v>3.2492719999999999</v>
      </c>
      <c r="I3308">
        <v>97.150019999999998</v>
      </c>
      <c r="J3308">
        <v>-190.82390000000001</v>
      </c>
      <c r="K3308">
        <v>1.101737</v>
      </c>
      <c r="L3308">
        <v>171.26499999999999</v>
      </c>
      <c r="M3308">
        <v>2.8685140000000001E-2</v>
      </c>
      <c r="N3308">
        <v>0</v>
      </c>
      <c r="O3308">
        <v>-0.9995385</v>
      </c>
      <c r="P3308">
        <v>-8.5151110000000002E-2</v>
      </c>
      <c r="Q3308">
        <v>-1.826384E-2</v>
      </c>
      <c r="R3308">
        <v>-0.99620089999999994</v>
      </c>
      <c r="S3308">
        <v>-1.139267</v>
      </c>
      <c r="T3308">
        <v>8.429217E-2</v>
      </c>
      <c r="U3308">
        <v>-2.91741899999999</v>
      </c>
      <c r="V3308">
        <v>0.1136426</v>
      </c>
      <c r="W3308">
        <v>-8.9930050000000001E-3</v>
      </c>
      <c r="X3308">
        <v>0.99348099999999995</v>
      </c>
      <c r="Y3308">
        <v>0.39019480000000001</v>
      </c>
      <c r="Z3308">
        <v>-2.6735800000000001E-2</v>
      </c>
      <c r="AA3308">
        <v>0.920344099999999</v>
      </c>
      <c r="AB3308">
        <v>21</v>
      </c>
      <c r="AC3308">
        <v>-29.0273</v>
      </c>
      <c r="AD3308">
        <v>2.1475349999999902</v>
      </c>
      <c r="AE3308">
        <v>-74.114979999999903</v>
      </c>
      <c r="AF3308">
        <v>31.118806383389199</v>
      </c>
      <c r="AG3308">
        <v>2.1475349999999902</v>
      </c>
      <c r="AH3308">
        <v>73.198500965047202</v>
      </c>
      <c r="AI3308">
        <v>88.453396326472301</v>
      </c>
      <c r="AJ3308">
        <v>66.968247332415899</v>
      </c>
      <c r="AK3308">
        <v>79.567660269943204</v>
      </c>
    </row>
    <row r="3309" spans="1:37" x14ac:dyDescent="0.2">
      <c r="A3309" t="str">
        <f>"20200111160223192"</f>
        <v>20200111160223192</v>
      </c>
      <c r="B3309" t="str">
        <f>"1578729743185426"</f>
        <v>1578729743185426</v>
      </c>
      <c r="C3309" t="s">
        <v>37</v>
      </c>
      <c r="D3309">
        <v>5.2279650000000002</v>
      </c>
      <c r="E3309">
        <v>0.60048080000000004</v>
      </c>
      <c r="F3309" t="s">
        <v>38</v>
      </c>
      <c r="G3309">
        <v>-193.93889999999999</v>
      </c>
      <c r="H3309" s="1">
        <v>-2.3841460000000002E-6</v>
      </c>
      <c r="I3309">
        <v>162.41810000000001</v>
      </c>
      <c r="J3309">
        <v>-190.82239999999999</v>
      </c>
      <c r="K3309">
        <v>1.1016699999999999</v>
      </c>
      <c r="L3309">
        <v>171.0471</v>
      </c>
      <c r="M3309">
        <v>2.4628400000000002E-2</v>
      </c>
      <c r="N3309">
        <v>0</v>
      </c>
      <c r="O3309">
        <v>-0.99964169999999997</v>
      </c>
      <c r="P3309">
        <v>-8.7249850000000004E-2</v>
      </c>
      <c r="Q3309">
        <v>-2.0323299999999999E-2</v>
      </c>
      <c r="R3309">
        <v>-0.99597930000000001</v>
      </c>
      <c r="S3309">
        <v>-1.027069</v>
      </c>
      <c r="T3309">
        <v>-0.36326789999999998</v>
      </c>
      <c r="U3309">
        <v>-2.916992</v>
      </c>
      <c r="V3309">
        <v>0.11169129999999999</v>
      </c>
      <c r="W3309">
        <v>-1.05824E-2</v>
      </c>
      <c r="X3309">
        <v>0.99368659999999998</v>
      </c>
      <c r="Y3309">
        <v>0.35299239999999998</v>
      </c>
      <c r="Z3309">
        <v>0.116103199999999</v>
      </c>
      <c r="AA3309">
        <v>0.92839459999999996</v>
      </c>
      <c r="AB3309">
        <v>21</v>
      </c>
      <c r="AC3309">
        <v>-3.1164999999999998</v>
      </c>
      <c r="AD3309">
        <v>-1.1016723841460001</v>
      </c>
      <c r="AE3309">
        <v>-8.6289999999999907</v>
      </c>
      <c r="AF3309">
        <v>3.28077906117124</v>
      </c>
      <c r="AG3309">
        <v>-1.1016723841460001</v>
      </c>
      <c r="AH3309">
        <v>8.4280986485888096</v>
      </c>
      <c r="AI3309">
        <v>96.945024781556597</v>
      </c>
      <c r="AJ3309">
        <v>68.7306882265421</v>
      </c>
      <c r="AK3309">
        <v>9.1109845856830507</v>
      </c>
    </row>
    <row r="3310" spans="1:37" x14ac:dyDescent="0.2">
      <c r="A3310" t="str">
        <f>"20200111160223216"</f>
        <v>20200111160223216</v>
      </c>
      <c r="B3310" t="str">
        <f>"1578729743204945"</f>
        <v>1578729743204945</v>
      </c>
      <c r="C3310" t="s">
        <v>37</v>
      </c>
      <c r="D3310">
        <v>5.2047780000000001</v>
      </c>
      <c r="E3310">
        <v>0.60138809999999998</v>
      </c>
      <c r="F3310" t="s">
        <v>38</v>
      </c>
      <c r="G3310">
        <v>-193.94149999999999</v>
      </c>
      <c r="H3310" s="1">
        <v>-2.3098389999999999E-6</v>
      </c>
      <c r="I3310">
        <v>162.2595</v>
      </c>
      <c r="J3310">
        <v>-190.82210000000001</v>
      </c>
      <c r="K3310">
        <v>1.1016239999999999</v>
      </c>
      <c r="L3310">
        <v>170.82509999999999</v>
      </c>
      <c r="M3310">
        <v>2.0324559999999998E-2</v>
      </c>
      <c r="N3310">
        <v>0</v>
      </c>
      <c r="O3310">
        <v>-0.99973369999999995</v>
      </c>
      <c r="P3310">
        <v>-9.1002230000000003E-2</v>
      </c>
      <c r="Q3310">
        <v>-2.2636460000000001E-2</v>
      </c>
      <c r="R3310">
        <v>-0.99559330000000001</v>
      </c>
      <c r="S3310">
        <v>-1.0343020000000001</v>
      </c>
      <c r="T3310">
        <v>-0.36532559999999997</v>
      </c>
      <c r="U3310">
        <v>-2.9140779999999999</v>
      </c>
      <c r="V3310">
        <v>0.1111434</v>
      </c>
      <c r="W3310">
        <v>-1.247239E-2</v>
      </c>
      <c r="X3310">
        <v>0.99372609999999995</v>
      </c>
      <c r="Y3310">
        <v>0.35127740000000002</v>
      </c>
      <c r="Z3310">
        <v>0.1168703</v>
      </c>
      <c r="AA3310">
        <v>0.92894859999999901</v>
      </c>
      <c r="AB3310">
        <v>21</v>
      </c>
      <c r="AC3310">
        <v>-3.1193999999999802</v>
      </c>
      <c r="AD3310">
        <v>-1.101626309839</v>
      </c>
      <c r="AE3310">
        <v>-8.5655999999999892</v>
      </c>
      <c r="AF3310">
        <v>3.2454618425485999</v>
      </c>
      <c r="AG3310">
        <v>-1.101626309839</v>
      </c>
      <c r="AH3310">
        <v>8.3780742504689893</v>
      </c>
      <c r="AI3310">
        <v>96.990210077714593</v>
      </c>
      <c r="AJ3310">
        <v>68.824846024777301</v>
      </c>
      <c r="AK3310">
        <v>9.0520015048794598</v>
      </c>
    </row>
    <row r="3311" spans="1:37" x14ac:dyDescent="0.2">
      <c r="A3311" t="str">
        <f>"20200111160223236"</f>
        <v>20200111160223236</v>
      </c>
      <c r="B3311" t="str">
        <f>"1578729743225442"</f>
        <v>1578729743225442</v>
      </c>
      <c r="C3311" t="s">
        <v>37</v>
      </c>
      <c r="D3311">
        <v>5.1875710000000002</v>
      </c>
      <c r="E3311">
        <v>0.60191830000000002</v>
      </c>
      <c r="F3311" t="s">
        <v>38</v>
      </c>
      <c r="G3311">
        <v>-193.97470000000001</v>
      </c>
      <c r="H3311" s="1">
        <v>-2.2518089999999998E-6</v>
      </c>
      <c r="I3311">
        <v>162.11799999999999</v>
      </c>
      <c r="J3311">
        <v>-190.8227</v>
      </c>
      <c r="K3311">
        <v>1.1015839999999999</v>
      </c>
      <c r="L3311">
        <v>170.62819999999999</v>
      </c>
      <c r="M3311">
        <v>1.637665E-2</v>
      </c>
      <c r="N3311">
        <v>0</v>
      </c>
      <c r="O3311">
        <v>-0.99980239999999998</v>
      </c>
      <c r="P3311">
        <v>-9.4569739999999999E-2</v>
      </c>
      <c r="Q3311">
        <v>-2.2742490000000001E-2</v>
      </c>
      <c r="R3311">
        <v>-0.99525889999999995</v>
      </c>
      <c r="S3311">
        <v>-1.053131</v>
      </c>
      <c r="T3311">
        <v>-0.36800229999999901</v>
      </c>
      <c r="U3311">
        <v>-2.9086460000000001</v>
      </c>
      <c r="V3311">
        <v>0.11078099999999901</v>
      </c>
      <c r="W3311">
        <v>-1.224506E-2</v>
      </c>
      <c r="X3311">
        <v>0.99376939999999903</v>
      </c>
      <c r="Y3311">
        <v>0.35342240000000003</v>
      </c>
      <c r="Z3311">
        <v>0.1177593</v>
      </c>
      <c r="AA3311">
        <v>0.92802229999999997</v>
      </c>
      <c r="AB3311">
        <v>21</v>
      </c>
      <c r="AC3311">
        <v>-3.1520000000000099</v>
      </c>
      <c r="AD3311">
        <v>-1.1015862518089901</v>
      </c>
      <c r="AE3311">
        <v>-8.5101999999999904</v>
      </c>
      <c r="AF3311">
        <v>3.2431689975915501</v>
      </c>
      <c r="AG3311">
        <v>-1.1015862518089901</v>
      </c>
      <c r="AH3311">
        <v>8.33463156531473</v>
      </c>
      <c r="AI3311">
        <v>97.021937274158702</v>
      </c>
      <c r="AJ3311">
        <v>68.738010163473405</v>
      </c>
      <c r="AK3311">
        <v>9.01097779082016</v>
      </c>
    </row>
    <row r="3312" spans="1:37" x14ac:dyDescent="0.2">
      <c r="A3312" t="str">
        <f>"20200111160223258"</f>
        <v>20200111160223258</v>
      </c>
      <c r="B3312" t="str">
        <f>"1578729743244962"</f>
        <v>1578729743244962</v>
      </c>
      <c r="C3312" t="s">
        <v>37</v>
      </c>
      <c r="D3312">
        <v>5.1261010000000002</v>
      </c>
      <c r="E3312">
        <v>0.60233000000000003</v>
      </c>
      <c r="F3312" t="s">
        <v>38</v>
      </c>
      <c r="G3312">
        <v>-194.05520000000001</v>
      </c>
      <c r="H3312" s="1">
        <v>-2.1412119999999998E-6</v>
      </c>
      <c r="I3312">
        <v>161.83869999999999</v>
      </c>
      <c r="J3312">
        <v>-190.82429999999999</v>
      </c>
      <c r="K3312">
        <v>1.1015509999999999</v>
      </c>
      <c r="L3312">
        <v>170.4194</v>
      </c>
      <c r="M3312">
        <v>1.2064149999999999E-2</v>
      </c>
      <c r="N3312">
        <v>0</v>
      </c>
      <c r="O3312">
        <v>-0.99985990000000002</v>
      </c>
      <c r="P3312">
        <v>-9.9215020000000001E-2</v>
      </c>
      <c r="Q3312">
        <v>-2.304964E-2</v>
      </c>
      <c r="R3312">
        <v>-0.99479899999999999</v>
      </c>
      <c r="S3312">
        <v>-1.068192</v>
      </c>
      <c r="T3312">
        <v>-0.36401679999999997</v>
      </c>
      <c r="U3312">
        <v>-2.90448</v>
      </c>
      <c r="V3312">
        <v>0.11113289999999899</v>
      </c>
      <c r="W3312">
        <v>-1.2245280000000001E-2</v>
      </c>
      <c r="X3312">
        <v>0.99373009999999995</v>
      </c>
      <c r="Y3312">
        <v>0.35411340000000002</v>
      </c>
      <c r="Z3312">
        <v>0.11655399999999901</v>
      </c>
      <c r="AA3312">
        <v>0.92791100000000004</v>
      </c>
      <c r="AB3312">
        <v>21</v>
      </c>
      <c r="AC3312">
        <v>-3.2309000000000201</v>
      </c>
      <c r="AD3312">
        <v>-1.1015531412119901</v>
      </c>
      <c r="AE3312">
        <v>-8.5807000000000002</v>
      </c>
      <c r="AF3312">
        <v>3.28674993263447</v>
      </c>
      <c r="AG3312">
        <v>-1.1015531412119901</v>
      </c>
      <c r="AH3312">
        <v>8.4195672989870793</v>
      </c>
      <c r="AI3312">
        <v>96.948677961724599</v>
      </c>
      <c r="AJ3312">
        <v>68.675797644138697</v>
      </c>
      <c r="AK3312">
        <v>9.10523244869451</v>
      </c>
    </row>
    <row r="3313" spans="1:37" x14ac:dyDescent="0.2">
      <c r="A3313" t="str">
        <f>"20200111160223282"</f>
        <v>20200111160223282</v>
      </c>
      <c r="B3313" t="str">
        <f>"1578729743275218"</f>
        <v>1578729743275218</v>
      </c>
      <c r="C3313" t="s">
        <v>37</v>
      </c>
      <c r="D3313">
        <v>5.0753059999999897</v>
      </c>
      <c r="E3313">
        <v>0.60299209999999903</v>
      </c>
      <c r="F3313" t="s">
        <v>38</v>
      </c>
      <c r="G3313">
        <v>-194.14060000000001</v>
      </c>
      <c r="H3313" s="1">
        <v>-2.03295899999999E-6</v>
      </c>
      <c r="I3313">
        <v>161.5616</v>
      </c>
      <c r="J3313">
        <v>-190.8271</v>
      </c>
      <c r="K3313">
        <v>1.1014979999999901</v>
      </c>
      <c r="L3313">
        <v>170.19909999999999</v>
      </c>
      <c r="M3313">
        <v>7.3840750000000004E-3</v>
      </c>
      <c r="N3313">
        <v>0</v>
      </c>
      <c r="O3313">
        <v>-0.99990199999999996</v>
      </c>
      <c r="P3313">
        <v>-0.104260899999999</v>
      </c>
      <c r="Q3313">
        <v>-2.243624E-2</v>
      </c>
      <c r="R3313">
        <v>-0.99429699999999999</v>
      </c>
      <c r="S3313">
        <v>-1.0854029999999999</v>
      </c>
      <c r="T3313">
        <v>-0.36052829999999902</v>
      </c>
      <c r="U3313">
        <v>-2.8990779999999998</v>
      </c>
      <c r="V3313">
        <v>0.111528</v>
      </c>
      <c r="W3313">
        <v>-1.13486E-2</v>
      </c>
      <c r="X3313">
        <v>0.99369649999999998</v>
      </c>
      <c r="Y3313">
        <v>0.35518459999999902</v>
      </c>
      <c r="Z3313">
        <v>0.11552219999999901</v>
      </c>
      <c r="AA3313">
        <v>0.92763059999999997</v>
      </c>
      <c r="AB3313">
        <v>21</v>
      </c>
      <c r="AC3313">
        <v>-3.3134999999999999</v>
      </c>
      <c r="AD3313">
        <v>-1.1015000329589999</v>
      </c>
      <c r="AE3313">
        <v>-8.6374999999999797</v>
      </c>
      <c r="AF3313">
        <v>3.3299866800135201</v>
      </c>
      <c r="AG3313">
        <v>-1.1015000329589999</v>
      </c>
      <c r="AH3313">
        <v>8.4924033822122595</v>
      </c>
      <c r="AI3313">
        <v>96.885293634167496</v>
      </c>
      <c r="AJ3313">
        <v>68.589180005692896</v>
      </c>
      <c r="AK3313">
        <v>9.1882005212057898</v>
      </c>
    </row>
    <row r="3314" spans="1:37" x14ac:dyDescent="0.2">
      <c r="A3314" t="str">
        <f>"20200111160223304"</f>
        <v>20200111160223304</v>
      </c>
      <c r="B3314" t="str">
        <f>"1578729743295713"</f>
        <v>1578729743295713</v>
      </c>
      <c r="C3314" t="s">
        <v>37</v>
      </c>
      <c r="D3314">
        <v>5.8098450000000001</v>
      </c>
      <c r="E3314">
        <v>0.56656499999999999</v>
      </c>
      <c r="F3314" t="s">
        <v>38</v>
      </c>
      <c r="G3314">
        <v>-194.2576</v>
      </c>
      <c r="H3314" s="1">
        <v>-1.904664E-6</v>
      </c>
      <c r="I3314">
        <v>161.2244</v>
      </c>
      <c r="J3314">
        <v>-190.83099999999999</v>
      </c>
      <c r="K3314">
        <v>1.1014440000000001</v>
      </c>
      <c r="L3314">
        <v>169.98330000000001</v>
      </c>
      <c r="M3314">
        <v>2.6787989999999999E-3</v>
      </c>
      <c r="N3314">
        <v>0</v>
      </c>
      <c r="O3314">
        <v>-0.99992269999999905</v>
      </c>
      <c r="P3314">
        <v>-0.1092047</v>
      </c>
      <c r="Q3314">
        <v>-2.172899E-2</v>
      </c>
      <c r="R3314">
        <v>-0.99378199999999906</v>
      </c>
      <c r="S3314">
        <v>-1.1059110000000001</v>
      </c>
      <c r="T3314">
        <v>-0.35509420000000003</v>
      </c>
      <c r="U3314">
        <v>-2.89321899999999</v>
      </c>
      <c r="V3314">
        <v>0.1117991</v>
      </c>
      <c r="W3314">
        <v>-1.040053E-2</v>
      </c>
      <c r="X3314">
        <v>0.99367640000000002</v>
      </c>
      <c r="Y3314">
        <v>0.35722690000000001</v>
      </c>
      <c r="Z3314">
        <v>0.1138405</v>
      </c>
      <c r="AA3314">
        <v>0.92705409999999899</v>
      </c>
      <c r="AB3314">
        <v>21</v>
      </c>
      <c r="AC3314">
        <v>-3.4266000000000001</v>
      </c>
      <c r="AD3314">
        <v>-1.1014459046639999</v>
      </c>
      <c r="AE3314">
        <v>-8.7589000000000095</v>
      </c>
      <c r="AF3314">
        <v>3.4033771668652202</v>
      </c>
      <c r="AG3314">
        <v>-1.1014459046639999</v>
      </c>
      <c r="AH3314">
        <v>8.6313145988301194</v>
      </c>
      <c r="AI3314">
        <v>96.770182010609801</v>
      </c>
      <c r="AJ3314">
        <v>68.480396085421006</v>
      </c>
      <c r="AK3314">
        <v>9.3432195160350702</v>
      </c>
    </row>
    <row r="3315" spans="1:37" x14ac:dyDescent="0.2">
      <c r="A3315" t="str">
        <f>"20200111160223325"</f>
        <v>20200111160223325</v>
      </c>
      <c r="B3315" t="str">
        <f>"1578729743315233"</f>
        <v>1578729743315233</v>
      </c>
      <c r="C3315" t="s">
        <v>37</v>
      </c>
      <c r="D3315">
        <v>5.6067220000000004</v>
      </c>
      <c r="E3315">
        <v>0.50418799999999997</v>
      </c>
      <c r="F3315" t="s">
        <v>38</v>
      </c>
      <c r="G3315">
        <v>-193.2122</v>
      </c>
      <c r="H3315" s="1">
        <v>-1.7953889999999999E-6</v>
      </c>
      <c r="I3315">
        <v>161.58160000000001</v>
      </c>
      <c r="J3315">
        <v>-190.8357</v>
      </c>
      <c r="K3315">
        <v>1.10138799999999</v>
      </c>
      <c r="L3315">
        <v>169.78039999999999</v>
      </c>
      <c r="M3315">
        <v>-1.8593419999999999E-3</v>
      </c>
      <c r="N3315">
        <v>0</v>
      </c>
      <c r="O3315">
        <v>-0.99992179999999997</v>
      </c>
      <c r="P3315">
        <v>-0.11396149999999999</v>
      </c>
      <c r="Q3315">
        <v>-2.165771E-2</v>
      </c>
      <c r="R3315">
        <v>-0.99324889999999999</v>
      </c>
      <c r="S3315">
        <v>-0.82745360000000001</v>
      </c>
      <c r="T3315">
        <v>-0.38273859999999998</v>
      </c>
      <c r="U3315">
        <v>-2.9194789999999999</v>
      </c>
      <c r="V3315">
        <v>0.1120473</v>
      </c>
      <c r="W3315">
        <v>-1.013476E-2</v>
      </c>
      <c r="X3315">
        <v>0.99365119999999896</v>
      </c>
      <c r="Y3315">
        <v>0.2687504</v>
      </c>
      <c r="Z3315">
        <v>0.12517039999999999</v>
      </c>
      <c r="AA3315">
        <v>0.95504219999999895</v>
      </c>
      <c r="AB3315">
        <v>21</v>
      </c>
      <c r="AC3315">
        <v>-2.3764999999999898</v>
      </c>
      <c r="AD3315">
        <v>-1.10138979538899</v>
      </c>
      <c r="AE3315">
        <v>-8.1987999999999701</v>
      </c>
      <c r="AF3315">
        <v>2.3225854858217598</v>
      </c>
      <c r="AG3315">
        <v>-1.10138979538899</v>
      </c>
      <c r="AH3315">
        <v>8.0688795218413194</v>
      </c>
      <c r="AI3315">
        <v>97.472963951188206</v>
      </c>
      <c r="AJ3315">
        <v>73.941807930327002</v>
      </c>
      <c r="AK3315">
        <v>8.4684283995513105</v>
      </c>
    </row>
    <row r="3316" spans="1:37" x14ac:dyDescent="0.2">
      <c r="A3316" t="str">
        <f>"20200111160223393"</f>
        <v>20200111160223393</v>
      </c>
      <c r="B3316" t="str">
        <f>"1578729743385337"</f>
        <v>1578729743385337</v>
      </c>
      <c r="C3316" t="s">
        <v>37</v>
      </c>
      <c r="D3316">
        <v>4.9956909999999999</v>
      </c>
      <c r="E3316">
        <v>0.44193769999999999</v>
      </c>
      <c r="F3316" t="s">
        <v>77</v>
      </c>
      <c r="G3316">
        <v>-193.44720000000001</v>
      </c>
      <c r="H3316" s="1">
        <v>-1.10353399999999E-5</v>
      </c>
      <c r="I3316">
        <v>148.5881</v>
      </c>
      <c r="J3316">
        <v>-190.85749999999999</v>
      </c>
      <c r="K3316">
        <v>1.10121</v>
      </c>
      <c r="L3316">
        <v>169.14490000000001</v>
      </c>
      <c r="M3316">
        <v>-1.6822090000000001E-2</v>
      </c>
      <c r="N3316">
        <v>0</v>
      </c>
      <c r="O3316">
        <v>-0.99977559999999999</v>
      </c>
      <c r="P3316">
        <v>-0.12378749999999999</v>
      </c>
      <c r="Q3316">
        <v>-2.5199969999999999E-2</v>
      </c>
      <c r="R3316">
        <v>-0.99198889999999995</v>
      </c>
      <c r="S3316">
        <v>-0.36660769999999998</v>
      </c>
      <c r="T3316">
        <v>-0.15461429999999901</v>
      </c>
      <c r="U3316">
        <v>-2.9749759999999998</v>
      </c>
      <c r="V3316">
        <v>0.10698779999999999</v>
      </c>
      <c r="W3316">
        <v>-1.317222E-2</v>
      </c>
      <c r="X3316">
        <v>0.99417299999999997</v>
      </c>
      <c r="Y3316">
        <v>0.105428199999999</v>
      </c>
      <c r="Z3316">
        <v>5.1551529999999998E-2</v>
      </c>
      <c r="AA3316">
        <v>0.99308980000000002</v>
      </c>
      <c r="AB3316">
        <v>21</v>
      </c>
      <c r="AC3316">
        <v>-2.5897000000000201</v>
      </c>
      <c r="AD3316">
        <v>-1.10122103534</v>
      </c>
      <c r="AE3316">
        <v>-20.556799999999999</v>
      </c>
      <c r="AF3316">
        <v>2.2371767371241198</v>
      </c>
      <c r="AG3316">
        <v>-1.10122103534</v>
      </c>
      <c r="AH3316">
        <v>20.539437079711401</v>
      </c>
      <c r="AI3316">
        <v>93.050962117432505</v>
      </c>
      <c r="AJ3316">
        <v>83.783789732639704</v>
      </c>
      <c r="AK3316">
        <v>20.690242218814902</v>
      </c>
    </row>
    <row r="3317" spans="1:37" x14ac:dyDescent="0.2">
      <c r="A3317" t="str">
        <f>"20200111160223415"</f>
        <v>20200111160223415</v>
      </c>
      <c r="B3317" t="str">
        <f>"1578729743404860"</f>
        <v>1578729743404860</v>
      </c>
      <c r="C3317" t="s">
        <v>37</v>
      </c>
      <c r="D3317">
        <v>5.0087669999999997</v>
      </c>
      <c r="E3317">
        <v>0.44008509999999901</v>
      </c>
      <c r="F3317" t="s">
        <v>77</v>
      </c>
      <c r="G3317">
        <v>-190.2139</v>
      </c>
      <c r="H3317" s="1">
        <v>-1.062886E-5</v>
      </c>
      <c r="I3317">
        <v>149.22149999999999</v>
      </c>
      <c r="J3317">
        <v>-190.86689999999999</v>
      </c>
      <c r="K3317">
        <v>1.1011629999999999</v>
      </c>
      <c r="L3317">
        <v>168.93719999999999</v>
      </c>
      <c r="M3317">
        <v>-2.1939589999999998E-2</v>
      </c>
      <c r="N3317">
        <v>0</v>
      </c>
      <c r="O3317">
        <v>-0.99967479999999997</v>
      </c>
      <c r="P3317">
        <v>-0.122734199999999</v>
      </c>
      <c r="Q3317">
        <v>-2.8552499999999901E-2</v>
      </c>
      <c r="R3317">
        <v>-0.992029099999999</v>
      </c>
      <c r="S3317">
        <v>9.7946169999999999E-2</v>
      </c>
      <c r="T3317">
        <v>-0.16759689999999999</v>
      </c>
      <c r="U3317">
        <v>-3.032181</v>
      </c>
      <c r="V3317">
        <v>0.1008196</v>
      </c>
      <c r="W3317">
        <v>-1.635675E-2</v>
      </c>
      <c r="X3317">
        <v>0.9947703</v>
      </c>
      <c r="Y3317">
        <v>-5.415851E-2</v>
      </c>
      <c r="Z3317">
        <v>5.5113740000000001E-2</v>
      </c>
      <c r="AA3317">
        <v>0.99701019999999896</v>
      </c>
      <c r="AB3317">
        <v>21</v>
      </c>
      <c r="AC3317">
        <v>0.65299999999999103</v>
      </c>
      <c r="AD3317">
        <v>-1.10117362885999</v>
      </c>
      <c r="AE3317">
        <v>-19.715699999999998</v>
      </c>
      <c r="AF3317">
        <v>-1.08206190364234</v>
      </c>
      <c r="AG3317">
        <v>-1.10117362885999</v>
      </c>
      <c r="AH3317">
        <v>19.635439884932399</v>
      </c>
      <c r="AI3317">
        <v>93.204985392421406</v>
      </c>
      <c r="AJ3317">
        <v>93.154242311865602</v>
      </c>
      <c r="AK3317">
        <v>19.696038708303799</v>
      </c>
    </row>
    <row r="3318" spans="1:37" x14ac:dyDescent="0.2">
      <c r="A3318" t="str">
        <f>"20200111160223437"</f>
        <v>20200111160223437</v>
      </c>
      <c r="B3318" t="str">
        <f>"1578729743425353"</f>
        <v>1578729743425353</v>
      </c>
      <c r="C3318" t="s">
        <v>37</v>
      </c>
      <c r="D3318">
        <v>5.0275499999999997</v>
      </c>
      <c r="E3318">
        <v>0.438868599999999</v>
      </c>
      <c r="F3318" t="s">
        <v>77</v>
      </c>
      <c r="G3318">
        <v>-190.1635</v>
      </c>
      <c r="H3318" s="1">
        <v>-1.1079320000000001E-5</v>
      </c>
      <c r="I3318">
        <v>150.44450000000001</v>
      </c>
      <c r="J3318">
        <v>-190.87710000000001</v>
      </c>
      <c r="K3318">
        <v>1.1011329999999999</v>
      </c>
      <c r="L3318">
        <v>168.73759999999999</v>
      </c>
      <c r="M3318">
        <v>-2.6942580000000001E-2</v>
      </c>
      <c r="N3318">
        <v>0</v>
      </c>
      <c r="O3318">
        <v>-0.99955110000000003</v>
      </c>
      <c r="P3318">
        <v>-0.120681</v>
      </c>
      <c r="Q3318">
        <v>-3.195195E-2</v>
      </c>
      <c r="R3318">
        <v>-0.99217730000000004</v>
      </c>
      <c r="S3318">
        <v>0.11537169999999999</v>
      </c>
      <c r="T3318">
        <v>-0.18061450000000001</v>
      </c>
      <c r="U3318">
        <v>-3.0331730000000001</v>
      </c>
      <c r="V3318">
        <v>9.3758869999999994E-2</v>
      </c>
      <c r="W3318">
        <v>-1.959789E-2</v>
      </c>
      <c r="X3318">
        <v>0.99540200000000001</v>
      </c>
      <c r="Y3318">
        <v>-6.4853770000000005E-2</v>
      </c>
      <c r="Z3318">
        <v>5.9324769999999999E-2</v>
      </c>
      <c r="AA3318">
        <v>0.99612979999999995</v>
      </c>
      <c r="AB3318">
        <v>21</v>
      </c>
      <c r="AC3318">
        <v>0.713600000000013</v>
      </c>
      <c r="AD3318">
        <v>-1.10114407932</v>
      </c>
      <c r="AE3318">
        <v>-18.2930999999999</v>
      </c>
      <c r="AF3318">
        <v>-1.2018982183778899</v>
      </c>
      <c r="AG3318">
        <v>-1.10114407932</v>
      </c>
      <c r="AH3318">
        <v>18.201379994115101</v>
      </c>
      <c r="AI3318">
        <v>93.4545458909205</v>
      </c>
      <c r="AJ3318">
        <v>93.777947892269097</v>
      </c>
      <c r="AK3318">
        <v>18.274225326971699</v>
      </c>
    </row>
    <row r="3319" spans="1:37" x14ac:dyDescent="0.2">
      <c r="A3319" t="str">
        <f>"20200111160223459"</f>
        <v>20200111160223459</v>
      </c>
      <c r="B3319" t="str">
        <f>"1578729743455610"</f>
        <v>1578729743455610</v>
      </c>
      <c r="C3319" t="s">
        <v>37</v>
      </c>
      <c r="D3319">
        <v>4.9437480000000003</v>
      </c>
      <c r="E3319">
        <v>0.43745410000000001</v>
      </c>
      <c r="F3319" t="s">
        <v>77</v>
      </c>
      <c r="G3319">
        <v>-190.13159999999999</v>
      </c>
      <c r="H3319" s="1">
        <v>-1.1513789999999901E-5</v>
      </c>
      <c r="I3319">
        <v>151.47049999999999</v>
      </c>
      <c r="J3319">
        <v>-190.88929999999999</v>
      </c>
      <c r="K3319">
        <v>1.101099</v>
      </c>
      <c r="L3319">
        <v>168.52279999999999</v>
      </c>
      <c r="M3319">
        <v>-3.2421819999999997E-2</v>
      </c>
      <c r="N3319">
        <v>0</v>
      </c>
      <c r="O3319">
        <v>-0.99938689999999997</v>
      </c>
      <c r="P3319">
        <v>-0.1178073</v>
      </c>
      <c r="Q3319">
        <v>-3.4787140000000001E-2</v>
      </c>
      <c r="R3319">
        <v>-0.99242719999999995</v>
      </c>
      <c r="S3319">
        <v>0.1309662</v>
      </c>
      <c r="T3319">
        <v>-0.1934409</v>
      </c>
      <c r="U3319">
        <v>-3.0333559999999999</v>
      </c>
      <c r="V3319">
        <v>8.5400089999999998E-2</v>
      </c>
      <c r="W3319">
        <v>-2.2269959999999998E-2</v>
      </c>
      <c r="X3319">
        <v>0.99609780000000003</v>
      </c>
      <c r="Y3319">
        <v>-7.5419849999999997E-2</v>
      </c>
      <c r="Z3319">
        <v>6.3471699999999895E-2</v>
      </c>
      <c r="AA3319">
        <v>0.99512979999999995</v>
      </c>
      <c r="AB3319">
        <v>21</v>
      </c>
      <c r="AC3319">
        <v>0.75769999999999904</v>
      </c>
      <c r="AD3319">
        <v>-1.1011105137899999</v>
      </c>
      <c r="AE3319">
        <v>-17.052299999999999</v>
      </c>
      <c r="AF3319">
        <v>-1.30478673756102</v>
      </c>
      <c r="AG3319">
        <v>-1.1011105137899999</v>
      </c>
      <c r="AH3319">
        <v>16.948237084243601</v>
      </c>
      <c r="AI3319">
        <v>93.706290415240204</v>
      </c>
      <c r="AJ3319">
        <v>94.4023221490895</v>
      </c>
      <c r="AK3319">
        <v>17.034014590161199</v>
      </c>
    </row>
    <row r="3320" spans="1:37" x14ac:dyDescent="0.2">
      <c r="A3320" t="str">
        <f>"20200111160223482"</f>
        <v>20200111160223482</v>
      </c>
      <c r="B3320" t="str">
        <f>"1578729743475130"</f>
        <v>1578729743475130</v>
      </c>
      <c r="C3320" t="s">
        <v>37</v>
      </c>
      <c r="D3320">
        <v>5.3350710000000001</v>
      </c>
      <c r="E3320">
        <v>0.43618639999999997</v>
      </c>
      <c r="F3320" t="s">
        <v>77</v>
      </c>
      <c r="G3320">
        <v>-190.0633</v>
      </c>
      <c r="H3320" s="1">
        <v>-1.167106E-5</v>
      </c>
      <c r="I3320">
        <v>151.86529999999999</v>
      </c>
      <c r="J3320">
        <v>-190.90299999999999</v>
      </c>
      <c r="K3320">
        <v>1.1010690000000001</v>
      </c>
      <c r="L3320">
        <v>168.3049</v>
      </c>
      <c r="M3320">
        <v>-3.8087639999999999E-2</v>
      </c>
      <c r="N3320">
        <v>0</v>
      </c>
      <c r="O3320">
        <v>-0.99918600000000002</v>
      </c>
      <c r="P3320">
        <v>-0.115761899999999</v>
      </c>
      <c r="Q3320">
        <v>-3.534992E-2</v>
      </c>
      <c r="R3320">
        <v>-0.99264779999999997</v>
      </c>
      <c r="S3320">
        <v>0.15045169999999999</v>
      </c>
      <c r="T3320">
        <v>-0.20053889999999999</v>
      </c>
      <c r="U3320">
        <v>-3.0337369999999999</v>
      </c>
      <c r="V3320">
        <v>7.7695319999999998E-2</v>
      </c>
      <c r="W3320">
        <v>-2.268618E-2</v>
      </c>
      <c r="X3320">
        <v>0.99671900000000002</v>
      </c>
      <c r="Y3320">
        <v>-8.7432960000000004E-2</v>
      </c>
      <c r="Z3320">
        <v>6.5720609999999999E-2</v>
      </c>
      <c r="AA3320">
        <v>0.99400010000000005</v>
      </c>
      <c r="AB3320">
        <v>21</v>
      </c>
      <c r="AC3320">
        <v>0.83969999999999301</v>
      </c>
      <c r="AD3320">
        <v>-1.1010806710600001</v>
      </c>
      <c r="AE3320">
        <v>-16.439599999999999</v>
      </c>
      <c r="AF3320">
        <v>-1.4587645554706501</v>
      </c>
      <c r="AG3320">
        <v>-1.1010806710600001</v>
      </c>
      <c r="AH3320">
        <v>16.322652051474499</v>
      </c>
      <c r="AI3320">
        <v>93.843893157784393</v>
      </c>
      <c r="AJ3320">
        <v>95.106988073234803</v>
      </c>
      <c r="AK3320">
        <v>16.424656546363</v>
      </c>
    </row>
    <row r="3321" spans="1:37" x14ac:dyDescent="0.2">
      <c r="A3321" t="str">
        <f>"20200111160223504"</f>
        <v>20200111160223504</v>
      </c>
      <c r="B3321" t="str">
        <f>"1578729743495625"</f>
        <v>1578729743495625</v>
      </c>
      <c r="C3321" t="s">
        <v>37</v>
      </c>
      <c r="D3321">
        <v>5.124841</v>
      </c>
      <c r="E3321">
        <v>0.43494300000000002</v>
      </c>
      <c r="F3321" t="s">
        <v>77</v>
      </c>
      <c r="G3321">
        <v>-189.97810000000001</v>
      </c>
      <c r="H3321" s="1">
        <v>-1.1463830000000001E-5</v>
      </c>
      <c r="I3321">
        <v>151.41739999999999</v>
      </c>
      <c r="J3321">
        <v>-190.91679999999999</v>
      </c>
      <c r="K3321">
        <v>1.1010309999999901</v>
      </c>
      <c r="L3321">
        <v>168.10400000000001</v>
      </c>
      <c r="M3321">
        <v>-4.3404739999999997E-2</v>
      </c>
      <c r="N3321">
        <v>0</v>
      </c>
      <c r="O3321">
        <v>-0.99896810000000003</v>
      </c>
      <c r="P3321">
        <v>-0.1153696</v>
      </c>
      <c r="Q3321">
        <v>-3.4215959999999997E-2</v>
      </c>
      <c r="R3321">
        <v>-0.99273359999999899</v>
      </c>
      <c r="S3321">
        <v>0.1661987</v>
      </c>
      <c r="T3321">
        <v>-0.19785729999999899</v>
      </c>
      <c r="U3321">
        <v>-3.0345610000000001</v>
      </c>
      <c r="V3321">
        <v>7.2003109999999995E-2</v>
      </c>
      <c r="W3321">
        <v>-2.1439079999999999E-2</v>
      </c>
      <c r="X3321">
        <v>0.997174</v>
      </c>
      <c r="Y3321">
        <v>-9.7863640000000002E-2</v>
      </c>
      <c r="Z3321">
        <v>6.4766599999999994E-2</v>
      </c>
      <c r="AA3321">
        <v>0.99309020000000003</v>
      </c>
      <c r="AB3321">
        <v>21</v>
      </c>
      <c r="AC3321">
        <v>0.93869999999998199</v>
      </c>
      <c r="AD3321">
        <v>-1.10104246382999</v>
      </c>
      <c r="AE3321">
        <v>-16.686599999999999</v>
      </c>
      <c r="AF3321">
        <v>-1.6549746994479699</v>
      </c>
      <c r="AG3321">
        <v>-1.10104246382999</v>
      </c>
      <c r="AH3321">
        <v>16.558258984186999</v>
      </c>
      <c r="AI3321">
        <v>93.785480314273798</v>
      </c>
      <c r="AJ3321">
        <v>95.707676920162896</v>
      </c>
      <c r="AK3321">
        <v>16.6771453297733</v>
      </c>
    </row>
    <row r="3322" spans="1:37" x14ac:dyDescent="0.2">
      <c r="A3322" t="str">
        <f>"20200111160223816"</f>
        <v>20200111160223816</v>
      </c>
      <c r="B3322" t="str">
        <f>"1578729743805018"</f>
        <v>1578729743805018</v>
      </c>
      <c r="C3322" t="s">
        <v>37</v>
      </c>
      <c r="D3322">
        <v>5.0221039999999997</v>
      </c>
      <c r="E3322">
        <v>0.43494300000000002</v>
      </c>
      <c r="F3322" t="s">
        <v>77</v>
      </c>
      <c r="G3322">
        <v>-189.89689999999999</v>
      </c>
      <c r="H3322" s="1">
        <v>-1.11069499999999E-5</v>
      </c>
      <c r="I3322">
        <v>150.595</v>
      </c>
      <c r="J3322">
        <v>-191.2508</v>
      </c>
      <c r="K3322">
        <v>1.1010629999999999</v>
      </c>
      <c r="L3322">
        <v>165.23349999999999</v>
      </c>
      <c r="M3322">
        <v>-0.12693499999999999</v>
      </c>
      <c r="N3322">
        <v>0</v>
      </c>
      <c r="O3322">
        <v>-0.99181520000000001</v>
      </c>
      <c r="P3322">
        <v>-0.19460910000000001</v>
      </c>
      <c r="Q3322">
        <v>-1.5708340000000001E-2</v>
      </c>
      <c r="R3322">
        <v>-0.9807553</v>
      </c>
      <c r="S3322">
        <v>0.17684939999999999</v>
      </c>
      <c r="T3322">
        <v>-0.19091420000000001</v>
      </c>
      <c r="U3322">
        <v>-3.0359500000000001</v>
      </c>
      <c r="V3322">
        <v>6.8512370000000003E-2</v>
      </c>
      <c r="W3322">
        <v>-2.511194E-3</v>
      </c>
      <c r="X3322">
        <v>0.99764710000000001</v>
      </c>
      <c r="Y3322">
        <v>-0.1843021</v>
      </c>
      <c r="Z3322">
        <v>6.1408810000000001E-2</v>
      </c>
      <c r="AA3322">
        <v>0.98094939999999997</v>
      </c>
      <c r="AB3322">
        <v>20</v>
      </c>
      <c r="AC3322">
        <v>1.3539000000000101</v>
      </c>
      <c r="AD3322">
        <v>-1.1010741069499901</v>
      </c>
      <c r="AE3322">
        <v>-14.638499999999899</v>
      </c>
      <c r="AF3322">
        <v>-3.1834029357207201</v>
      </c>
      <c r="AG3322">
        <v>-1.1010741069499901</v>
      </c>
      <c r="AH3322">
        <v>14.268153220891399</v>
      </c>
      <c r="AI3322">
        <v>94.307281214271498</v>
      </c>
      <c r="AJ3322">
        <v>102.577405734054</v>
      </c>
      <c r="AK3322">
        <v>14.6603756696404</v>
      </c>
    </row>
    <row r="3323" spans="1:37" x14ac:dyDescent="0.2">
      <c r="A3323" t="str">
        <f>"20200111160223862"</f>
        <v>20200111160223862</v>
      </c>
      <c r="B3323" t="str">
        <f>"1578729743855770"</f>
        <v>1578729743855770</v>
      </c>
      <c r="C3323" t="s">
        <v>37</v>
      </c>
      <c r="D3323">
        <v>4.8395619999999999</v>
      </c>
      <c r="E3323">
        <v>0.40541779999999999</v>
      </c>
      <c r="F3323" t="s">
        <v>77</v>
      </c>
      <c r="G3323">
        <v>-191.78749999999999</v>
      </c>
      <c r="H3323" s="1">
        <v>-8.8057609999999996E-6</v>
      </c>
      <c r="I3323">
        <v>141.2722</v>
      </c>
      <c r="J3323">
        <v>-191.3194</v>
      </c>
      <c r="K3323">
        <v>1.1011439999999999</v>
      </c>
      <c r="L3323">
        <v>164.82210000000001</v>
      </c>
      <c r="M3323">
        <v>-0.139072</v>
      </c>
      <c r="N3323">
        <v>0</v>
      </c>
      <c r="O3323">
        <v>-0.99018619999999902</v>
      </c>
      <c r="P3323">
        <v>-0.2041608</v>
      </c>
      <c r="Q3323">
        <v>-1.497889E-2</v>
      </c>
      <c r="R3323">
        <v>-0.978823</v>
      </c>
      <c r="S3323">
        <v>-6.8161009999999994E-2</v>
      </c>
      <c r="T3323">
        <v>-0.13983570000000001</v>
      </c>
      <c r="U3323">
        <v>-3.0430759999999899</v>
      </c>
      <c r="V3323">
        <v>6.6024769999999997E-2</v>
      </c>
      <c r="W3323">
        <v>-1.7409700000000001E-3</v>
      </c>
      <c r="X3323">
        <v>0.99781640000000005</v>
      </c>
      <c r="Y3323">
        <v>-0.1168973</v>
      </c>
      <c r="Z3323">
        <v>4.5072029999999999E-2</v>
      </c>
      <c r="AA3323">
        <v>0.99212069999999997</v>
      </c>
      <c r="AB3323">
        <v>20</v>
      </c>
      <c r="AC3323">
        <v>-0.46809999999999202</v>
      </c>
      <c r="AD3323">
        <v>-1.1011528057610001</v>
      </c>
      <c r="AE3323">
        <v>-23.549900000000001</v>
      </c>
      <c r="AF3323">
        <v>-2.8057611362783401</v>
      </c>
      <c r="AG3323">
        <v>-1.1011528057610001</v>
      </c>
      <c r="AH3323">
        <v>23.335112253105301</v>
      </c>
      <c r="AI3323">
        <v>92.682415312262904</v>
      </c>
      <c r="AJ3323">
        <v>96.856201110927103</v>
      </c>
      <c r="AK3323">
        <v>23.5289671877138</v>
      </c>
    </row>
    <row r="3324" spans="1:37" x14ac:dyDescent="0.2">
      <c r="A3324" t="str">
        <f>"20200111160223884"</f>
        <v>20200111160223884</v>
      </c>
      <c r="B3324" t="str">
        <f>"1578729743875289"</f>
        <v>1578729743875289</v>
      </c>
      <c r="C3324" t="s">
        <v>37</v>
      </c>
      <c r="D3324">
        <v>4.7769550000000001</v>
      </c>
      <c r="E3324">
        <v>0.40304489999999998</v>
      </c>
      <c r="F3324" t="s">
        <v>77</v>
      </c>
      <c r="G3324">
        <v>-190.41139999999999</v>
      </c>
      <c r="H3324" s="1">
        <v>-9.291978E-6</v>
      </c>
      <c r="I3324">
        <v>144.01929999999999</v>
      </c>
      <c r="J3324">
        <v>-191.35419999999999</v>
      </c>
      <c r="K3324">
        <v>1.101197</v>
      </c>
      <c r="L3324">
        <v>164.62430000000001</v>
      </c>
      <c r="M3324">
        <v>-0.144834299999999</v>
      </c>
      <c r="N3324">
        <v>0</v>
      </c>
      <c r="O3324">
        <v>-0.98935969999999995</v>
      </c>
      <c r="P3324">
        <v>-0.20824879999999901</v>
      </c>
      <c r="Q3324">
        <v>-1.467545E-2</v>
      </c>
      <c r="R3324">
        <v>-0.9779658</v>
      </c>
      <c r="S3324">
        <v>0.134903</v>
      </c>
      <c r="T3324">
        <v>-0.16359170000000001</v>
      </c>
      <c r="U3324">
        <v>-3.0905459999999998</v>
      </c>
      <c r="V3324">
        <v>6.4386899999999997E-2</v>
      </c>
      <c r="W3324">
        <v>-1.4155719999999999E-3</v>
      </c>
      <c r="X3324">
        <v>0.99792400000000003</v>
      </c>
      <c r="Y3324">
        <v>-0.18779879999999999</v>
      </c>
      <c r="Z3324">
        <v>5.1527440000000001E-2</v>
      </c>
      <c r="AA3324">
        <v>0.98085499999999903</v>
      </c>
      <c r="AB3324">
        <v>20</v>
      </c>
      <c r="AC3324">
        <v>0.94280000000000497</v>
      </c>
      <c r="AD3324">
        <v>-1.1012062919779999</v>
      </c>
      <c r="AE3324">
        <v>-20.605</v>
      </c>
      <c r="AF3324">
        <v>-3.9063180488070501</v>
      </c>
      <c r="AG3324">
        <v>-1.1012062919779999</v>
      </c>
      <c r="AH3324">
        <v>20.193578073578902</v>
      </c>
      <c r="AI3324">
        <v>93.064687416764599</v>
      </c>
      <c r="AJ3324">
        <v>100.948274392803</v>
      </c>
      <c r="AK3324">
        <v>20.597392344897798</v>
      </c>
    </row>
    <row r="3325" spans="1:37" x14ac:dyDescent="0.2">
      <c r="A3325" t="str">
        <f>"20200111160224096"</f>
        <v>20200111160224096</v>
      </c>
      <c r="B3325" t="str">
        <f>"1578729744085673"</f>
        <v>1578729744085673</v>
      </c>
      <c r="C3325" t="s">
        <v>37</v>
      </c>
      <c r="D3325">
        <v>5.8671530000000001</v>
      </c>
      <c r="E3325">
        <v>0.40235939999999998</v>
      </c>
      <c r="F3325" t="s">
        <v>77</v>
      </c>
      <c r="G3325">
        <v>-190.35050000000001</v>
      </c>
      <c r="H3325" s="1">
        <v>-8.8615029999999996E-6</v>
      </c>
      <c r="I3325">
        <v>142.42789999999999</v>
      </c>
      <c r="J3325">
        <v>-191.7303</v>
      </c>
      <c r="K3325">
        <v>1.1023510000000001</v>
      </c>
      <c r="L3325">
        <v>162.7516</v>
      </c>
      <c r="M3325">
        <v>-0.1916929</v>
      </c>
      <c r="N3325">
        <v>0</v>
      </c>
      <c r="O3325">
        <v>-0.98135969999999995</v>
      </c>
      <c r="P3325">
        <v>-0.25804339999999998</v>
      </c>
      <c r="Q3325">
        <v>-2.4168200000000001E-2</v>
      </c>
      <c r="R3325">
        <v>-0.96583129999999995</v>
      </c>
      <c r="S3325">
        <v>0.13995360000000001</v>
      </c>
      <c r="T3325">
        <v>-0.153555</v>
      </c>
      <c r="U3325">
        <v>-3.0951230000000001</v>
      </c>
      <c r="V3325">
        <v>6.8043580000000006E-2</v>
      </c>
      <c r="W3325">
        <v>-1.08547E-2</v>
      </c>
      <c r="X3325">
        <v>0.99762329999999999</v>
      </c>
      <c r="Y3325">
        <v>-0.23579339999999999</v>
      </c>
      <c r="Z3325">
        <v>4.7447959999999997E-2</v>
      </c>
      <c r="AA3325">
        <v>0.97064419999999996</v>
      </c>
      <c r="AB3325">
        <v>20</v>
      </c>
      <c r="AC3325">
        <v>1.3797999999999799</v>
      </c>
      <c r="AD3325">
        <v>-1.1023598615029999</v>
      </c>
      <c r="AE3325">
        <v>-20.323699999999999</v>
      </c>
      <c r="AF3325">
        <v>-5.2351488804851796</v>
      </c>
      <c r="AG3325">
        <v>-1.1023598615029999</v>
      </c>
      <c r="AH3325">
        <v>19.624731487423801</v>
      </c>
      <c r="AI3325">
        <v>93.106624432686203</v>
      </c>
      <c r="AJ3325">
        <v>104.93656093609</v>
      </c>
      <c r="AK3325">
        <v>20.340896416298399</v>
      </c>
    </row>
    <row r="3326" spans="1:37" x14ac:dyDescent="0.2">
      <c r="A3326" t="str">
        <f>"20200111160224119"</f>
        <v>20200111160224119</v>
      </c>
      <c r="B3326" t="str">
        <f>"1578729744114954"</f>
        <v>1578729744114954</v>
      </c>
      <c r="C3326" t="s">
        <v>37</v>
      </c>
      <c r="D3326">
        <v>5.4506030000000001</v>
      </c>
      <c r="E3326">
        <v>0.50500219999999996</v>
      </c>
      <c r="F3326" t="s">
        <v>77</v>
      </c>
      <c r="G3326">
        <v>-191.81469999999999</v>
      </c>
      <c r="H3326" s="1">
        <v>-9.6677189999999992E-6</v>
      </c>
      <c r="I3326">
        <v>144.50020000000001</v>
      </c>
      <c r="J3326">
        <v>-191.7764</v>
      </c>
      <c r="K3326">
        <v>1.1024969999999901</v>
      </c>
      <c r="L3326">
        <v>162.542</v>
      </c>
      <c r="M3326">
        <v>-0.1957286</v>
      </c>
      <c r="N3326">
        <v>0</v>
      </c>
      <c r="O3326">
        <v>-0.98056299999999996</v>
      </c>
      <c r="P3326">
        <v>-0.26472629999999903</v>
      </c>
      <c r="Q3326">
        <v>-2.4253999999999901E-2</v>
      </c>
      <c r="R3326">
        <v>-0.96401859999999995</v>
      </c>
      <c r="S3326">
        <v>-1.4312739999999999E-2</v>
      </c>
      <c r="T3326">
        <v>-0.187092799999999</v>
      </c>
      <c r="U3326">
        <v>-3.097626</v>
      </c>
      <c r="V3326">
        <v>7.0851510000000006E-2</v>
      </c>
      <c r="W3326">
        <v>-1.0948869999999999E-2</v>
      </c>
      <c r="X3326">
        <v>0.99742679999999995</v>
      </c>
      <c r="Y3326">
        <v>-0.19121830000000001</v>
      </c>
      <c r="Z3326">
        <v>5.7984229999999998E-2</v>
      </c>
      <c r="AA3326">
        <v>0.97983339999999997</v>
      </c>
      <c r="AB3326">
        <v>20</v>
      </c>
      <c r="AC3326">
        <v>-3.8299999999992403E-2</v>
      </c>
      <c r="AD3326">
        <v>-1.1025066677190001</v>
      </c>
      <c r="AE3326">
        <v>-18.041799999999899</v>
      </c>
      <c r="AF3326">
        <v>-3.4810674636518102</v>
      </c>
      <c r="AG3326">
        <v>-1.1025066677190001</v>
      </c>
      <c r="AH3326">
        <v>17.634417800135701</v>
      </c>
      <c r="AI3326">
        <v>93.509926356262199</v>
      </c>
      <c r="AJ3326">
        <v>101.16672608643</v>
      </c>
      <c r="AK3326">
        <v>18.008499182014098</v>
      </c>
    </row>
    <row r="3327" spans="1:37" x14ac:dyDescent="0.2">
      <c r="A3327" t="str">
        <f>"20200111160224142"</f>
        <v>20200111160224142</v>
      </c>
      <c r="B3327" t="str">
        <f>"1578729744135449"</f>
        <v>1578729744135449</v>
      </c>
      <c r="C3327" t="s">
        <v>37</v>
      </c>
      <c r="D3327">
        <v>5.5157509999999998</v>
      </c>
      <c r="E3327">
        <v>0.56323080000000003</v>
      </c>
      <c r="F3327" t="s">
        <v>42</v>
      </c>
      <c r="G3327">
        <v>-191.9966</v>
      </c>
      <c r="H3327">
        <v>1.0242119999999999</v>
      </c>
      <c r="I3327">
        <v>161.7696</v>
      </c>
      <c r="J3327">
        <v>-191.81989999999999</v>
      </c>
      <c r="K3327">
        <v>1.102609</v>
      </c>
      <c r="L3327">
        <v>162.34690000000001</v>
      </c>
      <c r="M3327">
        <v>-0.19926099999999999</v>
      </c>
      <c r="N3327">
        <v>0</v>
      </c>
      <c r="O3327">
        <v>-0.97985149999999999</v>
      </c>
      <c r="P3327">
        <v>-0.26985500000000001</v>
      </c>
      <c r="Q3327">
        <v>-2.5222540000000002E-2</v>
      </c>
      <c r="R3327">
        <v>-0.9625707</v>
      </c>
      <c r="S3327">
        <v>-0.82019039999999999</v>
      </c>
      <c r="T3327">
        <v>-0.29172690000000001</v>
      </c>
      <c r="U3327">
        <v>-2.87941</v>
      </c>
      <c r="V3327">
        <v>7.2570990000000002E-2</v>
      </c>
      <c r="W3327">
        <v>-1.1921060000000001E-2</v>
      </c>
      <c r="X3327">
        <v>0.99729199999999996</v>
      </c>
      <c r="Y3327">
        <v>7.5515170000000006E-2</v>
      </c>
      <c r="Z3327">
        <v>9.5775940000000004E-2</v>
      </c>
      <c r="AA3327">
        <v>0.99253429999999998</v>
      </c>
      <c r="AB3327">
        <v>20</v>
      </c>
      <c r="AC3327">
        <v>-0.17670000000000999</v>
      </c>
      <c r="AD3327">
        <v>-7.83969999999998E-2</v>
      </c>
      <c r="AE3327">
        <v>-0.57730000000000803</v>
      </c>
      <c r="AF3327">
        <v>5.71481719306495E-2</v>
      </c>
      <c r="AG3327">
        <v>-7.83969999999998E-2</v>
      </c>
      <c r="AH3327">
        <v>0.59096881805927304</v>
      </c>
      <c r="AI3327">
        <v>97.521962814326301</v>
      </c>
      <c r="AJ3327">
        <v>84.476528559472897</v>
      </c>
      <c r="AK3327">
        <v>0.59887907550889496</v>
      </c>
    </row>
    <row r="3328" spans="1:37" x14ac:dyDescent="0.2">
      <c r="A3328" t="str">
        <f>"20200111160224163"</f>
        <v>20200111160224163</v>
      </c>
      <c r="B3328" t="str">
        <f>"1578729744154969"</f>
        <v>1578729744154969</v>
      </c>
      <c r="C3328" t="s">
        <v>37</v>
      </c>
      <c r="D3328">
        <v>5.513922</v>
      </c>
      <c r="E3328">
        <v>0.5629267</v>
      </c>
      <c r="F3328" t="s">
        <v>42</v>
      </c>
      <c r="G3328">
        <v>-192.15459999999999</v>
      </c>
      <c r="H3328">
        <v>1.0035000000000001</v>
      </c>
      <c r="I3328">
        <v>161.6276</v>
      </c>
      <c r="J3328">
        <v>-191.86330000000001</v>
      </c>
      <c r="K3328">
        <v>1.102727</v>
      </c>
      <c r="L3328">
        <v>162.15440000000001</v>
      </c>
      <c r="M3328">
        <v>-0.20253460000000001</v>
      </c>
      <c r="N3328">
        <v>0</v>
      </c>
      <c r="O3328">
        <v>-0.9791801</v>
      </c>
      <c r="P3328">
        <v>-0.2732038</v>
      </c>
      <c r="Q3328">
        <v>-2.5853669999999999E-2</v>
      </c>
      <c r="R3328">
        <v>-0.96160859999999904</v>
      </c>
      <c r="S3328">
        <v>-1.278961</v>
      </c>
      <c r="T3328">
        <v>-0.37874590000000002</v>
      </c>
      <c r="U3328">
        <v>-2.7481840000000002</v>
      </c>
      <c r="V3328">
        <v>7.2713349999999996E-2</v>
      </c>
      <c r="W3328">
        <v>-1.254831E-2</v>
      </c>
      <c r="X3328">
        <v>0.99727389999999905</v>
      </c>
      <c r="Y3328">
        <v>0.22622139999999999</v>
      </c>
      <c r="Z3328">
        <v>0.1243243</v>
      </c>
      <c r="AA3328">
        <v>0.96610940000000001</v>
      </c>
      <c r="AB3328">
        <v>20</v>
      </c>
      <c r="AC3328">
        <v>-0.29129999999997802</v>
      </c>
      <c r="AD3328">
        <v>-9.9226999999999899E-2</v>
      </c>
      <c r="AE3328">
        <v>-0.52680000000000804</v>
      </c>
      <c r="AF3328">
        <v>0.173833353323046</v>
      </c>
      <c r="AG3328">
        <v>-9.9226999999999899E-2</v>
      </c>
      <c r="AH3328">
        <v>0.55967700745613502</v>
      </c>
      <c r="AI3328">
        <v>99.609865988025604</v>
      </c>
      <c r="AJ3328">
        <v>72.745422785785294</v>
      </c>
      <c r="AK3328">
        <v>0.59439245026462895</v>
      </c>
    </row>
    <row r="3329" spans="1:37" x14ac:dyDescent="0.2">
      <c r="A3329" t="str">
        <f>"20200111160224185"</f>
        <v>20200111160224185</v>
      </c>
      <c r="B3329" t="str">
        <f>"1578729744175465"</f>
        <v>1578729744175465</v>
      </c>
      <c r="C3329" t="s">
        <v>37</v>
      </c>
      <c r="D3329">
        <v>5.4759010000000004</v>
      </c>
      <c r="E3329">
        <v>0.56273249999999997</v>
      </c>
      <c r="F3329" t="s">
        <v>42</v>
      </c>
      <c r="G3329">
        <v>-192.1919</v>
      </c>
      <c r="H3329">
        <v>1.0044819999999901</v>
      </c>
      <c r="I3329">
        <v>161.45410000000001</v>
      </c>
      <c r="J3329">
        <v>-191.9049</v>
      </c>
      <c r="K3329">
        <v>1.1028340000000001</v>
      </c>
      <c r="L3329">
        <v>161.97139999999999</v>
      </c>
      <c r="M3329">
        <v>-0.2054694</v>
      </c>
      <c r="N3329">
        <v>0</v>
      </c>
      <c r="O3329">
        <v>-0.97856900000000002</v>
      </c>
      <c r="P3329">
        <v>-0.27475169999999999</v>
      </c>
      <c r="Q3329">
        <v>-2.600908E-2</v>
      </c>
      <c r="R3329">
        <v>-0.96116380000000001</v>
      </c>
      <c r="S3329">
        <v>-1.2868189999999999</v>
      </c>
      <c r="T3329">
        <v>-0.384741099999999</v>
      </c>
      <c r="U3329">
        <v>-2.7438349999999998</v>
      </c>
      <c r="V3329">
        <v>7.1332870000000007E-2</v>
      </c>
      <c r="W3329">
        <v>-1.2693039999999999E-2</v>
      </c>
      <c r="X3329">
        <v>0.99737180000000003</v>
      </c>
      <c r="Y3329">
        <v>0.226052799999999</v>
      </c>
      <c r="Z3329">
        <v>0.12625129999999901</v>
      </c>
      <c r="AA3329">
        <v>0.9658989</v>
      </c>
      <c r="AB3329">
        <v>20</v>
      </c>
      <c r="AC3329">
        <v>-0.28700000000000597</v>
      </c>
      <c r="AD3329">
        <v>-9.8352000000000203E-2</v>
      </c>
      <c r="AE3329">
        <v>-0.517299999999977</v>
      </c>
      <c r="AF3329">
        <v>0.16988063760914701</v>
      </c>
      <c r="AG3329">
        <v>-9.8352000000000203E-2</v>
      </c>
      <c r="AH3329">
        <v>0.55003286261076401</v>
      </c>
      <c r="AI3329">
        <v>99.695259480457594</v>
      </c>
      <c r="AJ3329">
        <v>72.836412458582402</v>
      </c>
      <c r="AK3329">
        <v>0.58401087052406997</v>
      </c>
    </row>
    <row r="3330" spans="1:37" x14ac:dyDescent="0.2">
      <c r="A3330" t="str">
        <f>"20200111160224207"</f>
        <v>20200111160224207</v>
      </c>
      <c r="B3330" t="str">
        <f>"1578729744195492"</f>
        <v>1578729744195492</v>
      </c>
      <c r="C3330" t="s">
        <v>37</v>
      </c>
      <c r="D3330">
        <v>6.092098</v>
      </c>
      <c r="E3330">
        <v>0.56267519999999904</v>
      </c>
      <c r="F3330" t="s">
        <v>42</v>
      </c>
      <c r="G3330">
        <v>-192.22989999999999</v>
      </c>
      <c r="H3330">
        <v>1.005172</v>
      </c>
      <c r="I3330">
        <v>161.2807</v>
      </c>
      <c r="J3330">
        <v>-191.9477</v>
      </c>
      <c r="K3330">
        <v>1.102935</v>
      </c>
      <c r="L3330">
        <v>161.78479999999999</v>
      </c>
      <c r="M3330">
        <v>-0.20831129999999901</v>
      </c>
      <c r="N3330">
        <v>0</v>
      </c>
      <c r="O3330">
        <v>-0.97796779999999905</v>
      </c>
      <c r="P3330">
        <v>-0.27594059999999998</v>
      </c>
      <c r="Q3330">
        <v>-2.4833399999999999E-2</v>
      </c>
      <c r="R3330">
        <v>-0.96085390000000004</v>
      </c>
      <c r="S3330">
        <v>-1.29042099999999</v>
      </c>
      <c r="T3330">
        <v>-0.3877313</v>
      </c>
      <c r="U3330">
        <v>-2.7418369999999999</v>
      </c>
      <c r="V3330">
        <v>6.9670570000000001E-2</v>
      </c>
      <c r="W3330">
        <v>-1.150582E-2</v>
      </c>
      <c r="X3330">
        <v>0.99750369999999999</v>
      </c>
      <c r="Y3330">
        <v>0.22448170000000001</v>
      </c>
      <c r="Z3330">
        <v>0.12717290000000001</v>
      </c>
      <c r="AA3330">
        <v>0.96614439999999902</v>
      </c>
      <c r="AB3330">
        <v>20</v>
      </c>
      <c r="AC3330">
        <v>-0.28219999999998802</v>
      </c>
      <c r="AD3330">
        <v>-9.7763000000000003E-2</v>
      </c>
      <c r="AE3330">
        <v>-0.504099999999994</v>
      </c>
      <c r="AF3330">
        <v>0.16622840345307699</v>
      </c>
      <c r="AG3330">
        <v>-9.7763000000000003E-2</v>
      </c>
      <c r="AH3330">
        <v>0.53646750882890504</v>
      </c>
      <c r="AI3330">
        <v>99.874526622440598</v>
      </c>
      <c r="AJ3330">
        <v>72.784020494318796</v>
      </c>
      <c r="AK3330">
        <v>0.57007620044398499</v>
      </c>
    </row>
    <row r="3331" spans="1:37" x14ac:dyDescent="0.2">
      <c r="A3331" t="str">
        <f>"20200111160224230"</f>
        <v>20200111160224230</v>
      </c>
      <c r="B3331" t="str">
        <f>"1578729744225751"</f>
        <v>1578729744225751</v>
      </c>
      <c r="C3331" t="s">
        <v>37</v>
      </c>
      <c r="D3331">
        <v>5.4557960000000003</v>
      </c>
      <c r="E3331">
        <v>0.56287229999999999</v>
      </c>
      <c r="F3331" t="s">
        <v>42</v>
      </c>
      <c r="G3331">
        <v>-192.2681</v>
      </c>
      <c r="H3331">
        <v>1.007717</v>
      </c>
      <c r="I3331">
        <v>161.10659999999999</v>
      </c>
      <c r="J3331">
        <v>-191.9939</v>
      </c>
      <c r="K3331">
        <v>1.1030359999999999</v>
      </c>
      <c r="L3331">
        <v>161.58529999999999</v>
      </c>
      <c r="M3331">
        <v>-0.21120229999999901</v>
      </c>
      <c r="N3331">
        <v>0</v>
      </c>
      <c r="O3331">
        <v>-0.97734769999999904</v>
      </c>
      <c r="P3331">
        <v>-0.27721180000000001</v>
      </c>
      <c r="Q3331">
        <v>-2.4418639999999998E-2</v>
      </c>
      <c r="R3331">
        <v>-0.96049839999999997</v>
      </c>
      <c r="S3331">
        <v>-1.2938229999999999</v>
      </c>
      <c r="T3331">
        <v>-0.38464989999999999</v>
      </c>
      <c r="U3331">
        <v>-2.740707</v>
      </c>
      <c r="V3331">
        <v>6.804296E-2</v>
      </c>
      <c r="W3331">
        <v>-1.108112E-2</v>
      </c>
      <c r="X3331">
        <v>0.99762090000000003</v>
      </c>
      <c r="Y3331">
        <v>0.22279399999999999</v>
      </c>
      <c r="Z3331">
        <v>0.12610080000000001</v>
      </c>
      <c r="AA3331">
        <v>0.96667549999999902</v>
      </c>
      <c r="AB3331">
        <v>20</v>
      </c>
      <c r="AC3331">
        <v>-0.27420000000000699</v>
      </c>
      <c r="AD3331">
        <v>-9.5319000000000098E-2</v>
      </c>
      <c r="AE3331">
        <v>-0.47870000000000301</v>
      </c>
      <c r="AF3331">
        <v>0.16206341969364199</v>
      </c>
      <c r="AG3331">
        <v>-9.5319000000000098E-2</v>
      </c>
      <c r="AH3331">
        <v>0.51057405149360502</v>
      </c>
      <c r="AI3331">
        <v>100.089663680892</v>
      </c>
      <c r="AJ3331">
        <v>72.389826115253499</v>
      </c>
      <c r="AK3331">
        <v>0.54409201962755604</v>
      </c>
    </row>
    <row r="3332" spans="1:37" x14ac:dyDescent="0.2">
      <c r="A3332" t="str">
        <f>"20200111160224253"</f>
        <v>20200111160224253</v>
      </c>
      <c r="B3332" t="str">
        <f>"1578729744245268"</f>
        <v>1578729744245268</v>
      </c>
      <c r="C3332" t="s">
        <v>37</v>
      </c>
      <c r="D3332">
        <v>5.436426</v>
      </c>
      <c r="E3332">
        <v>0.56315919999999997</v>
      </c>
      <c r="F3332" t="s">
        <v>42</v>
      </c>
      <c r="G3332">
        <v>-192.37790000000001</v>
      </c>
      <c r="H3332">
        <v>0.98847339999999995</v>
      </c>
      <c r="I3332">
        <v>160.77629999999999</v>
      </c>
      <c r="J3332">
        <v>-192.04040000000001</v>
      </c>
      <c r="K3332">
        <v>1.103111</v>
      </c>
      <c r="L3332">
        <v>161.38630000000001</v>
      </c>
      <c r="M3332">
        <v>-0.21394450000000001</v>
      </c>
      <c r="N3332">
        <v>0</v>
      </c>
      <c r="O3332">
        <v>-0.97675149999999999</v>
      </c>
      <c r="P3332">
        <v>-0.27828130000000001</v>
      </c>
      <c r="Q3332">
        <v>-2.3291490000000001E-2</v>
      </c>
      <c r="R3332">
        <v>-0.96021749999999995</v>
      </c>
      <c r="S3332">
        <v>-1.299026</v>
      </c>
      <c r="T3332">
        <v>-0.38768150000000001</v>
      </c>
      <c r="U3332">
        <v>-2.7386020000000002</v>
      </c>
      <c r="V3332">
        <v>6.6353880000000004E-2</v>
      </c>
      <c r="W3332">
        <v>-9.9468539999999998E-3</v>
      </c>
      <c r="X3332">
        <v>0.99774660000000004</v>
      </c>
      <c r="Y3332">
        <v>0.22179459999999901</v>
      </c>
      <c r="Z3332">
        <v>0.12701609999999999</v>
      </c>
      <c r="AA3332">
        <v>0.96678539999999902</v>
      </c>
      <c r="AB3332">
        <v>20</v>
      </c>
      <c r="AC3332">
        <v>-0.33750000000000502</v>
      </c>
      <c r="AD3332">
        <v>-0.11463759999999899</v>
      </c>
      <c r="AE3332">
        <v>-0.61000000000001298</v>
      </c>
      <c r="AF3332">
        <v>0.19392211413009</v>
      </c>
      <c r="AG3332">
        <v>-0.11463759999999899</v>
      </c>
      <c r="AH3332">
        <v>0.65049658121851395</v>
      </c>
      <c r="AI3332">
        <v>99.585999548787896</v>
      </c>
      <c r="AJ3332">
        <v>73.399946537981293</v>
      </c>
      <c r="AK3332">
        <v>0.688399134121636</v>
      </c>
    </row>
    <row r="3333" spans="1:37" x14ac:dyDescent="0.2">
      <c r="A3333" t="str">
        <f>"20200111160224275"</f>
        <v>20200111160224275</v>
      </c>
      <c r="B3333" t="str">
        <f>"1578729744265764"</f>
        <v>1578729744265764</v>
      </c>
      <c r="C3333" t="s">
        <v>37</v>
      </c>
      <c r="D3333">
        <v>5.4792730000000001</v>
      </c>
      <c r="E3333">
        <v>0.56308440000000004</v>
      </c>
      <c r="F3333" t="s">
        <v>42</v>
      </c>
      <c r="G3333">
        <v>-192.41390000000001</v>
      </c>
      <c r="H3333">
        <v>0.99251889999999998</v>
      </c>
      <c r="I3333">
        <v>160.6027</v>
      </c>
      <c r="J3333">
        <v>-192.08459999999999</v>
      </c>
      <c r="K3333">
        <v>1.1031599999999999</v>
      </c>
      <c r="L3333">
        <v>161.19890000000001</v>
      </c>
      <c r="M3333">
        <v>-0.21643989999999999</v>
      </c>
      <c r="N3333">
        <v>0</v>
      </c>
      <c r="O3333">
        <v>-0.9762016</v>
      </c>
      <c r="P3333">
        <v>-0.27950740000000002</v>
      </c>
      <c r="Q3333">
        <v>-2.1517649999999999E-2</v>
      </c>
      <c r="R3333">
        <v>-0.95990279999999994</v>
      </c>
      <c r="S3333">
        <v>-1.3044739999999999</v>
      </c>
      <c r="T3333">
        <v>-0.38623859999999999</v>
      </c>
      <c r="U3333">
        <v>-2.736847</v>
      </c>
      <c r="V3333">
        <v>6.5075980000000005E-2</v>
      </c>
      <c r="W3333">
        <v>-8.1710310000000005E-3</v>
      </c>
      <c r="X3333">
        <v>0.99784680000000003</v>
      </c>
      <c r="Y3333">
        <v>0.22114229999999899</v>
      </c>
      <c r="Z3333">
        <v>0.12647700000000001</v>
      </c>
      <c r="AA3333">
        <v>0.96700549999999996</v>
      </c>
      <c r="AB3333">
        <v>20</v>
      </c>
      <c r="AC3333">
        <v>-0.32930000000001702</v>
      </c>
      <c r="AD3333">
        <v>-0.11064110000000001</v>
      </c>
      <c r="AE3333">
        <v>-0.59620000000001006</v>
      </c>
      <c r="AF3333">
        <v>0.18749181009041799</v>
      </c>
      <c r="AG3333">
        <v>-0.11064110000000001</v>
      </c>
      <c r="AH3333">
        <v>0.63654767271036095</v>
      </c>
      <c r="AI3333">
        <v>99.465973716993602</v>
      </c>
      <c r="AJ3333">
        <v>73.587936522246196</v>
      </c>
      <c r="AK3333">
        <v>0.67274629058298696</v>
      </c>
    </row>
    <row r="3334" spans="1:37" x14ac:dyDescent="0.2">
      <c r="A3334" t="str">
        <f>"20200111160224296"</f>
        <v>20200111160224296</v>
      </c>
      <c r="B3334" t="str">
        <f>"1578729744285792"</f>
        <v>1578729744285792</v>
      </c>
      <c r="C3334" t="s">
        <v>37</v>
      </c>
      <c r="D3334">
        <v>5.4129779999999998</v>
      </c>
      <c r="E3334">
        <v>0.56320969999999904</v>
      </c>
      <c r="F3334" t="s">
        <v>42</v>
      </c>
      <c r="G3334">
        <v>-192.45249999999999</v>
      </c>
      <c r="H3334">
        <v>0.99561730000000004</v>
      </c>
      <c r="I3334">
        <v>160.4298</v>
      </c>
      <c r="J3334">
        <v>-192.12809999999999</v>
      </c>
      <c r="K3334">
        <v>1.1031959999999901</v>
      </c>
      <c r="L3334">
        <v>161.01650000000001</v>
      </c>
      <c r="M3334">
        <v>-0.21880369999999999</v>
      </c>
      <c r="N3334">
        <v>0</v>
      </c>
      <c r="O3334">
        <v>-0.97567469999999901</v>
      </c>
      <c r="P3334">
        <v>-0.28102899999999997</v>
      </c>
      <c r="Q3334">
        <v>-1.9482070000000001E-2</v>
      </c>
      <c r="R3334">
        <v>-0.95950159999999995</v>
      </c>
      <c r="S3334">
        <v>-1.307755</v>
      </c>
      <c r="T3334">
        <v>-0.38246289999999999</v>
      </c>
      <c r="U3334">
        <v>-2.7359309999999999</v>
      </c>
      <c r="V3334">
        <v>6.423827E-2</v>
      </c>
      <c r="W3334">
        <v>-6.1375190000000001E-3</v>
      </c>
      <c r="X3334">
        <v>0.99791569999999996</v>
      </c>
      <c r="Y3334">
        <v>0.21992210000000001</v>
      </c>
      <c r="Z3334">
        <v>0.12518579999999899</v>
      </c>
      <c r="AA3334">
        <v>0.96745170000000003</v>
      </c>
      <c r="AB3334">
        <v>20</v>
      </c>
      <c r="AC3334">
        <v>-0.32439999999999702</v>
      </c>
      <c r="AD3334">
        <v>-0.107578699999999</v>
      </c>
      <c r="AE3334">
        <v>-0.58670000000000699</v>
      </c>
      <c r="AF3334">
        <v>0.183430782604836</v>
      </c>
      <c r="AG3334">
        <v>-0.107578699999999</v>
      </c>
      <c r="AH3334">
        <v>0.62731437103897103</v>
      </c>
      <c r="AI3334">
        <v>99.346988220594397</v>
      </c>
      <c r="AJ3334">
        <v>73.700738493826705</v>
      </c>
      <c r="AK3334">
        <v>0.66237704429783195</v>
      </c>
    </row>
    <row r="3335" spans="1:37" x14ac:dyDescent="0.2">
      <c r="A3335" t="str">
        <f>"20200111160224320"</f>
        <v>20200111160224320</v>
      </c>
      <c r="B3335" t="str">
        <f>"1578729744315073"</f>
        <v>1578729744315073</v>
      </c>
      <c r="C3335" t="s">
        <v>37</v>
      </c>
      <c r="D3335">
        <v>5.4226089999999996</v>
      </c>
      <c r="E3335">
        <v>0.56292719999999996</v>
      </c>
      <c r="F3335" t="s">
        <v>42</v>
      </c>
      <c r="G3335">
        <v>-192.49260000000001</v>
      </c>
      <c r="H3335">
        <v>0.99809150000000002</v>
      </c>
      <c r="I3335">
        <v>160.2576</v>
      </c>
      <c r="J3335">
        <v>-192.17789999999999</v>
      </c>
      <c r="K3335">
        <v>1.1032150000000001</v>
      </c>
      <c r="L3335">
        <v>160.8092</v>
      </c>
      <c r="M3335">
        <v>-0.2214322</v>
      </c>
      <c r="N3335">
        <v>0</v>
      </c>
      <c r="O3335">
        <v>-0.97508189999999995</v>
      </c>
      <c r="P3335">
        <v>-0.28340939999999998</v>
      </c>
      <c r="Q3335">
        <v>-1.8159910000000001E-2</v>
      </c>
      <c r="R3335">
        <v>-0.9588276</v>
      </c>
      <c r="S3335">
        <v>-1.3131709999999901</v>
      </c>
      <c r="T3335">
        <v>-0.37866119999999998</v>
      </c>
      <c r="U3335">
        <v>-2.7343139999999999</v>
      </c>
      <c r="V3335">
        <v>6.4024020000000001E-2</v>
      </c>
      <c r="W3335">
        <v>-4.8218180000000003E-3</v>
      </c>
      <c r="X3335">
        <v>0.99793670000000001</v>
      </c>
      <c r="Y3335">
        <v>0.21914699999999901</v>
      </c>
      <c r="Z3335">
        <v>0.1238768</v>
      </c>
      <c r="AA3335">
        <v>0.96779599999999899</v>
      </c>
      <c r="AB3335">
        <v>20</v>
      </c>
      <c r="AC3335">
        <v>-0.31470000000001602</v>
      </c>
      <c r="AD3335">
        <v>-0.105123499999999</v>
      </c>
      <c r="AE3335">
        <v>-0.55160000000000697</v>
      </c>
      <c r="AF3335">
        <v>0.17980623881023899</v>
      </c>
      <c r="AG3335">
        <v>-0.105123499999999</v>
      </c>
      <c r="AH3335">
        <v>0.59139057437305997</v>
      </c>
      <c r="AI3335">
        <v>99.651918725022199</v>
      </c>
      <c r="AJ3335">
        <v>73.088643694412895</v>
      </c>
      <c r="AK3335">
        <v>0.626996048811022</v>
      </c>
    </row>
    <row r="3336" spans="1:37" x14ac:dyDescent="0.2">
      <c r="A3336" t="str">
        <f>"20200111160224343"</f>
        <v>20200111160224343</v>
      </c>
      <c r="B3336" t="str">
        <f>"1578729744335569"</f>
        <v>1578729744335569</v>
      </c>
      <c r="C3336" t="s">
        <v>37</v>
      </c>
      <c r="D3336">
        <v>5.3778100000000002</v>
      </c>
      <c r="E3336">
        <v>0.56278549999999905</v>
      </c>
      <c r="F3336" t="s">
        <v>42</v>
      </c>
      <c r="G3336">
        <v>-192.52799999999999</v>
      </c>
      <c r="H3336">
        <v>1.002874</v>
      </c>
      <c r="I3336">
        <v>160.08359999999999</v>
      </c>
      <c r="J3336">
        <v>-192.2242</v>
      </c>
      <c r="K3336">
        <v>1.1032299999999999</v>
      </c>
      <c r="L3336">
        <v>160.6191</v>
      </c>
      <c r="M3336">
        <v>-0.22380619999999901</v>
      </c>
      <c r="N3336">
        <v>0</v>
      </c>
      <c r="O3336">
        <v>-0.9745395</v>
      </c>
      <c r="P3336">
        <v>-0.28613769999999999</v>
      </c>
      <c r="Q3336">
        <v>-1.7192610000000001E-2</v>
      </c>
      <c r="R3336">
        <v>-0.95803439999999995</v>
      </c>
      <c r="S3336">
        <v>-1.31749</v>
      </c>
      <c r="T3336">
        <v>-0.37779390000000002</v>
      </c>
      <c r="U3336">
        <v>-2.7322389999999999</v>
      </c>
      <c r="V3336">
        <v>6.4433309999999994E-2</v>
      </c>
      <c r="W3336">
        <v>-3.8622389999999999E-3</v>
      </c>
      <c r="X3336">
        <v>0.99791459999999998</v>
      </c>
      <c r="Y3336">
        <v>0.21831729999999899</v>
      </c>
      <c r="Z3336">
        <v>0.12355139999999901</v>
      </c>
      <c r="AA3336">
        <v>0.96802509999999997</v>
      </c>
      <c r="AB3336">
        <v>20</v>
      </c>
      <c r="AC3336">
        <v>-0.30379999999999502</v>
      </c>
      <c r="AD3336">
        <v>-0.100355999999999</v>
      </c>
      <c r="AE3336">
        <v>-0.53550000000001297</v>
      </c>
      <c r="AF3336">
        <v>0.171671805291118</v>
      </c>
      <c r="AG3336">
        <v>-0.100355999999999</v>
      </c>
      <c r="AH3336">
        <v>0.57464430473757799</v>
      </c>
      <c r="AI3336">
        <v>99.499447305737206</v>
      </c>
      <c r="AJ3336">
        <v>73.366775675237804</v>
      </c>
      <c r="AK3336">
        <v>0.60807780130115496</v>
      </c>
    </row>
    <row r="3337" spans="1:37" x14ac:dyDescent="0.2">
      <c r="A3337" t="str">
        <f>"20200111160224363"</f>
        <v>20200111160224363</v>
      </c>
      <c r="B3337" t="str">
        <f>"1578729744355088"</f>
        <v>1578729744355088</v>
      </c>
      <c r="C3337" t="s">
        <v>37</v>
      </c>
      <c r="D3337">
        <v>5.340751</v>
      </c>
      <c r="E3337">
        <v>0.56280010000000003</v>
      </c>
      <c r="F3337" t="s">
        <v>42</v>
      </c>
      <c r="G3337">
        <v>-192.5676</v>
      </c>
      <c r="H3337">
        <v>1.0055529999999999</v>
      </c>
      <c r="I3337">
        <v>159.91159999999999</v>
      </c>
      <c r="J3337">
        <v>-192.2698</v>
      </c>
      <c r="K3337">
        <v>1.103243</v>
      </c>
      <c r="L3337">
        <v>160.4332</v>
      </c>
      <c r="M3337">
        <v>-0.2261099</v>
      </c>
      <c r="N3337">
        <v>0</v>
      </c>
      <c r="O3337">
        <v>-0.97400799999999998</v>
      </c>
      <c r="P3337">
        <v>-0.28902329999999998</v>
      </c>
      <c r="Q3337">
        <v>-1.6290510000000001E-2</v>
      </c>
      <c r="R3337">
        <v>-0.95718369999999997</v>
      </c>
      <c r="S3337">
        <v>-1.324524</v>
      </c>
      <c r="T3337">
        <v>-0.3767393</v>
      </c>
      <c r="U3337">
        <v>-2.729034</v>
      </c>
      <c r="V3337">
        <v>6.5079789999999998E-2</v>
      </c>
      <c r="W3337">
        <v>-2.9680240000000001E-3</v>
      </c>
      <c r="X3337">
        <v>0.99787559999999997</v>
      </c>
      <c r="Y3337">
        <v>0.2184972</v>
      </c>
      <c r="Z3337">
        <v>0.123173399999999</v>
      </c>
      <c r="AA3337">
        <v>0.96803269999999997</v>
      </c>
      <c r="AB3337">
        <v>20</v>
      </c>
      <c r="AC3337">
        <v>-0.29779999999999501</v>
      </c>
      <c r="AD3337">
        <v>-9.7689999999999805E-2</v>
      </c>
      <c r="AE3337">
        <v>-0.52160000000000595</v>
      </c>
      <c r="AF3337">
        <v>0.167700040925823</v>
      </c>
      <c r="AG3337">
        <v>-9.7689999999999805E-2</v>
      </c>
      <c r="AH3337">
        <v>0.56060052230886104</v>
      </c>
      <c r="AI3337">
        <v>99.478099110586797</v>
      </c>
      <c r="AJ3337">
        <v>73.345784620308905</v>
      </c>
      <c r="AK3337">
        <v>0.59324496242234603</v>
      </c>
    </row>
    <row r="3338" spans="1:37" x14ac:dyDescent="0.2">
      <c r="A3338" t="str">
        <f>"20200111160224386"</f>
        <v>20200111160224386</v>
      </c>
      <c r="B3338" t="str">
        <f>"1578729744375584"</f>
        <v>1578729744375584</v>
      </c>
      <c r="C3338" t="s">
        <v>37</v>
      </c>
      <c r="D3338">
        <v>5.3566320000000003</v>
      </c>
      <c r="E3338">
        <v>0.56279690000000004</v>
      </c>
      <c r="F3338" t="s">
        <v>42</v>
      </c>
      <c r="G3338">
        <v>-192.6087</v>
      </c>
      <c r="H3338">
        <v>1.007571</v>
      </c>
      <c r="I3338">
        <v>159.7405</v>
      </c>
      <c r="J3338">
        <v>-192.31610000000001</v>
      </c>
      <c r="K3338">
        <v>1.1032500000000001</v>
      </c>
      <c r="L3338">
        <v>160.24619999999999</v>
      </c>
      <c r="M3338">
        <v>-0.2284205</v>
      </c>
      <c r="N3338">
        <v>0</v>
      </c>
      <c r="O3338">
        <v>-0.97346860000000002</v>
      </c>
      <c r="P3338">
        <v>-0.29163519999999998</v>
      </c>
      <c r="Q3338">
        <v>-1.5309659999999999E-2</v>
      </c>
      <c r="R3338">
        <v>-0.95640740000000002</v>
      </c>
      <c r="S3338">
        <v>-1.3330690000000001</v>
      </c>
      <c r="T3338">
        <v>-0.3763147</v>
      </c>
      <c r="U3338">
        <v>-2.7252809999999998</v>
      </c>
      <c r="V3338">
        <v>6.5435129999999994E-2</v>
      </c>
      <c r="W3338">
        <v>-1.9937760000000001E-3</v>
      </c>
      <c r="X3338">
        <v>0.99785480000000004</v>
      </c>
      <c r="Y3338">
        <v>0.21916749999999999</v>
      </c>
      <c r="Z3338">
        <v>0.12299739999999899</v>
      </c>
      <c r="AA3338">
        <v>0.96790359999999998</v>
      </c>
      <c r="AB3338">
        <v>20</v>
      </c>
      <c r="AC3338">
        <v>-0.29259999999999298</v>
      </c>
      <c r="AD3338">
        <v>-9.5679E-2</v>
      </c>
      <c r="AE3338">
        <v>-0.50569999999999005</v>
      </c>
      <c r="AF3338">
        <v>0.164917298809243</v>
      </c>
      <c r="AG3338">
        <v>-9.5679E-2</v>
      </c>
      <c r="AH3338">
        <v>0.54456555375731597</v>
      </c>
      <c r="AI3338">
        <v>99.545324055590498</v>
      </c>
      <c r="AJ3338">
        <v>73.151485499135504</v>
      </c>
      <c r="AK3338">
        <v>0.57697818747899798</v>
      </c>
    </row>
    <row r="3339" spans="1:37" x14ac:dyDescent="0.2">
      <c r="A3339" t="str">
        <f>"20200111160224409"</f>
        <v>20200111160224409</v>
      </c>
      <c r="B3339" t="str">
        <f>"1578729744405373"</f>
        <v>1578729744405373</v>
      </c>
      <c r="C3339" t="s">
        <v>37</v>
      </c>
      <c r="D3339">
        <v>5.3994869999999997</v>
      </c>
      <c r="E3339">
        <v>0.5628628</v>
      </c>
      <c r="F3339" t="s">
        <v>42</v>
      </c>
      <c r="G3339">
        <v>-192.64940000000001</v>
      </c>
      <c r="H3339">
        <v>1.009825</v>
      </c>
      <c r="I3339">
        <v>159.5694</v>
      </c>
      <c r="J3339">
        <v>-192.36359999999999</v>
      </c>
      <c r="K3339">
        <v>1.103235</v>
      </c>
      <c r="L3339">
        <v>160.0564</v>
      </c>
      <c r="M3339">
        <v>-0.2307669</v>
      </c>
      <c r="N3339">
        <v>0</v>
      </c>
      <c r="O3339">
        <v>-0.97291519999999998</v>
      </c>
      <c r="P3339">
        <v>-0.29430020000000001</v>
      </c>
      <c r="Q3339">
        <v>-1.474636E-2</v>
      </c>
      <c r="R3339">
        <v>-0.95559939999999999</v>
      </c>
      <c r="S3339">
        <v>-1.3405</v>
      </c>
      <c r="T3339">
        <v>-0.37576880000000001</v>
      </c>
      <c r="U3339">
        <v>-2.7219849999999899</v>
      </c>
      <c r="V3339">
        <v>6.5810519999999997E-2</v>
      </c>
      <c r="W3339">
        <v>-1.4371500000000001E-3</v>
      </c>
      <c r="X3339">
        <v>0.99783109999999997</v>
      </c>
      <c r="Y3339">
        <v>0.21941910000000001</v>
      </c>
      <c r="Z3339">
        <v>0.12277730000000001</v>
      </c>
      <c r="AA3339">
        <v>0.96787449999999997</v>
      </c>
      <c r="AB3339">
        <v>20</v>
      </c>
      <c r="AC3339">
        <v>-0.28580000000002298</v>
      </c>
      <c r="AD3339">
        <v>-9.3410000000000007E-2</v>
      </c>
      <c r="AE3339">
        <v>-0.48699999999999399</v>
      </c>
      <c r="AF3339">
        <v>0.161277419176309</v>
      </c>
      <c r="AG3339">
        <v>-9.3410000000000007E-2</v>
      </c>
      <c r="AH3339">
        <v>0.52543356161675103</v>
      </c>
      <c r="AI3339">
        <v>99.645335703247895</v>
      </c>
      <c r="AJ3339">
        <v>72.936571602572698</v>
      </c>
      <c r="AK3339">
        <v>0.55750897903929397</v>
      </c>
    </row>
    <row r="3340" spans="1:37" x14ac:dyDescent="0.2">
      <c r="A3340" t="str">
        <f>"20200111160224432"</f>
        <v>20200111160224432</v>
      </c>
      <c r="B3340" t="str">
        <f>"1578729744424892"</f>
        <v>1578729744424892</v>
      </c>
      <c r="C3340" t="s">
        <v>37</v>
      </c>
      <c r="D3340">
        <v>5.1155720000000002</v>
      </c>
      <c r="E3340">
        <v>0.5629883</v>
      </c>
      <c r="F3340" t="s">
        <v>42</v>
      </c>
      <c r="G3340">
        <v>-192.6901</v>
      </c>
      <c r="H3340">
        <v>1.012178</v>
      </c>
      <c r="I3340">
        <v>159.39850000000001</v>
      </c>
      <c r="J3340">
        <v>-192.41460000000001</v>
      </c>
      <c r="K3340">
        <v>1.1032249999999999</v>
      </c>
      <c r="L3340">
        <v>159.85480000000001</v>
      </c>
      <c r="M3340">
        <v>-0.23326149999999901</v>
      </c>
      <c r="N3340">
        <v>0</v>
      </c>
      <c r="O3340">
        <v>-0.97232009999999902</v>
      </c>
      <c r="P3340">
        <v>-0.29670859999999999</v>
      </c>
      <c r="Q3340">
        <v>-1.47896E-2</v>
      </c>
      <c r="R3340">
        <v>-0.95485379999999997</v>
      </c>
      <c r="S3340">
        <v>-1.348495</v>
      </c>
      <c r="T3340">
        <v>-0.37614809999999999</v>
      </c>
      <c r="U3340">
        <v>-2.7182919999999999</v>
      </c>
      <c r="V3340">
        <v>6.5767049999999994E-2</v>
      </c>
      <c r="W3340">
        <v>-1.486212E-3</v>
      </c>
      <c r="X3340">
        <v>0.99783389999999905</v>
      </c>
      <c r="Y3340">
        <v>0.2197209</v>
      </c>
      <c r="Z3340">
        <v>0.122856199999999</v>
      </c>
      <c r="AA3340">
        <v>0.96779599999999899</v>
      </c>
      <c r="AB3340">
        <v>20</v>
      </c>
      <c r="AC3340">
        <v>-0.27549999999999297</v>
      </c>
      <c r="AD3340">
        <v>-9.1046999999999795E-2</v>
      </c>
      <c r="AE3340">
        <v>-0.45629999999999798</v>
      </c>
      <c r="AF3340">
        <v>0.156874541115572</v>
      </c>
      <c r="AG3340">
        <v>-9.1046999999999795E-2</v>
      </c>
      <c r="AH3340">
        <v>0.49357833494674902</v>
      </c>
      <c r="AI3340">
        <v>99.970573369569706</v>
      </c>
      <c r="AJ3340">
        <v>72.368125371257193</v>
      </c>
      <c r="AK3340">
        <v>0.52585050212776796</v>
      </c>
    </row>
    <row r="3341" spans="1:37" x14ac:dyDescent="0.2">
      <c r="A3341" t="str">
        <f>"20200111160224455"</f>
        <v>20200111160224455</v>
      </c>
      <c r="B3341" t="str">
        <f>"1578729744445387"</f>
        <v>1578729744445387</v>
      </c>
      <c r="C3341" t="s">
        <v>37</v>
      </c>
      <c r="D3341">
        <v>5.1644189999999996</v>
      </c>
      <c r="E3341">
        <v>0.56292249999999999</v>
      </c>
      <c r="F3341" t="s">
        <v>42</v>
      </c>
      <c r="G3341">
        <v>-192.8047</v>
      </c>
      <c r="H3341">
        <v>0.99452229999999997</v>
      </c>
      <c r="I3341">
        <v>159.07429999999999</v>
      </c>
      <c r="J3341">
        <v>-192.46279999999999</v>
      </c>
      <c r="K3341">
        <v>1.103208</v>
      </c>
      <c r="L3341">
        <v>159.6662</v>
      </c>
      <c r="M3341">
        <v>-0.23559910000000001</v>
      </c>
      <c r="N3341">
        <v>0</v>
      </c>
      <c r="O3341">
        <v>-0.97175619999999996</v>
      </c>
      <c r="P3341">
        <v>-0.2993902</v>
      </c>
      <c r="Q3341">
        <v>-1.5281650000000001E-2</v>
      </c>
      <c r="R3341">
        <v>-0.95400849999999904</v>
      </c>
      <c r="S3341">
        <v>-1.3560639999999999</v>
      </c>
      <c r="T3341">
        <v>-0.3779631</v>
      </c>
      <c r="U3341">
        <v>-2.7146149999999998</v>
      </c>
      <c r="V3341">
        <v>6.6171129999999995E-2</v>
      </c>
      <c r="W3341">
        <v>-1.98562E-3</v>
      </c>
      <c r="X3341">
        <v>0.99780630000000003</v>
      </c>
      <c r="Y3341">
        <v>0.22002729999999901</v>
      </c>
      <c r="Z3341">
        <v>0.1234049</v>
      </c>
      <c r="AA3341">
        <v>0.96765659999999898</v>
      </c>
      <c r="AB3341">
        <v>19</v>
      </c>
      <c r="AC3341">
        <v>-0.34190000000000897</v>
      </c>
      <c r="AD3341">
        <v>-0.1086857</v>
      </c>
      <c r="AE3341">
        <v>-0.59190000000000897</v>
      </c>
      <c r="AF3341">
        <v>0.18805563810385501</v>
      </c>
      <c r="AG3341">
        <v>-0.1086857</v>
      </c>
      <c r="AH3341">
        <v>0.63962315557445704</v>
      </c>
      <c r="AI3341">
        <v>99.258996734822205</v>
      </c>
      <c r="AJ3341">
        <v>73.616133678529195</v>
      </c>
      <c r="AK3341">
        <v>0.67549632534467896</v>
      </c>
    </row>
    <row r="3342" spans="1:37" x14ac:dyDescent="0.2">
      <c r="A3342" t="str">
        <f>"20200111160224475"</f>
        <v>20200111160224475</v>
      </c>
      <c r="B3342" t="str">
        <f>"1578729744464910"</f>
        <v>1578729744464910</v>
      </c>
      <c r="C3342" t="s">
        <v>37</v>
      </c>
      <c r="D3342">
        <v>5.0921919999999998</v>
      </c>
      <c r="E3342">
        <v>0.56293729999999997</v>
      </c>
      <c r="F3342" t="s">
        <v>42</v>
      </c>
      <c r="G3342">
        <v>-192.84530000000001</v>
      </c>
      <c r="H3342">
        <v>0.9962145</v>
      </c>
      <c r="I3342">
        <v>158.90520000000001</v>
      </c>
      <c r="J3342">
        <v>-192.50790000000001</v>
      </c>
      <c r="K3342">
        <v>1.103194</v>
      </c>
      <c r="L3342">
        <v>159.4915</v>
      </c>
      <c r="M3342">
        <v>-0.23777019999999999</v>
      </c>
      <c r="N3342">
        <v>0</v>
      </c>
      <c r="O3342">
        <v>-0.97122759999999997</v>
      </c>
      <c r="P3342">
        <v>-0.30237009999999998</v>
      </c>
      <c r="Q3342">
        <v>-1.512763E-2</v>
      </c>
      <c r="R3342">
        <v>-0.95307120000000001</v>
      </c>
      <c r="S3342">
        <v>-1.362595</v>
      </c>
      <c r="T3342">
        <v>-0.38113269999999999</v>
      </c>
      <c r="U3342">
        <v>-2.7108919999999999</v>
      </c>
      <c r="V3342">
        <v>6.7059110000000005E-2</v>
      </c>
      <c r="W3342">
        <v>-1.840129E-3</v>
      </c>
      <c r="X3342">
        <v>0.9977473</v>
      </c>
      <c r="Y3342">
        <v>0.22018389999999999</v>
      </c>
      <c r="Z3342">
        <v>0.12440799999999901</v>
      </c>
      <c r="AA3342">
        <v>0.96749249999999998</v>
      </c>
      <c r="AB3342">
        <v>19</v>
      </c>
      <c r="AC3342">
        <v>-0.33740000000000198</v>
      </c>
      <c r="AD3342">
        <v>-0.10697950000000001</v>
      </c>
      <c r="AE3342">
        <v>-0.58629999999999405</v>
      </c>
      <c r="AF3342">
        <v>0.183709950016929</v>
      </c>
      <c r="AG3342">
        <v>-0.10697950000000001</v>
      </c>
      <c r="AH3342">
        <v>0.63386025893599596</v>
      </c>
      <c r="AI3342">
        <v>99.207752471882799</v>
      </c>
      <c r="AJ3342">
        <v>73.836973562263097</v>
      </c>
      <c r="AK3342">
        <v>0.66856023439468804</v>
      </c>
    </row>
    <row r="3343" spans="1:37" x14ac:dyDescent="0.2">
      <c r="A3343" t="str">
        <f>"20200111160224497"</f>
        <v>20200111160224497</v>
      </c>
      <c r="B3343" t="str">
        <f>"1578729744484936"</f>
        <v>1578729744484936</v>
      </c>
      <c r="C3343" t="s">
        <v>37</v>
      </c>
      <c r="D3343">
        <v>4.9835219999999998</v>
      </c>
      <c r="E3343">
        <v>0.56288090000000002</v>
      </c>
      <c r="F3343" t="s">
        <v>42</v>
      </c>
      <c r="G3343">
        <v>-192.88990000000001</v>
      </c>
      <c r="H3343">
        <v>0.99642350000000002</v>
      </c>
      <c r="I3343">
        <v>158.73740000000001</v>
      </c>
      <c r="J3343">
        <v>-192.5558</v>
      </c>
      <c r="K3343">
        <v>1.103186</v>
      </c>
      <c r="L3343">
        <v>159.30770000000001</v>
      </c>
      <c r="M3343">
        <v>-0.240063</v>
      </c>
      <c r="N3343">
        <v>0</v>
      </c>
      <c r="O3343">
        <v>-0.97066319999999995</v>
      </c>
      <c r="P3343">
        <v>-0.30595640000000002</v>
      </c>
      <c r="Q3343">
        <v>-1.4871550000000001E-2</v>
      </c>
      <c r="R3343">
        <v>-0.95192960000000004</v>
      </c>
      <c r="S3343">
        <v>-1.3708340000000001</v>
      </c>
      <c r="T3343">
        <v>-0.38318249999999998</v>
      </c>
      <c r="U3343">
        <v>-2.7067109999999999</v>
      </c>
      <c r="V3343">
        <v>6.8459339999999994E-2</v>
      </c>
      <c r="W3343">
        <v>-1.5943559999999999E-3</v>
      </c>
      <c r="X3343">
        <v>0.9976526</v>
      </c>
      <c r="Y3343">
        <v>0.22079019999999999</v>
      </c>
      <c r="Z3343">
        <v>0.12503939999999999</v>
      </c>
      <c r="AA3343">
        <v>0.96727289999999999</v>
      </c>
      <c r="AB3343">
        <v>19</v>
      </c>
      <c r="AC3343">
        <v>-0.334100000000006</v>
      </c>
      <c r="AD3343">
        <v>-0.106762499999999</v>
      </c>
      <c r="AE3343">
        <v>-0.57030000000000303</v>
      </c>
      <c r="AF3343">
        <v>0.18264244783647399</v>
      </c>
      <c r="AG3343">
        <v>-0.106762499999999</v>
      </c>
      <c r="AH3343">
        <v>0.61771538021595895</v>
      </c>
      <c r="AI3343">
        <v>99.410733916028505</v>
      </c>
      <c r="AJ3343">
        <v>73.528415533952199</v>
      </c>
      <c r="AK3343">
        <v>0.65293857759616003</v>
      </c>
    </row>
    <row r="3344" spans="1:37" x14ac:dyDescent="0.2">
      <c r="A3344" t="str">
        <f>"20200111160224521"</f>
        <v>20200111160224521</v>
      </c>
      <c r="B3344" t="str">
        <f>"1578729744515192"</f>
        <v>1578729744515192</v>
      </c>
      <c r="C3344" t="s">
        <v>37</v>
      </c>
      <c r="D3344">
        <v>5.0485340000000001</v>
      </c>
      <c r="E3344">
        <v>0.56292949999999997</v>
      </c>
      <c r="F3344" t="s">
        <v>42</v>
      </c>
      <c r="G3344">
        <v>-192.9331</v>
      </c>
      <c r="H3344">
        <v>0.99800029999999995</v>
      </c>
      <c r="I3344">
        <v>158.56890000000001</v>
      </c>
      <c r="J3344">
        <v>-192.60730000000001</v>
      </c>
      <c r="K3344">
        <v>1.1031819999999899</v>
      </c>
      <c r="L3344">
        <v>159.11199999999999</v>
      </c>
      <c r="M3344">
        <v>-0.24251399999999901</v>
      </c>
      <c r="N3344">
        <v>0</v>
      </c>
      <c r="O3344">
        <v>-0.97005409999999903</v>
      </c>
      <c r="P3344">
        <v>-0.31020189999999997</v>
      </c>
      <c r="Q3344">
        <v>-1.508672E-2</v>
      </c>
      <c r="R3344">
        <v>-0.95055159999999905</v>
      </c>
      <c r="S3344">
        <v>-1.38002</v>
      </c>
      <c r="T3344">
        <v>-0.38466889999999998</v>
      </c>
      <c r="U3344">
        <v>-2.7019199999999999</v>
      </c>
      <c r="V3344">
        <v>7.0391629999999997E-2</v>
      </c>
      <c r="W3344">
        <v>-1.8213729999999901E-3</v>
      </c>
      <c r="X3344">
        <v>0.99751780000000001</v>
      </c>
      <c r="Y3344">
        <v>0.22160299999999999</v>
      </c>
      <c r="Z3344">
        <v>0.12549289999999999</v>
      </c>
      <c r="AA3344">
        <v>0.96702829999999995</v>
      </c>
      <c r="AB3344">
        <v>19</v>
      </c>
      <c r="AC3344">
        <v>-0.32579999999998599</v>
      </c>
      <c r="AD3344">
        <v>-0.105181699999999</v>
      </c>
      <c r="AE3344">
        <v>-0.54309999999998104</v>
      </c>
      <c r="AF3344">
        <v>0.17940277969784199</v>
      </c>
      <c r="AG3344">
        <v>-0.105181699999999</v>
      </c>
      <c r="AH3344">
        <v>0.58963921319428703</v>
      </c>
      <c r="AI3344">
        <v>99.684724352680306</v>
      </c>
      <c r="AJ3344">
        <v>73.077167876574904</v>
      </c>
      <c r="AK3344">
        <v>0.62523831385686901</v>
      </c>
    </row>
    <row r="3345" spans="1:37" x14ac:dyDescent="0.2">
      <c r="A3345" t="str">
        <f>"20200111160224543"</f>
        <v>20200111160224543</v>
      </c>
      <c r="B3345" t="str">
        <f>"1578729744535687"</f>
        <v>1578729744535687</v>
      </c>
      <c r="C3345" t="s">
        <v>37</v>
      </c>
      <c r="D3345">
        <v>4.9916320000000001</v>
      </c>
      <c r="E3345">
        <v>0.56302079999999999</v>
      </c>
      <c r="F3345" t="s">
        <v>42</v>
      </c>
      <c r="G3345">
        <v>-192.9751</v>
      </c>
      <c r="H3345">
        <v>1.000461</v>
      </c>
      <c r="I3345">
        <v>158.3998</v>
      </c>
      <c r="J3345">
        <v>-192.65799999999999</v>
      </c>
      <c r="K3345">
        <v>1.1031819999999899</v>
      </c>
      <c r="L3345">
        <v>158.92169999999999</v>
      </c>
      <c r="M3345">
        <v>-0.24490399999999901</v>
      </c>
      <c r="N3345">
        <v>0</v>
      </c>
      <c r="O3345">
        <v>-0.96945319999999902</v>
      </c>
      <c r="P3345">
        <v>-0.314054</v>
      </c>
      <c r="Q3345">
        <v>-1.561541E-2</v>
      </c>
      <c r="R3345">
        <v>-0.94927680000000003</v>
      </c>
      <c r="S3345">
        <v>-1.391678</v>
      </c>
      <c r="T3345">
        <v>-0.3887697</v>
      </c>
      <c r="U3345">
        <v>-2.6957399999999998</v>
      </c>
      <c r="V3345">
        <v>7.197858E-2</v>
      </c>
      <c r="W3345">
        <v>-2.3596619999999998E-3</v>
      </c>
      <c r="X3345">
        <v>0.99740339999999905</v>
      </c>
      <c r="Y3345">
        <v>0.22332679999999999</v>
      </c>
      <c r="Z3345">
        <v>0.12680379999999999</v>
      </c>
      <c r="AA3345">
        <v>0.96646049999999994</v>
      </c>
      <c r="AB3345">
        <v>19</v>
      </c>
      <c r="AC3345">
        <v>-0.31710000000000998</v>
      </c>
      <c r="AD3345">
        <v>-0.10272099999999899</v>
      </c>
      <c r="AE3345">
        <v>-0.52189999999998804</v>
      </c>
      <c r="AF3345">
        <v>0.174672484662248</v>
      </c>
      <c r="AG3345">
        <v>-0.10272099999999899</v>
      </c>
      <c r="AH3345">
        <v>0.56761019494821296</v>
      </c>
      <c r="AI3345">
        <v>99.813147866826199</v>
      </c>
      <c r="AJ3345">
        <v>72.895132298880895</v>
      </c>
      <c r="AK3345">
        <v>0.602696784584282</v>
      </c>
    </row>
    <row r="3346" spans="1:37" x14ac:dyDescent="0.2">
      <c r="A3346" t="str">
        <f>"20200111160224565"</f>
        <v>20200111160224565</v>
      </c>
      <c r="B3346" t="str">
        <f>"1578729744555207"</f>
        <v>1578729744555207</v>
      </c>
      <c r="C3346" t="s">
        <v>37</v>
      </c>
      <c r="D3346">
        <v>5.084187</v>
      </c>
      <c r="E3346">
        <v>0.56303499999999995</v>
      </c>
      <c r="F3346" t="s">
        <v>42</v>
      </c>
      <c r="G3346">
        <v>-193.018</v>
      </c>
      <c r="H3346">
        <v>1.002551</v>
      </c>
      <c r="I3346">
        <v>158.2313</v>
      </c>
      <c r="J3346">
        <v>-192.7079</v>
      </c>
      <c r="K3346">
        <v>1.103186</v>
      </c>
      <c r="L3346">
        <v>158.73570000000001</v>
      </c>
      <c r="M3346">
        <v>-0.2472433</v>
      </c>
      <c r="N3346">
        <v>0</v>
      </c>
      <c r="O3346">
        <v>-0.96885959999999904</v>
      </c>
      <c r="P3346">
        <v>-0.31813909999999901</v>
      </c>
      <c r="Q3346">
        <v>-1.566642E-2</v>
      </c>
      <c r="R3346">
        <v>-0.94791510000000001</v>
      </c>
      <c r="S3346">
        <v>-1.4028020000000001</v>
      </c>
      <c r="T3346">
        <v>-0.39211360000000001</v>
      </c>
      <c r="U3346">
        <v>-2.6897579999999999</v>
      </c>
      <c r="V3346">
        <v>7.3866029999999999E-2</v>
      </c>
      <c r="W3346">
        <v>-2.4207569999999999E-3</v>
      </c>
      <c r="X3346">
        <v>0.99726519999999996</v>
      </c>
      <c r="Y3346">
        <v>0.22493249999999901</v>
      </c>
      <c r="Z3346">
        <v>0.12787019999999999</v>
      </c>
      <c r="AA3346">
        <v>0.96594749999999996</v>
      </c>
      <c r="AB3346">
        <v>19</v>
      </c>
      <c r="AC3346">
        <v>-0.31010000000000498</v>
      </c>
      <c r="AD3346">
        <v>-0.100635</v>
      </c>
      <c r="AE3346">
        <v>-0.50440000000000396</v>
      </c>
      <c r="AF3346">
        <v>0.17081539814881699</v>
      </c>
      <c r="AG3346">
        <v>-0.100635</v>
      </c>
      <c r="AH3346">
        <v>0.54953953730108496</v>
      </c>
      <c r="AI3346">
        <v>99.919179306346805</v>
      </c>
      <c r="AJ3346">
        <v>72.732995494815796</v>
      </c>
      <c r="AK3346">
        <v>0.58420801648627696</v>
      </c>
    </row>
    <row r="3347" spans="1:37" x14ac:dyDescent="0.2">
      <c r="A3347" t="str">
        <f>"20200111160224587"</f>
        <v>20200111160224587</v>
      </c>
      <c r="B3347" t="str">
        <f>"1578729744575703"</f>
        <v>1578729744575703</v>
      </c>
      <c r="C3347" t="s">
        <v>37</v>
      </c>
      <c r="D3347">
        <v>4.9339219999999999</v>
      </c>
      <c r="E3347">
        <v>0.56370430000000005</v>
      </c>
      <c r="F3347" t="s">
        <v>42</v>
      </c>
      <c r="G3347">
        <v>-193.0624</v>
      </c>
      <c r="H3347">
        <v>1.0045949999999999</v>
      </c>
      <c r="I3347">
        <v>158.0634</v>
      </c>
      <c r="J3347">
        <v>-192.7559</v>
      </c>
      <c r="K3347">
        <v>1.103189</v>
      </c>
      <c r="L3347">
        <v>158.55889999999999</v>
      </c>
      <c r="M3347">
        <v>-0.24946589999999999</v>
      </c>
      <c r="N3347">
        <v>0</v>
      </c>
      <c r="O3347">
        <v>-0.96828950000000003</v>
      </c>
      <c r="P3347">
        <v>-0.32226290000000002</v>
      </c>
      <c r="Q3347">
        <v>-1.5274589999999999E-2</v>
      </c>
      <c r="R3347">
        <v>-0.94652689999999995</v>
      </c>
      <c r="S3347">
        <v>-1.4141079999999999</v>
      </c>
      <c r="T3347">
        <v>-0.39351809999999998</v>
      </c>
      <c r="U3347">
        <v>-2.683716</v>
      </c>
      <c r="V3347">
        <v>7.5918650000000004E-2</v>
      </c>
      <c r="W3347">
        <v>-2.0393389999999998E-3</v>
      </c>
      <c r="X3347">
        <v>0.99711190000000005</v>
      </c>
      <c r="Y3347">
        <v>0.22675120000000001</v>
      </c>
      <c r="Z3347">
        <v>0.1283157</v>
      </c>
      <c r="AA3347">
        <v>0.96546309999999902</v>
      </c>
      <c r="AB3347">
        <v>19</v>
      </c>
      <c r="AC3347">
        <v>-0.306499999999999</v>
      </c>
      <c r="AD3347">
        <v>-9.8593999999999807E-2</v>
      </c>
      <c r="AE3347">
        <v>-0.495499999999992</v>
      </c>
      <c r="AF3347">
        <v>0.16836489527944501</v>
      </c>
      <c r="AG3347">
        <v>-9.8593999999999807E-2</v>
      </c>
      <c r="AH3347">
        <v>0.54081282677583997</v>
      </c>
      <c r="AI3347">
        <v>99.874363693021806</v>
      </c>
      <c r="AJ3347">
        <v>72.707682157106902</v>
      </c>
      <c r="AK3347">
        <v>0.57493132494562704</v>
      </c>
    </row>
    <row r="3348" spans="1:37" x14ac:dyDescent="0.2">
      <c r="A3348" t="str">
        <f>"20200111160224610"</f>
        <v>20200111160224610</v>
      </c>
      <c r="B3348" t="str">
        <f>"1578729744604984"</f>
        <v>1578729744604984</v>
      </c>
      <c r="C3348" t="s">
        <v>37</v>
      </c>
      <c r="D3348">
        <v>4.9419420000000001</v>
      </c>
      <c r="E3348">
        <v>0.59149300000000005</v>
      </c>
      <c r="F3348" t="s">
        <v>42</v>
      </c>
      <c r="G3348">
        <v>-193.10990000000001</v>
      </c>
      <c r="H3348">
        <v>1.0062549999999999</v>
      </c>
      <c r="I3348">
        <v>157.89670000000001</v>
      </c>
      <c r="J3348">
        <v>-192.80850000000001</v>
      </c>
      <c r="K3348">
        <v>1.1031949999999999</v>
      </c>
      <c r="L3348">
        <v>158.36709999999999</v>
      </c>
      <c r="M3348">
        <v>-0.25187710000000002</v>
      </c>
      <c r="N3348">
        <v>0</v>
      </c>
      <c r="O3348">
        <v>-0.967665</v>
      </c>
      <c r="P3348">
        <v>-0.32647979999999999</v>
      </c>
      <c r="Q3348">
        <v>-1.50771E-2</v>
      </c>
      <c r="R3348">
        <v>-0.94508400000000004</v>
      </c>
      <c r="S3348">
        <v>-1.4305110000000001</v>
      </c>
      <c r="T3348">
        <v>-0.39171240000000002</v>
      </c>
      <c r="U3348">
        <v>-2.676132</v>
      </c>
      <c r="V3348">
        <v>7.7879760000000006E-2</v>
      </c>
      <c r="W3348">
        <v>-1.851999E-3</v>
      </c>
      <c r="X3348">
        <v>0.99696109999999905</v>
      </c>
      <c r="Y3348">
        <v>0.23010449999999999</v>
      </c>
      <c r="Z3348">
        <v>0.12770799999999999</v>
      </c>
      <c r="AA3348">
        <v>0.96475</v>
      </c>
      <c r="AB3348">
        <v>19</v>
      </c>
      <c r="AC3348">
        <v>-0.301400000000001</v>
      </c>
      <c r="AD3348">
        <v>-9.6940000000000207E-2</v>
      </c>
      <c r="AE3348">
        <v>-0.470399999999983</v>
      </c>
      <c r="AF3348">
        <v>0.16812506687435599</v>
      </c>
      <c r="AG3348">
        <v>-9.6940000000000207E-2</v>
      </c>
      <c r="AH3348">
        <v>0.51562906682194798</v>
      </c>
      <c r="AI3348">
        <v>100.134138307942</v>
      </c>
      <c r="AJ3348">
        <v>71.941019206000902</v>
      </c>
      <c r="AK3348">
        <v>0.55094168136308297</v>
      </c>
    </row>
    <row r="3349" spans="1:37" x14ac:dyDescent="0.2">
      <c r="A3349" t="str">
        <f>"20200111160224632"</f>
        <v>20200111160224632</v>
      </c>
      <c r="B3349" t="str">
        <f>"1578729744625479"</f>
        <v>1578729744625479</v>
      </c>
      <c r="C3349" t="s">
        <v>37</v>
      </c>
      <c r="D3349">
        <v>5.0449070000000003</v>
      </c>
      <c r="E3349">
        <v>0.59310830000000003</v>
      </c>
      <c r="F3349" t="s">
        <v>77</v>
      </c>
      <c r="G3349">
        <v>-199.8843</v>
      </c>
      <c r="H3349" s="1">
        <v>-1.175846E-5</v>
      </c>
      <c r="I3349">
        <v>147.28899999999999</v>
      </c>
      <c r="J3349">
        <v>-192.86109999999999</v>
      </c>
      <c r="K3349">
        <v>1.1031979999999999</v>
      </c>
      <c r="L3349">
        <v>158.17679999999999</v>
      </c>
      <c r="M3349">
        <v>-0.2542664</v>
      </c>
      <c r="N3349">
        <v>0</v>
      </c>
      <c r="O3349">
        <v>-0.96704009999999996</v>
      </c>
      <c r="P3349">
        <v>-0.33141679999999901</v>
      </c>
      <c r="Q3349">
        <v>-1.485358E-2</v>
      </c>
      <c r="R3349">
        <v>-0.94336769999999903</v>
      </c>
      <c r="S3349">
        <v>-1.6588590000000001</v>
      </c>
      <c r="T3349">
        <v>-0.25863560000000002</v>
      </c>
      <c r="U3349">
        <v>-2.597137</v>
      </c>
      <c r="V3349">
        <v>8.0629270000000003E-2</v>
      </c>
      <c r="W3349">
        <v>-1.641886E-3</v>
      </c>
      <c r="X3349">
        <v>0.99674280000000004</v>
      </c>
      <c r="Y3349">
        <v>0.30433680000000002</v>
      </c>
      <c r="Z3349">
        <v>8.4213990000000002E-2</v>
      </c>
      <c r="AA3349">
        <v>0.94883459999999997</v>
      </c>
      <c r="AB3349">
        <v>19</v>
      </c>
      <c r="AC3349">
        <v>-7.0232000000000001</v>
      </c>
      <c r="AD3349">
        <v>-1.10320975845999</v>
      </c>
      <c r="AE3349">
        <v>-10.8878</v>
      </c>
      <c r="AF3349">
        <v>3.9947184482103699</v>
      </c>
      <c r="AG3349">
        <v>-1.10320975845999</v>
      </c>
      <c r="AH3349">
        <v>12.2271757227706</v>
      </c>
      <c r="AI3349">
        <v>94.901970121291498</v>
      </c>
      <c r="AJ3349">
        <v>71.907360948397894</v>
      </c>
      <c r="AK3349">
        <v>12.910409498042499</v>
      </c>
    </row>
    <row r="3350" spans="1:37" x14ac:dyDescent="0.2">
      <c r="A3350" t="str">
        <f>"20200111160224654"</f>
        <v>20200111160224654</v>
      </c>
      <c r="B3350" t="str">
        <f>"1578729744645002"</f>
        <v>1578729744645002</v>
      </c>
      <c r="C3350" t="s">
        <v>37</v>
      </c>
      <c r="D3350">
        <v>4.9619549999999997</v>
      </c>
      <c r="E3350">
        <v>0.5936401</v>
      </c>
      <c r="F3350" t="s">
        <v>77</v>
      </c>
      <c r="G3350">
        <v>-199.93700000000001</v>
      </c>
      <c r="H3350" s="1">
        <v>-1.177415E-5</v>
      </c>
      <c r="I3350">
        <v>147.31630000000001</v>
      </c>
      <c r="J3350">
        <v>-192.91249999999999</v>
      </c>
      <c r="K3350">
        <v>1.1032</v>
      </c>
      <c r="L3350">
        <v>157.99279999999999</v>
      </c>
      <c r="M3350">
        <v>-0.25657639999999998</v>
      </c>
      <c r="N3350">
        <v>0</v>
      </c>
      <c r="O3350">
        <v>-0.96642980000000001</v>
      </c>
      <c r="P3350">
        <v>-0.33707819999999999</v>
      </c>
      <c r="Q3350">
        <v>-1.3993790000000001E-2</v>
      </c>
      <c r="R3350">
        <v>-0.94137280000000001</v>
      </c>
      <c r="S3350">
        <v>-1.6838229999999901</v>
      </c>
      <c r="T3350">
        <v>-0.26252629999999999</v>
      </c>
      <c r="U3350">
        <v>-2.5844269999999998</v>
      </c>
      <c r="V3350">
        <v>8.4233909999999995E-2</v>
      </c>
      <c r="W3350">
        <v>-7.9901349999999996E-4</v>
      </c>
      <c r="X3350">
        <v>0.99644569999999999</v>
      </c>
      <c r="Y3350">
        <v>0.31057279999999998</v>
      </c>
      <c r="Z3350">
        <v>8.5446049999999996E-2</v>
      </c>
      <c r="AA3350">
        <v>0.94670129999999997</v>
      </c>
      <c r="AB3350">
        <v>19</v>
      </c>
      <c r="AC3350">
        <v>-7.0245000000000104</v>
      </c>
      <c r="AD3350">
        <v>-1.10321177415</v>
      </c>
      <c r="AE3350">
        <v>-10.6764999999999</v>
      </c>
      <c r="AF3350">
        <v>4.0197631270772201</v>
      </c>
      <c r="AG3350">
        <v>-1.10321177415</v>
      </c>
      <c r="AH3350">
        <v>12.031855387774099</v>
      </c>
      <c r="AI3350">
        <v>94.970267532533597</v>
      </c>
      <c r="AJ3350">
        <v>71.525867856809398</v>
      </c>
      <c r="AK3350">
        <v>12.7334644103143</v>
      </c>
    </row>
    <row r="3351" spans="1:37" x14ac:dyDescent="0.2">
      <c r="A3351" t="str">
        <f>"20200111160224677"</f>
        <v>20200111160224677</v>
      </c>
      <c r="B3351" t="str">
        <f>"1578729744665495"</f>
        <v>1578729744665495</v>
      </c>
      <c r="C3351" t="s">
        <v>37</v>
      </c>
      <c r="D3351">
        <v>4.9587029999999999</v>
      </c>
      <c r="E3351">
        <v>0.59364659999999903</v>
      </c>
      <c r="F3351" t="s">
        <v>77</v>
      </c>
      <c r="G3351">
        <v>-199.95310000000001</v>
      </c>
      <c r="H3351" s="1">
        <v>-1.1786660000000001E-5</v>
      </c>
      <c r="I3351">
        <v>147.35059999999999</v>
      </c>
      <c r="J3351">
        <v>-192.9631</v>
      </c>
      <c r="K3351">
        <v>1.1031899999999999</v>
      </c>
      <c r="L3351">
        <v>157.81309999999999</v>
      </c>
      <c r="M3351">
        <v>-0.25883729999999999</v>
      </c>
      <c r="N3351">
        <v>0</v>
      </c>
      <c r="O3351">
        <v>-0.96582670000000004</v>
      </c>
      <c r="P3351">
        <v>-0.34362759999999998</v>
      </c>
      <c r="Q3351">
        <v>-1.29950999999999E-2</v>
      </c>
      <c r="R3351">
        <v>-0.93901659999999998</v>
      </c>
      <c r="S3351">
        <v>-1.7024079999999999</v>
      </c>
      <c r="T3351">
        <v>-0.26675599999999999</v>
      </c>
      <c r="U3351">
        <v>-2.5732729999999999</v>
      </c>
      <c r="V3351">
        <v>8.8841310000000007E-2</v>
      </c>
      <c r="W3351">
        <v>1.781625E-4</v>
      </c>
      <c r="X3351">
        <v>0.99604579999999998</v>
      </c>
      <c r="Y3351">
        <v>0.31492529999999902</v>
      </c>
      <c r="Z3351">
        <v>8.6820579999999994E-2</v>
      </c>
      <c r="AA3351">
        <v>0.94513709999999995</v>
      </c>
      <c r="AB3351">
        <v>19</v>
      </c>
      <c r="AC3351">
        <v>-6.99</v>
      </c>
      <c r="AD3351">
        <v>-1.1032017866599999</v>
      </c>
      <c r="AE3351">
        <v>-10.4625</v>
      </c>
      <c r="AF3351">
        <v>4.0125663826788003</v>
      </c>
      <c r="AG3351">
        <v>-1.1032017866599999</v>
      </c>
      <c r="AH3351">
        <v>11.8244234899382</v>
      </c>
      <c r="AI3351">
        <v>95.048980732012197</v>
      </c>
      <c r="AJ3351">
        <v>71.255581320958996</v>
      </c>
      <c r="AK3351">
        <v>12.535339406130801</v>
      </c>
    </row>
    <row r="3352" spans="1:37" x14ac:dyDescent="0.2">
      <c r="A3352" t="str">
        <f>"20200111160224700"</f>
        <v>20200111160224700</v>
      </c>
      <c r="B3352" t="str">
        <f>"1578729744695752"</f>
        <v>1578729744695752</v>
      </c>
      <c r="C3352" t="s">
        <v>37</v>
      </c>
      <c r="D3352">
        <v>4.9635980000000002</v>
      </c>
      <c r="E3352">
        <v>0.59364779999999995</v>
      </c>
      <c r="F3352" t="s">
        <v>77</v>
      </c>
      <c r="G3352">
        <v>-200.0771</v>
      </c>
      <c r="H3352" s="1">
        <v>-1.1694109999999999E-5</v>
      </c>
      <c r="I3352">
        <v>147.21510000000001</v>
      </c>
      <c r="J3352">
        <v>-193.01900000000001</v>
      </c>
      <c r="K3352">
        <v>1.103172</v>
      </c>
      <c r="L3352">
        <v>157.61680000000001</v>
      </c>
      <c r="M3352">
        <v>-0.26133190000000001</v>
      </c>
      <c r="N3352">
        <v>0</v>
      </c>
      <c r="O3352">
        <v>-0.96515479999999998</v>
      </c>
      <c r="P3352">
        <v>-0.35045729999999897</v>
      </c>
      <c r="Q3352">
        <v>-1.350809E-2</v>
      </c>
      <c r="R3352">
        <v>-0.93648169999999897</v>
      </c>
      <c r="S3352">
        <v>-1.7196499999999999</v>
      </c>
      <c r="T3352">
        <v>-0.26667550000000001</v>
      </c>
      <c r="U3352">
        <v>-2.5618289999999999</v>
      </c>
      <c r="V3352">
        <v>9.3520880000000001E-2</v>
      </c>
      <c r="W3352">
        <v>-3.5978289999999999E-4</v>
      </c>
      <c r="X3352">
        <v>0.99561730000000004</v>
      </c>
      <c r="Y3352">
        <v>0.31881090000000001</v>
      </c>
      <c r="Z3352">
        <v>8.6818049999999994E-2</v>
      </c>
      <c r="AA3352">
        <v>0.94383379999999995</v>
      </c>
      <c r="AB3352">
        <v>19</v>
      </c>
      <c r="AC3352">
        <v>-7.0580999999999898</v>
      </c>
      <c r="AD3352">
        <v>-1.1031836941099999</v>
      </c>
      <c r="AE3352">
        <v>-10.4017</v>
      </c>
      <c r="AF3352">
        <v>4.0629424496333604</v>
      </c>
      <c r="AG3352">
        <v>-1.1031836941099999</v>
      </c>
      <c r="AH3352">
        <v>11.7940002985559</v>
      </c>
      <c r="AI3352">
        <v>95.053927052317803</v>
      </c>
      <c r="AJ3352">
        <v>70.991564026617993</v>
      </c>
      <c r="AK3352">
        <v>12.5228973745823</v>
      </c>
    </row>
    <row r="3353" spans="1:37" x14ac:dyDescent="0.2">
      <c r="A3353" t="str">
        <f>"20200111160224722"</f>
        <v>20200111160224722</v>
      </c>
      <c r="B3353" t="str">
        <f>"1578729744715272"</f>
        <v>1578729744715272</v>
      </c>
      <c r="C3353" t="s">
        <v>37</v>
      </c>
      <c r="D3353">
        <v>4.9883649999999999</v>
      </c>
      <c r="E3353">
        <v>0.59304579999999996</v>
      </c>
      <c r="F3353" t="s">
        <v>77</v>
      </c>
      <c r="G3353">
        <v>-199.97669999999999</v>
      </c>
      <c r="H3353" s="1">
        <v>-1.17959999999999E-5</v>
      </c>
      <c r="I3353">
        <v>147.40799999999999</v>
      </c>
      <c r="J3353">
        <v>-193.071</v>
      </c>
      <c r="K3353">
        <v>1.103135</v>
      </c>
      <c r="L3353">
        <v>157.4358</v>
      </c>
      <c r="M3353">
        <v>-0.263681</v>
      </c>
      <c r="N3353">
        <v>0</v>
      </c>
      <c r="O3353">
        <v>-0.96451559999999903</v>
      </c>
      <c r="P3353">
        <v>-0.35745079999999901</v>
      </c>
      <c r="Q3353">
        <v>-1.510621E-2</v>
      </c>
      <c r="R3353">
        <v>-0.93381009999999998</v>
      </c>
      <c r="S3353">
        <v>-1.737457</v>
      </c>
      <c r="T3353">
        <v>-0.27548410000000001</v>
      </c>
      <c r="U3353">
        <v>-2.5493160000000001</v>
      </c>
      <c r="V3353">
        <v>9.8542039999999997E-2</v>
      </c>
      <c r="W3353">
        <v>-1.9876029999999901E-3</v>
      </c>
      <c r="X3353">
        <v>0.99513090000000004</v>
      </c>
      <c r="Y3353">
        <v>0.32301020000000003</v>
      </c>
      <c r="Z3353">
        <v>8.9707190000000006E-2</v>
      </c>
      <c r="AA3353">
        <v>0.94213429999999998</v>
      </c>
      <c r="AB3353">
        <v>19</v>
      </c>
      <c r="AC3353">
        <v>-6.9056999999999897</v>
      </c>
      <c r="AD3353">
        <v>-1.1031467959999901</v>
      </c>
      <c r="AE3353">
        <v>-10.027799999999999</v>
      </c>
      <c r="AF3353">
        <v>3.9841748643714001</v>
      </c>
      <c r="AG3353">
        <v>-1.1031467959999901</v>
      </c>
      <c r="AH3353">
        <v>11.4003330935963</v>
      </c>
      <c r="AI3353">
        <v>95.219298732034005</v>
      </c>
      <c r="AJ3353">
        <v>70.736561114567195</v>
      </c>
      <c r="AK3353">
        <v>12.1267545884445</v>
      </c>
    </row>
    <row r="3354" spans="1:37" x14ac:dyDescent="0.2">
      <c r="A3354" t="str">
        <f>"20200111160224744"</f>
        <v>20200111160224744</v>
      </c>
      <c r="B3354" t="str">
        <f>"1578729744735767"</f>
        <v>1578729744735767</v>
      </c>
      <c r="C3354" t="s">
        <v>37</v>
      </c>
      <c r="D3354">
        <v>5.0269949999999897</v>
      </c>
      <c r="E3354">
        <v>0.59230419999999995</v>
      </c>
      <c r="F3354" t="s">
        <v>77</v>
      </c>
      <c r="G3354">
        <v>-199.85380000000001</v>
      </c>
      <c r="H3354" s="1">
        <v>-1.184871E-5</v>
      </c>
      <c r="I3354">
        <v>147.6071</v>
      </c>
      <c r="J3354">
        <v>-193.1241</v>
      </c>
      <c r="K3354">
        <v>1.1030709999999999</v>
      </c>
      <c r="L3354">
        <v>157.25299999999999</v>
      </c>
      <c r="M3354">
        <v>-0.26613520000000002</v>
      </c>
      <c r="N3354">
        <v>0</v>
      </c>
      <c r="O3354">
        <v>-0.96384130000000001</v>
      </c>
      <c r="P3354">
        <v>-0.36393930000000002</v>
      </c>
      <c r="Q3354">
        <v>-1.9969899999999999E-2</v>
      </c>
      <c r="R3354">
        <v>-0.93120859999999905</v>
      </c>
      <c r="S3354">
        <v>-1.751236</v>
      </c>
      <c r="T3354">
        <v>-0.28482020000000002</v>
      </c>
      <c r="U3354">
        <v>-2.5376590000000001</v>
      </c>
      <c r="V3354">
        <v>0.10293959999999901</v>
      </c>
      <c r="W3354">
        <v>-6.88478599999999E-3</v>
      </c>
      <c r="X3354">
        <v>0.99466379999999999</v>
      </c>
      <c r="Y3354">
        <v>0.32592140000000003</v>
      </c>
      <c r="Z3354">
        <v>9.2792570000000005E-2</v>
      </c>
      <c r="AA3354">
        <v>0.940832</v>
      </c>
      <c r="AB3354">
        <v>19</v>
      </c>
      <c r="AC3354">
        <v>-6.7297000000000002</v>
      </c>
      <c r="AD3354">
        <v>-1.10308284871</v>
      </c>
      <c r="AE3354">
        <v>-9.6458999999999797</v>
      </c>
      <c r="AF3354">
        <v>3.8854291453212402</v>
      </c>
      <c r="AG3354">
        <v>-1.10308284871</v>
      </c>
      <c r="AH3354">
        <v>10.9924447913716</v>
      </c>
      <c r="AI3354">
        <v>95.404824406654399</v>
      </c>
      <c r="AJ3354">
        <v>70.533352322504697</v>
      </c>
      <c r="AK3354">
        <v>11.7109860347361</v>
      </c>
    </row>
    <row r="3355" spans="1:37" x14ac:dyDescent="0.2">
      <c r="A3355" t="str">
        <f>"20200111160224767"</f>
        <v>20200111160224767</v>
      </c>
      <c r="B3355" t="str">
        <f>"1578729744755287"</f>
        <v>1578729744755287</v>
      </c>
      <c r="C3355" t="s">
        <v>37</v>
      </c>
      <c r="D3355">
        <v>5.0314509999999997</v>
      </c>
      <c r="E3355">
        <v>0.59139149999999996</v>
      </c>
      <c r="F3355" t="s">
        <v>77</v>
      </c>
      <c r="G3355">
        <v>-199.5027</v>
      </c>
      <c r="H3355" s="1">
        <v>-1.194793E-5</v>
      </c>
      <c r="I3355">
        <v>148.11009999999999</v>
      </c>
      <c r="J3355">
        <v>-193.1772</v>
      </c>
      <c r="K3355">
        <v>1.1029610000000001</v>
      </c>
      <c r="L3355">
        <v>157.07259999999999</v>
      </c>
      <c r="M3355">
        <v>-0.26867609999999997</v>
      </c>
      <c r="N3355">
        <v>0</v>
      </c>
      <c r="O3355">
        <v>-0.96313629999999995</v>
      </c>
      <c r="P3355">
        <v>-0.368786</v>
      </c>
      <c r="Q3355">
        <v>-2.85762E-2</v>
      </c>
      <c r="R3355">
        <v>-0.92907549999999905</v>
      </c>
      <c r="S3355">
        <v>-1.76245099999999</v>
      </c>
      <c r="T3355">
        <v>-0.30479259999999903</v>
      </c>
      <c r="U3355">
        <v>-2.52627599999999</v>
      </c>
      <c r="V3355">
        <v>0.105527</v>
      </c>
      <c r="W3355">
        <v>-1.552426E-2</v>
      </c>
      <c r="X3355">
        <v>0.99429519999999905</v>
      </c>
      <c r="Y3355">
        <v>0.32785219999999998</v>
      </c>
      <c r="Z3355">
        <v>9.9337610000000007E-2</v>
      </c>
      <c r="AA3355">
        <v>0.93949189999999905</v>
      </c>
      <c r="AB3355">
        <v>19</v>
      </c>
      <c r="AC3355">
        <v>-6.3254999999999999</v>
      </c>
      <c r="AD3355">
        <v>-1.1029729479299999</v>
      </c>
      <c r="AE3355">
        <v>-8.9625000000000004</v>
      </c>
      <c r="AF3355">
        <v>3.6477669807434099</v>
      </c>
      <c r="AG3355">
        <v>-1.1029729479299999</v>
      </c>
      <c r="AH3355">
        <v>10.2291474993575</v>
      </c>
      <c r="AI3355">
        <v>95.799189188816698</v>
      </c>
      <c r="AJ3355">
        <v>70.373502334125305</v>
      </c>
      <c r="AK3355">
        <v>10.915961333445599</v>
      </c>
    </row>
    <row r="3356" spans="1:37" x14ac:dyDescent="0.2">
      <c r="A3356" t="str">
        <f>"20200111160224789"</f>
        <v>20200111160224789</v>
      </c>
      <c r="B3356" t="str">
        <f>"1578729744785544"</f>
        <v>1578729744785544</v>
      </c>
      <c r="C3356" t="s">
        <v>37</v>
      </c>
      <c r="D3356">
        <v>5.0676249999999996</v>
      </c>
      <c r="E3356">
        <v>0.57815209999999995</v>
      </c>
      <c r="F3356" t="s">
        <v>77</v>
      </c>
      <c r="G3356">
        <v>-199.04130000000001</v>
      </c>
      <c r="H3356" s="1">
        <v>-1.206344E-5</v>
      </c>
      <c r="I3356">
        <v>148.72380000000001</v>
      </c>
      <c r="J3356">
        <v>-193.23150000000001</v>
      </c>
      <c r="K3356">
        <v>1.1028129999999901</v>
      </c>
      <c r="L3356">
        <v>156.8903</v>
      </c>
      <c r="M3356">
        <v>-0.27139559999999902</v>
      </c>
      <c r="N3356">
        <v>0</v>
      </c>
      <c r="O3356">
        <v>-0.96237320000000004</v>
      </c>
      <c r="P3356">
        <v>-0.37124029999999902</v>
      </c>
      <c r="Q3356">
        <v>-3.9621669999999998E-2</v>
      </c>
      <c r="R3356">
        <v>-0.9276913</v>
      </c>
      <c r="S3356">
        <v>-1.767944</v>
      </c>
      <c r="T3356">
        <v>-0.33252959999999998</v>
      </c>
      <c r="U3356">
        <v>-2.517029</v>
      </c>
      <c r="V3356">
        <v>0.1054114</v>
      </c>
      <c r="W3356">
        <v>-2.6597530000000001E-2</v>
      </c>
      <c r="X3356">
        <v>0.99407289999999904</v>
      </c>
      <c r="Y3356">
        <v>0.32761820000000003</v>
      </c>
      <c r="Z3356">
        <v>0.10840229999999999</v>
      </c>
      <c r="AA3356">
        <v>0.93857089999999999</v>
      </c>
      <c r="AB3356">
        <v>19</v>
      </c>
      <c r="AC3356">
        <v>-5.8097999999999903</v>
      </c>
      <c r="AD3356">
        <v>-1.1028250634399901</v>
      </c>
      <c r="AE3356">
        <v>-8.1664999999999797</v>
      </c>
      <c r="AF3356">
        <v>3.3347728351927</v>
      </c>
      <c r="AG3356">
        <v>-1.1028250634399901</v>
      </c>
      <c r="AH3356">
        <v>9.3239379408619705</v>
      </c>
      <c r="AI3356">
        <v>96.354845865348196</v>
      </c>
      <c r="AJ3356">
        <v>70.320048022673205</v>
      </c>
      <c r="AK3356">
        <v>9.9635712326422397</v>
      </c>
    </row>
    <row r="3357" spans="1:37" x14ac:dyDescent="0.2">
      <c r="A3357" t="str">
        <f>"20200111160224813"</f>
        <v>20200111160224813</v>
      </c>
      <c r="B3357" t="str">
        <f>"1578729744805064"</f>
        <v>1578729744805064</v>
      </c>
      <c r="C3357" t="s">
        <v>37</v>
      </c>
      <c r="D3357">
        <v>5.1195719999999998</v>
      </c>
      <c r="E3357">
        <v>0.57888869999999903</v>
      </c>
      <c r="F3357" t="s">
        <v>77</v>
      </c>
      <c r="G3357">
        <v>-198.04820000000001</v>
      </c>
      <c r="H3357" s="1">
        <v>-1.2108619999999999E-5</v>
      </c>
      <c r="I3357">
        <v>149.56309999999999</v>
      </c>
      <c r="J3357">
        <v>-193.2902</v>
      </c>
      <c r="K3357">
        <v>1.102638</v>
      </c>
      <c r="L3357">
        <v>156.69630000000001</v>
      </c>
      <c r="M3357">
        <v>-0.274507</v>
      </c>
      <c r="N3357">
        <v>0</v>
      </c>
      <c r="O3357">
        <v>-0.96149030000000002</v>
      </c>
      <c r="P3357">
        <v>-0.3731565</v>
      </c>
      <c r="Q3357">
        <v>-4.8490749999999999E-2</v>
      </c>
      <c r="R3357">
        <v>-0.9265004</v>
      </c>
      <c r="S3357">
        <v>-1.6745759999999901</v>
      </c>
      <c r="T3357">
        <v>-0.38340689999999999</v>
      </c>
      <c r="U3357">
        <v>-2.5473479999999999</v>
      </c>
      <c r="V3357">
        <v>0.1043222</v>
      </c>
      <c r="W3357">
        <v>-3.549393E-2</v>
      </c>
      <c r="X3357">
        <v>0.99390999999999996</v>
      </c>
      <c r="Y3357">
        <v>0.29436040000000002</v>
      </c>
      <c r="Z3357">
        <v>0.1252094</v>
      </c>
      <c r="AA3357">
        <v>0.94745689999999905</v>
      </c>
      <c r="AB3357">
        <v>19</v>
      </c>
      <c r="AC3357">
        <v>-4.7580000000000098</v>
      </c>
      <c r="AD3357">
        <v>-1.10265010862</v>
      </c>
      <c r="AE3357">
        <v>-7.1332000000000102</v>
      </c>
      <c r="AF3357">
        <v>2.57432382020168</v>
      </c>
      <c r="AG3357">
        <v>-1.10265010862</v>
      </c>
      <c r="AH3357">
        <v>8.0325155052592301</v>
      </c>
      <c r="AI3357">
        <v>97.447695656067296</v>
      </c>
      <c r="AJ3357">
        <v>72.229975342515004</v>
      </c>
      <c r="AK3357">
        <v>8.5067200339218605</v>
      </c>
    </row>
    <row r="3358" spans="1:37" x14ac:dyDescent="0.2">
      <c r="A3358" t="str">
        <f>"20200111160224834"</f>
        <v>20200111160224834</v>
      </c>
      <c r="B3358" t="str">
        <f>"1578729744825559"</f>
        <v>1578729744825559</v>
      </c>
      <c r="C3358" t="s">
        <v>37</v>
      </c>
      <c r="D3358">
        <v>5.0946480000000003</v>
      </c>
      <c r="E3358">
        <v>0.57795699999999905</v>
      </c>
      <c r="F3358" t="s">
        <v>77</v>
      </c>
      <c r="G3358">
        <v>-197.8296</v>
      </c>
      <c r="H3358" s="1">
        <v>-1.2187149999999901E-5</v>
      </c>
      <c r="I3358">
        <v>149.857</v>
      </c>
      <c r="J3358">
        <v>-193.34389999999999</v>
      </c>
      <c r="K3358">
        <v>1.102501</v>
      </c>
      <c r="L3358">
        <v>156.52160000000001</v>
      </c>
      <c r="M3358">
        <v>-0.27749469999999998</v>
      </c>
      <c r="N3358">
        <v>0</v>
      </c>
      <c r="O3358">
        <v>-0.96063209999999999</v>
      </c>
      <c r="P3358">
        <v>-0.37413619999999997</v>
      </c>
      <c r="Q3358">
        <v>-5.2160940000000003E-2</v>
      </c>
      <c r="R3358">
        <v>-0.9259056</v>
      </c>
      <c r="S3358">
        <v>-1.68460099999999</v>
      </c>
      <c r="T3358">
        <v>-0.40919609999999901</v>
      </c>
      <c r="U3358">
        <v>-2.538071</v>
      </c>
      <c r="V3358">
        <v>0.1023136</v>
      </c>
      <c r="W3358">
        <v>-3.9179720000000001E-2</v>
      </c>
      <c r="X3358">
        <v>0.99398030000000004</v>
      </c>
      <c r="Y3358">
        <v>0.29496129999999998</v>
      </c>
      <c r="Z3358">
        <v>0.13355029999999901</v>
      </c>
      <c r="AA3358">
        <v>0.94613009999999997</v>
      </c>
      <c r="AB3358">
        <v>19</v>
      </c>
      <c r="AC3358">
        <v>-4.4856999999999996</v>
      </c>
      <c r="AD3358">
        <v>-1.10251318715</v>
      </c>
      <c r="AE3358">
        <v>-6.6646000000000001</v>
      </c>
      <c r="AF3358">
        <v>2.41446613837131</v>
      </c>
      <c r="AG3358">
        <v>-1.10251318715</v>
      </c>
      <c r="AH3358">
        <v>7.5063091114448302</v>
      </c>
      <c r="AI3358">
        <v>97.9596572994963</v>
      </c>
      <c r="AJ3358">
        <v>72.169185349501006</v>
      </c>
      <c r="AK3358">
        <v>7.9617748359107203</v>
      </c>
    </row>
    <row r="3359" spans="1:37" x14ac:dyDescent="0.2">
      <c r="A3359" t="str">
        <f>"20200111160224855"</f>
        <v>20200111160224855</v>
      </c>
      <c r="B3359" t="str">
        <f>"1578729744845079"</f>
        <v>1578729744845079</v>
      </c>
      <c r="C3359" t="s">
        <v>37</v>
      </c>
      <c r="D3359">
        <v>5.1288609999999997</v>
      </c>
      <c r="E3359">
        <v>0.57801969999999903</v>
      </c>
      <c r="F3359" t="s">
        <v>77</v>
      </c>
      <c r="G3359">
        <v>-197.85239999999999</v>
      </c>
      <c r="H3359" s="1">
        <v>-1.212931E-5</v>
      </c>
      <c r="I3359">
        <v>149.71279999999999</v>
      </c>
      <c r="J3359">
        <v>-193.3981</v>
      </c>
      <c r="K3359">
        <v>1.102382</v>
      </c>
      <c r="L3359">
        <v>156.3475</v>
      </c>
      <c r="M3359">
        <v>-0.28063870000000002</v>
      </c>
      <c r="N3359">
        <v>0</v>
      </c>
      <c r="O3359">
        <v>-0.95971849999999903</v>
      </c>
      <c r="P3359">
        <v>-0.37455820000000001</v>
      </c>
      <c r="Q3359">
        <v>-5.3110449999999997E-2</v>
      </c>
      <c r="R3359">
        <v>-0.92568139999999999</v>
      </c>
      <c r="S3359">
        <v>-1.6805110000000001</v>
      </c>
      <c r="T3359">
        <v>-0.41094890000000001</v>
      </c>
      <c r="U3359">
        <v>-2.537903</v>
      </c>
      <c r="V3359">
        <v>9.9514019999999995E-2</v>
      </c>
      <c r="W3359">
        <v>-4.0133469999999997E-2</v>
      </c>
      <c r="X3359">
        <v>0.99422649999999901</v>
      </c>
      <c r="Y3359">
        <v>0.29075879999999998</v>
      </c>
      <c r="Z3359">
        <v>0.13407430000000001</v>
      </c>
      <c r="AA3359">
        <v>0.94735599999999998</v>
      </c>
      <c r="AB3359">
        <v>19</v>
      </c>
      <c r="AC3359">
        <v>-4.4542999999999804</v>
      </c>
      <c r="AD3359">
        <v>-1.1023941293099999</v>
      </c>
      <c r="AE3359">
        <v>-6.6346999999999996</v>
      </c>
      <c r="AF3359">
        <v>2.3680754409132398</v>
      </c>
      <c r="AG3359">
        <v>-1.1023941293099999</v>
      </c>
      <c r="AH3359">
        <v>7.4759191414054804</v>
      </c>
      <c r="AI3359">
        <v>98.001943442521394</v>
      </c>
      <c r="AJ3359">
        <v>72.423858178408906</v>
      </c>
      <c r="AK3359">
        <v>7.9191174457149298</v>
      </c>
    </row>
    <row r="3360" spans="1:37" x14ac:dyDescent="0.2">
      <c r="A3360" t="str">
        <f>"20200111160224878"</f>
        <v>20200111160224878</v>
      </c>
      <c r="B3360" t="str">
        <f>"1578729744875335"</f>
        <v>1578729744875335</v>
      </c>
      <c r="C3360" t="s">
        <v>37</v>
      </c>
      <c r="D3360">
        <v>5.0767720000000001</v>
      </c>
      <c r="E3360">
        <v>0.57937499999999997</v>
      </c>
      <c r="F3360" t="s">
        <v>77</v>
      </c>
      <c r="G3360">
        <v>-197.9511</v>
      </c>
      <c r="H3360" s="1">
        <v>-1.2069679999999999E-5</v>
      </c>
      <c r="I3360">
        <v>149.48079999999999</v>
      </c>
      <c r="J3360">
        <v>-193.45529999999999</v>
      </c>
      <c r="K3360">
        <v>1.1022700000000001</v>
      </c>
      <c r="L3360">
        <v>156.1669</v>
      </c>
      <c r="M3360">
        <v>-0.284082</v>
      </c>
      <c r="N3360">
        <v>0</v>
      </c>
      <c r="O3360">
        <v>-0.95870460000000002</v>
      </c>
      <c r="P3360">
        <v>-0.37437999999999999</v>
      </c>
      <c r="Q3360">
        <v>-5.459319E-2</v>
      </c>
      <c r="R3360">
        <v>-0.92566689999999996</v>
      </c>
      <c r="S3360">
        <v>-1.6820679999999999</v>
      </c>
      <c r="T3360">
        <v>-0.40727469999999999</v>
      </c>
      <c r="U3360">
        <v>-2.5368650000000001</v>
      </c>
      <c r="V3360">
        <v>9.576316E-2</v>
      </c>
      <c r="W3360">
        <v>-4.161144E-2</v>
      </c>
      <c r="X3360">
        <v>0.99453400000000003</v>
      </c>
      <c r="Y3360">
        <v>0.2880045</v>
      </c>
      <c r="Z3360">
        <v>0.1327747</v>
      </c>
      <c r="AA3360">
        <v>0.9483798</v>
      </c>
      <c r="AB3360">
        <v>19</v>
      </c>
      <c r="AC3360">
        <v>-4.4958</v>
      </c>
      <c r="AD3360">
        <v>-1.10228206968</v>
      </c>
      <c r="AE3360">
        <v>-6.6860999999999997</v>
      </c>
      <c r="AF3360">
        <v>2.36666742623277</v>
      </c>
      <c r="AG3360">
        <v>-1.10228206968</v>
      </c>
      <c r="AH3360">
        <v>7.5466247651342604</v>
      </c>
      <c r="AI3360">
        <v>97.934214831317902</v>
      </c>
      <c r="AJ3360">
        <v>72.588257960060005</v>
      </c>
      <c r="AK3360">
        <v>7.9854671631199503</v>
      </c>
    </row>
    <row r="3361" spans="1:37" x14ac:dyDescent="0.2">
      <c r="A3361" t="str">
        <f>"20200111160224900"</f>
        <v>20200111160224900</v>
      </c>
      <c r="B3361" t="str">
        <f>"1578729744895832"</f>
        <v>1578729744895832</v>
      </c>
      <c r="C3361" t="s">
        <v>37</v>
      </c>
      <c r="D3361">
        <v>5.1034639999999998</v>
      </c>
      <c r="E3361">
        <v>0.57984690000000005</v>
      </c>
      <c r="F3361" t="s">
        <v>77</v>
      </c>
      <c r="G3361">
        <v>-198.19299999999899</v>
      </c>
      <c r="H3361" s="1">
        <v>-1.20054E-5</v>
      </c>
      <c r="I3361">
        <v>149.0744</v>
      </c>
      <c r="J3361">
        <v>-193.5137</v>
      </c>
      <c r="K3361">
        <v>1.1021620000000001</v>
      </c>
      <c r="L3361">
        <v>155.9854</v>
      </c>
      <c r="M3361">
        <v>-0.2877363</v>
      </c>
      <c r="N3361">
        <v>0</v>
      </c>
      <c r="O3361">
        <v>-0.95761409999999902</v>
      </c>
      <c r="P3361">
        <v>-0.37485559999999901</v>
      </c>
      <c r="Q3361">
        <v>-5.6360470000000003E-2</v>
      </c>
      <c r="R3361">
        <v>-0.92536870000000004</v>
      </c>
      <c r="S3361">
        <v>-1.6921839999999999</v>
      </c>
      <c r="T3361">
        <v>-0.39371309999999998</v>
      </c>
      <c r="U3361">
        <v>-2.5332949999999999</v>
      </c>
      <c r="V3361">
        <v>9.2494599999999996E-2</v>
      </c>
      <c r="W3361">
        <v>-4.3374679999999999E-2</v>
      </c>
      <c r="X3361">
        <v>0.99476799999999999</v>
      </c>
      <c r="Y3361">
        <v>0.28793439999999998</v>
      </c>
      <c r="Z3361">
        <v>0.12824269999999999</v>
      </c>
      <c r="AA3361">
        <v>0.949024599999999</v>
      </c>
      <c r="AB3361">
        <v>19</v>
      </c>
      <c r="AC3361">
        <v>-4.67929999999998</v>
      </c>
      <c r="AD3361">
        <v>-1.1021740054</v>
      </c>
      <c r="AE3361">
        <v>-6.9109999999999996</v>
      </c>
      <c r="AF3361">
        <v>2.44992116861245</v>
      </c>
      <c r="AG3361">
        <v>-1.1021740054</v>
      </c>
      <c r="AH3361">
        <v>7.8286773977973798</v>
      </c>
      <c r="AI3361">
        <v>97.652500100457701</v>
      </c>
      <c r="AJ3361">
        <v>72.622911913702794</v>
      </c>
      <c r="AK3361">
        <v>8.2767802356579701</v>
      </c>
    </row>
    <row r="3362" spans="1:37" x14ac:dyDescent="0.2">
      <c r="A3362" t="str">
        <f>"20200111160224923"</f>
        <v>20200111160224923</v>
      </c>
      <c r="B3362" t="str">
        <f>"1578729744915351"</f>
        <v>1578729744915351</v>
      </c>
      <c r="C3362" t="s">
        <v>37</v>
      </c>
      <c r="D3362">
        <v>5.2975879999999904</v>
      </c>
      <c r="E3362">
        <v>0.58124960000000003</v>
      </c>
      <c r="F3362" t="s">
        <v>77</v>
      </c>
      <c r="G3362">
        <v>-198.2379</v>
      </c>
      <c r="H3362" s="1">
        <v>-1.1977729999999999E-5</v>
      </c>
      <c r="I3362">
        <v>148.9392</v>
      </c>
      <c r="J3362">
        <v>-193.57380000000001</v>
      </c>
      <c r="K3362">
        <v>1.1020540000000001</v>
      </c>
      <c r="L3362">
        <v>155.80199999999999</v>
      </c>
      <c r="M3362">
        <v>-0.29162899999999897</v>
      </c>
      <c r="N3362">
        <v>0</v>
      </c>
      <c r="O3362">
        <v>-0.9564357</v>
      </c>
      <c r="P3362">
        <v>-0.37633759999999999</v>
      </c>
      <c r="Q3362">
        <v>-5.6020540000000001E-2</v>
      </c>
      <c r="R3362">
        <v>-0.92478729999999998</v>
      </c>
      <c r="S3362">
        <v>-1.696625</v>
      </c>
      <c r="T3362">
        <v>-0.39583069999999998</v>
      </c>
      <c r="U3362">
        <v>-2.5305629999999999</v>
      </c>
      <c r="V3362">
        <v>9.0028239999999995E-2</v>
      </c>
      <c r="W3362">
        <v>-4.3033330000000002E-2</v>
      </c>
      <c r="X3362">
        <v>0.99500909999999998</v>
      </c>
      <c r="Y3362">
        <v>0.28561999999999999</v>
      </c>
      <c r="Z3362">
        <v>0.12879019999999999</v>
      </c>
      <c r="AA3362">
        <v>0.94964959999999898</v>
      </c>
      <c r="AB3362">
        <v>19</v>
      </c>
      <c r="AC3362">
        <v>-4.6640999999999897</v>
      </c>
      <c r="AD3362">
        <v>-1.1020659777299999</v>
      </c>
      <c r="AE3362">
        <v>-6.8628000000000204</v>
      </c>
      <c r="AF3362">
        <v>2.4171077887532801</v>
      </c>
      <c r="AG3362">
        <v>-1.1020659777299999</v>
      </c>
      <c r="AH3362">
        <v>7.7873704651381299</v>
      </c>
      <c r="AI3362">
        <v>97.697376976820905</v>
      </c>
      <c r="AJ3362">
        <v>72.756274647045203</v>
      </c>
      <c r="AK3362">
        <v>8.2280069423298006</v>
      </c>
    </row>
    <row r="3363" spans="1:37" x14ac:dyDescent="0.2">
      <c r="A3363" t="str">
        <f>"20200111160224945"</f>
        <v>20200111160224945</v>
      </c>
      <c r="B3363" t="str">
        <f>"1578729744934874"</f>
        <v>1578729744934874</v>
      </c>
      <c r="C3363" t="s">
        <v>37</v>
      </c>
      <c r="D3363">
        <v>5.9073650000000004</v>
      </c>
      <c r="E3363">
        <v>0.58218040000000004</v>
      </c>
      <c r="F3363" t="s">
        <v>77</v>
      </c>
      <c r="G3363">
        <v>-199.41739999999999</v>
      </c>
      <c r="H3363" s="1">
        <v>-1.1666769999999999E-5</v>
      </c>
      <c r="I3363">
        <v>147.2062</v>
      </c>
      <c r="J3363">
        <v>-193.63399999999999</v>
      </c>
      <c r="K3363">
        <v>1.101958</v>
      </c>
      <c r="L3363">
        <v>155.62139999999999</v>
      </c>
      <c r="M3363">
        <v>-0.2956512</v>
      </c>
      <c r="N3363">
        <v>0</v>
      </c>
      <c r="O3363">
        <v>-0.95519979999999904</v>
      </c>
      <c r="P3363">
        <v>-0.37979930000000001</v>
      </c>
      <c r="Q3363">
        <v>-5.358255E-2</v>
      </c>
      <c r="R3363">
        <v>-0.92351569999999905</v>
      </c>
      <c r="S3363">
        <v>-1.71698</v>
      </c>
      <c r="T3363">
        <v>-0.32381309999999902</v>
      </c>
      <c r="U3363">
        <v>-2.5256500000000002</v>
      </c>
      <c r="V3363">
        <v>8.9527910000000002E-2</v>
      </c>
      <c r="W3363">
        <v>-4.0605000000000002E-2</v>
      </c>
      <c r="X3363">
        <v>0.99515629999999999</v>
      </c>
      <c r="Y3363">
        <v>0.2893037</v>
      </c>
      <c r="Z3363">
        <v>0.10537249999999999</v>
      </c>
      <c r="AA3363">
        <v>0.95142000000000004</v>
      </c>
      <c r="AB3363">
        <v>19</v>
      </c>
      <c r="AC3363">
        <v>-5.7833999999999701</v>
      </c>
      <c r="AD3363">
        <v>-1.1019696667700001</v>
      </c>
      <c r="AE3363">
        <v>-8.4151999999999898</v>
      </c>
      <c r="AF3363">
        <v>3.0016576856267201</v>
      </c>
      <c r="AG3363">
        <v>-1.1019696667700001</v>
      </c>
      <c r="AH3363">
        <v>9.6367247315916007</v>
      </c>
      <c r="AI3363">
        <v>96.230727313083193</v>
      </c>
      <c r="AJ3363">
        <v>72.699175261811504</v>
      </c>
      <c r="AK3363">
        <v>10.1533614906902</v>
      </c>
    </row>
    <row r="3364" spans="1:37" x14ac:dyDescent="0.2">
      <c r="A3364" t="str">
        <f>"20200111160224968"</f>
        <v>20200111160224968</v>
      </c>
      <c r="B3364" t="str">
        <f>"1578729744965128"</f>
        <v>1578729744965128</v>
      </c>
      <c r="C3364" t="s">
        <v>37</v>
      </c>
      <c r="D3364">
        <v>5.3021799999999999</v>
      </c>
      <c r="E3364">
        <v>0.59453639999999996</v>
      </c>
      <c r="F3364" t="s">
        <v>77</v>
      </c>
      <c r="G3364">
        <v>-199.6404</v>
      </c>
      <c r="H3364" s="1">
        <v>-1.160696E-5</v>
      </c>
      <c r="I3364">
        <v>146.89750000000001</v>
      </c>
      <c r="J3364">
        <v>-193.69390000000001</v>
      </c>
      <c r="K3364">
        <v>1.1018569999999901</v>
      </c>
      <c r="L3364">
        <v>155.44470000000001</v>
      </c>
      <c r="M3364">
        <v>-0.29977150000000002</v>
      </c>
      <c r="N3364">
        <v>0</v>
      </c>
      <c r="O3364">
        <v>-0.95391479999999995</v>
      </c>
      <c r="P3364">
        <v>-0.38549410000000001</v>
      </c>
      <c r="Q3364">
        <v>-5.0158189999999998E-2</v>
      </c>
      <c r="R3364">
        <v>-0.92134609999999995</v>
      </c>
      <c r="S3364">
        <v>-1.7331240000000001</v>
      </c>
      <c r="T3364">
        <v>-0.31796799999999997</v>
      </c>
      <c r="U3364">
        <v>-2.517258</v>
      </c>
      <c r="V3364">
        <v>9.1326099999999993E-2</v>
      </c>
      <c r="W3364">
        <v>-3.7205849999999999E-2</v>
      </c>
      <c r="X3364">
        <v>0.99512579999999995</v>
      </c>
      <c r="Y3364">
        <v>0.29092059999999997</v>
      </c>
      <c r="Z3364">
        <v>0.10337399999999999</v>
      </c>
      <c r="AA3364">
        <v>0.951146099999999</v>
      </c>
      <c r="AB3364">
        <v>19</v>
      </c>
      <c r="AC3364">
        <v>-5.9464999999999799</v>
      </c>
      <c r="AD3364">
        <v>-1.1018686069600001</v>
      </c>
      <c r="AE3364">
        <v>-8.5472000000000001</v>
      </c>
      <c r="AF3364">
        <v>3.0760847531308699</v>
      </c>
      <c r="AG3364">
        <v>-1.1018686069600001</v>
      </c>
      <c r="AH3364">
        <v>9.8267569807394199</v>
      </c>
      <c r="AI3364">
        <v>96.107925876852605</v>
      </c>
      <c r="AJ3364">
        <v>72.618234710063703</v>
      </c>
      <c r="AK3364">
        <v>10.3557503153542</v>
      </c>
    </row>
    <row r="3365" spans="1:37" x14ac:dyDescent="0.2">
      <c r="A3365" t="str">
        <f>"20200111160225024"</f>
        <v>20200111160225024</v>
      </c>
      <c r="B3365" t="str">
        <f>"1578729745014904"</f>
        <v>1578729745014904</v>
      </c>
      <c r="C3365" t="s">
        <v>37</v>
      </c>
      <c r="D3365">
        <v>5.3137119999999998</v>
      </c>
      <c r="E3365">
        <v>0.60621139999999996</v>
      </c>
      <c r="F3365" t="s">
        <v>77</v>
      </c>
      <c r="G3365">
        <v>-200.46559999999999</v>
      </c>
      <c r="H3365" s="1">
        <v>-1.1267219999999999E-5</v>
      </c>
      <c r="I3365">
        <v>146.35929999999999</v>
      </c>
      <c r="J3365">
        <v>-193.85419999999999</v>
      </c>
      <c r="K3365">
        <v>1.1016299999999899</v>
      </c>
      <c r="L3365">
        <v>154.98859999999999</v>
      </c>
      <c r="M3365">
        <v>-0.31129759999999901</v>
      </c>
      <c r="N3365">
        <v>0</v>
      </c>
      <c r="O3365">
        <v>-0.95021529999999998</v>
      </c>
      <c r="P3365">
        <v>-0.4084372</v>
      </c>
      <c r="Q3365">
        <v>-3.8067910000000003E-2</v>
      </c>
      <c r="R3365">
        <v>-0.91199209999999997</v>
      </c>
      <c r="S3365">
        <v>-1.8406979999999999</v>
      </c>
      <c r="T3365">
        <v>-0.29951409999999901</v>
      </c>
      <c r="U3365">
        <v>-2.4696349999999998</v>
      </c>
      <c r="V3365">
        <v>0.1040486</v>
      </c>
      <c r="W3365">
        <v>-2.5240229999999999E-2</v>
      </c>
      <c r="X3365">
        <v>0.99425189999999997</v>
      </c>
      <c r="Y3365">
        <v>0.31536370000000002</v>
      </c>
      <c r="Z3365">
        <v>9.6885319999999997E-2</v>
      </c>
      <c r="AA3365">
        <v>0.94401219999999997</v>
      </c>
      <c r="AB3365">
        <v>19</v>
      </c>
      <c r="AC3365">
        <v>-6.6113999999999997</v>
      </c>
      <c r="AD3365">
        <v>-1.10164126722</v>
      </c>
      <c r="AE3365">
        <v>-8.6293000000000006</v>
      </c>
      <c r="AF3365">
        <v>3.5597480060025402</v>
      </c>
      <c r="AG3365">
        <v>-1.10164126722</v>
      </c>
      <c r="AH3365">
        <v>10.1544709407873</v>
      </c>
      <c r="AI3365">
        <v>95.845558318670797</v>
      </c>
      <c r="AJ3365">
        <v>70.681391405226805</v>
      </c>
      <c r="AK3365">
        <v>10.816593707594601</v>
      </c>
    </row>
    <row r="3366" spans="1:37" x14ac:dyDescent="0.2">
      <c r="A3366" t="str">
        <f>"20200111160225047"</f>
        <v>20200111160225047</v>
      </c>
      <c r="B3366" t="str">
        <f>"1578729745035400"</f>
        <v>1578729745035400</v>
      </c>
      <c r="C3366" t="s">
        <v>37</v>
      </c>
      <c r="D3366">
        <v>5.4723369999999996</v>
      </c>
      <c r="E3366">
        <v>0.60892919999999995</v>
      </c>
      <c r="F3366" t="s">
        <v>77</v>
      </c>
      <c r="G3366">
        <v>-201.3647</v>
      </c>
      <c r="H3366" s="1">
        <v>-1.074741E-5</v>
      </c>
      <c r="I3366">
        <v>145.9521</v>
      </c>
      <c r="J3366">
        <v>-193.91650000000001</v>
      </c>
      <c r="K3366">
        <v>1.101583</v>
      </c>
      <c r="L3366">
        <v>154.8169</v>
      </c>
      <c r="M3366">
        <v>-0.315915</v>
      </c>
      <c r="N3366">
        <v>0</v>
      </c>
      <c r="O3366">
        <v>-0.94869009999999998</v>
      </c>
      <c r="P3366">
        <v>-0.41850989999999999</v>
      </c>
      <c r="Q3366">
        <v>-3.3920520000000003E-2</v>
      </c>
      <c r="R3366">
        <v>-0.90757849999999995</v>
      </c>
      <c r="S3366">
        <v>-1.9850459999999901</v>
      </c>
      <c r="T3366">
        <v>-0.29116639999999999</v>
      </c>
      <c r="U3366">
        <v>-2.3883509999999899</v>
      </c>
      <c r="V3366">
        <v>0.110189</v>
      </c>
      <c r="W3366">
        <v>-2.1147799999999901E-2</v>
      </c>
      <c r="X3366">
        <v>0.99368570000000001</v>
      </c>
      <c r="Y3366">
        <v>0.36052689999999998</v>
      </c>
      <c r="Z3366">
        <v>9.4102060000000001E-2</v>
      </c>
      <c r="AA3366">
        <v>0.92798979999999998</v>
      </c>
      <c r="AB3366">
        <v>19</v>
      </c>
      <c r="AC3366">
        <v>-7.4481999999999804</v>
      </c>
      <c r="AD3366">
        <v>-1.1015937474099999</v>
      </c>
      <c r="AE3366">
        <v>-8.8648000000000007</v>
      </c>
      <c r="AF3366">
        <v>4.2276361282457096</v>
      </c>
      <c r="AG3366">
        <v>-1.1015937474099999</v>
      </c>
      <c r="AH3366">
        <v>10.6673800950749</v>
      </c>
      <c r="AI3366">
        <v>95.483760672514904</v>
      </c>
      <c r="AJ3366">
        <v>68.3808650639196</v>
      </c>
      <c r="AK3366">
        <v>11.5273333477428</v>
      </c>
    </row>
    <row r="3367" spans="1:37" x14ac:dyDescent="0.2">
      <c r="A3367" t="str">
        <f>"20200111160225068"</f>
        <v>20200111160225068</v>
      </c>
      <c r="B3367" t="str">
        <f>"1578729745065656"</f>
        <v>1578729745065656</v>
      </c>
      <c r="C3367" t="s">
        <v>37</v>
      </c>
      <c r="D3367">
        <v>5.5474909999999999</v>
      </c>
      <c r="E3367">
        <v>0.61022600000000005</v>
      </c>
      <c r="F3367" t="s">
        <v>77</v>
      </c>
      <c r="G3367">
        <v>-201.4528</v>
      </c>
      <c r="H3367" s="1">
        <v>-1.074001E-5</v>
      </c>
      <c r="I3367">
        <v>146.05869999999999</v>
      </c>
      <c r="J3367">
        <v>-193.97890000000001</v>
      </c>
      <c r="K3367">
        <v>1.1015299999999999</v>
      </c>
      <c r="L3367">
        <v>154.64779999999999</v>
      </c>
      <c r="M3367">
        <v>-0.3206078</v>
      </c>
      <c r="N3367">
        <v>0</v>
      </c>
      <c r="O3367">
        <v>-0.94711449999999997</v>
      </c>
      <c r="P3367">
        <v>-0.42802600000000002</v>
      </c>
      <c r="Q3367">
        <v>-3.1596560000000003E-2</v>
      </c>
      <c r="R3367">
        <v>-0.90321430000000003</v>
      </c>
      <c r="S3367">
        <v>-2.02948</v>
      </c>
      <c r="T3367">
        <v>-0.29665150000000001</v>
      </c>
      <c r="U3367">
        <v>-2.358536</v>
      </c>
      <c r="V3367">
        <v>0.1156961</v>
      </c>
      <c r="W3367">
        <v>-1.8874200000000001E-2</v>
      </c>
      <c r="X3367">
        <v>0.99310529999999997</v>
      </c>
      <c r="Y3367">
        <v>0.37165329999999902</v>
      </c>
      <c r="Z3367">
        <v>9.5802849999999995E-2</v>
      </c>
      <c r="AA3367">
        <v>0.92341519999999999</v>
      </c>
      <c r="AB3367">
        <v>19</v>
      </c>
      <c r="AC3367">
        <v>-7.47389999999998</v>
      </c>
      <c r="AD3367">
        <v>-1.1015407400099999</v>
      </c>
      <c r="AE3367">
        <v>-8.5891000000000002</v>
      </c>
      <c r="AF3367">
        <v>4.2851955105186503</v>
      </c>
      <c r="AG3367">
        <v>-1.1015407400099999</v>
      </c>
      <c r="AH3367">
        <v>10.4343561491036</v>
      </c>
      <c r="AI3367">
        <v>95.577489332715899</v>
      </c>
      <c r="AJ3367">
        <v>67.672958148663795</v>
      </c>
      <c r="AK3367">
        <v>11.3336702268774</v>
      </c>
    </row>
    <row r="3368" spans="1:37" x14ac:dyDescent="0.2">
      <c r="A3368" t="str">
        <f>"20200111160225092"</f>
        <v>20200111160225092</v>
      </c>
      <c r="B3368" t="str">
        <f>"1578729745085175"</f>
        <v>1578729745085175</v>
      </c>
      <c r="C3368" t="s">
        <v>37</v>
      </c>
      <c r="D3368">
        <v>5.557906</v>
      </c>
      <c r="E3368">
        <v>0.61018709999999998</v>
      </c>
      <c r="F3368" t="s">
        <v>77</v>
      </c>
      <c r="G3368">
        <v>-201.17269999999999</v>
      </c>
      <c r="H3368" s="1">
        <v>-1.0996210000000001E-5</v>
      </c>
      <c r="I3368">
        <v>146.50229999999999</v>
      </c>
      <c r="J3368">
        <v>-194.04849999999999</v>
      </c>
      <c r="K3368">
        <v>1.1014729999999999</v>
      </c>
      <c r="L3368">
        <v>154.46299999999999</v>
      </c>
      <c r="M3368">
        <v>-0.32591359999999903</v>
      </c>
      <c r="N3368">
        <v>0</v>
      </c>
      <c r="O3368">
        <v>-0.94530139999999996</v>
      </c>
      <c r="P3368">
        <v>-0.43799460000000001</v>
      </c>
      <c r="Q3368">
        <v>-3.107818E-2</v>
      </c>
      <c r="R3368">
        <v>-0.89844040000000003</v>
      </c>
      <c r="S3368">
        <v>-2.061035</v>
      </c>
      <c r="T3368">
        <v>-0.3155944</v>
      </c>
      <c r="U3368">
        <v>-2.3337249999999998</v>
      </c>
      <c r="V3368">
        <v>0.121108199999999</v>
      </c>
      <c r="W3368">
        <v>-1.8408270000000001E-2</v>
      </c>
      <c r="X3368">
        <v>0.99246859999999903</v>
      </c>
      <c r="Y3368">
        <v>0.37792300000000001</v>
      </c>
      <c r="Z3368">
        <v>0.101837</v>
      </c>
      <c r="AA3368">
        <v>0.92021919999999902</v>
      </c>
      <c r="AB3368">
        <v>19</v>
      </c>
      <c r="AC3368">
        <v>-7.1242000000000001</v>
      </c>
      <c r="AD3368">
        <v>-1.10148399620999</v>
      </c>
      <c r="AE3368">
        <v>-7.9607000000000001</v>
      </c>
      <c r="AF3368">
        <v>4.0968470841315501</v>
      </c>
      <c r="AG3368">
        <v>-1.10148399620999</v>
      </c>
      <c r="AH3368">
        <v>9.7444565279951192</v>
      </c>
      <c r="AI3368">
        <v>95.948873182435094</v>
      </c>
      <c r="AJ3368">
        <v>67.196728440923806</v>
      </c>
      <c r="AK3368">
        <v>10.6278810705921</v>
      </c>
    </row>
    <row r="3369" spans="1:37" x14ac:dyDescent="0.2">
      <c r="A3369" t="str">
        <f>"20200111160225115"</f>
        <v>20200111160225115</v>
      </c>
      <c r="B3369" t="str">
        <f>"1578729745105672"</f>
        <v>1578729745105672</v>
      </c>
      <c r="C3369" t="s">
        <v>37</v>
      </c>
      <c r="D3369">
        <v>5.5401099999999897</v>
      </c>
      <c r="E3369">
        <v>0.61016630000000005</v>
      </c>
      <c r="F3369" t="s">
        <v>77</v>
      </c>
      <c r="G3369">
        <v>-201.00649999999999</v>
      </c>
      <c r="H3369" s="1">
        <v>-1.114244E-5</v>
      </c>
      <c r="I3369">
        <v>146.74619999999999</v>
      </c>
      <c r="J3369">
        <v>-194.1191</v>
      </c>
      <c r="K3369">
        <v>1.1014109999999999</v>
      </c>
      <c r="L3369">
        <v>154.27940000000001</v>
      </c>
      <c r="M3369">
        <v>-0.33134479999999999</v>
      </c>
      <c r="N3369">
        <v>0</v>
      </c>
      <c r="O3369">
        <v>-0.94341129999999995</v>
      </c>
      <c r="P3369">
        <v>-0.44801750000000001</v>
      </c>
      <c r="Q3369">
        <v>-3.1706890000000001E-2</v>
      </c>
      <c r="R3369">
        <v>-0.89346250000000005</v>
      </c>
      <c r="S3369">
        <v>-2.0843050000000001</v>
      </c>
      <c r="T3369">
        <v>-0.3299532</v>
      </c>
      <c r="U3369">
        <v>-2.3115999999999999</v>
      </c>
      <c r="V3369">
        <v>0.12649879999999999</v>
      </c>
      <c r="W3369">
        <v>-1.9091750000000001E-2</v>
      </c>
      <c r="X3369">
        <v>0.99178299999999997</v>
      </c>
      <c r="Y3369">
        <v>0.38174859999999999</v>
      </c>
      <c r="Z3369">
        <v>0.106449</v>
      </c>
      <c r="AA3369">
        <v>0.91811580000000004</v>
      </c>
      <c r="AB3369">
        <v>19</v>
      </c>
      <c r="AC3369">
        <v>-6.88739999999998</v>
      </c>
      <c r="AD3369">
        <v>-1.1014221424399999</v>
      </c>
      <c r="AE3369">
        <v>-7.5332000000000203</v>
      </c>
      <c r="AF3369">
        <v>3.9558739717073101</v>
      </c>
      <c r="AG3369">
        <v>-1.1014221424399999</v>
      </c>
      <c r="AH3369">
        <v>9.2818052730432807</v>
      </c>
      <c r="AI3369">
        <v>96.229948572548807</v>
      </c>
      <c r="AJ3369">
        <v>66.916461327980201</v>
      </c>
      <c r="AK3369">
        <v>10.149580224944399</v>
      </c>
    </row>
    <row r="3370" spans="1:37" x14ac:dyDescent="0.2">
      <c r="A3370" t="str">
        <f>"20200111160225137"</f>
        <v>20200111160225137</v>
      </c>
      <c r="B3370" t="str">
        <f>"1578729745134951"</f>
        <v>1578729745134951</v>
      </c>
      <c r="C3370" t="s">
        <v>37</v>
      </c>
      <c r="D3370">
        <v>5.6056309999999998</v>
      </c>
      <c r="E3370">
        <v>0.60975369999999995</v>
      </c>
      <c r="F3370" t="s">
        <v>77</v>
      </c>
      <c r="G3370">
        <v>-200.8074</v>
      </c>
      <c r="H3370" s="1">
        <v>-1.131104E-5</v>
      </c>
      <c r="I3370">
        <v>147.01609999999999</v>
      </c>
      <c r="J3370">
        <v>-194.18819999999999</v>
      </c>
      <c r="K3370">
        <v>1.1013389999999901</v>
      </c>
      <c r="L3370">
        <v>154.10290000000001</v>
      </c>
      <c r="M3370">
        <v>-0.33667390000000003</v>
      </c>
      <c r="N3370">
        <v>0</v>
      </c>
      <c r="O3370">
        <v>-0.94152269999999905</v>
      </c>
      <c r="P3370">
        <v>-0.45727069999999997</v>
      </c>
      <c r="Q3370">
        <v>-3.346491E-2</v>
      </c>
      <c r="R3370">
        <v>-0.88869809999999905</v>
      </c>
      <c r="S3370">
        <v>-2.1074679999999999</v>
      </c>
      <c r="T3370">
        <v>-0.34705419999999998</v>
      </c>
      <c r="U3370">
        <v>-2.28863499999999</v>
      </c>
      <c r="V3370">
        <v>0.13119210000000001</v>
      </c>
      <c r="W3370">
        <v>-2.0898949999999999E-2</v>
      </c>
      <c r="X3370">
        <v>0.99113669999999998</v>
      </c>
      <c r="Y3370">
        <v>0.38571059999999902</v>
      </c>
      <c r="Z3370">
        <v>0.11194849999999899</v>
      </c>
      <c r="AA3370">
        <v>0.91580280000000003</v>
      </c>
      <c r="AB3370">
        <v>19</v>
      </c>
      <c r="AC3370">
        <v>-6.6192000000000002</v>
      </c>
      <c r="AD3370">
        <v>-1.10135031103999</v>
      </c>
      <c r="AE3370">
        <v>-7.08680000000001</v>
      </c>
      <c r="AF3370">
        <v>3.7975590925843301</v>
      </c>
      <c r="AG3370">
        <v>-1.10135031103999</v>
      </c>
      <c r="AH3370">
        <v>8.7883608573214502</v>
      </c>
      <c r="AI3370">
        <v>96.562374407291998</v>
      </c>
      <c r="AJ3370">
        <v>66.6302318947929</v>
      </c>
      <c r="AK3370">
        <v>9.6368933857233099</v>
      </c>
    </row>
    <row r="3371" spans="1:37" x14ac:dyDescent="0.2">
      <c r="A3371" t="str">
        <f>"20200111160225158"</f>
        <v>20200111160225158</v>
      </c>
      <c r="B3371" t="str">
        <f>"1578729745155448"</f>
        <v>1578729745155448</v>
      </c>
      <c r="C3371" t="s">
        <v>37</v>
      </c>
      <c r="D3371">
        <v>5.5700079999999996</v>
      </c>
      <c r="E3371">
        <v>0.60936829999999997</v>
      </c>
      <c r="F3371" t="s">
        <v>77</v>
      </c>
      <c r="G3371">
        <v>-200.52539999999999</v>
      </c>
      <c r="H3371" s="1">
        <v>-1.153279E-5</v>
      </c>
      <c r="I3371">
        <v>147.34100000000001</v>
      </c>
      <c r="J3371">
        <v>-194.25049999999999</v>
      </c>
      <c r="K3371">
        <v>1.1012740000000001</v>
      </c>
      <c r="L3371">
        <v>153.94669999999999</v>
      </c>
      <c r="M3371">
        <v>-0.34148600000000001</v>
      </c>
      <c r="N3371">
        <v>0</v>
      </c>
      <c r="O3371">
        <v>-0.93978790000000001</v>
      </c>
      <c r="P3371">
        <v>-0.4652849</v>
      </c>
      <c r="Q3371">
        <v>-3.622736E-2</v>
      </c>
      <c r="R3371">
        <v>-0.88441959999999997</v>
      </c>
      <c r="S3371">
        <v>-2.12561</v>
      </c>
      <c r="T3371">
        <v>-0.369417</v>
      </c>
      <c r="U3371">
        <v>-2.2680820000000002</v>
      </c>
      <c r="V3371">
        <v>0.1350925</v>
      </c>
      <c r="W3371">
        <v>-2.3704059999999999E-2</v>
      </c>
      <c r="X3371">
        <v>0.99054940000000002</v>
      </c>
      <c r="Y3371">
        <v>0.3884282</v>
      </c>
      <c r="Z3371">
        <v>0.119150399999999</v>
      </c>
      <c r="AA3371">
        <v>0.91374330000000004</v>
      </c>
      <c r="AB3371">
        <v>19</v>
      </c>
      <c r="AC3371">
        <v>-6.2748999999999997</v>
      </c>
      <c r="AD3371">
        <v>-1.10128553279</v>
      </c>
      <c r="AE3371">
        <v>-6.6056999999999801</v>
      </c>
      <c r="AF3371">
        <v>3.58921870647765</v>
      </c>
      <c r="AG3371">
        <v>-1.10128553279</v>
      </c>
      <c r="AH3371">
        <v>8.2312596730776892</v>
      </c>
      <c r="AI3371">
        <v>96.991887372234103</v>
      </c>
      <c r="AJ3371">
        <v>66.440520269316295</v>
      </c>
      <c r="AK3371">
        <v>9.0470413148883502</v>
      </c>
    </row>
    <row r="3372" spans="1:37" x14ac:dyDescent="0.2">
      <c r="A3372" t="str">
        <f>"20200111160225181"</f>
        <v>20200111160225181</v>
      </c>
      <c r="B3372" t="str">
        <f>"1578729745174969"</f>
        <v>1578729745174969</v>
      </c>
      <c r="C3372" t="s">
        <v>37</v>
      </c>
      <c r="D3372">
        <v>5.546316</v>
      </c>
      <c r="E3372">
        <v>0.60870109999999999</v>
      </c>
      <c r="F3372" t="s">
        <v>77</v>
      </c>
      <c r="G3372">
        <v>-200.36160000000001</v>
      </c>
      <c r="H3372" s="1">
        <v>-1.1660780000000001E-5</v>
      </c>
      <c r="I3372">
        <v>147.52709999999999</v>
      </c>
      <c r="J3372">
        <v>-194.3244</v>
      </c>
      <c r="K3372">
        <v>1.10121</v>
      </c>
      <c r="L3372">
        <v>153.76490000000001</v>
      </c>
      <c r="M3372">
        <v>-0.34721550000000001</v>
      </c>
      <c r="N3372">
        <v>0</v>
      </c>
      <c r="O3372">
        <v>-0.93768589999999996</v>
      </c>
      <c r="P3372">
        <v>-0.47360209999999903</v>
      </c>
      <c r="Q3372">
        <v>-3.8746250000000003E-2</v>
      </c>
      <c r="R3372">
        <v>-0.87988659999999996</v>
      </c>
      <c r="S3372">
        <v>-2.1414789999999999</v>
      </c>
      <c r="T3372">
        <v>-0.38592270000000001</v>
      </c>
      <c r="U3372">
        <v>-2.249619</v>
      </c>
      <c r="V3372">
        <v>0.13839860000000001</v>
      </c>
      <c r="W3372">
        <v>-2.6262150000000001E-2</v>
      </c>
      <c r="X3372">
        <v>0.99002839999999903</v>
      </c>
      <c r="Y3372">
        <v>0.3894629</v>
      </c>
      <c r="Z3372">
        <v>0.12441430000000001</v>
      </c>
      <c r="AA3372">
        <v>0.91260059999999998</v>
      </c>
      <c r="AB3372">
        <v>18</v>
      </c>
      <c r="AC3372">
        <v>-6.0372000000000101</v>
      </c>
      <c r="AD3372">
        <v>-1.1012216607799901</v>
      </c>
      <c r="AE3372">
        <v>-6.2378000000000204</v>
      </c>
      <c r="AF3372">
        <v>3.4401030476854801</v>
      </c>
      <c r="AG3372">
        <v>-1.1012216607799901</v>
      </c>
      <c r="AH3372">
        <v>7.8202019934246101</v>
      </c>
      <c r="AI3372">
        <v>97.344767233884099</v>
      </c>
      <c r="AJ3372">
        <v>66.255329317459299</v>
      </c>
      <c r="AK3372">
        <v>8.6140906277347895</v>
      </c>
    </row>
    <row r="3373" spans="1:37" x14ac:dyDescent="0.2">
      <c r="A3373" t="str">
        <f>"20200111160225202"</f>
        <v>20200111160225202</v>
      </c>
      <c r="B3373" t="str">
        <f>"1578729745195464"</f>
        <v>1578729745195464</v>
      </c>
      <c r="C3373" t="s">
        <v>37</v>
      </c>
      <c r="D3373">
        <v>5.6042500000000004</v>
      </c>
      <c r="E3373">
        <v>0.60811519999999997</v>
      </c>
      <c r="F3373" t="s">
        <v>77</v>
      </c>
      <c r="G3373">
        <v>-200.28149999999999</v>
      </c>
      <c r="H3373" s="1">
        <v>-1.1718540000000001E-5</v>
      </c>
      <c r="I3373">
        <v>147.602</v>
      </c>
      <c r="J3373">
        <v>-194.39320000000001</v>
      </c>
      <c r="K3373">
        <v>1.1011420000000001</v>
      </c>
      <c r="L3373">
        <v>153.59870000000001</v>
      </c>
      <c r="M3373">
        <v>-0.35258640000000002</v>
      </c>
      <c r="N3373">
        <v>0</v>
      </c>
      <c r="O3373">
        <v>-0.93567939999999905</v>
      </c>
      <c r="P3373">
        <v>-0.48080059999999902</v>
      </c>
      <c r="Q3373">
        <v>-4.2597219999999998E-2</v>
      </c>
      <c r="R3373">
        <v>-0.87579459999999998</v>
      </c>
      <c r="S3373">
        <v>-2.156647</v>
      </c>
      <c r="T3373">
        <v>-0.39867160000000001</v>
      </c>
      <c r="U3373">
        <v>-2.23115499999999</v>
      </c>
      <c r="V3373">
        <v>0.1408682</v>
      </c>
      <c r="W3373">
        <v>-3.0145620000000001E-2</v>
      </c>
      <c r="X3373">
        <v>0.98956929999999999</v>
      </c>
      <c r="Y3373">
        <v>0.39078079999999998</v>
      </c>
      <c r="Z3373">
        <v>0.12850039999999999</v>
      </c>
      <c r="AA3373">
        <v>0.91147019999999901</v>
      </c>
      <c r="AB3373">
        <v>18</v>
      </c>
      <c r="AC3373">
        <v>-5.8882999999999797</v>
      </c>
      <c r="AD3373">
        <v>-1.10115371854</v>
      </c>
      <c r="AE3373">
        <v>-5.9966999999999997</v>
      </c>
      <c r="AF3373">
        <v>3.3382166886518099</v>
      </c>
      <c r="AG3373">
        <v>-1.10115371854</v>
      </c>
      <c r="AH3373">
        <v>7.5580927066615304</v>
      </c>
      <c r="AI3373">
        <v>97.591173204876497</v>
      </c>
      <c r="AJ3373">
        <v>66.170175781136294</v>
      </c>
      <c r="AK3373">
        <v>8.33552611025471</v>
      </c>
    </row>
    <row r="3374" spans="1:37" x14ac:dyDescent="0.2">
      <c r="A3374" t="str">
        <f>"20200111160225224"</f>
        <v>20200111160225224</v>
      </c>
      <c r="B3374" t="str">
        <f>"1578729745214983"</f>
        <v>1578729745214983</v>
      </c>
      <c r="C3374" t="s">
        <v>37</v>
      </c>
      <c r="D3374">
        <v>5.5814349999999999</v>
      </c>
      <c r="E3374">
        <v>0.60753819999999903</v>
      </c>
      <c r="F3374" t="s">
        <v>77</v>
      </c>
      <c r="G3374">
        <v>-200.13149999999999</v>
      </c>
      <c r="H3374" s="1">
        <v>-1.1826619999999999E-5</v>
      </c>
      <c r="I3374">
        <v>147.74170000000001</v>
      </c>
      <c r="J3374">
        <v>-194.46449999999999</v>
      </c>
      <c r="K3374">
        <v>1.1010679999999999</v>
      </c>
      <c r="L3374">
        <v>153.42959999999999</v>
      </c>
      <c r="M3374">
        <v>-0.35818479999999903</v>
      </c>
      <c r="N3374">
        <v>0</v>
      </c>
      <c r="O3374">
        <v>-0.93355049999999995</v>
      </c>
      <c r="P3374">
        <v>-0.48774590000000001</v>
      </c>
      <c r="Q3374">
        <v>-4.5892509999999997E-2</v>
      </c>
      <c r="R3374">
        <v>-0.87177879999999996</v>
      </c>
      <c r="S3374">
        <v>-2.16937299999999</v>
      </c>
      <c r="T3374">
        <v>-0.41628779999999999</v>
      </c>
      <c r="U3374">
        <v>-2.2142330000000001</v>
      </c>
      <c r="V3374">
        <v>0.14283379999999901</v>
      </c>
      <c r="W3374">
        <v>-3.347029E-2</v>
      </c>
      <c r="X3374">
        <v>0.98918059999999997</v>
      </c>
      <c r="Y3374">
        <v>0.3908742</v>
      </c>
      <c r="Z3374">
        <v>0.13410339999999901</v>
      </c>
      <c r="AA3374">
        <v>0.91062269999999901</v>
      </c>
      <c r="AB3374">
        <v>18</v>
      </c>
      <c r="AC3374">
        <v>-5.6669999999999998</v>
      </c>
      <c r="AD3374">
        <v>-1.1010798266199999</v>
      </c>
      <c r="AE3374">
        <v>-5.6878999999999804</v>
      </c>
      <c r="AF3374">
        <v>3.1933609799987801</v>
      </c>
      <c r="AG3374">
        <v>-1.1010798266199999</v>
      </c>
      <c r="AH3374">
        <v>7.20496441005852</v>
      </c>
      <c r="AI3374">
        <v>97.953563091562998</v>
      </c>
      <c r="AJ3374">
        <v>66.096276267358505</v>
      </c>
      <c r="AK3374">
        <v>7.9574771933935304</v>
      </c>
    </row>
    <row r="3375" spans="1:37" x14ac:dyDescent="0.2">
      <c r="A3375" t="str">
        <f>"20200111160225247"</f>
        <v>20200111160225247</v>
      </c>
      <c r="B3375" t="str">
        <f>"1578729745235479"</f>
        <v>1578729745235479</v>
      </c>
      <c r="C3375" t="s">
        <v>37</v>
      </c>
      <c r="D3375">
        <v>5.5906789999999997</v>
      </c>
      <c r="E3375">
        <v>0.60693999999999904</v>
      </c>
      <c r="F3375" t="s">
        <v>77</v>
      </c>
      <c r="G3375">
        <v>-200.0445</v>
      </c>
      <c r="H3375" s="1">
        <v>-1.188499E-5</v>
      </c>
      <c r="I3375">
        <v>147.8082</v>
      </c>
      <c r="J3375">
        <v>-194.53659999999999</v>
      </c>
      <c r="K3375">
        <v>1.1009910000000001</v>
      </c>
      <c r="L3375">
        <v>153.26169999999999</v>
      </c>
      <c r="M3375">
        <v>-0.36388019999999999</v>
      </c>
      <c r="N3375">
        <v>0</v>
      </c>
      <c r="O3375">
        <v>-0.93134509999999904</v>
      </c>
      <c r="P3375">
        <v>-0.49430849999999998</v>
      </c>
      <c r="Q3375">
        <v>-4.9671479999999997E-2</v>
      </c>
      <c r="R3375">
        <v>-0.86786659999999904</v>
      </c>
      <c r="S3375">
        <v>-2.1817470000000001</v>
      </c>
      <c r="T3375">
        <v>-0.43051040000000002</v>
      </c>
      <c r="U3375">
        <v>-2.1979060000000001</v>
      </c>
      <c r="V3375">
        <v>0.14429329999999899</v>
      </c>
      <c r="W3375">
        <v>-3.7276570000000002E-2</v>
      </c>
      <c r="X3375">
        <v>0.98883259999999995</v>
      </c>
      <c r="Y3375">
        <v>0.39075700000000002</v>
      </c>
      <c r="Z3375">
        <v>0.13859469999999999</v>
      </c>
      <c r="AA3375">
        <v>0.91000029999999998</v>
      </c>
      <c r="AB3375">
        <v>18</v>
      </c>
      <c r="AC3375">
        <v>-5.5079000000000002</v>
      </c>
      <c r="AD3375">
        <v>-1.10100288499</v>
      </c>
      <c r="AE3375">
        <v>-5.4534999999999902</v>
      </c>
      <c r="AF3375">
        <v>3.0834147856101102</v>
      </c>
      <c r="AG3375">
        <v>-1.10100288499</v>
      </c>
      <c r="AH3375">
        <v>6.9438616882667796</v>
      </c>
      <c r="AI3375">
        <v>98.245512772685899</v>
      </c>
      <c r="AJ3375">
        <v>66.056434180067001</v>
      </c>
      <c r="AK3375">
        <v>7.6770351854511203</v>
      </c>
    </row>
    <row r="3376" spans="1:37" x14ac:dyDescent="0.2">
      <c r="A3376" t="str">
        <f>"20200111160225268"</f>
        <v>20200111160225268</v>
      </c>
      <c r="B3376" t="str">
        <f>"1578729745265736"</f>
        <v>1578729745265736</v>
      </c>
      <c r="C3376" t="s">
        <v>37</v>
      </c>
      <c r="D3376">
        <v>5.585642</v>
      </c>
      <c r="E3376">
        <v>0.606286199999999</v>
      </c>
      <c r="F3376" t="s">
        <v>77</v>
      </c>
      <c r="G3376">
        <v>-199.94820000000001</v>
      </c>
      <c r="H3376" s="1">
        <v>-1.19422699999999E-5</v>
      </c>
      <c r="I3376">
        <v>147.876</v>
      </c>
      <c r="J3376">
        <v>-194.61</v>
      </c>
      <c r="K3376">
        <v>1.1009059999999999</v>
      </c>
      <c r="L3376">
        <v>153.0941</v>
      </c>
      <c r="M3376">
        <v>-0.3697143</v>
      </c>
      <c r="N3376">
        <v>0</v>
      </c>
      <c r="O3376">
        <v>-0.92904430000000005</v>
      </c>
      <c r="P3376">
        <v>-0.50028530000000004</v>
      </c>
      <c r="Q3376">
        <v>-5.2789389999999999E-2</v>
      </c>
      <c r="R3376">
        <v>-0.86424979999999996</v>
      </c>
      <c r="S3376">
        <v>-2.1927949999999998</v>
      </c>
      <c r="T3376">
        <v>-0.44612499999999999</v>
      </c>
      <c r="U3376">
        <v>-2.1822970000000002</v>
      </c>
      <c r="V3376">
        <v>0.14495039999999901</v>
      </c>
      <c r="W3376">
        <v>-4.0416239999999999E-2</v>
      </c>
      <c r="X3376">
        <v>0.98861309999999902</v>
      </c>
      <c r="Y3376">
        <v>0.39000580000000001</v>
      </c>
      <c r="Z3376">
        <v>0.14350270000000001</v>
      </c>
      <c r="AA3376">
        <v>0.90956170000000003</v>
      </c>
      <c r="AB3376">
        <v>18</v>
      </c>
      <c r="AC3376">
        <v>-5.3381999999999996</v>
      </c>
      <c r="AD3376">
        <v>-1.1009179422699999</v>
      </c>
      <c r="AE3376">
        <v>-5.21809999999999</v>
      </c>
      <c r="AF3376">
        <v>2.9659925296282701</v>
      </c>
      <c r="AG3376">
        <v>-1.1009179422699999</v>
      </c>
      <c r="AH3376">
        <v>6.6768739951219596</v>
      </c>
      <c r="AI3376">
        <v>98.569238301151799</v>
      </c>
      <c r="AJ3376">
        <v>66.048310912442403</v>
      </c>
      <c r="AK3376">
        <v>7.3884895850341898</v>
      </c>
    </row>
    <row r="3377" spans="1:37" x14ac:dyDescent="0.2">
      <c r="A3377" t="str">
        <f>"20200111160225293"</f>
        <v>20200111160225293</v>
      </c>
      <c r="B3377" t="str">
        <f>"1578729745285256"</f>
        <v>1578729745285256</v>
      </c>
      <c r="C3377" t="s">
        <v>37</v>
      </c>
      <c r="D3377">
        <v>5.640174</v>
      </c>
      <c r="E3377">
        <v>0.60553080000000004</v>
      </c>
      <c r="F3377" t="s">
        <v>77</v>
      </c>
      <c r="G3377">
        <v>-199.89500000000001</v>
      </c>
      <c r="H3377" s="1">
        <v>-1.193911E-5</v>
      </c>
      <c r="I3377">
        <v>147.89109999999999</v>
      </c>
      <c r="J3377">
        <v>-194.69110000000001</v>
      </c>
      <c r="K3377">
        <v>1.1008089999999999</v>
      </c>
      <c r="L3377">
        <v>152.91309999999999</v>
      </c>
      <c r="M3377">
        <v>-0.37621500000000002</v>
      </c>
      <c r="N3377">
        <v>0</v>
      </c>
      <c r="O3377">
        <v>-0.92643069999999905</v>
      </c>
      <c r="P3377">
        <v>-0.50654399999999999</v>
      </c>
      <c r="Q3377">
        <v>-5.4504909999999997E-2</v>
      </c>
      <c r="R3377">
        <v>-0.86048989999999903</v>
      </c>
      <c r="S3377">
        <v>-2.202423</v>
      </c>
      <c r="T3377">
        <v>-0.4587832</v>
      </c>
      <c r="U3377">
        <v>-2.1682739999999998</v>
      </c>
      <c r="V3377">
        <v>0.1452145</v>
      </c>
      <c r="W3377">
        <v>-4.2151630000000002E-2</v>
      </c>
      <c r="X3377">
        <v>0.98850190000000004</v>
      </c>
      <c r="Y3377">
        <v>0.38804929999999999</v>
      </c>
      <c r="Z3377">
        <v>0.147393</v>
      </c>
      <c r="AA3377">
        <v>0.90977640000000004</v>
      </c>
      <c r="AB3377">
        <v>18</v>
      </c>
      <c r="AC3377">
        <v>-5.2039</v>
      </c>
      <c r="AD3377">
        <v>-1.1008209391099999</v>
      </c>
      <c r="AE3377">
        <v>-5.0219999999999896</v>
      </c>
      <c r="AF3377">
        <v>2.8655821847622498</v>
      </c>
      <c r="AG3377">
        <v>-1.1008209391099999</v>
      </c>
      <c r="AH3377">
        <v>6.4612373181584601</v>
      </c>
      <c r="AI3377">
        <v>98.852312939914597</v>
      </c>
      <c r="AJ3377">
        <v>66.082540088568805</v>
      </c>
      <c r="AK3377">
        <v>7.1533877064768001</v>
      </c>
    </row>
    <row r="3378" spans="1:37" x14ac:dyDescent="0.2">
      <c r="A3378" t="str">
        <f>"20200111160225315"</f>
        <v>20200111160225315</v>
      </c>
      <c r="B3378" t="str">
        <f>"1578729745305751"</f>
        <v>1578729745305751</v>
      </c>
      <c r="C3378" t="s">
        <v>37</v>
      </c>
      <c r="D3378">
        <v>5.5914019999999898</v>
      </c>
      <c r="E3378">
        <v>0.6047844</v>
      </c>
      <c r="F3378" t="s">
        <v>77</v>
      </c>
      <c r="G3378">
        <v>-199.9297</v>
      </c>
      <c r="H3378" s="1">
        <v>-1.192037E-5</v>
      </c>
      <c r="I3378">
        <v>147.81129999999999</v>
      </c>
      <c r="J3378">
        <v>-194.76820000000001</v>
      </c>
      <c r="K3378">
        <v>1.1007199999999999</v>
      </c>
      <c r="L3378">
        <v>152.74449999999999</v>
      </c>
      <c r="M3378">
        <v>-0.38244420000000001</v>
      </c>
      <c r="N3378">
        <v>0</v>
      </c>
      <c r="O3378">
        <v>-0.92387640000000004</v>
      </c>
      <c r="P3378">
        <v>-0.51141349999999997</v>
      </c>
      <c r="Q3378">
        <v>-5.3912799999999997E-2</v>
      </c>
      <c r="R3378">
        <v>-0.85764209999999996</v>
      </c>
      <c r="S3378">
        <v>-2.212402</v>
      </c>
      <c r="T3378">
        <v>-0.46490029999999999</v>
      </c>
      <c r="U3378">
        <v>-2.1545869999999998</v>
      </c>
      <c r="V3378">
        <v>0.14414479999999999</v>
      </c>
      <c r="W3378">
        <v>-4.1561910000000001E-2</v>
      </c>
      <c r="X3378">
        <v>0.98868339999999999</v>
      </c>
      <c r="Y3378">
        <v>0.38657659999999899</v>
      </c>
      <c r="Z3378">
        <v>0.14920050000000001</v>
      </c>
      <c r="AA3378">
        <v>0.91010869999999999</v>
      </c>
      <c r="AB3378">
        <v>18</v>
      </c>
      <c r="AC3378">
        <v>-5.1614999999999798</v>
      </c>
      <c r="AD3378">
        <v>-1.1007319203699999</v>
      </c>
      <c r="AE3378">
        <v>-4.9331999999999896</v>
      </c>
      <c r="AF3378">
        <v>2.8152743066906001</v>
      </c>
      <c r="AG3378">
        <v>-1.1007319203699999</v>
      </c>
      <c r="AH3378">
        <v>6.3806179878979599</v>
      </c>
      <c r="AI3378">
        <v>98.9690869504239</v>
      </c>
      <c r="AJ3378">
        <v>66.191833226645002</v>
      </c>
      <c r="AK3378">
        <v>7.0604295966974098</v>
      </c>
    </row>
    <row r="3379" spans="1:37" x14ac:dyDescent="0.2">
      <c r="A3379" t="str">
        <f>"20200111160225337"</f>
        <v>20200111160225337</v>
      </c>
      <c r="B3379" t="str">
        <f>"1578729745325272"</f>
        <v>1578729745325272</v>
      </c>
      <c r="C3379" t="s">
        <v>37</v>
      </c>
      <c r="D3379">
        <v>5.650461</v>
      </c>
      <c r="E3379">
        <v>0.60395140000000003</v>
      </c>
      <c r="F3379" t="s">
        <v>77</v>
      </c>
      <c r="G3379">
        <v>-200.04470000000001</v>
      </c>
      <c r="H3379" s="1">
        <v>-1.183632E-5</v>
      </c>
      <c r="I3379">
        <v>147.64490000000001</v>
      </c>
      <c r="J3379">
        <v>-194.8451</v>
      </c>
      <c r="K3379">
        <v>1.1006419999999999</v>
      </c>
      <c r="L3379">
        <v>152.5797</v>
      </c>
      <c r="M3379">
        <v>-0.38867869999999999</v>
      </c>
      <c r="N3379">
        <v>0</v>
      </c>
      <c r="O3379">
        <v>-0.92127049999999999</v>
      </c>
      <c r="P3379">
        <v>-0.51557989999999998</v>
      </c>
      <c r="Q3379">
        <v>-5.2746960000000002E-2</v>
      </c>
      <c r="R3379">
        <v>-0.85521669999999905</v>
      </c>
      <c r="S3379">
        <v>-2.2196959999999999</v>
      </c>
      <c r="T3379">
        <v>-0.46304879999999998</v>
      </c>
      <c r="U3379">
        <v>-2.1452640000000001</v>
      </c>
      <c r="V3379">
        <v>0.1422493</v>
      </c>
      <c r="W3379">
        <v>-4.0384669999999998E-2</v>
      </c>
      <c r="X3379">
        <v>0.98900669999999902</v>
      </c>
      <c r="Y3379">
        <v>0.38390609999999997</v>
      </c>
      <c r="Z3379">
        <v>0.1483939</v>
      </c>
      <c r="AA3379">
        <v>0.91137000000000001</v>
      </c>
      <c r="AB3379">
        <v>18</v>
      </c>
      <c r="AC3379">
        <v>-5.1996000000000002</v>
      </c>
      <c r="AD3379">
        <v>-1.10065383631999</v>
      </c>
      <c r="AE3379">
        <v>-4.9347999999999903</v>
      </c>
      <c r="AF3379">
        <v>2.80630203206346</v>
      </c>
      <c r="AG3379">
        <v>-1.10065383631999</v>
      </c>
      <c r="AH3379">
        <v>6.4166146085483504</v>
      </c>
      <c r="AI3379">
        <v>98.931485234169102</v>
      </c>
      <c r="AJ3379">
        <v>66.377869032285503</v>
      </c>
      <c r="AK3379">
        <v>7.0894085082752598</v>
      </c>
    </row>
    <row r="3380" spans="1:37" x14ac:dyDescent="0.2">
      <c r="A3380" t="str">
        <f>"20200111160225359"</f>
        <v>20200111160225359</v>
      </c>
      <c r="B3380" t="str">
        <f>"1578729745355527"</f>
        <v>1578729745355527</v>
      </c>
      <c r="C3380" t="s">
        <v>37</v>
      </c>
      <c r="D3380">
        <v>5.67415</v>
      </c>
      <c r="E3380">
        <v>0.60280929999999999</v>
      </c>
      <c r="F3380" t="s">
        <v>77</v>
      </c>
      <c r="G3380">
        <v>-200.1722</v>
      </c>
      <c r="H3380" s="1">
        <v>-1.1724449999999999E-5</v>
      </c>
      <c r="I3380">
        <v>147.4589</v>
      </c>
      <c r="J3380">
        <v>-194.92400000000001</v>
      </c>
      <c r="K3380">
        <v>1.1005769999999999</v>
      </c>
      <c r="L3380">
        <v>152.41409999999999</v>
      </c>
      <c r="M3380">
        <v>-0.39509899999999998</v>
      </c>
      <c r="N3380">
        <v>0</v>
      </c>
      <c r="O3380">
        <v>-0.918535199999999</v>
      </c>
      <c r="P3380">
        <v>-0.52089510000000006</v>
      </c>
      <c r="Q3380">
        <v>-5.2303570000000001E-2</v>
      </c>
      <c r="R3380">
        <v>-0.85201700000000002</v>
      </c>
      <c r="S3380">
        <v>-2.224564</v>
      </c>
      <c r="T3380">
        <v>-0.45962599999999998</v>
      </c>
      <c r="U3380">
        <v>-2.1384430000000001</v>
      </c>
      <c r="V3380">
        <v>0.14149210000000001</v>
      </c>
      <c r="W3380">
        <v>-3.9940530000000002E-2</v>
      </c>
      <c r="X3380">
        <v>0.98913329999999999</v>
      </c>
      <c r="Y3380">
        <v>0.38006109999999999</v>
      </c>
      <c r="Z3380">
        <v>0.14703910000000001</v>
      </c>
      <c r="AA3380">
        <v>0.91319939999999999</v>
      </c>
      <c r="AB3380">
        <v>18</v>
      </c>
      <c r="AC3380">
        <v>-5.24819999999999</v>
      </c>
      <c r="AD3380">
        <v>-1.1005887244500001</v>
      </c>
      <c r="AE3380">
        <v>-4.9551999999999898</v>
      </c>
      <c r="AF3380">
        <v>2.7980769993191301</v>
      </c>
      <c r="AG3380">
        <v>-1.1005887244500001</v>
      </c>
      <c r="AH3380">
        <v>6.4751624542123603</v>
      </c>
      <c r="AI3380">
        <v>98.868153426952702</v>
      </c>
      <c r="AJ3380">
        <v>66.629639420368207</v>
      </c>
      <c r="AK3380">
        <v>7.1392057851659301</v>
      </c>
    </row>
    <row r="3381" spans="1:37" x14ac:dyDescent="0.2">
      <c r="A3381" t="str">
        <f>"20200111160225381"</f>
        <v>20200111160225381</v>
      </c>
      <c r="B3381" t="str">
        <f>"1578729745375047"</f>
        <v>1578729745375047</v>
      </c>
      <c r="C3381" t="s">
        <v>37</v>
      </c>
      <c r="D3381">
        <v>5.487717</v>
      </c>
      <c r="E3381">
        <v>0.60264209999999996</v>
      </c>
      <c r="F3381" t="s">
        <v>77</v>
      </c>
      <c r="G3381">
        <v>-200.24809999999999</v>
      </c>
      <c r="H3381" s="1">
        <v>-1.165162E-5</v>
      </c>
      <c r="I3381">
        <v>147.3272</v>
      </c>
      <c r="J3381">
        <v>-195.00649999999999</v>
      </c>
      <c r="K3381">
        <v>1.100506</v>
      </c>
      <c r="L3381">
        <v>152.24430000000001</v>
      </c>
      <c r="M3381">
        <v>-0.40185470000000001</v>
      </c>
      <c r="N3381">
        <v>0</v>
      </c>
      <c r="O3381">
        <v>-0.91559950000000001</v>
      </c>
      <c r="P3381">
        <v>-0.52726189999999995</v>
      </c>
      <c r="Q3381">
        <v>-5.263089E-2</v>
      </c>
      <c r="R3381">
        <v>-0.84807119999999903</v>
      </c>
      <c r="S3381">
        <v>-2.2292329999999998</v>
      </c>
      <c r="T3381">
        <v>-0.46081499999999997</v>
      </c>
      <c r="U3381">
        <v>-2.1298680000000001</v>
      </c>
      <c r="V3381">
        <v>0.141612299999999</v>
      </c>
      <c r="W3381">
        <v>-4.0277449999999999E-2</v>
      </c>
      <c r="X3381">
        <v>0.9891025</v>
      </c>
      <c r="Y3381">
        <v>0.3760175</v>
      </c>
      <c r="Z3381">
        <v>0.14716489999999999</v>
      </c>
      <c r="AA3381">
        <v>0.91485149999999904</v>
      </c>
      <c r="AB3381">
        <v>18</v>
      </c>
      <c r="AC3381">
        <v>-5.2416</v>
      </c>
      <c r="AD3381">
        <v>-1.1005176516199999</v>
      </c>
      <c r="AE3381">
        <v>-4.9170999999999996</v>
      </c>
      <c r="AF3381">
        <v>2.7588265221943198</v>
      </c>
      <c r="AG3381">
        <v>-1.1005176516199999</v>
      </c>
      <c r="AH3381">
        <v>6.4576659506669101</v>
      </c>
      <c r="AI3381">
        <v>98.906818511959699</v>
      </c>
      <c r="AJ3381">
        <v>66.8669889502535</v>
      </c>
      <c r="AK3381">
        <v>7.1080034054221501</v>
      </c>
    </row>
    <row r="3382" spans="1:37" x14ac:dyDescent="0.2">
      <c r="A3382" t="str">
        <f>"20200111160225406"</f>
        <v>20200111160225406</v>
      </c>
      <c r="B3382" t="str">
        <f>"1578729745395543"</f>
        <v>1578729745395543</v>
      </c>
      <c r="C3382" t="s">
        <v>37</v>
      </c>
      <c r="D3382">
        <v>5.5991739999999997</v>
      </c>
      <c r="E3382">
        <v>0.64058519999999997</v>
      </c>
      <c r="F3382" t="s">
        <v>77</v>
      </c>
      <c r="G3382">
        <v>-200.3185</v>
      </c>
      <c r="H3382" s="1">
        <v>-1.159384E-5</v>
      </c>
      <c r="I3382">
        <v>147.2379</v>
      </c>
      <c r="J3382">
        <v>-195.0926</v>
      </c>
      <c r="K3382">
        <v>1.1004339999999999</v>
      </c>
      <c r="L3382">
        <v>152.071</v>
      </c>
      <c r="M3382">
        <v>-0.40892489999999998</v>
      </c>
      <c r="N3382">
        <v>0</v>
      </c>
      <c r="O3382">
        <v>-0.91246340000000004</v>
      </c>
      <c r="P3382">
        <v>-0.53442480000000003</v>
      </c>
      <c r="Q3382">
        <v>-5.2643719999999998E-2</v>
      </c>
      <c r="R3382">
        <v>-0.84357510000000002</v>
      </c>
      <c r="S3382">
        <v>-2.2430729999999999</v>
      </c>
      <c r="T3382">
        <v>-0.46471689999999999</v>
      </c>
      <c r="U3382">
        <v>-2.1140590000000001</v>
      </c>
      <c r="V3382">
        <v>0.1423295</v>
      </c>
      <c r="W3382">
        <v>-4.0307549999999998E-2</v>
      </c>
      <c r="X3382">
        <v>0.9889983</v>
      </c>
      <c r="Y3382">
        <v>0.37496770000000001</v>
      </c>
      <c r="Z3382">
        <v>0.14813470000000001</v>
      </c>
      <c r="AA3382">
        <v>0.91512579999999999</v>
      </c>
      <c r="AB3382">
        <v>18</v>
      </c>
      <c r="AC3382">
        <v>-5.2258999999999904</v>
      </c>
      <c r="AD3382">
        <v>-1.10044559384</v>
      </c>
      <c r="AE3382">
        <v>-4.8331</v>
      </c>
      <c r="AF3382">
        <v>2.72715548674952</v>
      </c>
      <c r="AG3382">
        <v>-1.10044559384</v>
      </c>
      <c r="AH3382">
        <v>6.3948173332278904</v>
      </c>
      <c r="AI3382">
        <v>98.994760234220394</v>
      </c>
      <c r="AJ3382">
        <v>66.903526979686205</v>
      </c>
      <c r="AK3382">
        <v>7.0386111044198003</v>
      </c>
    </row>
    <row r="3383" spans="1:37" x14ac:dyDescent="0.2">
      <c r="A3383" t="str">
        <f>"20200111160225426"</f>
        <v>20200111160225426</v>
      </c>
      <c r="B3383" t="str">
        <f>"1578729745415063"</f>
        <v>1578729745415063</v>
      </c>
      <c r="C3383" t="s">
        <v>37</v>
      </c>
      <c r="D3383">
        <v>5.586138</v>
      </c>
      <c r="E3383">
        <v>0.64429930000000002</v>
      </c>
      <c r="F3383" t="s">
        <v>77</v>
      </c>
      <c r="G3383">
        <v>-201.23269999999999</v>
      </c>
      <c r="H3383" s="1">
        <v>-1.1225739999999899E-5</v>
      </c>
      <c r="I3383">
        <v>147.36330000000001</v>
      </c>
      <c r="J3383">
        <v>-195.17</v>
      </c>
      <c r="K3383">
        <v>1.100357</v>
      </c>
      <c r="L3383">
        <v>151.91839999999999</v>
      </c>
      <c r="M3383">
        <v>-0.41531400000000002</v>
      </c>
      <c r="N3383">
        <v>0</v>
      </c>
      <c r="O3383">
        <v>-0.90957310000000002</v>
      </c>
      <c r="P3383">
        <v>-0.54152829999999996</v>
      </c>
      <c r="Q3383">
        <v>-5.2117110000000001E-2</v>
      </c>
      <c r="R3383">
        <v>-0.83906559999999897</v>
      </c>
      <c r="S3383">
        <v>-2.5196529999999999</v>
      </c>
      <c r="T3383">
        <v>-0.45157510000000001</v>
      </c>
      <c r="U3383">
        <v>-1.931824</v>
      </c>
      <c r="V3383">
        <v>0.14372660000000001</v>
      </c>
      <c r="W3383">
        <v>-3.9806019999999998E-2</v>
      </c>
      <c r="X3383">
        <v>0.98881659999999905</v>
      </c>
      <c r="Y3383">
        <v>0.46050619999999998</v>
      </c>
      <c r="Z3383">
        <v>0.14258509999999999</v>
      </c>
      <c r="AA3383">
        <v>0.87612990000000002</v>
      </c>
      <c r="AB3383">
        <v>18</v>
      </c>
      <c r="AC3383">
        <v>-6.0627000000000004</v>
      </c>
      <c r="AD3383">
        <v>-1.10036822574</v>
      </c>
      <c r="AE3383">
        <v>-4.5550999999999799</v>
      </c>
      <c r="AF3383">
        <v>3.5483062888600601</v>
      </c>
      <c r="AG3383">
        <v>-1.10036822574</v>
      </c>
      <c r="AH3383">
        <v>6.5243819928052398</v>
      </c>
      <c r="AI3383">
        <v>98.427684515721296</v>
      </c>
      <c r="AJ3383">
        <v>61.460298184779397</v>
      </c>
      <c r="AK3383">
        <v>7.5079190285872999</v>
      </c>
    </row>
    <row r="3384" spans="1:37" x14ac:dyDescent="0.2">
      <c r="A3384" t="str">
        <f>"20200111160225448"</f>
        <v>20200111160225448</v>
      </c>
      <c r="B3384" t="str">
        <f>"1578729745445320"</f>
        <v>1578729745445320</v>
      </c>
      <c r="C3384" t="s">
        <v>37</v>
      </c>
      <c r="D3384">
        <v>5.5946730000000002</v>
      </c>
      <c r="E3384">
        <v>0.6458332</v>
      </c>
      <c r="F3384" t="s">
        <v>77</v>
      </c>
      <c r="G3384">
        <v>-201.1096</v>
      </c>
      <c r="H3384" s="1">
        <v>-1.13264899999999E-5</v>
      </c>
      <c r="I3384">
        <v>147.51849999999999</v>
      </c>
      <c r="J3384">
        <v>-195.25360000000001</v>
      </c>
      <c r="K3384">
        <v>1.100279</v>
      </c>
      <c r="L3384">
        <v>151.7568</v>
      </c>
      <c r="M3384">
        <v>-0.422238</v>
      </c>
      <c r="N3384">
        <v>0</v>
      </c>
      <c r="O3384">
        <v>-0.90637909999999899</v>
      </c>
      <c r="P3384">
        <v>-0.54899469999999995</v>
      </c>
      <c r="Q3384">
        <v>-5.146792E-2</v>
      </c>
      <c r="R3384">
        <v>-0.83423999999999998</v>
      </c>
      <c r="S3384">
        <v>-2.5581209999999999</v>
      </c>
      <c r="T3384">
        <v>-0.47391349999999999</v>
      </c>
      <c r="U3384">
        <v>-1.8949739999999999</v>
      </c>
      <c r="V3384">
        <v>0.14499010000000001</v>
      </c>
      <c r="W3384">
        <v>-3.9182649999999999E-2</v>
      </c>
      <c r="X3384">
        <v>0.98865700000000001</v>
      </c>
      <c r="Y3384">
        <v>0.46739140000000001</v>
      </c>
      <c r="Z3384">
        <v>0.149163299999999</v>
      </c>
      <c r="AA3384">
        <v>0.87137569999999998</v>
      </c>
      <c r="AB3384">
        <v>18</v>
      </c>
      <c r="AC3384">
        <v>-5.8559999999999901</v>
      </c>
      <c r="AD3384">
        <v>-1.1002903264899999</v>
      </c>
      <c r="AE3384">
        <v>-4.2382999999999997</v>
      </c>
      <c r="AF3384">
        <v>3.4388528808593102</v>
      </c>
      <c r="AG3384">
        <v>-1.1002903264899999</v>
      </c>
      <c r="AH3384">
        <v>6.1717544204312302</v>
      </c>
      <c r="AI3384">
        <v>98.851853607299105</v>
      </c>
      <c r="AJ3384">
        <v>60.873792945798797</v>
      </c>
      <c r="AK3384">
        <v>7.1503077251873801</v>
      </c>
    </row>
    <row r="3385" spans="1:37" x14ac:dyDescent="0.2">
      <c r="A3385" t="str">
        <f>"20200111160225470"</f>
        <v>20200111160225470</v>
      </c>
      <c r="B3385" t="str">
        <f>"1578729745465816"</f>
        <v>1578729745465816</v>
      </c>
      <c r="C3385" t="s">
        <v>37</v>
      </c>
      <c r="D3385">
        <v>5.5733959999999998</v>
      </c>
      <c r="E3385">
        <v>0.64599119999999999</v>
      </c>
      <c r="F3385" t="s">
        <v>77</v>
      </c>
      <c r="G3385">
        <v>-201.1619</v>
      </c>
      <c r="H3385" s="1">
        <v>-1.129539E-5</v>
      </c>
      <c r="I3385">
        <v>147.49189999999999</v>
      </c>
      <c r="J3385">
        <v>-195.3383</v>
      </c>
      <c r="K3385">
        <v>1.100185</v>
      </c>
      <c r="L3385">
        <v>151.59690000000001</v>
      </c>
      <c r="M3385">
        <v>-0.42926599999999998</v>
      </c>
      <c r="N3385">
        <v>0</v>
      </c>
      <c r="O3385">
        <v>-0.90307169999999903</v>
      </c>
      <c r="P3385">
        <v>-0.55692540000000001</v>
      </c>
      <c r="Q3385">
        <v>-5.1939930000000002E-2</v>
      </c>
      <c r="R3385">
        <v>-0.82893719999999904</v>
      </c>
      <c r="S3385">
        <v>-2.5844879999999999</v>
      </c>
      <c r="T3385">
        <v>-0.48130609999999902</v>
      </c>
      <c r="U3385">
        <v>-1.8656159999999999</v>
      </c>
      <c r="V3385">
        <v>0.14673639999999999</v>
      </c>
      <c r="W3385">
        <v>-3.968733E-2</v>
      </c>
      <c r="X3385">
        <v>0.98837909999999995</v>
      </c>
      <c r="Y3385">
        <v>0.471008599999999</v>
      </c>
      <c r="Z3385">
        <v>0.1511776</v>
      </c>
      <c r="AA3385">
        <v>0.86907780000000001</v>
      </c>
      <c r="AB3385">
        <v>18</v>
      </c>
      <c r="AC3385">
        <v>-5.8235999999999901</v>
      </c>
      <c r="AD3385">
        <v>-1.10019629539</v>
      </c>
      <c r="AE3385">
        <v>-4.1050000000000102</v>
      </c>
      <c r="AF3385">
        <v>3.41588042771656</v>
      </c>
      <c r="AG3385">
        <v>-1.10019629539</v>
      </c>
      <c r="AH3385">
        <v>6.0630148957233496</v>
      </c>
      <c r="AI3385">
        <v>98.983862778647094</v>
      </c>
      <c r="AJ3385">
        <v>60.603248560292997</v>
      </c>
      <c r="AK3385">
        <v>7.0454822837482398</v>
      </c>
    </row>
    <row r="3386" spans="1:37" x14ac:dyDescent="0.2">
      <c r="A3386" t="str">
        <f>"20200111160225494"</f>
        <v>20200111160225494</v>
      </c>
      <c r="B3386" t="str">
        <f>"1578729745485335"</f>
        <v>1578729745485335</v>
      </c>
      <c r="C3386" t="s">
        <v>37</v>
      </c>
      <c r="D3386">
        <v>5.8456339999999898</v>
      </c>
      <c r="E3386">
        <v>0.64538039999999997</v>
      </c>
      <c r="F3386" t="s">
        <v>77</v>
      </c>
      <c r="G3386">
        <v>-201.26900000000001</v>
      </c>
      <c r="H3386" s="1">
        <v>-1.1222149999999901E-5</v>
      </c>
      <c r="I3386">
        <v>147.40539999999999</v>
      </c>
      <c r="J3386">
        <v>-195.43029999999999</v>
      </c>
      <c r="K3386">
        <v>1.1000920000000001</v>
      </c>
      <c r="L3386">
        <v>151.4272</v>
      </c>
      <c r="M3386">
        <v>-0.43692059999999999</v>
      </c>
      <c r="N3386">
        <v>0</v>
      </c>
      <c r="O3386">
        <v>-0.89939279999999999</v>
      </c>
      <c r="P3386">
        <v>-0.56507629999999998</v>
      </c>
      <c r="Q3386">
        <v>-5.3250220000000001E-2</v>
      </c>
      <c r="R3386">
        <v>-0.82331880000000002</v>
      </c>
      <c r="S3386">
        <v>-2.6032410000000001</v>
      </c>
      <c r="T3386">
        <v>-0.48292020000000002</v>
      </c>
      <c r="U3386">
        <v>-1.83982799999999</v>
      </c>
      <c r="V3386">
        <v>0.1481066</v>
      </c>
      <c r="W3386">
        <v>-4.1024579999999998E-2</v>
      </c>
      <c r="X3386">
        <v>0.98812009999999995</v>
      </c>
      <c r="Y3386">
        <v>0.47218589999999999</v>
      </c>
      <c r="Z3386">
        <v>0.15145329999999901</v>
      </c>
      <c r="AA3386">
        <v>0.86839069999999996</v>
      </c>
      <c r="AB3386">
        <v>18</v>
      </c>
      <c r="AC3386">
        <v>-5.83870000000001</v>
      </c>
      <c r="AD3386">
        <v>-1.10010322215</v>
      </c>
      <c r="AE3386">
        <v>-4.0218000000000096</v>
      </c>
      <c r="AF3386">
        <v>3.41225842281463</v>
      </c>
      <c r="AG3386">
        <v>-1.10010322215</v>
      </c>
      <c r="AH3386">
        <v>6.0237880274551898</v>
      </c>
      <c r="AI3386">
        <v>99.028976884413098</v>
      </c>
      <c r="AJ3386">
        <v>60.4700126305464</v>
      </c>
      <c r="AK3386">
        <v>7.0099755237209402</v>
      </c>
    </row>
    <row r="3387" spans="1:37" x14ac:dyDescent="0.2">
      <c r="A3387" t="str">
        <f>"20200111160225517"</f>
        <v>20200111160225517</v>
      </c>
      <c r="B3387" t="str">
        <f>"1578729745505831"</f>
        <v>1578729745505831</v>
      </c>
      <c r="C3387" t="s">
        <v>37</v>
      </c>
      <c r="D3387">
        <v>5.562068</v>
      </c>
      <c r="E3387">
        <v>0.64531280000000002</v>
      </c>
      <c r="F3387" t="s">
        <v>77</v>
      </c>
      <c r="G3387">
        <v>-201.4776</v>
      </c>
      <c r="H3387" s="1">
        <v>-1.107866E-5</v>
      </c>
      <c r="I3387">
        <v>147.23400000000001</v>
      </c>
      <c r="J3387">
        <v>-195.52109999999999</v>
      </c>
      <c r="K3387">
        <v>1.100033</v>
      </c>
      <c r="L3387">
        <v>151.26320000000001</v>
      </c>
      <c r="M3387">
        <v>-0.44446249999999998</v>
      </c>
      <c r="N3387">
        <v>0</v>
      </c>
      <c r="O3387">
        <v>-0.89568930000000002</v>
      </c>
      <c r="P3387">
        <v>-0.57247819999999905</v>
      </c>
      <c r="Q3387">
        <v>-5.3717330000000001E-2</v>
      </c>
      <c r="R3387">
        <v>-0.81815869999999902</v>
      </c>
      <c r="S3387">
        <v>-2.6186069999999999</v>
      </c>
      <c r="T3387">
        <v>-0.4763696</v>
      </c>
      <c r="U3387">
        <v>-1.81575</v>
      </c>
      <c r="V3387">
        <v>0.14871689999999901</v>
      </c>
      <c r="W3387">
        <v>-4.1502270000000001E-2</v>
      </c>
      <c r="X3387">
        <v>0.98800849999999996</v>
      </c>
      <c r="Y3387">
        <v>0.47286419999999901</v>
      </c>
      <c r="Z3387">
        <v>0.14925939999999999</v>
      </c>
      <c r="AA3387">
        <v>0.86840149999999905</v>
      </c>
      <c r="AB3387">
        <v>18</v>
      </c>
      <c r="AC3387">
        <v>-5.9565000000000001</v>
      </c>
      <c r="AD3387">
        <v>-1.1000440786600001</v>
      </c>
      <c r="AE3387">
        <v>-4.0292000000000003</v>
      </c>
      <c r="AF3387">
        <v>3.46364050779093</v>
      </c>
      <c r="AG3387">
        <v>-1.1000440786600001</v>
      </c>
      <c r="AH3387">
        <v>6.1138954807027499</v>
      </c>
      <c r="AI3387">
        <v>98.897372178192199</v>
      </c>
      <c r="AJ3387">
        <v>60.467604239948699</v>
      </c>
      <c r="AK3387">
        <v>7.1124271870552596</v>
      </c>
    </row>
    <row r="3388" spans="1:37" x14ac:dyDescent="0.2">
      <c r="A3388" t="str">
        <f>"20200111160225537"</f>
        <v>20200111160225537</v>
      </c>
      <c r="B3388" t="str">
        <f>"1578729745525351"</f>
        <v>1578729745525351</v>
      </c>
      <c r="C3388" t="s">
        <v>37</v>
      </c>
      <c r="D3388">
        <v>5.5153889999999999</v>
      </c>
      <c r="E3388">
        <v>0.64540129999999996</v>
      </c>
      <c r="F3388" t="s">
        <v>77</v>
      </c>
      <c r="G3388">
        <v>-201.64230000000001</v>
      </c>
      <c r="H3388" s="1">
        <v>-1.0966259999999999E-5</v>
      </c>
      <c r="I3388">
        <v>147.10169999999999</v>
      </c>
      <c r="J3388">
        <v>-195.60239999999999</v>
      </c>
      <c r="K3388">
        <v>1.0999920000000001</v>
      </c>
      <c r="L3388">
        <v>151.11949999999999</v>
      </c>
      <c r="M3388">
        <v>-0.45118559999999902</v>
      </c>
      <c r="N3388">
        <v>0</v>
      </c>
      <c r="O3388">
        <v>-0.89232140000000004</v>
      </c>
      <c r="P3388">
        <v>-0.57905980000000001</v>
      </c>
      <c r="Q3388">
        <v>-5.3879929999999999E-2</v>
      </c>
      <c r="R3388">
        <v>-0.81350290000000003</v>
      </c>
      <c r="S3388">
        <v>-2.6353759999999999</v>
      </c>
      <c r="T3388">
        <v>-0.47360409999999997</v>
      </c>
      <c r="U3388">
        <v>-1.7916559999999999</v>
      </c>
      <c r="V3388">
        <v>0.1492561</v>
      </c>
      <c r="W3388">
        <v>-4.1670239999999997E-2</v>
      </c>
      <c r="X3388">
        <v>0.98792019999999903</v>
      </c>
      <c r="Y3388">
        <v>0.47438919999999901</v>
      </c>
      <c r="Z3388">
        <v>0.14822160000000001</v>
      </c>
      <c r="AA3388">
        <v>0.86774719999999905</v>
      </c>
      <c r="AB3388">
        <v>18</v>
      </c>
      <c r="AC3388">
        <v>-6.03990000000001</v>
      </c>
      <c r="AD3388">
        <v>-1.1000029662599999</v>
      </c>
      <c r="AE3388">
        <v>-4.0177999999999896</v>
      </c>
      <c r="AF3388">
        <v>3.4967030711514999</v>
      </c>
      <c r="AG3388">
        <v>-1.1000029662599999</v>
      </c>
      <c r="AH3388">
        <v>6.1690472554079996</v>
      </c>
      <c r="AI3388">
        <v>98.817663305101703</v>
      </c>
      <c r="AJ3388">
        <v>60.454823325895099</v>
      </c>
      <c r="AK3388">
        <v>7.1759377737713201</v>
      </c>
    </row>
    <row r="3389" spans="1:37" x14ac:dyDescent="0.2">
      <c r="A3389" t="str">
        <f>"20200111160225560"</f>
        <v>20200111160225560</v>
      </c>
      <c r="B3389" t="str">
        <f>"1578729745555608"</f>
        <v>1578729745555608</v>
      </c>
      <c r="C3389" t="s">
        <v>37</v>
      </c>
      <c r="D3389">
        <v>5.7329299999999996</v>
      </c>
      <c r="E3389">
        <v>0.64483330000000005</v>
      </c>
      <c r="F3389" t="s">
        <v>77</v>
      </c>
      <c r="G3389">
        <v>-201.82980000000001</v>
      </c>
      <c r="H3389" s="1">
        <v>-1.084212E-5</v>
      </c>
      <c r="I3389">
        <v>146.9639</v>
      </c>
      <c r="J3389">
        <v>-195.6978</v>
      </c>
      <c r="K3389">
        <v>1.099955</v>
      </c>
      <c r="L3389">
        <v>150.95419999999999</v>
      </c>
      <c r="M3389">
        <v>-0.45906029999999998</v>
      </c>
      <c r="N3389">
        <v>0</v>
      </c>
      <c r="O3389">
        <v>-0.88829559999999996</v>
      </c>
      <c r="P3389">
        <v>-0.5862484</v>
      </c>
      <c r="Q3389">
        <v>-5.3483059999999999E-2</v>
      </c>
      <c r="R3389">
        <v>-0.80836430000000004</v>
      </c>
      <c r="S3389">
        <v>-2.65148899999999</v>
      </c>
      <c r="T3389">
        <v>-0.4683542</v>
      </c>
      <c r="U3389">
        <v>-1.769379</v>
      </c>
      <c r="V3389">
        <v>0.1492638</v>
      </c>
      <c r="W3389">
        <v>-4.126962E-2</v>
      </c>
      <c r="X3389">
        <v>0.98793580000000003</v>
      </c>
      <c r="Y3389">
        <v>0.47435839999999901</v>
      </c>
      <c r="Z3389">
        <v>0.1462753</v>
      </c>
      <c r="AA3389">
        <v>0.86809429999999999</v>
      </c>
      <c r="AB3389">
        <v>18</v>
      </c>
      <c r="AC3389">
        <v>-6.1319999999999997</v>
      </c>
      <c r="AD3389">
        <v>-1.09996584212</v>
      </c>
      <c r="AE3389">
        <v>-3.9902999999999902</v>
      </c>
      <c r="AF3389">
        <v>3.53566720116897</v>
      </c>
      <c r="AG3389">
        <v>-1.09996584212</v>
      </c>
      <c r="AH3389">
        <v>6.2195476489595896</v>
      </c>
      <c r="AI3389">
        <v>98.740744094886594</v>
      </c>
      <c r="AJ3389">
        <v>60.382783676730099</v>
      </c>
      <c r="AK3389">
        <v>7.2383451402189696</v>
      </c>
    </row>
    <row r="3390" spans="1:37" x14ac:dyDescent="0.2">
      <c r="A3390" t="str">
        <f>"20200111160225583"</f>
        <v>20200111160225583</v>
      </c>
      <c r="B3390" t="str">
        <f>"1578729745575128"</f>
        <v>1578729745575128</v>
      </c>
      <c r="C3390" t="s">
        <v>37</v>
      </c>
      <c r="D3390">
        <v>5.5043480000000002</v>
      </c>
      <c r="E3390">
        <v>0.64444069999999998</v>
      </c>
      <c r="F3390" t="s">
        <v>77</v>
      </c>
      <c r="G3390">
        <v>-201.98830000000001</v>
      </c>
      <c r="H3390" s="1">
        <v>-1.0730630000000001E-5</v>
      </c>
      <c r="I3390">
        <v>146.8254</v>
      </c>
      <c r="J3390">
        <v>-195.79560000000001</v>
      </c>
      <c r="K3390">
        <v>1.0999219999999901</v>
      </c>
      <c r="L3390">
        <v>150.7884</v>
      </c>
      <c r="M3390">
        <v>-0.46709299999999998</v>
      </c>
      <c r="N3390">
        <v>0</v>
      </c>
      <c r="O3390">
        <v>-0.88409780000000004</v>
      </c>
      <c r="P3390">
        <v>-0.59372959999999997</v>
      </c>
      <c r="Q3390">
        <v>-5.2261050000000003E-2</v>
      </c>
      <c r="R3390">
        <v>-0.80296579999999995</v>
      </c>
      <c r="S3390">
        <v>-2.6638950000000001</v>
      </c>
      <c r="T3390">
        <v>-0.4658117</v>
      </c>
      <c r="U3390">
        <v>-1.7484439999999899</v>
      </c>
      <c r="V3390">
        <v>0.14945429999999901</v>
      </c>
      <c r="W3390">
        <v>-4.0045530000000003E-2</v>
      </c>
      <c r="X3390">
        <v>0.98795739999999999</v>
      </c>
      <c r="Y3390">
        <v>0.47315299999999999</v>
      </c>
      <c r="Z3390">
        <v>0.1451925</v>
      </c>
      <c r="AA3390">
        <v>0.86893349999999903</v>
      </c>
      <c r="AB3390">
        <v>18</v>
      </c>
      <c r="AC3390">
        <v>-6.1927000000000003</v>
      </c>
      <c r="AD3390">
        <v>-1.09993273062999</v>
      </c>
      <c r="AE3390">
        <v>-3.9629999999999899</v>
      </c>
      <c r="AF3390">
        <v>3.5448755557014202</v>
      </c>
      <c r="AG3390">
        <v>-1.09993273062999</v>
      </c>
      <c r="AH3390">
        <v>6.2568309638393798</v>
      </c>
      <c r="AI3390">
        <v>98.696238564890905</v>
      </c>
      <c r="AJ3390">
        <v>60.465806552956103</v>
      </c>
      <c r="AK3390">
        <v>7.2748833961363202</v>
      </c>
    </row>
    <row r="3391" spans="1:37" x14ac:dyDescent="0.2">
      <c r="A3391" t="str">
        <f>"20200111160225605"</f>
        <v>20200111160225605</v>
      </c>
      <c r="B3391" t="str">
        <f>"1578729745595623"</f>
        <v>1578729745595623</v>
      </c>
      <c r="C3391" t="s">
        <v>37</v>
      </c>
      <c r="D3391">
        <v>5.4587639999999897</v>
      </c>
      <c r="E3391">
        <v>0.64392450000000001</v>
      </c>
      <c r="F3391" t="s">
        <v>77</v>
      </c>
      <c r="G3391">
        <v>-202.19470000000001</v>
      </c>
      <c r="H3391" s="1">
        <v>-1.059142E-5</v>
      </c>
      <c r="I3391">
        <v>146.6651</v>
      </c>
      <c r="J3391">
        <v>-195.88570000000001</v>
      </c>
      <c r="K3391">
        <v>1.099896</v>
      </c>
      <c r="L3391">
        <v>150.63900000000001</v>
      </c>
      <c r="M3391">
        <v>-0.47444599999999998</v>
      </c>
      <c r="N3391">
        <v>0</v>
      </c>
      <c r="O3391">
        <v>-0.880173599999999</v>
      </c>
      <c r="P3391">
        <v>-0.6007789</v>
      </c>
      <c r="Q3391">
        <v>-4.9946669999999999E-2</v>
      </c>
      <c r="R3391">
        <v>-0.79785340000000005</v>
      </c>
      <c r="S3391">
        <v>-2.6782840000000001</v>
      </c>
      <c r="T3391">
        <v>-0.46037169999999999</v>
      </c>
      <c r="U3391">
        <v>-1.725784</v>
      </c>
      <c r="V3391">
        <v>0.14987129999999901</v>
      </c>
      <c r="W3391">
        <v>-3.7732910000000001E-2</v>
      </c>
      <c r="X3391">
        <v>0.98798529999999996</v>
      </c>
      <c r="Y3391">
        <v>0.47339880000000001</v>
      </c>
      <c r="Z3391">
        <v>0.143258</v>
      </c>
      <c r="AA3391">
        <v>0.86912069999999997</v>
      </c>
      <c r="AB3391">
        <v>18</v>
      </c>
      <c r="AC3391">
        <v>-6.3089999999999904</v>
      </c>
      <c r="AD3391">
        <v>-1.0999065914199999</v>
      </c>
      <c r="AE3391">
        <v>-3.9739000000000102</v>
      </c>
      <c r="AF3391">
        <v>3.58985492184692</v>
      </c>
      <c r="AG3391">
        <v>-1.0999065914199999</v>
      </c>
      <c r="AH3391">
        <v>6.3533819375678</v>
      </c>
      <c r="AI3391">
        <v>98.571394981466497</v>
      </c>
      <c r="AJ3391">
        <v>60.532224699202501</v>
      </c>
      <c r="AK3391">
        <v>7.3798587326838803</v>
      </c>
    </row>
    <row r="3392" spans="1:37" x14ac:dyDescent="0.2">
      <c r="A3392" t="str">
        <f>"20200111160225627"</f>
        <v>20200111160225627</v>
      </c>
      <c r="B3392" t="str">
        <f>"1578729745615147"</f>
        <v>1578729745615147</v>
      </c>
      <c r="C3392" t="s">
        <v>37</v>
      </c>
      <c r="D3392">
        <v>5.3632900000000001</v>
      </c>
      <c r="E3392">
        <v>0.64341680000000001</v>
      </c>
      <c r="F3392" t="s">
        <v>77</v>
      </c>
      <c r="G3392">
        <v>-202.42509999999999</v>
      </c>
      <c r="H3392" s="1">
        <v>-1.043826E-5</v>
      </c>
      <c r="I3392">
        <v>146.49369999999999</v>
      </c>
      <c r="J3392">
        <v>-195.97819999999999</v>
      </c>
      <c r="K3392">
        <v>1.099861</v>
      </c>
      <c r="L3392">
        <v>150.48869999999999</v>
      </c>
      <c r="M3392">
        <v>-0.48194480000000001</v>
      </c>
      <c r="N3392">
        <v>0</v>
      </c>
      <c r="O3392">
        <v>-0.87608969999999897</v>
      </c>
      <c r="P3392">
        <v>-0.60783739999999997</v>
      </c>
      <c r="Q3392">
        <v>-4.7798149999999998E-2</v>
      </c>
      <c r="R3392">
        <v>-0.79262180000000004</v>
      </c>
      <c r="S3392">
        <v>-2.6907809999999999</v>
      </c>
      <c r="T3392">
        <v>-0.45258019999999999</v>
      </c>
      <c r="U3392">
        <v>-1.705643</v>
      </c>
      <c r="V3392">
        <v>0.15015919999999999</v>
      </c>
      <c r="W3392">
        <v>-3.558658E-2</v>
      </c>
      <c r="X3392">
        <v>0.98802109999999999</v>
      </c>
      <c r="Y3392">
        <v>0.47271030000000003</v>
      </c>
      <c r="Z3392">
        <v>0.14055479999999901</v>
      </c>
      <c r="AA3392">
        <v>0.86993639999999905</v>
      </c>
      <c r="AB3392">
        <v>18</v>
      </c>
      <c r="AC3392">
        <v>-6.4468999999999896</v>
      </c>
      <c r="AD3392">
        <v>-1.0998714382599999</v>
      </c>
      <c r="AE3392">
        <v>-3.9950000000000001</v>
      </c>
      <c r="AF3392">
        <v>3.6463737904612299</v>
      </c>
      <c r="AG3392">
        <v>-1.0998714382599999</v>
      </c>
      <c r="AH3392">
        <v>6.4715767315574997</v>
      </c>
      <c r="AI3392">
        <v>98.422481283992198</v>
      </c>
      <c r="AJ3392">
        <v>60.601157791514296</v>
      </c>
      <c r="AK3392">
        <v>7.5091320665506496</v>
      </c>
    </row>
    <row r="3393" spans="1:37" x14ac:dyDescent="0.2">
      <c r="A3393" t="str">
        <f>"20200111160225651"</f>
        <v>20200111160225651</v>
      </c>
      <c r="B3393" t="str">
        <f>"1578729745645400"</f>
        <v>1578729745645400</v>
      </c>
      <c r="C3393" t="s">
        <v>37</v>
      </c>
      <c r="D3393">
        <v>5.304055</v>
      </c>
      <c r="E3393">
        <v>0.64265830000000002</v>
      </c>
      <c r="F3393" t="s">
        <v>77</v>
      </c>
      <c r="G3393">
        <v>-202.6558</v>
      </c>
      <c r="H3393" s="1">
        <v>-1.028622E-5</v>
      </c>
      <c r="I3393">
        <v>146.32660000000001</v>
      </c>
      <c r="J3393">
        <v>-196.07980000000001</v>
      </c>
      <c r="K3393">
        <v>1.099817</v>
      </c>
      <c r="L3393">
        <v>150.3272</v>
      </c>
      <c r="M3393">
        <v>-0.49012849999999902</v>
      </c>
      <c r="N3393">
        <v>0</v>
      </c>
      <c r="O3393">
        <v>-0.87153749999999997</v>
      </c>
      <c r="P3393">
        <v>-0.61530909999999905</v>
      </c>
      <c r="Q3393">
        <v>-4.5414969999999999E-2</v>
      </c>
      <c r="R3393">
        <v>-0.78697709999999998</v>
      </c>
      <c r="S3393">
        <v>-2.7033390000000002</v>
      </c>
      <c r="T3393">
        <v>-0.4452643</v>
      </c>
      <c r="U3393">
        <v>-1.6849669999999899</v>
      </c>
      <c r="V3393">
        <v>0.1502059</v>
      </c>
      <c r="W3393">
        <v>-3.3203379999999998E-2</v>
      </c>
      <c r="X3393">
        <v>0.988096999999999</v>
      </c>
      <c r="Y3393">
        <v>0.47141319999999998</v>
      </c>
      <c r="Z3393">
        <v>0.13794089999999901</v>
      </c>
      <c r="AA3393">
        <v>0.87105789999999905</v>
      </c>
      <c r="AB3393">
        <v>18</v>
      </c>
      <c r="AC3393">
        <v>-6.5759999999999899</v>
      </c>
      <c r="AD3393">
        <v>-1.09982728622</v>
      </c>
      <c r="AE3393">
        <v>-4.0005999999999897</v>
      </c>
      <c r="AF3393">
        <v>3.6953486004163199</v>
      </c>
      <c r="AG3393">
        <v>-1.09982728622</v>
      </c>
      <c r="AH3393">
        <v>6.5761580980843002</v>
      </c>
      <c r="AI3393">
        <v>98.295374211820203</v>
      </c>
      <c r="AJ3393">
        <v>60.667007896125902</v>
      </c>
      <c r="AK3393">
        <v>7.6230621582873601</v>
      </c>
    </row>
    <row r="3394" spans="1:37" x14ac:dyDescent="0.2">
      <c r="A3394" t="str">
        <f>"20200111160225672"</f>
        <v>20200111160225672</v>
      </c>
      <c r="B3394" t="str">
        <f>"1578729745665895"</f>
        <v>1578729745665895</v>
      </c>
      <c r="C3394" t="s">
        <v>37</v>
      </c>
      <c r="D3394">
        <v>5.154096</v>
      </c>
      <c r="E3394">
        <v>0.64202579999999998</v>
      </c>
      <c r="F3394" t="s">
        <v>77</v>
      </c>
      <c r="G3394">
        <v>-202.90960000000001</v>
      </c>
      <c r="H3394" s="1">
        <v>-1.011843E-5</v>
      </c>
      <c r="I3394">
        <v>146.14080000000001</v>
      </c>
      <c r="J3394">
        <v>-196.17869999999999</v>
      </c>
      <c r="K3394">
        <v>1.09979</v>
      </c>
      <c r="L3394">
        <v>150.1737</v>
      </c>
      <c r="M3394">
        <v>-0.49802609999999897</v>
      </c>
      <c r="N3394">
        <v>0</v>
      </c>
      <c r="O3394">
        <v>-0.86704840000000005</v>
      </c>
      <c r="P3394">
        <v>-0.62251789999999996</v>
      </c>
      <c r="Q3394">
        <v>-4.3017890000000003E-2</v>
      </c>
      <c r="R3394">
        <v>-0.78142210000000001</v>
      </c>
      <c r="S3394">
        <v>-2.7149509999999899</v>
      </c>
      <c r="T3394">
        <v>-0.43720130000000001</v>
      </c>
      <c r="U3394">
        <v>-1.6641539999999999</v>
      </c>
      <c r="V3394">
        <v>0.1502686</v>
      </c>
      <c r="W3394">
        <v>-3.080492E-2</v>
      </c>
      <c r="X3394">
        <v>0.98816519999999997</v>
      </c>
      <c r="Y3394">
        <v>0.470282799999999</v>
      </c>
      <c r="Z3394">
        <v>0.1351424</v>
      </c>
      <c r="AA3394">
        <v>0.87210699999999997</v>
      </c>
      <c r="AB3394">
        <v>18</v>
      </c>
      <c r="AC3394">
        <v>-6.7309000000000099</v>
      </c>
      <c r="AD3394">
        <v>-1.0998001184299999</v>
      </c>
      <c r="AE3394">
        <v>-4.0328999999999802</v>
      </c>
      <c r="AF3394">
        <v>3.7541516027309898</v>
      </c>
      <c r="AG3394">
        <v>-1.0998001184299999</v>
      </c>
      <c r="AH3394">
        <v>6.7175878967790803</v>
      </c>
      <c r="AI3394">
        <v>98.133407572653198</v>
      </c>
      <c r="AJ3394">
        <v>60.801178805903298</v>
      </c>
      <c r="AK3394">
        <v>7.7736221742337799</v>
      </c>
    </row>
    <row r="3395" spans="1:37" x14ac:dyDescent="0.2">
      <c r="A3395" t="str">
        <f>"20200111160225695"</f>
        <v>20200111160225695</v>
      </c>
      <c r="B3395" t="str">
        <f>"1578729745685415"</f>
        <v>1578729745685415</v>
      </c>
      <c r="C3395" t="s">
        <v>37</v>
      </c>
      <c r="D3395">
        <v>5.1274439999999997</v>
      </c>
      <c r="E3395">
        <v>0.64140819999999998</v>
      </c>
      <c r="F3395" t="s">
        <v>77</v>
      </c>
      <c r="G3395">
        <v>-203.14060000000001</v>
      </c>
      <c r="H3395" s="1">
        <v>-9.9677340000000008E-6</v>
      </c>
      <c r="I3395">
        <v>145.97819999999999</v>
      </c>
      <c r="J3395">
        <v>-196.2791</v>
      </c>
      <c r="K3395">
        <v>1.0997749999999999</v>
      </c>
      <c r="L3395">
        <v>150.02119999999999</v>
      </c>
      <c r="M3395">
        <v>-0.50596819999999998</v>
      </c>
      <c r="N3395">
        <v>0</v>
      </c>
      <c r="O3395">
        <v>-0.86243769999999997</v>
      </c>
      <c r="P3395">
        <v>-0.63036210000000004</v>
      </c>
      <c r="Q3395">
        <v>-4.1506250000000001E-2</v>
      </c>
      <c r="R3395">
        <v>-0.77519110000000002</v>
      </c>
      <c r="S3395">
        <v>-2.726715</v>
      </c>
      <c r="T3395">
        <v>-0.43075000000000002</v>
      </c>
      <c r="U3395">
        <v>-1.6432340000000001</v>
      </c>
      <c r="V3395">
        <v>0.15112509999999901</v>
      </c>
      <c r="W3395">
        <v>-2.9298810000000002E-2</v>
      </c>
      <c r="X3395">
        <v>0.98808030000000002</v>
      </c>
      <c r="Y3395">
        <v>0.46905209999999897</v>
      </c>
      <c r="Z3395">
        <v>0.13281299999999999</v>
      </c>
      <c r="AA3395">
        <v>0.87312710000000004</v>
      </c>
      <c r="AB3395">
        <v>18</v>
      </c>
      <c r="AC3395">
        <v>-6.8615000000000004</v>
      </c>
      <c r="AD3395">
        <v>-1.0997849677339999</v>
      </c>
      <c r="AE3395">
        <v>-4.0430000000000001</v>
      </c>
      <c r="AF3395">
        <v>3.79990530797724</v>
      </c>
      <c r="AG3395">
        <v>-1.0997849677339999</v>
      </c>
      <c r="AH3395">
        <v>6.8289951775760498</v>
      </c>
      <c r="AI3395">
        <v>98.010469591713203</v>
      </c>
      <c r="AJ3395">
        <v>60.906820196097797</v>
      </c>
      <c r="AK3395">
        <v>7.8920201761148796</v>
      </c>
    </row>
    <row r="3396" spans="1:37" x14ac:dyDescent="0.2">
      <c r="A3396" t="str">
        <f>"20200111160225716"</f>
        <v>20200111160225716</v>
      </c>
      <c r="B3396" t="str">
        <f>"1578729745705911"</f>
        <v>1578729745705911</v>
      </c>
      <c r="C3396" t="s">
        <v>37</v>
      </c>
      <c r="D3396">
        <v>5.3475699999999904</v>
      </c>
      <c r="E3396">
        <v>0.64112819999999904</v>
      </c>
      <c r="F3396" t="s">
        <v>77</v>
      </c>
      <c r="G3396">
        <v>-203.358</v>
      </c>
      <c r="H3396" s="1">
        <v>-9.8487299999999998E-6</v>
      </c>
      <c r="I3396">
        <v>145.8374</v>
      </c>
      <c r="J3396">
        <v>-196.37469999999999</v>
      </c>
      <c r="K3396">
        <v>1.0997709999999901</v>
      </c>
      <c r="L3396">
        <v>149.87860000000001</v>
      </c>
      <c r="M3396">
        <v>-0.51346519999999995</v>
      </c>
      <c r="N3396">
        <v>0</v>
      </c>
      <c r="O3396">
        <v>-0.85799530000000002</v>
      </c>
      <c r="P3396">
        <v>-0.63754250000000001</v>
      </c>
      <c r="Q3396">
        <v>-3.9995719999999998E-2</v>
      </c>
      <c r="R3396">
        <v>-0.76937679999999997</v>
      </c>
      <c r="S3396">
        <v>-2.7398069999999999</v>
      </c>
      <c r="T3396">
        <v>-0.42565699999999901</v>
      </c>
      <c r="U3396">
        <v>-1.6192629999999999</v>
      </c>
      <c r="V3396">
        <v>0.15167559999999999</v>
      </c>
      <c r="W3396">
        <v>-2.778723E-2</v>
      </c>
      <c r="X3396">
        <v>0.98803969999999897</v>
      </c>
      <c r="Y3396">
        <v>0.46908260000000002</v>
      </c>
      <c r="Z3396">
        <v>0.13097200000000001</v>
      </c>
      <c r="AA3396">
        <v>0.87338879999999997</v>
      </c>
      <c r="AB3396">
        <v>18</v>
      </c>
      <c r="AC3396">
        <v>-6.9833000000000096</v>
      </c>
      <c r="AD3396">
        <v>-1.09978084872999</v>
      </c>
      <c r="AE3396">
        <v>-4.0411999999999999</v>
      </c>
      <c r="AF3396">
        <v>3.8455593750932802</v>
      </c>
      <c r="AG3396">
        <v>-1.09978084872999</v>
      </c>
      <c r="AH3396">
        <v>6.9250415123576996</v>
      </c>
      <c r="AI3396">
        <v>97.904479683366304</v>
      </c>
      <c r="AJ3396">
        <v>60.956055934143102</v>
      </c>
      <c r="AK3396">
        <v>7.99712728237325</v>
      </c>
    </row>
    <row r="3397" spans="1:37" x14ac:dyDescent="0.2">
      <c r="A3397" t="str">
        <f>"20200111160225740"</f>
        <v>20200111160225740</v>
      </c>
      <c r="B3397" t="str">
        <f>"1578729745735191"</f>
        <v>1578729745735191</v>
      </c>
      <c r="C3397" t="s">
        <v>37</v>
      </c>
      <c r="D3397">
        <v>4.9745720000000002</v>
      </c>
      <c r="E3397">
        <v>0.62790429999999997</v>
      </c>
      <c r="F3397" t="s">
        <v>77</v>
      </c>
      <c r="G3397">
        <v>-203.5728</v>
      </c>
      <c r="H3397" s="1">
        <v>-9.7333500000000006E-6</v>
      </c>
      <c r="I3397">
        <v>145.70670000000001</v>
      </c>
      <c r="J3397">
        <v>-196.4778</v>
      </c>
      <c r="K3397">
        <v>1.0997790000000001</v>
      </c>
      <c r="L3397">
        <v>149.72810000000001</v>
      </c>
      <c r="M3397">
        <v>-0.52145870000000005</v>
      </c>
      <c r="N3397">
        <v>0</v>
      </c>
      <c r="O3397">
        <v>-0.85316049999999999</v>
      </c>
      <c r="P3397">
        <v>-0.64516280000000004</v>
      </c>
      <c r="Q3397">
        <v>-3.8267059999999999E-2</v>
      </c>
      <c r="R3397">
        <v>-0.7630865</v>
      </c>
      <c r="S3397">
        <v>-2.753387</v>
      </c>
      <c r="T3397">
        <v>-0.4206821</v>
      </c>
      <c r="U3397">
        <v>-1.59581</v>
      </c>
      <c r="V3397">
        <v>0.15224370000000001</v>
      </c>
      <c r="W3397">
        <v>-2.6055930000000001E-2</v>
      </c>
      <c r="X3397">
        <v>0.98799939999999997</v>
      </c>
      <c r="Y3397">
        <v>0.46851369999999998</v>
      </c>
      <c r="Z3397">
        <v>0.129076</v>
      </c>
      <c r="AA3397">
        <v>0.87397619999999898</v>
      </c>
      <c r="AB3397">
        <v>18</v>
      </c>
      <c r="AC3397">
        <v>-7.09499999999999</v>
      </c>
      <c r="AD3397">
        <v>-1.0997887333499901</v>
      </c>
      <c r="AE3397">
        <v>-4.0213999999999999</v>
      </c>
      <c r="AF3397">
        <v>3.8859040093598498</v>
      </c>
      <c r="AG3397">
        <v>-1.0997887333499901</v>
      </c>
      <c r="AH3397">
        <v>7.0039836034712</v>
      </c>
      <c r="AI3397">
        <v>97.818184671751993</v>
      </c>
      <c r="AJ3397">
        <v>60.977899325778601</v>
      </c>
      <c r="AK3397">
        <v>8.0848977449103199</v>
      </c>
    </row>
    <row r="3398" spans="1:37" x14ac:dyDescent="0.2">
      <c r="A3398" t="str">
        <f>"20200111160225763"</f>
        <v>20200111160225763</v>
      </c>
      <c r="B3398" t="str">
        <f>"1578729745755688"</f>
        <v>1578729745755688</v>
      </c>
      <c r="C3398" t="s">
        <v>37</v>
      </c>
      <c r="D3398">
        <v>4.9263009999999996</v>
      </c>
      <c r="E3398">
        <v>0.62697179999999997</v>
      </c>
      <c r="F3398" t="s">
        <v>77</v>
      </c>
      <c r="G3398">
        <v>-205.13820000000001</v>
      </c>
      <c r="H3398" s="1">
        <v>-8.8068580000000004E-6</v>
      </c>
      <c r="I3398">
        <v>144.4751</v>
      </c>
      <c r="J3398">
        <v>-196.5883</v>
      </c>
      <c r="K3398">
        <v>1.099783</v>
      </c>
      <c r="L3398">
        <v>149.5703</v>
      </c>
      <c r="M3398">
        <v>-0.52991659999999996</v>
      </c>
      <c r="N3398">
        <v>0</v>
      </c>
      <c r="O3398">
        <v>-0.84793280000000004</v>
      </c>
      <c r="P3398">
        <v>-0.65316339999999995</v>
      </c>
      <c r="Q3398">
        <v>-3.6623089999999997E-2</v>
      </c>
      <c r="R3398">
        <v>-0.75633109999999903</v>
      </c>
      <c r="S3398">
        <v>-2.695694</v>
      </c>
      <c r="T3398">
        <v>-0.34232770000000001</v>
      </c>
      <c r="U3398">
        <v>-1.635086</v>
      </c>
      <c r="V3398">
        <v>0.15279889999999999</v>
      </c>
      <c r="W3398">
        <v>-2.4408679999999999E-2</v>
      </c>
      <c r="X3398">
        <v>0.98795580000000005</v>
      </c>
      <c r="Y3398">
        <v>0.44481099999999901</v>
      </c>
      <c r="Z3398">
        <v>0.1051023</v>
      </c>
      <c r="AA3398">
        <v>0.88943619999999901</v>
      </c>
      <c r="AB3398">
        <v>18</v>
      </c>
      <c r="AC3398">
        <v>-8.5498999999999992</v>
      </c>
      <c r="AD3398">
        <v>-1.0997918068579999</v>
      </c>
      <c r="AE3398">
        <v>-5.0952000000000002</v>
      </c>
      <c r="AF3398">
        <v>4.49527375521496</v>
      </c>
      <c r="AG3398">
        <v>-1.0997918068579999</v>
      </c>
      <c r="AH3398">
        <v>8.7452202856751704</v>
      </c>
      <c r="AI3398">
        <v>96.381888902443393</v>
      </c>
      <c r="AJ3398">
        <v>62.795641360587197</v>
      </c>
      <c r="AK3398">
        <v>9.8942359986883694</v>
      </c>
    </row>
    <row r="3399" spans="1:37" x14ac:dyDescent="0.2">
      <c r="A3399" t="str">
        <f>"20200111160225788"</f>
        <v>20200111160225788</v>
      </c>
      <c r="B3399" t="str">
        <f>"1578729745785944"</f>
        <v>1578729745785944</v>
      </c>
      <c r="C3399" t="s">
        <v>37</v>
      </c>
      <c r="D3399">
        <v>4.8631779999999996</v>
      </c>
      <c r="E3399">
        <v>0.62596879999999999</v>
      </c>
      <c r="F3399" t="s">
        <v>77</v>
      </c>
      <c r="G3399">
        <v>-205.21850000000001</v>
      </c>
      <c r="H3399" s="1">
        <v>-8.7592200000000005E-6</v>
      </c>
      <c r="I3399">
        <v>144.42949999999999</v>
      </c>
      <c r="J3399">
        <v>-196.70179999999999</v>
      </c>
      <c r="K3399">
        <v>1.099782</v>
      </c>
      <c r="L3399">
        <v>149.41159999999999</v>
      </c>
      <c r="M3399">
        <v>-0.53848180000000001</v>
      </c>
      <c r="N3399">
        <v>0</v>
      </c>
      <c r="O3399">
        <v>-0.84251919999999902</v>
      </c>
      <c r="P3399">
        <v>-0.66115769999999996</v>
      </c>
      <c r="Q3399">
        <v>-3.5586140000000002E-2</v>
      </c>
      <c r="R3399">
        <v>-0.74940260000000003</v>
      </c>
      <c r="S3399">
        <v>-2.7067109999999999</v>
      </c>
      <c r="T3399">
        <v>-0.34493119999999999</v>
      </c>
      <c r="U3399">
        <v>-1.6123350000000001</v>
      </c>
      <c r="V3399">
        <v>0.1532625</v>
      </c>
      <c r="W3399">
        <v>-2.336831E-2</v>
      </c>
      <c r="X3399">
        <v>0.98790919999999904</v>
      </c>
      <c r="Y3399">
        <v>0.44278980000000001</v>
      </c>
      <c r="Z3399">
        <v>0.1055328</v>
      </c>
      <c r="AA3399">
        <v>0.890393199999999</v>
      </c>
      <c r="AB3399">
        <v>18</v>
      </c>
      <c r="AC3399">
        <v>-8.5167000000000108</v>
      </c>
      <c r="AD3399">
        <v>-1.09979075922</v>
      </c>
      <c r="AE3399">
        <v>-4.9821</v>
      </c>
      <c r="AF3399">
        <v>4.4380218665447302</v>
      </c>
      <c r="AG3399">
        <v>-1.09979075922</v>
      </c>
      <c r="AH3399">
        <v>8.6766772555552603</v>
      </c>
      <c r="AI3399">
        <v>96.438451669610501</v>
      </c>
      <c r="AJ3399">
        <v>62.910771788279902</v>
      </c>
      <c r="AK3399">
        <v>9.8076656753309504</v>
      </c>
    </row>
    <row r="3400" spans="1:37" x14ac:dyDescent="0.2">
      <c r="A3400" t="str">
        <f>"20200111160225808"</f>
        <v>20200111160225808</v>
      </c>
      <c r="B3400" t="str">
        <f>"1578729745805463"</f>
        <v>1578729745805463</v>
      </c>
      <c r="C3400" t="s">
        <v>37</v>
      </c>
      <c r="D3400">
        <v>5.0355759999999998</v>
      </c>
      <c r="E3400">
        <v>0.62551869999999998</v>
      </c>
      <c r="F3400" t="s">
        <v>77</v>
      </c>
      <c r="G3400">
        <v>-205.30199999999999</v>
      </c>
      <c r="H3400" s="1">
        <v>-8.7093789999999992E-6</v>
      </c>
      <c r="I3400">
        <v>144.381</v>
      </c>
      <c r="J3400">
        <v>-196.79679999999999</v>
      </c>
      <c r="K3400">
        <v>1.099788</v>
      </c>
      <c r="L3400">
        <v>149.28139999999999</v>
      </c>
      <c r="M3400">
        <v>-0.54555500000000001</v>
      </c>
      <c r="N3400">
        <v>0</v>
      </c>
      <c r="O3400">
        <v>-0.83795640000000005</v>
      </c>
      <c r="P3400">
        <v>-0.66777030000000004</v>
      </c>
      <c r="Q3400">
        <v>-3.4840179999999998E-2</v>
      </c>
      <c r="R3400">
        <v>-0.74355170000000004</v>
      </c>
      <c r="S3400">
        <v>-2.717209</v>
      </c>
      <c r="T3400">
        <v>-0.34747410000000001</v>
      </c>
      <c r="U3400">
        <v>-1.5894170000000001</v>
      </c>
      <c r="V3400">
        <v>0.15368660000000001</v>
      </c>
      <c r="W3400">
        <v>-2.262115E-2</v>
      </c>
      <c r="X3400">
        <v>0.98786070000000004</v>
      </c>
      <c r="Y3400">
        <v>0.44227259999999902</v>
      </c>
      <c r="Z3400">
        <v>0.106056</v>
      </c>
      <c r="AA3400">
        <v>0.89058799999999905</v>
      </c>
      <c r="AB3400">
        <v>18</v>
      </c>
      <c r="AC3400">
        <v>-8.5052000000000305</v>
      </c>
      <c r="AD3400">
        <v>-1.099796709379</v>
      </c>
      <c r="AE3400">
        <v>-4.9003999999999897</v>
      </c>
      <c r="AF3400">
        <v>4.3987721361765599</v>
      </c>
      <c r="AG3400">
        <v>-1.099796709379</v>
      </c>
      <c r="AH3400">
        <v>8.6387989183631593</v>
      </c>
      <c r="AI3400">
        <v>96.472453684401401</v>
      </c>
      <c r="AJ3400">
        <v>63.015354757426003</v>
      </c>
      <c r="AK3400">
        <v>9.7564130632049704</v>
      </c>
    </row>
    <row r="3401" spans="1:37" x14ac:dyDescent="0.2">
      <c r="A3401" t="str">
        <f>"20200111160225828"</f>
        <v>20200111160225828</v>
      </c>
      <c r="B3401" t="str">
        <f>"1578729745824984"</f>
        <v>1578729745824984</v>
      </c>
      <c r="C3401" t="s">
        <v>37</v>
      </c>
      <c r="D3401">
        <v>4.8226659999999999</v>
      </c>
      <c r="E3401">
        <v>0.61710730000000003</v>
      </c>
      <c r="F3401" t="s">
        <v>77</v>
      </c>
      <c r="G3401">
        <v>-205.4667</v>
      </c>
      <c r="H3401" s="1">
        <v>-8.6148090000000005E-6</v>
      </c>
      <c r="I3401">
        <v>144.29939999999999</v>
      </c>
      <c r="J3401">
        <v>-196.89750000000001</v>
      </c>
      <c r="K3401">
        <v>1.099796</v>
      </c>
      <c r="L3401">
        <v>149.14619999999999</v>
      </c>
      <c r="M3401">
        <v>-0.55293519999999996</v>
      </c>
      <c r="N3401">
        <v>0</v>
      </c>
      <c r="O3401">
        <v>-0.83310479999999998</v>
      </c>
      <c r="P3401">
        <v>-0.67483219999999899</v>
      </c>
      <c r="Q3401">
        <v>-3.3694929999999998E-2</v>
      </c>
      <c r="R3401">
        <v>-0.73720200000000002</v>
      </c>
      <c r="S3401">
        <v>-2.728577</v>
      </c>
      <c r="T3401">
        <v>-0.34612799999999999</v>
      </c>
      <c r="U3401">
        <v>-1.567947</v>
      </c>
      <c r="V3401">
        <v>0.15436649999999999</v>
      </c>
      <c r="W3401">
        <v>-2.1477630000000001E-2</v>
      </c>
      <c r="X3401">
        <v>0.9877802</v>
      </c>
      <c r="Y3401">
        <v>0.44129479999999999</v>
      </c>
      <c r="Z3401">
        <v>0.10530539999999899</v>
      </c>
      <c r="AA3401">
        <v>0.89116200000000001</v>
      </c>
      <c r="AB3401">
        <v>18</v>
      </c>
      <c r="AC3401">
        <v>-8.5691999999999897</v>
      </c>
      <c r="AD3401">
        <v>-1.0998046148089999</v>
      </c>
      <c r="AE3401">
        <v>-4.8468</v>
      </c>
      <c r="AF3401">
        <v>4.4045515104512702</v>
      </c>
      <c r="AG3401">
        <v>-1.0998046148089999</v>
      </c>
      <c r="AH3401">
        <v>8.6687939141125394</v>
      </c>
      <c r="AI3401">
        <v>96.453124433252398</v>
      </c>
      <c r="AJ3401">
        <v>63.065205628547297</v>
      </c>
      <c r="AK3401">
        <v>9.7855828709550305</v>
      </c>
    </row>
    <row r="3402" spans="1:37" x14ac:dyDescent="0.2">
      <c r="A3402" t="str">
        <f>"20200111160225854"</f>
        <v>20200111160225854</v>
      </c>
      <c r="B3402" t="str">
        <f>"1578729745845480"</f>
        <v>1578729745845480</v>
      </c>
      <c r="C3402" t="s">
        <v>37</v>
      </c>
      <c r="D3402">
        <v>4.8462990000000001</v>
      </c>
      <c r="E3402">
        <v>0.61643309999999996</v>
      </c>
      <c r="F3402" t="s">
        <v>77</v>
      </c>
      <c r="G3402">
        <v>-205.15530000000001</v>
      </c>
      <c r="H3402" s="1">
        <v>-8.7461899999999902E-6</v>
      </c>
      <c r="I3402">
        <v>144.274</v>
      </c>
      <c r="J3402">
        <v>-197.01939999999999</v>
      </c>
      <c r="K3402">
        <v>1.0998139999999901</v>
      </c>
      <c r="L3402">
        <v>148.98580000000001</v>
      </c>
      <c r="M3402">
        <v>-0.56171850000000001</v>
      </c>
      <c r="N3402">
        <v>0</v>
      </c>
      <c r="O3402">
        <v>-0.82720799999999906</v>
      </c>
      <c r="P3402">
        <v>-0.68346949999999995</v>
      </c>
      <c r="Q3402">
        <v>-3.346201E-2</v>
      </c>
      <c r="R3402">
        <v>-0.72921199999999997</v>
      </c>
      <c r="S3402">
        <v>-2.69233699999999</v>
      </c>
      <c r="T3402">
        <v>-0.35857319999999998</v>
      </c>
      <c r="U3402">
        <v>-1.5884860000000001</v>
      </c>
      <c r="V3402">
        <v>0.15554860000000001</v>
      </c>
      <c r="W3402">
        <v>-2.1250809999999998E-2</v>
      </c>
      <c r="X3402">
        <v>0.98759959999999902</v>
      </c>
      <c r="Y3402">
        <v>0.42109160000000001</v>
      </c>
      <c r="Z3402">
        <v>0.10858519999999899</v>
      </c>
      <c r="AA3402">
        <v>0.90049489999999999</v>
      </c>
      <c r="AB3402">
        <v>18</v>
      </c>
      <c r="AC3402">
        <v>-8.1359000000000101</v>
      </c>
      <c r="AD3402">
        <v>-1.0998227461900001</v>
      </c>
      <c r="AE3402">
        <v>-4.71180000000001</v>
      </c>
      <c r="AF3402">
        <v>4.0286538536362002</v>
      </c>
      <c r="AG3402">
        <v>-1.0998227461900001</v>
      </c>
      <c r="AH3402">
        <v>8.3542458232509293</v>
      </c>
      <c r="AI3402">
        <v>96.762597512373901</v>
      </c>
      <c r="AJ3402">
        <v>64.255319118105007</v>
      </c>
      <c r="AK3402">
        <v>9.3398653748734706</v>
      </c>
    </row>
    <row r="3403" spans="1:37" x14ac:dyDescent="0.2">
      <c r="A3403" t="str">
        <f>"20200111160225873"</f>
        <v>20200111160225873</v>
      </c>
      <c r="B3403" t="str">
        <f>"1578729745864999"</f>
        <v>1578729745864999</v>
      </c>
      <c r="C3403" t="s">
        <v>37</v>
      </c>
      <c r="D3403">
        <v>4.7920400000000001</v>
      </c>
      <c r="E3403">
        <v>0.61526499999999995</v>
      </c>
      <c r="F3403" t="s">
        <v>77</v>
      </c>
      <c r="G3403">
        <v>-205.09829999999999</v>
      </c>
      <c r="H3403" s="1">
        <v>-8.7850100000000004E-6</v>
      </c>
      <c r="I3403">
        <v>144.3252</v>
      </c>
      <c r="J3403">
        <v>-197.11869999999999</v>
      </c>
      <c r="K3403">
        <v>1.0998319999999999</v>
      </c>
      <c r="L3403">
        <v>148.85769999999999</v>
      </c>
      <c r="M3403">
        <v>-0.56875189999999998</v>
      </c>
      <c r="N3403">
        <v>0</v>
      </c>
      <c r="O3403">
        <v>-0.82238809999999996</v>
      </c>
      <c r="P3403">
        <v>-0.6900231</v>
      </c>
      <c r="Q3403">
        <v>-3.4913069999999997E-2</v>
      </c>
      <c r="R3403">
        <v>-0.7229449</v>
      </c>
      <c r="S3403">
        <v>-2.7058559999999998</v>
      </c>
      <c r="T3403">
        <v>-0.36836289999999999</v>
      </c>
      <c r="U3403">
        <v>-1.5609740000000001</v>
      </c>
      <c r="V3403">
        <v>0.15606439999999999</v>
      </c>
      <c r="W3403">
        <v>-2.27000999999999E-2</v>
      </c>
      <c r="X3403">
        <v>0.98748599999999997</v>
      </c>
      <c r="Y3403">
        <v>0.42186179999999901</v>
      </c>
      <c r="Z3403">
        <v>0.1112472</v>
      </c>
      <c r="AA3403">
        <v>0.89980919999999898</v>
      </c>
      <c r="AB3403">
        <v>18</v>
      </c>
      <c r="AC3403">
        <v>-7.9795999999999996</v>
      </c>
      <c r="AD3403">
        <v>-1.0998407850099901</v>
      </c>
      <c r="AE3403">
        <v>-4.53249999999999</v>
      </c>
      <c r="AF3403">
        <v>3.9284312013120899</v>
      </c>
      <c r="AG3403">
        <v>-1.0998407850099901</v>
      </c>
      <c r="AH3403">
        <v>8.1496530351790994</v>
      </c>
      <c r="AI3403">
        <v>96.931364917602195</v>
      </c>
      <c r="AJ3403">
        <v>64.264230707059099</v>
      </c>
      <c r="AK3403">
        <v>9.1136746732378899</v>
      </c>
    </row>
    <row r="3404" spans="1:37" x14ac:dyDescent="0.2">
      <c r="A3404" t="str">
        <f>"20200111160225896"</f>
        <v>20200111160225896</v>
      </c>
      <c r="B3404" t="str">
        <f>"1578729745885495"</f>
        <v>1578729745885495</v>
      </c>
      <c r="C3404" t="s">
        <v>37</v>
      </c>
      <c r="D3404">
        <v>4.8292380000000001</v>
      </c>
      <c r="E3404">
        <v>0.613986699999999</v>
      </c>
      <c r="F3404" t="s">
        <v>77</v>
      </c>
      <c r="G3404">
        <v>-204.84549999999999</v>
      </c>
      <c r="H3404" s="1">
        <v>-8.9252980000000003E-6</v>
      </c>
      <c r="I3404">
        <v>144.4605</v>
      </c>
      <c r="J3404">
        <v>-197.2286</v>
      </c>
      <c r="K3404">
        <v>1.0998669999999999</v>
      </c>
      <c r="L3404">
        <v>148.71860000000001</v>
      </c>
      <c r="M3404">
        <v>-0.57640279999999999</v>
      </c>
      <c r="N3404">
        <v>0</v>
      </c>
      <c r="O3404">
        <v>-0.81704379999999999</v>
      </c>
      <c r="P3404">
        <v>-0.69677290000000003</v>
      </c>
      <c r="Q3404">
        <v>-3.6656179999999997E-2</v>
      </c>
      <c r="R3404">
        <v>-0.71635450000000001</v>
      </c>
      <c r="S3404">
        <v>-2.7114720000000001</v>
      </c>
      <c r="T3404">
        <v>-0.3859535</v>
      </c>
      <c r="U3404">
        <v>-1.5430600000000001</v>
      </c>
      <c r="V3404">
        <v>0.15614159999999999</v>
      </c>
      <c r="W3404">
        <v>-2.443385E-2</v>
      </c>
      <c r="X3404">
        <v>0.98743239999999999</v>
      </c>
      <c r="Y3404">
        <v>0.41810370000000002</v>
      </c>
      <c r="Z3404">
        <v>0.116050399999999</v>
      </c>
      <c r="AA3404">
        <v>0.90095599999999998</v>
      </c>
      <c r="AB3404">
        <v>17</v>
      </c>
      <c r="AC3404">
        <v>-7.6168999999999798</v>
      </c>
      <c r="AD3404">
        <v>-1.0998759252979999</v>
      </c>
      <c r="AE3404">
        <v>-4.2581000000000104</v>
      </c>
      <c r="AF3404">
        <v>3.7103909139743001</v>
      </c>
      <c r="AG3404">
        <v>-1.0998759252979999</v>
      </c>
      <c r="AH3404">
        <v>7.7471661646166901</v>
      </c>
      <c r="AI3404">
        <v>97.296655112947803</v>
      </c>
      <c r="AJ3404">
        <v>64.408597057682798</v>
      </c>
      <c r="AK3404">
        <v>8.65998333530354</v>
      </c>
    </row>
    <row r="3405" spans="1:37" x14ac:dyDescent="0.2">
      <c r="A3405" t="str">
        <f>"20200111160225918"</f>
        <v>20200111160225918</v>
      </c>
      <c r="B3405" t="str">
        <f>"1578729745915752"</f>
        <v>1578729745915752</v>
      </c>
      <c r="C3405" t="s">
        <v>37</v>
      </c>
      <c r="D3405">
        <v>4.7986829999999996</v>
      </c>
      <c r="E3405">
        <v>0.60601510000000003</v>
      </c>
      <c r="F3405" t="s">
        <v>77</v>
      </c>
      <c r="G3405">
        <v>-204.7732</v>
      </c>
      <c r="H3405" s="1">
        <v>-8.9598110000000003E-6</v>
      </c>
      <c r="I3405">
        <v>144.48820000000001</v>
      </c>
      <c r="J3405">
        <v>-197.3383</v>
      </c>
      <c r="K3405">
        <v>1.0999110000000001</v>
      </c>
      <c r="L3405">
        <v>148.5823</v>
      </c>
      <c r="M3405">
        <v>-0.58390129999999996</v>
      </c>
      <c r="N3405">
        <v>0</v>
      </c>
      <c r="O3405">
        <v>-0.81170189999999998</v>
      </c>
      <c r="P3405">
        <v>-0.70258500000000002</v>
      </c>
      <c r="Q3405">
        <v>-3.7458690000000003E-2</v>
      </c>
      <c r="R3405">
        <v>-0.710613099999999</v>
      </c>
      <c r="S3405">
        <v>-2.7178960000000001</v>
      </c>
      <c r="T3405">
        <v>-0.39622209999999902</v>
      </c>
      <c r="U3405">
        <v>-1.523987</v>
      </c>
      <c r="V3405">
        <v>0.15511129999999901</v>
      </c>
      <c r="W3405">
        <v>-2.5212040000000002E-2</v>
      </c>
      <c r="X3405">
        <v>0.98757519999999999</v>
      </c>
      <c r="Y3405">
        <v>0.41511579999999898</v>
      </c>
      <c r="Z3405">
        <v>0.11865439999999999</v>
      </c>
      <c r="AA3405">
        <v>0.90199769999999901</v>
      </c>
      <c r="AB3405">
        <v>17</v>
      </c>
      <c r="AC3405">
        <v>-7.4348999999999901</v>
      </c>
      <c r="AD3405">
        <v>-1.0999199598110001</v>
      </c>
      <c r="AE3405">
        <v>-4.0940999999999903</v>
      </c>
      <c r="AF3405">
        <v>3.5845369230083799</v>
      </c>
      <c r="AG3405">
        <v>-1.0999199598110001</v>
      </c>
      <c r="AH3405">
        <v>7.5385977692447996</v>
      </c>
      <c r="AI3405">
        <v>97.506488695131296</v>
      </c>
      <c r="AJ3405">
        <v>64.569323395203497</v>
      </c>
      <c r="AK3405">
        <v>8.4195715566092595</v>
      </c>
    </row>
    <row r="3406" spans="1:37" x14ac:dyDescent="0.2">
      <c r="A3406" t="str">
        <f>"20200111160225943"</f>
        <v>20200111160225943</v>
      </c>
      <c r="B3406" t="str">
        <f>"1578729745935271"</f>
        <v>1578729745935271</v>
      </c>
      <c r="C3406" t="s">
        <v>37</v>
      </c>
      <c r="D3406">
        <v>4.7760809999999996</v>
      </c>
      <c r="E3406">
        <v>0.60454469999999905</v>
      </c>
      <c r="F3406" t="s">
        <v>77</v>
      </c>
      <c r="G3406">
        <v>-204.38820000000001</v>
      </c>
      <c r="H3406" s="1">
        <v>-9.1126289999999906E-6</v>
      </c>
      <c r="I3406">
        <v>144.518</v>
      </c>
      <c r="J3406">
        <v>-197.46109999999999</v>
      </c>
      <c r="K3406">
        <v>1.0999559999999999</v>
      </c>
      <c r="L3406">
        <v>148.43270000000001</v>
      </c>
      <c r="M3406">
        <v>-0.59212909999999996</v>
      </c>
      <c r="N3406">
        <v>0</v>
      </c>
      <c r="O3406">
        <v>-0.80571959999999998</v>
      </c>
      <c r="P3406">
        <v>-0.70866719999999905</v>
      </c>
      <c r="Q3406">
        <v>-3.6405310000000003E-2</v>
      </c>
      <c r="R3406">
        <v>-0.70460279999999997</v>
      </c>
      <c r="S3406">
        <v>-2.6831049999999999</v>
      </c>
      <c r="T3406">
        <v>-0.41861690000000001</v>
      </c>
      <c r="U3406">
        <v>-1.5468440000000001</v>
      </c>
      <c r="V3406">
        <v>0.15353420000000001</v>
      </c>
      <c r="W3406">
        <v>-2.4126430000000001E-2</v>
      </c>
      <c r="X3406">
        <v>0.98784879999999997</v>
      </c>
      <c r="Y3406">
        <v>0.3942097</v>
      </c>
      <c r="Z3406">
        <v>0.124517</v>
      </c>
      <c r="AA3406">
        <v>0.91054609999999903</v>
      </c>
      <c r="AB3406">
        <v>17</v>
      </c>
      <c r="AC3406">
        <v>-6.9271000000000198</v>
      </c>
      <c r="AD3406">
        <v>-1.099965112629</v>
      </c>
      <c r="AE3406">
        <v>-3.9147000000000101</v>
      </c>
      <c r="AF3406">
        <v>3.20241524052186</v>
      </c>
      <c r="AG3406">
        <v>-1.099965112629</v>
      </c>
      <c r="AH3406">
        <v>7.1205283216750299</v>
      </c>
      <c r="AI3406">
        <v>98.019354283934504</v>
      </c>
      <c r="AJ3406">
        <v>65.784451188996997</v>
      </c>
      <c r="AK3406">
        <v>7.8846249245924103</v>
      </c>
    </row>
    <row r="3407" spans="1:37" x14ac:dyDescent="0.2">
      <c r="A3407" t="str">
        <f>"20200111160225963"</f>
        <v>20200111160225963</v>
      </c>
      <c r="B3407" t="str">
        <f>"1578729745955768"</f>
        <v>1578729745955768</v>
      </c>
      <c r="C3407" t="s">
        <v>37</v>
      </c>
      <c r="D3407">
        <v>4.8280199999999898</v>
      </c>
      <c r="E3407">
        <v>0.60361419999999999</v>
      </c>
      <c r="F3407" t="s">
        <v>77</v>
      </c>
      <c r="G3407">
        <v>-204.5813</v>
      </c>
      <c r="H3407" s="1">
        <v>-9.0021279999999997E-6</v>
      </c>
      <c r="I3407">
        <v>144.37469999999999</v>
      </c>
      <c r="J3407">
        <v>-197.57130000000001</v>
      </c>
      <c r="K3407">
        <v>1.0999909999999999</v>
      </c>
      <c r="L3407">
        <v>148.30090000000001</v>
      </c>
      <c r="M3407">
        <v>-0.59936769999999995</v>
      </c>
      <c r="N3407">
        <v>0</v>
      </c>
      <c r="O3407">
        <v>-0.80034949999999905</v>
      </c>
      <c r="P3407">
        <v>-0.71389250000000004</v>
      </c>
      <c r="Q3407">
        <v>-3.4237429999999999E-2</v>
      </c>
      <c r="R3407">
        <v>-0.69941819999999999</v>
      </c>
      <c r="S3407">
        <v>-2.688507</v>
      </c>
      <c r="T3407">
        <v>-0.4153348</v>
      </c>
      <c r="U3407">
        <v>-1.5322420000000001</v>
      </c>
      <c r="V3407">
        <v>0.1519432</v>
      </c>
      <c r="W3407">
        <v>-2.19285E-2</v>
      </c>
      <c r="X3407">
        <v>0.98814590000000002</v>
      </c>
      <c r="Y3407">
        <v>0.39061960000000001</v>
      </c>
      <c r="Z3407">
        <v>0.1229792</v>
      </c>
      <c r="AA3407">
        <v>0.91230059999999902</v>
      </c>
      <c r="AB3407">
        <v>17</v>
      </c>
      <c r="AC3407">
        <v>-7.00999999999999</v>
      </c>
      <c r="AD3407">
        <v>-1.1000000021279901</v>
      </c>
      <c r="AE3407">
        <v>-3.9262000000000201</v>
      </c>
      <c r="AF3407">
        <v>3.1976019560933402</v>
      </c>
      <c r="AG3407">
        <v>-1.1000000021279901</v>
      </c>
      <c r="AH3407">
        <v>7.2094983330020197</v>
      </c>
      <c r="AI3407">
        <v>97.940030444889402</v>
      </c>
      <c r="AJ3407">
        <v>66.081455638542295</v>
      </c>
      <c r="AK3407">
        <v>7.9631353428063996</v>
      </c>
    </row>
    <row r="3408" spans="1:37" x14ac:dyDescent="0.2">
      <c r="A3408" t="str">
        <f>"20200111160225987"</f>
        <v>20200111160225987</v>
      </c>
      <c r="B3408" t="str">
        <f>"1578729745975287"</f>
        <v>1578729745975287</v>
      </c>
      <c r="C3408" t="s">
        <v>37</v>
      </c>
      <c r="D3408">
        <v>4.7859059999999998</v>
      </c>
      <c r="E3408">
        <v>0.60246440000000001</v>
      </c>
      <c r="F3408" t="s">
        <v>77</v>
      </c>
      <c r="G3408">
        <v>-204.78099999999901</v>
      </c>
      <c r="H3408" s="1">
        <v>-8.8910910000000007E-6</v>
      </c>
      <c r="I3408">
        <v>144.2389</v>
      </c>
      <c r="J3408">
        <v>-197.68860000000001</v>
      </c>
      <c r="K3408">
        <v>1.100025</v>
      </c>
      <c r="L3408">
        <v>148.16319999999999</v>
      </c>
      <c r="M3408">
        <v>-0.60691899999999999</v>
      </c>
      <c r="N3408">
        <v>0</v>
      </c>
      <c r="O3408">
        <v>-0.79463859999999997</v>
      </c>
      <c r="P3408">
        <v>-0.71935559999999998</v>
      </c>
      <c r="Q3408">
        <v>-3.1502860000000001E-2</v>
      </c>
      <c r="R3408">
        <v>-0.69392699999999996</v>
      </c>
      <c r="S3408">
        <v>-2.6950069999999999</v>
      </c>
      <c r="T3408">
        <v>-0.41118509999999903</v>
      </c>
      <c r="U3408">
        <v>-1.5183869999999999</v>
      </c>
      <c r="V3408">
        <v>0.15028929999999999</v>
      </c>
      <c r="W3408">
        <v>-1.9164210000000001E-2</v>
      </c>
      <c r="X3408">
        <v>0.98845629999999995</v>
      </c>
      <c r="Y3408">
        <v>0.38662269999999999</v>
      </c>
      <c r="Z3408">
        <v>0.121084</v>
      </c>
      <c r="AA3408">
        <v>0.91425460000000003</v>
      </c>
      <c r="AB3408">
        <v>17</v>
      </c>
      <c r="AC3408">
        <v>-7.0923999999999596</v>
      </c>
      <c r="AD3408">
        <v>-1.1000338910909999</v>
      </c>
      <c r="AE3408">
        <v>-3.9242999999999801</v>
      </c>
      <c r="AF3408">
        <v>3.19563045256427</v>
      </c>
      <c r="AG3408">
        <v>-1.1000338910909999</v>
      </c>
      <c r="AH3408">
        <v>7.2893977853248</v>
      </c>
      <c r="AI3408">
        <v>97.869038823931803</v>
      </c>
      <c r="AJ3408">
        <v>66.327628633061295</v>
      </c>
      <c r="AK3408">
        <v>8.0347650011436595</v>
      </c>
    </row>
    <row r="3409" spans="1:37" x14ac:dyDescent="0.2">
      <c r="A3409" t="str">
        <f>"20200111160226008"</f>
        <v>20200111160226008</v>
      </c>
      <c r="B3409" t="str">
        <f>"1578729746005544"</f>
        <v>1578729746005544</v>
      </c>
      <c r="C3409" t="s">
        <v>37</v>
      </c>
      <c r="D3409">
        <v>4.7541209999999996</v>
      </c>
      <c r="E3409">
        <v>0.60155049999999999</v>
      </c>
      <c r="F3409" t="s">
        <v>77</v>
      </c>
      <c r="G3409">
        <v>-205.03389999999999</v>
      </c>
      <c r="H3409" s="1">
        <v>-8.7464809999999997E-6</v>
      </c>
      <c r="I3409">
        <v>144.0711</v>
      </c>
      <c r="J3409">
        <v>-197.79470000000001</v>
      </c>
      <c r="K3409">
        <v>1.100066</v>
      </c>
      <c r="L3409">
        <v>148.04089999999999</v>
      </c>
      <c r="M3409">
        <v>-0.61361589999999999</v>
      </c>
      <c r="N3409">
        <v>0</v>
      </c>
      <c r="O3409">
        <v>-0.78947869999999998</v>
      </c>
      <c r="P3409">
        <v>-0.72456009999999904</v>
      </c>
      <c r="Q3409">
        <v>-2.8141670000000001E-2</v>
      </c>
      <c r="R3409">
        <v>-0.68863699999999906</v>
      </c>
      <c r="S3409">
        <v>-2.7010800000000001</v>
      </c>
      <c r="T3409">
        <v>-0.40451729999999902</v>
      </c>
      <c r="U3409">
        <v>-1.504807</v>
      </c>
      <c r="V3409">
        <v>0.14932229999999999</v>
      </c>
      <c r="W3409">
        <v>-1.5784070000000001E-2</v>
      </c>
      <c r="X3409">
        <v>0.98866259999999995</v>
      </c>
      <c r="Y3409">
        <v>0.3835075</v>
      </c>
      <c r="Z3409">
        <v>0.118563899999999</v>
      </c>
      <c r="AA3409">
        <v>0.91589549999999997</v>
      </c>
      <c r="AB3409">
        <v>17</v>
      </c>
      <c r="AC3409">
        <v>-7.2391999999999799</v>
      </c>
      <c r="AD3409">
        <v>-1.1000747464809999</v>
      </c>
      <c r="AE3409">
        <v>-3.96979999999999</v>
      </c>
      <c r="AF3409">
        <v>3.2223798827963099</v>
      </c>
      <c r="AG3409">
        <v>-1.1000747464809999</v>
      </c>
      <c r="AH3409">
        <v>7.4447450350159903</v>
      </c>
      <c r="AI3409">
        <v>97.722616348870602</v>
      </c>
      <c r="AJ3409">
        <v>66.595131848523096</v>
      </c>
      <c r="AK3409">
        <v>8.1864598693996502</v>
      </c>
    </row>
    <row r="3410" spans="1:37" x14ac:dyDescent="0.2">
      <c r="A3410" t="str">
        <f>"20200111160226030"</f>
        <v>20200111160226030</v>
      </c>
      <c r="B3410" t="str">
        <f>"1578729746025063"</f>
        <v>1578729746025063</v>
      </c>
      <c r="C3410" t="s">
        <v>37</v>
      </c>
      <c r="D3410">
        <v>4.7776559999999897</v>
      </c>
      <c r="E3410">
        <v>0.60120119999999999</v>
      </c>
      <c r="F3410" t="s">
        <v>77</v>
      </c>
      <c r="G3410">
        <v>-205.38130000000001</v>
      </c>
      <c r="H3410" s="1">
        <v>-8.5380269999999906E-6</v>
      </c>
      <c r="I3410">
        <v>143.86500000000001</v>
      </c>
      <c r="J3410">
        <v>-197.91730000000001</v>
      </c>
      <c r="K3410">
        <v>1.1001190000000001</v>
      </c>
      <c r="L3410">
        <v>147.90219999999999</v>
      </c>
      <c r="M3410">
        <v>-0.62120659999999905</v>
      </c>
      <c r="N3410">
        <v>0</v>
      </c>
      <c r="O3410">
        <v>-0.78351999999999999</v>
      </c>
      <c r="P3410">
        <v>-0.73051580000000005</v>
      </c>
      <c r="Q3410">
        <v>-2.4301340000000001E-2</v>
      </c>
      <c r="R3410">
        <v>-0.68246370000000001</v>
      </c>
      <c r="S3410">
        <v>-2.7083279999999998</v>
      </c>
      <c r="T3410">
        <v>-0.39271539999999999</v>
      </c>
      <c r="U3410">
        <v>-1.490753</v>
      </c>
      <c r="V3410">
        <v>0.14832029999999999</v>
      </c>
      <c r="W3410">
        <v>-1.19246E-2</v>
      </c>
      <c r="X3410">
        <v>0.98886749999999901</v>
      </c>
      <c r="Y3410">
        <v>0.37977169999999999</v>
      </c>
      <c r="Z3410">
        <v>0.1144405</v>
      </c>
      <c r="AA3410">
        <v>0.91797430000000002</v>
      </c>
      <c r="AB3410">
        <v>17</v>
      </c>
      <c r="AC3410">
        <v>-7.4639999999999898</v>
      </c>
      <c r="AD3410">
        <v>-1.1001275380269999</v>
      </c>
      <c r="AE3410">
        <v>-4.0371999999999799</v>
      </c>
      <c r="AF3410">
        <v>3.2853725834487402</v>
      </c>
      <c r="AG3410">
        <v>-1.1001275380269999</v>
      </c>
      <c r="AH3410">
        <v>7.6717488250487698</v>
      </c>
      <c r="AI3410">
        <v>97.509485252286296</v>
      </c>
      <c r="AJ3410">
        <v>66.8173099177599</v>
      </c>
      <c r="AK3410">
        <v>8.4178194116195701</v>
      </c>
    </row>
    <row r="3411" spans="1:37" x14ac:dyDescent="0.2">
      <c r="A3411" t="str">
        <f>"20200111160226066"</f>
        <v>20200111160226066</v>
      </c>
      <c r="B3411" t="str">
        <f>"1578729746055319"</f>
        <v>1578729746055319</v>
      </c>
      <c r="C3411" t="s">
        <v>37</v>
      </c>
      <c r="D3411">
        <v>4.8767670000000001</v>
      </c>
      <c r="E3411">
        <v>0.60040349999999998</v>
      </c>
      <c r="F3411" t="s">
        <v>77</v>
      </c>
      <c r="G3411">
        <v>-205.77950000000001</v>
      </c>
      <c r="H3411" s="1">
        <v>-8.3051949999999993E-6</v>
      </c>
      <c r="I3411">
        <v>143.65209999999999</v>
      </c>
      <c r="J3411">
        <v>-198.10239999999999</v>
      </c>
      <c r="K3411">
        <v>1.1001840000000001</v>
      </c>
      <c r="L3411">
        <v>147.6977</v>
      </c>
      <c r="M3411">
        <v>-0.63237659999999996</v>
      </c>
      <c r="N3411">
        <v>0</v>
      </c>
      <c r="O3411">
        <v>-0.77453329999999998</v>
      </c>
      <c r="P3411">
        <v>-0.74006309999999997</v>
      </c>
      <c r="Q3411">
        <v>-2.1508929999999999E-2</v>
      </c>
      <c r="R3411">
        <v>-0.67219390000000001</v>
      </c>
      <c r="S3411">
        <v>-2.7202609999999998</v>
      </c>
      <c r="T3411">
        <v>-0.38063350000000001</v>
      </c>
      <c r="U3411">
        <v>-1.4704899999999901</v>
      </c>
      <c r="V3411">
        <v>0.1480515</v>
      </c>
      <c r="W3411">
        <v>-9.1220119999999901E-3</v>
      </c>
      <c r="X3411">
        <v>0.98893759999999997</v>
      </c>
      <c r="Y3411">
        <v>0.37400909999999998</v>
      </c>
      <c r="Z3411">
        <v>0.1098558</v>
      </c>
      <c r="AA3411">
        <v>0.92089569999999998</v>
      </c>
      <c r="AB3411">
        <v>17</v>
      </c>
      <c r="AC3411">
        <v>-7.6771000000000198</v>
      </c>
      <c r="AD3411">
        <v>-1.100192305195</v>
      </c>
      <c r="AE3411">
        <v>-4.0456000000000003</v>
      </c>
      <c r="AF3411">
        <v>3.3345636207310299</v>
      </c>
      <c r="AG3411">
        <v>-1.100192305195</v>
      </c>
      <c r="AH3411">
        <v>7.8626792226698203</v>
      </c>
      <c r="AI3411">
        <v>97.340405600514103</v>
      </c>
      <c r="AJ3411">
        <v>67.018190760474795</v>
      </c>
      <c r="AK3411">
        <v>8.6111243288967092</v>
      </c>
    </row>
    <row r="3412" spans="1:37" x14ac:dyDescent="0.2">
      <c r="A3412" t="str">
        <f>"20200111160226086"</f>
        <v>20200111160226086</v>
      </c>
      <c r="B3412" t="str">
        <f>"1578729746075815"</f>
        <v>1578729746075815</v>
      </c>
      <c r="C3412" t="s">
        <v>37</v>
      </c>
      <c r="D3412">
        <v>4.858784</v>
      </c>
      <c r="E3412">
        <v>0.59298629999999997</v>
      </c>
      <c r="F3412" t="s">
        <v>77</v>
      </c>
      <c r="G3412">
        <v>-206.18090000000001</v>
      </c>
      <c r="H3412" s="1">
        <v>-8.0753289999999997E-6</v>
      </c>
      <c r="I3412">
        <v>143.4556</v>
      </c>
      <c r="J3412">
        <v>-198.21420000000001</v>
      </c>
      <c r="K3412">
        <v>1.1002149999999999</v>
      </c>
      <c r="L3412">
        <v>147.57689999999999</v>
      </c>
      <c r="M3412">
        <v>-0.63897119999999996</v>
      </c>
      <c r="N3412">
        <v>0</v>
      </c>
      <c r="O3412">
        <v>-0.7691019</v>
      </c>
      <c r="P3412">
        <v>-0.74597840000000004</v>
      </c>
      <c r="Q3412">
        <v>-1.993897E-2</v>
      </c>
      <c r="R3412">
        <v>-0.66567149999999997</v>
      </c>
      <c r="S3412">
        <v>-2.7373050000000001</v>
      </c>
      <c r="T3412">
        <v>-0.37278449999999902</v>
      </c>
      <c r="U3412">
        <v>-1.437378</v>
      </c>
      <c r="V3412">
        <v>0.14833279999999999</v>
      </c>
      <c r="W3412">
        <v>-7.5525810000000001E-3</v>
      </c>
      <c r="X3412">
        <v>0.98890859999999903</v>
      </c>
      <c r="Y3412">
        <v>0.3774709</v>
      </c>
      <c r="Z3412">
        <v>0.1072876</v>
      </c>
      <c r="AA3412">
        <v>0.91978530000000003</v>
      </c>
      <c r="AB3412">
        <v>17</v>
      </c>
      <c r="AC3412">
        <v>-7.9667000000000003</v>
      </c>
      <c r="AD3412">
        <v>-1.1002230753290001</v>
      </c>
      <c r="AE3412">
        <v>-4.12129999999999</v>
      </c>
      <c r="AF3412">
        <v>3.4423648321597899</v>
      </c>
      <c r="AG3412">
        <v>-1.1002230753290001</v>
      </c>
      <c r="AH3412">
        <v>8.1385581074271904</v>
      </c>
      <c r="AI3412">
        <v>97.097208587650499</v>
      </c>
      <c r="AJ3412">
        <v>67.073102433404102</v>
      </c>
      <c r="AK3412">
        <v>8.9048579169544197</v>
      </c>
    </row>
    <row r="3413" spans="1:37" x14ac:dyDescent="0.2">
      <c r="A3413" t="str">
        <f>"20200111160226108"</f>
        <v>20200111160226108</v>
      </c>
      <c r="B3413" t="str">
        <f>"1578729746105095"</f>
        <v>1578729746105095</v>
      </c>
      <c r="C3413" t="s">
        <v>37</v>
      </c>
      <c r="D3413">
        <v>4.8785559999999997</v>
      </c>
      <c r="E3413">
        <v>0.59315229999999997</v>
      </c>
      <c r="F3413" t="s">
        <v>77</v>
      </c>
      <c r="G3413">
        <v>-205.8586</v>
      </c>
      <c r="H3413" s="1">
        <v>-8.2194639999999997E-6</v>
      </c>
      <c r="I3413">
        <v>143.46010000000001</v>
      </c>
      <c r="J3413">
        <v>-198.3279</v>
      </c>
      <c r="K3413">
        <v>1.100252</v>
      </c>
      <c r="L3413">
        <v>147.45609999999999</v>
      </c>
      <c r="M3413">
        <v>-0.64555379999999996</v>
      </c>
      <c r="N3413">
        <v>0</v>
      </c>
      <c r="O3413">
        <v>-0.76358530000000002</v>
      </c>
      <c r="P3413">
        <v>-0.75179600000000002</v>
      </c>
      <c r="Q3413">
        <v>-1.8038640000000002E-2</v>
      </c>
      <c r="R3413">
        <v>-0.65914930000000005</v>
      </c>
      <c r="S3413">
        <v>-2.7092130000000001</v>
      </c>
      <c r="T3413">
        <v>-0.38992490000000002</v>
      </c>
      <c r="U3413">
        <v>-1.4590000000000001</v>
      </c>
      <c r="V3413">
        <v>0.14850849999999999</v>
      </c>
      <c r="W3413">
        <v>-5.6515640000000004E-3</v>
      </c>
      <c r="X3413">
        <v>0.98889499999999997</v>
      </c>
      <c r="Y3413">
        <v>0.35928569999999999</v>
      </c>
      <c r="Z3413">
        <v>0.1113363</v>
      </c>
      <c r="AA3413">
        <v>0.92656249999999996</v>
      </c>
      <c r="AB3413">
        <v>17</v>
      </c>
      <c r="AC3413">
        <v>-7.5306999999999897</v>
      </c>
      <c r="AD3413">
        <v>-1.1002602194640001</v>
      </c>
      <c r="AE3413">
        <v>-3.99599999999998</v>
      </c>
      <c r="AF3413">
        <v>3.1190603549605398</v>
      </c>
      <c r="AG3413">
        <v>-1.1002602194640001</v>
      </c>
      <c r="AH3413">
        <v>7.7838904774151603</v>
      </c>
      <c r="AI3413">
        <v>97.4750228251918</v>
      </c>
      <c r="AJ3413">
        <v>68.163672192538399</v>
      </c>
      <c r="AK3413">
        <v>8.4574263823468101</v>
      </c>
    </row>
    <row r="3414" spans="1:37" x14ac:dyDescent="0.2">
      <c r="A3414" t="str">
        <f>"20200111160226133"</f>
        <v>20200111160226133</v>
      </c>
      <c r="B3414" t="str">
        <f>"1578729746125591"</f>
        <v>1578729746125591</v>
      </c>
      <c r="C3414" t="s">
        <v>37</v>
      </c>
      <c r="D3414">
        <v>4.8246180000000001</v>
      </c>
      <c r="E3414">
        <v>0.59327810000000003</v>
      </c>
      <c r="F3414" t="s">
        <v>77</v>
      </c>
      <c r="G3414">
        <v>-206.1259</v>
      </c>
      <c r="H3414" s="1">
        <v>-8.0712399999999993E-6</v>
      </c>
      <c r="I3414">
        <v>143.3477</v>
      </c>
      <c r="J3414">
        <v>-198.46520000000001</v>
      </c>
      <c r="K3414">
        <v>1.1002940000000001</v>
      </c>
      <c r="L3414">
        <v>147.31309999999999</v>
      </c>
      <c r="M3414">
        <v>-0.65333859999999999</v>
      </c>
      <c r="N3414">
        <v>0</v>
      </c>
      <c r="O3414">
        <v>-0.75693529999999998</v>
      </c>
      <c r="P3414">
        <v>-0.75867680000000004</v>
      </c>
      <c r="Q3414">
        <v>-1.6034699999999999E-2</v>
      </c>
      <c r="R3414">
        <v>-0.65127000000000002</v>
      </c>
      <c r="S3414">
        <v>-2.7232970000000001</v>
      </c>
      <c r="T3414">
        <v>-0.38424340000000001</v>
      </c>
      <c r="U3414">
        <v>-1.4347840000000001</v>
      </c>
      <c r="V3414">
        <v>0.14875469999999999</v>
      </c>
      <c r="W3414">
        <v>-3.6473109999999999E-3</v>
      </c>
      <c r="X3414">
        <v>0.98886739999999995</v>
      </c>
      <c r="Y3414">
        <v>0.35842109999999999</v>
      </c>
      <c r="Z3414">
        <v>0.109014899999999</v>
      </c>
      <c r="AA3414">
        <v>0.92717309999999997</v>
      </c>
      <c r="AB3414">
        <v>17</v>
      </c>
      <c r="AC3414">
        <v>-7.6606999999999896</v>
      </c>
      <c r="AD3414">
        <v>-1.10030207124</v>
      </c>
      <c r="AE3414">
        <v>-3.9653999999999798</v>
      </c>
      <c r="AF3414">
        <v>3.15686018811276</v>
      </c>
      <c r="AG3414">
        <v>-1.10030207124</v>
      </c>
      <c r="AH3414">
        <v>7.8791790440761904</v>
      </c>
      <c r="AI3414">
        <v>97.386026504867701</v>
      </c>
      <c r="AJ3414">
        <v>68.166071846126997</v>
      </c>
      <c r="AK3414">
        <v>8.5590825036259393</v>
      </c>
    </row>
    <row r="3415" spans="1:37" x14ac:dyDescent="0.2">
      <c r="A3415" t="str">
        <f>"20200111160226157"</f>
        <v>20200111160226157</v>
      </c>
      <c r="B3415" t="str">
        <f>"1578729746155848"</f>
        <v>1578729746155848</v>
      </c>
      <c r="C3415" t="s">
        <v>37</v>
      </c>
      <c r="D3415">
        <v>4.7875399999999999</v>
      </c>
      <c r="E3415">
        <v>0.59349540000000001</v>
      </c>
      <c r="F3415" t="s">
        <v>77</v>
      </c>
      <c r="G3415">
        <v>-206.41329999999999</v>
      </c>
      <c r="H3415" s="1">
        <v>-7.9135709999999904E-6</v>
      </c>
      <c r="I3415">
        <v>143.23330000000001</v>
      </c>
      <c r="J3415">
        <v>-198.59950000000001</v>
      </c>
      <c r="K3415">
        <v>1.1003510000000001</v>
      </c>
      <c r="L3415">
        <v>147.17590000000001</v>
      </c>
      <c r="M3415">
        <v>-0.66079069999999995</v>
      </c>
      <c r="N3415">
        <v>0</v>
      </c>
      <c r="O3415">
        <v>-0.75043879999999996</v>
      </c>
      <c r="P3415">
        <v>-0.76449140000000004</v>
      </c>
      <c r="Q3415">
        <v>-1.6256799999999998E-2</v>
      </c>
      <c r="R3415">
        <v>-0.64442900000000003</v>
      </c>
      <c r="S3415">
        <v>-2.7392270000000001</v>
      </c>
      <c r="T3415">
        <v>-0.37920540000000003</v>
      </c>
      <c r="U3415">
        <v>-1.406067</v>
      </c>
      <c r="V3415">
        <v>0.1478544</v>
      </c>
      <c r="W3415">
        <v>-3.8554370000000002E-3</v>
      </c>
      <c r="X3415">
        <v>0.98900159999999904</v>
      </c>
      <c r="Y3415">
        <v>0.35930479999999998</v>
      </c>
      <c r="Z3415">
        <v>0.106988</v>
      </c>
      <c r="AA3415">
        <v>0.92706719999999898</v>
      </c>
      <c r="AB3415">
        <v>17</v>
      </c>
      <c r="AC3415">
        <v>-7.8137999999999801</v>
      </c>
      <c r="AD3415">
        <v>-1.1003589135709999</v>
      </c>
      <c r="AE3415">
        <v>-3.9425999999999899</v>
      </c>
      <c r="AF3415">
        <v>3.2081562118082299</v>
      </c>
      <c r="AG3415">
        <v>-1.1003589135709999</v>
      </c>
      <c r="AH3415">
        <v>7.9963709743832601</v>
      </c>
      <c r="AI3415">
        <v>97.277970470660406</v>
      </c>
      <c r="AJ3415">
        <v>68.139268401435203</v>
      </c>
      <c r="AK3415">
        <v>8.6859084025793205</v>
      </c>
    </row>
    <row r="3416" spans="1:37" x14ac:dyDescent="0.2">
      <c r="A3416" t="str">
        <f>"20200111160226176"</f>
        <v>20200111160226176</v>
      </c>
      <c r="B3416" t="str">
        <f>"1578729746165607"</f>
        <v>1578729746165607</v>
      </c>
      <c r="C3416" t="s">
        <v>37</v>
      </c>
      <c r="D3416">
        <v>4.8022900000000002</v>
      </c>
      <c r="E3416">
        <v>0.59646919999999903</v>
      </c>
      <c r="F3416" t="s">
        <v>77</v>
      </c>
      <c r="G3416">
        <v>-206.6585</v>
      </c>
      <c r="H3416" s="1">
        <v>-7.7796260000000003E-6</v>
      </c>
      <c r="I3416">
        <v>143.1377</v>
      </c>
      <c r="J3416">
        <v>-198.70359999999999</v>
      </c>
      <c r="K3416">
        <v>1.1003940000000001</v>
      </c>
      <c r="L3416">
        <v>147.07140000000001</v>
      </c>
      <c r="M3416">
        <v>-0.66645929999999998</v>
      </c>
      <c r="N3416">
        <v>0</v>
      </c>
      <c r="O3416">
        <v>-0.74540930000000005</v>
      </c>
      <c r="P3416">
        <v>-0.76834859999999905</v>
      </c>
      <c r="Q3416">
        <v>-1.7331949999999999E-2</v>
      </c>
      <c r="R3416">
        <v>-0.63979730000000001</v>
      </c>
      <c r="S3416">
        <v>-2.7532349999999899</v>
      </c>
      <c r="T3416">
        <v>-0.37592179999999997</v>
      </c>
      <c r="U3416">
        <v>-1.3796079999999999</v>
      </c>
      <c r="V3416">
        <v>0.14630770000000001</v>
      </c>
      <c r="W3416">
        <v>-4.9097840000000004E-3</v>
      </c>
      <c r="X3416">
        <v>0.98922690000000002</v>
      </c>
      <c r="Y3416">
        <v>0.36138890000000001</v>
      </c>
      <c r="Z3416">
        <v>0.105667899999999</v>
      </c>
      <c r="AA3416">
        <v>0.92640829999999996</v>
      </c>
      <c r="AB3416">
        <v>17</v>
      </c>
      <c r="AC3416">
        <v>-7.9549000000000003</v>
      </c>
      <c r="AD3416">
        <v>-1.1004017796259999</v>
      </c>
      <c r="AE3416">
        <v>-3.9337000000000102</v>
      </c>
      <c r="AF3416">
        <v>3.2582345480474602</v>
      </c>
      <c r="AG3416">
        <v>-1.1004017796259999</v>
      </c>
      <c r="AH3416">
        <v>8.1099506399141408</v>
      </c>
      <c r="AI3416">
        <v>97.176024163464405</v>
      </c>
      <c r="AJ3416">
        <v>68.111828701020301</v>
      </c>
      <c r="AK3416">
        <v>8.8089883544330991</v>
      </c>
    </row>
    <row r="3417" spans="1:37" x14ac:dyDescent="0.2">
      <c r="A3417" t="str">
        <f>"20200111160226198"</f>
        <v>20200111160226198</v>
      </c>
      <c r="B3417" t="str">
        <f>"1578729746195465"</f>
        <v>1578729746195465</v>
      </c>
      <c r="C3417" t="s">
        <v>37</v>
      </c>
      <c r="D3417">
        <v>4.7414009999999998</v>
      </c>
      <c r="E3417">
        <v>0.60182749999999996</v>
      </c>
      <c r="F3417" t="s">
        <v>77</v>
      </c>
      <c r="G3417">
        <v>-207.2595</v>
      </c>
      <c r="H3417" s="1">
        <v>-7.4598820000000003E-6</v>
      </c>
      <c r="I3417">
        <v>142.93610000000001</v>
      </c>
      <c r="J3417">
        <v>-198.8212</v>
      </c>
      <c r="K3417">
        <v>1.100438</v>
      </c>
      <c r="L3417">
        <v>146.95500000000001</v>
      </c>
      <c r="M3417">
        <v>-0.6727533</v>
      </c>
      <c r="N3417">
        <v>0</v>
      </c>
      <c r="O3417">
        <v>-0.7397338</v>
      </c>
      <c r="P3417">
        <v>-0.77179969999999998</v>
      </c>
      <c r="Q3417">
        <v>-1.6232150000000001E-2</v>
      </c>
      <c r="R3417">
        <v>-0.63565859999999996</v>
      </c>
      <c r="S3417">
        <v>-2.7782749999999998</v>
      </c>
      <c r="T3417">
        <v>-0.35732190000000003</v>
      </c>
      <c r="U3417">
        <v>-1.342819</v>
      </c>
      <c r="V3417">
        <v>0.14326849999999999</v>
      </c>
      <c r="W3417">
        <v>-3.7703569999999998E-3</v>
      </c>
      <c r="X3417">
        <v>0.98967669999999996</v>
      </c>
      <c r="Y3417">
        <v>0.36739250000000001</v>
      </c>
      <c r="Z3417">
        <v>0.10003380000000001</v>
      </c>
      <c r="AA3417">
        <v>0.92467080000000001</v>
      </c>
      <c r="AB3417">
        <v>17</v>
      </c>
      <c r="AC3417">
        <v>-8.4382999999999893</v>
      </c>
      <c r="AD3417">
        <v>-1.1004454598819999</v>
      </c>
      <c r="AE3417">
        <v>-4.0189000000000004</v>
      </c>
      <c r="AF3417">
        <v>3.49033113097195</v>
      </c>
      <c r="AG3417">
        <v>-1.1004454598819999</v>
      </c>
      <c r="AH3417">
        <v>8.5323817881858002</v>
      </c>
      <c r="AI3417">
        <v>96.807262475495193</v>
      </c>
      <c r="AJ3417">
        <v>67.752061780469603</v>
      </c>
      <c r="AK3417">
        <v>9.2841224999119696</v>
      </c>
    </row>
    <row r="3418" spans="1:37" x14ac:dyDescent="0.2">
      <c r="A3418" t="str">
        <f>"20200111160226219"</f>
        <v>20200111160226219</v>
      </c>
      <c r="B3418" t="str">
        <f>"1578729746215961"</f>
        <v>1578729746215961</v>
      </c>
      <c r="C3418" t="s">
        <v>37</v>
      </c>
      <c r="D3418">
        <v>4.6500260000000004</v>
      </c>
      <c r="E3418">
        <v>0.60420620000000003</v>
      </c>
      <c r="F3418" t="s">
        <v>77</v>
      </c>
      <c r="G3418">
        <v>-209.23330000000001</v>
      </c>
      <c r="H3418" s="1">
        <v>-6.3852509999999998E-6</v>
      </c>
      <c r="I3418">
        <v>142.18100000000001</v>
      </c>
      <c r="J3418">
        <v>-198.94560000000001</v>
      </c>
      <c r="K3418">
        <v>1.1005020000000001</v>
      </c>
      <c r="L3418">
        <v>146.83410000000001</v>
      </c>
      <c r="M3418">
        <v>-0.67926509999999996</v>
      </c>
      <c r="N3418">
        <v>0</v>
      </c>
      <c r="O3418">
        <v>-0.73375900000000005</v>
      </c>
      <c r="P3418">
        <v>-0.77552600000000005</v>
      </c>
      <c r="Q3418">
        <v>-1.2182159999999999E-2</v>
      </c>
      <c r="R3418">
        <v>-0.63119879999999995</v>
      </c>
      <c r="S3418">
        <v>-2.8170169999999999</v>
      </c>
      <c r="T3418">
        <v>-0.29772749999999998</v>
      </c>
      <c r="U3418">
        <v>-1.2916110000000001</v>
      </c>
      <c r="V3418">
        <v>0.140322</v>
      </c>
      <c r="W3418">
        <v>3.197826E-4</v>
      </c>
      <c r="X3418">
        <v>0.99010589999999998</v>
      </c>
      <c r="Y3418">
        <v>0.37978859999999998</v>
      </c>
      <c r="Z3418">
        <v>8.3114300000000002E-2</v>
      </c>
      <c r="AA3418">
        <v>0.92133199999999904</v>
      </c>
      <c r="AB3418">
        <v>17</v>
      </c>
      <c r="AC3418">
        <v>-10.287699999999999</v>
      </c>
      <c r="AD3418">
        <v>-1.100508385251</v>
      </c>
      <c r="AE3418">
        <v>-4.6530999999999896</v>
      </c>
      <c r="AF3418">
        <v>4.34713836124926</v>
      </c>
      <c r="AG3418">
        <v>-1.100508385251</v>
      </c>
      <c r="AH3418">
        <v>10.305452238931601</v>
      </c>
      <c r="AI3418">
        <v>95.6194233706604</v>
      </c>
      <c r="AJ3418">
        <v>67.128573429313406</v>
      </c>
      <c r="AK3418">
        <v>11.238820066481701</v>
      </c>
    </row>
    <row r="3419" spans="1:37" x14ac:dyDescent="0.2">
      <c r="A3419" t="str">
        <f>"20200111160226244"</f>
        <v>20200111160226244</v>
      </c>
      <c r="B3419" t="str">
        <f>"1578729746235480"</f>
        <v>1578729746235480</v>
      </c>
      <c r="C3419" t="s">
        <v>37</v>
      </c>
      <c r="D3419">
        <v>4.7093160000000003</v>
      </c>
      <c r="E3419">
        <v>0.60621499999999995</v>
      </c>
      <c r="F3419" t="s">
        <v>77</v>
      </c>
      <c r="G3419">
        <v>-209.7672</v>
      </c>
      <c r="H3419" s="1">
        <v>-6.107155E-6</v>
      </c>
      <c r="I3419">
        <v>142.02430000000001</v>
      </c>
      <c r="J3419">
        <v>-199.0787</v>
      </c>
      <c r="K3419">
        <v>1.1005719999999899</v>
      </c>
      <c r="L3419">
        <v>146.70689999999999</v>
      </c>
      <c r="M3419">
        <v>-0.68606820000000002</v>
      </c>
      <c r="N3419">
        <v>0</v>
      </c>
      <c r="O3419">
        <v>-0.7274022</v>
      </c>
      <c r="P3419">
        <v>-0.78144409999999997</v>
      </c>
      <c r="Q3419">
        <v>-3.454085E-3</v>
      </c>
      <c r="R3419">
        <v>-0.62396589999999996</v>
      </c>
      <c r="S3419">
        <v>-2.837402</v>
      </c>
      <c r="T3419">
        <v>-0.28855189999999997</v>
      </c>
      <c r="U3419">
        <v>-1.2611239999999999</v>
      </c>
      <c r="V3419">
        <v>0.14044999999999999</v>
      </c>
      <c r="W3419">
        <v>9.0524549999999992E-3</v>
      </c>
      <c r="X3419">
        <v>0.99004639999999999</v>
      </c>
      <c r="Y3419">
        <v>0.38220850000000001</v>
      </c>
      <c r="Z3419">
        <v>8.0036360000000001E-2</v>
      </c>
      <c r="AA3419">
        <v>0.92060350000000002</v>
      </c>
      <c r="AB3419">
        <v>17</v>
      </c>
      <c r="AC3419">
        <v>-10.688499999999999</v>
      </c>
      <c r="AD3419">
        <v>-1.10057810715499</v>
      </c>
      <c r="AE3419">
        <v>-4.6825999999999697</v>
      </c>
      <c r="AF3419">
        <v>4.52247517095355</v>
      </c>
      <c r="AG3419">
        <v>-1.10057810715499</v>
      </c>
      <c r="AH3419">
        <v>10.6455339710313</v>
      </c>
      <c r="AI3419">
        <v>95.435531371288405</v>
      </c>
      <c r="AJ3419">
        <v>66.9830641941452</v>
      </c>
      <c r="AK3419">
        <v>11.618581986207399</v>
      </c>
    </row>
    <row r="3420" spans="1:37" x14ac:dyDescent="0.2">
      <c r="A3420" t="str">
        <f>"20200111160226268"</f>
        <v>20200111160226268</v>
      </c>
      <c r="B3420" t="str">
        <f>"1578729746265736"</f>
        <v>1578729746265736</v>
      </c>
      <c r="C3420" t="s">
        <v>37</v>
      </c>
      <c r="D3420">
        <v>4.7540120000000003</v>
      </c>
      <c r="E3420">
        <v>0.606871099999999</v>
      </c>
      <c r="F3420" t="s">
        <v>38</v>
      </c>
      <c r="G3420">
        <v>-211.27420000000001</v>
      </c>
      <c r="H3420" s="1">
        <v>-4.5547569999999999E-6</v>
      </c>
      <c r="I3420">
        <v>141.4923</v>
      </c>
      <c r="J3420">
        <v>-199.2167</v>
      </c>
      <c r="K3420">
        <v>1.1006590000000001</v>
      </c>
      <c r="L3420">
        <v>146.57730000000001</v>
      </c>
      <c r="M3420">
        <v>-0.69292279999999995</v>
      </c>
      <c r="N3420">
        <v>0</v>
      </c>
      <c r="O3420">
        <v>-0.72087579999999996</v>
      </c>
      <c r="P3420">
        <v>-0.78881869999999998</v>
      </c>
      <c r="Q3420">
        <v>2.6802609999999902E-3</v>
      </c>
      <c r="R3420">
        <v>-0.61462030000000001</v>
      </c>
      <c r="S3420">
        <v>-2.861084</v>
      </c>
      <c r="T3420">
        <v>-0.25819789999999998</v>
      </c>
      <c r="U3420">
        <v>-1.2233579999999999</v>
      </c>
      <c r="V3420">
        <v>0.1429221</v>
      </c>
      <c r="W3420">
        <v>1.516839E-2</v>
      </c>
      <c r="X3420">
        <v>0.98961769999999905</v>
      </c>
      <c r="Y3420">
        <v>0.3873202</v>
      </c>
      <c r="Z3420">
        <v>7.124627E-2</v>
      </c>
      <c r="AA3420">
        <v>0.91918829999999996</v>
      </c>
      <c r="AB3420">
        <v>17</v>
      </c>
      <c r="AC3420">
        <v>-12.057499999999999</v>
      </c>
      <c r="AD3420">
        <v>-1.1006635547570001</v>
      </c>
      <c r="AE3420">
        <v>-5.085</v>
      </c>
      <c r="AF3420">
        <v>5.1326428397368504</v>
      </c>
      <c r="AG3420">
        <v>-1.1006635547570001</v>
      </c>
      <c r="AH3420">
        <v>11.937296998593</v>
      </c>
      <c r="AI3420">
        <v>94.841724804330894</v>
      </c>
      <c r="AJ3420">
        <v>66.733894725544602</v>
      </c>
      <c r="AK3420">
        <v>13.040496248751101</v>
      </c>
    </row>
    <row r="3421" spans="1:37" x14ac:dyDescent="0.2">
      <c r="A3421" t="str">
        <f>"20200111160226287"</f>
        <v>20200111160226287</v>
      </c>
      <c r="B3421" t="str">
        <f>"1578729746275496"</f>
        <v>1578729746275496</v>
      </c>
      <c r="C3421" t="s">
        <v>37</v>
      </c>
      <c r="D3421">
        <v>4.7455999999999996</v>
      </c>
      <c r="E3421">
        <v>0.60683489999999995</v>
      </c>
      <c r="F3421" t="s">
        <v>38</v>
      </c>
      <c r="G3421">
        <v>-212.33510000000001</v>
      </c>
      <c r="H3421" s="1">
        <v>-4.0174389999999999E-6</v>
      </c>
      <c r="I3421">
        <v>141.1712</v>
      </c>
      <c r="J3421">
        <v>-199.32550000000001</v>
      </c>
      <c r="K3421">
        <v>1.1007439999999999</v>
      </c>
      <c r="L3421">
        <v>146.4768</v>
      </c>
      <c r="M3421">
        <v>-0.69815360000000004</v>
      </c>
      <c r="N3421">
        <v>0</v>
      </c>
      <c r="O3421">
        <v>-0.71581149999999905</v>
      </c>
      <c r="P3421">
        <v>-0.79643509999999995</v>
      </c>
      <c r="Q3421">
        <v>3.7544409999999999E-3</v>
      </c>
      <c r="R3421">
        <v>-0.60471260000000004</v>
      </c>
      <c r="S3421">
        <v>-2.8794249999999999</v>
      </c>
      <c r="T3421">
        <v>-0.2415892</v>
      </c>
      <c r="U3421">
        <v>-1.1866000000000001</v>
      </c>
      <c r="V3421">
        <v>0.1480881</v>
      </c>
      <c r="W3421">
        <v>1.6197280000000001E-2</v>
      </c>
      <c r="X3421">
        <v>0.98884150000000004</v>
      </c>
      <c r="Y3421">
        <v>0.39310539999999999</v>
      </c>
      <c r="Z3421">
        <v>6.6492770000000007E-2</v>
      </c>
      <c r="AA3421">
        <v>0.91708609999999902</v>
      </c>
      <c r="AB3421">
        <v>17</v>
      </c>
      <c r="AC3421">
        <v>-13.009600000000001</v>
      </c>
      <c r="AD3421">
        <v>-1.1007480174390001</v>
      </c>
      <c r="AE3421">
        <v>-5.3055999999999903</v>
      </c>
      <c r="AF3421">
        <v>5.5746283251627498</v>
      </c>
      <c r="AG3421">
        <v>-1.1007480174390001</v>
      </c>
      <c r="AH3421">
        <v>12.8031808704502</v>
      </c>
      <c r="AI3421">
        <v>94.507113037211198</v>
      </c>
      <c r="AJ3421">
        <v>66.471226832988805</v>
      </c>
      <c r="AK3421">
        <v>14.007482556229199</v>
      </c>
    </row>
    <row r="3422" spans="1:37" x14ac:dyDescent="0.2">
      <c r="A3422" t="str">
        <f>"20200111160226310"</f>
        <v>20200111160226310</v>
      </c>
      <c r="B3422" t="str">
        <f>"1578729746305752"</f>
        <v>1578729746305752</v>
      </c>
      <c r="C3422" t="s">
        <v>37</v>
      </c>
      <c r="D3422">
        <v>4.8168290000000002</v>
      </c>
      <c r="E3422">
        <v>0.60599799999999904</v>
      </c>
      <c r="F3422" t="s">
        <v>38</v>
      </c>
      <c r="G3422">
        <v>-212.56549999999999</v>
      </c>
      <c r="H3422" s="1">
        <v>-3.9187679999999996E-6</v>
      </c>
      <c r="I3422">
        <v>141.2097</v>
      </c>
      <c r="J3422">
        <v>-199.45590000000001</v>
      </c>
      <c r="K3422">
        <v>1.100876</v>
      </c>
      <c r="L3422">
        <v>146.3578</v>
      </c>
      <c r="M3422">
        <v>-0.70420380000000005</v>
      </c>
      <c r="N3422">
        <v>0</v>
      </c>
      <c r="O3422">
        <v>-0.70986059999999995</v>
      </c>
      <c r="P3422">
        <v>-0.8043922</v>
      </c>
      <c r="Q3422">
        <v>2.0481800000000001E-3</v>
      </c>
      <c r="R3422">
        <v>-0.59409529999999999</v>
      </c>
      <c r="S3422">
        <v>-2.8938290000000002</v>
      </c>
      <c r="T3422">
        <v>-0.24058750000000001</v>
      </c>
      <c r="U3422">
        <v>-1.1512149999999901</v>
      </c>
      <c r="V3422">
        <v>0.15279400000000001</v>
      </c>
      <c r="W3422">
        <v>1.4464650000000001E-2</v>
      </c>
      <c r="X3422">
        <v>0.98815219999999904</v>
      </c>
      <c r="Y3422">
        <v>0.39658470000000001</v>
      </c>
      <c r="Z3422">
        <v>6.596175E-2</v>
      </c>
      <c r="AA3422">
        <v>0.91562529999999998</v>
      </c>
      <c r="AB3422">
        <v>17</v>
      </c>
      <c r="AC3422">
        <v>-13.109599999999901</v>
      </c>
      <c r="AD3422">
        <v>-1.1008799187680001</v>
      </c>
      <c r="AE3422">
        <v>-5.1481000000000003</v>
      </c>
      <c r="AF3422">
        <v>5.6467311932001198</v>
      </c>
      <c r="AG3422">
        <v>-1.1008799187680001</v>
      </c>
      <c r="AH3422">
        <v>12.809259671332599</v>
      </c>
      <c r="AI3422">
        <v>94.496586539510403</v>
      </c>
      <c r="AJ3422">
        <v>66.210581053681395</v>
      </c>
      <c r="AK3422">
        <v>14.0418888719229</v>
      </c>
    </row>
    <row r="3423" spans="1:37" x14ac:dyDescent="0.2">
      <c r="A3423" t="str">
        <f>"20200111160226333"</f>
        <v>20200111160226333</v>
      </c>
      <c r="B3423" t="str">
        <f>"1578729746325272"</f>
        <v>1578729746325272</v>
      </c>
      <c r="C3423" t="s">
        <v>37</v>
      </c>
      <c r="D3423">
        <v>4.9531450000000001</v>
      </c>
      <c r="E3423">
        <v>0.60563339999999999</v>
      </c>
      <c r="F3423" t="s">
        <v>38</v>
      </c>
      <c r="G3423">
        <v>-212.1266</v>
      </c>
      <c r="H3423" s="1">
        <v>-4.1977160000000001E-6</v>
      </c>
      <c r="I3423">
        <v>141.47829999999999</v>
      </c>
      <c r="J3423">
        <v>-199.58590000000001</v>
      </c>
      <c r="K3423">
        <v>1.101048</v>
      </c>
      <c r="L3423">
        <v>146.24090000000001</v>
      </c>
      <c r="M3423">
        <v>-0.70994729999999995</v>
      </c>
      <c r="N3423">
        <v>0</v>
      </c>
      <c r="O3423">
        <v>-0.7041172</v>
      </c>
      <c r="P3423">
        <v>-0.81229219999999902</v>
      </c>
      <c r="Q3423" s="1">
        <v>-7.0128590000000004E-5</v>
      </c>
      <c r="R3423">
        <v>-0.58325090000000002</v>
      </c>
      <c r="S3423">
        <v>-2.9041600000000001</v>
      </c>
      <c r="T3423">
        <v>-0.2523262</v>
      </c>
      <c r="U3423">
        <v>-1.118393</v>
      </c>
      <c r="V3423">
        <v>0.15799869999999999</v>
      </c>
      <c r="W3423">
        <v>1.232575E-2</v>
      </c>
      <c r="X3423">
        <v>0.98736239999999997</v>
      </c>
      <c r="Y3423">
        <v>0.3989586</v>
      </c>
      <c r="Z3423">
        <v>6.8928630000000005E-2</v>
      </c>
      <c r="AA3423">
        <v>0.91437459999999904</v>
      </c>
      <c r="AB3423">
        <v>17</v>
      </c>
      <c r="AC3423">
        <v>-12.5406999999999</v>
      </c>
      <c r="AD3423">
        <v>-1.1010521977159999</v>
      </c>
      <c r="AE3423">
        <v>-4.7626000000000204</v>
      </c>
      <c r="AF3423">
        <v>5.4129888545585203</v>
      </c>
      <c r="AG3423">
        <v>-1.1010521977159999</v>
      </c>
      <c r="AH3423">
        <v>12.175825168843399</v>
      </c>
      <c r="AI3423">
        <v>94.723710094730606</v>
      </c>
      <c r="AJ3423">
        <v>66.031573814546405</v>
      </c>
      <c r="AK3423">
        <v>13.370246176638201</v>
      </c>
    </row>
    <row r="3424" spans="1:37" x14ac:dyDescent="0.2">
      <c r="A3424" t="str">
        <f>"20200111160226356"</f>
        <v>20200111160226356</v>
      </c>
      <c r="B3424" t="str">
        <f>"1578729746345769"</f>
        <v>1578729746345769</v>
      </c>
      <c r="C3424" t="s">
        <v>37</v>
      </c>
      <c r="D3424">
        <v>4.8962449999999897</v>
      </c>
      <c r="E3424">
        <v>0.58508899999999997</v>
      </c>
      <c r="F3424" t="s">
        <v>38</v>
      </c>
      <c r="G3424">
        <v>-211.9658</v>
      </c>
      <c r="H3424" s="1">
        <v>-4.3175169999999996E-6</v>
      </c>
      <c r="I3424">
        <v>141.65219999999999</v>
      </c>
      <c r="J3424">
        <v>-199.72219999999999</v>
      </c>
      <c r="K3424">
        <v>1.1012309999999901</v>
      </c>
      <c r="L3424">
        <v>146.12</v>
      </c>
      <c r="M3424">
        <v>-0.71570049999999996</v>
      </c>
      <c r="N3424">
        <v>0</v>
      </c>
      <c r="O3424">
        <v>-0.69826919999999904</v>
      </c>
      <c r="P3424">
        <v>-0.81952080000000005</v>
      </c>
      <c r="Q3424">
        <v>-5.6898589999999905E-4</v>
      </c>
      <c r="R3424">
        <v>-0.57304940000000004</v>
      </c>
      <c r="S3424">
        <v>-2.91690099999999</v>
      </c>
      <c r="T3424">
        <v>-0.25942599999999999</v>
      </c>
      <c r="U3424">
        <v>-1.0811770000000001</v>
      </c>
      <c r="V3424">
        <v>0.1622316</v>
      </c>
      <c r="W3424">
        <v>1.1820819999999999E-2</v>
      </c>
      <c r="X3424">
        <v>0.9866819</v>
      </c>
      <c r="Y3424">
        <v>0.4028236</v>
      </c>
      <c r="Z3424">
        <v>7.0633130000000002E-2</v>
      </c>
      <c r="AA3424">
        <v>0.91254820000000003</v>
      </c>
      <c r="AB3424">
        <v>17</v>
      </c>
      <c r="AC3424">
        <v>-12.243600000000001</v>
      </c>
      <c r="AD3424">
        <v>-1.10123531751699</v>
      </c>
      <c r="AE3424">
        <v>-4.4678000000000102</v>
      </c>
      <c r="AF3424">
        <v>5.3142983891218396</v>
      </c>
      <c r="AG3424">
        <v>-1.10123531751699</v>
      </c>
      <c r="AH3424">
        <v>11.799385601281401</v>
      </c>
      <c r="AI3424">
        <v>94.863990882205599</v>
      </c>
      <c r="AJ3424">
        <v>65.753783539950504</v>
      </c>
      <c r="AK3424">
        <v>12.9876859817635</v>
      </c>
    </row>
    <row r="3425" spans="1:37" x14ac:dyDescent="0.2">
      <c r="A3425" t="str">
        <f>"20200111160226377"</f>
        <v>20200111160226377</v>
      </c>
      <c r="B3425" t="str">
        <f>"1578729746365288"</f>
        <v>1578729746365288</v>
      </c>
      <c r="C3425" t="s">
        <v>37</v>
      </c>
      <c r="D3425">
        <v>4.8783839999999996</v>
      </c>
      <c r="E3425">
        <v>0.58203070000000001</v>
      </c>
      <c r="F3425" t="s">
        <v>77</v>
      </c>
      <c r="G3425">
        <v>-209.62729999999999</v>
      </c>
      <c r="H3425" s="1">
        <v>-6.15872899999999E-6</v>
      </c>
      <c r="I3425">
        <v>141.9847</v>
      </c>
      <c r="J3425">
        <v>-199.8407</v>
      </c>
      <c r="K3425">
        <v>1.1013869999999999</v>
      </c>
      <c r="L3425">
        <v>146.01589999999999</v>
      </c>
      <c r="M3425">
        <v>-0.7204798</v>
      </c>
      <c r="N3425">
        <v>0</v>
      </c>
      <c r="O3425">
        <v>-0.69333719999999999</v>
      </c>
      <c r="P3425">
        <v>-0.82517439999999997</v>
      </c>
      <c r="Q3425">
        <v>2.9526279999999899E-4</v>
      </c>
      <c r="R3425">
        <v>-0.56487779999999999</v>
      </c>
      <c r="S3425">
        <v>-2.8333279999999998</v>
      </c>
      <c r="T3425">
        <v>-0.31500519999999999</v>
      </c>
      <c r="U3425">
        <v>-1.182877</v>
      </c>
      <c r="V3425">
        <v>0.165260299999999</v>
      </c>
      <c r="W3425">
        <v>1.2687169999999999E-2</v>
      </c>
      <c r="X3425">
        <v>0.98616839999999995</v>
      </c>
      <c r="Y3425">
        <v>0.3576877</v>
      </c>
      <c r="Z3425">
        <v>8.4521269999999996E-2</v>
      </c>
      <c r="AA3425">
        <v>0.93000839999999996</v>
      </c>
      <c r="AB3425">
        <v>17</v>
      </c>
      <c r="AC3425">
        <v>-9.7865999999999893</v>
      </c>
      <c r="AD3425">
        <v>-1.101393158729</v>
      </c>
      <c r="AE3425">
        <v>-4.0311999999999797</v>
      </c>
      <c r="AF3425">
        <v>3.83981067235784</v>
      </c>
      <c r="AG3425">
        <v>-1.101393158729</v>
      </c>
      <c r="AH3425">
        <v>9.74149259689983</v>
      </c>
      <c r="AI3425">
        <v>96.0046100641636</v>
      </c>
      <c r="AJ3425">
        <v>68.487095555982606</v>
      </c>
      <c r="AK3425">
        <v>10.528717438753</v>
      </c>
    </row>
    <row r="3426" spans="1:37" x14ac:dyDescent="0.2">
      <c r="A3426" t="str">
        <f>"20200111160226398"</f>
        <v>20200111160226398</v>
      </c>
      <c r="B3426" t="str">
        <f>"1578729746395951"</f>
        <v>1578729746395951</v>
      </c>
      <c r="C3426" t="s">
        <v>37</v>
      </c>
      <c r="D3426">
        <v>5.1244489999999896</v>
      </c>
      <c r="E3426">
        <v>0.57924399999999998</v>
      </c>
      <c r="F3426" t="s">
        <v>38</v>
      </c>
      <c r="G3426">
        <v>-210.11920000000001</v>
      </c>
      <c r="H3426" s="1">
        <v>-5.0442900000000003E-6</v>
      </c>
      <c r="I3426">
        <v>141.7516</v>
      </c>
      <c r="J3426">
        <v>-199.9666</v>
      </c>
      <c r="K3426">
        <v>1.1015629999999901</v>
      </c>
      <c r="L3426">
        <v>145.90649999999999</v>
      </c>
      <c r="M3426">
        <v>-0.72529769999999905</v>
      </c>
      <c r="N3426">
        <v>0</v>
      </c>
      <c r="O3426">
        <v>-0.68829629999999997</v>
      </c>
      <c r="P3426">
        <v>-0.82991689999999996</v>
      </c>
      <c r="Q3426">
        <v>3.1490620000000001E-4</v>
      </c>
      <c r="R3426">
        <v>-0.55788729999999997</v>
      </c>
      <c r="S3426">
        <v>-2.831528</v>
      </c>
      <c r="T3426">
        <v>-0.30341259999999998</v>
      </c>
      <c r="U3426">
        <v>-1.174744</v>
      </c>
      <c r="V3426">
        <v>0.16670839999999901</v>
      </c>
      <c r="W3426">
        <v>1.2725790000000001E-2</v>
      </c>
      <c r="X3426">
        <v>0.98592409999999997</v>
      </c>
      <c r="Y3426">
        <v>0.35359629999999997</v>
      </c>
      <c r="Z3426">
        <v>8.0986890000000006E-2</v>
      </c>
      <c r="AA3426">
        <v>0.93188559999999998</v>
      </c>
      <c r="AB3426">
        <v>17</v>
      </c>
      <c r="AC3426">
        <v>-10.1526</v>
      </c>
      <c r="AD3426">
        <v>-1.10156804428999</v>
      </c>
      <c r="AE3426">
        <v>-4.1548999999999898</v>
      </c>
      <c r="AF3426">
        <v>3.93515732778592</v>
      </c>
      <c r="AG3426">
        <v>-1.10156804428999</v>
      </c>
      <c r="AH3426">
        <v>10.1223680028586</v>
      </c>
      <c r="AI3426">
        <v>95.791703164016695</v>
      </c>
      <c r="AJ3426">
        <v>68.755980529186601</v>
      </c>
      <c r="AK3426">
        <v>10.916100463806799</v>
      </c>
    </row>
    <row r="3427" spans="1:37" x14ac:dyDescent="0.2">
      <c r="A3427" t="str">
        <f>"20200111160226423"</f>
        <v>20200111160226423</v>
      </c>
      <c r="B3427" t="str">
        <f>"1578729746415471"</f>
        <v>1578729746415471</v>
      </c>
      <c r="C3427" t="s">
        <v>37</v>
      </c>
      <c r="D3427">
        <v>4.9333109999999998</v>
      </c>
      <c r="E3427">
        <v>0.57724819999999999</v>
      </c>
      <c r="F3427" t="s">
        <v>38</v>
      </c>
      <c r="G3427">
        <v>-210.33279999999999</v>
      </c>
      <c r="H3427" s="1">
        <v>-4.9393359999999996E-6</v>
      </c>
      <c r="I3427">
        <v>141.6224</v>
      </c>
      <c r="J3427">
        <v>-200.1113</v>
      </c>
      <c r="K3427">
        <v>1.1017699999999999</v>
      </c>
      <c r="L3427">
        <v>145.78210000000001</v>
      </c>
      <c r="M3427">
        <v>-0.73049519999999901</v>
      </c>
      <c r="N3427">
        <v>0</v>
      </c>
      <c r="O3427">
        <v>-0.68277869999999996</v>
      </c>
      <c r="P3427">
        <v>-0.83376759999999905</v>
      </c>
      <c r="Q3427">
        <v>-5.3918729999999999E-4</v>
      </c>
      <c r="R3427">
        <v>-0.55211560000000004</v>
      </c>
      <c r="S3427">
        <v>-2.8289949999999999</v>
      </c>
      <c r="T3427">
        <v>-0.30062519999999998</v>
      </c>
      <c r="U3427">
        <v>-1.1691739999999999</v>
      </c>
      <c r="V3427">
        <v>0.1660624</v>
      </c>
      <c r="W3427">
        <v>1.1918089999999999E-2</v>
      </c>
      <c r="X3427">
        <v>0.98604319999999901</v>
      </c>
      <c r="Y3427">
        <v>0.34788150000000001</v>
      </c>
      <c r="Z3427">
        <v>7.969213E-2</v>
      </c>
      <c r="AA3427">
        <v>0.93414540000000001</v>
      </c>
      <c r="AB3427">
        <v>17</v>
      </c>
      <c r="AC3427">
        <v>-10.221499999999899</v>
      </c>
      <c r="AD3427">
        <v>-1.1017749393359999</v>
      </c>
      <c r="AE3427">
        <v>-4.1597000000000097</v>
      </c>
      <c r="AF3427">
        <v>3.9018627714407801</v>
      </c>
      <c r="AG3427">
        <v>-1.1017749393359999</v>
      </c>
      <c r="AH3427">
        <v>10.2061570103611</v>
      </c>
      <c r="AI3427">
        <v>95.757921876250606</v>
      </c>
      <c r="AJ3427">
        <v>69.077904979818697</v>
      </c>
      <c r="AK3427">
        <v>10.9819889830689</v>
      </c>
    </row>
    <row r="3428" spans="1:37" x14ac:dyDescent="0.2">
      <c r="A3428" t="str">
        <f>"20200111160226444"</f>
        <v>20200111160226444</v>
      </c>
      <c r="B3428" t="str">
        <f>"1578729746435967"</f>
        <v>1578729746435967</v>
      </c>
      <c r="C3428" t="s">
        <v>37</v>
      </c>
      <c r="D3428">
        <v>4.8982999999999999</v>
      </c>
      <c r="E3428">
        <v>0.5752775</v>
      </c>
      <c r="F3428" t="s">
        <v>38</v>
      </c>
      <c r="G3428">
        <v>-210.48009999999999</v>
      </c>
      <c r="H3428" s="1">
        <v>-4.865085E-6</v>
      </c>
      <c r="I3428">
        <v>141.52269999999999</v>
      </c>
      <c r="J3428">
        <v>-200.23159999999999</v>
      </c>
      <c r="K3428">
        <v>1.10195</v>
      </c>
      <c r="L3428">
        <v>145.6797</v>
      </c>
      <c r="M3428">
        <v>-0.73453539999999995</v>
      </c>
      <c r="N3428">
        <v>0</v>
      </c>
      <c r="O3428">
        <v>-0.67843120000000001</v>
      </c>
      <c r="P3428">
        <v>-0.83592449999999996</v>
      </c>
      <c r="Q3428">
        <v>1.21031E-4</v>
      </c>
      <c r="R3428">
        <v>-0.54884449999999996</v>
      </c>
      <c r="S3428">
        <v>-2.828522</v>
      </c>
      <c r="T3428">
        <v>-0.3005563</v>
      </c>
      <c r="U3428">
        <v>-1.161926</v>
      </c>
      <c r="V3428">
        <v>0.1640713</v>
      </c>
      <c r="W3428">
        <v>1.263281E-2</v>
      </c>
      <c r="X3428">
        <v>0.98636759999999901</v>
      </c>
      <c r="Y3428">
        <v>0.34433269999999999</v>
      </c>
      <c r="Z3428">
        <v>7.9262100000000002E-2</v>
      </c>
      <c r="AA3428">
        <v>0.93549590000000005</v>
      </c>
      <c r="AB3428">
        <v>17</v>
      </c>
      <c r="AC3428">
        <v>-10.2485</v>
      </c>
      <c r="AD3428">
        <v>-1.101954865085</v>
      </c>
      <c r="AE3428">
        <v>-4.1570000000000098</v>
      </c>
      <c r="AF3428">
        <v>3.8614704891573099</v>
      </c>
      <c r="AG3428">
        <v>-1.101954865085</v>
      </c>
      <c r="AH3428">
        <v>10.247367049624801</v>
      </c>
      <c r="AI3428">
        <v>95.746217552501605</v>
      </c>
      <c r="AJ3428">
        <v>69.352305244229498</v>
      </c>
      <c r="AK3428">
        <v>11.0060796977422</v>
      </c>
    </row>
    <row r="3429" spans="1:37" x14ac:dyDescent="0.2">
      <c r="A3429" t="str">
        <f>"20200111160226467"</f>
        <v>20200111160226467</v>
      </c>
      <c r="B3429" t="str">
        <f>"1578729746455486"</f>
        <v>1578729746455486</v>
      </c>
      <c r="C3429" t="s">
        <v>37</v>
      </c>
      <c r="D3429">
        <v>4.8942809999999897</v>
      </c>
      <c r="E3429">
        <v>0.56247599999999998</v>
      </c>
      <c r="F3429" t="s">
        <v>38</v>
      </c>
      <c r="G3429">
        <v>-210.5985</v>
      </c>
      <c r="H3429" s="1">
        <v>-4.7992270000000003E-6</v>
      </c>
      <c r="I3429">
        <v>141.40780000000001</v>
      </c>
      <c r="J3429">
        <v>-200.36420000000001</v>
      </c>
      <c r="K3429">
        <v>1.1021729999999901</v>
      </c>
      <c r="L3429">
        <v>145.5675</v>
      </c>
      <c r="M3429">
        <v>-0.73870609999999903</v>
      </c>
      <c r="N3429">
        <v>0</v>
      </c>
      <c r="O3429">
        <v>-0.6738883</v>
      </c>
      <c r="P3429">
        <v>-0.837645999999999</v>
      </c>
      <c r="Q3429">
        <v>3.2379739999999998E-3</v>
      </c>
      <c r="R3429">
        <v>-0.54620409999999997</v>
      </c>
      <c r="S3429">
        <v>-2.8246609999999999</v>
      </c>
      <c r="T3429">
        <v>-0.30024869999999998</v>
      </c>
      <c r="U3429">
        <v>-1.16394</v>
      </c>
      <c r="V3429">
        <v>0.16110629999999901</v>
      </c>
      <c r="W3429">
        <v>1.5819670000000001E-2</v>
      </c>
      <c r="X3429">
        <v>0.98681030000000003</v>
      </c>
      <c r="Y3429">
        <v>0.33756019999999998</v>
      </c>
      <c r="Z3429">
        <v>7.8612730000000006E-2</v>
      </c>
      <c r="AA3429">
        <v>0.9380155</v>
      </c>
      <c r="AB3429">
        <v>17</v>
      </c>
      <c r="AC3429">
        <v>-10.2342999999999</v>
      </c>
      <c r="AD3429">
        <v>-1.1021777992270001</v>
      </c>
      <c r="AE3429">
        <v>-4.1596999999999804</v>
      </c>
      <c r="AF3429">
        <v>3.7866471433120199</v>
      </c>
      <c r="AG3429">
        <v>-1.1021777992270001</v>
      </c>
      <c r="AH3429">
        <v>10.262139738465899</v>
      </c>
      <c r="AI3429">
        <v>95.753792632601602</v>
      </c>
      <c r="AJ3429">
        <v>69.746344205408704</v>
      </c>
      <c r="AK3429">
        <v>10.993862128518</v>
      </c>
    </row>
    <row r="3430" spans="1:37" x14ac:dyDescent="0.2">
      <c r="A3430" t="str">
        <f>"20200111160226487"</f>
        <v>20200111160226487</v>
      </c>
      <c r="B3430" t="str">
        <f>"1578729746485744"</f>
        <v>1578729746485744</v>
      </c>
      <c r="C3430" t="s">
        <v>37</v>
      </c>
      <c r="D3430">
        <v>5.1512560000000001</v>
      </c>
      <c r="E3430">
        <v>0.56203049999999999</v>
      </c>
      <c r="F3430" t="s">
        <v>77</v>
      </c>
      <c r="G3430">
        <v>-209.91399999999999</v>
      </c>
      <c r="H3430" s="1">
        <v>-5.8457510000000001E-6</v>
      </c>
      <c r="I3430">
        <v>141.2808</v>
      </c>
      <c r="J3430">
        <v>-200.48330000000001</v>
      </c>
      <c r="K3430">
        <v>1.1023909999999999</v>
      </c>
      <c r="L3430">
        <v>145.4675</v>
      </c>
      <c r="M3430">
        <v>-0.74218249999999997</v>
      </c>
      <c r="N3430">
        <v>0</v>
      </c>
      <c r="O3430">
        <v>-0.6700585</v>
      </c>
      <c r="P3430">
        <v>-0.83911039999999903</v>
      </c>
      <c r="Q3430">
        <v>5.4233450000000004E-3</v>
      </c>
      <c r="R3430">
        <v>-0.54393429999999998</v>
      </c>
      <c r="S3430">
        <v>-2.77146899999999</v>
      </c>
      <c r="T3430">
        <v>-0.31986609999999999</v>
      </c>
      <c r="U3430">
        <v>-1.244049</v>
      </c>
      <c r="V3430">
        <v>0.15866810000000001</v>
      </c>
      <c r="W3430">
        <v>1.806907E-2</v>
      </c>
      <c r="X3430">
        <v>0.98716659999999901</v>
      </c>
      <c r="Y3430">
        <v>0.30290099999999998</v>
      </c>
      <c r="Z3430">
        <v>8.2378599999999996E-2</v>
      </c>
      <c r="AA3430">
        <v>0.94945499999999905</v>
      </c>
      <c r="AB3430">
        <v>17</v>
      </c>
      <c r="AC3430">
        <v>-9.4306999999999999</v>
      </c>
      <c r="AD3430">
        <v>-1.1023968457509901</v>
      </c>
      <c r="AE3430">
        <v>-4.1867000000000001</v>
      </c>
      <c r="AF3430">
        <v>3.17587366351554</v>
      </c>
      <c r="AG3430">
        <v>-1.1023968457509901</v>
      </c>
      <c r="AH3430">
        <v>9.6948862674348497</v>
      </c>
      <c r="AI3430">
        <v>96.167388954142396</v>
      </c>
      <c r="AJ3430">
        <v>71.862117214644201</v>
      </c>
      <c r="AK3430">
        <v>10.2612022721818</v>
      </c>
    </row>
    <row r="3431" spans="1:37" x14ac:dyDescent="0.2">
      <c r="A3431" t="str">
        <f>"20200111160226512"</f>
        <v>20200111160226512</v>
      </c>
      <c r="B3431" t="str">
        <f>"1578729746505770"</f>
        <v>1578729746505770</v>
      </c>
      <c r="C3431" t="s">
        <v>37</v>
      </c>
      <c r="D3431">
        <v>4.8492649999999999</v>
      </c>
      <c r="E3431">
        <v>0.56084769999999995</v>
      </c>
      <c r="F3431" t="s">
        <v>38</v>
      </c>
      <c r="G3431">
        <v>-209.99289999999999</v>
      </c>
      <c r="H3431" s="1">
        <v>-4.9967979999999997E-6</v>
      </c>
      <c r="I3431">
        <v>141.2105</v>
      </c>
      <c r="J3431">
        <v>-200.62559999999999</v>
      </c>
      <c r="K3431">
        <v>1.102652</v>
      </c>
      <c r="L3431">
        <v>145.34870000000001</v>
      </c>
      <c r="M3431">
        <v>-0.74600869999999997</v>
      </c>
      <c r="N3431">
        <v>0</v>
      </c>
      <c r="O3431">
        <v>-0.66579679999999997</v>
      </c>
      <c r="P3431">
        <v>-0.84050919999999896</v>
      </c>
      <c r="Q3431">
        <v>4.6092829999999996E-3</v>
      </c>
      <c r="R3431">
        <v>-0.54177759999999997</v>
      </c>
      <c r="S3431">
        <v>-2.7726899999999999</v>
      </c>
      <c r="T3431">
        <v>-0.3214225</v>
      </c>
      <c r="U3431">
        <v>-1.2412259999999999</v>
      </c>
      <c r="V3431">
        <v>0.15553549999999999</v>
      </c>
      <c r="W3431">
        <v>1.7331039999999999E-2</v>
      </c>
      <c r="X3431">
        <v>0.98767830000000001</v>
      </c>
      <c r="Y3431">
        <v>0.29839729999999998</v>
      </c>
      <c r="Z3431">
        <v>8.2201469999999999E-2</v>
      </c>
      <c r="AA3431">
        <v>0.95089539999999995</v>
      </c>
      <c r="AB3431">
        <v>17</v>
      </c>
      <c r="AC3431">
        <v>-9.3673000000000002</v>
      </c>
      <c r="AD3431">
        <v>-1.102656996798</v>
      </c>
      <c r="AE3431">
        <v>-4.1382000000000101</v>
      </c>
      <c r="AF3431">
        <v>3.1137770709582</v>
      </c>
      <c r="AG3431">
        <v>-1.102656996798</v>
      </c>
      <c r="AH3431">
        <v>9.6325147607047192</v>
      </c>
      <c r="AI3431">
        <v>96.216311267575506</v>
      </c>
      <c r="AJ3431">
        <v>72.086214550753795</v>
      </c>
      <c r="AK3431">
        <v>10.1831626087089</v>
      </c>
    </row>
    <row r="3432" spans="1:37" x14ac:dyDescent="0.2">
      <c r="A3432" t="str">
        <f>"20200111160226534"</f>
        <v>20200111160226534</v>
      </c>
      <c r="B3432" t="str">
        <f>"1578729746525290"</f>
        <v>1578729746525290</v>
      </c>
      <c r="C3432" t="s">
        <v>37</v>
      </c>
      <c r="D3432">
        <v>4.8775930000000001</v>
      </c>
      <c r="E3432">
        <v>0.55991659999999999</v>
      </c>
      <c r="F3432" t="s">
        <v>38</v>
      </c>
      <c r="G3432">
        <v>-210.00309999999999</v>
      </c>
      <c r="H3432" s="1">
        <v>-4.981112E-6</v>
      </c>
      <c r="I3432">
        <v>141.14410000000001</v>
      </c>
      <c r="J3432">
        <v>-200.7534</v>
      </c>
      <c r="K3432">
        <v>1.1028579999999999</v>
      </c>
      <c r="L3432">
        <v>145.24250000000001</v>
      </c>
      <c r="M3432">
        <v>-0.74914840000000005</v>
      </c>
      <c r="N3432">
        <v>0</v>
      </c>
      <c r="O3432">
        <v>-0.66226319999999905</v>
      </c>
      <c r="P3432">
        <v>-0.84137240000000002</v>
      </c>
      <c r="Q3432">
        <v>3.7562920000000001E-3</v>
      </c>
      <c r="R3432">
        <v>-0.54044320000000001</v>
      </c>
      <c r="S3432">
        <v>-2.7703859999999998</v>
      </c>
      <c r="T3432">
        <v>-0.32575850000000001</v>
      </c>
      <c r="U3432">
        <v>-1.242157</v>
      </c>
      <c r="V3432">
        <v>0.1524228</v>
      </c>
      <c r="W3432">
        <v>1.6540079999999999E-2</v>
      </c>
      <c r="X3432">
        <v>0.98817699999999997</v>
      </c>
      <c r="Y3432">
        <v>0.29323349999999998</v>
      </c>
      <c r="Z3432">
        <v>8.2801429999999995E-2</v>
      </c>
      <c r="AA3432">
        <v>0.95244839999999997</v>
      </c>
      <c r="AB3432">
        <v>17</v>
      </c>
      <c r="AC3432">
        <v>-9.24969999999999</v>
      </c>
      <c r="AD3432">
        <v>-1.1028629811120001</v>
      </c>
      <c r="AE3432">
        <v>-4.0983999999999901</v>
      </c>
      <c r="AF3432">
        <v>3.0198218432860702</v>
      </c>
      <c r="AG3432">
        <v>-1.1028629811120001</v>
      </c>
      <c r="AH3432">
        <v>9.5312422908326493</v>
      </c>
      <c r="AI3432">
        <v>96.294632600469697</v>
      </c>
      <c r="AJ3432">
        <v>72.420026718424296</v>
      </c>
      <c r="AK3432">
        <v>10.058837424218099</v>
      </c>
    </row>
    <row r="3433" spans="1:37" x14ac:dyDescent="0.2">
      <c r="A3433" t="str">
        <f>"20200111160226556"</f>
        <v>20200111160226556</v>
      </c>
      <c r="B3433" t="str">
        <f>"1578729746545786"</f>
        <v>1578729746545786</v>
      </c>
      <c r="C3433" t="s">
        <v>37</v>
      </c>
      <c r="D3433">
        <v>4.9911729999999999</v>
      </c>
      <c r="E3433">
        <v>0.55997940000000002</v>
      </c>
      <c r="F3433" t="s">
        <v>38</v>
      </c>
      <c r="G3433">
        <v>-210.03989999999999</v>
      </c>
      <c r="H3433" s="1">
        <v>-4.9541179999999998E-6</v>
      </c>
      <c r="I3433">
        <v>141.07159999999999</v>
      </c>
      <c r="J3433">
        <v>-200.8845</v>
      </c>
      <c r="K3433">
        <v>1.10303</v>
      </c>
      <c r="L3433">
        <v>145.13399999999999</v>
      </c>
      <c r="M3433">
        <v>-0.75212959999999995</v>
      </c>
      <c r="N3433">
        <v>0</v>
      </c>
      <c r="O3433">
        <v>-0.65887620000000002</v>
      </c>
      <c r="P3433">
        <v>-0.84340409999999899</v>
      </c>
      <c r="Q3433">
        <v>6.1254759999999899E-3</v>
      </c>
      <c r="R3433">
        <v>-0.53724519999999998</v>
      </c>
      <c r="S3433">
        <v>-2.768402</v>
      </c>
      <c r="T3433">
        <v>-0.32877600000000001</v>
      </c>
      <c r="U3433">
        <v>-1.243393</v>
      </c>
      <c r="V3433">
        <v>0.1517075</v>
      </c>
      <c r="W3433">
        <v>1.8939620000000001E-2</v>
      </c>
      <c r="X3433">
        <v>0.98824389999999995</v>
      </c>
      <c r="Y3433">
        <v>0.2882574</v>
      </c>
      <c r="Z3433">
        <v>8.3065520000000004E-2</v>
      </c>
      <c r="AA3433">
        <v>0.95394330000000005</v>
      </c>
      <c r="AB3433">
        <v>17</v>
      </c>
      <c r="AC3433">
        <v>-9.1553999999999807</v>
      </c>
      <c r="AD3433">
        <v>-1.103034954118</v>
      </c>
      <c r="AE3433">
        <v>-4.0623999999999896</v>
      </c>
      <c r="AF3433">
        <v>2.9414244487107699</v>
      </c>
      <c r="AG3433">
        <v>-1.103034954118</v>
      </c>
      <c r="AH3433">
        <v>9.4489498865109791</v>
      </c>
      <c r="AI3433">
        <v>96.359967412429299</v>
      </c>
      <c r="AJ3433">
        <v>72.708820716904</v>
      </c>
      <c r="AK3433">
        <v>9.9574754760067208</v>
      </c>
    </row>
    <row r="3434" spans="1:37" x14ac:dyDescent="0.2">
      <c r="A3434" t="str">
        <f>"20200111160226577"</f>
        <v>20200111160226577</v>
      </c>
      <c r="B3434" t="str">
        <f>"1578729746575066"</f>
        <v>1578729746575066</v>
      </c>
      <c r="C3434" t="s">
        <v>37</v>
      </c>
      <c r="D3434">
        <v>4.8187139999999999</v>
      </c>
      <c r="E3434">
        <v>0.55966709999999997</v>
      </c>
      <c r="F3434" t="s">
        <v>38</v>
      </c>
      <c r="G3434">
        <v>-210.40599999999901</v>
      </c>
      <c r="H3434" s="1">
        <v>-4.7833200000000001E-6</v>
      </c>
      <c r="I3434">
        <v>140.9014</v>
      </c>
      <c r="J3434">
        <v>-201.00819999999999</v>
      </c>
      <c r="K3434">
        <v>1.1031709999999999</v>
      </c>
      <c r="L3434">
        <v>145.03210000000001</v>
      </c>
      <c r="M3434">
        <v>-0.75473369999999995</v>
      </c>
      <c r="N3434">
        <v>0</v>
      </c>
      <c r="O3434">
        <v>-0.65589200000000003</v>
      </c>
      <c r="P3434">
        <v>-0.84571949999999996</v>
      </c>
      <c r="Q3434">
        <v>9.6600880000000007E-3</v>
      </c>
      <c r="R3434">
        <v>-0.53354019999999902</v>
      </c>
      <c r="S3434">
        <v>-2.7738649999999998</v>
      </c>
      <c r="T3434">
        <v>-0.3213434</v>
      </c>
      <c r="U3434">
        <v>-1.233093</v>
      </c>
      <c r="V3434">
        <v>0.15211279999999999</v>
      </c>
      <c r="W3434">
        <v>2.2487480000000001E-2</v>
      </c>
      <c r="X3434">
        <v>0.98810730000000002</v>
      </c>
      <c r="Y3434">
        <v>0.28834670000000001</v>
      </c>
      <c r="Z3434">
        <v>8.0911070000000002E-2</v>
      </c>
      <c r="AA3434">
        <v>0.95410139999999999</v>
      </c>
      <c r="AB3434">
        <v>17</v>
      </c>
      <c r="AC3434">
        <v>-9.3977999999999895</v>
      </c>
      <c r="AD3434">
        <v>-1.10317578332</v>
      </c>
      <c r="AE3434">
        <v>-4.1307000000000098</v>
      </c>
      <c r="AF3434">
        <v>3.0118592345964501</v>
      </c>
      <c r="AG3434">
        <v>-1.10317578332</v>
      </c>
      <c r="AH3434">
        <v>9.6911073234965599</v>
      </c>
      <c r="AI3434">
        <v>96.203978369281899</v>
      </c>
      <c r="AJ3434">
        <v>72.735493557446901</v>
      </c>
      <c r="AK3434">
        <v>10.208126861156</v>
      </c>
    </row>
    <row r="3435" spans="1:37" x14ac:dyDescent="0.2">
      <c r="A3435" t="str">
        <f>"20200111160226600"</f>
        <v>20200111160226600</v>
      </c>
      <c r="B3435" t="str">
        <f>"1578729746595563"</f>
        <v>1578729746595563</v>
      </c>
      <c r="C3435" t="s">
        <v>37</v>
      </c>
      <c r="D3435">
        <v>4.8060790000000004</v>
      </c>
      <c r="E3435">
        <v>0.55943500000000002</v>
      </c>
      <c r="F3435" t="s">
        <v>38</v>
      </c>
      <c r="G3435">
        <v>-210.83949999999999</v>
      </c>
      <c r="H3435" s="1">
        <v>-4.581153E-6</v>
      </c>
      <c r="I3435">
        <v>140.70009999999999</v>
      </c>
      <c r="J3435">
        <v>-201.13990000000001</v>
      </c>
      <c r="K3435">
        <v>1.103299</v>
      </c>
      <c r="L3435">
        <v>144.92420000000001</v>
      </c>
      <c r="M3435">
        <v>-0.75727769999999905</v>
      </c>
      <c r="N3435">
        <v>0</v>
      </c>
      <c r="O3435">
        <v>-0.65295369999999997</v>
      </c>
      <c r="P3435">
        <v>-0.84850270000000005</v>
      </c>
      <c r="Q3435">
        <v>1.1552400000000001E-2</v>
      </c>
      <c r="R3435">
        <v>-0.52906519999999901</v>
      </c>
      <c r="S3435">
        <v>-2.7784879999999998</v>
      </c>
      <c r="T3435">
        <v>-0.31177719999999998</v>
      </c>
      <c r="U3435">
        <v>-1.2243040000000001</v>
      </c>
      <c r="V3435">
        <v>0.153476</v>
      </c>
      <c r="W3435">
        <v>2.4386680000000001E-2</v>
      </c>
      <c r="X3435">
        <v>0.98785140000000005</v>
      </c>
      <c r="Y3435">
        <v>0.28801709999999903</v>
      </c>
      <c r="Z3435">
        <v>7.8226690000000002E-2</v>
      </c>
      <c r="AA3435">
        <v>0.95442479999999996</v>
      </c>
      <c r="AB3435">
        <v>17</v>
      </c>
      <c r="AC3435">
        <v>-9.69959999999997</v>
      </c>
      <c r="AD3435">
        <v>-1.1033035811530001</v>
      </c>
      <c r="AE3435">
        <v>-4.2241000000000204</v>
      </c>
      <c r="AF3435">
        <v>3.10113084843137</v>
      </c>
      <c r="AG3435">
        <v>-1.1033035811530001</v>
      </c>
      <c r="AH3435">
        <v>9.9956410173800805</v>
      </c>
      <c r="AI3435">
        <v>96.017973030674597</v>
      </c>
      <c r="AJ3435">
        <v>72.763584356971606</v>
      </c>
      <c r="AK3435">
        <v>10.523646263515699</v>
      </c>
    </row>
    <row r="3436" spans="1:37" x14ac:dyDescent="0.2">
      <c r="A3436" t="str">
        <f>"20200111160226624"</f>
        <v>20200111160226624</v>
      </c>
      <c r="B3436" t="str">
        <f>"1578729746615082"</f>
        <v>1578729746615082</v>
      </c>
      <c r="C3436" t="s">
        <v>37</v>
      </c>
      <c r="D3436">
        <v>4.980397</v>
      </c>
      <c r="E3436">
        <v>0.55867480000000003</v>
      </c>
      <c r="F3436" t="s">
        <v>38</v>
      </c>
      <c r="G3436">
        <v>-211.1592</v>
      </c>
      <c r="H3436" s="1">
        <v>-4.4119610000000003E-6</v>
      </c>
      <c r="I3436">
        <v>140.56479999999999</v>
      </c>
      <c r="J3436">
        <v>-201.27610000000001</v>
      </c>
      <c r="K3436">
        <v>1.103434</v>
      </c>
      <c r="L3436">
        <v>144.81290000000001</v>
      </c>
      <c r="M3436">
        <v>-0.75967430000000002</v>
      </c>
      <c r="N3436">
        <v>0</v>
      </c>
      <c r="O3436">
        <v>-0.65016459999999998</v>
      </c>
      <c r="P3436">
        <v>-0.85132189999999996</v>
      </c>
      <c r="Q3436">
        <v>1.138103E-2</v>
      </c>
      <c r="R3436">
        <v>-0.52452089999999996</v>
      </c>
      <c r="S3436">
        <v>-2.7844389999999999</v>
      </c>
      <c r="T3436">
        <v>-0.306616</v>
      </c>
      <c r="U3436">
        <v>-1.211487</v>
      </c>
      <c r="V3436">
        <v>0.155117899999999</v>
      </c>
      <c r="W3436">
        <v>2.422937E-2</v>
      </c>
      <c r="X3436">
        <v>0.9875988</v>
      </c>
      <c r="Y3436">
        <v>0.28908410000000001</v>
      </c>
      <c r="Z3436">
        <v>7.6731649999999998E-2</v>
      </c>
      <c r="AA3436">
        <v>0.95422359999999995</v>
      </c>
      <c r="AB3436">
        <v>17</v>
      </c>
      <c r="AC3436">
        <v>-9.8830999999999793</v>
      </c>
      <c r="AD3436">
        <v>-1.1034384119609999</v>
      </c>
      <c r="AE3436">
        <v>-4.2481000000000204</v>
      </c>
      <c r="AF3436">
        <v>3.1654532755910401</v>
      </c>
      <c r="AG3436">
        <v>-1.1034384119609999</v>
      </c>
      <c r="AH3436">
        <v>10.163890612271899</v>
      </c>
      <c r="AI3436">
        <v>95.9177979788561</v>
      </c>
      <c r="AJ3436">
        <v>72.701264768453697</v>
      </c>
      <c r="AK3436">
        <v>10.702445661958301</v>
      </c>
    </row>
    <row r="3437" spans="1:37" x14ac:dyDescent="0.2">
      <c r="A3437" t="str">
        <f>"20200111160226646"</f>
        <v>20200111160226646</v>
      </c>
      <c r="B3437" t="str">
        <f>"1578729746635578"</f>
        <v>1578729746635578</v>
      </c>
      <c r="C3437" t="s">
        <v>37</v>
      </c>
      <c r="D3437">
        <v>4.8286660000000001</v>
      </c>
      <c r="E3437">
        <v>0.55787100000000001</v>
      </c>
      <c r="F3437" t="s">
        <v>38</v>
      </c>
      <c r="G3437">
        <v>-211.33009999999999</v>
      </c>
      <c r="H3437" s="1">
        <v>-4.3091759999999902E-6</v>
      </c>
      <c r="I3437">
        <v>140.48220000000001</v>
      </c>
      <c r="J3437">
        <v>-201.40389999999999</v>
      </c>
      <c r="K3437">
        <v>1.103586</v>
      </c>
      <c r="L3437">
        <v>144.70869999999999</v>
      </c>
      <c r="M3437">
        <v>-0.76171080000000002</v>
      </c>
      <c r="N3437">
        <v>0</v>
      </c>
      <c r="O3437">
        <v>-0.64777790000000002</v>
      </c>
      <c r="P3437">
        <v>-0.85419249999999902</v>
      </c>
      <c r="Q3437">
        <v>1.061175E-2</v>
      </c>
      <c r="R3437">
        <v>-0.51984809999999904</v>
      </c>
      <c r="S3437">
        <v>-2.7880859999999998</v>
      </c>
      <c r="T3437">
        <v>-0.30599509999999902</v>
      </c>
      <c r="U3437">
        <v>-1.200928</v>
      </c>
      <c r="V3437">
        <v>0.15742590000000001</v>
      </c>
      <c r="W3437">
        <v>2.3479989999999999E-2</v>
      </c>
      <c r="X3437">
        <v>0.98725160000000001</v>
      </c>
      <c r="Y3437">
        <v>0.28960559999999902</v>
      </c>
      <c r="Z3437">
        <v>7.6410939999999997E-2</v>
      </c>
      <c r="AA3437">
        <v>0.95409120000000003</v>
      </c>
      <c r="AB3437">
        <v>17</v>
      </c>
      <c r="AC3437">
        <v>-9.9261999999999908</v>
      </c>
      <c r="AD3437">
        <v>-1.103590309176</v>
      </c>
      <c r="AE3437">
        <v>-4.2264999999999802</v>
      </c>
      <c r="AF3437">
        <v>3.1776417709500202</v>
      </c>
      <c r="AG3437">
        <v>-1.103590309176</v>
      </c>
      <c r="AH3437">
        <v>10.1929987636824</v>
      </c>
      <c r="AI3437">
        <v>95.901314600719402</v>
      </c>
      <c r="AJ3437">
        <v>72.685263557107007</v>
      </c>
      <c r="AK3437">
        <v>10.7337105695759</v>
      </c>
    </row>
    <row r="3438" spans="1:37" x14ac:dyDescent="0.2">
      <c r="A3438" t="str">
        <f>"20200111160226667"</f>
        <v>20200111160226667</v>
      </c>
      <c r="B3438" t="str">
        <f>"1578729746665834"</f>
        <v>1578729746665834</v>
      </c>
      <c r="C3438" t="s">
        <v>37</v>
      </c>
      <c r="D3438">
        <v>4.9364850000000002</v>
      </c>
      <c r="E3438">
        <v>0.55009960000000002</v>
      </c>
      <c r="F3438" t="s">
        <v>38</v>
      </c>
      <c r="G3438">
        <v>-211.35740000000001</v>
      </c>
      <c r="H3438" s="1">
        <v>-4.2921440000000003E-6</v>
      </c>
      <c r="I3438">
        <v>140.4667</v>
      </c>
      <c r="J3438">
        <v>-201.53020000000001</v>
      </c>
      <c r="K3438">
        <v>1.103742</v>
      </c>
      <c r="L3438">
        <v>144.60599999999999</v>
      </c>
      <c r="M3438">
        <v>-0.76352030000000004</v>
      </c>
      <c r="N3438">
        <v>0</v>
      </c>
      <c r="O3438">
        <v>-0.64564460000000001</v>
      </c>
      <c r="P3438">
        <v>-0.85747870000000004</v>
      </c>
      <c r="Q3438">
        <v>9.7588039999999994E-3</v>
      </c>
      <c r="R3438">
        <v>-0.51442699999999997</v>
      </c>
      <c r="S3438">
        <v>-2.7918240000000001</v>
      </c>
      <c r="T3438">
        <v>-0.30954280000000001</v>
      </c>
      <c r="U3438">
        <v>-1.189819</v>
      </c>
      <c r="V3438">
        <v>0.16091269999999999</v>
      </c>
      <c r="W3438">
        <v>2.265385E-2</v>
      </c>
      <c r="X3438">
        <v>0.98670859999999905</v>
      </c>
      <c r="Y3438">
        <v>0.29051169999999998</v>
      </c>
      <c r="Z3438">
        <v>7.7163229999999999E-2</v>
      </c>
      <c r="AA3438">
        <v>0.95375509999999997</v>
      </c>
      <c r="AB3438">
        <v>17</v>
      </c>
      <c r="AC3438">
        <v>-9.8271999999999995</v>
      </c>
      <c r="AD3438">
        <v>-1.103746292144</v>
      </c>
      <c r="AE3438">
        <v>-4.1392999999999898</v>
      </c>
      <c r="AF3438">
        <v>3.1509661297946598</v>
      </c>
      <c r="AG3438">
        <v>-1.103746292144</v>
      </c>
      <c r="AH3438">
        <v>10.068821677646101</v>
      </c>
      <c r="AI3438">
        <v>95.972392251318695</v>
      </c>
      <c r="AJ3438">
        <v>72.622860307884096</v>
      </c>
      <c r="AK3438">
        <v>10.607922200165801</v>
      </c>
    </row>
    <row r="3439" spans="1:37" x14ac:dyDescent="0.2">
      <c r="A3439" t="str">
        <f>"20200111160226691"</f>
        <v>20200111160226691</v>
      </c>
      <c r="B3439" t="str">
        <f>"1578729746685355"</f>
        <v>1578729746685355</v>
      </c>
      <c r="C3439" t="s">
        <v>37</v>
      </c>
      <c r="D3439">
        <v>4.9336839999999897</v>
      </c>
      <c r="E3439">
        <v>0.54863090000000003</v>
      </c>
      <c r="F3439" t="s">
        <v>38</v>
      </c>
      <c r="G3439">
        <v>-210.68809999999999</v>
      </c>
      <c r="H3439" s="1">
        <v>-4.612389E-6</v>
      </c>
      <c r="I3439">
        <v>140.54849999999999</v>
      </c>
      <c r="J3439">
        <v>-201.65819999999999</v>
      </c>
      <c r="K3439">
        <v>1.1039099999999999</v>
      </c>
      <c r="L3439">
        <v>144.5018</v>
      </c>
      <c r="M3439">
        <v>-0.7651365</v>
      </c>
      <c r="N3439">
        <v>0</v>
      </c>
      <c r="O3439">
        <v>-0.6437292</v>
      </c>
      <c r="P3439">
        <v>-0.86063889999999998</v>
      </c>
      <c r="Q3439">
        <v>8.5305999999999993E-3</v>
      </c>
      <c r="R3439">
        <v>-0.50914459999999995</v>
      </c>
      <c r="S3439">
        <v>-2.7669679999999999</v>
      </c>
      <c r="T3439">
        <v>-0.33348299999999997</v>
      </c>
      <c r="U3439">
        <v>-1.2259059999999999</v>
      </c>
      <c r="V3439">
        <v>0.16450290000000001</v>
      </c>
      <c r="W3439">
        <v>2.146062E-2</v>
      </c>
      <c r="X3439">
        <v>0.98614310000000005</v>
      </c>
      <c r="Y3439">
        <v>0.2739394</v>
      </c>
      <c r="Z3439">
        <v>8.2389399999999904E-2</v>
      </c>
      <c r="AA3439">
        <v>0.95821139999999905</v>
      </c>
      <c r="AB3439">
        <v>17</v>
      </c>
      <c r="AC3439">
        <v>-9.0298999999999907</v>
      </c>
      <c r="AD3439">
        <v>-1.103914612389</v>
      </c>
      <c r="AE3439">
        <v>-3.9533000000000098</v>
      </c>
      <c r="AF3439">
        <v>2.75370990580844</v>
      </c>
      <c r="AG3439">
        <v>-1.103914612389</v>
      </c>
      <c r="AH3439">
        <v>9.3376976316909897</v>
      </c>
      <c r="AI3439">
        <v>96.469324495713195</v>
      </c>
      <c r="AJ3439">
        <v>73.569082672277105</v>
      </c>
      <c r="AK3439">
        <v>9.7976600664485698</v>
      </c>
    </row>
    <row r="3440" spans="1:37" x14ac:dyDescent="0.2">
      <c r="A3440" t="str">
        <f>"20200111160226711"</f>
        <v>20200111160226711</v>
      </c>
      <c r="B3440" t="str">
        <f>"1578729746705851"</f>
        <v>1578729746705851</v>
      </c>
      <c r="C3440" t="s">
        <v>37</v>
      </c>
      <c r="D3440">
        <v>4.8243929999999997</v>
      </c>
      <c r="E3440">
        <v>0.54737449999999999</v>
      </c>
      <c r="F3440" t="s">
        <v>38</v>
      </c>
      <c r="G3440">
        <v>-210.62799999999999</v>
      </c>
      <c r="H3440" s="1">
        <v>-4.6366109999999999E-6</v>
      </c>
      <c r="I3440">
        <v>140.5549</v>
      </c>
      <c r="J3440">
        <v>-201.78569999999999</v>
      </c>
      <c r="K3440">
        <v>1.1040639999999999</v>
      </c>
      <c r="L3440">
        <v>144.3981</v>
      </c>
      <c r="M3440">
        <v>-0.76651840000000004</v>
      </c>
      <c r="N3440">
        <v>0</v>
      </c>
      <c r="O3440">
        <v>-0.64208339999999997</v>
      </c>
      <c r="P3440">
        <v>-0.86320699999999995</v>
      </c>
      <c r="Q3440">
        <v>6.1178819999999998E-3</v>
      </c>
      <c r="R3440">
        <v>-0.50481309999999902</v>
      </c>
      <c r="S3440">
        <v>-2.768494</v>
      </c>
      <c r="T3440">
        <v>-0.34071790000000002</v>
      </c>
      <c r="U3440">
        <v>-1.2181850000000001</v>
      </c>
      <c r="V3440">
        <v>0.1673405</v>
      </c>
      <c r="W3440">
        <v>1.9086929999999998E-2</v>
      </c>
      <c r="X3440">
        <v>0.98571439999999999</v>
      </c>
      <c r="Y3440">
        <v>0.27410309999999999</v>
      </c>
      <c r="Z3440">
        <v>8.4054950000000003E-2</v>
      </c>
      <c r="AA3440">
        <v>0.95801999999999998</v>
      </c>
      <c r="AB3440">
        <v>17</v>
      </c>
      <c r="AC3440">
        <v>-8.8422999999999892</v>
      </c>
      <c r="AD3440">
        <v>-1.104068636611</v>
      </c>
      <c r="AE3440">
        <v>-3.8431999999999902</v>
      </c>
      <c r="AF3440">
        <v>2.6964943062706599</v>
      </c>
      <c r="AG3440">
        <v>-1.104068636611</v>
      </c>
      <c r="AH3440">
        <v>9.1265857846771699</v>
      </c>
      <c r="AI3440">
        <v>96.617588569698498</v>
      </c>
      <c r="AJ3440">
        <v>73.539967567780195</v>
      </c>
      <c r="AK3440">
        <v>9.5804288621736298</v>
      </c>
    </row>
    <row r="3441" spans="1:37" x14ac:dyDescent="0.2">
      <c r="A3441" t="str">
        <f>"20200111160226735"</f>
        <v>20200111160226735</v>
      </c>
      <c r="B3441" t="str">
        <f>"1578729746725371"</f>
        <v>1578729746725371</v>
      </c>
      <c r="C3441" t="s">
        <v>37</v>
      </c>
      <c r="D3441">
        <v>4.8439629999999996</v>
      </c>
      <c r="E3441">
        <v>0.54642159999999995</v>
      </c>
      <c r="F3441" t="s">
        <v>38</v>
      </c>
      <c r="G3441">
        <v>-210.73679999999999</v>
      </c>
      <c r="H3441" s="1">
        <v>-4.5821160000000002E-6</v>
      </c>
      <c r="I3441">
        <v>140.48320000000001</v>
      </c>
      <c r="J3441">
        <v>-201.91820000000001</v>
      </c>
      <c r="K3441">
        <v>1.1041780000000001</v>
      </c>
      <c r="L3441">
        <v>144.2903</v>
      </c>
      <c r="M3441">
        <v>-0.76776149999999999</v>
      </c>
      <c r="N3441">
        <v>0</v>
      </c>
      <c r="O3441">
        <v>-0.64059699999999997</v>
      </c>
      <c r="P3441">
        <v>-0.86514159999999996</v>
      </c>
      <c r="Q3441">
        <v>3.1885859999999898E-3</v>
      </c>
      <c r="R3441">
        <v>-0.50151769999999996</v>
      </c>
      <c r="S3441">
        <v>-2.7694549999999998</v>
      </c>
      <c r="T3441">
        <v>-0.34159800000000001</v>
      </c>
      <c r="U3441">
        <v>-1.211273</v>
      </c>
      <c r="V3441">
        <v>0.1691906</v>
      </c>
      <c r="W3441">
        <v>1.6187259999999998E-2</v>
      </c>
      <c r="X3441">
        <v>0.98545039999999995</v>
      </c>
      <c r="Y3441">
        <v>0.27434419999999998</v>
      </c>
      <c r="Z3441">
        <v>8.4186590000000006E-2</v>
      </c>
      <c r="AA3441">
        <v>0.9579394</v>
      </c>
      <c r="AB3441">
        <v>17</v>
      </c>
      <c r="AC3441">
        <v>-8.8185999999999698</v>
      </c>
      <c r="AD3441">
        <v>-1.1041825821160001</v>
      </c>
      <c r="AE3441">
        <v>-3.8070999999999899</v>
      </c>
      <c r="AF3441">
        <v>2.6909064772654898</v>
      </c>
      <c r="AG3441">
        <v>-1.1041825821160001</v>
      </c>
      <c r="AH3441">
        <v>9.0900933835792301</v>
      </c>
      <c r="AI3441">
        <v>96.643574338896997</v>
      </c>
      <c r="AJ3441">
        <v>73.509862170472502</v>
      </c>
      <c r="AK3441">
        <v>9.5441078454839694</v>
      </c>
    </row>
    <row r="3442" spans="1:37" x14ac:dyDescent="0.2">
      <c r="A3442" t="str">
        <f>"20200111160226758"</f>
        <v>20200111160226758</v>
      </c>
      <c r="B3442" t="str">
        <f>"1578729746755627"</f>
        <v>1578729746755627</v>
      </c>
      <c r="C3442" t="s">
        <v>37</v>
      </c>
      <c r="D3442">
        <v>4.792008</v>
      </c>
      <c r="E3442">
        <v>0.54558799999999996</v>
      </c>
      <c r="F3442" t="s">
        <v>38</v>
      </c>
      <c r="G3442">
        <v>-210.64959999999999</v>
      </c>
      <c r="H3442" s="1">
        <v>-4.6164969999999999E-6</v>
      </c>
      <c r="I3442">
        <v>140.48820000000001</v>
      </c>
      <c r="J3442">
        <v>-202.04939999999999</v>
      </c>
      <c r="K3442">
        <v>1.10425</v>
      </c>
      <c r="L3442">
        <v>144.18360000000001</v>
      </c>
      <c r="M3442">
        <v>-0.76882150000000005</v>
      </c>
      <c r="N3442">
        <v>0</v>
      </c>
      <c r="O3442">
        <v>-0.63932480000000003</v>
      </c>
      <c r="P3442">
        <v>-0.86641610000000002</v>
      </c>
      <c r="Q3442">
        <v>-1.19822099999999E-4</v>
      </c>
      <c r="R3442">
        <v>-0.49932330000000003</v>
      </c>
      <c r="S3442">
        <v>-2.76975999999999</v>
      </c>
      <c r="T3442">
        <v>-0.35026940000000001</v>
      </c>
      <c r="U3442">
        <v>-1.2060850000000001</v>
      </c>
      <c r="V3442">
        <v>0.17005499999999901</v>
      </c>
      <c r="W3442">
        <v>1.2894579999999999E-2</v>
      </c>
      <c r="X3442">
        <v>0.98535019999999995</v>
      </c>
      <c r="Y3442">
        <v>0.27404859999999998</v>
      </c>
      <c r="Z3442">
        <v>8.6213040000000005E-2</v>
      </c>
      <c r="AA3442">
        <v>0.95784380000000002</v>
      </c>
      <c r="AB3442">
        <v>16</v>
      </c>
      <c r="AC3442">
        <v>-8.6001999999999992</v>
      </c>
      <c r="AD3442">
        <v>-1.104254616497</v>
      </c>
      <c r="AE3442">
        <v>-3.6953999999999998</v>
      </c>
      <c r="AF3442">
        <v>2.6209782498887702</v>
      </c>
      <c r="AG3442">
        <v>-1.104254616497</v>
      </c>
      <c r="AH3442">
        <v>8.85218157169016</v>
      </c>
      <c r="AI3442">
        <v>96.820804054861497</v>
      </c>
      <c r="AJ3442">
        <v>73.506887188941903</v>
      </c>
      <c r="AK3442">
        <v>9.2978504947442495</v>
      </c>
    </row>
    <row r="3443" spans="1:37" x14ac:dyDescent="0.2">
      <c r="A3443" t="str">
        <f>"20200111160226781"</f>
        <v>20200111160226781</v>
      </c>
      <c r="B3443" t="str">
        <f>"1578729746775147"</f>
        <v>1578729746775147</v>
      </c>
      <c r="C3443" t="s">
        <v>37</v>
      </c>
      <c r="D3443">
        <v>5.1474549999999999</v>
      </c>
      <c r="E3443">
        <v>0.54548569999999996</v>
      </c>
      <c r="F3443" t="s">
        <v>38</v>
      </c>
      <c r="G3443">
        <v>-210.49629999999999</v>
      </c>
      <c r="H3443" s="1">
        <v>-4.679529E-6</v>
      </c>
      <c r="I3443">
        <v>140.51159999999999</v>
      </c>
      <c r="J3443">
        <v>-202.18350000000001</v>
      </c>
      <c r="K3443">
        <v>1.1042940000000001</v>
      </c>
      <c r="L3443">
        <v>144.0746</v>
      </c>
      <c r="M3443">
        <v>-0.7697541</v>
      </c>
      <c r="N3443">
        <v>0</v>
      </c>
      <c r="O3443">
        <v>-0.63820169999999998</v>
      </c>
      <c r="P3443">
        <v>-0.86734690000000003</v>
      </c>
      <c r="Q3443">
        <v>-2.0206740000000001E-3</v>
      </c>
      <c r="R3443">
        <v>-0.49769979999999903</v>
      </c>
      <c r="S3443">
        <v>-2.7688290000000002</v>
      </c>
      <c r="T3443">
        <v>-0.36196689999999998</v>
      </c>
      <c r="U3443">
        <v>-1.2036439999999999</v>
      </c>
      <c r="V3443">
        <v>0.1704571</v>
      </c>
      <c r="W3443">
        <v>1.099928E-2</v>
      </c>
      <c r="X3443">
        <v>0.9853037</v>
      </c>
      <c r="Y3443">
        <v>0.27289259999999999</v>
      </c>
      <c r="Z3443">
        <v>8.8945010000000005E-2</v>
      </c>
      <c r="AA3443">
        <v>0.957924</v>
      </c>
      <c r="AB3443">
        <v>16</v>
      </c>
      <c r="AC3443">
        <v>-8.3127999999999798</v>
      </c>
      <c r="AD3443">
        <v>-1.104298679529</v>
      </c>
      <c r="AE3443">
        <v>-3.5630000000000099</v>
      </c>
      <c r="AF3443">
        <v>2.5251896684303698</v>
      </c>
      <c r="AG3443">
        <v>-1.104298679529</v>
      </c>
      <c r="AH3443">
        <v>8.5460842482490804</v>
      </c>
      <c r="AI3443">
        <v>97.064108218121206</v>
      </c>
      <c r="AJ3443">
        <v>73.538688894012694</v>
      </c>
      <c r="AK3443">
        <v>8.9795108114711901</v>
      </c>
    </row>
    <row r="3444" spans="1:37" x14ac:dyDescent="0.2">
      <c r="A3444" t="str">
        <f>"20200111160226826"</f>
        <v>20200111160226826</v>
      </c>
      <c r="B3444" t="str">
        <f>"1578729746815164"</f>
        <v>1578729746815164</v>
      </c>
      <c r="C3444" t="s">
        <v>37</v>
      </c>
      <c r="D3444">
        <v>4.7834969999999997</v>
      </c>
      <c r="E3444">
        <v>0.61888969999999999</v>
      </c>
      <c r="F3444" t="s">
        <v>38</v>
      </c>
      <c r="G3444">
        <v>-210.58940000000001</v>
      </c>
      <c r="H3444" s="1">
        <v>-4.6308639999999998E-6</v>
      </c>
      <c r="I3444">
        <v>140.43889999999999</v>
      </c>
      <c r="J3444">
        <v>-202.4401</v>
      </c>
      <c r="K3444">
        <v>1.104314</v>
      </c>
      <c r="L3444">
        <v>143.86609999999999</v>
      </c>
      <c r="M3444">
        <v>-0.77128479999999999</v>
      </c>
      <c r="N3444">
        <v>0</v>
      </c>
      <c r="O3444">
        <v>-0.63635169999999996</v>
      </c>
      <c r="P3444">
        <v>-0.86758269999999904</v>
      </c>
      <c r="Q3444">
        <v>-6.067678E-3</v>
      </c>
      <c r="R3444">
        <v>-0.49725599999999998</v>
      </c>
      <c r="S3444">
        <v>-2.7704009999999899</v>
      </c>
      <c r="T3444">
        <v>-0.36395159999999999</v>
      </c>
      <c r="U3444">
        <v>-1.198242</v>
      </c>
      <c r="V3444">
        <v>0.16858029999999999</v>
      </c>
      <c r="W3444">
        <v>6.9444260000000001E-3</v>
      </c>
      <c r="X3444">
        <v>0.98566350000000003</v>
      </c>
      <c r="Y3444">
        <v>0.2723063</v>
      </c>
      <c r="Z3444">
        <v>8.9224310000000001E-2</v>
      </c>
      <c r="AA3444">
        <v>0.9580649</v>
      </c>
      <c r="AB3444">
        <v>16</v>
      </c>
      <c r="AC3444">
        <v>-8.1493000000000002</v>
      </c>
      <c r="AD3444">
        <v>-1.1043186308640001</v>
      </c>
      <c r="AE3444">
        <v>-3.4271999999999898</v>
      </c>
      <c r="AF3444">
        <v>2.5036323222305699</v>
      </c>
      <c r="AG3444">
        <v>-1.1043186308640001</v>
      </c>
      <c r="AH3444">
        <v>8.3369957212454207</v>
      </c>
      <c r="AI3444">
        <v>97.230096170741405</v>
      </c>
      <c r="AJ3444">
        <v>73.284782663629201</v>
      </c>
      <c r="AK3444">
        <v>8.7745764626821394</v>
      </c>
    </row>
    <row r="3445" spans="1:37" x14ac:dyDescent="0.2">
      <c r="A3445" t="str">
        <f>"20200111160226847"</f>
        <v>20200111160226847</v>
      </c>
      <c r="B3445" t="str">
        <f>"1578729746835658"</f>
        <v>1578729746835658</v>
      </c>
      <c r="C3445" t="s">
        <v>37</v>
      </c>
      <c r="D3445">
        <v>4.7812080000000003</v>
      </c>
      <c r="E3445">
        <v>0.62534909999999999</v>
      </c>
      <c r="F3445" t="s">
        <v>38</v>
      </c>
      <c r="G3445">
        <v>-216.37549999999999</v>
      </c>
      <c r="H3445" s="1">
        <v>-2.0024589999999998E-6</v>
      </c>
      <c r="I3445">
        <v>140.7764</v>
      </c>
      <c r="J3445">
        <v>-202.5556</v>
      </c>
      <c r="K3445">
        <v>1.1042920000000001</v>
      </c>
      <c r="L3445">
        <v>143.77250000000001</v>
      </c>
      <c r="M3445">
        <v>-0.7719454</v>
      </c>
      <c r="N3445">
        <v>0</v>
      </c>
      <c r="O3445">
        <v>-0.63555010000000001</v>
      </c>
      <c r="P3445">
        <v>-0.86693569999999998</v>
      </c>
      <c r="Q3445">
        <v>-6.2642560000000002E-3</v>
      </c>
      <c r="R3445">
        <v>-0.49838100000000002</v>
      </c>
      <c r="S3445">
        <v>-3.0664980000000002</v>
      </c>
      <c r="T3445">
        <v>-0.243005899999999</v>
      </c>
      <c r="U3445">
        <v>-0.67990109999999904</v>
      </c>
      <c r="V3445">
        <v>0.16627690000000001</v>
      </c>
      <c r="W3445">
        <v>6.7365300000000001E-3</v>
      </c>
      <c r="X3445">
        <v>0.98605609999999999</v>
      </c>
      <c r="Y3445">
        <v>0.45052779999999998</v>
      </c>
      <c r="Z3445">
        <v>6.3282359999999996E-2</v>
      </c>
      <c r="AA3445">
        <v>0.89051669999999905</v>
      </c>
      <c r="AB3445">
        <v>16</v>
      </c>
      <c r="AC3445">
        <v>-13.819899999999899</v>
      </c>
      <c r="AD3445">
        <v>-1.104294002459</v>
      </c>
      <c r="AE3445">
        <v>-2.99610000000001</v>
      </c>
      <c r="AF3445">
        <v>6.4317607203623197</v>
      </c>
      <c r="AG3445">
        <v>-1.104294002459</v>
      </c>
      <c r="AH3445">
        <v>12.4972759003977</v>
      </c>
      <c r="AI3445">
        <v>94.492397595107505</v>
      </c>
      <c r="AJ3445">
        <v>62.767248030088098</v>
      </c>
      <c r="AK3445">
        <v>14.0985430502064</v>
      </c>
    </row>
    <row r="3446" spans="1:37" x14ac:dyDescent="0.2">
      <c r="A3446" t="str">
        <f>"20200111160226868"</f>
        <v>20200111160226868</v>
      </c>
      <c r="B3446" t="str">
        <f>"1578729746865914"</f>
        <v>1578729746865914</v>
      </c>
      <c r="C3446" t="s">
        <v>37</v>
      </c>
      <c r="D3446">
        <v>5.0915039999999996</v>
      </c>
      <c r="E3446">
        <v>0.62410059999999901</v>
      </c>
      <c r="F3446" t="s">
        <v>38</v>
      </c>
      <c r="G3446">
        <v>-217.7079</v>
      </c>
      <c r="H3446" s="1">
        <v>-1.337779E-6</v>
      </c>
      <c r="I3446">
        <v>140.6454</v>
      </c>
      <c r="J3446">
        <v>-202.6798</v>
      </c>
      <c r="K3446">
        <v>1.104239</v>
      </c>
      <c r="L3446">
        <v>143.672</v>
      </c>
      <c r="M3446">
        <v>-0.77267330000000001</v>
      </c>
      <c r="N3446">
        <v>0</v>
      </c>
      <c r="O3446">
        <v>-0.63466489999999998</v>
      </c>
      <c r="P3446">
        <v>-0.86583889999999997</v>
      </c>
      <c r="Q3446">
        <v>-5.7507640000000002E-3</v>
      </c>
      <c r="R3446">
        <v>-0.50028969999999995</v>
      </c>
      <c r="S3446">
        <v>-3.09198</v>
      </c>
      <c r="T3446">
        <v>-0.2253426</v>
      </c>
      <c r="U3446">
        <v>-0.63812259999999998</v>
      </c>
      <c r="V3446">
        <v>0.1629767</v>
      </c>
      <c r="W3446">
        <v>7.2338589999999996E-3</v>
      </c>
      <c r="X3446">
        <v>0.98660340000000002</v>
      </c>
      <c r="Y3446">
        <v>0.46293240000000002</v>
      </c>
      <c r="Z3446">
        <v>5.8753640000000003E-2</v>
      </c>
      <c r="AA3446">
        <v>0.88444419999999901</v>
      </c>
      <c r="AB3446">
        <v>16</v>
      </c>
      <c r="AC3446">
        <v>-15.028099999999901</v>
      </c>
      <c r="AD3446">
        <v>-1.104240337779</v>
      </c>
      <c r="AE3446">
        <v>-3.0266000000000002</v>
      </c>
      <c r="AF3446">
        <v>7.1627052123158901</v>
      </c>
      <c r="AG3446">
        <v>-1.104240337779</v>
      </c>
      <c r="AH3446">
        <v>13.464022707925199</v>
      </c>
      <c r="AI3446">
        <v>94.141320671894405</v>
      </c>
      <c r="AJ3446">
        <v>61.987536239147602</v>
      </c>
      <c r="AK3446">
        <v>15.2906376636699</v>
      </c>
    </row>
    <row r="3447" spans="1:37" x14ac:dyDescent="0.2">
      <c r="A3447" t="str">
        <f>"20200111160226892"</f>
        <v>20200111160226892</v>
      </c>
      <c r="B3447" t="str">
        <f>"1578729746885436"</f>
        <v>1578729746885436</v>
      </c>
      <c r="C3447" t="s">
        <v>37</v>
      </c>
      <c r="D3447">
        <v>5.0779589999999999</v>
      </c>
      <c r="E3447">
        <v>0.6215022</v>
      </c>
      <c r="F3447" t="s">
        <v>38</v>
      </c>
      <c r="G3447">
        <v>-217.01759999999999</v>
      </c>
      <c r="H3447" s="1">
        <v>-1.6601790000000001E-6</v>
      </c>
      <c r="I3447">
        <v>140.63059999999999</v>
      </c>
      <c r="J3447">
        <v>-202.81</v>
      </c>
      <c r="K3447">
        <v>1.104155</v>
      </c>
      <c r="L3447">
        <v>143.56700000000001</v>
      </c>
      <c r="M3447">
        <v>-0.77346809999999999</v>
      </c>
      <c r="N3447">
        <v>0</v>
      </c>
      <c r="O3447">
        <v>-0.63369659999999906</v>
      </c>
      <c r="P3447">
        <v>-0.86522730000000003</v>
      </c>
      <c r="Q3447">
        <v>-5.4677040000000003E-3</v>
      </c>
      <c r="R3447">
        <v>-0.50135039999999997</v>
      </c>
      <c r="S3447">
        <v>-3.0851439999999899</v>
      </c>
      <c r="T3447">
        <v>-0.23760709999999999</v>
      </c>
      <c r="U3447">
        <v>-0.65441890000000003</v>
      </c>
      <c r="V3447">
        <v>0.16053399999999901</v>
      </c>
      <c r="W3447">
        <v>7.4903909999999999E-3</v>
      </c>
      <c r="X3447">
        <v>0.98700189999999999</v>
      </c>
      <c r="Y3447">
        <v>0.45668189999999997</v>
      </c>
      <c r="Z3447">
        <v>6.1731420000000002E-2</v>
      </c>
      <c r="AA3447">
        <v>0.88748570000000004</v>
      </c>
      <c r="AB3447">
        <v>16</v>
      </c>
      <c r="AC3447">
        <v>-14.2075999999999</v>
      </c>
      <c r="AD3447">
        <v>-1.104156660179</v>
      </c>
      <c r="AE3447">
        <v>-2.9364000000000199</v>
      </c>
      <c r="AF3447">
        <v>6.6939142156790297</v>
      </c>
      <c r="AG3447">
        <v>-1.104156660179</v>
      </c>
      <c r="AH3447">
        <v>12.777032295870301</v>
      </c>
      <c r="AI3447">
        <v>94.377355529127996</v>
      </c>
      <c r="AJ3447">
        <v>62.349862005091502</v>
      </c>
      <c r="AK3447">
        <v>14.4665200980332</v>
      </c>
    </row>
    <row r="3448" spans="1:37" x14ac:dyDescent="0.2">
      <c r="A3448" t="str">
        <f>"20200111160226914"</f>
        <v>20200111160226914</v>
      </c>
      <c r="B3448" t="str">
        <f>"1578729746905931"</f>
        <v>1578729746905931</v>
      </c>
      <c r="C3448" t="s">
        <v>37</v>
      </c>
      <c r="D3448">
        <v>5.0751609999999996</v>
      </c>
      <c r="E3448">
        <v>0.62021590000000004</v>
      </c>
      <c r="F3448" t="s">
        <v>38</v>
      </c>
      <c r="G3448">
        <v>-216.23670000000001</v>
      </c>
      <c r="H3448" s="1">
        <v>-2.02349299999999E-6</v>
      </c>
      <c r="I3448">
        <v>140.60890000000001</v>
      </c>
      <c r="J3448">
        <v>-202.93790000000001</v>
      </c>
      <c r="K3448">
        <v>1.104055</v>
      </c>
      <c r="L3448">
        <v>143.4641</v>
      </c>
      <c r="M3448">
        <v>-0.77428529999999995</v>
      </c>
      <c r="N3448">
        <v>0</v>
      </c>
      <c r="O3448">
        <v>-0.63269750000000002</v>
      </c>
      <c r="P3448">
        <v>-0.86530239999999903</v>
      </c>
      <c r="Q3448">
        <v>-6.6735630000000004E-3</v>
      </c>
      <c r="R3448">
        <v>-0.50120609999999999</v>
      </c>
      <c r="S3448">
        <v>-3.0733950000000001</v>
      </c>
      <c r="T3448">
        <v>-0.25274289999999999</v>
      </c>
      <c r="U3448">
        <v>-0.67710879999999996</v>
      </c>
      <c r="V3448">
        <v>0.15941910000000001</v>
      </c>
      <c r="W3448">
        <v>6.254936E-3</v>
      </c>
      <c r="X3448">
        <v>0.98719120000000005</v>
      </c>
      <c r="Y3448">
        <v>0.44821939999999999</v>
      </c>
      <c r="Z3448">
        <v>6.5412479999999995E-2</v>
      </c>
      <c r="AA3448">
        <v>0.89152710000000002</v>
      </c>
      <c r="AB3448">
        <v>16</v>
      </c>
      <c r="AC3448">
        <v>-13.2988</v>
      </c>
      <c r="AD3448">
        <v>-1.1040570234930001</v>
      </c>
      <c r="AE3448">
        <v>-2.8551999999999902</v>
      </c>
      <c r="AF3448">
        <v>6.1633174719239898</v>
      </c>
      <c r="AG3448">
        <v>-1.1040570234930001</v>
      </c>
      <c r="AH3448">
        <v>12.025380056842399</v>
      </c>
      <c r="AI3448">
        <v>94.670943381425005</v>
      </c>
      <c r="AJ3448">
        <v>62.863689892946702</v>
      </c>
      <c r="AK3448">
        <v>13.5578460561533</v>
      </c>
    </row>
    <row r="3449" spans="1:37" x14ac:dyDescent="0.2">
      <c r="A3449" t="str">
        <f>"20200111160226936"</f>
        <v>20200111160226936</v>
      </c>
      <c r="B3449" t="str">
        <f>"1578729746925450"</f>
        <v>1578729746925450</v>
      </c>
      <c r="C3449" t="s">
        <v>37</v>
      </c>
      <c r="D3449">
        <v>5.0597849999999998</v>
      </c>
      <c r="E3449">
        <v>0.61950620000000001</v>
      </c>
      <c r="F3449" t="s">
        <v>38</v>
      </c>
      <c r="G3449">
        <v>-215.6593</v>
      </c>
      <c r="H3449" s="1">
        <v>-2.2993979999999999E-6</v>
      </c>
      <c r="I3449">
        <v>140.6199</v>
      </c>
      <c r="J3449">
        <v>-203.0641</v>
      </c>
      <c r="K3449">
        <v>1.1039680000000001</v>
      </c>
      <c r="L3449">
        <v>143.363</v>
      </c>
      <c r="M3449">
        <v>-0.77512959999999997</v>
      </c>
      <c r="N3449">
        <v>0</v>
      </c>
      <c r="O3449">
        <v>-0.63166319999999998</v>
      </c>
      <c r="P3449">
        <v>-0.86590869999999998</v>
      </c>
      <c r="Q3449">
        <v>-8.92091699999999E-3</v>
      </c>
      <c r="R3449">
        <v>-0.50012309999999904</v>
      </c>
      <c r="S3449">
        <v>-3.0676730000000001</v>
      </c>
      <c r="T3449">
        <v>-0.26623590000000003</v>
      </c>
      <c r="U3449">
        <v>-0.68585209999999996</v>
      </c>
      <c r="V3449">
        <v>0.1593215</v>
      </c>
      <c r="W3449">
        <v>3.9775909999999999E-3</v>
      </c>
      <c r="X3449">
        <v>0.9872187</v>
      </c>
      <c r="Y3449">
        <v>0.44391989999999998</v>
      </c>
      <c r="Z3449">
        <v>6.8734199999999995E-2</v>
      </c>
      <c r="AA3449">
        <v>0.89342639999999995</v>
      </c>
      <c r="AB3449">
        <v>16</v>
      </c>
      <c r="AC3449">
        <v>-12.5952</v>
      </c>
      <c r="AD3449">
        <v>-1.1039702993979901</v>
      </c>
      <c r="AE3449">
        <v>-2.7430999999999899</v>
      </c>
      <c r="AF3449">
        <v>5.7877276575812804</v>
      </c>
      <c r="AG3449">
        <v>-1.1039702993979901</v>
      </c>
      <c r="AH3449">
        <v>11.4129280105203</v>
      </c>
      <c r="AI3449">
        <v>94.930736483010094</v>
      </c>
      <c r="AJ3449">
        <v>63.1095079913351</v>
      </c>
      <c r="AK3449">
        <v>12.8441219097922</v>
      </c>
    </row>
    <row r="3450" spans="1:37" x14ac:dyDescent="0.2">
      <c r="A3450" t="str">
        <f>"20200111160226958"</f>
        <v>20200111160226958</v>
      </c>
      <c r="B3450" t="str">
        <f>"1578729746955706"</f>
        <v>1578729746955706</v>
      </c>
      <c r="C3450" t="s">
        <v>37</v>
      </c>
      <c r="D3450">
        <v>5.0876710000000003</v>
      </c>
      <c r="E3450">
        <v>0.61890719999999899</v>
      </c>
      <c r="F3450" t="s">
        <v>38</v>
      </c>
      <c r="G3450">
        <v>-215.21539999999999</v>
      </c>
      <c r="H3450" s="1">
        <v>-2.5147849999999998E-6</v>
      </c>
      <c r="I3450">
        <v>140.64089999999999</v>
      </c>
      <c r="J3450">
        <v>-203.19229999999999</v>
      </c>
      <c r="K3450">
        <v>1.1038920000000001</v>
      </c>
      <c r="L3450">
        <v>143.26070000000001</v>
      </c>
      <c r="M3450">
        <v>-0.77602990000000005</v>
      </c>
      <c r="N3450">
        <v>0</v>
      </c>
      <c r="O3450">
        <v>-0.63055680000000003</v>
      </c>
      <c r="P3450">
        <v>-0.86712080000000002</v>
      </c>
      <c r="Q3450">
        <v>-1.1872819999999999E-2</v>
      </c>
      <c r="R3450">
        <v>-0.49795689999999998</v>
      </c>
      <c r="S3450">
        <v>-3.0651090000000001</v>
      </c>
      <c r="T3450">
        <v>-0.278472</v>
      </c>
      <c r="U3450">
        <v>-0.68664550000000002</v>
      </c>
      <c r="V3450">
        <v>0.1603551</v>
      </c>
      <c r="W3450">
        <v>9.959382000000001E-4</v>
      </c>
      <c r="X3450">
        <v>0.98705889999999996</v>
      </c>
      <c r="Y3450">
        <v>0.44194499999999998</v>
      </c>
      <c r="Z3450">
        <v>7.1773299999999998E-2</v>
      </c>
      <c r="AA3450">
        <v>0.89416620000000002</v>
      </c>
      <c r="AB3450">
        <v>16</v>
      </c>
      <c r="AC3450">
        <v>-12.023099999999999</v>
      </c>
      <c r="AD3450">
        <v>-1.1038945147849999</v>
      </c>
      <c r="AE3450">
        <v>-2.6198000000000201</v>
      </c>
      <c r="AF3450">
        <v>5.5043936258063804</v>
      </c>
      <c r="AG3450">
        <v>-1.1038945147849999</v>
      </c>
      <c r="AH3450">
        <v>10.895498080759801</v>
      </c>
      <c r="AI3450">
        <v>95.167285745556001</v>
      </c>
      <c r="AJ3450">
        <v>63.197144778615701</v>
      </c>
      <c r="AK3450">
        <v>12.256786312709799</v>
      </c>
    </row>
    <row r="3451" spans="1:37" x14ac:dyDescent="0.2">
      <c r="A3451" t="str">
        <f>"20200111160226981"</f>
        <v>20200111160226981</v>
      </c>
      <c r="B3451" t="str">
        <f>"1578729746975226"</f>
        <v>1578729746975226</v>
      </c>
      <c r="C3451" t="s">
        <v>37</v>
      </c>
      <c r="D3451">
        <v>5.1190559999999996</v>
      </c>
      <c r="E3451">
        <v>0.61852589999999996</v>
      </c>
      <c r="F3451" t="s">
        <v>38</v>
      </c>
      <c r="G3451">
        <v>-214.65309999999999</v>
      </c>
      <c r="H3451" s="1">
        <v>-2.798063E-6</v>
      </c>
      <c r="I3451">
        <v>140.70650000000001</v>
      </c>
      <c r="J3451">
        <v>-203.3192</v>
      </c>
      <c r="K3451">
        <v>1.1038349999999999</v>
      </c>
      <c r="L3451">
        <v>143.15979999999999</v>
      </c>
      <c r="M3451">
        <v>-0.77696730000000003</v>
      </c>
      <c r="N3451">
        <v>0</v>
      </c>
      <c r="O3451">
        <v>-0.62940169999999995</v>
      </c>
      <c r="P3451">
        <v>-0.8686528</v>
      </c>
      <c r="Q3451">
        <v>-1.392726E-2</v>
      </c>
      <c r="R3451">
        <v>-0.49522650000000001</v>
      </c>
      <c r="S3451">
        <v>-3.0636139999999998</v>
      </c>
      <c r="T3451">
        <v>-0.29508570000000001</v>
      </c>
      <c r="U3451">
        <v>-0.68276979999999998</v>
      </c>
      <c r="V3451">
        <v>0.16196949999999999</v>
      </c>
      <c r="W3451">
        <v>-1.0882999999999999E-3</v>
      </c>
      <c r="X3451">
        <v>0.98679519999999998</v>
      </c>
      <c r="Y3451">
        <v>0.44113669999999999</v>
      </c>
      <c r="Z3451">
        <v>7.5967480000000004E-2</v>
      </c>
      <c r="AA3451">
        <v>0.89421890000000004</v>
      </c>
      <c r="AB3451">
        <v>16</v>
      </c>
      <c r="AC3451">
        <v>-11.3339</v>
      </c>
      <c r="AD3451">
        <v>-1.1038377980630001</v>
      </c>
      <c r="AE3451">
        <v>-2.4532999999999801</v>
      </c>
      <c r="AF3451">
        <v>5.1809567978331899</v>
      </c>
      <c r="AG3451">
        <v>-1.1038377980630001</v>
      </c>
      <c r="AH3451">
        <v>10.2581414446223</v>
      </c>
      <c r="AI3451">
        <v>95.486465192334904</v>
      </c>
      <c r="AJ3451">
        <v>63.203574790591098</v>
      </c>
      <c r="AK3451">
        <v>11.545139112341699</v>
      </c>
    </row>
    <row r="3452" spans="1:37" x14ac:dyDescent="0.2">
      <c r="A3452" t="str">
        <f>"20200111160227004"</f>
        <v>20200111160227004</v>
      </c>
      <c r="B3452" t="str">
        <f>"1578729746995723"</f>
        <v>1578729746995723</v>
      </c>
      <c r="C3452" t="s">
        <v>37</v>
      </c>
      <c r="D3452">
        <v>5.3332389999999998</v>
      </c>
      <c r="E3452">
        <v>0.6175254</v>
      </c>
      <c r="F3452" t="s">
        <v>38</v>
      </c>
      <c r="G3452">
        <v>-214.40889999999999</v>
      </c>
      <c r="H3452" s="1">
        <v>-2.9154070000000001E-6</v>
      </c>
      <c r="I3452">
        <v>140.71369999999999</v>
      </c>
      <c r="J3452">
        <v>-203.44820000000001</v>
      </c>
      <c r="K3452">
        <v>1.103774</v>
      </c>
      <c r="L3452">
        <v>143.05760000000001</v>
      </c>
      <c r="M3452">
        <v>-0.77797299999999903</v>
      </c>
      <c r="N3452">
        <v>0</v>
      </c>
      <c r="O3452">
        <v>-0.62815779999999999</v>
      </c>
      <c r="P3452">
        <v>-0.87015619999999905</v>
      </c>
      <c r="Q3452">
        <v>-1.516643E-2</v>
      </c>
      <c r="R3452">
        <v>-0.492542699999999</v>
      </c>
      <c r="S3452">
        <v>-3.063507</v>
      </c>
      <c r="T3452">
        <v>-0.3049309</v>
      </c>
      <c r="U3452">
        <v>-0.67572019999999899</v>
      </c>
      <c r="V3452">
        <v>0.16342110000000001</v>
      </c>
      <c r="W3452">
        <v>-2.3592539999999999E-3</v>
      </c>
      <c r="X3452">
        <v>0.98655360000000003</v>
      </c>
      <c r="Y3452">
        <v>0.44137139999999903</v>
      </c>
      <c r="Z3452">
        <v>7.8442010000000006E-2</v>
      </c>
      <c r="AA3452">
        <v>0.8938893</v>
      </c>
      <c r="AB3452">
        <v>16</v>
      </c>
      <c r="AC3452">
        <v>-10.9606999999999</v>
      </c>
      <c r="AD3452">
        <v>-1.1037769154070001</v>
      </c>
      <c r="AE3452">
        <v>-2.3439000000000099</v>
      </c>
      <c r="AF3452">
        <v>5.0133851786910997</v>
      </c>
      <c r="AG3452">
        <v>-1.1037769154070001</v>
      </c>
      <c r="AH3452">
        <v>9.9042983394675499</v>
      </c>
      <c r="AI3452">
        <v>95.6783486819253</v>
      </c>
      <c r="AJ3452">
        <v>63.152252911161</v>
      </c>
      <c r="AK3452">
        <v>11.155603077650399</v>
      </c>
    </row>
    <row r="3453" spans="1:37" x14ac:dyDescent="0.2">
      <c r="A3453" t="str">
        <f>"20200111160227025"</f>
        <v>20200111160227025</v>
      </c>
      <c r="B3453" t="str">
        <f>"1578729747015242"</f>
        <v>1578729747015242</v>
      </c>
      <c r="C3453" t="s">
        <v>37</v>
      </c>
      <c r="D3453">
        <v>5.086614</v>
      </c>
      <c r="E3453">
        <v>0.61727200000000004</v>
      </c>
      <c r="F3453" t="s">
        <v>38</v>
      </c>
      <c r="G3453">
        <v>-214.44069999999999</v>
      </c>
      <c r="H3453" s="1">
        <v>-2.8814469999999999E-6</v>
      </c>
      <c r="I3453">
        <v>140.64250000000001</v>
      </c>
      <c r="J3453">
        <v>-203.56599999999901</v>
      </c>
      <c r="K3453">
        <v>1.1037030000000001</v>
      </c>
      <c r="L3453">
        <v>142.9648</v>
      </c>
      <c r="M3453">
        <v>-0.77894540000000001</v>
      </c>
      <c r="N3453">
        <v>0</v>
      </c>
      <c r="O3453">
        <v>-0.62695179999999995</v>
      </c>
      <c r="P3453">
        <v>-0.8707703</v>
      </c>
      <c r="Q3453">
        <v>-1.5921370000000001E-2</v>
      </c>
      <c r="R3453">
        <v>-0.49143249999999999</v>
      </c>
      <c r="S3453">
        <v>-3.061569</v>
      </c>
      <c r="T3453">
        <v>-0.30741950000000001</v>
      </c>
      <c r="U3453">
        <v>-0.67263790000000001</v>
      </c>
      <c r="V3453">
        <v>0.16314049999999999</v>
      </c>
      <c r="W3453">
        <v>-3.1412969999999999E-3</v>
      </c>
      <c r="X3453">
        <v>0.98659779999999997</v>
      </c>
      <c r="Y3453">
        <v>0.44064920000000002</v>
      </c>
      <c r="Z3453">
        <v>7.9014840000000003E-2</v>
      </c>
      <c r="AA3453">
        <v>0.89419509999999902</v>
      </c>
      <c r="AB3453">
        <v>16</v>
      </c>
      <c r="AC3453">
        <v>-10.874700000000001</v>
      </c>
      <c r="AD3453">
        <v>-1.103705881447</v>
      </c>
      <c r="AE3453">
        <v>-2.3222999999999798</v>
      </c>
      <c r="AF3453">
        <v>4.9605384077293202</v>
      </c>
      <c r="AG3453">
        <v>-1.103705881447</v>
      </c>
      <c r="AH3453">
        <v>9.8307903094659306</v>
      </c>
      <c r="AI3453">
        <v>95.723801194139696</v>
      </c>
      <c r="AJ3453">
        <v>63.2248526671316</v>
      </c>
      <c r="AK3453">
        <v>11.0665959570225</v>
      </c>
    </row>
    <row r="3454" spans="1:37" x14ac:dyDescent="0.2">
      <c r="A3454" t="str">
        <f>"20200111160227058"</f>
        <v>20200111160227058</v>
      </c>
      <c r="B3454" t="str">
        <f>"1578729747055258"</f>
        <v>1578729747055258</v>
      </c>
      <c r="C3454" t="s">
        <v>37</v>
      </c>
      <c r="D3454">
        <v>5.1690009999999997</v>
      </c>
      <c r="E3454">
        <v>0.61658059999999903</v>
      </c>
      <c r="F3454" t="s">
        <v>38</v>
      </c>
      <c r="G3454">
        <v>-214.49039999999999</v>
      </c>
      <c r="H3454" s="1">
        <v>-2.8398039999999898E-6</v>
      </c>
      <c r="I3454">
        <v>140.57429999999999</v>
      </c>
      <c r="J3454">
        <v>-203.755</v>
      </c>
      <c r="K3454">
        <v>1.1035649999999999</v>
      </c>
      <c r="L3454">
        <v>142.8168</v>
      </c>
      <c r="M3454">
        <v>-0.78064929999999999</v>
      </c>
      <c r="N3454">
        <v>0</v>
      </c>
      <c r="O3454">
        <v>-0.62482879999999996</v>
      </c>
      <c r="P3454">
        <v>-0.87068829999999997</v>
      </c>
      <c r="Q3454">
        <v>-1.499209E-2</v>
      </c>
      <c r="R3454">
        <v>-0.49160680000000001</v>
      </c>
      <c r="S3454">
        <v>-3.061493</v>
      </c>
      <c r="T3454">
        <v>-0.30930759999999902</v>
      </c>
      <c r="U3454">
        <v>-0.66992189999999996</v>
      </c>
      <c r="V3454">
        <v>0.16026799999999999</v>
      </c>
      <c r="W3454">
        <v>-2.2551170000000001E-3</v>
      </c>
      <c r="X3454">
        <v>0.98707099999999903</v>
      </c>
      <c r="Y3454">
        <v>0.43891809999999998</v>
      </c>
      <c r="Z3454">
        <v>7.9266180000000006E-2</v>
      </c>
      <c r="AA3454">
        <v>0.89502389999999998</v>
      </c>
      <c r="AB3454">
        <v>16</v>
      </c>
      <c r="AC3454">
        <v>-10.735399999999901</v>
      </c>
      <c r="AD3454">
        <v>-1.1035678398039901</v>
      </c>
      <c r="AE3454">
        <v>-2.2425000000000002</v>
      </c>
      <c r="AF3454">
        <v>4.9079216529185699</v>
      </c>
      <c r="AG3454">
        <v>-1.1035678398039901</v>
      </c>
      <c r="AH3454">
        <v>9.6845599496255197</v>
      </c>
      <c r="AI3454">
        <v>95.803841894629102</v>
      </c>
      <c r="AJ3454">
        <v>63.1251125154958</v>
      </c>
      <c r="AK3454">
        <v>10.9131232168489</v>
      </c>
    </row>
    <row r="3455" spans="1:37" x14ac:dyDescent="0.2">
      <c r="A3455" t="str">
        <f>"20200111160227080"</f>
        <v>20200111160227080</v>
      </c>
      <c r="B3455" t="str">
        <f>"1578729747075754"</f>
        <v>1578729747075754</v>
      </c>
      <c r="C3455" t="s">
        <v>37</v>
      </c>
      <c r="D3455">
        <v>5.1499189999999997</v>
      </c>
      <c r="E3455">
        <v>0.61634480000000003</v>
      </c>
      <c r="F3455" t="s">
        <v>38</v>
      </c>
      <c r="G3455">
        <v>-214.71270000000001</v>
      </c>
      <c r="H3455" s="1">
        <v>-2.6884529999999999E-6</v>
      </c>
      <c r="I3455">
        <v>140.40039999999999</v>
      </c>
      <c r="J3455">
        <v>-203.88659999999999</v>
      </c>
      <c r="K3455">
        <v>1.1034649999999999</v>
      </c>
      <c r="L3455">
        <v>142.71459999999999</v>
      </c>
      <c r="M3455">
        <v>-0.78195079999999995</v>
      </c>
      <c r="N3455">
        <v>0</v>
      </c>
      <c r="O3455">
        <v>-0.62319899999999995</v>
      </c>
      <c r="P3455">
        <v>-0.87033869999999902</v>
      </c>
      <c r="Q3455">
        <v>-1.2716649999999999E-2</v>
      </c>
      <c r="R3455">
        <v>-0.49228959999999999</v>
      </c>
      <c r="S3455">
        <v>-3.0593110000000001</v>
      </c>
      <c r="T3455">
        <v>-0.30810789999999999</v>
      </c>
      <c r="U3455">
        <v>-0.67465209999999998</v>
      </c>
      <c r="V3455">
        <v>0.1574622</v>
      </c>
      <c r="W3455" s="1">
        <v>-6.8340449999999999E-6</v>
      </c>
      <c r="X3455">
        <v>0.98752499999999999</v>
      </c>
      <c r="Y3455">
        <v>0.435643</v>
      </c>
      <c r="Z3455">
        <v>7.8710779999999994E-2</v>
      </c>
      <c r="AA3455">
        <v>0.89667149999999995</v>
      </c>
      <c r="AB3455">
        <v>16</v>
      </c>
      <c r="AC3455">
        <v>-10.8261</v>
      </c>
      <c r="AD3455">
        <v>-1.1034676884529999</v>
      </c>
      <c r="AE3455">
        <v>-2.3142</v>
      </c>
      <c r="AF3455">
        <v>4.8890852000549598</v>
      </c>
      <c r="AG3455">
        <v>-1.1034676884529999</v>
      </c>
      <c r="AH3455">
        <v>9.8110827151918496</v>
      </c>
      <c r="AI3455">
        <v>95.748318552898496</v>
      </c>
      <c r="AJ3455">
        <v>63.511882294956102</v>
      </c>
      <c r="AK3455">
        <v>11.017174732080401</v>
      </c>
    </row>
    <row r="3456" spans="1:37" x14ac:dyDescent="0.2">
      <c r="A3456" t="str">
        <f>"20200111160227104"</f>
        <v>20200111160227104</v>
      </c>
      <c r="B3456" t="str">
        <f>"1578729747095274"</f>
        <v>1578729747095274</v>
      </c>
      <c r="C3456" t="s">
        <v>37</v>
      </c>
      <c r="D3456">
        <v>5.1378079999999997</v>
      </c>
      <c r="E3456">
        <v>0.61614939999999996</v>
      </c>
      <c r="F3456" t="s">
        <v>38</v>
      </c>
      <c r="G3456">
        <v>-215.11850000000001</v>
      </c>
      <c r="H3456" s="1">
        <v>-2.449721E-6</v>
      </c>
      <c r="I3456">
        <v>140.22409999999999</v>
      </c>
      <c r="J3456">
        <v>-204.0181</v>
      </c>
      <c r="K3456">
        <v>1.1033660000000001</v>
      </c>
      <c r="L3456">
        <v>142.61320000000001</v>
      </c>
      <c r="M3456">
        <v>-0.78334950000000003</v>
      </c>
      <c r="N3456">
        <v>0</v>
      </c>
      <c r="O3456">
        <v>-0.62143990000000005</v>
      </c>
      <c r="P3456">
        <v>-0.87079989999999996</v>
      </c>
      <c r="Q3456">
        <v>-1.035762E-2</v>
      </c>
      <c r="R3456">
        <v>-0.49152879999999899</v>
      </c>
      <c r="S3456">
        <v>-3.0588989999999998</v>
      </c>
      <c r="T3456">
        <v>-0.30051919999999999</v>
      </c>
      <c r="U3456">
        <v>-0.678253199999999</v>
      </c>
      <c r="V3456">
        <v>0.15613170000000001</v>
      </c>
      <c r="W3456">
        <v>2.3229739999999998E-3</v>
      </c>
      <c r="X3456">
        <v>0.98773349999999904</v>
      </c>
      <c r="Y3456">
        <v>0.43282979999999999</v>
      </c>
      <c r="Z3456">
        <v>7.6512499999999997E-2</v>
      </c>
      <c r="AA3456">
        <v>0.89822289999999905</v>
      </c>
      <c r="AB3456">
        <v>16</v>
      </c>
      <c r="AC3456">
        <v>-11.1004</v>
      </c>
      <c r="AD3456">
        <v>-1.1033684497209999</v>
      </c>
      <c r="AE3456">
        <v>-2.3891000000000102</v>
      </c>
      <c r="AF3456">
        <v>4.9801473467464197</v>
      </c>
      <c r="AG3456">
        <v>-1.1033684497209999</v>
      </c>
      <c r="AH3456">
        <v>10.0858329245847</v>
      </c>
      <c r="AI3456">
        <v>95.602299799441099</v>
      </c>
      <c r="AJ3456">
        <v>63.720922284326299</v>
      </c>
      <c r="AK3456">
        <v>11.3023588384806</v>
      </c>
    </row>
    <row r="3457" spans="1:37" x14ac:dyDescent="0.2">
      <c r="A3457" t="str">
        <f>"20200111160227127"</f>
        <v>20200111160227127</v>
      </c>
      <c r="B3457" t="str">
        <f>"1578729747115769"</f>
        <v>1578729747115769</v>
      </c>
      <c r="C3457" t="s">
        <v>37</v>
      </c>
      <c r="D3457">
        <v>5.1344890000000003</v>
      </c>
      <c r="E3457">
        <v>0.61600769999999905</v>
      </c>
      <c r="F3457" t="s">
        <v>38</v>
      </c>
      <c r="G3457">
        <v>-215.43199999999999</v>
      </c>
      <c r="H3457" s="1">
        <v>-2.2646849999999999E-6</v>
      </c>
      <c r="I3457">
        <v>140.08580000000001</v>
      </c>
      <c r="J3457">
        <v>-204.1542</v>
      </c>
      <c r="K3457">
        <v>1.103272</v>
      </c>
      <c r="L3457">
        <v>142.50899999999999</v>
      </c>
      <c r="M3457">
        <v>-0.78491659999999996</v>
      </c>
      <c r="N3457">
        <v>0</v>
      </c>
      <c r="O3457">
        <v>-0.61945950000000005</v>
      </c>
      <c r="P3457">
        <v>-0.87115159999999903</v>
      </c>
      <c r="Q3457">
        <v>-8.662108E-3</v>
      </c>
      <c r="R3457">
        <v>-0.4909384</v>
      </c>
      <c r="S3457">
        <v>-3.0592189999999899</v>
      </c>
      <c r="T3457">
        <v>-0.29573109999999903</v>
      </c>
      <c r="U3457">
        <v>-0.67741390000000001</v>
      </c>
      <c r="V3457">
        <v>0.15432370000000001</v>
      </c>
      <c r="W3457">
        <v>3.9933260000000002E-3</v>
      </c>
      <c r="X3457">
        <v>0.98801229999999995</v>
      </c>
      <c r="Y3457">
        <v>0.4309616</v>
      </c>
      <c r="Z3457">
        <v>7.5063340000000006E-2</v>
      </c>
      <c r="AA3457">
        <v>0.89924280000000001</v>
      </c>
      <c r="AB3457">
        <v>16</v>
      </c>
      <c r="AC3457">
        <v>-11.277799999999999</v>
      </c>
      <c r="AD3457">
        <v>-1.103274264685</v>
      </c>
      <c r="AE3457">
        <v>-2.42319999999998</v>
      </c>
      <c r="AF3457">
        <v>5.0384864174769399</v>
      </c>
      <c r="AG3457">
        <v>-1.103274264685</v>
      </c>
      <c r="AH3457">
        <v>10.260258242613499</v>
      </c>
      <c r="AI3457">
        <v>95.513061550812907</v>
      </c>
      <c r="AJ3457">
        <v>63.845813845337602</v>
      </c>
      <c r="AK3457">
        <v>11.483747588977</v>
      </c>
    </row>
    <row r="3458" spans="1:37" x14ac:dyDescent="0.2">
      <c r="A3458" t="str">
        <f>"20200111160227147"</f>
        <v>20200111160227147</v>
      </c>
      <c r="B3458" t="str">
        <f>"1578729747145050"</f>
        <v>1578729747145050</v>
      </c>
      <c r="C3458" t="s">
        <v>37</v>
      </c>
      <c r="D3458">
        <v>5.1495009999999999</v>
      </c>
      <c r="E3458">
        <v>0.61572119999999997</v>
      </c>
      <c r="F3458" t="s">
        <v>38</v>
      </c>
      <c r="G3458">
        <v>-215.57159999999999</v>
      </c>
      <c r="H3458" s="1">
        <v>-2.1706999999999998E-6</v>
      </c>
      <c r="I3458">
        <v>139.9804</v>
      </c>
      <c r="J3458">
        <v>-204.273</v>
      </c>
      <c r="K3458">
        <v>1.1031930000000001</v>
      </c>
      <c r="L3458">
        <v>142.4188</v>
      </c>
      <c r="M3458">
        <v>-0.78639539999999997</v>
      </c>
      <c r="N3458">
        <v>0</v>
      </c>
      <c r="O3458">
        <v>-0.61758080000000004</v>
      </c>
      <c r="P3458">
        <v>-0.87192309999999995</v>
      </c>
      <c r="Q3458">
        <v>-8.0117209999999994E-3</v>
      </c>
      <c r="R3458">
        <v>-0.48957709999999999</v>
      </c>
      <c r="S3458">
        <v>-3.0589900000000001</v>
      </c>
      <c r="T3458">
        <v>-0.29559469999999999</v>
      </c>
      <c r="U3458">
        <v>-0.6774597</v>
      </c>
      <c r="V3458">
        <v>0.15351090000000001</v>
      </c>
      <c r="W3458">
        <v>4.6194080000000002E-3</v>
      </c>
      <c r="X3458">
        <v>0.98813619999999902</v>
      </c>
      <c r="Y3458">
        <v>0.42879709999999899</v>
      </c>
      <c r="Z3458">
        <v>7.4795520000000004E-2</v>
      </c>
      <c r="AA3458">
        <v>0.90029930000000002</v>
      </c>
      <c r="AB3458">
        <v>16</v>
      </c>
      <c r="AC3458">
        <v>-11.298599999999899</v>
      </c>
      <c r="AD3458">
        <v>-1.1031951706999901</v>
      </c>
      <c r="AE3458">
        <v>-2.4384000000000001</v>
      </c>
      <c r="AF3458">
        <v>5.0150145835120803</v>
      </c>
      <c r="AG3458">
        <v>-1.1031951706999901</v>
      </c>
      <c r="AH3458">
        <v>10.2981826448669</v>
      </c>
      <c r="AI3458">
        <v>95.501305123780895</v>
      </c>
      <c r="AJ3458">
        <v>64.034818929019096</v>
      </c>
      <c r="AK3458">
        <v>11.507387915792799</v>
      </c>
    </row>
    <row r="3459" spans="1:37" x14ac:dyDescent="0.2">
      <c r="A3459" t="str">
        <f>"20200111160227170"</f>
        <v>20200111160227170</v>
      </c>
      <c r="B3459" t="str">
        <f>"1578729747165546"</f>
        <v>1578729747165546</v>
      </c>
      <c r="C3459" t="s">
        <v>37</v>
      </c>
      <c r="D3459">
        <v>5.1750249999999998</v>
      </c>
      <c r="E3459">
        <v>0.61559359999999996</v>
      </c>
      <c r="F3459" t="s">
        <v>38</v>
      </c>
      <c r="G3459">
        <v>-215.49610000000001</v>
      </c>
      <c r="H3459" s="1">
        <v>-2.1951169999999998E-6</v>
      </c>
      <c r="I3459">
        <v>139.93809999999999</v>
      </c>
      <c r="J3459">
        <v>-204.4023</v>
      </c>
      <c r="K3459">
        <v>1.1031070000000001</v>
      </c>
      <c r="L3459">
        <v>142.32130000000001</v>
      </c>
      <c r="M3459">
        <v>-0.78811919999999902</v>
      </c>
      <c r="N3459">
        <v>0</v>
      </c>
      <c r="O3459">
        <v>-0.61537940000000002</v>
      </c>
      <c r="P3459">
        <v>-0.87309249999999905</v>
      </c>
      <c r="Q3459">
        <v>-8.2737729999999999E-3</v>
      </c>
      <c r="R3459">
        <v>-0.4874848</v>
      </c>
      <c r="S3459">
        <v>-3.0583499999999999</v>
      </c>
      <c r="T3459">
        <v>-0.30062559999999999</v>
      </c>
      <c r="U3459">
        <v>-0.67599489999999995</v>
      </c>
      <c r="V3459">
        <v>0.15311629999999901</v>
      </c>
      <c r="W3459">
        <v>4.3299690000000004E-3</v>
      </c>
      <c r="X3459">
        <v>0.98819869999999899</v>
      </c>
      <c r="Y3459">
        <v>0.42651660000000002</v>
      </c>
      <c r="Z3459">
        <v>7.5811210000000004E-2</v>
      </c>
      <c r="AA3459">
        <v>0.90129699999999902</v>
      </c>
      <c r="AB3459">
        <v>16</v>
      </c>
      <c r="AC3459">
        <v>-11.0938</v>
      </c>
      <c r="AD3459">
        <v>-1.103109195117</v>
      </c>
      <c r="AE3459">
        <v>-2.3832000000000102</v>
      </c>
      <c r="AF3459">
        <v>4.9027502036093704</v>
      </c>
      <c r="AG3459">
        <v>-1.103109195117</v>
      </c>
      <c r="AH3459">
        <v>10.115110151950899</v>
      </c>
      <c r="AI3459">
        <v>95.604811082401497</v>
      </c>
      <c r="AJ3459">
        <v>64.140732264019505</v>
      </c>
      <c r="AK3459">
        <v>11.294656384390001</v>
      </c>
    </row>
    <row r="3460" spans="1:37" x14ac:dyDescent="0.2">
      <c r="A3460" t="str">
        <f>"20200111160227193"</f>
        <v>20200111160227193</v>
      </c>
      <c r="B3460" t="str">
        <f>"1578729747185066"</f>
        <v>1578729747185066</v>
      </c>
      <c r="C3460" t="s">
        <v>37</v>
      </c>
      <c r="D3460">
        <v>7.2850469999999996</v>
      </c>
      <c r="E3460">
        <v>0.6155467</v>
      </c>
      <c r="F3460" t="s">
        <v>38</v>
      </c>
      <c r="G3460">
        <v>-215.4512</v>
      </c>
      <c r="H3460" s="1">
        <v>-2.20638399999999E-6</v>
      </c>
      <c r="I3460">
        <v>139.9007</v>
      </c>
      <c r="J3460">
        <v>-204.5343</v>
      </c>
      <c r="K3460">
        <v>1.103019</v>
      </c>
      <c r="L3460">
        <v>142.22290000000001</v>
      </c>
      <c r="M3460">
        <v>-0.78998299999999999</v>
      </c>
      <c r="N3460">
        <v>0</v>
      </c>
      <c r="O3460">
        <v>-0.61298469999999905</v>
      </c>
      <c r="P3460">
        <v>-0.87525799999999998</v>
      </c>
      <c r="Q3460">
        <v>-8.2420089999999998E-3</v>
      </c>
      <c r="R3460">
        <v>-0.48358640000000003</v>
      </c>
      <c r="S3460">
        <v>-3.0589900000000001</v>
      </c>
      <c r="T3460">
        <v>-0.30540679999999998</v>
      </c>
      <c r="U3460">
        <v>-0.67016600000000004</v>
      </c>
      <c r="V3460">
        <v>0.1545253</v>
      </c>
      <c r="W3460">
        <v>4.3261559999999899E-3</v>
      </c>
      <c r="X3460">
        <v>0.98797939999999995</v>
      </c>
      <c r="Y3460">
        <v>0.42532829999999899</v>
      </c>
      <c r="Z3460">
        <v>7.6780870000000001E-2</v>
      </c>
      <c r="AA3460">
        <v>0.90177640000000003</v>
      </c>
      <c r="AB3460">
        <v>16</v>
      </c>
      <c r="AC3460">
        <v>-10.916899999999901</v>
      </c>
      <c r="AD3460">
        <v>-1.1030212063839999</v>
      </c>
      <c r="AE3460">
        <v>-2.3222</v>
      </c>
      <c r="AF3460">
        <v>4.8108369577960701</v>
      </c>
      <c r="AG3460">
        <v>-1.1030212063839999</v>
      </c>
      <c r="AH3460">
        <v>9.9513337958020305</v>
      </c>
      <c r="AI3460">
        <v>95.698795544323403</v>
      </c>
      <c r="AJ3460">
        <v>64.199186837051698</v>
      </c>
      <c r="AK3460">
        <v>11.108098502070501</v>
      </c>
    </row>
    <row r="3461" spans="1:37" x14ac:dyDescent="0.2">
      <c r="A3461" t="str">
        <f>"20200111160227215"</f>
        <v>20200111160227215</v>
      </c>
      <c r="B3461" t="str">
        <f>"1578729747205562"</f>
        <v>1578729747205562</v>
      </c>
      <c r="C3461" t="s">
        <v>37</v>
      </c>
      <c r="D3461">
        <v>5.1546180000000001</v>
      </c>
      <c r="E3461">
        <v>0.61559119999999901</v>
      </c>
      <c r="F3461" t="s">
        <v>38</v>
      </c>
      <c r="G3461">
        <v>-215.53190000000001</v>
      </c>
      <c r="H3461" s="1">
        <v>-2.1580820000000001E-6</v>
      </c>
      <c r="I3461">
        <v>139.86250000000001</v>
      </c>
      <c r="J3461">
        <v>-204.66069999999999</v>
      </c>
      <c r="K3461">
        <v>1.102943</v>
      </c>
      <c r="L3461">
        <v>142.1293</v>
      </c>
      <c r="M3461">
        <v>-0.79184060000000001</v>
      </c>
      <c r="N3461">
        <v>0</v>
      </c>
      <c r="O3461">
        <v>-0.61058310000000005</v>
      </c>
      <c r="P3461">
        <v>-0.87845249999999997</v>
      </c>
      <c r="Q3461">
        <v>-8.734604E-3</v>
      </c>
      <c r="R3461">
        <v>-0.47775000000000001</v>
      </c>
      <c r="S3461">
        <v>-3.0616150000000002</v>
      </c>
      <c r="T3461">
        <v>-0.30706859999999903</v>
      </c>
      <c r="U3461">
        <v>-0.65708919999999904</v>
      </c>
      <c r="V3461">
        <v>0.15809609999999999</v>
      </c>
      <c r="W3461">
        <v>3.7925789999999999E-3</v>
      </c>
      <c r="X3461">
        <v>0.98741639999999997</v>
      </c>
      <c r="Y3461">
        <v>0.4263808</v>
      </c>
      <c r="Z3461">
        <v>7.7055209999999999E-2</v>
      </c>
      <c r="AA3461">
        <v>0.90125569999999899</v>
      </c>
      <c r="AB3461">
        <v>16</v>
      </c>
      <c r="AC3461">
        <v>-10.8712</v>
      </c>
      <c r="AD3461">
        <v>-1.102945158082</v>
      </c>
      <c r="AE3461">
        <v>-2.2667999999999799</v>
      </c>
      <c r="AF3461">
        <v>4.7959457490223798</v>
      </c>
      <c r="AG3461">
        <v>-1.102945158082</v>
      </c>
      <c r="AH3461">
        <v>9.8955965948730604</v>
      </c>
      <c r="AI3461">
        <v>95.727570085679005</v>
      </c>
      <c r="AJ3461">
        <v>64.142641384979001</v>
      </c>
      <c r="AK3461">
        <v>11.0517155056473</v>
      </c>
    </row>
    <row r="3462" spans="1:37" x14ac:dyDescent="0.2">
      <c r="A3462" t="str">
        <f>"20200111160227238"</f>
        <v>20200111160227238</v>
      </c>
      <c r="B3462" t="str">
        <f>"1578729747235819"</f>
        <v>1578729747235819</v>
      </c>
      <c r="C3462" t="s">
        <v>37</v>
      </c>
      <c r="D3462">
        <v>5.1560829999999997</v>
      </c>
      <c r="E3462">
        <v>0.61540810000000001</v>
      </c>
      <c r="F3462" t="s">
        <v>38</v>
      </c>
      <c r="G3462">
        <v>-215.6103</v>
      </c>
      <c r="H3462" s="1">
        <v>-2.1194189999999999E-6</v>
      </c>
      <c r="I3462">
        <v>139.85659999999999</v>
      </c>
      <c r="J3462">
        <v>-204.792</v>
      </c>
      <c r="K3462">
        <v>1.1028709999999999</v>
      </c>
      <c r="L3462">
        <v>142.03299999999999</v>
      </c>
      <c r="M3462">
        <v>-0.79383559999999997</v>
      </c>
      <c r="N3462">
        <v>0</v>
      </c>
      <c r="O3462">
        <v>-0.60798680000000005</v>
      </c>
      <c r="P3462">
        <v>-0.88232579999999905</v>
      </c>
      <c r="Q3462">
        <v>-1.077584E-2</v>
      </c>
      <c r="R3462">
        <v>-0.47051579999999898</v>
      </c>
      <c r="S3462">
        <v>-3.0659179999999999</v>
      </c>
      <c r="T3462">
        <v>-0.30882719999999902</v>
      </c>
      <c r="U3462">
        <v>-0.63636780000000004</v>
      </c>
      <c r="V3462">
        <v>0.16295270000000001</v>
      </c>
      <c r="W3462">
        <v>1.7064249999999999E-3</v>
      </c>
      <c r="X3462">
        <v>0.98663239999999996</v>
      </c>
      <c r="Y3462">
        <v>0.42945820000000001</v>
      </c>
      <c r="Z3462">
        <v>7.7425240000000006E-2</v>
      </c>
      <c r="AA3462">
        <v>0.89976160000000005</v>
      </c>
      <c r="AB3462">
        <v>16</v>
      </c>
      <c r="AC3462">
        <v>-10.818299999999899</v>
      </c>
      <c r="AD3462">
        <v>-1.102873119419</v>
      </c>
      <c r="AE3462">
        <v>-2.1764000000000001</v>
      </c>
      <c r="AF3462">
        <v>4.8021428260838199</v>
      </c>
      <c r="AG3462">
        <v>-1.102873119419</v>
      </c>
      <c r="AH3462">
        <v>9.8140239738331907</v>
      </c>
      <c r="AI3462">
        <v>95.763970825019001</v>
      </c>
      <c r="AJ3462">
        <v>63.926833045766401</v>
      </c>
      <c r="AK3462">
        <v>10.9814375834231</v>
      </c>
    </row>
    <row r="3463" spans="1:37" x14ac:dyDescent="0.2">
      <c r="A3463" t="str">
        <f>"20200111160227259"</f>
        <v>20200111160227259</v>
      </c>
      <c r="B3463" t="str">
        <f>"1578729747255339"</f>
        <v>1578729747255339</v>
      </c>
      <c r="C3463" t="s">
        <v>37</v>
      </c>
      <c r="D3463">
        <v>5.1711939999999998</v>
      </c>
      <c r="E3463">
        <v>0.61521899999999996</v>
      </c>
      <c r="F3463" t="s">
        <v>38</v>
      </c>
      <c r="G3463">
        <v>-215.45580000000001</v>
      </c>
      <c r="H3463" s="1">
        <v>-2.2054839999999999E-6</v>
      </c>
      <c r="I3463">
        <v>139.90549999999999</v>
      </c>
      <c r="J3463">
        <v>-204.91309999999999</v>
      </c>
      <c r="K3463">
        <v>1.102811</v>
      </c>
      <c r="L3463">
        <v>141.94489999999999</v>
      </c>
      <c r="M3463">
        <v>-0.79573619999999901</v>
      </c>
      <c r="N3463">
        <v>0</v>
      </c>
      <c r="O3463">
        <v>-0.60549710000000001</v>
      </c>
      <c r="P3463">
        <v>-0.88638479999999997</v>
      </c>
      <c r="Q3463">
        <v>-1.3817640000000001E-2</v>
      </c>
      <c r="R3463">
        <v>-0.46274309999999902</v>
      </c>
      <c r="S3463">
        <v>-3.0696870000000001</v>
      </c>
      <c r="T3463">
        <v>-0.3174727</v>
      </c>
      <c r="U3463">
        <v>-0.61239619999999995</v>
      </c>
      <c r="V3463">
        <v>0.1684927</v>
      </c>
      <c r="W3463">
        <v>-1.3813300000000001E-3</v>
      </c>
      <c r="X3463">
        <v>0.98570190000000002</v>
      </c>
      <c r="Y3463">
        <v>0.4333282</v>
      </c>
      <c r="Z3463">
        <v>7.9582369999999999E-2</v>
      </c>
      <c r="AA3463">
        <v>0.89771559999999995</v>
      </c>
      <c r="AB3463">
        <v>16</v>
      </c>
      <c r="AC3463">
        <v>-10.5427</v>
      </c>
      <c r="AD3463">
        <v>-1.1028132054840001</v>
      </c>
      <c r="AE3463">
        <v>-2.0394000000000001</v>
      </c>
      <c r="AF3463">
        <v>4.7114777649037798</v>
      </c>
      <c r="AG3463">
        <v>-1.1028132054840001</v>
      </c>
      <c r="AH3463">
        <v>9.5244531606901699</v>
      </c>
      <c r="AI3463">
        <v>95.925160658593995</v>
      </c>
      <c r="AJ3463">
        <v>63.679698675753002</v>
      </c>
      <c r="AK3463">
        <v>10.683137540327399</v>
      </c>
    </row>
    <row r="3464" spans="1:37" x14ac:dyDescent="0.2">
      <c r="A3464" t="str">
        <f>"20200111160227282"</f>
        <v>20200111160227282</v>
      </c>
      <c r="B3464" t="str">
        <f>"1578729747275835"</f>
        <v>1578729747275835</v>
      </c>
      <c r="C3464" t="s">
        <v>37</v>
      </c>
      <c r="D3464">
        <v>5.2145700000000001</v>
      </c>
      <c r="E3464">
        <v>0.61497309999999905</v>
      </c>
      <c r="F3464" t="s">
        <v>38</v>
      </c>
      <c r="G3464">
        <v>-215.25030000000001</v>
      </c>
      <c r="H3464" s="1">
        <v>-2.3205000000000001E-6</v>
      </c>
      <c r="I3464">
        <v>139.9727</v>
      </c>
      <c r="J3464">
        <v>-205.048</v>
      </c>
      <c r="K3464">
        <v>1.1027420000000001</v>
      </c>
      <c r="L3464">
        <v>141.8475</v>
      </c>
      <c r="M3464">
        <v>-0.79792259999999904</v>
      </c>
      <c r="N3464">
        <v>0</v>
      </c>
      <c r="O3464">
        <v>-0.60261279999999995</v>
      </c>
      <c r="P3464">
        <v>-0.89014629999999995</v>
      </c>
      <c r="Q3464">
        <v>-1.734202E-2</v>
      </c>
      <c r="R3464">
        <v>-0.45534459999999999</v>
      </c>
      <c r="S3464">
        <v>-3.073334</v>
      </c>
      <c r="T3464">
        <v>-0.32787379999999999</v>
      </c>
      <c r="U3464">
        <v>-0.58633419999999903</v>
      </c>
      <c r="V3464">
        <v>0.17308009999999999</v>
      </c>
      <c r="W3464">
        <v>-4.94773E-3</v>
      </c>
      <c r="X3464">
        <v>0.98489530000000003</v>
      </c>
      <c r="Y3464">
        <v>0.43727339999999998</v>
      </c>
      <c r="Z3464">
        <v>8.2155530000000004E-2</v>
      </c>
      <c r="AA3464">
        <v>0.89556819999999904</v>
      </c>
      <c r="AB3464">
        <v>16</v>
      </c>
      <c r="AC3464">
        <v>-10.202299999999999</v>
      </c>
      <c r="AD3464">
        <v>-1.1027443205</v>
      </c>
      <c r="AE3464">
        <v>-1.87479999999999</v>
      </c>
      <c r="AF3464">
        <v>4.6005118590432703</v>
      </c>
      <c r="AG3464">
        <v>-1.1027443205</v>
      </c>
      <c r="AH3464">
        <v>9.1676396705049097</v>
      </c>
      <c r="AI3464">
        <v>96.136254654033294</v>
      </c>
      <c r="AJ3464">
        <v>63.351552367922402</v>
      </c>
      <c r="AK3464">
        <v>10.3163157924623</v>
      </c>
    </row>
    <row r="3465" spans="1:37" x14ac:dyDescent="0.2">
      <c r="A3465" t="str">
        <f>"20200111160227306"</f>
        <v>20200111160227306</v>
      </c>
      <c r="B3465" t="str">
        <f>"1578729747295355"</f>
        <v>1578729747295355</v>
      </c>
      <c r="C3465" t="s">
        <v>37</v>
      </c>
      <c r="D3465">
        <v>5.2213519999999898</v>
      </c>
      <c r="E3465">
        <v>0.61467669999999996</v>
      </c>
      <c r="F3465" t="s">
        <v>38</v>
      </c>
      <c r="G3465">
        <v>-215.1095</v>
      </c>
      <c r="H3465" s="1">
        <v>-2.3972110000000002E-6</v>
      </c>
      <c r="I3465">
        <v>140.01089999999999</v>
      </c>
      <c r="J3465">
        <v>-205.1857</v>
      </c>
      <c r="K3465">
        <v>1.102681</v>
      </c>
      <c r="L3465">
        <v>141.7492</v>
      </c>
      <c r="M3465">
        <v>-0.80022040000000005</v>
      </c>
      <c r="N3465">
        <v>0</v>
      </c>
      <c r="O3465">
        <v>-0.59955809999999998</v>
      </c>
      <c r="P3465">
        <v>-0.89318140000000001</v>
      </c>
      <c r="Q3465">
        <v>-1.899617E-2</v>
      </c>
      <c r="R3465">
        <v>-0.44929550000000001</v>
      </c>
      <c r="S3465">
        <v>-3.0763849999999899</v>
      </c>
      <c r="T3465">
        <v>-0.33717359999999902</v>
      </c>
      <c r="U3465">
        <v>-0.56156919999999899</v>
      </c>
      <c r="V3465">
        <v>0.1759675</v>
      </c>
      <c r="W3465">
        <v>-6.6364419999999898E-3</v>
      </c>
      <c r="X3465">
        <v>0.98437359999999896</v>
      </c>
      <c r="Y3465">
        <v>0.44066349999999999</v>
      </c>
      <c r="Z3465">
        <v>8.4413760000000004E-2</v>
      </c>
      <c r="AA3465">
        <v>0.89369460000000001</v>
      </c>
      <c r="AB3465">
        <v>16</v>
      </c>
      <c r="AC3465">
        <v>-9.9238</v>
      </c>
      <c r="AD3465">
        <v>-1.1026833972109999</v>
      </c>
      <c r="AE3465">
        <v>-1.7383</v>
      </c>
      <c r="AF3465">
        <v>4.5053068826928602</v>
      </c>
      <c r="AG3465">
        <v>-1.1026833972109999</v>
      </c>
      <c r="AH3465">
        <v>8.8778877247888595</v>
      </c>
      <c r="AI3465">
        <v>96.320303186668099</v>
      </c>
      <c r="AJ3465">
        <v>63.093341360390902</v>
      </c>
      <c r="AK3465">
        <v>10.0165159229984</v>
      </c>
    </row>
    <row r="3466" spans="1:37" x14ac:dyDescent="0.2">
      <c r="A3466" t="str">
        <f>"20200111160227327"</f>
        <v>20200111160227327</v>
      </c>
      <c r="B3466" t="str">
        <f>"1578729747315850"</f>
        <v>1578729747315850</v>
      </c>
      <c r="C3466" t="s">
        <v>37</v>
      </c>
      <c r="D3466">
        <v>5.2186360000000001</v>
      </c>
      <c r="E3466">
        <v>0.6143632</v>
      </c>
      <c r="F3466" t="s">
        <v>38</v>
      </c>
      <c r="G3466">
        <v>-215.13149999999999</v>
      </c>
      <c r="H3466" s="1">
        <v>-2.3832369999999999E-6</v>
      </c>
      <c r="I3466">
        <v>139.9973</v>
      </c>
      <c r="J3466">
        <v>-205.3082</v>
      </c>
      <c r="K3466">
        <v>1.1026229999999999</v>
      </c>
      <c r="L3466">
        <v>141.6626</v>
      </c>
      <c r="M3466">
        <v>-0.80232380000000003</v>
      </c>
      <c r="N3466">
        <v>0</v>
      </c>
      <c r="O3466">
        <v>-0.59674019999999905</v>
      </c>
      <c r="P3466">
        <v>-0.89536819999999895</v>
      </c>
      <c r="Q3466">
        <v>-1.960895E-2</v>
      </c>
      <c r="R3466">
        <v>-0.44489459999999997</v>
      </c>
      <c r="S3466">
        <v>-3.078735</v>
      </c>
      <c r="T3466">
        <v>-0.34133959999999902</v>
      </c>
      <c r="U3466">
        <v>-0.54228209999999999</v>
      </c>
      <c r="V3466">
        <v>0.177338</v>
      </c>
      <c r="W3466">
        <v>-7.2765490000000002E-3</v>
      </c>
      <c r="X3466">
        <v>0.98412310000000003</v>
      </c>
      <c r="Y3466">
        <v>0.44291819999999998</v>
      </c>
      <c r="Z3466">
        <v>8.5343260000000004E-2</v>
      </c>
      <c r="AA3466">
        <v>0.89249089999999998</v>
      </c>
      <c r="AB3466">
        <v>16</v>
      </c>
      <c r="AC3466">
        <v>-9.8232999999999802</v>
      </c>
      <c r="AD3466">
        <v>-1.1026253832369901</v>
      </c>
      <c r="AE3466">
        <v>-1.6653</v>
      </c>
      <c r="AF3466">
        <v>4.4714871581228</v>
      </c>
      <c r="AG3466">
        <v>-1.1026253832369901</v>
      </c>
      <c r="AH3466">
        <v>8.7686165037696995</v>
      </c>
      <c r="AI3466">
        <v>96.391758439953506</v>
      </c>
      <c r="AJ3466">
        <v>62.981048836116202</v>
      </c>
      <c r="AK3466">
        <v>9.9044745207001306</v>
      </c>
    </row>
    <row r="3467" spans="1:37" x14ac:dyDescent="0.2">
      <c r="A3467" t="str">
        <f>"20200111160227349"</f>
        <v>20200111160227349</v>
      </c>
      <c r="B3467" t="str">
        <f>"1578729747345131"</f>
        <v>1578729747345131</v>
      </c>
      <c r="C3467" t="s">
        <v>37</v>
      </c>
      <c r="D3467">
        <v>5.2133079999999996</v>
      </c>
      <c r="E3467">
        <v>0.61381750000000002</v>
      </c>
      <c r="F3467" t="s">
        <v>38</v>
      </c>
      <c r="G3467">
        <v>-215.18459999999999</v>
      </c>
      <c r="H3467" s="1">
        <v>-2.34940999999999E-6</v>
      </c>
      <c r="I3467">
        <v>139.96469999999999</v>
      </c>
      <c r="J3467">
        <v>-205.4341</v>
      </c>
      <c r="K3467">
        <v>1.1025590000000001</v>
      </c>
      <c r="L3467">
        <v>141.5744</v>
      </c>
      <c r="M3467">
        <v>-0.80455259999999995</v>
      </c>
      <c r="N3467">
        <v>0</v>
      </c>
      <c r="O3467">
        <v>-0.59373149999999997</v>
      </c>
      <c r="P3467">
        <v>-0.89727319999999999</v>
      </c>
      <c r="Q3467">
        <v>-1.9708429999999999E-2</v>
      </c>
      <c r="R3467">
        <v>-0.44103559999999897</v>
      </c>
      <c r="S3467">
        <v>-3.0799409999999998</v>
      </c>
      <c r="T3467">
        <v>-0.34384989999999999</v>
      </c>
      <c r="U3467">
        <v>-0.52949519999999906</v>
      </c>
      <c r="V3467">
        <v>0.17788689999999999</v>
      </c>
      <c r="W3467">
        <v>-7.3938279999999999E-3</v>
      </c>
      <c r="X3467">
        <v>0.98402319999999999</v>
      </c>
      <c r="Y3467">
        <v>0.44315139999999997</v>
      </c>
      <c r="Z3467">
        <v>8.5734550000000007E-2</v>
      </c>
      <c r="AA3467">
        <v>0.89233759999999995</v>
      </c>
      <c r="AB3467">
        <v>16</v>
      </c>
      <c r="AC3467">
        <v>-9.7504999999999793</v>
      </c>
      <c r="AD3467">
        <v>-1.1025613494099999</v>
      </c>
      <c r="AE3467">
        <v>-1.6096999999999999</v>
      </c>
      <c r="AF3467">
        <v>4.4392344375006703</v>
      </c>
      <c r="AG3467">
        <v>-1.1025613494099999</v>
      </c>
      <c r="AH3467">
        <v>8.6930979104017592</v>
      </c>
      <c r="AI3467">
        <v>96.444585522718896</v>
      </c>
      <c r="AJ3467">
        <v>62.948327555302001</v>
      </c>
      <c r="AK3467">
        <v>9.8230542704464501</v>
      </c>
    </row>
    <row r="3468" spans="1:37" x14ac:dyDescent="0.2">
      <c r="A3468" t="str">
        <f>"20200111160227373"</f>
        <v>20200111160227373</v>
      </c>
      <c r="B3468" t="str">
        <f>"1578729747365627"</f>
        <v>1578729747365627</v>
      </c>
      <c r="C3468" t="s">
        <v>37</v>
      </c>
      <c r="D3468">
        <v>5.2584</v>
      </c>
      <c r="E3468">
        <v>0.61347379999999996</v>
      </c>
      <c r="F3468" t="s">
        <v>38</v>
      </c>
      <c r="G3468">
        <v>-215.2628</v>
      </c>
      <c r="H3468" s="1">
        <v>-2.2989609999999999E-6</v>
      </c>
      <c r="I3468">
        <v>139.91390000000001</v>
      </c>
      <c r="J3468">
        <v>-205.57769999999999</v>
      </c>
      <c r="K3468">
        <v>1.102384</v>
      </c>
      <c r="L3468">
        <v>141.4751</v>
      </c>
      <c r="M3468">
        <v>-0.80723290000000003</v>
      </c>
      <c r="N3468">
        <v>0</v>
      </c>
      <c r="O3468">
        <v>-0.59008899999999997</v>
      </c>
      <c r="P3468">
        <v>-0.89925630000000001</v>
      </c>
      <c r="Q3468">
        <v>-1.9735320000000001E-2</v>
      </c>
      <c r="R3468">
        <v>-0.436977</v>
      </c>
      <c r="S3468">
        <v>-3.0800930000000002</v>
      </c>
      <c r="T3468">
        <v>-0.34551850000000001</v>
      </c>
      <c r="U3468">
        <v>-0.52037049999999996</v>
      </c>
      <c r="V3468">
        <v>0.17787900000000001</v>
      </c>
      <c r="W3468">
        <v>-7.7418089999999997E-3</v>
      </c>
      <c r="X3468">
        <v>0.9840219</v>
      </c>
      <c r="Y3468">
        <v>0.44164769999999998</v>
      </c>
      <c r="Z3468">
        <v>8.5774970000000006E-2</v>
      </c>
      <c r="AA3468">
        <v>0.89307890000000001</v>
      </c>
      <c r="AB3468">
        <v>16</v>
      </c>
      <c r="AC3468">
        <v>-9.6851000000000003</v>
      </c>
      <c r="AD3468">
        <v>-1.102386298961</v>
      </c>
      <c r="AE3468">
        <v>-1.5611999999999799</v>
      </c>
      <c r="AF3468">
        <v>4.3996410753527497</v>
      </c>
      <c r="AG3468">
        <v>-1.102386298961</v>
      </c>
      <c r="AH3468">
        <v>8.6311313716738791</v>
      </c>
      <c r="AI3468">
        <v>96.491838202186401</v>
      </c>
      <c r="AJ3468">
        <v>62.9901986044108</v>
      </c>
      <c r="AK3468">
        <v>9.7503090155728405</v>
      </c>
    </row>
    <row r="3469" spans="1:37" x14ac:dyDescent="0.2">
      <c r="A3469" t="str">
        <f>"20200111160227393"</f>
        <v>20200111160227393</v>
      </c>
      <c r="B3469" t="str">
        <f>"1578729747385146"</f>
        <v>1578729747385146</v>
      </c>
      <c r="C3469" t="s">
        <v>37</v>
      </c>
      <c r="D3469">
        <v>5.2480609999999999</v>
      </c>
      <c r="E3469">
        <v>0.61327769999999904</v>
      </c>
      <c r="F3469" t="s">
        <v>38</v>
      </c>
      <c r="G3469">
        <v>-215.3836</v>
      </c>
      <c r="H3469" s="1">
        <v>-2.2261370000000001E-6</v>
      </c>
      <c r="I3469">
        <v>139.85480000000001</v>
      </c>
      <c r="J3469">
        <v>-205.7039</v>
      </c>
      <c r="K3469">
        <v>1.1022449999999999</v>
      </c>
      <c r="L3469">
        <v>141.38890000000001</v>
      </c>
      <c r="M3469">
        <v>-0.80965690000000001</v>
      </c>
      <c r="N3469">
        <v>0</v>
      </c>
      <c r="O3469">
        <v>-0.5867639</v>
      </c>
      <c r="P3469">
        <v>-0.900482</v>
      </c>
      <c r="Q3469">
        <v>-1.968599E-2</v>
      </c>
      <c r="R3469">
        <v>-0.43444759999999999</v>
      </c>
      <c r="S3469">
        <v>-3.0811000000000002</v>
      </c>
      <c r="T3469">
        <v>-0.346381099999999</v>
      </c>
      <c r="U3469">
        <v>-0.50910949999999999</v>
      </c>
      <c r="V3469">
        <v>0.17659349999999999</v>
      </c>
      <c r="W3469">
        <v>-7.9740980000000006E-3</v>
      </c>
      <c r="X3469">
        <v>0.9842516</v>
      </c>
      <c r="Y3469">
        <v>0.44117479999999998</v>
      </c>
      <c r="Z3469">
        <v>8.5681899999999894E-2</v>
      </c>
      <c r="AA3469">
        <v>0.89332160000000005</v>
      </c>
      <c r="AB3469">
        <v>16</v>
      </c>
      <c r="AC3469">
        <v>-9.6796999999999898</v>
      </c>
      <c r="AD3469">
        <v>-1.102247226137</v>
      </c>
      <c r="AE3469">
        <v>-1.53409999999999</v>
      </c>
      <c r="AF3469">
        <v>4.3825322346147999</v>
      </c>
      <c r="AG3469">
        <v>-1.102247226137</v>
      </c>
      <c r="AH3469">
        <v>8.6289574616425995</v>
      </c>
      <c r="AI3469">
        <v>96.4974737660812</v>
      </c>
      <c r="AJ3469">
        <v>63.074593317572599</v>
      </c>
      <c r="AK3469">
        <v>9.7406593519023197</v>
      </c>
    </row>
    <row r="3470" spans="1:37" x14ac:dyDescent="0.2">
      <c r="A3470" t="str">
        <f>"20200111160227417"</f>
        <v>20200111160227417</v>
      </c>
      <c r="B3470" t="str">
        <f>"1578729747415402"</f>
        <v>1578729747415402</v>
      </c>
      <c r="C3470" t="s">
        <v>37</v>
      </c>
      <c r="D3470">
        <v>5.2980980000000004</v>
      </c>
      <c r="E3470">
        <v>0.5998038</v>
      </c>
      <c r="F3470" t="s">
        <v>38</v>
      </c>
      <c r="G3470">
        <v>-215.4778</v>
      </c>
      <c r="H3470" s="1">
        <v>-2.1659170000000001E-6</v>
      </c>
      <c r="I3470">
        <v>139.79589999999999</v>
      </c>
      <c r="J3470">
        <v>-205.83969999999999</v>
      </c>
      <c r="K3470">
        <v>1.1022000000000001</v>
      </c>
      <c r="L3470">
        <v>141.2971</v>
      </c>
      <c r="M3470">
        <v>-0.81231339999999996</v>
      </c>
      <c r="N3470">
        <v>0</v>
      </c>
      <c r="O3470">
        <v>-0.58308260000000001</v>
      </c>
      <c r="P3470">
        <v>-0.90203739999999999</v>
      </c>
      <c r="Q3470">
        <v>-1.8935549999999999E-2</v>
      </c>
      <c r="R3470">
        <v>-0.43124239999999903</v>
      </c>
      <c r="S3470">
        <v>-3.0816349999999999</v>
      </c>
      <c r="T3470">
        <v>-0.347528</v>
      </c>
      <c r="U3470">
        <v>-0.50224299999999999</v>
      </c>
      <c r="V3470">
        <v>0.17563699999999999</v>
      </c>
      <c r="W3470">
        <v>-7.3218999999999897E-3</v>
      </c>
      <c r="X3470">
        <v>0.98442779999999996</v>
      </c>
      <c r="Y3470">
        <v>0.439061799999999</v>
      </c>
      <c r="Z3470">
        <v>8.5528629999999994E-2</v>
      </c>
      <c r="AA3470">
        <v>0.89437659999999997</v>
      </c>
      <c r="AB3470">
        <v>16</v>
      </c>
      <c r="AC3470">
        <v>-9.6380999999999997</v>
      </c>
      <c r="AD3470">
        <v>-1.102202165917</v>
      </c>
      <c r="AE3470">
        <v>-1.5012000000000101</v>
      </c>
      <c r="AF3470">
        <v>4.3452383384321802</v>
      </c>
      <c r="AG3470">
        <v>-1.102202165917</v>
      </c>
      <c r="AH3470">
        <v>8.5954367044406901</v>
      </c>
      <c r="AI3470">
        <v>96.528481174464204</v>
      </c>
      <c r="AJ3470">
        <v>63.182101232812698</v>
      </c>
      <c r="AK3470">
        <v>9.6941981603626903</v>
      </c>
    </row>
    <row r="3471" spans="1:37" x14ac:dyDescent="0.2">
      <c r="A3471" t="str">
        <f>"20200111160227438"</f>
        <v>20200111160227438</v>
      </c>
      <c r="B3471" t="str">
        <f>"1578729747435899"</f>
        <v>1578729747435899</v>
      </c>
      <c r="C3471" t="s">
        <v>37</v>
      </c>
      <c r="D3471">
        <v>5.2735120000000002</v>
      </c>
      <c r="E3471">
        <v>0.59882209999999902</v>
      </c>
      <c r="F3471" t="s">
        <v>38</v>
      </c>
      <c r="G3471">
        <v>-215.50899999999999</v>
      </c>
      <c r="H3471" s="1">
        <v>-2.137803E-6</v>
      </c>
      <c r="I3471">
        <v>139.42230000000001</v>
      </c>
      <c r="J3471">
        <v>-205.96350000000001</v>
      </c>
      <c r="K3471">
        <v>1.102195</v>
      </c>
      <c r="L3471">
        <v>141.21440000000001</v>
      </c>
      <c r="M3471">
        <v>-0.81479950000000001</v>
      </c>
      <c r="N3471">
        <v>0</v>
      </c>
      <c r="O3471">
        <v>-0.57960279999999997</v>
      </c>
      <c r="P3471">
        <v>-0.90341830000000001</v>
      </c>
      <c r="Q3471">
        <v>-1.9184699999999999E-2</v>
      </c>
      <c r="R3471">
        <v>-0.42833080000000001</v>
      </c>
      <c r="S3471">
        <v>-3.0370180000000002</v>
      </c>
      <c r="T3471">
        <v>-0.34618749999999998</v>
      </c>
      <c r="U3471">
        <v>-0.58885189999999998</v>
      </c>
      <c r="V3471">
        <v>0.174597</v>
      </c>
      <c r="W3471">
        <v>-7.55208599999999E-3</v>
      </c>
      <c r="X3471">
        <v>0.98461100000000001</v>
      </c>
      <c r="Y3471">
        <v>0.40831030000000001</v>
      </c>
      <c r="Z3471">
        <v>8.40365E-2</v>
      </c>
      <c r="AA3471">
        <v>0.90896669999999902</v>
      </c>
      <c r="AB3471">
        <v>16</v>
      </c>
      <c r="AC3471">
        <v>-9.5455000000000005</v>
      </c>
      <c r="AD3471">
        <v>-1.102197137803</v>
      </c>
      <c r="AE3471">
        <v>-1.7921</v>
      </c>
      <c r="AF3471">
        <v>4.0209418965348602</v>
      </c>
      <c r="AG3471">
        <v>-1.102197137803</v>
      </c>
      <c r="AH3471">
        <v>8.7049805175567698</v>
      </c>
      <c r="AI3471">
        <v>96.557175144773296</v>
      </c>
      <c r="AJ3471">
        <v>65.207180569697201</v>
      </c>
      <c r="AK3471">
        <v>9.6519168084341391</v>
      </c>
    </row>
    <row r="3472" spans="1:37" x14ac:dyDescent="0.2">
      <c r="A3472" t="str">
        <f>"20200111160227461"</f>
        <v>20200111160227461</v>
      </c>
      <c r="B3472" t="str">
        <f>"1578729747455418"</f>
        <v>1578729747455418</v>
      </c>
      <c r="C3472" t="s">
        <v>37</v>
      </c>
      <c r="D3472">
        <v>5.3153069999999998</v>
      </c>
      <c r="E3472">
        <v>0.59783790000000003</v>
      </c>
      <c r="F3472" t="s">
        <v>38</v>
      </c>
      <c r="G3472">
        <v>-215.45660000000001</v>
      </c>
      <c r="H3472" s="1">
        <v>-2.1703779999999998E-6</v>
      </c>
      <c r="I3472">
        <v>139.3783</v>
      </c>
      <c r="J3472">
        <v>-206.0986</v>
      </c>
      <c r="K3472">
        <v>1.102158</v>
      </c>
      <c r="L3472">
        <v>141.12520000000001</v>
      </c>
      <c r="M3472">
        <v>-0.81760299999999997</v>
      </c>
      <c r="N3472">
        <v>0</v>
      </c>
      <c r="O3472">
        <v>-0.57564169999999903</v>
      </c>
      <c r="P3472">
        <v>-0.90520979999999995</v>
      </c>
      <c r="Q3472">
        <v>-1.935926E-2</v>
      </c>
      <c r="R3472">
        <v>-0.42452399999999901</v>
      </c>
      <c r="S3472">
        <v>-3.0349430000000002</v>
      </c>
      <c r="T3472">
        <v>-0.35237069999999998</v>
      </c>
      <c r="U3472">
        <v>-0.58699040000000002</v>
      </c>
      <c r="V3472">
        <v>0.17395969999999999</v>
      </c>
      <c r="W3472">
        <v>-7.7449579999999997E-3</v>
      </c>
      <c r="X3472">
        <v>0.98472230000000005</v>
      </c>
      <c r="Y3472">
        <v>0.40413979999999999</v>
      </c>
      <c r="Z3472">
        <v>8.4989250000000002E-2</v>
      </c>
      <c r="AA3472">
        <v>0.91074029999999995</v>
      </c>
      <c r="AB3472">
        <v>16</v>
      </c>
      <c r="AC3472">
        <v>-9.3580000000000005</v>
      </c>
      <c r="AD3472">
        <v>-1.102160170378</v>
      </c>
      <c r="AE3472">
        <v>-1.7469000000000099</v>
      </c>
      <c r="AF3472">
        <v>3.9065401813898202</v>
      </c>
      <c r="AG3472">
        <v>-1.102160170378</v>
      </c>
      <c r="AH3472">
        <v>8.5429060574799305</v>
      </c>
      <c r="AI3472">
        <v>96.691875753805505</v>
      </c>
      <c r="AJ3472">
        <v>65.426107134266502</v>
      </c>
      <c r="AK3472">
        <v>9.4581740910657892</v>
      </c>
    </row>
    <row r="3473" spans="1:37" x14ac:dyDescent="0.2">
      <c r="A3473" t="str">
        <f>"20200111160227483"</f>
        <v>20200111160227483</v>
      </c>
      <c r="B3473" t="str">
        <f>"1578729747475914"</f>
        <v>1578729747475914</v>
      </c>
      <c r="C3473" t="s">
        <v>37</v>
      </c>
      <c r="D3473">
        <v>5.3422359999999998</v>
      </c>
      <c r="E3473">
        <v>0.59762510000000002</v>
      </c>
      <c r="F3473" t="s">
        <v>38</v>
      </c>
      <c r="G3473">
        <v>-215.40700000000001</v>
      </c>
      <c r="H3473" s="1">
        <v>-2.201123E-6</v>
      </c>
      <c r="I3473">
        <v>139.33709999999999</v>
      </c>
      <c r="J3473">
        <v>-206.238</v>
      </c>
      <c r="K3473">
        <v>1.1020729999999901</v>
      </c>
      <c r="L3473">
        <v>141.0343</v>
      </c>
      <c r="M3473">
        <v>-0.82056090000000004</v>
      </c>
      <c r="N3473">
        <v>0</v>
      </c>
      <c r="O3473">
        <v>-0.5714186</v>
      </c>
      <c r="P3473">
        <v>-0.90682879999999999</v>
      </c>
      <c r="Q3473">
        <v>-2.066836E-2</v>
      </c>
      <c r="R3473">
        <v>-0.42099209999999898</v>
      </c>
      <c r="S3473">
        <v>-3.0332180000000002</v>
      </c>
      <c r="T3473">
        <v>-0.35914669999999999</v>
      </c>
      <c r="U3473">
        <v>-0.58264159999999998</v>
      </c>
      <c r="V3473">
        <v>0.17269519999999999</v>
      </c>
      <c r="W3473">
        <v>-9.1389780000000007E-3</v>
      </c>
      <c r="X3473">
        <v>0.9849329</v>
      </c>
      <c r="Y3473">
        <v>0.40040369999999997</v>
      </c>
      <c r="Z3473">
        <v>8.6062479999999997E-2</v>
      </c>
      <c r="AA3473">
        <v>0.9122884</v>
      </c>
      <c r="AB3473">
        <v>16</v>
      </c>
      <c r="AC3473">
        <v>-9.1690000000000094</v>
      </c>
      <c r="AD3473">
        <v>-1.1020752011229999</v>
      </c>
      <c r="AE3473">
        <v>-1.6972</v>
      </c>
      <c r="AF3473">
        <v>3.7939939523619501</v>
      </c>
      <c r="AG3473">
        <v>-1.1020752011229999</v>
      </c>
      <c r="AH3473">
        <v>8.3772002768824994</v>
      </c>
      <c r="AI3473">
        <v>96.833680737938906</v>
      </c>
      <c r="AJ3473">
        <v>65.634455125751103</v>
      </c>
      <c r="AK3473">
        <v>9.2620971890004302</v>
      </c>
    </row>
    <row r="3474" spans="1:37" x14ac:dyDescent="0.2">
      <c r="A3474" t="str">
        <f>"20200111160227506"</f>
        <v>20200111160227506</v>
      </c>
      <c r="B3474" t="str">
        <f>"1578729747495434"</f>
        <v>1578729747495434</v>
      </c>
      <c r="C3474" t="s">
        <v>37</v>
      </c>
      <c r="D3474">
        <v>5.2552139999999996</v>
      </c>
      <c r="E3474">
        <v>0.6157357</v>
      </c>
      <c r="F3474" t="s">
        <v>38</v>
      </c>
      <c r="G3474">
        <v>-215.32429999999999</v>
      </c>
      <c r="H3474" s="1">
        <v>-2.243883E-6</v>
      </c>
      <c r="I3474">
        <v>139.31659999999999</v>
      </c>
      <c r="J3474">
        <v>-206.3716</v>
      </c>
      <c r="K3474">
        <v>1.101969</v>
      </c>
      <c r="L3474">
        <v>140.94839999999999</v>
      </c>
      <c r="M3474">
        <v>-0.82342219999999999</v>
      </c>
      <c r="N3474">
        <v>0</v>
      </c>
      <c r="O3474">
        <v>-0.56728869999999998</v>
      </c>
      <c r="P3474">
        <v>-0.90804769999999901</v>
      </c>
      <c r="Q3474">
        <v>-2.2535119999999999E-2</v>
      </c>
      <c r="R3474">
        <v>-0.41826019999999903</v>
      </c>
      <c r="S3474">
        <v>-3.0335999999999999</v>
      </c>
      <c r="T3474">
        <v>-0.36794640000000001</v>
      </c>
      <c r="U3474">
        <v>-0.57347109999999901</v>
      </c>
      <c r="V3474">
        <v>0.17067360000000001</v>
      </c>
      <c r="W3474">
        <v>-1.107844E-2</v>
      </c>
      <c r="X3474">
        <v>0.98526539999999996</v>
      </c>
      <c r="Y3474">
        <v>0.39822639999999998</v>
      </c>
      <c r="Z3474">
        <v>8.7653250000000002E-2</v>
      </c>
      <c r="AA3474">
        <v>0.91308959999999995</v>
      </c>
      <c r="AB3474">
        <v>16</v>
      </c>
      <c r="AC3474">
        <v>-8.9526999999999894</v>
      </c>
      <c r="AD3474">
        <v>-1.1019712438830001</v>
      </c>
      <c r="AE3474">
        <v>-1.6317999999999899</v>
      </c>
      <c r="AF3474">
        <v>3.68142029133142</v>
      </c>
      <c r="AG3474">
        <v>-1.1019712438830001</v>
      </c>
      <c r="AH3474">
        <v>8.17829235870615</v>
      </c>
      <c r="AI3474">
        <v>97.004752341573393</v>
      </c>
      <c r="AJ3474">
        <v>65.765329447561697</v>
      </c>
      <c r="AK3474">
        <v>9.0361309136290799</v>
      </c>
    </row>
    <row r="3475" spans="1:37" x14ac:dyDescent="0.2">
      <c r="A3475" t="str">
        <f>"20200111160227527"</f>
        <v>20200111160227527</v>
      </c>
      <c r="B3475" t="str">
        <f>"1578729747515930"</f>
        <v>1578729747515930</v>
      </c>
      <c r="C3475" t="s">
        <v>37</v>
      </c>
      <c r="D3475">
        <v>5.1773959999999999</v>
      </c>
      <c r="E3475">
        <v>0.62308339999999995</v>
      </c>
      <c r="F3475" t="s">
        <v>38</v>
      </c>
      <c r="G3475">
        <v>-215.76419999999999</v>
      </c>
      <c r="H3475" s="1">
        <v>-1.98825799999999E-6</v>
      </c>
      <c r="I3475">
        <v>139.6369</v>
      </c>
      <c r="J3475">
        <v>-206.49940000000001</v>
      </c>
      <c r="K3475">
        <v>1.101877</v>
      </c>
      <c r="L3475">
        <v>140.8673</v>
      </c>
      <c r="M3475">
        <v>-0.82619339999999997</v>
      </c>
      <c r="N3475">
        <v>0</v>
      </c>
      <c r="O3475">
        <v>-0.56324549999999995</v>
      </c>
      <c r="P3475">
        <v>-0.90896149999999998</v>
      </c>
      <c r="Q3475">
        <v>-2.5454060000000001E-2</v>
      </c>
      <c r="R3475">
        <v>-0.41610219999999998</v>
      </c>
      <c r="S3475">
        <v>-3.0956570000000001</v>
      </c>
      <c r="T3475">
        <v>-0.3631934</v>
      </c>
      <c r="U3475">
        <v>-0.4322357</v>
      </c>
      <c r="V3475">
        <v>0.16812089999999999</v>
      </c>
      <c r="W3475">
        <v>-1.402043E-2</v>
      </c>
      <c r="X3475">
        <v>0.98566669999999901</v>
      </c>
      <c r="Y3475">
        <v>0.43737429999999899</v>
      </c>
      <c r="Z3475">
        <v>8.7246950000000004E-2</v>
      </c>
      <c r="AA3475">
        <v>0.89503719999999998</v>
      </c>
      <c r="AB3475">
        <v>16</v>
      </c>
      <c r="AC3475">
        <v>-9.2647999999999797</v>
      </c>
      <c r="AD3475">
        <v>-1.101878988258</v>
      </c>
      <c r="AE3475">
        <v>-1.2303999999999999</v>
      </c>
      <c r="AF3475">
        <v>4.1445351167821798</v>
      </c>
      <c r="AG3475">
        <v>-1.101878988258</v>
      </c>
      <c r="AH3475">
        <v>8.2337514624567891</v>
      </c>
      <c r="AI3475">
        <v>96.816528138011407</v>
      </c>
      <c r="AJ3475">
        <v>63.281178269225698</v>
      </c>
      <c r="AK3475">
        <v>9.2836400072662499</v>
      </c>
    </row>
    <row r="3476" spans="1:37" x14ac:dyDescent="0.2">
      <c r="A3476" t="str">
        <f>"20200111160227550"</f>
        <v>20200111160227550</v>
      </c>
      <c r="B3476" t="str">
        <f>"1578729747545210"</f>
        <v>1578729747545210</v>
      </c>
      <c r="C3476" t="s">
        <v>37</v>
      </c>
      <c r="D3476">
        <v>5.148377</v>
      </c>
      <c r="E3476">
        <v>0.62741630000000004</v>
      </c>
      <c r="F3476" t="s">
        <v>38</v>
      </c>
      <c r="G3476">
        <v>-216.8596</v>
      </c>
      <c r="H3476" s="1">
        <v>-1.4725000000000001E-6</v>
      </c>
      <c r="I3476">
        <v>139.6447</v>
      </c>
      <c r="J3476">
        <v>-206.6352</v>
      </c>
      <c r="K3476">
        <v>1.1017950000000001</v>
      </c>
      <c r="L3476">
        <v>140.7824</v>
      </c>
      <c r="M3476">
        <v>-0.82919619999999905</v>
      </c>
      <c r="N3476">
        <v>0</v>
      </c>
      <c r="O3476">
        <v>-0.55881550000000002</v>
      </c>
      <c r="P3476">
        <v>-0.91005380000000002</v>
      </c>
      <c r="Q3476">
        <v>-2.7895E-2</v>
      </c>
      <c r="R3476">
        <v>-0.4135509</v>
      </c>
      <c r="S3476">
        <v>-3.1225130000000001</v>
      </c>
      <c r="T3476">
        <v>-0.3320999</v>
      </c>
      <c r="U3476">
        <v>-0.3684692</v>
      </c>
      <c r="V3476">
        <v>0.16555310000000001</v>
      </c>
      <c r="W3476">
        <v>-1.646212E-2</v>
      </c>
      <c r="X3476">
        <v>0.98606349999999998</v>
      </c>
      <c r="Y3476">
        <v>0.4525805</v>
      </c>
      <c r="Z3476">
        <v>7.9751130000000003E-2</v>
      </c>
      <c r="AA3476">
        <v>0.8881502</v>
      </c>
      <c r="AB3476">
        <v>16</v>
      </c>
      <c r="AC3476">
        <v>-10.224399999999999</v>
      </c>
      <c r="AD3476">
        <v>-1.1017964725</v>
      </c>
      <c r="AE3476">
        <v>-1.1376999999999899</v>
      </c>
      <c r="AF3476">
        <v>4.7164555535253498</v>
      </c>
      <c r="AG3476">
        <v>-1.1017964725</v>
      </c>
      <c r="AH3476">
        <v>9.0111595781959295</v>
      </c>
      <c r="AI3476">
        <v>96.182683315647495</v>
      </c>
      <c r="AJ3476">
        <v>62.3723668464539</v>
      </c>
      <c r="AK3476">
        <v>10.2303423891337</v>
      </c>
    </row>
    <row r="3477" spans="1:37" x14ac:dyDescent="0.2">
      <c r="A3477" t="str">
        <f>"20200111160227574"</f>
        <v>20200111160227574</v>
      </c>
      <c r="B3477" t="str">
        <f>"1578729747565706"</f>
        <v>1578729747565706</v>
      </c>
      <c r="C3477" t="s">
        <v>37</v>
      </c>
      <c r="D3477">
        <v>5.1457600000000001</v>
      </c>
      <c r="E3477">
        <v>0.62824550000000001</v>
      </c>
      <c r="F3477" t="s">
        <v>38</v>
      </c>
      <c r="G3477">
        <v>-217.75110000000001</v>
      </c>
      <c r="H3477" s="1">
        <v>-1.046613E-6</v>
      </c>
      <c r="I3477">
        <v>139.62790000000001</v>
      </c>
      <c r="J3477">
        <v>-206.78469999999999</v>
      </c>
      <c r="K3477">
        <v>1.101723</v>
      </c>
      <c r="L3477">
        <v>140.69040000000001</v>
      </c>
      <c r="M3477">
        <v>-0.83258559999999904</v>
      </c>
      <c r="N3477">
        <v>0</v>
      </c>
      <c r="O3477">
        <v>-0.55375280000000004</v>
      </c>
      <c r="P3477">
        <v>-0.91111989999999998</v>
      </c>
      <c r="Q3477">
        <v>-2.8837160000000001E-2</v>
      </c>
      <c r="R3477">
        <v>-0.4111321</v>
      </c>
      <c r="S3477">
        <v>-3.1388240000000001</v>
      </c>
      <c r="T3477">
        <v>-0.3111177</v>
      </c>
      <c r="U3477">
        <v>-0.32600400000000002</v>
      </c>
      <c r="V3477">
        <v>0.16213939999999999</v>
      </c>
      <c r="W3477">
        <v>-1.7401980000000001E-2</v>
      </c>
      <c r="X3477">
        <v>0.9866144</v>
      </c>
      <c r="Y3477">
        <v>0.4602135</v>
      </c>
      <c r="Z3477">
        <v>7.4423439999999993E-2</v>
      </c>
      <c r="AA3477">
        <v>0.88468340000000001</v>
      </c>
      <c r="AB3477">
        <v>16</v>
      </c>
      <c r="AC3477">
        <v>-10.9664</v>
      </c>
      <c r="AD3477">
        <v>-1.1017240466130001</v>
      </c>
      <c r="AE3477">
        <v>-1.0625</v>
      </c>
      <c r="AF3477">
        <v>5.1370989191137104</v>
      </c>
      <c r="AG3477">
        <v>-1.1017240466130001</v>
      </c>
      <c r="AH3477">
        <v>9.6233772255203593</v>
      </c>
      <c r="AI3477">
        <v>95.767045345931294</v>
      </c>
      <c r="AJ3477">
        <v>61.906050879366603</v>
      </c>
      <c r="AK3477">
        <v>10.964167565497499</v>
      </c>
    </row>
    <row r="3478" spans="1:37" x14ac:dyDescent="0.2">
      <c r="A3478" t="str">
        <f>"20200111160227595"</f>
        <v>20200111160227595</v>
      </c>
      <c r="B3478" t="str">
        <f>"1578729747586204"</f>
        <v>1578729747586204</v>
      </c>
      <c r="C3478" t="s">
        <v>37</v>
      </c>
      <c r="D3478">
        <v>5.1891080000000001</v>
      </c>
      <c r="E3478">
        <v>0.6290133</v>
      </c>
      <c r="F3478" t="s">
        <v>38</v>
      </c>
      <c r="G3478">
        <v>-218.21690000000001</v>
      </c>
      <c r="H3478" s="1">
        <v>-8.3337399999999996E-7</v>
      </c>
      <c r="I3478">
        <v>139.5598</v>
      </c>
      <c r="J3478">
        <v>-206.91560000000001</v>
      </c>
      <c r="K3478">
        <v>1.1016760000000001</v>
      </c>
      <c r="L3478">
        <v>140.61099999999999</v>
      </c>
      <c r="M3478">
        <v>-0.83558929999999998</v>
      </c>
      <c r="N3478">
        <v>0</v>
      </c>
      <c r="O3478">
        <v>-0.54920979999999997</v>
      </c>
      <c r="P3478">
        <v>-0.91172889999999995</v>
      </c>
      <c r="Q3478">
        <v>-2.883666E-2</v>
      </c>
      <c r="R3478">
        <v>-0.40977920000000001</v>
      </c>
      <c r="S3478">
        <v>-3.1428069999999999</v>
      </c>
      <c r="T3478">
        <v>-0.30287120000000001</v>
      </c>
      <c r="U3478">
        <v>-0.31082149999999997</v>
      </c>
      <c r="V3478">
        <v>0.15822809999999901</v>
      </c>
      <c r="W3478">
        <v>-1.7389970000000001E-2</v>
      </c>
      <c r="X3478">
        <v>0.98724940000000005</v>
      </c>
      <c r="Y3478">
        <v>0.45999859999999998</v>
      </c>
      <c r="Z3478">
        <v>7.2030659999999996E-2</v>
      </c>
      <c r="AA3478">
        <v>0.88499309999999998</v>
      </c>
      <c r="AB3478">
        <v>16</v>
      </c>
      <c r="AC3478">
        <v>-11.3012999999999</v>
      </c>
      <c r="AD3478">
        <v>-1.1016768333739999</v>
      </c>
      <c r="AE3478">
        <v>-1.0511999999999899</v>
      </c>
      <c r="AF3478">
        <v>5.2791012773348998</v>
      </c>
      <c r="AG3478">
        <v>-1.1016768333739999</v>
      </c>
      <c r="AH3478">
        <v>9.9278389829411005</v>
      </c>
      <c r="AI3478">
        <v>95.595852977285503</v>
      </c>
      <c r="AJ3478">
        <v>61.998309874051401</v>
      </c>
      <c r="AK3478">
        <v>11.297990485602099</v>
      </c>
    </row>
    <row r="3479" spans="1:37" x14ac:dyDescent="0.2">
      <c r="A3479" t="str">
        <f>"20200111160227618"</f>
        <v>20200111160227618</v>
      </c>
      <c r="B3479" t="str">
        <f>"1578729747615483"</f>
        <v>1578729747615483</v>
      </c>
      <c r="C3479" t="s">
        <v>37</v>
      </c>
      <c r="D3479">
        <v>5.2585730000000002</v>
      </c>
      <c r="E3479">
        <v>0.62939489999999998</v>
      </c>
      <c r="F3479" t="s">
        <v>38</v>
      </c>
      <c r="G3479">
        <v>-218.49119999999999</v>
      </c>
      <c r="H3479" s="1">
        <v>-7.1315290000000004E-7</v>
      </c>
      <c r="I3479">
        <v>139.50649999999999</v>
      </c>
      <c r="J3479">
        <v>-207.05520000000001</v>
      </c>
      <c r="K3479">
        <v>1.10165</v>
      </c>
      <c r="L3479">
        <v>140.52770000000001</v>
      </c>
      <c r="M3479">
        <v>-0.83881149999999904</v>
      </c>
      <c r="N3479">
        <v>0</v>
      </c>
      <c r="O3479">
        <v>-0.54427609999999904</v>
      </c>
      <c r="P3479">
        <v>-0.91222230000000004</v>
      </c>
      <c r="Q3479">
        <v>-2.7695060000000001E-2</v>
      </c>
      <c r="R3479">
        <v>-0.40875899999999998</v>
      </c>
      <c r="S3479">
        <v>-3.1460720000000002</v>
      </c>
      <c r="T3479">
        <v>-0.29941859999999998</v>
      </c>
      <c r="U3479">
        <v>-0.30018620000000001</v>
      </c>
      <c r="V3479">
        <v>0.15353989999999901</v>
      </c>
      <c r="W3479">
        <v>-1.6222319999999998E-2</v>
      </c>
      <c r="X3479">
        <v>0.98800929999999998</v>
      </c>
      <c r="Y3479">
        <v>0.45795979999999997</v>
      </c>
      <c r="Z3479">
        <v>7.0675509999999997E-2</v>
      </c>
      <c r="AA3479">
        <v>0.88615900000000003</v>
      </c>
      <c r="AB3479">
        <v>16</v>
      </c>
      <c r="AC3479">
        <v>-11.4359999999999</v>
      </c>
      <c r="AD3479">
        <v>-1.1016507131529001</v>
      </c>
      <c r="AE3479">
        <v>-1.0212000000000201</v>
      </c>
      <c r="AF3479">
        <v>5.3192026583687202</v>
      </c>
      <c r="AG3479">
        <v>-1.1016507131529001</v>
      </c>
      <c r="AH3479">
        <v>10.0566829915941</v>
      </c>
      <c r="AI3479">
        <v>95.530900158255506</v>
      </c>
      <c r="AJ3479">
        <v>62.1246437647169</v>
      </c>
      <c r="AK3479">
        <v>11.429979177934101</v>
      </c>
    </row>
    <row r="3480" spans="1:37" x14ac:dyDescent="0.2">
      <c r="A3480" t="str">
        <f>"20200111160227638"</f>
        <v>20200111160227638</v>
      </c>
      <c r="B3480" t="str">
        <f>"1578729747635979"</f>
        <v>1578729747635979</v>
      </c>
      <c r="C3480" t="s">
        <v>37</v>
      </c>
      <c r="D3480">
        <v>5.2605969999999997</v>
      </c>
      <c r="E3480">
        <v>0.62945969999999996</v>
      </c>
      <c r="F3480" t="s">
        <v>38</v>
      </c>
      <c r="G3480">
        <v>-218.9024</v>
      </c>
      <c r="H3480" s="1">
        <v>-5.3352180000000005E-7</v>
      </c>
      <c r="I3480">
        <v>139.42339999999999</v>
      </c>
      <c r="J3480">
        <v>-207.18129999999999</v>
      </c>
      <c r="K3480">
        <v>1.101621</v>
      </c>
      <c r="L3480">
        <v>140.45339999999999</v>
      </c>
      <c r="M3480">
        <v>-0.84174090000000001</v>
      </c>
      <c r="N3480">
        <v>0</v>
      </c>
      <c r="O3480">
        <v>-0.5397343</v>
      </c>
      <c r="P3480">
        <v>-0.91275640000000002</v>
      </c>
      <c r="Q3480">
        <v>-2.591187E-2</v>
      </c>
      <c r="R3480">
        <v>-0.40768179999999998</v>
      </c>
      <c r="S3480">
        <v>-3.1482999999999999</v>
      </c>
      <c r="T3480">
        <v>-0.292753599999999</v>
      </c>
      <c r="U3480">
        <v>-0.29345700000000002</v>
      </c>
      <c r="V3480">
        <v>0.1494046</v>
      </c>
      <c r="W3480">
        <v>-1.4414069999999999E-2</v>
      </c>
      <c r="X3480">
        <v>0.98867109999999903</v>
      </c>
      <c r="Y3480">
        <v>0.45531470000000002</v>
      </c>
      <c r="Z3480">
        <v>6.8598679999999995E-2</v>
      </c>
      <c r="AA3480">
        <v>0.88768389999999997</v>
      </c>
      <c r="AB3480">
        <v>16</v>
      </c>
      <c r="AC3480">
        <v>-11.7211</v>
      </c>
      <c r="AD3480">
        <v>-1.1016215335218</v>
      </c>
      <c r="AE3480">
        <v>-1.03</v>
      </c>
      <c r="AF3480">
        <v>5.4122785462091398</v>
      </c>
      <c r="AG3480">
        <v>-1.1016215335218</v>
      </c>
      <c r="AH3480">
        <v>10.332314872122501</v>
      </c>
      <c r="AI3480">
        <v>95.395357707357704</v>
      </c>
      <c r="AJ3480">
        <v>62.3535302640231</v>
      </c>
      <c r="AK3480">
        <v>11.7159318742283</v>
      </c>
    </row>
    <row r="3481" spans="1:37" x14ac:dyDescent="0.2">
      <c r="A3481" t="str">
        <f>"20200111160227662"</f>
        <v>20200111160227662</v>
      </c>
      <c r="B3481" t="str">
        <f>"1578729747655498"</f>
        <v>1578729747655498</v>
      </c>
      <c r="C3481" t="s">
        <v>37</v>
      </c>
      <c r="D3481">
        <v>5.2847220000000004</v>
      </c>
      <c r="E3481">
        <v>0.62971469999999996</v>
      </c>
      <c r="F3481" t="s">
        <v>38</v>
      </c>
      <c r="G3481">
        <v>-219.34209999999999</v>
      </c>
      <c r="H3481" s="1">
        <v>-3.4092270000000001E-7</v>
      </c>
      <c r="I3481">
        <v>139.3374</v>
      </c>
      <c r="J3481">
        <v>-207.32599999999999</v>
      </c>
      <c r="K3481">
        <v>1.1019540000000001</v>
      </c>
      <c r="L3481">
        <v>140.36930000000001</v>
      </c>
      <c r="M3481">
        <v>-0.84492049999999996</v>
      </c>
      <c r="N3481">
        <v>0</v>
      </c>
      <c r="O3481">
        <v>-0.53472779999999998</v>
      </c>
      <c r="P3481">
        <v>-0.91396489999999997</v>
      </c>
      <c r="Q3481">
        <v>-2.445626E-2</v>
      </c>
      <c r="R3481">
        <v>-0.40505599999999897</v>
      </c>
      <c r="S3481">
        <v>-3.1495359999999999</v>
      </c>
      <c r="T3481">
        <v>-0.28530929999999999</v>
      </c>
      <c r="U3481">
        <v>-0.28903200000000001</v>
      </c>
      <c r="V3481">
        <v>0.14642260000000001</v>
      </c>
      <c r="W3481">
        <v>-1.2249319999999999E-2</v>
      </c>
      <c r="X3481">
        <v>0.98914629999999903</v>
      </c>
      <c r="Y3481">
        <v>0.451542</v>
      </c>
      <c r="Z3481">
        <v>6.6292999999999894E-2</v>
      </c>
      <c r="AA3481">
        <v>0.88978369999999996</v>
      </c>
      <c r="AB3481">
        <v>16</v>
      </c>
      <c r="AC3481">
        <v>-12.0160999999999</v>
      </c>
      <c r="AD3481">
        <v>-1.1019543409226999</v>
      </c>
      <c r="AE3481">
        <v>-1.0319</v>
      </c>
      <c r="AF3481">
        <v>5.5079733337784296</v>
      </c>
      <c r="AG3481">
        <v>-1.1019543409226999</v>
      </c>
      <c r="AH3481">
        <v>10.616740444922799</v>
      </c>
      <c r="AI3481">
        <v>95.263971007189298</v>
      </c>
      <c r="AJ3481">
        <v>62.579679972119898</v>
      </c>
      <c r="AK3481">
        <v>12.0111303085909</v>
      </c>
    </row>
    <row r="3482" spans="1:37" x14ac:dyDescent="0.2">
      <c r="A3482" t="str">
        <f>"20200111160227684"</f>
        <v>20200111160227684</v>
      </c>
      <c r="B3482" t="str">
        <f>"1578729747675995"</f>
        <v>1578729747675995</v>
      </c>
      <c r="C3482" t="s">
        <v>37</v>
      </c>
      <c r="D3482">
        <v>5.611059</v>
      </c>
      <c r="E3482">
        <v>0.62920730000000002</v>
      </c>
      <c r="F3482" t="s">
        <v>38</v>
      </c>
      <c r="G3482">
        <v>-219.572</v>
      </c>
      <c r="H3482" s="1">
        <v>-2.4099510000000001E-7</v>
      </c>
      <c r="I3482">
        <v>139.28809999999999</v>
      </c>
      <c r="J3482">
        <v>-207.45830000000001</v>
      </c>
      <c r="K3482">
        <v>1.1027</v>
      </c>
      <c r="L3482">
        <v>140.29310000000001</v>
      </c>
      <c r="M3482">
        <v>-0.84755360000000002</v>
      </c>
      <c r="N3482">
        <v>0</v>
      </c>
      <c r="O3482">
        <v>-0.53050679999999995</v>
      </c>
      <c r="P3482">
        <v>-0.91522440000000005</v>
      </c>
      <c r="Q3482">
        <v>-2.245345E-2</v>
      </c>
      <c r="R3482">
        <v>-0.40231830000000002</v>
      </c>
      <c r="S3482">
        <v>-3.1514739999999999</v>
      </c>
      <c r="T3482">
        <v>-0.28358349999999999</v>
      </c>
      <c r="U3482">
        <v>-0.27824399999999999</v>
      </c>
      <c r="V3482">
        <v>0.1445187</v>
      </c>
      <c r="W3482">
        <v>-8.6876790000000002E-3</v>
      </c>
      <c r="X3482">
        <v>0.98946389999999995</v>
      </c>
      <c r="Y3482">
        <v>0.45024750000000002</v>
      </c>
      <c r="Z3482">
        <v>6.5495910000000004E-2</v>
      </c>
      <c r="AA3482">
        <v>0.89049849999999997</v>
      </c>
      <c r="AB3482">
        <v>16</v>
      </c>
      <c r="AC3482">
        <v>-12.1136999999999</v>
      </c>
      <c r="AD3482">
        <v>-1.1027002409950999</v>
      </c>
      <c r="AE3482">
        <v>-1.0050000000000201</v>
      </c>
      <c r="AF3482">
        <v>5.5297018137612204</v>
      </c>
      <c r="AG3482">
        <v>-1.1027002409950999</v>
      </c>
      <c r="AH3482">
        <v>10.7131671031851</v>
      </c>
      <c r="AI3482">
        <v>95.225965826721904</v>
      </c>
      <c r="AJ3482">
        <v>62.6990542465403</v>
      </c>
      <c r="AK3482">
        <v>12.1064238878115</v>
      </c>
    </row>
    <row r="3483" spans="1:37" x14ac:dyDescent="0.2">
      <c r="A3483" t="str">
        <f>"20200111160227706"</f>
        <v>20200111160227706</v>
      </c>
      <c r="B3483" t="str">
        <f>"1578729747695524"</f>
        <v>1578729747695524</v>
      </c>
      <c r="C3483" t="s">
        <v>37</v>
      </c>
      <c r="D3483">
        <v>5.3287009999999997</v>
      </c>
      <c r="E3483">
        <v>0.62916329999999998</v>
      </c>
      <c r="F3483" t="s">
        <v>38</v>
      </c>
      <c r="G3483">
        <v>-219.9761</v>
      </c>
      <c r="H3483" s="1">
        <v>-4.3547220000000002E-6</v>
      </c>
      <c r="I3483">
        <v>139.20930000000001</v>
      </c>
      <c r="J3483">
        <v>-207.58349999999999</v>
      </c>
      <c r="K3483">
        <v>1.1034839999999999</v>
      </c>
      <c r="L3483">
        <v>140.22139999999999</v>
      </c>
      <c r="M3483">
        <v>-0.84983929999999996</v>
      </c>
      <c r="N3483">
        <v>0</v>
      </c>
      <c r="O3483">
        <v>-0.52678840000000005</v>
      </c>
      <c r="P3483">
        <v>-0.91660359999999996</v>
      </c>
      <c r="Q3483">
        <v>-2.1018680000000001E-2</v>
      </c>
      <c r="R3483">
        <v>-0.39924470000000001</v>
      </c>
      <c r="S3483">
        <v>-3.151138</v>
      </c>
      <c r="T3483">
        <v>-0.2775878</v>
      </c>
      <c r="U3483">
        <v>-0.2728119</v>
      </c>
      <c r="V3483">
        <v>0.14355970000000001</v>
      </c>
      <c r="W3483">
        <v>-5.4533790000000004E-3</v>
      </c>
      <c r="X3483">
        <v>0.98962659999999902</v>
      </c>
      <c r="Y3483">
        <v>0.44804300000000002</v>
      </c>
      <c r="Z3483">
        <v>6.3759629999999998E-2</v>
      </c>
      <c r="AA3483">
        <v>0.89173549999999902</v>
      </c>
      <c r="AB3483">
        <v>15</v>
      </c>
      <c r="AC3483">
        <v>-12.3926</v>
      </c>
      <c r="AD3483">
        <v>-1.103488354722</v>
      </c>
      <c r="AE3483">
        <v>-1.01209999999997</v>
      </c>
      <c r="AF3483">
        <v>5.6246115738632803</v>
      </c>
      <c r="AG3483">
        <v>-1.103488354722</v>
      </c>
      <c r="AH3483">
        <v>10.9798782405701</v>
      </c>
      <c r="AI3483">
        <v>95.111370907700206</v>
      </c>
      <c r="AJ3483">
        <v>62.875507477267902</v>
      </c>
      <c r="AK3483">
        <v>12.385946394345</v>
      </c>
    </row>
    <row r="3484" spans="1:37" x14ac:dyDescent="0.2">
      <c r="A3484" t="str">
        <f>"20200111160227729"</f>
        <v>20200111160227729</v>
      </c>
      <c r="B3484" t="str">
        <f>"1578729747725770"</f>
        <v>1578729747725770</v>
      </c>
      <c r="C3484" t="s">
        <v>37</v>
      </c>
      <c r="D3484">
        <v>5.6239910000000002</v>
      </c>
      <c r="E3484">
        <v>0.62909130000000002</v>
      </c>
      <c r="F3484" t="s">
        <v>38</v>
      </c>
      <c r="G3484">
        <v>-220.1756</v>
      </c>
      <c r="H3484" s="1">
        <v>-4.2759960000000001E-6</v>
      </c>
      <c r="I3484">
        <v>139.17080000000001</v>
      </c>
      <c r="J3484">
        <v>-207.70570000000001</v>
      </c>
      <c r="K3484">
        <v>1.1041129999999999</v>
      </c>
      <c r="L3484">
        <v>140.15180000000001</v>
      </c>
      <c r="M3484">
        <v>-0.85185549999999999</v>
      </c>
      <c r="N3484">
        <v>0</v>
      </c>
      <c r="O3484">
        <v>-0.52346479999999995</v>
      </c>
      <c r="P3484">
        <v>-0.91826269999999999</v>
      </c>
      <c r="Q3484">
        <v>-2.070609E-2</v>
      </c>
      <c r="R3484">
        <v>-0.39543030000000001</v>
      </c>
      <c r="S3484">
        <v>-3.1520839999999999</v>
      </c>
      <c r="T3484">
        <v>-0.27622929999999901</v>
      </c>
      <c r="U3484">
        <v>-0.26298519999999997</v>
      </c>
      <c r="V3484">
        <v>0.14384149999999901</v>
      </c>
      <c r="W3484">
        <v>-3.3147889999999998E-3</v>
      </c>
      <c r="X3484">
        <v>0.98959519999999901</v>
      </c>
      <c r="Y3484">
        <v>0.447403299999999</v>
      </c>
      <c r="Z3484">
        <v>6.3172629999999994E-2</v>
      </c>
      <c r="AA3484">
        <v>0.89209839999999996</v>
      </c>
      <c r="AB3484">
        <v>15</v>
      </c>
      <c r="AC3484">
        <v>-12.4698999999999</v>
      </c>
      <c r="AD3484">
        <v>-1.1041172759959901</v>
      </c>
      <c r="AE3484">
        <v>-0.98099999999999399</v>
      </c>
      <c r="AF3484">
        <v>5.6488007507429501</v>
      </c>
      <c r="AG3484">
        <v>-1.1041172759959901</v>
      </c>
      <c r="AH3484">
        <v>11.051781282477201</v>
      </c>
      <c r="AI3484">
        <v>95.083515477200194</v>
      </c>
      <c r="AJ3484">
        <v>62.927457169661203</v>
      </c>
      <c r="AK3484">
        <v>12.460734103433101</v>
      </c>
    </row>
    <row r="3485" spans="1:37" x14ac:dyDescent="0.2">
      <c r="A3485" t="str">
        <f>"20200111160227752"</f>
        <v>20200111160227752</v>
      </c>
      <c r="B3485" t="str">
        <f>"1578729747745291"</f>
        <v>1578729747745291</v>
      </c>
      <c r="C3485" t="s">
        <v>37</v>
      </c>
      <c r="D3485">
        <v>5.3844599999999998</v>
      </c>
      <c r="E3485">
        <v>0.62902139999999995</v>
      </c>
      <c r="F3485" t="s">
        <v>38</v>
      </c>
      <c r="G3485">
        <v>-220.38210000000001</v>
      </c>
      <c r="H3485" s="1">
        <v>-4.1918579999999997E-6</v>
      </c>
      <c r="I3485">
        <v>139.1456</v>
      </c>
      <c r="J3485">
        <v>-207.83179999999999</v>
      </c>
      <c r="K3485">
        <v>1.1046069999999999</v>
      </c>
      <c r="L3485">
        <v>140.0804</v>
      </c>
      <c r="M3485">
        <v>-0.85385200000000006</v>
      </c>
      <c r="N3485">
        <v>0</v>
      </c>
      <c r="O3485">
        <v>-0.52013489999999996</v>
      </c>
      <c r="P3485">
        <v>-0.92009799999999997</v>
      </c>
      <c r="Q3485">
        <v>-2.043789E-2</v>
      </c>
      <c r="R3485">
        <v>-0.39115490000000003</v>
      </c>
      <c r="S3485">
        <v>-3.153076</v>
      </c>
      <c r="T3485">
        <v>-0.27463500000000002</v>
      </c>
      <c r="U3485">
        <v>-0.25025940000000002</v>
      </c>
      <c r="V3485">
        <v>0.14461260000000001</v>
      </c>
      <c r="W3485">
        <v>-1.1720369999999999E-3</v>
      </c>
      <c r="X3485">
        <v>0.98948760000000002</v>
      </c>
      <c r="Y3485">
        <v>0.44758559999999997</v>
      </c>
      <c r="Z3485">
        <v>6.2573110000000001E-2</v>
      </c>
      <c r="AA3485">
        <v>0.89204919999999999</v>
      </c>
      <c r="AB3485">
        <v>15</v>
      </c>
      <c r="AC3485">
        <v>-12.5503</v>
      </c>
      <c r="AD3485">
        <v>-1.1046111918579999</v>
      </c>
      <c r="AE3485">
        <v>-0.93479999999999497</v>
      </c>
      <c r="AF3485">
        <v>5.68699253570077</v>
      </c>
      <c r="AG3485">
        <v>-1.1046111918579999</v>
      </c>
      <c r="AH3485">
        <v>11.1188838598258</v>
      </c>
      <c r="AI3485">
        <v>95.0545305293941</v>
      </c>
      <c r="AJ3485">
        <v>62.911548941757701</v>
      </c>
      <c r="AK3485">
        <v>12.5376085548476</v>
      </c>
    </row>
    <row r="3486" spans="1:37" x14ac:dyDescent="0.2">
      <c r="A3486" t="str">
        <f>"20200111160227775"</f>
        <v>20200111160227775</v>
      </c>
      <c r="B3486" t="str">
        <f>"1578729747765786"</f>
        <v>1578729747765786</v>
      </c>
      <c r="C3486" t="s">
        <v>37</v>
      </c>
      <c r="D3486">
        <v>5.3140549999999998</v>
      </c>
      <c r="E3486">
        <v>0.62879479999999999</v>
      </c>
      <c r="F3486" t="s">
        <v>38</v>
      </c>
      <c r="G3486">
        <v>-220.34880000000001</v>
      </c>
      <c r="H3486" s="1">
        <v>-4.2066749999999998E-6</v>
      </c>
      <c r="I3486">
        <v>139.14250000000001</v>
      </c>
      <c r="J3486">
        <v>-207.95750000000001</v>
      </c>
      <c r="K3486">
        <v>1.104765</v>
      </c>
      <c r="L3486">
        <v>140.01</v>
      </c>
      <c r="M3486">
        <v>-0.85608879999999998</v>
      </c>
      <c r="N3486">
        <v>0</v>
      </c>
      <c r="O3486">
        <v>-0.516378</v>
      </c>
      <c r="P3486">
        <v>-0.92203709999999905</v>
      </c>
      <c r="Q3486">
        <v>-1.9451610000000001E-2</v>
      </c>
      <c r="R3486">
        <v>-0.38661250000000003</v>
      </c>
      <c r="S3486">
        <v>-3.1539000000000001</v>
      </c>
      <c r="T3486">
        <v>-0.27832839999999998</v>
      </c>
      <c r="U3486">
        <v>-0.23631289999999999</v>
      </c>
      <c r="V3486">
        <v>0.14518420000000001</v>
      </c>
      <c r="W3486">
        <v>1.451794E-3</v>
      </c>
      <c r="X3486">
        <v>0.98940360000000005</v>
      </c>
      <c r="Y3486">
        <v>0.44753890000000002</v>
      </c>
      <c r="Z3486">
        <v>6.3133400000000006E-2</v>
      </c>
      <c r="AA3486">
        <v>0.89203310000000002</v>
      </c>
      <c r="AB3486">
        <v>14</v>
      </c>
      <c r="AC3486">
        <v>-12.391299999999999</v>
      </c>
      <c r="AD3486">
        <v>-1.1047692066749999</v>
      </c>
      <c r="AE3486">
        <v>-0.86749999999997796</v>
      </c>
      <c r="AF3486">
        <v>5.6128565328459601</v>
      </c>
      <c r="AG3486">
        <v>-1.1047692066749999</v>
      </c>
      <c r="AH3486">
        <v>10.9717976856421</v>
      </c>
      <c r="AI3486">
        <v>95.122455441303401</v>
      </c>
      <c r="AJ3486">
        <v>62.9070191764242</v>
      </c>
      <c r="AK3486">
        <v>12.3735612461809</v>
      </c>
    </row>
    <row r="3487" spans="1:37" x14ac:dyDescent="0.2">
      <c r="A3487" t="str">
        <f>"20200111160227798"</f>
        <v>20200111160227798</v>
      </c>
      <c r="B3487" t="str">
        <f>"1578729747796043"</f>
        <v>1578729747796043</v>
      </c>
      <c r="C3487" t="s">
        <v>37</v>
      </c>
      <c r="D3487">
        <v>5.3172739999999896</v>
      </c>
      <c r="E3487">
        <v>0.62805719999999898</v>
      </c>
      <c r="F3487" t="s">
        <v>38</v>
      </c>
      <c r="G3487">
        <v>-220.7295</v>
      </c>
      <c r="H3487" s="1">
        <v>-4.0489959999999996E-6</v>
      </c>
      <c r="I3487">
        <v>139.11070000000001</v>
      </c>
      <c r="J3487">
        <v>-208.08099999999999</v>
      </c>
      <c r="K3487">
        <v>1.1042700000000001</v>
      </c>
      <c r="L3487">
        <v>139.94220000000001</v>
      </c>
      <c r="M3487">
        <v>-0.85894219999999899</v>
      </c>
      <c r="N3487">
        <v>0</v>
      </c>
      <c r="O3487">
        <v>-0.51158219999999999</v>
      </c>
      <c r="P3487">
        <v>-0.92435619999999996</v>
      </c>
      <c r="Q3487">
        <v>-1.7815520000000001E-2</v>
      </c>
      <c r="R3487">
        <v>-0.38111499999999998</v>
      </c>
      <c r="S3487">
        <v>-3.1547700000000001</v>
      </c>
      <c r="T3487">
        <v>-0.27288449999999997</v>
      </c>
      <c r="U3487">
        <v>-0.22212219999999999</v>
      </c>
      <c r="V3487">
        <v>0.14558219999999999</v>
      </c>
      <c r="W3487">
        <v>3.742989E-3</v>
      </c>
      <c r="X3487">
        <v>0.98933909999999903</v>
      </c>
      <c r="Y3487">
        <v>0.44671880000000003</v>
      </c>
      <c r="Z3487">
        <v>6.1517080000000002E-2</v>
      </c>
      <c r="AA3487">
        <v>0.89255699999999905</v>
      </c>
      <c r="AB3487">
        <v>13</v>
      </c>
      <c r="AC3487">
        <v>-12.6485</v>
      </c>
      <c r="AD3487">
        <v>-1.1042740489959999</v>
      </c>
      <c r="AE3487">
        <v>-0.83150000000000501</v>
      </c>
      <c r="AF3487">
        <v>5.7146122856541401</v>
      </c>
      <c r="AG3487">
        <v>-1.1042740489959999</v>
      </c>
      <c r="AH3487">
        <v>11.207488300432701</v>
      </c>
      <c r="AI3487">
        <v>95.016443484751605</v>
      </c>
      <c r="AJ3487">
        <v>62.9833144457386</v>
      </c>
      <c r="AK3487">
        <v>12.6286978249925</v>
      </c>
    </row>
    <row r="3488" spans="1:37" x14ac:dyDescent="0.2">
      <c r="A3488" t="str">
        <f>"20200111160227821"</f>
        <v>20200111160227821</v>
      </c>
      <c r="B3488" t="str">
        <f>"1578729747815563"</f>
        <v>1578729747815563</v>
      </c>
      <c r="C3488" t="s">
        <v>37</v>
      </c>
      <c r="D3488">
        <v>5.3073860000000002</v>
      </c>
      <c r="E3488">
        <v>0.62759489999999996</v>
      </c>
      <c r="F3488" t="s">
        <v>38</v>
      </c>
      <c r="G3488">
        <v>-220.93799999999999</v>
      </c>
      <c r="H3488" s="1">
        <v>-3.963145E-6</v>
      </c>
      <c r="I3488">
        <v>139.09059999999999</v>
      </c>
      <c r="J3488">
        <v>-208.20330000000001</v>
      </c>
      <c r="K3488">
        <v>1.1031549999999899</v>
      </c>
      <c r="L3488">
        <v>139.87719999999999</v>
      </c>
      <c r="M3488">
        <v>-0.86222430000000005</v>
      </c>
      <c r="N3488">
        <v>0</v>
      </c>
      <c r="O3488">
        <v>-0.50604989999999905</v>
      </c>
      <c r="P3488">
        <v>-0.926774599999999</v>
      </c>
      <c r="Q3488">
        <v>-1.534081E-2</v>
      </c>
      <c r="R3488">
        <v>-0.3753051</v>
      </c>
      <c r="S3488">
        <v>-3.1541290000000002</v>
      </c>
      <c r="T3488">
        <v>-0.27090500000000001</v>
      </c>
      <c r="U3488">
        <v>-0.20892329999999901</v>
      </c>
      <c r="V3488">
        <v>0.14546870000000001</v>
      </c>
      <c r="W3488">
        <v>5.5067900000000001E-3</v>
      </c>
      <c r="X3488">
        <v>0.98934750000000005</v>
      </c>
      <c r="Y3488">
        <v>0.44474449999999999</v>
      </c>
      <c r="Z3488">
        <v>6.0608879999999997E-2</v>
      </c>
      <c r="AA3488">
        <v>0.89360439999999997</v>
      </c>
      <c r="AB3488">
        <v>13</v>
      </c>
      <c r="AC3488">
        <v>-12.734699999999901</v>
      </c>
      <c r="AD3488">
        <v>-1.1031589631449901</v>
      </c>
      <c r="AE3488">
        <v>-0.78659999999999197</v>
      </c>
      <c r="AF3488">
        <v>5.7247644159733699</v>
      </c>
      <c r="AG3488">
        <v>-1.1031589631449901</v>
      </c>
      <c r="AH3488">
        <v>11.2965259952362</v>
      </c>
      <c r="AI3488">
        <v>94.978342648988004</v>
      </c>
      <c r="AJ3488">
        <v>63.1253793502419</v>
      </c>
      <c r="AK3488">
        <v>12.7122534146157</v>
      </c>
    </row>
    <row r="3489" spans="1:37" x14ac:dyDescent="0.2">
      <c r="A3489" t="str">
        <f>"20200111160227841"</f>
        <v>20200111160227841</v>
      </c>
      <c r="B3489" t="str">
        <f>"1578729747836058"</f>
        <v>1578729747836058</v>
      </c>
      <c r="C3489" t="s">
        <v>37</v>
      </c>
      <c r="D3489">
        <v>5.3231589999999898</v>
      </c>
      <c r="E3489">
        <v>0.62698710000000002</v>
      </c>
      <c r="F3489" t="s">
        <v>38</v>
      </c>
      <c r="G3489">
        <v>-221.37970000000001</v>
      </c>
      <c r="H3489" s="1">
        <v>-3.77674399999999E-6</v>
      </c>
      <c r="I3489">
        <v>139.07310000000001</v>
      </c>
      <c r="J3489">
        <v>-208.31809999999999</v>
      </c>
      <c r="K3489">
        <v>1.1021259999999999</v>
      </c>
      <c r="L3489">
        <v>139.81829999999999</v>
      </c>
      <c r="M3489">
        <v>-0.86529529999999999</v>
      </c>
      <c r="N3489">
        <v>0</v>
      </c>
      <c r="O3489">
        <v>-0.50082090000000001</v>
      </c>
      <c r="P3489">
        <v>-0.92862670000000003</v>
      </c>
      <c r="Q3489">
        <v>-1.32137E-2</v>
      </c>
      <c r="R3489">
        <v>-0.37078030000000001</v>
      </c>
      <c r="S3489">
        <v>-3.15473899999999</v>
      </c>
      <c r="T3489">
        <v>-0.26412350000000001</v>
      </c>
      <c r="U3489">
        <v>-0.19250490000000001</v>
      </c>
      <c r="V3489">
        <v>0.1443276</v>
      </c>
      <c r="W3489">
        <v>6.49001E-3</v>
      </c>
      <c r="X3489">
        <v>0.98950869999999902</v>
      </c>
      <c r="Y3489">
        <v>0.44414350000000002</v>
      </c>
      <c r="Z3489">
        <v>5.8702619999999997E-2</v>
      </c>
      <c r="AA3489">
        <v>0.89403049999999995</v>
      </c>
      <c r="AB3489">
        <v>13</v>
      </c>
      <c r="AC3489">
        <v>-13.0616</v>
      </c>
      <c r="AD3489">
        <v>-1.1021297767439999</v>
      </c>
      <c r="AE3489">
        <v>-0.74519999999998199</v>
      </c>
      <c r="AF3489">
        <v>5.8564472791732296</v>
      </c>
      <c r="AG3489">
        <v>-1.1021297767439999</v>
      </c>
      <c r="AH3489">
        <v>11.5956449319147</v>
      </c>
      <c r="AI3489">
        <v>94.849374949592999</v>
      </c>
      <c r="AJ3489">
        <v>63.203678750951397</v>
      </c>
      <c r="AK3489">
        <v>13.037317445148</v>
      </c>
    </row>
    <row r="3490" spans="1:37" x14ac:dyDescent="0.2">
      <c r="A3490" t="str">
        <f>"20200111160227864"</f>
        <v>20200111160227864</v>
      </c>
      <c r="B3490" t="str">
        <f>"1578729747855578"</f>
        <v>1578729747855578</v>
      </c>
      <c r="C3490" t="s">
        <v>37</v>
      </c>
      <c r="D3490">
        <v>5.3103179999999996</v>
      </c>
      <c r="E3490">
        <v>0.61455719999999903</v>
      </c>
      <c r="F3490" t="s">
        <v>38</v>
      </c>
      <c r="G3490">
        <v>-221.75620000000001</v>
      </c>
      <c r="H3490" s="1">
        <v>-3.6202359999999998E-6</v>
      </c>
      <c r="I3490">
        <v>139.04490000000001</v>
      </c>
      <c r="J3490">
        <v>-208.44099999999901</v>
      </c>
      <c r="K3490">
        <v>1.1015219999999999</v>
      </c>
      <c r="L3490">
        <v>139.75710000000001</v>
      </c>
      <c r="M3490">
        <v>-0.86848029999999998</v>
      </c>
      <c r="N3490">
        <v>0</v>
      </c>
      <c r="O3490">
        <v>-0.49531520000000001</v>
      </c>
      <c r="P3490">
        <v>-0.93045299999999997</v>
      </c>
      <c r="Q3490">
        <v>-1.099777E-2</v>
      </c>
      <c r="R3490">
        <v>-0.36624600000000002</v>
      </c>
      <c r="S3490">
        <v>-3.1544189999999999</v>
      </c>
      <c r="T3490">
        <v>-0.25871260000000001</v>
      </c>
      <c r="U3490">
        <v>-0.1815186</v>
      </c>
      <c r="V3490">
        <v>0.14288970000000001</v>
      </c>
      <c r="W3490">
        <v>7.7016230000000003E-3</v>
      </c>
      <c r="X3490">
        <v>0.9897087</v>
      </c>
      <c r="Y3490">
        <v>0.44169609999999898</v>
      </c>
      <c r="Z3490">
        <v>5.702948E-2</v>
      </c>
      <c r="AA3490">
        <v>0.89535030000000004</v>
      </c>
      <c r="AB3490">
        <v>14</v>
      </c>
      <c r="AC3490">
        <v>-13.315200000000001</v>
      </c>
      <c r="AD3490">
        <v>-1.101525620236</v>
      </c>
      <c r="AE3490">
        <v>-0.71219999999999495</v>
      </c>
      <c r="AF3490">
        <v>5.93738138945091</v>
      </c>
      <c r="AG3490">
        <v>-1.101525620236</v>
      </c>
      <c r="AH3490">
        <v>11.8383774777095</v>
      </c>
      <c r="AI3490">
        <v>94.754494952705002</v>
      </c>
      <c r="AJ3490">
        <v>63.364552606691397</v>
      </c>
      <c r="AK3490">
        <v>13.2895838068983</v>
      </c>
    </row>
    <row r="3491" spans="1:37" x14ac:dyDescent="0.2">
      <c r="A3491" t="str">
        <f>"20200111160227886"</f>
        <v>20200111160227886</v>
      </c>
      <c r="B3491" t="str">
        <f>"1578729747877052"</f>
        <v>1578729747877052</v>
      </c>
      <c r="C3491" t="s">
        <v>37</v>
      </c>
      <c r="D3491">
        <v>5.1910889999999998</v>
      </c>
      <c r="E3491">
        <v>0.61754229999999999</v>
      </c>
      <c r="F3491" t="s">
        <v>38</v>
      </c>
      <c r="G3491">
        <v>-219.02619999999999</v>
      </c>
      <c r="H3491" s="1">
        <v>-5.7387680000000004E-7</v>
      </c>
      <c r="I3491">
        <v>138.86600000000001</v>
      </c>
      <c r="J3491">
        <v>-208.56440000000001</v>
      </c>
      <c r="K3491">
        <v>1.101448</v>
      </c>
      <c r="L3491">
        <v>139.697</v>
      </c>
      <c r="M3491">
        <v>-0.8717009</v>
      </c>
      <c r="N3491">
        <v>0</v>
      </c>
      <c r="O3491">
        <v>-0.489656499999999</v>
      </c>
      <c r="P3491">
        <v>-0.93213409999999997</v>
      </c>
      <c r="Q3491">
        <v>-8.2269439999999999E-3</v>
      </c>
      <c r="R3491">
        <v>-0.36202020000000001</v>
      </c>
      <c r="S3491">
        <v>-3.117111</v>
      </c>
      <c r="T3491">
        <v>-0.32437500000000002</v>
      </c>
      <c r="U3491">
        <v>-0.26239009999999902</v>
      </c>
      <c r="V3491">
        <v>0.1409637</v>
      </c>
      <c r="W3491">
        <v>9.7614820000000001E-3</v>
      </c>
      <c r="X3491">
        <v>0.98996659999999903</v>
      </c>
      <c r="Y3491">
        <v>0.4102924</v>
      </c>
      <c r="Z3491">
        <v>6.9994490000000006E-2</v>
      </c>
      <c r="AA3491">
        <v>0.90926399999999996</v>
      </c>
      <c r="AB3491">
        <v>14</v>
      </c>
      <c r="AC3491">
        <v>-10.461799999999901</v>
      </c>
      <c r="AD3491">
        <v>-1.1014485738768001</v>
      </c>
      <c r="AE3491">
        <v>-0.83099999999998797</v>
      </c>
      <c r="AF3491">
        <v>4.3511993391714698</v>
      </c>
      <c r="AG3491">
        <v>-1.1014485738768001</v>
      </c>
      <c r="AH3491">
        <v>9.4244371522181094</v>
      </c>
      <c r="AI3491">
        <v>96.056898037948002</v>
      </c>
      <c r="AJ3491">
        <v>65.217546962614605</v>
      </c>
      <c r="AK3491">
        <v>10.4386847967648</v>
      </c>
    </row>
    <row r="3492" spans="1:37" x14ac:dyDescent="0.2">
      <c r="A3492" t="str">
        <f>"20200111160227931"</f>
        <v>20200111160227931</v>
      </c>
      <c r="B3492" t="str">
        <f>"1578729747925850"</f>
        <v>1578729747925850</v>
      </c>
      <c r="C3492" t="s">
        <v>37</v>
      </c>
      <c r="D3492">
        <v>5.4275820000000001</v>
      </c>
      <c r="E3492">
        <v>0.62041309999999905</v>
      </c>
      <c r="F3492" t="s">
        <v>38</v>
      </c>
      <c r="G3492">
        <v>-220.27269999999999</v>
      </c>
      <c r="H3492" s="1">
        <v>-4.290614E-6</v>
      </c>
      <c r="I3492">
        <v>138.8535</v>
      </c>
      <c r="J3492">
        <v>-208.8141</v>
      </c>
      <c r="K3492">
        <v>1.1018829999999999</v>
      </c>
      <c r="L3492">
        <v>139.57730000000001</v>
      </c>
      <c r="M3492">
        <v>-0.87867070000000003</v>
      </c>
      <c r="N3492">
        <v>0</v>
      </c>
      <c r="O3492">
        <v>-0.47710950000000002</v>
      </c>
      <c r="P3492">
        <v>-0.93577149999999998</v>
      </c>
      <c r="Q3492">
        <v>-4.69432599999999E-3</v>
      </c>
      <c r="R3492">
        <v>-0.35257630000000001</v>
      </c>
      <c r="S3492">
        <v>-3.1283110000000001</v>
      </c>
      <c r="T3492">
        <v>-0.29429539999999998</v>
      </c>
      <c r="U3492">
        <v>-0.2253571</v>
      </c>
      <c r="V3492">
        <v>0.13676540000000001</v>
      </c>
      <c r="W3492">
        <v>1.171735E-2</v>
      </c>
      <c r="X3492">
        <v>0.99053419999999903</v>
      </c>
      <c r="Y3492">
        <v>0.40908040000000001</v>
      </c>
      <c r="Z3492">
        <v>6.2274650000000001E-2</v>
      </c>
      <c r="AA3492">
        <v>0.91037080000000004</v>
      </c>
      <c r="AB3492">
        <v>13</v>
      </c>
      <c r="AC3492">
        <v>-11.458599999999899</v>
      </c>
      <c r="AD3492">
        <v>-1.101887290614</v>
      </c>
      <c r="AE3492">
        <v>-0.72380000000001099</v>
      </c>
      <c r="AF3492">
        <v>4.7876636976106797</v>
      </c>
      <c r="AG3492">
        <v>-1.101887290614</v>
      </c>
      <c r="AH3492">
        <v>10.3201989826572</v>
      </c>
      <c r="AI3492">
        <v>95.532134890804301</v>
      </c>
      <c r="AJ3492">
        <v>65.112850890362594</v>
      </c>
      <c r="AK3492">
        <v>11.429890039903</v>
      </c>
    </row>
    <row r="3493" spans="1:37" x14ac:dyDescent="0.2">
      <c r="A3493" t="str">
        <f>"20200111160228042"</f>
        <v>20200111160228042</v>
      </c>
      <c r="B3493" t="str">
        <f>"1578729748035162"</f>
        <v>1578729748035162</v>
      </c>
      <c r="C3493" t="s">
        <v>37</v>
      </c>
      <c r="D3493">
        <v>4.863575</v>
      </c>
      <c r="E3493">
        <v>0.6170177</v>
      </c>
      <c r="F3493" t="s">
        <v>38</v>
      </c>
      <c r="G3493">
        <v>-222.55709999999999</v>
      </c>
      <c r="H3493" s="1">
        <v>-3.3155050000000002E-6</v>
      </c>
      <c r="I3493">
        <v>138.82570000000001</v>
      </c>
      <c r="J3493">
        <v>-209.46</v>
      </c>
      <c r="K3493">
        <v>1.1011949999999999</v>
      </c>
      <c r="L3493">
        <v>139.2825</v>
      </c>
      <c r="M3493">
        <v>-0.89480869999999901</v>
      </c>
      <c r="N3493">
        <v>0</v>
      </c>
      <c r="O3493">
        <v>-0.44628129999999999</v>
      </c>
      <c r="P3493">
        <v>-0.94551209999999997</v>
      </c>
      <c r="Q3493">
        <v>1.3277250000000001E-3</v>
      </c>
      <c r="R3493">
        <v>-0.32558490000000001</v>
      </c>
      <c r="S3493">
        <v>-3.1399689999999998</v>
      </c>
      <c r="T3493">
        <v>-0.25175710000000001</v>
      </c>
      <c r="U3493">
        <v>-0.1717072</v>
      </c>
      <c r="V3493">
        <v>0.1307256</v>
      </c>
      <c r="W3493">
        <v>1.262519E-2</v>
      </c>
      <c r="X3493">
        <v>0.99133819999999995</v>
      </c>
      <c r="Y3493">
        <v>0.3941926</v>
      </c>
      <c r="Z3493">
        <v>5.0367250000000002E-2</v>
      </c>
      <c r="AA3493">
        <v>0.91764659999999998</v>
      </c>
      <c r="AB3493">
        <v>14</v>
      </c>
      <c r="AC3493">
        <v>-13.0970999999999</v>
      </c>
      <c r="AD3493">
        <v>-1.101198315505</v>
      </c>
      <c r="AE3493">
        <v>-0.45679999999998699</v>
      </c>
      <c r="AF3493">
        <v>5.3985331630876203</v>
      </c>
      <c r="AG3493">
        <v>-1.101198315505</v>
      </c>
      <c r="AH3493">
        <v>11.8405534365095</v>
      </c>
      <c r="AI3493">
        <v>94.836946484521803</v>
      </c>
      <c r="AJ3493">
        <v>65.490055608324099</v>
      </c>
      <c r="AK3493">
        <v>13.059690031768101</v>
      </c>
    </row>
    <row r="3494" spans="1:37" x14ac:dyDescent="0.2">
      <c r="A3494" t="str">
        <f>"20200111160228133"</f>
        <v>20200111160228133</v>
      </c>
      <c r="B3494" t="str">
        <f>"1578729748125930"</f>
        <v>1578729748125930</v>
      </c>
      <c r="C3494" t="s">
        <v>37</v>
      </c>
      <c r="D3494">
        <v>5.2658519999999998</v>
      </c>
      <c r="E3494">
        <v>0.60669249999999997</v>
      </c>
      <c r="F3494" t="s">
        <v>38</v>
      </c>
      <c r="G3494">
        <v>-221.96809999999999</v>
      </c>
      <c r="H3494" s="1">
        <v>-3.5650830000000001E-6</v>
      </c>
      <c r="I3494">
        <v>138.8434</v>
      </c>
      <c r="J3494">
        <v>-210.01840000000001</v>
      </c>
      <c r="K3494">
        <v>1.1005259999999999</v>
      </c>
      <c r="L3494">
        <v>139.0504</v>
      </c>
      <c r="M3494">
        <v>-0.90780209999999995</v>
      </c>
      <c r="N3494">
        <v>0</v>
      </c>
      <c r="O3494">
        <v>-0.41930770000000001</v>
      </c>
      <c r="P3494">
        <v>-0.95454649999999996</v>
      </c>
      <c r="Q3494">
        <v>7.4482359999999996E-3</v>
      </c>
      <c r="R3494">
        <v>-0.2979696</v>
      </c>
      <c r="S3494">
        <v>-3.1353610000000001</v>
      </c>
      <c r="T3494">
        <v>-0.27603529999999998</v>
      </c>
      <c r="U3494">
        <v>-0.11007690000000001</v>
      </c>
      <c r="V3494">
        <v>0.1298773</v>
      </c>
      <c r="W3494">
        <v>1.5120710000000001E-2</v>
      </c>
      <c r="X3494">
        <v>0.99141480000000004</v>
      </c>
      <c r="Y3494">
        <v>0.38419809999999999</v>
      </c>
      <c r="Z3494">
        <v>5.2750419999999999E-2</v>
      </c>
      <c r="AA3494">
        <v>0.92174249999999902</v>
      </c>
      <c r="AB3494">
        <v>15</v>
      </c>
      <c r="AC3494">
        <v>-11.949699999999901</v>
      </c>
      <c r="AD3494">
        <v>-1.100529565083</v>
      </c>
      <c r="AE3494">
        <v>-0.206999999999993</v>
      </c>
      <c r="AF3494">
        <v>4.78231978289074</v>
      </c>
      <c r="AG3494">
        <v>-1.100529565083</v>
      </c>
      <c r="AH3494">
        <v>10.8432343287938</v>
      </c>
      <c r="AI3494">
        <v>95.305488881726703</v>
      </c>
      <c r="AJ3494">
        <v>66.200514847292993</v>
      </c>
      <c r="AK3494">
        <v>11.901994729396501</v>
      </c>
    </row>
    <row r="3495" spans="1:37" x14ac:dyDescent="0.2">
      <c r="A3495" t="str">
        <f>"20200111160228155"</f>
        <v>20200111160228155</v>
      </c>
      <c r="B3495" t="str">
        <f>"1578729748145451"</f>
        <v>1578729748145451</v>
      </c>
      <c r="C3495" t="s">
        <v>37</v>
      </c>
      <c r="D3495">
        <v>5.4120429999999997</v>
      </c>
      <c r="E3495">
        <v>0.60149839999999999</v>
      </c>
      <c r="F3495" t="s">
        <v>38</v>
      </c>
      <c r="G3495">
        <v>-229.2064</v>
      </c>
      <c r="H3495" s="1">
        <v>-5.5912609999999999E-7</v>
      </c>
      <c r="I3495">
        <v>138.47749999999999</v>
      </c>
      <c r="J3495">
        <v>-210.15960000000001</v>
      </c>
      <c r="K3495">
        <v>1.100403</v>
      </c>
      <c r="L3495">
        <v>138.9949</v>
      </c>
      <c r="M3495">
        <v>-0.91099949999999996</v>
      </c>
      <c r="N3495">
        <v>0</v>
      </c>
      <c r="O3495">
        <v>-0.41232970000000002</v>
      </c>
      <c r="P3495">
        <v>-0.95683600000000002</v>
      </c>
      <c r="Q3495">
        <v>8.146225E-3</v>
      </c>
      <c r="R3495">
        <v>-0.29051519999999997</v>
      </c>
      <c r="S3495">
        <v>-3.1152340000000001</v>
      </c>
      <c r="T3495">
        <v>-0.17867359999999999</v>
      </c>
      <c r="U3495">
        <v>-9.3002319999999999E-2</v>
      </c>
      <c r="V3495">
        <v>0.1300007</v>
      </c>
      <c r="W3495">
        <v>1.507494E-2</v>
      </c>
      <c r="X3495">
        <v>0.99139929999999998</v>
      </c>
      <c r="Y3495">
        <v>0.38370199999999999</v>
      </c>
      <c r="Z3495">
        <v>3.4030779999999997E-2</v>
      </c>
      <c r="AA3495">
        <v>0.92282969999999898</v>
      </c>
      <c r="AB3495">
        <v>15</v>
      </c>
      <c r="AC3495">
        <v>-19.046799999999902</v>
      </c>
      <c r="AD3495">
        <v>-1.1004035591261001</v>
      </c>
      <c r="AE3495">
        <v>-0.51740000000000896</v>
      </c>
      <c r="AF3495">
        <v>7.35790582157163</v>
      </c>
      <c r="AG3495">
        <v>-1.1004035591261001</v>
      </c>
      <c r="AH3495">
        <v>17.5071357289331</v>
      </c>
      <c r="AI3495">
        <v>93.316295083979199</v>
      </c>
      <c r="AJ3495">
        <v>67.203939457086193</v>
      </c>
      <c r="AK3495">
        <v>19.022341272917501</v>
      </c>
    </row>
    <row r="3496" spans="1:37" x14ac:dyDescent="0.2">
      <c r="A3496" t="str">
        <f>"20200111160228178"</f>
        <v>20200111160228178</v>
      </c>
      <c r="B3496" t="str">
        <f>"1578729748165946"</f>
        <v>1578729748165946</v>
      </c>
      <c r="C3496" t="s">
        <v>37</v>
      </c>
      <c r="D3496">
        <v>5.1907809999999897</v>
      </c>
      <c r="E3496">
        <v>0.59855800000000003</v>
      </c>
      <c r="F3496" t="s">
        <v>38</v>
      </c>
      <c r="G3496">
        <v>-232.4308</v>
      </c>
      <c r="H3496" s="1">
        <v>-3.475661E-6</v>
      </c>
      <c r="I3496">
        <v>138.22839999999999</v>
      </c>
      <c r="J3496">
        <v>-210.31039999999999</v>
      </c>
      <c r="K3496">
        <v>1.1002769999999999</v>
      </c>
      <c r="L3496">
        <v>138.93700000000001</v>
      </c>
      <c r="M3496">
        <v>-0.914363699999999</v>
      </c>
      <c r="N3496">
        <v>0</v>
      </c>
      <c r="O3496">
        <v>-0.40482800000000002</v>
      </c>
      <c r="P3496">
        <v>-0.95927700000000005</v>
      </c>
      <c r="Q3496">
        <v>8.1533490000000007E-3</v>
      </c>
      <c r="R3496">
        <v>-0.28234979999999998</v>
      </c>
      <c r="S3496">
        <v>-3.1042019999999999</v>
      </c>
      <c r="T3496">
        <v>-0.15337709999999999</v>
      </c>
      <c r="U3496">
        <v>-0.1068268</v>
      </c>
      <c r="V3496">
        <v>0.13029640000000001</v>
      </c>
      <c r="W3496">
        <v>1.435499E-2</v>
      </c>
      <c r="X3496">
        <v>0.99137120000000001</v>
      </c>
      <c r="Y3496">
        <v>0.37222909999999998</v>
      </c>
      <c r="Z3496">
        <v>2.8690589999999998E-2</v>
      </c>
      <c r="AA3496">
        <v>0.92769740000000001</v>
      </c>
      <c r="AB3496">
        <v>15</v>
      </c>
      <c r="AC3496">
        <v>-22.1204</v>
      </c>
      <c r="AD3496">
        <v>-1.1002804756609901</v>
      </c>
      <c r="AE3496">
        <v>-0.70860000000001799</v>
      </c>
      <c r="AF3496">
        <v>8.2867791517371892</v>
      </c>
      <c r="AG3496">
        <v>-1.1002804756609901</v>
      </c>
      <c r="AH3496">
        <v>20.4629229118624</v>
      </c>
      <c r="AI3496">
        <v>92.853141014986207</v>
      </c>
      <c r="AJ3496">
        <v>67.953747488774297</v>
      </c>
      <c r="AK3496">
        <v>22.104581876425701</v>
      </c>
    </row>
    <row r="3497" spans="1:37" x14ac:dyDescent="0.2">
      <c r="A3497" t="str">
        <f>"20200111160228202"</f>
        <v>20200111160228202</v>
      </c>
      <c r="B3497" t="str">
        <f>"1578729748195226"</f>
        <v>1578729748195226</v>
      </c>
      <c r="C3497" t="s">
        <v>37</v>
      </c>
      <c r="D3497">
        <v>5.3348680000000002</v>
      </c>
      <c r="E3497">
        <v>0.59391470000000002</v>
      </c>
      <c r="F3497" t="s">
        <v>38</v>
      </c>
      <c r="G3497">
        <v>-231.51169999999999</v>
      </c>
      <c r="H3497" s="1">
        <v>-3.8699640000000001E-6</v>
      </c>
      <c r="I3497">
        <v>138.22829999999999</v>
      </c>
      <c r="J3497">
        <v>-210.46680000000001</v>
      </c>
      <c r="K3497">
        <v>1.100142</v>
      </c>
      <c r="L3497">
        <v>138.8785</v>
      </c>
      <c r="M3497">
        <v>-0.91779500000000003</v>
      </c>
      <c r="N3497">
        <v>0</v>
      </c>
      <c r="O3497">
        <v>-0.39699859999999998</v>
      </c>
      <c r="P3497">
        <v>-0.96165389999999995</v>
      </c>
      <c r="Q3497">
        <v>7.8099689999999999E-3</v>
      </c>
      <c r="R3497">
        <v>-0.27415509999999998</v>
      </c>
      <c r="S3497">
        <v>-3.0982509999999999</v>
      </c>
      <c r="T3497">
        <v>-0.1607895</v>
      </c>
      <c r="U3497">
        <v>-0.1035614</v>
      </c>
      <c r="V3497">
        <v>0.130276</v>
      </c>
      <c r="W3497">
        <v>1.333323E-2</v>
      </c>
      <c r="X3497">
        <v>0.99138809999999999</v>
      </c>
      <c r="Y3497">
        <v>0.36512610000000001</v>
      </c>
      <c r="Z3497">
        <v>2.9574050000000001E-2</v>
      </c>
      <c r="AA3497">
        <v>0.93048819999999999</v>
      </c>
      <c r="AB3497">
        <v>15</v>
      </c>
      <c r="AC3497">
        <v>-21.044899999999899</v>
      </c>
      <c r="AD3497">
        <v>-1.1001458699639901</v>
      </c>
      <c r="AE3497">
        <v>-0.65020000000001199</v>
      </c>
      <c r="AF3497">
        <v>7.7370942378343397</v>
      </c>
      <c r="AG3497">
        <v>-1.1001458699639901</v>
      </c>
      <c r="AH3497">
        <v>19.520173774315001</v>
      </c>
      <c r="AI3497">
        <v>92.999204122334902</v>
      </c>
      <c r="AJ3497">
        <v>68.378407808160404</v>
      </c>
      <c r="AK3497">
        <v>21.0264151095659</v>
      </c>
    </row>
    <row r="3498" spans="1:37" x14ac:dyDescent="0.2">
      <c r="A3498" t="str">
        <f>"20200111160228222"</f>
        <v>20200111160228222</v>
      </c>
      <c r="B3498" t="str">
        <f>"1578729748215722"</f>
        <v>1578729748215722</v>
      </c>
      <c r="C3498" t="s">
        <v>37</v>
      </c>
      <c r="D3498">
        <v>5.5142220000000002</v>
      </c>
      <c r="E3498">
        <v>0.59105600000000003</v>
      </c>
      <c r="F3498" t="s">
        <v>38</v>
      </c>
      <c r="G3498">
        <v>-230.4034</v>
      </c>
      <c r="H3498" s="1">
        <v>-4.3597059999999997E-6</v>
      </c>
      <c r="I3498">
        <v>138.14779999999999</v>
      </c>
      <c r="J3498">
        <v>-210.60740000000001</v>
      </c>
      <c r="K3498">
        <v>1.1000099999999999</v>
      </c>
      <c r="L3498">
        <v>138.8271</v>
      </c>
      <c r="M3498">
        <v>-0.92082410000000003</v>
      </c>
      <c r="N3498">
        <v>0</v>
      </c>
      <c r="O3498">
        <v>-0.38993030000000001</v>
      </c>
      <c r="P3498">
        <v>-0.96354959999999901</v>
      </c>
      <c r="Q3498">
        <v>7.0734619999999896E-3</v>
      </c>
      <c r="R3498">
        <v>-0.26743699999999998</v>
      </c>
      <c r="S3498">
        <v>-3.08875999999999</v>
      </c>
      <c r="T3498">
        <v>-0.17044519999999999</v>
      </c>
      <c r="U3498">
        <v>-0.113189699999999</v>
      </c>
      <c r="V3498">
        <v>0.12956480000000001</v>
      </c>
      <c r="W3498">
        <v>1.205112E-2</v>
      </c>
      <c r="X3498">
        <v>0.99149769999999904</v>
      </c>
      <c r="Y3498">
        <v>0.35485070000000002</v>
      </c>
      <c r="Z3498">
        <v>3.079283E-2</v>
      </c>
      <c r="AA3498">
        <v>0.93441580000000002</v>
      </c>
      <c r="AB3498">
        <v>15</v>
      </c>
      <c r="AC3498">
        <v>-19.7959999999999</v>
      </c>
      <c r="AD3498">
        <v>-1.1000143597059999</v>
      </c>
      <c r="AE3498">
        <v>-0.67930000000001201</v>
      </c>
      <c r="AF3498">
        <v>7.0718663832590796</v>
      </c>
      <c r="AG3498">
        <v>-1.1000143597059999</v>
      </c>
      <c r="AH3498">
        <v>18.436996960917199</v>
      </c>
      <c r="AI3498">
        <v>93.188428802065502</v>
      </c>
      <c r="AJ3498">
        <v>69.014718770220298</v>
      </c>
      <c r="AK3498">
        <v>19.777365412792001</v>
      </c>
    </row>
    <row r="3499" spans="1:37" x14ac:dyDescent="0.2">
      <c r="A3499" t="str">
        <f>"20200111160228245"</f>
        <v>20200111160228245</v>
      </c>
      <c r="B3499" t="str">
        <f>"1578729748235242"</f>
        <v>1578729748235242</v>
      </c>
      <c r="C3499" t="s">
        <v>37</v>
      </c>
      <c r="D3499">
        <v>5.2673449999999997</v>
      </c>
      <c r="E3499">
        <v>0.58914609999999901</v>
      </c>
      <c r="F3499" t="s">
        <v>38</v>
      </c>
      <c r="G3499">
        <v>-230.12099999999899</v>
      </c>
      <c r="H3499" s="1">
        <v>-4.4876059999999998E-6</v>
      </c>
      <c r="I3499">
        <v>138.1096</v>
      </c>
      <c r="J3499">
        <v>-210.75829999999999</v>
      </c>
      <c r="K3499">
        <v>1.0998779999999999</v>
      </c>
      <c r="L3499">
        <v>138.77350000000001</v>
      </c>
      <c r="M3499">
        <v>-0.92401299999999997</v>
      </c>
      <c r="N3499">
        <v>0</v>
      </c>
      <c r="O3499">
        <v>-0.38231959999999998</v>
      </c>
      <c r="P3499">
        <v>-0.96545380000000003</v>
      </c>
      <c r="Q3499">
        <v>7.5850639999999999E-3</v>
      </c>
      <c r="R3499">
        <v>-0.26046419999999998</v>
      </c>
      <c r="S3499">
        <v>-3.0832980000000001</v>
      </c>
      <c r="T3499">
        <v>-0.17381060000000001</v>
      </c>
      <c r="U3499">
        <v>-0.1133728</v>
      </c>
      <c r="V3499">
        <v>0.12855230000000001</v>
      </c>
      <c r="W3499">
        <v>1.2032050000000001E-2</v>
      </c>
      <c r="X3499">
        <v>0.99162969999999895</v>
      </c>
      <c r="Y3499">
        <v>0.3469855</v>
      </c>
      <c r="Z3499">
        <v>3.083406E-2</v>
      </c>
      <c r="AA3499">
        <v>0.93736350000000002</v>
      </c>
      <c r="AB3499">
        <v>16</v>
      </c>
      <c r="AC3499">
        <v>-19.362699999999901</v>
      </c>
      <c r="AD3499">
        <v>-1.099882487606</v>
      </c>
      <c r="AE3499">
        <v>-0.66390000000001204</v>
      </c>
      <c r="AF3499">
        <v>6.7675836704635701</v>
      </c>
      <c r="AG3499">
        <v>-1.099882487606</v>
      </c>
      <c r="AH3499">
        <v>18.0872023666955</v>
      </c>
      <c r="AI3499">
        <v>93.259690712692802</v>
      </c>
      <c r="AJ3499">
        <v>69.485949962850299</v>
      </c>
      <c r="AK3499">
        <v>19.343133657116201</v>
      </c>
    </row>
    <row r="3500" spans="1:37" x14ac:dyDescent="0.2">
      <c r="A3500" t="str">
        <f>"20200111160228267"</f>
        <v>20200111160228267</v>
      </c>
      <c r="B3500" t="str">
        <f>"1578729748255738"</f>
        <v>1578729748255738</v>
      </c>
      <c r="C3500" t="s">
        <v>37</v>
      </c>
      <c r="D3500">
        <v>5.243366</v>
      </c>
      <c r="E3500">
        <v>0.58753639999999996</v>
      </c>
      <c r="F3500" t="s">
        <v>38</v>
      </c>
      <c r="G3500">
        <v>-229.81599999999901</v>
      </c>
      <c r="H3500" s="1">
        <v>-4.47916E-7</v>
      </c>
      <c r="I3500">
        <v>138.11580000000001</v>
      </c>
      <c r="J3500">
        <v>-210.91370000000001</v>
      </c>
      <c r="K3500">
        <v>1.0997429999999999</v>
      </c>
      <c r="L3500">
        <v>138.71950000000001</v>
      </c>
      <c r="M3500">
        <v>-0.92723480000000003</v>
      </c>
      <c r="N3500">
        <v>0</v>
      </c>
      <c r="O3500">
        <v>-0.37444519999999998</v>
      </c>
      <c r="P3500">
        <v>-0.96747369999999899</v>
      </c>
      <c r="Q3500">
        <v>9.2506910000000001E-3</v>
      </c>
      <c r="R3500">
        <v>-0.252803</v>
      </c>
      <c r="S3500">
        <v>-3.080063</v>
      </c>
      <c r="T3500">
        <v>-0.17775969999999999</v>
      </c>
      <c r="U3500">
        <v>-0.1062775</v>
      </c>
      <c r="V3500">
        <v>0.1279843</v>
      </c>
      <c r="W3500">
        <v>1.319448E-2</v>
      </c>
      <c r="X3500">
        <v>0.99168840000000003</v>
      </c>
      <c r="Y3500">
        <v>0.3410899</v>
      </c>
      <c r="Z3500">
        <v>3.097542E-2</v>
      </c>
      <c r="AA3500">
        <v>0.93952019999999903</v>
      </c>
      <c r="AB3500">
        <v>16</v>
      </c>
      <c r="AC3500">
        <v>-18.902299999999901</v>
      </c>
      <c r="AD3500">
        <v>-1.099743447916</v>
      </c>
      <c r="AE3500">
        <v>-0.60370000000000301</v>
      </c>
      <c r="AF3500">
        <v>6.4962229103887896</v>
      </c>
      <c r="AG3500">
        <v>-1.099743447916</v>
      </c>
      <c r="AH3500">
        <v>17.693327263350898</v>
      </c>
      <c r="AI3500">
        <v>93.339273257817396</v>
      </c>
      <c r="AJ3500">
        <v>69.838953183423698</v>
      </c>
      <c r="AK3500">
        <v>18.8802589336251</v>
      </c>
    </row>
    <row r="3501" spans="1:37" x14ac:dyDescent="0.2">
      <c r="A3501" t="str">
        <f>"20200111160228291"</f>
        <v>20200111160228291</v>
      </c>
      <c r="B3501" t="str">
        <f>"1578729748285994"</f>
        <v>1578729748285994</v>
      </c>
      <c r="C3501" t="s">
        <v>37</v>
      </c>
      <c r="D3501">
        <v>5.4699109999999997</v>
      </c>
      <c r="E3501">
        <v>0.58555619999999997</v>
      </c>
      <c r="F3501" t="s">
        <v>38</v>
      </c>
      <c r="G3501">
        <v>-229.84710000000001</v>
      </c>
      <c r="H3501" s="1">
        <v>-4.3202649999999999E-7</v>
      </c>
      <c r="I3501">
        <v>138.13570000000001</v>
      </c>
      <c r="J3501">
        <v>-211.0797</v>
      </c>
      <c r="K3501">
        <v>1.0995979999999901</v>
      </c>
      <c r="L3501">
        <v>138.66370000000001</v>
      </c>
      <c r="M3501">
        <v>-0.93060520000000002</v>
      </c>
      <c r="N3501">
        <v>0</v>
      </c>
      <c r="O3501">
        <v>-0.36599499999999902</v>
      </c>
      <c r="P3501">
        <v>-0.96965349999999995</v>
      </c>
      <c r="Q3501">
        <v>9.6247999999999993E-3</v>
      </c>
      <c r="R3501">
        <v>-0.24429490000000001</v>
      </c>
      <c r="S3501">
        <v>-3.0777739999999998</v>
      </c>
      <c r="T3501">
        <v>-0.17877190000000001</v>
      </c>
      <c r="U3501">
        <v>-9.4894409999999998E-2</v>
      </c>
      <c r="V3501">
        <v>0.12767500000000001</v>
      </c>
      <c r="W3501">
        <v>1.3080049999999999E-2</v>
      </c>
      <c r="X3501">
        <v>0.99172979999999999</v>
      </c>
      <c r="Y3501">
        <v>0.33598919999999999</v>
      </c>
      <c r="Z3501">
        <v>3.057174E-2</v>
      </c>
      <c r="AA3501">
        <v>0.94136949999999997</v>
      </c>
      <c r="AB3501">
        <v>16</v>
      </c>
      <c r="AC3501">
        <v>-18.767399999999999</v>
      </c>
      <c r="AD3501">
        <v>-1.09959843202649</v>
      </c>
      <c r="AE3501">
        <v>-0.52799999999999103</v>
      </c>
      <c r="AF3501">
        <v>6.3556828538400598</v>
      </c>
      <c r="AG3501">
        <v>-1.09959843202649</v>
      </c>
      <c r="AH3501">
        <v>17.598111676640201</v>
      </c>
      <c r="AI3501">
        <v>93.363324330801206</v>
      </c>
      <c r="AJ3501">
        <v>70.142455020779295</v>
      </c>
      <c r="AK3501">
        <v>18.742928155275301</v>
      </c>
    </row>
    <row r="3502" spans="1:37" x14ac:dyDescent="0.2">
      <c r="A3502" t="str">
        <f>"20200111160228311"</f>
        <v>20200111160228311</v>
      </c>
      <c r="B3502" t="str">
        <f>"1578729748305515"</f>
        <v>1578729748305515</v>
      </c>
      <c r="C3502" t="s">
        <v>37</v>
      </c>
      <c r="D3502">
        <v>5.4487800000000002</v>
      </c>
      <c r="E3502">
        <v>0.58407050000000005</v>
      </c>
      <c r="F3502" t="s">
        <v>38</v>
      </c>
      <c r="G3502">
        <v>-229.3038</v>
      </c>
      <c r="H3502" s="1">
        <v>-6.0883790000000005E-7</v>
      </c>
      <c r="I3502">
        <v>138.1661</v>
      </c>
      <c r="J3502">
        <v>-211.22479999999999</v>
      </c>
      <c r="K3502">
        <v>1.0994619999999999</v>
      </c>
      <c r="L3502">
        <v>138.61619999999999</v>
      </c>
      <c r="M3502">
        <v>-0.93348999999999904</v>
      </c>
      <c r="N3502">
        <v>0</v>
      </c>
      <c r="O3502">
        <v>-0.35857749999999999</v>
      </c>
      <c r="P3502">
        <v>-0.97160170000000001</v>
      </c>
      <c r="Q3502">
        <v>9.1705859999999997E-3</v>
      </c>
      <c r="R3502">
        <v>-0.23644509999999999</v>
      </c>
      <c r="S3502">
        <v>-3.07457</v>
      </c>
      <c r="T3502">
        <v>-0.18551219999999999</v>
      </c>
      <c r="U3502">
        <v>-8.3938600000000002E-2</v>
      </c>
      <c r="V3502">
        <v>0.12779960000000001</v>
      </c>
      <c r="W3502">
        <v>1.2237069999999999E-2</v>
      </c>
      <c r="X3502">
        <v>0.99172459999999996</v>
      </c>
      <c r="Y3502">
        <v>0.33174229999999999</v>
      </c>
      <c r="Z3502">
        <v>3.1211249999999999E-2</v>
      </c>
      <c r="AA3502">
        <v>0.94285359999999996</v>
      </c>
      <c r="AB3502">
        <v>16</v>
      </c>
      <c r="AC3502">
        <v>-18.079000000000001</v>
      </c>
      <c r="AD3502">
        <v>-1.0994626088379</v>
      </c>
      <c r="AE3502">
        <v>-0.45009999999999201</v>
      </c>
      <c r="AF3502">
        <v>6.0402896663536003</v>
      </c>
      <c r="AG3502">
        <v>-1.0994626088379</v>
      </c>
      <c r="AH3502">
        <v>16.9753772760474</v>
      </c>
      <c r="AI3502">
        <v>93.491871191366002</v>
      </c>
      <c r="AJ3502">
        <v>70.413091903986597</v>
      </c>
      <c r="AK3502">
        <v>18.0515193528366</v>
      </c>
    </row>
    <row r="3503" spans="1:37" x14ac:dyDescent="0.2">
      <c r="A3503" t="str">
        <f>"20200111160228334"</f>
        <v>20200111160228334</v>
      </c>
      <c r="B3503" t="str">
        <f>"1578729748326011"</f>
        <v>1578729748326011</v>
      </c>
      <c r="C3503" t="s">
        <v>37</v>
      </c>
      <c r="D3503">
        <v>5.7573589999999903</v>
      </c>
      <c r="E3503">
        <v>0.58337609999999995</v>
      </c>
      <c r="F3503" t="s">
        <v>38</v>
      </c>
      <c r="G3503">
        <v>-228.91229999999999</v>
      </c>
      <c r="H3503" s="1">
        <v>-7.3079709999999896E-7</v>
      </c>
      <c r="I3503">
        <v>138.20849999999999</v>
      </c>
      <c r="J3503">
        <v>-211.3965</v>
      </c>
      <c r="K3503">
        <v>1.099307</v>
      </c>
      <c r="L3503">
        <v>138.56190000000001</v>
      </c>
      <c r="M3503">
        <v>-0.93682739999999998</v>
      </c>
      <c r="N3503">
        <v>0</v>
      </c>
      <c r="O3503">
        <v>-0.34976970000000002</v>
      </c>
      <c r="P3503">
        <v>-0.97382869999999999</v>
      </c>
      <c r="Q3503">
        <v>8.7469260000000004E-3</v>
      </c>
      <c r="R3503">
        <v>-0.22711500000000001</v>
      </c>
      <c r="S3503">
        <v>-3.0722659999999999</v>
      </c>
      <c r="T3503">
        <v>-0.19097410000000001</v>
      </c>
      <c r="U3503">
        <v>-7.0816039999999997E-2</v>
      </c>
      <c r="V3503">
        <v>0.12796779999999999</v>
      </c>
      <c r="W3503">
        <v>1.1400749999999999E-2</v>
      </c>
      <c r="X3503">
        <v>0.99171279999999995</v>
      </c>
      <c r="Y3503">
        <v>0.32681070000000001</v>
      </c>
      <c r="Z3503">
        <v>3.1488229999999999E-2</v>
      </c>
      <c r="AA3503">
        <v>0.94456509999999905</v>
      </c>
      <c r="AB3503">
        <v>16</v>
      </c>
      <c r="AC3503">
        <v>-17.515799999999899</v>
      </c>
      <c r="AD3503">
        <v>-1.0993077307971</v>
      </c>
      <c r="AE3503">
        <v>-0.35340000000002098</v>
      </c>
      <c r="AF3503">
        <v>5.7727372799958303</v>
      </c>
      <c r="AG3503">
        <v>-1.0993077307971</v>
      </c>
      <c r="AH3503">
        <v>16.4681781164917</v>
      </c>
      <c r="AI3503">
        <v>93.604596564910594</v>
      </c>
      <c r="AJ3503">
        <v>70.682450588181197</v>
      </c>
      <c r="AK3503">
        <v>17.485247029062499</v>
      </c>
    </row>
    <row r="3504" spans="1:37" x14ac:dyDescent="0.2">
      <c r="A3504" t="str">
        <f>"20200111160228356"</f>
        <v>20200111160228356</v>
      </c>
      <c r="B3504" t="str">
        <f>"1578729748345531"</f>
        <v>1578729748345531</v>
      </c>
      <c r="C3504" t="s">
        <v>37</v>
      </c>
      <c r="D3504">
        <v>5.3704619999999998</v>
      </c>
      <c r="E3504">
        <v>0.58099529999999999</v>
      </c>
      <c r="F3504" t="s">
        <v>38</v>
      </c>
      <c r="G3504">
        <v>-228.7552</v>
      </c>
      <c r="H3504" s="1">
        <v>-7.6022459999999897E-7</v>
      </c>
      <c r="I3504">
        <v>138.2988</v>
      </c>
      <c r="J3504">
        <v>-211.5565</v>
      </c>
      <c r="K3504">
        <v>1.0991679999999999</v>
      </c>
      <c r="L3504">
        <v>138.5128</v>
      </c>
      <c r="M3504">
        <v>-0.93986369999999897</v>
      </c>
      <c r="N3504">
        <v>0</v>
      </c>
      <c r="O3504">
        <v>-0.34153040000000001</v>
      </c>
      <c r="P3504">
        <v>-0.97563849999999996</v>
      </c>
      <c r="Q3504">
        <v>9.1184960000000002E-3</v>
      </c>
      <c r="R3504">
        <v>-0.21919459999999999</v>
      </c>
      <c r="S3504">
        <v>-3.0715029999999999</v>
      </c>
      <c r="T3504">
        <v>-0.19451489999999999</v>
      </c>
      <c r="U3504">
        <v>-4.653931E-2</v>
      </c>
      <c r="V3504">
        <v>0.1273203</v>
      </c>
      <c r="W3504">
        <v>1.143747E-2</v>
      </c>
      <c r="X3504">
        <v>0.99179569999999995</v>
      </c>
      <c r="Y3504">
        <v>0.32594029999999902</v>
      </c>
      <c r="Z3504">
        <v>3.1566700000000003E-2</v>
      </c>
      <c r="AA3504">
        <v>0.94486320000000001</v>
      </c>
      <c r="AB3504">
        <v>17</v>
      </c>
      <c r="AC3504">
        <v>-17.198699999999999</v>
      </c>
      <c r="AD3504">
        <v>-1.0991687602246001</v>
      </c>
      <c r="AE3504">
        <v>-0.213999999999998</v>
      </c>
      <c r="AF3504">
        <v>5.6497129247842599</v>
      </c>
      <c r="AG3504">
        <v>-1.0991687602246001</v>
      </c>
      <c r="AH3504">
        <v>16.171586175673198</v>
      </c>
      <c r="AI3504">
        <v>93.671409088077695</v>
      </c>
      <c r="AJ3504">
        <v>70.742603894673707</v>
      </c>
      <c r="AK3504">
        <v>17.165303013147</v>
      </c>
    </row>
    <row r="3505" spans="1:37" x14ac:dyDescent="0.2">
      <c r="A3505" t="str">
        <f>"20200111160228377"</f>
        <v>20200111160228377</v>
      </c>
      <c r="B3505" t="str">
        <f>"1578729748375787"</f>
        <v>1578729748375787</v>
      </c>
      <c r="C3505" t="s">
        <v>37</v>
      </c>
      <c r="D3505">
        <v>5.3411289999999996</v>
      </c>
      <c r="E3505">
        <v>0.57887650000000002</v>
      </c>
      <c r="F3505" t="s">
        <v>38</v>
      </c>
      <c r="G3505">
        <v>-228.34039999999999</v>
      </c>
      <c r="H3505" s="1">
        <v>-9.2945009999999999E-7</v>
      </c>
      <c r="I3505">
        <v>138.29060000000001</v>
      </c>
      <c r="J3505">
        <v>-211.7184</v>
      </c>
      <c r="K3505">
        <v>1.0990260000000001</v>
      </c>
      <c r="L3505">
        <v>138.46469999999999</v>
      </c>
      <c r="M3505">
        <v>-0.94285759999999996</v>
      </c>
      <c r="N3505">
        <v>0</v>
      </c>
      <c r="O3505">
        <v>-0.33317929999999901</v>
      </c>
      <c r="P3505">
        <v>-0.97739050000000005</v>
      </c>
      <c r="Q3505">
        <v>1.035726E-2</v>
      </c>
      <c r="R3505">
        <v>-0.2111893</v>
      </c>
      <c r="S3505">
        <v>-3.06764199999999</v>
      </c>
      <c r="T3505">
        <v>-0.20089960000000001</v>
      </c>
      <c r="U3505">
        <v>-4.0603640000000003E-2</v>
      </c>
      <c r="V3505">
        <v>0.12666089999999999</v>
      </c>
      <c r="W3505">
        <v>1.2378200000000001E-2</v>
      </c>
      <c r="X3505">
        <v>0.99186890000000005</v>
      </c>
      <c r="Y3505">
        <v>0.31929829999999998</v>
      </c>
      <c r="Z3505">
        <v>3.1906669999999998E-2</v>
      </c>
      <c r="AA3505">
        <v>0.94711699999999999</v>
      </c>
      <c r="AB3505">
        <v>17</v>
      </c>
      <c r="AC3505">
        <v>-16.6219999999999</v>
      </c>
      <c r="AD3505">
        <v>-1.0990269294500901</v>
      </c>
      <c r="AE3505">
        <v>-0.17409999999998099</v>
      </c>
      <c r="AF3505">
        <v>5.3505960207524099</v>
      </c>
      <c r="AG3505">
        <v>-1.0990269294500901</v>
      </c>
      <c r="AH3505">
        <v>15.661811654306799</v>
      </c>
      <c r="AI3505">
        <v>93.799102401411403</v>
      </c>
      <c r="AJ3505">
        <v>71.138125628051199</v>
      </c>
      <c r="AK3505">
        <v>16.587015471866199</v>
      </c>
    </row>
    <row r="3506" spans="1:37" x14ac:dyDescent="0.2">
      <c r="A3506" t="str">
        <f>"20200111160228400"</f>
        <v>20200111160228400</v>
      </c>
      <c r="B3506" t="str">
        <f>"1578729748395306"</f>
        <v>1578729748395306</v>
      </c>
      <c r="C3506" t="s">
        <v>37</v>
      </c>
      <c r="D3506">
        <v>5.4216300000000004</v>
      </c>
      <c r="E3506">
        <v>0.57756419999999997</v>
      </c>
      <c r="F3506" t="s">
        <v>38</v>
      </c>
      <c r="G3506">
        <v>-228.46099999999899</v>
      </c>
      <c r="H3506" s="1">
        <v>-8.7810469999999895E-7</v>
      </c>
      <c r="I3506">
        <v>138.2884</v>
      </c>
      <c r="J3506">
        <v>-211.88900000000001</v>
      </c>
      <c r="K3506">
        <v>1.0988910000000001</v>
      </c>
      <c r="L3506">
        <v>138.41569999999999</v>
      </c>
      <c r="M3506">
        <v>-0.94593090000000002</v>
      </c>
      <c r="N3506">
        <v>0</v>
      </c>
      <c r="O3506">
        <v>-0.32435389999999997</v>
      </c>
      <c r="P3506">
        <v>-0.97907040000000001</v>
      </c>
      <c r="Q3506">
        <v>1.039007E-2</v>
      </c>
      <c r="R3506">
        <v>-0.20325689999999999</v>
      </c>
      <c r="S3506">
        <v>-3.06455999999999</v>
      </c>
      <c r="T3506">
        <v>-0.2011664</v>
      </c>
      <c r="U3506">
        <v>-3.225708E-2</v>
      </c>
      <c r="V3506">
        <v>0.1254353</v>
      </c>
      <c r="W3506">
        <v>1.213933E-2</v>
      </c>
      <c r="X3506">
        <v>0.99202749999999995</v>
      </c>
      <c r="Y3506">
        <v>0.31303019999999998</v>
      </c>
      <c r="Z3506">
        <v>3.1226090000000001E-2</v>
      </c>
      <c r="AA3506">
        <v>0.94922969999999895</v>
      </c>
      <c r="AB3506">
        <v>17</v>
      </c>
      <c r="AC3506">
        <v>-16.5719999999999</v>
      </c>
      <c r="AD3506">
        <v>-1.0988918781046999</v>
      </c>
      <c r="AE3506">
        <v>-0.127299999999991</v>
      </c>
      <c r="AF3506">
        <v>5.2317971633954503</v>
      </c>
      <c r="AG3506">
        <v>-1.0988918781046999</v>
      </c>
      <c r="AH3506">
        <v>15.648526969212799</v>
      </c>
      <c r="AI3506">
        <v>93.810257193155195</v>
      </c>
      <c r="AJ3506">
        <v>71.513589439483994</v>
      </c>
      <c r="AK3506">
        <v>16.536494828858299</v>
      </c>
    </row>
    <row r="3507" spans="1:37" x14ac:dyDescent="0.2">
      <c r="A3507" t="str">
        <f>"20200111160228422"</f>
        <v>20200111160228422</v>
      </c>
      <c r="B3507" t="str">
        <f>"1578729748415335"</f>
        <v>1578729748415335</v>
      </c>
      <c r="C3507" t="s">
        <v>37</v>
      </c>
      <c r="D3507">
        <v>5.3788410000000004</v>
      </c>
      <c r="E3507">
        <v>0.57631279999999996</v>
      </c>
      <c r="F3507" t="s">
        <v>38</v>
      </c>
      <c r="G3507">
        <v>-228.42619999999999</v>
      </c>
      <c r="H3507" s="1">
        <v>-8.8724310000000002E-7</v>
      </c>
      <c r="I3507">
        <v>138.321</v>
      </c>
      <c r="J3507">
        <v>-212.06270000000001</v>
      </c>
      <c r="K3507">
        <v>1.098752</v>
      </c>
      <c r="L3507">
        <v>138.36760000000001</v>
      </c>
      <c r="M3507">
        <v>-0.94896999999999998</v>
      </c>
      <c r="N3507">
        <v>0</v>
      </c>
      <c r="O3507">
        <v>-0.3153532</v>
      </c>
      <c r="P3507">
        <v>-0.98062490000000002</v>
      </c>
      <c r="Q3507">
        <v>1.097427E-2</v>
      </c>
      <c r="R3507">
        <v>-0.1955876</v>
      </c>
      <c r="S3507">
        <v>-3.0626370000000001</v>
      </c>
      <c r="T3507">
        <v>-0.20351179999999999</v>
      </c>
      <c r="U3507">
        <v>-1.7532349999999999E-2</v>
      </c>
      <c r="V3507">
        <v>0.12378069999999999</v>
      </c>
      <c r="W3507">
        <v>1.248643E-2</v>
      </c>
      <c r="X3507">
        <v>0.99223099999999997</v>
      </c>
      <c r="Y3507">
        <v>0.3085599</v>
      </c>
      <c r="Z3507">
        <v>3.0893500000000001E-2</v>
      </c>
      <c r="AA3507">
        <v>0.95070309999999902</v>
      </c>
      <c r="AB3507">
        <v>17</v>
      </c>
      <c r="AC3507">
        <v>-16.363499999999899</v>
      </c>
      <c r="AD3507">
        <v>-1.0987528872431001</v>
      </c>
      <c r="AE3507">
        <v>-4.6600000000012097E-2</v>
      </c>
      <c r="AF3507">
        <v>5.0931183519707899</v>
      </c>
      <c r="AG3507">
        <v>-1.0987528872431001</v>
      </c>
      <c r="AH3507">
        <v>15.473466484786201</v>
      </c>
      <c r="AI3507">
        <v>93.858700538433396</v>
      </c>
      <c r="AJ3507">
        <v>71.780950099617499</v>
      </c>
      <c r="AK3507">
        <v>16.327133168753399</v>
      </c>
    </row>
    <row r="3508" spans="1:37" x14ac:dyDescent="0.2">
      <c r="A3508" t="str">
        <f>"20200111160228444"</f>
        <v>20200111160228444</v>
      </c>
      <c r="B3508" t="str">
        <f>"1578729748435830"</f>
        <v>1578729748435830</v>
      </c>
      <c r="C3508" t="s">
        <v>37</v>
      </c>
      <c r="D3508">
        <v>5.3764649999999996</v>
      </c>
      <c r="E3508">
        <v>0.55003570000000002</v>
      </c>
      <c r="F3508" t="s">
        <v>38</v>
      </c>
      <c r="G3508">
        <v>-228.4863</v>
      </c>
      <c r="H3508" s="1">
        <v>-8.5631929999999998E-7</v>
      </c>
      <c r="I3508">
        <v>138.34979999999999</v>
      </c>
      <c r="J3508">
        <v>-212.23670000000001</v>
      </c>
      <c r="K3508">
        <v>1.0986229999999999</v>
      </c>
      <c r="L3508">
        <v>138.3211</v>
      </c>
      <c r="M3508">
        <v>-0.95192670000000001</v>
      </c>
      <c r="N3508">
        <v>0</v>
      </c>
      <c r="O3508">
        <v>-0.30631419999999998</v>
      </c>
      <c r="P3508">
        <v>-0.98209460000000004</v>
      </c>
      <c r="Q3508">
        <v>1.2074959999999999E-2</v>
      </c>
      <c r="R3508">
        <v>-0.18800139999999901</v>
      </c>
      <c r="S3508">
        <v>-3.0609130000000002</v>
      </c>
      <c r="T3508">
        <v>-0.20477709999999999</v>
      </c>
      <c r="U3508">
        <v>-3.2958979999999998E-3</v>
      </c>
      <c r="V3508">
        <v>0.122023399999999</v>
      </c>
      <c r="W3508">
        <v>1.33789999999999E-2</v>
      </c>
      <c r="X3508">
        <v>0.99243709999999996</v>
      </c>
      <c r="Y3508">
        <v>0.30394299999999902</v>
      </c>
      <c r="Z3508">
        <v>3.037227E-2</v>
      </c>
      <c r="AA3508">
        <v>0.952206</v>
      </c>
      <c r="AB3508">
        <v>17</v>
      </c>
      <c r="AC3508">
        <v>-16.249599999999901</v>
      </c>
      <c r="AD3508">
        <v>-1.09862385631929</v>
      </c>
      <c r="AE3508">
        <v>2.86999999999864E-2</v>
      </c>
      <c r="AF3508">
        <v>4.9820485093973303</v>
      </c>
      <c r="AG3508">
        <v>-1.09862385631929</v>
      </c>
      <c r="AH3508">
        <v>15.389347571874101</v>
      </c>
      <c r="AI3508">
        <v>93.885460430611005</v>
      </c>
      <c r="AJ3508">
        <v>72.061491564525497</v>
      </c>
      <c r="AK3508">
        <v>16.212951625648198</v>
      </c>
    </row>
    <row r="3509" spans="1:37" x14ac:dyDescent="0.2">
      <c r="A3509" t="str">
        <f>"20200111160228467"</f>
        <v>20200111160228467</v>
      </c>
      <c r="B3509" t="str">
        <f>"1578729748455350"</f>
        <v>1578729748455350</v>
      </c>
      <c r="C3509" t="s">
        <v>37</v>
      </c>
      <c r="D3509">
        <v>5.3711010000000003</v>
      </c>
      <c r="E3509">
        <v>0.54888139999999996</v>
      </c>
      <c r="F3509" t="s">
        <v>38</v>
      </c>
      <c r="G3509">
        <v>-229.4528</v>
      </c>
      <c r="H3509" s="1">
        <v>-7.9778539999999999E-7</v>
      </c>
      <c r="I3509">
        <v>137.2654</v>
      </c>
      <c r="J3509">
        <v>-212.4162</v>
      </c>
      <c r="K3509">
        <v>1.0985009999999999</v>
      </c>
      <c r="L3509">
        <v>138.27500000000001</v>
      </c>
      <c r="M3509">
        <v>-0.95487869999999997</v>
      </c>
      <c r="N3509">
        <v>0</v>
      </c>
      <c r="O3509">
        <v>-0.29698530000000001</v>
      </c>
      <c r="P3509">
        <v>-0.98364810000000003</v>
      </c>
      <c r="Q3509">
        <v>1.2049829999999999E-2</v>
      </c>
      <c r="R3509">
        <v>-0.17969660000000001</v>
      </c>
      <c r="S3509">
        <v>-3.021576</v>
      </c>
      <c r="T3509">
        <v>-0.1928185</v>
      </c>
      <c r="U3509">
        <v>-0.1852722</v>
      </c>
      <c r="V3509">
        <v>0.12069879999999999</v>
      </c>
      <c r="W3509">
        <v>1.315824E-2</v>
      </c>
      <c r="X3509">
        <v>0.99260199999999998</v>
      </c>
      <c r="Y3509">
        <v>0.2369262</v>
      </c>
      <c r="Z3509">
        <v>2.6198490000000001E-2</v>
      </c>
      <c r="AA3509">
        <v>0.97117439999999999</v>
      </c>
      <c r="AB3509">
        <v>18</v>
      </c>
      <c r="AC3509">
        <v>-17.0365999999999</v>
      </c>
      <c r="AD3509">
        <v>-1.0985017977853999</v>
      </c>
      <c r="AE3509">
        <v>-1.0096000000000001</v>
      </c>
      <c r="AF3509">
        <v>4.0786893895435004</v>
      </c>
      <c r="AG3509">
        <v>-1.0985017977853999</v>
      </c>
      <c r="AH3509">
        <v>16.499419015629599</v>
      </c>
      <c r="AI3509">
        <v>93.698036063970093</v>
      </c>
      <c r="AJ3509">
        <v>76.114738929532194</v>
      </c>
      <c r="AK3509">
        <v>17.031536665534102</v>
      </c>
    </row>
    <row r="3510" spans="1:37" x14ac:dyDescent="0.2">
      <c r="A3510" t="str">
        <f>"20200111160228490"</f>
        <v>20200111160228490</v>
      </c>
      <c r="B3510" t="str">
        <f>"1578729748485606"</f>
        <v>1578729748485606</v>
      </c>
      <c r="C3510" t="s">
        <v>37</v>
      </c>
      <c r="D3510">
        <v>5.3671199999999999</v>
      </c>
      <c r="E3510">
        <v>0.54647179999999995</v>
      </c>
      <c r="F3510" t="s">
        <v>38</v>
      </c>
      <c r="G3510">
        <v>-226.36250000000001</v>
      </c>
      <c r="H3510" s="1">
        <v>-1.9210579999999998E-6</v>
      </c>
      <c r="I3510">
        <v>137.4837</v>
      </c>
      <c r="J3510">
        <v>-212.5926</v>
      </c>
      <c r="K3510">
        <v>1.098384</v>
      </c>
      <c r="L3510">
        <v>138.23159999999999</v>
      </c>
      <c r="M3510">
        <v>-0.95768449999999905</v>
      </c>
      <c r="N3510">
        <v>0</v>
      </c>
      <c r="O3510">
        <v>-0.2878115</v>
      </c>
      <c r="P3510">
        <v>-0.98500889999999997</v>
      </c>
      <c r="Q3510">
        <v>1.1366869999999999E-2</v>
      </c>
      <c r="R3510">
        <v>-0.17212929999999901</v>
      </c>
      <c r="S3510">
        <v>-3.0214840000000001</v>
      </c>
      <c r="T3510">
        <v>-0.23799139999999899</v>
      </c>
      <c r="U3510">
        <v>-0.17143249999999999</v>
      </c>
      <c r="V3510">
        <v>0.11880250000000001</v>
      </c>
      <c r="W3510">
        <v>1.23105E-2</v>
      </c>
      <c r="X3510">
        <v>0.99284159999999899</v>
      </c>
      <c r="Y3510">
        <v>0.2315226</v>
      </c>
      <c r="Z3510">
        <v>3.1422859999999997E-2</v>
      </c>
      <c r="AA3510">
        <v>0.97232189999999996</v>
      </c>
      <c r="AB3510">
        <v>18</v>
      </c>
      <c r="AC3510">
        <v>-13.7699</v>
      </c>
      <c r="AD3510">
        <v>-1.098385921058</v>
      </c>
      <c r="AE3510">
        <v>-0.74789999999998702</v>
      </c>
      <c r="AF3510">
        <v>3.2264226521837398</v>
      </c>
      <c r="AG3510">
        <v>-1.098385921058</v>
      </c>
      <c r="AH3510">
        <v>13.3180164749374</v>
      </c>
      <c r="AI3510">
        <v>94.582749775694495</v>
      </c>
      <c r="AJ3510">
        <v>76.381893602923697</v>
      </c>
      <c r="AK3510">
        <v>13.7472112658825</v>
      </c>
    </row>
    <row r="3511" spans="1:37" x14ac:dyDescent="0.2">
      <c r="A3511" t="str">
        <f>"20200111160228511"</f>
        <v>20200111160228511</v>
      </c>
      <c r="B3511" t="str">
        <f>"1578729748505633"</f>
        <v>1578729748505633</v>
      </c>
      <c r="C3511" t="s">
        <v>37</v>
      </c>
      <c r="D3511">
        <v>5.5729110000000004</v>
      </c>
      <c r="E3511">
        <v>0.54456559999999998</v>
      </c>
      <c r="F3511" t="s">
        <v>38</v>
      </c>
      <c r="G3511">
        <v>-225.3441</v>
      </c>
      <c r="H3511" s="1">
        <v>-2.3510220000000002E-6</v>
      </c>
      <c r="I3511">
        <v>137.52289999999999</v>
      </c>
      <c r="J3511">
        <v>-212.7748</v>
      </c>
      <c r="K3511">
        <v>1.098276</v>
      </c>
      <c r="L3511">
        <v>138.18860000000001</v>
      </c>
      <c r="M3511">
        <v>-0.96048159999999905</v>
      </c>
      <c r="N3511">
        <v>0</v>
      </c>
      <c r="O3511">
        <v>-0.27833540000000001</v>
      </c>
      <c r="P3511">
        <v>-0.98633059999999995</v>
      </c>
      <c r="Q3511">
        <v>1.1095600000000001E-2</v>
      </c>
      <c r="R3511">
        <v>-0.16440629999999901</v>
      </c>
      <c r="S3511">
        <v>-3.019333</v>
      </c>
      <c r="T3511">
        <v>-0.2600789</v>
      </c>
      <c r="U3511">
        <v>-0.16778560000000001</v>
      </c>
      <c r="V3511">
        <v>0.1167706</v>
      </c>
      <c r="W3511">
        <v>1.1889E-2</v>
      </c>
      <c r="X3511">
        <v>0.99308779999999997</v>
      </c>
      <c r="Y3511">
        <v>0.22279289999999999</v>
      </c>
      <c r="Z3511">
        <v>3.3195660000000002E-2</v>
      </c>
      <c r="AA3511">
        <v>0.97430039999999996</v>
      </c>
      <c r="AB3511">
        <v>18</v>
      </c>
      <c r="AC3511">
        <v>-12.569299999999901</v>
      </c>
      <c r="AD3511">
        <v>-1.098278351022</v>
      </c>
      <c r="AE3511">
        <v>-0.66570000000001495</v>
      </c>
      <c r="AF3511">
        <v>2.8374916438996198</v>
      </c>
      <c r="AG3511">
        <v>-1.098278351022</v>
      </c>
      <c r="AH3511">
        <v>12.1652761216044</v>
      </c>
      <c r="AI3511">
        <v>95.024518142781503</v>
      </c>
      <c r="AJ3511">
        <v>76.870769485097895</v>
      </c>
      <c r="AK3511">
        <v>12.539996701770001</v>
      </c>
    </row>
    <row r="3512" spans="1:37" x14ac:dyDescent="0.2">
      <c r="A3512" t="str">
        <f>"20200111160228533"</f>
        <v>20200111160228533</v>
      </c>
      <c r="B3512" t="str">
        <f>"1578729748525153"</f>
        <v>1578729748525153</v>
      </c>
      <c r="C3512" t="s">
        <v>37</v>
      </c>
      <c r="D3512">
        <v>5.3662919999999996</v>
      </c>
      <c r="E3512">
        <v>0.54338779999999998</v>
      </c>
      <c r="F3512" t="s">
        <v>38</v>
      </c>
      <c r="G3512">
        <v>-225.37819999999999</v>
      </c>
      <c r="H3512" s="1">
        <v>-2.3358569999999998E-6</v>
      </c>
      <c r="I3512">
        <v>137.5257</v>
      </c>
      <c r="J3512">
        <v>-212.96180000000001</v>
      </c>
      <c r="K3512">
        <v>1.0981700000000001</v>
      </c>
      <c r="L3512">
        <v>138.1464</v>
      </c>
      <c r="M3512">
        <v>-0.96324149999999997</v>
      </c>
      <c r="N3512">
        <v>0</v>
      </c>
      <c r="O3512">
        <v>-0.26862970000000003</v>
      </c>
      <c r="P3512">
        <v>-0.98770199999999997</v>
      </c>
      <c r="Q3512">
        <v>1.2150559999999999E-2</v>
      </c>
      <c r="R3512">
        <v>-0.1558766</v>
      </c>
      <c r="S3512">
        <v>-3.018097</v>
      </c>
      <c r="T3512">
        <v>-0.26300180000000001</v>
      </c>
      <c r="U3512">
        <v>-0.15870670000000001</v>
      </c>
      <c r="V3512">
        <v>0.11534179999999999</v>
      </c>
      <c r="W3512">
        <v>1.279778E-2</v>
      </c>
      <c r="X3512">
        <v>0.9932434</v>
      </c>
      <c r="Y3512">
        <v>0.215871799999999</v>
      </c>
      <c r="Z3512">
        <v>3.2470110000000003E-2</v>
      </c>
      <c r="AA3512">
        <v>0.97588169999999996</v>
      </c>
      <c r="AB3512">
        <v>18</v>
      </c>
      <c r="AC3512">
        <v>-12.4163999999999</v>
      </c>
      <c r="AD3512">
        <v>-1.0981723358569999</v>
      </c>
      <c r="AE3512">
        <v>-0.62069999999999903</v>
      </c>
      <c r="AF3512">
        <v>2.71633934902288</v>
      </c>
      <c r="AG3512">
        <v>-1.0981723358569999</v>
      </c>
      <c r="AH3512">
        <v>12.0328605600657</v>
      </c>
      <c r="AI3512">
        <v>95.087304654933206</v>
      </c>
      <c r="AJ3512">
        <v>77.279079447822198</v>
      </c>
      <c r="AK3512">
        <v>12.384434391455899</v>
      </c>
    </row>
    <row r="3513" spans="1:37" x14ac:dyDescent="0.2">
      <c r="A3513" t="str">
        <f>"20200111160228557"</f>
        <v>20200111160228557</v>
      </c>
      <c r="B3513" t="str">
        <f>"1578729748545649"</f>
        <v>1578729748545649</v>
      </c>
      <c r="C3513" t="s">
        <v>37</v>
      </c>
      <c r="D3513">
        <v>5.3660119999999996</v>
      </c>
      <c r="E3513">
        <v>0.54232480000000005</v>
      </c>
      <c r="F3513" t="s">
        <v>42</v>
      </c>
      <c r="G3513">
        <v>-213.8297</v>
      </c>
      <c r="H3513">
        <v>1.0229489999999899</v>
      </c>
      <c r="I3513">
        <v>138.10570000000001</v>
      </c>
      <c r="J3513">
        <v>-213.15469999999999</v>
      </c>
      <c r="K3513">
        <v>1.098066</v>
      </c>
      <c r="L3513">
        <v>138.10480000000001</v>
      </c>
      <c r="M3513">
        <v>-0.96597080000000002</v>
      </c>
      <c r="N3513">
        <v>0</v>
      </c>
      <c r="O3513">
        <v>-0.2586446</v>
      </c>
      <c r="P3513">
        <v>-0.989035199999999</v>
      </c>
      <c r="Q3513">
        <v>1.348065E-2</v>
      </c>
      <c r="R3513">
        <v>-0.1470649</v>
      </c>
      <c r="S3513">
        <v>-3.0182039999999999</v>
      </c>
      <c r="T3513">
        <v>-0.26132369999999999</v>
      </c>
      <c r="U3513">
        <v>-0.1417389</v>
      </c>
      <c r="V3513">
        <v>0.11392809999999901</v>
      </c>
      <c r="W3513">
        <v>1.399072E-2</v>
      </c>
      <c r="X3513">
        <v>0.99339049999999995</v>
      </c>
      <c r="Y3513">
        <v>0.21131459999999999</v>
      </c>
      <c r="Z3513">
        <v>3.1238680000000001E-2</v>
      </c>
      <c r="AA3513">
        <v>0.97691879999999998</v>
      </c>
      <c r="AB3513">
        <v>19</v>
      </c>
      <c r="AC3513">
        <v>-0.67500000000001104</v>
      </c>
      <c r="AD3513">
        <v>-7.51170000000001E-2</v>
      </c>
      <c r="AE3513">
        <v>9.0000000000145497E-4</v>
      </c>
      <c r="AF3513">
        <v>0.17330848769149701</v>
      </c>
      <c r="AG3513">
        <v>-7.51170000000001E-2</v>
      </c>
      <c r="AH3513">
        <v>0.64382534740073705</v>
      </c>
      <c r="AI3513">
        <v>96.427981541382906</v>
      </c>
      <c r="AJ3513">
        <v>74.933927013864604</v>
      </c>
      <c r="AK3513">
        <v>0.67096160363361601</v>
      </c>
    </row>
    <row r="3514" spans="1:37" x14ac:dyDescent="0.2">
      <c r="A3514" t="str">
        <f>"20200111160228579"</f>
        <v>20200111160228579</v>
      </c>
      <c r="B3514" t="str">
        <f>"1578729748575905"</f>
        <v>1578729748575905</v>
      </c>
      <c r="C3514" t="s">
        <v>37</v>
      </c>
      <c r="D3514">
        <v>5.3966199999999898</v>
      </c>
      <c r="E3514">
        <v>0.54131859999999998</v>
      </c>
      <c r="F3514" t="s">
        <v>42</v>
      </c>
      <c r="G3514">
        <v>-213.99770000000001</v>
      </c>
      <c r="H3514">
        <v>1.0254299999999901</v>
      </c>
      <c r="I3514">
        <v>138.07040000000001</v>
      </c>
      <c r="J3514">
        <v>-213.34649999999999</v>
      </c>
      <c r="K3514">
        <v>1.0979639999999999</v>
      </c>
      <c r="L3514">
        <v>138.06540000000001</v>
      </c>
      <c r="M3514">
        <v>-0.96856390000000003</v>
      </c>
      <c r="N3514">
        <v>0</v>
      </c>
      <c r="O3514">
        <v>-0.24875839999999999</v>
      </c>
      <c r="P3514">
        <v>-0.99028130000000003</v>
      </c>
      <c r="Q3514">
        <v>1.44745E-2</v>
      </c>
      <c r="R3514">
        <v>-0.1383238</v>
      </c>
      <c r="S3514">
        <v>-3.018478</v>
      </c>
      <c r="T3514">
        <v>-0.25989380000000001</v>
      </c>
      <c r="U3514">
        <v>-0.12335209999999899</v>
      </c>
      <c r="V3514">
        <v>0.1125588</v>
      </c>
      <c r="W3514">
        <v>1.4862770000000001E-2</v>
      </c>
      <c r="X3514">
        <v>0.99353389999999997</v>
      </c>
      <c r="Y3514">
        <v>0.20733760000000001</v>
      </c>
      <c r="Z3514">
        <v>3.0077799999999998E-2</v>
      </c>
      <c r="AA3514">
        <v>0.97780689999999904</v>
      </c>
      <c r="AB3514">
        <v>19</v>
      </c>
      <c r="AC3514">
        <v>-0.65120000000001699</v>
      </c>
      <c r="AD3514">
        <v>-7.2534000000000098E-2</v>
      </c>
      <c r="AE3514">
        <v>4.9999999999954499E-3</v>
      </c>
      <c r="AF3514">
        <v>0.164790185663692</v>
      </c>
      <c r="AG3514">
        <v>-7.2534000000000098E-2</v>
      </c>
      <c r="AH3514">
        <v>0.62177237980709799</v>
      </c>
      <c r="AI3514">
        <v>96.433703302811594</v>
      </c>
      <c r="AJ3514">
        <v>75.156007422032502</v>
      </c>
      <c r="AK3514">
        <v>0.64731590335635703</v>
      </c>
    </row>
    <row r="3515" spans="1:37" x14ac:dyDescent="0.2">
      <c r="A3515" t="str">
        <f>"20200111160228601"</f>
        <v>20200111160228601</v>
      </c>
      <c r="B3515" t="str">
        <f>"1578729748595425"</f>
        <v>1578729748595425</v>
      </c>
      <c r="C3515" t="s">
        <v>37</v>
      </c>
      <c r="D3515">
        <v>5.4107229999999999</v>
      </c>
      <c r="E3515">
        <v>0.53052440000000001</v>
      </c>
      <c r="F3515" t="s">
        <v>42</v>
      </c>
      <c r="G3515">
        <v>-214.1677</v>
      </c>
      <c r="H3515">
        <v>1.027361</v>
      </c>
      <c r="I3515">
        <v>138.03700000000001</v>
      </c>
      <c r="J3515">
        <v>-213.53389999999999</v>
      </c>
      <c r="K3515">
        <v>1.0978829999999999</v>
      </c>
      <c r="L3515">
        <v>138.02879999999999</v>
      </c>
      <c r="M3515">
        <v>-0.97098150000000005</v>
      </c>
      <c r="N3515">
        <v>0</v>
      </c>
      <c r="O3515">
        <v>-0.23914869999999999</v>
      </c>
      <c r="P3515">
        <v>-0.9913151</v>
      </c>
      <c r="Q3515">
        <v>1.650975E-2</v>
      </c>
      <c r="R3515">
        <v>-0.13046720000000001</v>
      </c>
      <c r="S3515">
        <v>-3.0186000000000002</v>
      </c>
      <c r="T3515">
        <v>-0.25910749999999999</v>
      </c>
      <c r="U3515">
        <v>-0.10484309999999999</v>
      </c>
      <c r="V3515">
        <v>0.11061069999999899</v>
      </c>
      <c r="W3515">
        <v>1.6798480000000001E-2</v>
      </c>
      <c r="X3515">
        <v>0.99372179999999999</v>
      </c>
      <c r="Y3515">
        <v>0.2036906</v>
      </c>
      <c r="Z3515">
        <v>2.9035229999999999E-2</v>
      </c>
      <c r="AA3515">
        <v>0.97860469999999899</v>
      </c>
      <c r="AB3515">
        <v>19</v>
      </c>
      <c r="AC3515">
        <v>-0.63380000000000702</v>
      </c>
      <c r="AD3515">
        <v>-7.0521999999999904E-2</v>
      </c>
      <c r="AE3515">
        <v>8.2000000000164094E-3</v>
      </c>
      <c r="AF3515">
        <v>0.157584047409078</v>
      </c>
      <c r="AG3515">
        <v>-7.0521999999999904E-2</v>
      </c>
      <c r="AH3515">
        <v>0.60594713539918499</v>
      </c>
      <c r="AI3515">
        <v>96.426507641015604</v>
      </c>
      <c r="AJ3515">
        <v>75.4224366535543</v>
      </c>
      <c r="AK3515">
        <v>0.63006191392616695</v>
      </c>
    </row>
    <row r="3516" spans="1:37" x14ac:dyDescent="0.2">
      <c r="A3516" t="str">
        <f>"20200111160228624"</f>
        <v>20200111160228624</v>
      </c>
      <c r="B3516" t="str">
        <f>"1578729748615453"</f>
        <v>1578729748615453</v>
      </c>
      <c r="C3516" t="s">
        <v>37</v>
      </c>
      <c r="D3516">
        <v>5.3612229999999998</v>
      </c>
      <c r="E3516">
        <v>0.52847500000000003</v>
      </c>
      <c r="F3516" t="s">
        <v>42</v>
      </c>
      <c r="G3516">
        <v>-214.3297</v>
      </c>
      <c r="H3516">
        <v>1.0235889999999901</v>
      </c>
      <c r="I3516">
        <v>137.98439999999999</v>
      </c>
      <c r="J3516">
        <v>-213.7312</v>
      </c>
      <c r="K3516">
        <v>1.0978060000000001</v>
      </c>
      <c r="L3516">
        <v>137.99209999999999</v>
      </c>
      <c r="M3516">
        <v>-0.97339929999999997</v>
      </c>
      <c r="N3516">
        <v>0</v>
      </c>
      <c r="O3516">
        <v>-0.22911020000000001</v>
      </c>
      <c r="P3516">
        <v>-0.99241559999999995</v>
      </c>
      <c r="Q3516">
        <v>1.966478E-2</v>
      </c>
      <c r="R3516">
        <v>-0.12134489999999901</v>
      </c>
      <c r="S3516">
        <v>-3.0088810000000001</v>
      </c>
      <c r="T3516">
        <v>-0.28076960000000001</v>
      </c>
      <c r="U3516">
        <v>-0.1677399</v>
      </c>
      <c r="V3516">
        <v>0.10951669999999999</v>
      </c>
      <c r="W3516">
        <v>1.9848299999999999E-2</v>
      </c>
      <c r="X3516">
        <v>0.99378679999999997</v>
      </c>
      <c r="Y3516">
        <v>0.17285210000000001</v>
      </c>
      <c r="Z3516">
        <v>2.9179610000000002E-2</v>
      </c>
      <c r="AA3516">
        <v>0.98451549999999999</v>
      </c>
      <c r="AB3516">
        <v>19</v>
      </c>
      <c r="AC3516">
        <v>-0.59850000000000103</v>
      </c>
      <c r="AD3516">
        <v>-7.4217000000000199E-2</v>
      </c>
      <c r="AE3516">
        <v>-7.6999999999998103E-3</v>
      </c>
      <c r="AF3516">
        <v>0.12766462529692699</v>
      </c>
      <c r="AG3516">
        <v>-7.4217000000000199E-2</v>
      </c>
      <c r="AH3516">
        <v>0.57549622629171004</v>
      </c>
      <c r="AI3516">
        <v>97.175847489378</v>
      </c>
      <c r="AJ3516">
        <v>77.4923912080842</v>
      </c>
      <c r="AK3516">
        <v>0.59413998865351902</v>
      </c>
    </row>
    <row r="3517" spans="1:37" x14ac:dyDescent="0.2">
      <c r="A3517" t="str">
        <f>"20200111160228647"</f>
        <v>20200111160228647</v>
      </c>
      <c r="B3517" t="str">
        <f>"1578729748635949"</f>
        <v>1578729748635949</v>
      </c>
      <c r="C3517" t="s">
        <v>37</v>
      </c>
      <c r="D3517">
        <v>5.3684839999999996</v>
      </c>
      <c r="E3517">
        <v>0.52766569999999902</v>
      </c>
      <c r="F3517" t="s">
        <v>42</v>
      </c>
      <c r="G3517">
        <v>-214.5051</v>
      </c>
      <c r="H3517">
        <v>1.026912</v>
      </c>
      <c r="I3517">
        <v>137.95179999999999</v>
      </c>
      <c r="J3517">
        <v>-213.93450000000001</v>
      </c>
      <c r="K3517">
        <v>1.0977589999999999</v>
      </c>
      <c r="L3517">
        <v>137.9564</v>
      </c>
      <c r="M3517">
        <v>-0.97575040000000002</v>
      </c>
      <c r="N3517">
        <v>0</v>
      </c>
      <c r="O3517">
        <v>-0.2188813</v>
      </c>
      <c r="P3517">
        <v>-0.99348289999999995</v>
      </c>
      <c r="Q3517">
        <v>2.3460109999999999E-2</v>
      </c>
      <c r="R3517">
        <v>-0.11154169999999999</v>
      </c>
      <c r="S3517">
        <v>-3.009201</v>
      </c>
      <c r="T3517">
        <v>-0.275416099999999</v>
      </c>
      <c r="U3517">
        <v>-0.1570587</v>
      </c>
      <c r="V3517">
        <v>0.108928199999999</v>
      </c>
      <c r="W3517">
        <v>2.354148E-2</v>
      </c>
      <c r="X3517">
        <v>0.99377079999999995</v>
      </c>
      <c r="Y3517">
        <v>0.1661369</v>
      </c>
      <c r="Z3517">
        <v>2.7408390000000001E-2</v>
      </c>
      <c r="AA3517">
        <v>0.98572169999999903</v>
      </c>
      <c r="AB3517">
        <v>19</v>
      </c>
      <c r="AC3517">
        <v>-0.57059999999998401</v>
      </c>
      <c r="AD3517">
        <v>-7.0846999999999799E-2</v>
      </c>
      <c r="AE3517">
        <v>-4.6000000000105904E-3</v>
      </c>
      <c r="AF3517">
        <v>0.118577442930973</v>
      </c>
      <c r="AG3517">
        <v>-7.0846999999999799E-2</v>
      </c>
      <c r="AH3517">
        <v>0.54930297287562901</v>
      </c>
      <c r="AI3517">
        <v>97.185494857255193</v>
      </c>
      <c r="AJ3517">
        <v>77.818542199340101</v>
      </c>
      <c r="AK3517">
        <v>0.56640415198959504</v>
      </c>
    </row>
    <row r="3518" spans="1:37" x14ac:dyDescent="0.2">
      <c r="A3518" t="str">
        <f>"20200111160228670"</f>
        <v>20200111160228670</v>
      </c>
      <c r="B3518" t="str">
        <f>"1578729748665228"</f>
        <v>1578729748665228</v>
      </c>
      <c r="C3518" t="s">
        <v>37</v>
      </c>
      <c r="D3518">
        <v>5.4136419999999896</v>
      </c>
      <c r="E3518">
        <v>0.52673950000000003</v>
      </c>
      <c r="F3518" t="s">
        <v>42</v>
      </c>
      <c r="G3518">
        <v>-214.6841</v>
      </c>
      <c r="H3518">
        <v>1.032181</v>
      </c>
      <c r="I3518">
        <v>137.9229</v>
      </c>
      <c r="J3518">
        <v>-214.12950000000001</v>
      </c>
      <c r="K3518">
        <v>1.097736</v>
      </c>
      <c r="L3518">
        <v>137.92400000000001</v>
      </c>
      <c r="M3518">
        <v>-0.977867499999999</v>
      </c>
      <c r="N3518">
        <v>0</v>
      </c>
      <c r="O3518">
        <v>-0.20922089999999999</v>
      </c>
      <c r="P3518">
        <v>-0.99443819999999905</v>
      </c>
      <c r="Q3518">
        <v>2.630103E-2</v>
      </c>
      <c r="R3518">
        <v>-0.10198450000000001</v>
      </c>
      <c r="S3518">
        <v>-3.010742</v>
      </c>
      <c r="T3518">
        <v>-0.26298699999999903</v>
      </c>
      <c r="U3518">
        <v>-0.13491819999999999</v>
      </c>
      <c r="V3518">
        <v>0.10867539999999901</v>
      </c>
      <c r="W3518">
        <v>2.6292929999999999E-2</v>
      </c>
      <c r="X3518">
        <v>0.99372950000000004</v>
      </c>
      <c r="Y3518">
        <v>0.16382929999999901</v>
      </c>
      <c r="Z3518">
        <v>2.524614E-2</v>
      </c>
      <c r="AA3518">
        <v>0.98616559999999898</v>
      </c>
      <c r="AB3518">
        <v>19</v>
      </c>
      <c r="AC3518">
        <v>-0.55459999999999299</v>
      </c>
      <c r="AD3518">
        <v>-6.5555000000000002E-2</v>
      </c>
      <c r="AE3518">
        <v>-1.1000000000080899E-3</v>
      </c>
      <c r="AF3518">
        <v>0.113374322978641</v>
      </c>
      <c r="AG3518">
        <v>-6.5555000000000002E-2</v>
      </c>
      <c r="AH3518">
        <v>0.53507994509287904</v>
      </c>
      <c r="AI3518">
        <v>96.834502153211105</v>
      </c>
      <c r="AJ3518">
        <v>78.036931211997796</v>
      </c>
      <c r="AK3518">
        <v>0.55087361778947497</v>
      </c>
    </row>
    <row r="3519" spans="1:37" x14ac:dyDescent="0.2">
      <c r="A3519" t="str">
        <f>"20200111160228692"</f>
        <v>20200111160228692</v>
      </c>
      <c r="B3519" t="str">
        <f>"1578729748685726"</f>
        <v>1578729748685726</v>
      </c>
      <c r="C3519" t="s">
        <v>37</v>
      </c>
      <c r="D3519">
        <v>5.3052299999999999</v>
      </c>
      <c r="E3519">
        <v>0.52675899999999998</v>
      </c>
      <c r="F3519" t="s">
        <v>42</v>
      </c>
      <c r="G3519">
        <v>-214.86429999999999</v>
      </c>
      <c r="H3519">
        <v>1.0352429999999999</v>
      </c>
      <c r="I3519">
        <v>137.89619999999999</v>
      </c>
      <c r="J3519">
        <v>-214.3398</v>
      </c>
      <c r="K3519">
        <v>1.0977319999999999</v>
      </c>
      <c r="L3519">
        <v>137.89099999999999</v>
      </c>
      <c r="M3519">
        <v>-0.97998989999999997</v>
      </c>
      <c r="N3519">
        <v>0</v>
      </c>
      <c r="O3519">
        <v>-0.19904240000000001</v>
      </c>
      <c r="P3519">
        <v>-0.995399699999999</v>
      </c>
      <c r="Q3519">
        <v>2.7506900000000001E-2</v>
      </c>
      <c r="R3519">
        <v>-9.1776830000000004E-2</v>
      </c>
      <c r="S3519">
        <v>-3.011841</v>
      </c>
      <c r="T3519">
        <v>-0.25592320000000002</v>
      </c>
      <c r="U3519">
        <v>-0.114120499999999</v>
      </c>
      <c r="V3519">
        <v>0.1085443</v>
      </c>
      <c r="W3519">
        <v>2.7419289999999999E-2</v>
      </c>
      <c r="X3519">
        <v>0.99371339999999997</v>
      </c>
      <c r="Y3519">
        <v>0.16050980000000001</v>
      </c>
      <c r="Z3519">
        <v>2.3580159999999999E-2</v>
      </c>
      <c r="AA3519">
        <v>0.98675249999999903</v>
      </c>
      <c r="AB3519">
        <v>20</v>
      </c>
      <c r="AC3519">
        <v>-0.52449999999998898</v>
      </c>
      <c r="AD3519">
        <v>-6.2488999999999802E-2</v>
      </c>
      <c r="AE3519">
        <v>5.2000000000020901E-3</v>
      </c>
      <c r="AF3519">
        <v>0.107961496368896</v>
      </c>
      <c r="AG3519">
        <v>-6.2488999999999802E-2</v>
      </c>
      <c r="AH3519">
        <v>0.505791487616295</v>
      </c>
      <c r="AI3519">
        <v>96.8893752571622</v>
      </c>
      <c r="AJ3519">
        <v>77.9509986138969</v>
      </c>
      <c r="AK3519">
        <v>0.52094681951646005</v>
      </c>
    </row>
    <row r="3520" spans="1:37" x14ac:dyDescent="0.2">
      <c r="A3520" t="str">
        <f>"20200111160228714"</f>
        <v>20200111160228714</v>
      </c>
      <c r="B3520" t="str">
        <f>"1578729748705752"</f>
        <v>1578729748705752</v>
      </c>
      <c r="C3520" t="s">
        <v>37</v>
      </c>
      <c r="D3520">
        <v>5.2602570000000002</v>
      </c>
      <c r="E3520">
        <v>0.51771350000000005</v>
      </c>
      <c r="F3520" t="s">
        <v>42</v>
      </c>
      <c r="G3520">
        <v>-215.2261</v>
      </c>
      <c r="H3520">
        <v>1.023004</v>
      </c>
      <c r="I3520">
        <v>137.8663</v>
      </c>
      <c r="J3520">
        <v>-214.5437</v>
      </c>
      <c r="K3520">
        <v>1.0977600000000001</v>
      </c>
      <c r="L3520">
        <v>137.86089999999999</v>
      </c>
      <c r="M3520">
        <v>-0.98189340000000003</v>
      </c>
      <c r="N3520">
        <v>0</v>
      </c>
      <c r="O3520">
        <v>-0.1894304</v>
      </c>
      <c r="P3520">
        <v>-0.99626669999999995</v>
      </c>
      <c r="Q3520">
        <v>2.7691799999999999E-2</v>
      </c>
      <c r="R3520">
        <v>-8.1767400000000004E-2</v>
      </c>
      <c r="S3520">
        <v>-3.013153</v>
      </c>
      <c r="T3520">
        <v>-0.25401459999999998</v>
      </c>
      <c r="U3520">
        <v>-8.3877560000000004E-2</v>
      </c>
      <c r="V3520">
        <v>0.10879220000000001</v>
      </c>
      <c r="W3520">
        <v>2.7539890000000001E-2</v>
      </c>
      <c r="X3520">
        <v>0.99368299999999998</v>
      </c>
      <c r="Y3520">
        <v>0.1608011</v>
      </c>
      <c r="Z3520">
        <v>2.2619239999999999E-2</v>
      </c>
      <c r="AA3520">
        <v>0.98672760000000004</v>
      </c>
      <c r="AB3520">
        <v>20</v>
      </c>
      <c r="AC3520">
        <v>-0.68240000000000101</v>
      </c>
      <c r="AD3520">
        <v>-7.4756000000000003E-2</v>
      </c>
      <c r="AE3520">
        <v>5.4000000000087303E-3</v>
      </c>
      <c r="AF3520">
        <v>0.13297392078802101</v>
      </c>
      <c r="AG3520">
        <v>-7.4756000000000003E-2</v>
      </c>
      <c r="AH3520">
        <v>0.66108846082478301</v>
      </c>
      <c r="AI3520">
        <v>96.325966853590202</v>
      </c>
      <c r="AJ3520">
        <v>78.627060769163805</v>
      </c>
      <c r="AK3520">
        <v>0.67846037185779695</v>
      </c>
    </row>
    <row r="3521" spans="1:37" x14ac:dyDescent="0.2">
      <c r="A3521" t="str">
        <f>"20200111160228736"</f>
        <v>20200111160228736</v>
      </c>
      <c r="B3521" t="str">
        <f>"1578729748725272"</f>
        <v>1578729748725272</v>
      </c>
      <c r="C3521" t="s">
        <v>37</v>
      </c>
      <c r="D3521">
        <v>5.403912</v>
      </c>
      <c r="E3521">
        <v>0.50769549999999997</v>
      </c>
      <c r="F3521" t="s">
        <v>42</v>
      </c>
      <c r="G3521">
        <v>-215.4085</v>
      </c>
      <c r="H3521">
        <v>1.0268660000000001</v>
      </c>
      <c r="I3521">
        <v>137.82490000000001</v>
      </c>
      <c r="J3521">
        <v>-214.74420000000001</v>
      </c>
      <c r="K3521">
        <v>1.097804</v>
      </c>
      <c r="L3521">
        <v>137.833</v>
      </c>
      <c r="M3521">
        <v>-0.98362579999999999</v>
      </c>
      <c r="N3521">
        <v>0</v>
      </c>
      <c r="O3521">
        <v>-0.1802194</v>
      </c>
      <c r="P3521">
        <v>-0.9970405</v>
      </c>
      <c r="Q3521">
        <v>2.835826E-2</v>
      </c>
      <c r="R3521">
        <v>-7.1460930000000006E-2</v>
      </c>
      <c r="S3521">
        <v>-3.0077509999999998</v>
      </c>
      <c r="T3521">
        <v>-0.24604589999999901</v>
      </c>
      <c r="U3521">
        <v>-0.125946</v>
      </c>
      <c r="V3521">
        <v>0.1097542</v>
      </c>
      <c r="W3521">
        <v>2.8148570000000001E-2</v>
      </c>
      <c r="X3521">
        <v>0.99356009999999995</v>
      </c>
      <c r="Y3521">
        <v>0.1378559</v>
      </c>
      <c r="Z3521">
        <v>2.0263759999999999E-2</v>
      </c>
      <c r="AA3521">
        <v>0.99024500000000004</v>
      </c>
      <c r="AB3521">
        <v>20</v>
      </c>
      <c r="AC3521">
        <v>-0.664299999999997</v>
      </c>
      <c r="AD3521">
        <v>-7.0937999999999904E-2</v>
      </c>
      <c r="AE3521">
        <v>-8.0999999999846698E-3</v>
      </c>
      <c r="AF3521">
        <v>0.11049265825704301</v>
      </c>
      <c r="AG3521">
        <v>-7.0937999999999904E-2</v>
      </c>
      <c r="AH3521">
        <v>0.64750028409874905</v>
      </c>
      <c r="AI3521">
        <v>96.163802808776396</v>
      </c>
      <c r="AJ3521">
        <v>80.3160431450098</v>
      </c>
      <c r="AK3521">
        <v>0.66067953296637605</v>
      </c>
    </row>
    <row r="3522" spans="1:37" x14ac:dyDescent="0.2">
      <c r="A3522" t="str">
        <f>"20200111160228759"</f>
        <v>20200111160228759</v>
      </c>
      <c r="B3522" t="str">
        <f>"1578729748755528"</f>
        <v>1578729748755528</v>
      </c>
      <c r="C3522" t="s">
        <v>37</v>
      </c>
      <c r="D3522">
        <v>6.130649</v>
      </c>
      <c r="E3522">
        <v>0.51899989999999996</v>
      </c>
      <c r="F3522" t="s">
        <v>43</v>
      </c>
      <c r="G3522">
        <v>0</v>
      </c>
      <c r="H3522">
        <v>0</v>
      </c>
      <c r="I3522">
        <v>0</v>
      </c>
      <c r="J3522">
        <v>-214.96260000000001</v>
      </c>
      <c r="K3522">
        <v>1.0978729999999901</v>
      </c>
      <c r="L3522">
        <v>137.80439999999999</v>
      </c>
      <c r="M3522">
        <v>-0.9853575</v>
      </c>
      <c r="N3522">
        <v>0</v>
      </c>
      <c r="O3522">
        <v>-0.17049739999999999</v>
      </c>
      <c r="P3522">
        <v>-0.99771119999999902</v>
      </c>
      <c r="Q3522">
        <v>2.8652759999999999E-2</v>
      </c>
      <c r="R3522">
        <v>-6.1251409999999999E-2</v>
      </c>
      <c r="S3522">
        <v>-2.9963229999999998</v>
      </c>
      <c r="T3522">
        <v>5.156815E-2</v>
      </c>
      <c r="U3522">
        <v>-0.15524289999999999</v>
      </c>
      <c r="V3522">
        <v>0.1101087</v>
      </c>
      <c r="W3522">
        <v>2.8405010000000001E-2</v>
      </c>
      <c r="X3522">
        <v>0.9935136</v>
      </c>
      <c r="Y3522">
        <v>0.1192425</v>
      </c>
      <c r="Z3522">
        <v>-3.943467E-3</v>
      </c>
      <c r="AA3522">
        <v>0.99285730000000005</v>
      </c>
      <c r="AB3522">
        <v>20</v>
      </c>
      <c r="AC3522">
        <v>-2.9963229999999998</v>
      </c>
      <c r="AD3522">
        <v>5.156815E-2</v>
      </c>
      <c r="AE3522">
        <v>-0.15524289999999999</v>
      </c>
      <c r="AF3522">
        <v>0.35779005212420101</v>
      </c>
      <c r="AG3522">
        <v>5.156815E-2</v>
      </c>
      <c r="AH3522">
        <v>2.97803995347989</v>
      </c>
      <c r="AI3522">
        <v>89.0150392633103</v>
      </c>
      <c r="AJ3522">
        <v>83.149161153669198</v>
      </c>
      <c r="AK3522">
        <v>2.9998991583078198</v>
      </c>
    </row>
    <row r="3523" spans="1:37" x14ac:dyDescent="0.2">
      <c r="A3523" t="str">
        <f>"20200111160228782"</f>
        <v>20200111160228782</v>
      </c>
      <c r="B3523" t="str">
        <f>"1578729748776024"</f>
        <v>1578729748776024</v>
      </c>
      <c r="C3523" t="s">
        <v>37</v>
      </c>
      <c r="D3523">
        <v>5.2369629999999896</v>
      </c>
      <c r="E3523">
        <v>0.51568420000000004</v>
      </c>
      <c r="F3523" t="s">
        <v>42</v>
      </c>
      <c r="G3523">
        <v>-215.78659999999999</v>
      </c>
      <c r="H3523">
        <v>1.0309759999999999</v>
      </c>
      <c r="I3523">
        <v>137.78970000000001</v>
      </c>
      <c r="J3523">
        <v>-215.18010000000001</v>
      </c>
      <c r="K3523">
        <v>1.0979669999999999</v>
      </c>
      <c r="L3523">
        <v>137.7775</v>
      </c>
      <c r="M3523">
        <v>-0.98692599999999997</v>
      </c>
      <c r="N3523">
        <v>0</v>
      </c>
      <c r="O3523">
        <v>-0.16117100000000001</v>
      </c>
      <c r="P3523">
        <v>-0.99823899999999999</v>
      </c>
      <c r="Q3523">
        <v>2.8201529999999999E-2</v>
      </c>
      <c r="R3523">
        <v>-5.218627E-2</v>
      </c>
      <c r="S3523">
        <v>-3.0105590000000002</v>
      </c>
      <c r="T3523">
        <v>-0.2440592</v>
      </c>
      <c r="U3523">
        <v>-5.4138180000000001E-2</v>
      </c>
      <c r="V3523">
        <v>0.10972560000000001</v>
      </c>
      <c r="W3523">
        <v>2.7942189999999999E-2</v>
      </c>
      <c r="X3523">
        <v>0.99356909999999898</v>
      </c>
      <c r="Y3523">
        <v>0.1424088</v>
      </c>
      <c r="Z3523">
        <v>1.87581E-2</v>
      </c>
      <c r="AA3523">
        <v>0.98963020000000002</v>
      </c>
      <c r="AB3523">
        <v>21</v>
      </c>
      <c r="AC3523">
        <v>-0.60649999999998205</v>
      </c>
      <c r="AD3523">
        <v>-6.6990999999999801E-2</v>
      </c>
      <c r="AE3523">
        <v>1.2200000000007E-2</v>
      </c>
      <c r="AF3523">
        <v>0.10846795368972501</v>
      </c>
      <c r="AG3523">
        <v>-6.6990999999999801E-2</v>
      </c>
      <c r="AH3523">
        <v>0.58941646253564695</v>
      </c>
      <c r="AI3523">
        <v>96.378017811805407</v>
      </c>
      <c r="AJ3523">
        <v>79.572750596882997</v>
      </c>
      <c r="AK3523">
        <v>0.60304631444580803</v>
      </c>
    </row>
    <row r="3524" spans="1:37" x14ac:dyDescent="0.2">
      <c r="A3524" t="str">
        <f>"20200111160228804"</f>
        <v>20200111160228804</v>
      </c>
      <c r="B3524" t="str">
        <f>"1578729748795544"</f>
        <v>1578729748795544</v>
      </c>
      <c r="C3524" t="s">
        <v>37</v>
      </c>
      <c r="D3524">
        <v>5.2552009999999996</v>
      </c>
      <c r="E3524">
        <v>0.51407440000000004</v>
      </c>
      <c r="F3524" t="s">
        <v>42</v>
      </c>
      <c r="G3524">
        <v>-215.97640000000001</v>
      </c>
      <c r="H3524">
        <v>1.0328539999999999</v>
      </c>
      <c r="I3524">
        <v>137.76349999999999</v>
      </c>
      <c r="J3524">
        <v>-215.3991</v>
      </c>
      <c r="K3524">
        <v>1.0981030000000001</v>
      </c>
      <c r="L3524">
        <v>137.75219999999999</v>
      </c>
      <c r="M3524">
        <v>-0.98835099999999998</v>
      </c>
      <c r="N3524">
        <v>0</v>
      </c>
      <c r="O3524">
        <v>-0.15218799999999999</v>
      </c>
      <c r="P3524">
        <v>-0.99863860000000004</v>
      </c>
      <c r="Q3524">
        <v>2.6424099999999999E-2</v>
      </c>
      <c r="R3524">
        <v>-4.4971659999999997E-2</v>
      </c>
      <c r="S3524">
        <v>-3.0094759999999998</v>
      </c>
      <c r="T3524">
        <v>-0.24602499999999999</v>
      </c>
      <c r="U3524">
        <v>-5.3024290000000002E-2</v>
      </c>
      <c r="V3524">
        <v>0.10784439999999899</v>
      </c>
      <c r="W3524">
        <v>2.6189980000000002E-2</v>
      </c>
      <c r="X3524">
        <v>0.99382280000000001</v>
      </c>
      <c r="Y3524">
        <v>0.13380320000000001</v>
      </c>
      <c r="Z3524">
        <v>1.783881E-2</v>
      </c>
      <c r="AA3524">
        <v>0.99084729999999999</v>
      </c>
      <c r="AB3524">
        <v>21</v>
      </c>
      <c r="AC3524">
        <v>-0.57730000000000803</v>
      </c>
      <c r="AD3524">
        <v>-6.5248999999999793E-2</v>
      </c>
      <c r="AE3524">
        <v>1.1300000000005601E-2</v>
      </c>
      <c r="AF3524">
        <v>9.7777965591745702E-2</v>
      </c>
      <c r="AG3524">
        <v>-6.5248999999999793E-2</v>
      </c>
      <c r="AH3524">
        <v>0.56168313989399798</v>
      </c>
      <c r="AI3524">
        <v>96.528854538081603</v>
      </c>
      <c r="AJ3524">
        <v>80.124891952044806</v>
      </c>
      <c r="AK3524">
        <v>0.57385182076686103</v>
      </c>
    </row>
    <row r="3525" spans="1:37" x14ac:dyDescent="0.2">
      <c r="A3525" t="str">
        <f>"20200111160228848"</f>
        <v>20200111160228848</v>
      </c>
      <c r="B3525" t="str">
        <f>"1578729748845827"</f>
        <v>1578729748845827</v>
      </c>
      <c r="C3525" t="s">
        <v>37</v>
      </c>
      <c r="D3525">
        <v>6.1758660000000001</v>
      </c>
      <c r="E3525">
        <v>0.51092709999999997</v>
      </c>
      <c r="F3525" t="s">
        <v>42</v>
      </c>
      <c r="G3525">
        <v>-216.1686</v>
      </c>
      <c r="H3525">
        <v>1.0348599999999999</v>
      </c>
      <c r="I3525">
        <v>137.7413</v>
      </c>
      <c r="J3525">
        <v>-215.81880000000001</v>
      </c>
      <c r="K3525">
        <v>1.0984929999999999</v>
      </c>
      <c r="L3525">
        <v>137.70760000000001</v>
      </c>
      <c r="M3525">
        <v>-0.99066559999999904</v>
      </c>
      <c r="N3525">
        <v>0</v>
      </c>
      <c r="O3525">
        <v>-0.13631179999999901</v>
      </c>
      <c r="P3525">
        <v>-0.99906819999999896</v>
      </c>
      <c r="Q3525">
        <v>2.325671E-2</v>
      </c>
      <c r="R3525">
        <v>-3.6361619999999997E-2</v>
      </c>
      <c r="S3525">
        <v>-3.0086819999999999</v>
      </c>
      <c r="T3525">
        <v>-0.24704870000000001</v>
      </c>
      <c r="U3525">
        <v>-4.2724610000000003E-2</v>
      </c>
      <c r="V3525">
        <v>0.1004147</v>
      </c>
      <c r="W3525">
        <v>2.3170610000000001E-2</v>
      </c>
      <c r="X3525">
        <v>0.9946758</v>
      </c>
      <c r="Y3525">
        <v>0.12136719999999999</v>
      </c>
      <c r="Z3525">
        <v>1.6118759999999999E-2</v>
      </c>
      <c r="AA3525">
        <v>0.99247680000000005</v>
      </c>
      <c r="AB3525">
        <v>21</v>
      </c>
      <c r="AC3525">
        <v>-0.34979999999998701</v>
      </c>
      <c r="AD3525">
        <v>-6.3632999999999801E-2</v>
      </c>
      <c r="AE3525">
        <v>3.36999999999818E-2</v>
      </c>
      <c r="AF3525">
        <v>7.8493690403097199E-2</v>
      </c>
      <c r="AG3525">
        <v>-6.3632999999999801E-2</v>
      </c>
      <c r="AH3525">
        <v>0.33108566451737598</v>
      </c>
      <c r="AI3525">
        <v>100.592596150669</v>
      </c>
      <c r="AJ3525">
        <v>76.662579246859707</v>
      </c>
      <c r="AK3525">
        <v>0.34616200740550601</v>
      </c>
    </row>
    <row r="3526" spans="1:37" x14ac:dyDescent="0.2">
      <c r="A3526" t="str">
        <f>"20200111160228871"</f>
        <v>20200111160228871</v>
      </c>
      <c r="B3526" t="str">
        <f>"1578729748865348"</f>
        <v>1578729748865348</v>
      </c>
      <c r="C3526" t="s">
        <v>37</v>
      </c>
      <c r="D3526">
        <v>5.2194469999999997</v>
      </c>
      <c r="E3526">
        <v>0.5089129</v>
      </c>
      <c r="F3526" t="s">
        <v>42</v>
      </c>
      <c r="G3526">
        <v>-216.55719999999999</v>
      </c>
      <c r="H3526">
        <v>1.0372790000000001</v>
      </c>
      <c r="I3526">
        <v>137.6979</v>
      </c>
      <c r="J3526">
        <v>-216.04750000000001</v>
      </c>
      <c r="K3526">
        <v>1.0987279999999999</v>
      </c>
      <c r="L3526">
        <v>137.68530000000001</v>
      </c>
      <c r="M3526">
        <v>-0.99172099999999996</v>
      </c>
      <c r="N3526">
        <v>0</v>
      </c>
      <c r="O3526">
        <v>-0.12840869999999999</v>
      </c>
      <c r="P3526">
        <v>-0.99921349999999998</v>
      </c>
      <c r="Q3526">
        <v>2.2151210000000001E-2</v>
      </c>
      <c r="R3526">
        <v>-3.289251E-2</v>
      </c>
      <c r="S3526">
        <v>-3.0071560000000002</v>
      </c>
      <c r="T3526">
        <v>-0.24896759999999901</v>
      </c>
      <c r="U3526">
        <v>-3.9962770000000002E-2</v>
      </c>
      <c r="V3526">
        <v>9.5915329999999993E-2</v>
      </c>
      <c r="W3526">
        <v>2.217189E-2</v>
      </c>
      <c r="X3526">
        <v>0.99514249999999904</v>
      </c>
      <c r="Y3526">
        <v>0.11439100000000001</v>
      </c>
      <c r="Z3526">
        <v>1.5315219999999999E-2</v>
      </c>
      <c r="AA3526">
        <v>0.99331769999999997</v>
      </c>
      <c r="AB3526">
        <v>21</v>
      </c>
      <c r="AC3526">
        <v>-0.50969999999998095</v>
      </c>
      <c r="AD3526">
        <v>-6.1448999999999997E-2</v>
      </c>
      <c r="AE3526">
        <v>1.2599999999991901E-2</v>
      </c>
      <c r="AF3526">
        <v>7.6829625943171498E-2</v>
      </c>
      <c r="AG3526">
        <v>-6.1448999999999997E-2</v>
      </c>
      <c r="AH3526">
        <v>0.49664828086732199</v>
      </c>
      <c r="AI3526">
        <v>96.971123008679001</v>
      </c>
      <c r="AJ3526">
        <v>81.206263152488802</v>
      </c>
      <c r="AK3526">
        <v>0.50629861338150395</v>
      </c>
    </row>
    <row r="3527" spans="1:37" x14ac:dyDescent="0.2">
      <c r="A3527" t="str">
        <f>"20200111160228892"</f>
        <v>20200111160228892</v>
      </c>
      <c r="B3527" t="str">
        <f>"1578729748885843"</f>
        <v>1578729748885843</v>
      </c>
      <c r="C3527" t="s">
        <v>37</v>
      </c>
      <c r="D3527">
        <v>5.1248690000000003</v>
      </c>
      <c r="E3527">
        <v>0.50791309999999901</v>
      </c>
      <c r="F3527" t="s">
        <v>42</v>
      </c>
      <c r="G3527">
        <v>-216.94749999999999</v>
      </c>
      <c r="H3527">
        <v>1.025196</v>
      </c>
      <c r="I3527">
        <v>137.67189999999999</v>
      </c>
      <c r="J3527">
        <v>-216.26140000000001</v>
      </c>
      <c r="K3527">
        <v>1.0989770000000001</v>
      </c>
      <c r="L3527">
        <v>137.66550000000001</v>
      </c>
      <c r="M3527">
        <v>-0.99258619999999897</v>
      </c>
      <c r="N3527">
        <v>0</v>
      </c>
      <c r="O3527">
        <v>-0.1215387</v>
      </c>
      <c r="P3527">
        <v>-0.99929650000000003</v>
      </c>
      <c r="Q3527">
        <v>1.996798E-2</v>
      </c>
      <c r="R3527">
        <v>-3.1745660000000002E-2</v>
      </c>
      <c r="S3527">
        <v>-3.0063019999999998</v>
      </c>
      <c r="T3527">
        <v>-0.24539839999999999</v>
      </c>
      <c r="U3527">
        <v>-4.5166020000000001E-2</v>
      </c>
      <c r="V3527">
        <v>9.0137380000000003E-2</v>
      </c>
      <c r="W3527">
        <v>2.0120519999999999E-2</v>
      </c>
      <c r="X3527">
        <v>0.995726</v>
      </c>
      <c r="Y3527">
        <v>0.10586</v>
      </c>
      <c r="Z3527">
        <v>1.419639E-2</v>
      </c>
      <c r="AA3527">
        <v>0.99427969999999899</v>
      </c>
      <c r="AB3527">
        <v>22</v>
      </c>
      <c r="AC3527">
        <v>-0.68609999999998195</v>
      </c>
      <c r="AD3527">
        <v>-7.3781000000000097E-2</v>
      </c>
      <c r="AE3527">
        <v>6.39999999998508E-3</v>
      </c>
      <c r="AF3527">
        <v>8.8714478221003895E-2</v>
      </c>
      <c r="AG3527">
        <v>-7.3781000000000097E-2</v>
      </c>
      <c r="AH3527">
        <v>0.67246011509935999</v>
      </c>
      <c r="AI3527">
        <v>96.207971360001906</v>
      </c>
      <c r="AJ3527">
        <v>82.484638439582497</v>
      </c>
      <c r="AK3527">
        <v>0.68228769665476896</v>
      </c>
    </row>
    <row r="3528" spans="1:37" x14ac:dyDescent="0.2">
      <c r="A3528" t="str">
        <f>"20200111160228915"</f>
        <v>20200111160228915</v>
      </c>
      <c r="B3528" t="str">
        <f>"1578729748905871"</f>
        <v>1578729748905871</v>
      </c>
      <c r="C3528" t="s">
        <v>37</v>
      </c>
      <c r="D3528">
        <v>5.2155069999999997</v>
      </c>
      <c r="E3528">
        <v>0.50703869999999995</v>
      </c>
      <c r="F3528" t="s">
        <v>42</v>
      </c>
      <c r="G3528">
        <v>-217.1465</v>
      </c>
      <c r="H3528">
        <v>1.0248759999999999</v>
      </c>
      <c r="I3528">
        <v>137.65100000000001</v>
      </c>
      <c r="J3528">
        <v>-216.48570000000001</v>
      </c>
      <c r="K3528">
        <v>1.099227</v>
      </c>
      <c r="L3528">
        <v>137.64580000000001</v>
      </c>
      <c r="M3528">
        <v>-0.99338439999999995</v>
      </c>
      <c r="N3528">
        <v>0</v>
      </c>
      <c r="O3528">
        <v>-0.1148318</v>
      </c>
      <c r="P3528">
        <v>-0.99930839999999999</v>
      </c>
      <c r="Q3528">
        <v>1.9931379999999999E-2</v>
      </c>
      <c r="R3528">
        <v>-3.1396269999999997E-2</v>
      </c>
      <c r="S3528">
        <v>-3.0055689999999999</v>
      </c>
      <c r="T3528">
        <v>-0.25147659999999999</v>
      </c>
      <c r="U3528">
        <v>-4.9468989999999997E-2</v>
      </c>
      <c r="V3528">
        <v>8.3746459999999995E-2</v>
      </c>
      <c r="W3528">
        <v>2.023208E-2</v>
      </c>
      <c r="X3528">
        <v>0.99628169999999905</v>
      </c>
      <c r="Y3528">
        <v>9.7727430000000004E-2</v>
      </c>
      <c r="Z3528">
        <v>1.3653429999999999E-2</v>
      </c>
      <c r="AA3528">
        <v>0.99511959999999999</v>
      </c>
      <c r="AB3528">
        <v>22</v>
      </c>
      <c r="AC3528">
        <v>-0.66079999999999395</v>
      </c>
      <c r="AD3528">
        <v>-7.4350999999999806E-2</v>
      </c>
      <c r="AE3528">
        <v>5.2000000000020901E-3</v>
      </c>
      <c r="AF3528">
        <v>8.0033337580337996E-2</v>
      </c>
      <c r="AG3528">
        <v>-7.4350999999999806E-2</v>
      </c>
      <c r="AH3528">
        <v>0.64763311926037803</v>
      </c>
      <c r="AI3528">
        <v>96.500106477530394</v>
      </c>
      <c r="AJ3528">
        <v>82.955207284588099</v>
      </c>
      <c r="AK3528">
        <v>0.65678159496759303</v>
      </c>
    </row>
    <row r="3529" spans="1:37" x14ac:dyDescent="0.2">
      <c r="A3529" t="str">
        <f>"20200111160228939"</f>
        <v>20200111160228939</v>
      </c>
      <c r="B3529" t="str">
        <f>"1578729748935151"</f>
        <v>1578729748935151</v>
      </c>
      <c r="C3529" t="s">
        <v>37</v>
      </c>
      <c r="D3529">
        <v>5.2121629999999897</v>
      </c>
      <c r="E3529">
        <v>0.50595500000000004</v>
      </c>
      <c r="F3529" t="s">
        <v>42</v>
      </c>
      <c r="G3529">
        <v>-217.34809999999999</v>
      </c>
      <c r="H3529">
        <v>1.026567</v>
      </c>
      <c r="I3529">
        <v>137.6301</v>
      </c>
      <c r="J3529">
        <v>-216.7216</v>
      </c>
      <c r="K3529">
        <v>1.0994999999999999</v>
      </c>
      <c r="L3529">
        <v>137.626</v>
      </c>
      <c r="M3529">
        <v>-0.99411489999999902</v>
      </c>
      <c r="N3529">
        <v>0</v>
      </c>
      <c r="O3529">
        <v>-0.10832509999999999</v>
      </c>
      <c r="P3529">
        <v>-0.99929179999999995</v>
      </c>
      <c r="Q3529">
        <v>2.0948930000000001E-2</v>
      </c>
      <c r="R3529">
        <v>-3.126143E-2</v>
      </c>
      <c r="S3529">
        <v>-3.0053860000000001</v>
      </c>
      <c r="T3529">
        <v>-0.2529496</v>
      </c>
      <c r="U3529">
        <v>-5.5480960000000003E-2</v>
      </c>
      <c r="V3529">
        <v>7.7349849999999998E-2</v>
      </c>
      <c r="W3529">
        <v>2.1413419999999999E-2</v>
      </c>
      <c r="X3529">
        <v>0.99677399999999905</v>
      </c>
      <c r="Y3529">
        <v>8.9261069999999998E-2</v>
      </c>
      <c r="Z3529">
        <v>1.283405E-2</v>
      </c>
      <c r="AA3529">
        <v>0.99592549999999902</v>
      </c>
      <c r="AB3529">
        <v>22</v>
      </c>
      <c r="AC3529">
        <v>-0.62649999999999295</v>
      </c>
      <c r="AD3529">
        <v>-7.2932999999999901E-2</v>
      </c>
      <c r="AE3529">
        <v>4.0999999999939904E-3</v>
      </c>
      <c r="AF3529">
        <v>7.0979709173164096E-2</v>
      </c>
      <c r="AG3529">
        <v>-7.2932999999999901E-2</v>
      </c>
      <c r="AH3529">
        <v>0.61404796557707297</v>
      </c>
      <c r="AI3529">
        <v>96.729129716157104</v>
      </c>
      <c r="AJ3529">
        <v>83.406267163502804</v>
      </c>
      <c r="AK3529">
        <v>0.62242448990431698</v>
      </c>
    </row>
    <row r="3530" spans="1:37" x14ac:dyDescent="0.2">
      <c r="A3530" t="str">
        <f>"20200111160228959"</f>
        <v>20200111160228959</v>
      </c>
      <c r="B3530" t="str">
        <f>"1578729748955649"</f>
        <v>1578729748955649</v>
      </c>
      <c r="C3530" t="s">
        <v>37</v>
      </c>
      <c r="D3530">
        <v>5.303102</v>
      </c>
      <c r="E3530">
        <v>0.50532779999999999</v>
      </c>
      <c r="F3530" t="s">
        <v>42</v>
      </c>
      <c r="G3530">
        <v>-217.55179999999999</v>
      </c>
      <c r="H3530">
        <v>1.0300419999999999</v>
      </c>
      <c r="I3530">
        <v>137.60820000000001</v>
      </c>
      <c r="J3530">
        <v>-216.92740000000001</v>
      </c>
      <c r="K3530">
        <v>1.099753</v>
      </c>
      <c r="L3530">
        <v>137.6096</v>
      </c>
      <c r="M3530">
        <v>-0.994668199999999</v>
      </c>
      <c r="N3530">
        <v>0</v>
      </c>
      <c r="O3530">
        <v>-0.10312060000000001</v>
      </c>
      <c r="P3530">
        <v>-0.99926550000000003</v>
      </c>
      <c r="Q3530">
        <v>2.096282E-2</v>
      </c>
      <c r="R3530">
        <v>-3.208387E-2</v>
      </c>
      <c r="S3530">
        <v>-3.0053559999999999</v>
      </c>
      <c r="T3530">
        <v>-0.25146370000000001</v>
      </c>
      <c r="U3530">
        <v>-6.4727779999999999E-2</v>
      </c>
      <c r="V3530">
        <v>7.1299399999999902E-2</v>
      </c>
      <c r="W3530">
        <v>2.15879E-2</v>
      </c>
      <c r="X3530">
        <v>0.99722129999999998</v>
      </c>
      <c r="Y3530">
        <v>8.1037209999999998E-2</v>
      </c>
      <c r="Z3530">
        <v>1.1982309999999999E-2</v>
      </c>
      <c r="AA3530">
        <v>0.9966391</v>
      </c>
      <c r="AB3530">
        <v>22</v>
      </c>
      <c r="AC3530">
        <v>-0.62439999999997997</v>
      </c>
      <c r="AD3530">
        <v>-6.9710999999999995E-2</v>
      </c>
      <c r="AE3530">
        <v>-1.39999999998963E-3</v>
      </c>
      <c r="AF3530">
        <v>6.2220461965316803E-2</v>
      </c>
      <c r="AG3530">
        <v>-6.9710999999999995E-2</v>
      </c>
      <c r="AH3530">
        <v>0.61356778895351505</v>
      </c>
      <c r="AI3530">
        <v>96.449116758956507</v>
      </c>
      <c r="AJ3530">
        <v>84.209564696804605</v>
      </c>
      <c r="AK3530">
        <v>0.62064195882125295</v>
      </c>
    </row>
    <row r="3531" spans="1:37" x14ac:dyDescent="0.2">
      <c r="A3531" t="str">
        <f>"20200111160228981"</f>
        <v>20200111160228981</v>
      </c>
      <c r="B3531" t="str">
        <f>"1578729748975167"</f>
        <v>1578729748975167</v>
      </c>
      <c r="C3531" t="s">
        <v>37</v>
      </c>
      <c r="D3531">
        <v>5.1069599999999999</v>
      </c>
      <c r="E3531">
        <v>0.50487529999999903</v>
      </c>
      <c r="F3531" t="s">
        <v>42</v>
      </c>
      <c r="G3531">
        <v>-217.75579999999999</v>
      </c>
      <c r="H3531">
        <v>1.030394</v>
      </c>
      <c r="I3531">
        <v>137.58969999999999</v>
      </c>
      <c r="J3531">
        <v>-217.15899999999999</v>
      </c>
      <c r="K3531">
        <v>1.1000669999999999</v>
      </c>
      <c r="L3531">
        <v>137.5917</v>
      </c>
      <c r="M3531">
        <v>-0.99520180000000003</v>
      </c>
      <c r="N3531">
        <v>0</v>
      </c>
      <c r="O3531">
        <v>-9.7833980000000001E-2</v>
      </c>
      <c r="P3531">
        <v>-0.99924460000000004</v>
      </c>
      <c r="Q3531">
        <v>2.0521399999999999E-2</v>
      </c>
      <c r="R3531">
        <v>-3.300136E-2</v>
      </c>
      <c r="S3531">
        <v>-3.00514199999999</v>
      </c>
      <c r="T3531">
        <v>-0.2513958</v>
      </c>
      <c r="U3531">
        <v>-7.2799680000000005E-2</v>
      </c>
      <c r="V3531">
        <v>6.5066860000000004E-2</v>
      </c>
      <c r="W3531">
        <v>2.1341909999999999E-2</v>
      </c>
      <c r="X3531">
        <v>0.9976526</v>
      </c>
      <c r="Y3531">
        <v>7.3108060000000002E-2</v>
      </c>
      <c r="Z3531">
        <v>1.120877E-2</v>
      </c>
      <c r="AA3531">
        <v>0.99726099999999995</v>
      </c>
      <c r="AB3531">
        <v>23</v>
      </c>
      <c r="AC3531">
        <v>-0.59679999999997302</v>
      </c>
      <c r="AD3531">
        <v>-6.9672999999999805E-2</v>
      </c>
      <c r="AE3531">
        <v>-2.0000000000095402E-3</v>
      </c>
      <c r="AF3531">
        <v>5.56386651741161E-2</v>
      </c>
      <c r="AG3531">
        <v>-6.9672999999999805E-2</v>
      </c>
      <c r="AH3531">
        <v>0.58614405972925199</v>
      </c>
      <c r="AI3531">
        <v>96.748697922938206</v>
      </c>
      <c r="AJ3531">
        <v>84.5775489403308</v>
      </c>
      <c r="AK3531">
        <v>0.59288687516865002</v>
      </c>
    </row>
    <row r="3532" spans="1:37" x14ac:dyDescent="0.2">
      <c r="A3532" t="str">
        <f>"20200111160229004"</f>
        <v>20200111160229004</v>
      </c>
      <c r="B3532" t="str">
        <f>"1578729748995662"</f>
        <v>1578729748995662</v>
      </c>
      <c r="C3532" t="s">
        <v>37</v>
      </c>
      <c r="D3532">
        <v>5.2173910000000001</v>
      </c>
      <c r="E3532">
        <v>0.50443669999999996</v>
      </c>
      <c r="F3532" t="s">
        <v>42</v>
      </c>
      <c r="G3532">
        <v>-217.96170000000001</v>
      </c>
      <c r="H3532">
        <v>1.032273</v>
      </c>
      <c r="I3532">
        <v>137.57040000000001</v>
      </c>
      <c r="J3532">
        <v>-217.40209999999999</v>
      </c>
      <c r="K3532">
        <v>1.1004430000000001</v>
      </c>
      <c r="L3532">
        <v>137.5735</v>
      </c>
      <c r="M3532">
        <v>-0.99566969999999999</v>
      </c>
      <c r="N3532">
        <v>0</v>
      </c>
      <c r="O3532">
        <v>-9.2952259999999995E-2</v>
      </c>
      <c r="P3532">
        <v>-0.99922269999999902</v>
      </c>
      <c r="Q3532">
        <v>2.0225389999999999E-2</v>
      </c>
      <c r="R3532">
        <v>-3.3840740000000001E-2</v>
      </c>
      <c r="S3532">
        <v>-3.0048680000000001</v>
      </c>
      <c r="T3532">
        <v>-0.25376880000000002</v>
      </c>
      <c r="U3532">
        <v>-7.9757690000000006E-2</v>
      </c>
      <c r="V3532">
        <v>5.9316389999999997E-2</v>
      </c>
      <c r="W3532">
        <v>2.1267069999999999E-2</v>
      </c>
      <c r="X3532">
        <v>0.99801269999999997</v>
      </c>
      <c r="Y3532">
        <v>6.593686E-2</v>
      </c>
      <c r="Z3532">
        <v>1.060266E-2</v>
      </c>
      <c r="AA3532">
        <v>0.99776739999999997</v>
      </c>
      <c r="AB3532">
        <v>23</v>
      </c>
      <c r="AC3532">
        <v>-0.55960000000001697</v>
      </c>
      <c r="AD3532">
        <v>-6.8169999999999994E-2</v>
      </c>
      <c r="AE3532">
        <v>-3.0999999999892199E-3</v>
      </c>
      <c r="AF3532">
        <v>4.8214080341655099E-2</v>
      </c>
      <c r="AG3532">
        <v>-6.8169999999999994E-2</v>
      </c>
      <c r="AH3532">
        <v>0.549313880488569</v>
      </c>
      <c r="AI3532">
        <v>97.047432982312301</v>
      </c>
      <c r="AJ3532">
        <v>84.983920529163797</v>
      </c>
      <c r="AK3532">
        <v>0.55562351078819705</v>
      </c>
    </row>
    <row r="3533" spans="1:37" x14ac:dyDescent="0.2">
      <c r="A3533" t="str">
        <f>"20200111160229027"</f>
        <v>20200111160229027</v>
      </c>
      <c r="B3533" t="str">
        <f>"1578729749015690"</f>
        <v>1578729749015690</v>
      </c>
      <c r="C3533" t="s">
        <v>37</v>
      </c>
      <c r="D3533">
        <v>5.3189010000000003</v>
      </c>
      <c r="E3533">
        <v>0.50393580000000004</v>
      </c>
      <c r="F3533" t="s">
        <v>42</v>
      </c>
      <c r="G3533">
        <v>-218.1695</v>
      </c>
      <c r="H3533">
        <v>1.035172</v>
      </c>
      <c r="I3533">
        <v>137.55160000000001</v>
      </c>
      <c r="J3533">
        <v>-217.62979999999999</v>
      </c>
      <c r="K3533">
        <v>1.1008309999999999</v>
      </c>
      <c r="L3533">
        <v>137.55690000000001</v>
      </c>
      <c r="M3533">
        <v>-0.99602919999999995</v>
      </c>
      <c r="N3533">
        <v>0</v>
      </c>
      <c r="O3533">
        <v>-8.9014789999999996E-2</v>
      </c>
      <c r="P3533">
        <v>-0.99919480000000005</v>
      </c>
      <c r="Q3533">
        <v>2.0527730000000001E-2</v>
      </c>
      <c r="R3533">
        <v>-3.4475359999999997E-2</v>
      </c>
      <c r="S3533">
        <v>-3.004578</v>
      </c>
      <c r="T3533">
        <v>-0.25547559999999903</v>
      </c>
      <c r="U3533">
        <v>-8.6502079999999995E-2</v>
      </c>
      <c r="V3533">
        <v>5.4719440000000001E-2</v>
      </c>
      <c r="W3533">
        <v>2.1790520000000001E-2</v>
      </c>
      <c r="X3533">
        <v>0.99826399999999904</v>
      </c>
      <c r="Y3533">
        <v>5.9778599999999897E-2</v>
      </c>
      <c r="Z3533">
        <v>1.008005E-2</v>
      </c>
      <c r="AA3533">
        <v>0.99816079999999996</v>
      </c>
      <c r="AB3533">
        <v>23</v>
      </c>
      <c r="AC3533">
        <v>-0.53970000000000995</v>
      </c>
      <c r="AD3533">
        <v>-6.5658999999999898E-2</v>
      </c>
      <c r="AE3533">
        <v>-5.3000000000054098E-3</v>
      </c>
      <c r="AF3533">
        <v>4.2138749528129203E-2</v>
      </c>
      <c r="AG3533">
        <v>-6.5658999999999898E-2</v>
      </c>
      <c r="AH3533">
        <v>0.53018298092474703</v>
      </c>
      <c r="AI3533">
        <v>97.037717656968695</v>
      </c>
      <c r="AJ3533">
        <v>85.455705110450296</v>
      </c>
      <c r="AK3533">
        <v>0.53589250018547996</v>
      </c>
    </row>
    <row r="3534" spans="1:37" x14ac:dyDescent="0.2">
      <c r="A3534" t="str">
        <f>"20200111160229048"</f>
        <v>20200111160229048</v>
      </c>
      <c r="B3534" t="str">
        <f>"1578729749045946"</f>
        <v>1578729749045946</v>
      </c>
      <c r="C3534" t="s">
        <v>37</v>
      </c>
      <c r="D3534">
        <v>5.1752479999999998</v>
      </c>
      <c r="E3534">
        <v>0.50352129999999995</v>
      </c>
      <c r="F3534" t="s">
        <v>42</v>
      </c>
      <c r="G3534">
        <v>-218.37809999999999</v>
      </c>
      <c r="H3534">
        <v>1.037474</v>
      </c>
      <c r="I3534">
        <v>137.53370000000001</v>
      </c>
      <c r="J3534">
        <v>-217.85659999999999</v>
      </c>
      <c r="K3534">
        <v>1.1012249999999999</v>
      </c>
      <c r="L3534">
        <v>137.54050000000001</v>
      </c>
      <c r="M3534">
        <v>-0.99631930000000002</v>
      </c>
      <c r="N3534">
        <v>0</v>
      </c>
      <c r="O3534">
        <v>-8.5703299999999996E-2</v>
      </c>
      <c r="P3534">
        <v>-0.99920779999999998</v>
      </c>
      <c r="Q3534">
        <v>2.0085740000000001E-2</v>
      </c>
      <c r="R3534">
        <v>-3.4359859999999999E-2</v>
      </c>
      <c r="S3534">
        <v>-3.0044249999999999</v>
      </c>
      <c r="T3534">
        <v>-0.25438949999999999</v>
      </c>
      <c r="U3534">
        <v>-9.3307500000000002E-2</v>
      </c>
      <c r="V3534">
        <v>5.1496300000000002E-2</v>
      </c>
      <c r="W3534">
        <v>2.1578369999999999E-2</v>
      </c>
      <c r="X3534">
        <v>0.99843999999999999</v>
      </c>
      <c r="Y3534">
        <v>5.4235239999999997E-2</v>
      </c>
      <c r="Z3534">
        <v>9.5243029999999996E-3</v>
      </c>
      <c r="AA3534">
        <v>0.9984828</v>
      </c>
      <c r="AB3534">
        <v>23</v>
      </c>
      <c r="AC3534">
        <v>-0.52150000000000296</v>
      </c>
      <c r="AD3534">
        <v>-6.3750999999999794E-2</v>
      </c>
      <c r="AE3534">
        <v>-6.7999999999983603E-3</v>
      </c>
      <c r="AF3534">
        <v>3.7361124902582497E-2</v>
      </c>
      <c r="AG3534">
        <v>-6.3750999999999794E-2</v>
      </c>
      <c r="AH3534">
        <v>0.51250645639959003</v>
      </c>
      <c r="AI3534">
        <v>97.072060837025205</v>
      </c>
      <c r="AJ3534">
        <v>85.830579607652396</v>
      </c>
      <c r="AK3534">
        <v>0.51780586275770502</v>
      </c>
    </row>
    <row r="3535" spans="1:37" x14ac:dyDescent="0.2">
      <c r="A3535" t="str">
        <f>"20200111160229071"</f>
        <v>20200111160229071</v>
      </c>
      <c r="B3535" t="str">
        <f>"1578729749065467"</f>
        <v>1578729749065467</v>
      </c>
      <c r="C3535" t="s">
        <v>37</v>
      </c>
      <c r="D3535">
        <v>5.0674599999999996</v>
      </c>
      <c r="E3535">
        <v>0.50346919999999995</v>
      </c>
      <c r="F3535" t="s">
        <v>42</v>
      </c>
      <c r="G3535">
        <v>-218.58750000000001</v>
      </c>
      <c r="H3535">
        <v>1.0388139999999999</v>
      </c>
      <c r="I3535">
        <v>137.5171</v>
      </c>
      <c r="J3535">
        <v>-218.0891</v>
      </c>
      <c r="K3535">
        <v>1.101607</v>
      </c>
      <c r="L3535">
        <v>137.52379999999999</v>
      </c>
      <c r="M3535">
        <v>-0.99655289999999996</v>
      </c>
      <c r="N3535">
        <v>0</v>
      </c>
      <c r="O3535">
        <v>-8.2938020000000001E-2</v>
      </c>
      <c r="P3535">
        <v>-0.99922730000000004</v>
      </c>
      <c r="Q3535">
        <v>1.8749700000000001E-2</v>
      </c>
      <c r="R3535">
        <v>-3.4541699999999897E-2</v>
      </c>
      <c r="S3535">
        <v>-3.004181</v>
      </c>
      <c r="T3535">
        <v>-0.25648339999999997</v>
      </c>
      <c r="U3535">
        <v>-9.7213750000000002E-2</v>
      </c>
      <c r="V3535">
        <v>4.8522259999999998E-2</v>
      </c>
      <c r="W3535">
        <v>2.0488559999999999E-2</v>
      </c>
      <c r="X3535">
        <v>0.9986119</v>
      </c>
      <c r="Y3535">
        <v>5.0180740000000001E-2</v>
      </c>
      <c r="Z3535">
        <v>9.1953759999999999E-3</v>
      </c>
      <c r="AA3535">
        <v>0.99869779999999997</v>
      </c>
      <c r="AB3535">
        <v>23</v>
      </c>
      <c r="AC3535">
        <v>-0.49840000000000301</v>
      </c>
      <c r="AD3535">
        <v>-6.2793000000000099E-2</v>
      </c>
      <c r="AE3535">
        <v>-6.6999999999950398E-3</v>
      </c>
      <c r="AF3535">
        <v>3.4118000785764997E-2</v>
      </c>
      <c r="AG3535">
        <v>-6.2793000000000099E-2</v>
      </c>
      <c r="AH3535">
        <v>0.48947045296530201</v>
      </c>
      <c r="AI3535">
        <v>97.292905429866394</v>
      </c>
      <c r="AJ3535">
        <v>86.012709813789499</v>
      </c>
      <c r="AK3535">
        <v>0.49465980547511201</v>
      </c>
    </row>
    <row r="3536" spans="1:37" x14ac:dyDescent="0.2">
      <c r="A3536" t="str">
        <f>"20200111160229093"</f>
        <v>20200111160229093</v>
      </c>
      <c r="B3536" t="str">
        <f>"1578729749085962"</f>
        <v>1578729749085962</v>
      </c>
      <c r="C3536" t="s">
        <v>37</v>
      </c>
      <c r="D3536">
        <v>5.3042870000000004</v>
      </c>
      <c r="E3536">
        <v>0.50297079999999905</v>
      </c>
      <c r="F3536" t="s">
        <v>42</v>
      </c>
      <c r="G3536">
        <v>-219.00099999999901</v>
      </c>
      <c r="H3536">
        <v>1.022513</v>
      </c>
      <c r="I3536">
        <v>137.4939</v>
      </c>
      <c r="J3536">
        <v>-218.33240000000001</v>
      </c>
      <c r="K3536">
        <v>1.101958</v>
      </c>
      <c r="L3536">
        <v>137.50630000000001</v>
      </c>
      <c r="M3536">
        <v>-0.99674030000000002</v>
      </c>
      <c r="N3536">
        <v>0</v>
      </c>
      <c r="O3536">
        <v>-8.0648540000000005E-2</v>
      </c>
      <c r="P3536">
        <v>-0.99924179999999996</v>
      </c>
      <c r="Q3536">
        <v>1.6328140000000001E-2</v>
      </c>
      <c r="R3536">
        <v>-3.5345349999999998E-2</v>
      </c>
      <c r="S3536">
        <v>-3.0037539999999998</v>
      </c>
      <c r="T3536">
        <v>-0.26051999999999997</v>
      </c>
      <c r="U3536">
        <v>-9.925842E-2</v>
      </c>
      <c r="V3536">
        <v>4.5405620000000001E-2</v>
      </c>
      <c r="W3536">
        <v>1.832317E-2</v>
      </c>
      <c r="X3536">
        <v>0.99880059999999904</v>
      </c>
      <c r="Y3536">
        <v>4.720688E-2</v>
      </c>
      <c r="Z3536">
        <v>9.01453199999999E-3</v>
      </c>
      <c r="AA3536">
        <v>0.99884439999999997</v>
      </c>
      <c r="AB3536">
        <v>23</v>
      </c>
      <c r="AC3536">
        <v>-0.668599999999969</v>
      </c>
      <c r="AD3536">
        <v>-7.9444999999999905E-2</v>
      </c>
      <c r="AE3536">
        <v>-1.24000000000137E-2</v>
      </c>
      <c r="AF3536">
        <v>4.0983684497828403E-2</v>
      </c>
      <c r="AG3536">
        <v>-7.9444999999999905E-2</v>
      </c>
      <c r="AH3536">
        <v>0.65813322518244799</v>
      </c>
      <c r="AI3536">
        <v>96.869841949154093</v>
      </c>
      <c r="AJ3536">
        <v>86.436642661414695</v>
      </c>
      <c r="AK3536">
        <v>0.66417656726887697</v>
      </c>
    </row>
    <row r="3537" spans="1:37" x14ac:dyDescent="0.2">
      <c r="A3537" t="str">
        <f>"20200111160229116"</f>
        <v>20200111160229116</v>
      </c>
      <c r="B3537" t="str">
        <f>"1578729749105990"</f>
        <v>1578729749105990</v>
      </c>
      <c r="C3537" t="s">
        <v>37</v>
      </c>
      <c r="D3537">
        <v>6.2347449999999904</v>
      </c>
      <c r="E3537">
        <v>0.50279679999999904</v>
      </c>
      <c r="F3537" t="s">
        <v>42</v>
      </c>
      <c r="G3537">
        <v>-219.2132</v>
      </c>
      <c r="H3537">
        <v>1.0232379999999901</v>
      </c>
      <c r="I3537">
        <v>137.47540000000001</v>
      </c>
      <c r="J3537">
        <v>-218.577</v>
      </c>
      <c r="K3537">
        <v>1.1022069999999999</v>
      </c>
      <c r="L3537">
        <v>137.48869999999999</v>
      </c>
      <c r="M3537">
        <v>-0.99688860000000001</v>
      </c>
      <c r="N3537">
        <v>0</v>
      </c>
      <c r="O3537">
        <v>-7.8789960000000006E-2</v>
      </c>
      <c r="P3537">
        <v>-0.99923819999999997</v>
      </c>
      <c r="Q3537">
        <v>1.257803E-2</v>
      </c>
      <c r="R3537">
        <v>-3.6948429999999997E-2</v>
      </c>
      <c r="S3537">
        <v>-3.0029140000000001</v>
      </c>
      <c r="T3537">
        <v>-0.26840510000000001</v>
      </c>
      <c r="U3537">
        <v>-0.1061401</v>
      </c>
      <c r="V3537">
        <v>4.1926539999999998E-2</v>
      </c>
      <c r="W3537">
        <v>1.4814610000000001E-2</v>
      </c>
      <c r="X3537">
        <v>0.99901090000000003</v>
      </c>
      <c r="Y3537">
        <v>4.304289E-2</v>
      </c>
      <c r="Z3537">
        <v>8.9374759999999998E-3</v>
      </c>
      <c r="AA3537">
        <v>0.99903330000000001</v>
      </c>
      <c r="AB3537">
        <v>24</v>
      </c>
      <c r="AC3537">
        <v>-0.63620000000000199</v>
      </c>
      <c r="AD3537">
        <v>-7.8968999999999998E-2</v>
      </c>
      <c r="AE3537">
        <v>-1.3299999999986699E-2</v>
      </c>
      <c r="AF3537">
        <v>3.6308480644735401E-2</v>
      </c>
      <c r="AG3537">
        <v>-7.8968999999999998E-2</v>
      </c>
      <c r="AH3537">
        <v>0.62563498312867205</v>
      </c>
      <c r="AI3537">
        <v>97.181995480791997</v>
      </c>
      <c r="AJ3537">
        <v>86.678587441533907</v>
      </c>
      <c r="AK3537">
        <v>0.63164352354959197</v>
      </c>
    </row>
    <row r="3538" spans="1:37" x14ac:dyDescent="0.2">
      <c r="A3538" t="str">
        <f>"20200111160229139"</f>
        <v>20200111160229139</v>
      </c>
      <c r="B3538" t="str">
        <f>"1578729749135270"</f>
        <v>1578729749135270</v>
      </c>
      <c r="C3538" t="s">
        <v>37</v>
      </c>
      <c r="D3538">
        <v>5.2529820000000003</v>
      </c>
      <c r="E3538">
        <v>0.50216850000000002</v>
      </c>
      <c r="F3538" t="s">
        <v>42</v>
      </c>
      <c r="G3538">
        <v>-219.42599999999999</v>
      </c>
      <c r="H3538">
        <v>1.0230399999999999</v>
      </c>
      <c r="I3538">
        <v>137.4571</v>
      </c>
      <c r="J3538">
        <v>-218.82040000000001</v>
      </c>
      <c r="K3538">
        <v>1.102365</v>
      </c>
      <c r="L3538">
        <v>137.47130000000001</v>
      </c>
      <c r="M3538">
        <v>-0.99700529999999998</v>
      </c>
      <c r="N3538">
        <v>0</v>
      </c>
      <c r="O3538">
        <v>-7.7293310000000004E-2</v>
      </c>
      <c r="P3538">
        <v>-0.99922129999999998</v>
      </c>
      <c r="Q3538">
        <v>6.2279700000000002E-3</v>
      </c>
      <c r="R3538">
        <v>-3.8963159999999997E-2</v>
      </c>
      <c r="S3538">
        <v>-3.0016479999999999</v>
      </c>
      <c r="T3538">
        <v>-0.27991309999999903</v>
      </c>
      <c r="U3538">
        <v>-0.11222839999999901</v>
      </c>
      <c r="V3538">
        <v>3.8400570000000002E-2</v>
      </c>
      <c r="W3538">
        <v>8.6838739999999994E-3</v>
      </c>
      <c r="X3538">
        <v>0.99922469999999997</v>
      </c>
      <c r="Y3538">
        <v>3.9483459999999998E-2</v>
      </c>
      <c r="Z3538">
        <v>9.0181399999999991E-3</v>
      </c>
      <c r="AA3538">
        <v>0.9991795</v>
      </c>
      <c r="AB3538">
        <v>24</v>
      </c>
      <c r="AC3538">
        <v>-0.60559999999998104</v>
      </c>
      <c r="AD3538">
        <v>-7.9325000000000007E-2</v>
      </c>
      <c r="AE3538">
        <v>-1.42000000000166E-2</v>
      </c>
      <c r="AF3538">
        <v>3.2100991069551603E-2</v>
      </c>
      <c r="AG3538">
        <v>-7.9325000000000007E-2</v>
      </c>
      <c r="AH3538">
        <v>0.59468821721593002</v>
      </c>
      <c r="AI3538">
        <v>97.586873426259004</v>
      </c>
      <c r="AJ3538">
        <v>86.910199373904604</v>
      </c>
      <c r="AK3538">
        <v>0.60081361914333198</v>
      </c>
    </row>
    <row r="3539" spans="1:37" x14ac:dyDescent="0.2">
      <c r="A3539" t="str">
        <f>"20200111160229162"</f>
        <v>20200111160229162</v>
      </c>
      <c r="B3539" t="str">
        <f>"1578729749155767"</f>
        <v>1578729749155767</v>
      </c>
      <c r="C3539" t="s">
        <v>37</v>
      </c>
      <c r="D3539">
        <v>5.2158959999999999</v>
      </c>
      <c r="E3539">
        <v>0.50174579999999902</v>
      </c>
      <c r="F3539" t="s">
        <v>42</v>
      </c>
      <c r="G3539">
        <v>-219.63890000000001</v>
      </c>
      <c r="H3539">
        <v>1.0209600000000001</v>
      </c>
      <c r="I3539">
        <v>137.43790000000001</v>
      </c>
      <c r="J3539">
        <v>-219.0727</v>
      </c>
      <c r="K3539">
        <v>1.102465</v>
      </c>
      <c r="L3539">
        <v>137.45320000000001</v>
      </c>
      <c r="M3539">
        <v>-0.99710010000000004</v>
      </c>
      <c r="N3539">
        <v>0</v>
      </c>
      <c r="O3539">
        <v>-7.6052830000000002E-2</v>
      </c>
      <c r="P3539">
        <v>-0.99911620000000001</v>
      </c>
      <c r="Q3539">
        <v>-2.3096089999999998E-3</v>
      </c>
      <c r="R3539">
        <v>-4.1971469999999997E-2</v>
      </c>
      <c r="S3539">
        <v>-2.9994200000000002</v>
      </c>
      <c r="T3539">
        <v>-0.29833349999999997</v>
      </c>
      <c r="U3539">
        <v>-0.122406</v>
      </c>
      <c r="V3539">
        <v>3.4136449999999999E-2</v>
      </c>
      <c r="W3539">
        <v>3.5649919999999999E-4</v>
      </c>
      <c r="X3539">
        <v>0.99941709999999995</v>
      </c>
      <c r="Y3539">
        <v>3.4786959999999999E-2</v>
      </c>
      <c r="Z3539">
        <v>9.2594459999999993E-3</v>
      </c>
      <c r="AA3539">
        <v>0.99935189999999996</v>
      </c>
      <c r="AB3539">
        <v>24</v>
      </c>
      <c r="AC3539">
        <v>-0.56620000000000903</v>
      </c>
      <c r="AD3539">
        <v>-8.1504999999999897E-2</v>
      </c>
      <c r="AE3539">
        <v>-1.5299999999996299E-2</v>
      </c>
      <c r="AF3539">
        <v>2.72415003951306E-2</v>
      </c>
      <c r="AG3539">
        <v>-8.1504999999999897E-2</v>
      </c>
      <c r="AH3539">
        <v>0.554247114273412</v>
      </c>
      <c r="AI3539">
        <v>98.355746954839603</v>
      </c>
      <c r="AJ3539">
        <v>87.186150515180998</v>
      </c>
      <c r="AK3539">
        <v>0.56086988513307001</v>
      </c>
    </row>
    <row r="3540" spans="1:37" x14ac:dyDescent="0.2">
      <c r="A3540" t="str">
        <f>"20200111160229184"</f>
        <v>20200111160229184</v>
      </c>
      <c r="B3540" t="str">
        <f>"1578729749175286"</f>
        <v>1578729749175286</v>
      </c>
      <c r="C3540" t="s">
        <v>37</v>
      </c>
      <c r="D3540">
        <v>5.3803570000000001</v>
      </c>
      <c r="E3540">
        <v>0.50153789999999998</v>
      </c>
      <c r="F3540" t="s">
        <v>42</v>
      </c>
      <c r="G3540">
        <v>-219.8527</v>
      </c>
      <c r="H3540">
        <v>1.018335</v>
      </c>
      <c r="I3540">
        <v>137.4187</v>
      </c>
      <c r="J3540">
        <v>-219.2997</v>
      </c>
      <c r="K3540">
        <v>1.1025259999999999</v>
      </c>
      <c r="L3540">
        <v>137.43700000000001</v>
      </c>
      <c r="M3540">
        <v>-0.99716729999999998</v>
      </c>
      <c r="N3540">
        <v>0</v>
      </c>
      <c r="O3540">
        <v>-7.5161530000000004E-2</v>
      </c>
      <c r="P3540">
        <v>-0.99889490000000003</v>
      </c>
      <c r="Q3540">
        <v>-1.0317669999999999E-2</v>
      </c>
      <c r="R3540">
        <v>-4.5858999999999997E-2</v>
      </c>
      <c r="S3540">
        <v>-2.9963069999999998</v>
      </c>
      <c r="T3540">
        <v>-0.32325769999999998</v>
      </c>
      <c r="U3540">
        <v>-0.13317870000000001</v>
      </c>
      <c r="V3540">
        <v>2.9341430000000002E-2</v>
      </c>
      <c r="W3540">
        <v>-7.4730539999999998E-3</v>
      </c>
      <c r="X3540">
        <v>0.99954149999999997</v>
      </c>
      <c r="Y3540">
        <v>3.0200459999999998E-2</v>
      </c>
      <c r="Z3540">
        <v>9.6959339999999998E-3</v>
      </c>
      <c r="AA3540">
        <v>0.99949679999999996</v>
      </c>
      <c r="AB3540">
        <v>24</v>
      </c>
      <c r="AC3540">
        <v>-0.55299999999999705</v>
      </c>
      <c r="AD3540">
        <v>-8.4191000000000099E-2</v>
      </c>
      <c r="AE3540">
        <v>-1.8300000000010599E-2</v>
      </c>
      <c r="AF3540">
        <v>2.2788635744601202E-2</v>
      </c>
      <c r="AG3540">
        <v>-8.4191000000000099E-2</v>
      </c>
      <c r="AH3540">
        <v>0.54030165723647405</v>
      </c>
      <c r="AI3540">
        <v>98.848988559725299</v>
      </c>
      <c r="AJ3540">
        <v>87.584832098178396</v>
      </c>
      <c r="AK3540">
        <v>0.54729637968159495</v>
      </c>
    </row>
    <row r="3541" spans="1:37" x14ac:dyDescent="0.2">
      <c r="A3541" t="str">
        <f>"20200111160229206"</f>
        <v>20200111160229206</v>
      </c>
      <c r="B3541" t="str">
        <f>"1578729749195782"</f>
        <v>1578729749195782</v>
      </c>
      <c r="C3541" t="s">
        <v>37</v>
      </c>
      <c r="D3541">
        <v>5.2745389999999999</v>
      </c>
      <c r="E3541">
        <v>0.49677179999999999</v>
      </c>
      <c r="F3541" t="s">
        <v>42</v>
      </c>
      <c r="G3541">
        <v>-220.06659999999999</v>
      </c>
      <c r="H3541">
        <v>1.0137149999999999</v>
      </c>
      <c r="I3541">
        <v>137.3999</v>
      </c>
      <c r="J3541">
        <v>-219.53460000000001</v>
      </c>
      <c r="K3541">
        <v>1.1025860000000001</v>
      </c>
      <c r="L3541">
        <v>137.42019999999999</v>
      </c>
      <c r="M3541">
        <v>-0.99722299999999997</v>
      </c>
      <c r="N3541">
        <v>0</v>
      </c>
      <c r="O3541">
        <v>-7.4412870000000006E-2</v>
      </c>
      <c r="P3541">
        <v>-0.99861719999999898</v>
      </c>
      <c r="Q3541">
        <v>-1.645947E-2</v>
      </c>
      <c r="R3541">
        <v>-4.9932650000000002E-2</v>
      </c>
      <c r="S3541">
        <v>-2.9931030000000001</v>
      </c>
      <c r="T3541">
        <v>-0.34663459999999902</v>
      </c>
      <c r="U3541">
        <v>-0.14474489999999901</v>
      </c>
      <c r="V3541">
        <v>2.450424E-2</v>
      </c>
      <c r="W3541">
        <v>-1.3440240000000001E-2</v>
      </c>
      <c r="X3541">
        <v>0.99960939999999998</v>
      </c>
      <c r="Y3541">
        <v>2.549235E-2</v>
      </c>
      <c r="Z3541">
        <v>1.004477E-2</v>
      </c>
      <c r="AA3541">
        <v>0.99962459999999898</v>
      </c>
      <c r="AB3541">
        <v>24</v>
      </c>
      <c r="AC3541">
        <v>-0.53199999999998204</v>
      </c>
      <c r="AD3541">
        <v>-8.8871000000000103E-2</v>
      </c>
      <c r="AE3541">
        <v>-2.02999999999917E-2</v>
      </c>
      <c r="AF3541">
        <v>1.8819689301933801E-2</v>
      </c>
      <c r="AG3541">
        <v>-8.8871000000000103E-2</v>
      </c>
      <c r="AH3541">
        <v>0.51761215498190705</v>
      </c>
      <c r="AI3541">
        <v>99.736052344116004</v>
      </c>
      <c r="AJ3541">
        <v>87.917718921546196</v>
      </c>
      <c r="AK3541">
        <v>0.52552314728414595</v>
      </c>
    </row>
    <row r="3542" spans="1:37" x14ac:dyDescent="0.2">
      <c r="A3542" t="str">
        <f>"20200111160229250"</f>
        <v>20200111160229250</v>
      </c>
      <c r="B3542" t="str">
        <f>"1578729749246067"</f>
        <v>1578729749246067</v>
      </c>
      <c r="C3542" t="s">
        <v>37</v>
      </c>
      <c r="D3542">
        <v>5.2432860000000003</v>
      </c>
      <c r="E3542">
        <v>0.50401899999999999</v>
      </c>
      <c r="F3542" t="s">
        <v>42</v>
      </c>
      <c r="G3542">
        <v>-220.28720000000001</v>
      </c>
      <c r="H3542">
        <v>1.0216559999999999</v>
      </c>
      <c r="I3542">
        <v>137.3723</v>
      </c>
      <c r="J3542">
        <v>-220.0249</v>
      </c>
      <c r="K3542">
        <v>1.102762</v>
      </c>
      <c r="L3542">
        <v>137.3852</v>
      </c>
      <c r="M3542">
        <v>-0.99730750000000001</v>
      </c>
      <c r="N3542">
        <v>0</v>
      </c>
      <c r="O3542">
        <v>-7.3257340000000004E-2</v>
      </c>
      <c r="P3542">
        <v>-0.99816649999999996</v>
      </c>
      <c r="Q3542">
        <v>-1.6719319999999999E-2</v>
      </c>
      <c r="R3542">
        <v>-5.8177399999999997E-2</v>
      </c>
      <c r="S3542">
        <v>-2.9892729999999998</v>
      </c>
      <c r="T3542">
        <v>-0.3214899</v>
      </c>
      <c r="U3542">
        <v>-0.1912384</v>
      </c>
      <c r="V3542">
        <v>1.509514E-2</v>
      </c>
      <c r="W3542">
        <v>-1.334488E-2</v>
      </c>
      <c r="X3542">
        <v>0.99979699999999905</v>
      </c>
      <c r="Y3542">
        <v>8.9643759999999996E-3</v>
      </c>
      <c r="Z3542">
        <v>8.3184169999999998E-3</v>
      </c>
      <c r="AA3542">
        <v>0.99992519999999996</v>
      </c>
      <c r="AB3542">
        <v>24</v>
      </c>
      <c r="AC3542">
        <v>-0.26230000000001003</v>
      </c>
      <c r="AD3542">
        <v>-8.1106000000000095E-2</v>
      </c>
      <c r="AE3542">
        <v>-1.29000000000019E-2</v>
      </c>
      <c r="AF3542">
        <v>5.7972257263438102E-3</v>
      </c>
      <c r="AG3542">
        <v>-8.1106000000000095E-2</v>
      </c>
      <c r="AH3542">
        <v>0.23967945621093001</v>
      </c>
      <c r="AI3542">
        <v>108.690404859673</v>
      </c>
      <c r="AJ3542">
        <v>88.614433539567798</v>
      </c>
      <c r="AK3542">
        <v>0.25309688419988302</v>
      </c>
    </row>
    <row r="3543" spans="1:37" x14ac:dyDescent="0.2">
      <c r="A3543" t="str">
        <f>"20200111160229452"</f>
        <v>20200111160229452</v>
      </c>
      <c r="B3543" t="str">
        <f>"1578729749445210"</f>
        <v>1578729749445210</v>
      </c>
      <c r="C3543" t="s">
        <v>37</v>
      </c>
      <c r="D3543">
        <v>5.3664540000000001</v>
      </c>
      <c r="E3543">
        <v>0.51053139999999997</v>
      </c>
      <c r="F3543" t="s">
        <v>42</v>
      </c>
      <c r="G3543">
        <v>-222.28790000000001</v>
      </c>
      <c r="H3543">
        <v>1.03804599999999</v>
      </c>
      <c r="I3543">
        <v>137.25120000000001</v>
      </c>
      <c r="J3543">
        <v>-222.25819999999999</v>
      </c>
      <c r="K3543">
        <v>1.103572</v>
      </c>
      <c r="L3543">
        <v>137.22890000000001</v>
      </c>
      <c r="M3543">
        <v>-0.99753559999999997</v>
      </c>
      <c r="N3543">
        <v>0</v>
      </c>
      <c r="O3543">
        <v>-6.9679989999999997E-2</v>
      </c>
      <c r="P3543">
        <v>-0.99889289999999997</v>
      </c>
      <c r="Q3543">
        <v>-6.7604519999999897E-3</v>
      </c>
      <c r="R3543">
        <v>-4.655861E-2</v>
      </c>
      <c r="S3543">
        <v>-2.99736</v>
      </c>
      <c r="T3543">
        <v>-0.24928829999999999</v>
      </c>
      <c r="U3543">
        <v>-0.1132355</v>
      </c>
      <c r="V3543">
        <v>2.316064E-2</v>
      </c>
      <c r="W3543">
        <v>1.454655E-3</v>
      </c>
      <c r="X3543">
        <v>0.99973069999999897</v>
      </c>
      <c r="Y3543">
        <v>3.1624220000000001E-2</v>
      </c>
      <c r="Z3543">
        <v>7.0903190000000003E-3</v>
      </c>
      <c r="AA3543">
        <v>0.99947469999999905</v>
      </c>
      <c r="AB3543">
        <v>25</v>
      </c>
      <c r="AC3543">
        <v>-2.97000000000196E-2</v>
      </c>
      <c r="AD3543">
        <v>-6.5526000000000195E-2</v>
      </c>
      <c r="AE3543">
        <v>2.2300000000001301E-2</v>
      </c>
      <c r="AF3543">
        <v>5.9121987531765702E-3</v>
      </c>
      <c r="AG3543">
        <v>-6.5526000000000195E-2</v>
      </c>
      <c r="AH3543">
        <v>6.8260729859372198E-3</v>
      </c>
      <c r="AI3543">
        <v>172.153208307352</v>
      </c>
      <c r="AJ3543">
        <v>49.103506366056003</v>
      </c>
      <c r="AK3543">
        <v>6.6145340293224206E-2</v>
      </c>
    </row>
    <row r="3544" spans="1:37" x14ac:dyDescent="0.2">
      <c r="A3544" t="str">
        <f>"20200111160229473"</f>
        <v>20200111160229473</v>
      </c>
      <c r="B3544" t="str">
        <f>"1578729749465707"</f>
        <v>1578729749465707</v>
      </c>
      <c r="C3544" t="s">
        <v>37</v>
      </c>
      <c r="D3544">
        <v>5.4246699999999999</v>
      </c>
      <c r="E3544">
        <v>0.50189629999999996</v>
      </c>
      <c r="F3544" t="s">
        <v>42</v>
      </c>
      <c r="G3544">
        <v>-223.16980000000001</v>
      </c>
      <c r="H3544">
        <v>1.0265959999999901</v>
      </c>
      <c r="I3544">
        <v>137.20779999999999</v>
      </c>
      <c r="J3544">
        <v>-222.50229999999999</v>
      </c>
      <c r="K3544">
        <v>1.10365</v>
      </c>
      <c r="L3544">
        <v>137.2123</v>
      </c>
      <c r="M3544">
        <v>-0.9975581</v>
      </c>
      <c r="N3544">
        <v>0</v>
      </c>
      <c r="O3544">
        <v>-6.9267690000000007E-2</v>
      </c>
      <c r="P3544">
        <v>-0.9989401</v>
      </c>
      <c r="Q3544">
        <v>-8.5156520000000003E-3</v>
      </c>
      <c r="R3544">
        <v>-4.52346E-2</v>
      </c>
      <c r="S3544">
        <v>-2.9983520000000001</v>
      </c>
      <c r="T3544">
        <v>-0.2531757</v>
      </c>
      <c r="U3544">
        <v>-6.9519040000000004E-2</v>
      </c>
      <c r="V3544">
        <v>2.4071249999999999E-2</v>
      </c>
      <c r="W3544">
        <v>4.1562720000000002E-4</v>
      </c>
      <c r="X3544">
        <v>0.99971010000000005</v>
      </c>
      <c r="Y3544">
        <v>4.571948E-2</v>
      </c>
      <c r="Z3544">
        <v>7.759775E-3</v>
      </c>
      <c r="AA3544">
        <v>0.99892420000000004</v>
      </c>
      <c r="AB3544">
        <v>25</v>
      </c>
      <c r="AC3544">
        <v>-0.66750000000001797</v>
      </c>
      <c r="AD3544">
        <v>-7.7054000000000095E-2</v>
      </c>
      <c r="AE3544">
        <v>-4.5000000000072699E-3</v>
      </c>
      <c r="AF3544">
        <v>4.1199848842667301E-2</v>
      </c>
      <c r="AG3544">
        <v>-7.7054000000000095E-2</v>
      </c>
      <c r="AH3544">
        <v>0.65744781673161701</v>
      </c>
      <c r="AI3544">
        <v>96.671697578776104</v>
      </c>
      <c r="AJ3544">
        <v>86.414172190329495</v>
      </c>
      <c r="AK3544">
        <v>0.66322875253250901</v>
      </c>
    </row>
    <row r="3545" spans="1:37" x14ac:dyDescent="0.2">
      <c r="A3545" t="str">
        <f>"20200111160229495"</f>
        <v>20200111160229495</v>
      </c>
      <c r="B3545" t="str">
        <f>"1578729749485227"</f>
        <v>1578729749485227</v>
      </c>
      <c r="C3545" t="s">
        <v>37</v>
      </c>
      <c r="D3545">
        <v>5.3861660000000002</v>
      </c>
      <c r="E3545">
        <v>0.49682470000000001</v>
      </c>
      <c r="F3545" t="s">
        <v>42</v>
      </c>
      <c r="G3545">
        <v>-223.3887</v>
      </c>
      <c r="H3545">
        <v>1.0252030000000001</v>
      </c>
      <c r="I3545">
        <v>137.17250000000001</v>
      </c>
      <c r="J3545">
        <v>-222.74</v>
      </c>
      <c r="K3545">
        <v>1.103704</v>
      </c>
      <c r="L3545">
        <v>137.19630000000001</v>
      </c>
      <c r="M3545">
        <v>-0.99757949999999995</v>
      </c>
      <c r="N3545">
        <v>0</v>
      </c>
      <c r="O3545">
        <v>-6.887501E-2</v>
      </c>
      <c r="P3545">
        <v>-0.99897340000000001</v>
      </c>
      <c r="Q3545">
        <v>-9.5484070000000001E-3</v>
      </c>
      <c r="R3545">
        <v>-4.4287199999999999E-2</v>
      </c>
      <c r="S3545">
        <v>-2.9947970000000002</v>
      </c>
      <c r="T3545">
        <v>-0.26511679999999999</v>
      </c>
      <c r="U3545">
        <v>-0.13508609999999999</v>
      </c>
      <c r="V3545">
        <v>2.4625569999999999E-2</v>
      </c>
      <c r="W3545" s="1">
        <v>9.230571E-6</v>
      </c>
      <c r="X3545">
        <v>0.99969669999999899</v>
      </c>
      <c r="Y3545">
        <v>2.34942E-2</v>
      </c>
      <c r="Z3545">
        <v>7.1139119999999896E-3</v>
      </c>
      <c r="AA3545">
        <v>0.99969859999999899</v>
      </c>
      <c r="AB3545">
        <v>25</v>
      </c>
      <c r="AC3545">
        <v>-0.64869999999999095</v>
      </c>
      <c r="AD3545">
        <v>-7.8500999999999904E-2</v>
      </c>
      <c r="AE3545">
        <v>-2.3799999999994201E-2</v>
      </c>
      <c r="AF3545">
        <v>2.06359942321526E-2</v>
      </c>
      <c r="AG3545">
        <v>-7.8500999999999904E-2</v>
      </c>
      <c r="AH3545">
        <v>0.639447151272444</v>
      </c>
      <c r="AI3545">
        <v>96.995225930923397</v>
      </c>
      <c r="AJ3545">
        <v>88.151613981011195</v>
      </c>
      <c r="AK3545">
        <v>0.64457808722403298</v>
      </c>
    </row>
    <row r="3546" spans="1:37" x14ac:dyDescent="0.2">
      <c r="A3546" t="str">
        <f>"20200111160229517"</f>
        <v>20200111160229517</v>
      </c>
      <c r="B3546" t="str">
        <f>"1578729749505257"</f>
        <v>1578729749505257</v>
      </c>
      <c r="C3546" t="s">
        <v>37</v>
      </c>
      <c r="D3546">
        <v>5.422536</v>
      </c>
      <c r="E3546">
        <v>0.4436541</v>
      </c>
      <c r="F3546" t="s">
        <v>42</v>
      </c>
      <c r="G3546">
        <v>-223.6095</v>
      </c>
      <c r="H3546">
        <v>1.0274209999999999</v>
      </c>
      <c r="I3546">
        <v>137.14619999999999</v>
      </c>
      <c r="J3546">
        <v>-222.9838</v>
      </c>
      <c r="K3546">
        <v>1.103745</v>
      </c>
      <c r="L3546">
        <v>137.1799</v>
      </c>
      <c r="M3546">
        <v>-0.99760090000000001</v>
      </c>
      <c r="N3546">
        <v>0</v>
      </c>
      <c r="O3546">
        <v>-6.8483059999999998E-2</v>
      </c>
      <c r="P3546">
        <v>-0.99899519999999997</v>
      </c>
      <c r="Q3546">
        <v>-9.9107869999999904E-3</v>
      </c>
      <c r="R3546">
        <v>-4.3713490000000001E-2</v>
      </c>
      <c r="S3546">
        <v>-2.9929199999999998</v>
      </c>
      <c r="T3546">
        <v>-0.26258189999999998</v>
      </c>
      <c r="U3546">
        <v>-0.17277529999999999</v>
      </c>
      <c r="V3546">
        <v>2.4807180000000002E-2</v>
      </c>
      <c r="W3546">
        <v>2.14401899999999E-4</v>
      </c>
      <c r="X3546">
        <v>0.99969229999999998</v>
      </c>
      <c r="Y3546">
        <v>1.057394E-2</v>
      </c>
      <c r="Z3546">
        <v>6.4482469999999998E-3</v>
      </c>
      <c r="AA3546">
        <v>0.99992329999999996</v>
      </c>
      <c r="AB3546">
        <v>25</v>
      </c>
      <c r="AC3546">
        <v>-0.62569999999999404</v>
      </c>
      <c r="AD3546">
        <v>-7.6324000000000003E-2</v>
      </c>
      <c r="AE3546">
        <v>-3.3700000000010201E-2</v>
      </c>
      <c r="AF3546">
        <v>9.0962173161601E-3</v>
      </c>
      <c r="AG3546">
        <v>-7.6324000000000003E-2</v>
      </c>
      <c r="AH3546">
        <v>0.61737912258791505</v>
      </c>
      <c r="AI3546">
        <v>97.046722729967996</v>
      </c>
      <c r="AJ3546">
        <v>89.155887953515006</v>
      </c>
      <c r="AK3546">
        <v>0.62214554177691195</v>
      </c>
    </row>
    <row r="3547" spans="1:37" x14ac:dyDescent="0.2">
      <c r="A3547" t="str">
        <f>"20200111160229538"</f>
        <v>20200111160229538</v>
      </c>
      <c r="B3547" t="str">
        <f>"1578729749535510"</f>
        <v>1578729749535510</v>
      </c>
      <c r="C3547" t="s">
        <v>37</v>
      </c>
      <c r="D3547">
        <v>5.4203529999999898</v>
      </c>
      <c r="E3547">
        <v>0.45517920000000001</v>
      </c>
      <c r="F3547" t="s">
        <v>78</v>
      </c>
      <c r="G3547">
        <v>-327.1105</v>
      </c>
      <c r="H3547">
        <v>6.8521520000000002</v>
      </c>
      <c r="I3547">
        <v>117.3113</v>
      </c>
      <c r="J3547">
        <v>-223.20820000000001</v>
      </c>
      <c r="K3547">
        <v>1.103774</v>
      </c>
      <c r="L3547">
        <v>137.16489999999999</v>
      </c>
      <c r="M3547">
        <v>-0.99762030000000002</v>
      </c>
      <c r="N3547">
        <v>0</v>
      </c>
      <c r="O3547">
        <v>-6.8129259999999997E-2</v>
      </c>
      <c r="P3547">
        <v>-0.999015599999999</v>
      </c>
      <c r="Q3547">
        <v>-9.352384E-3</v>
      </c>
      <c r="R3547">
        <v>-4.3369230000000002E-2</v>
      </c>
      <c r="S3547">
        <v>-2.9797669999999998</v>
      </c>
      <c r="T3547">
        <v>0.1645007</v>
      </c>
      <c r="U3547">
        <v>-0.568573</v>
      </c>
      <c r="V3547">
        <v>2.4798560000000001E-2</v>
      </c>
      <c r="W3547">
        <v>1.2286350000000001E-3</v>
      </c>
      <c r="X3547">
        <v>0.99969169999999996</v>
      </c>
      <c r="Y3547">
        <v>-0.1199925</v>
      </c>
      <c r="Z3547">
        <v>-4.3671279999999899E-4</v>
      </c>
      <c r="AA3547">
        <v>0.99277469999999901</v>
      </c>
      <c r="AB3547">
        <v>25</v>
      </c>
      <c r="AC3547">
        <v>-103.9023</v>
      </c>
      <c r="AD3547">
        <v>5.7483779999999998</v>
      </c>
      <c r="AE3547">
        <v>-19.853599999999901</v>
      </c>
      <c r="AF3547">
        <v>-12.690805089079801</v>
      </c>
      <c r="AG3547">
        <v>5.7483779999999998</v>
      </c>
      <c r="AH3547">
        <v>104.70434916542</v>
      </c>
      <c r="AI3547">
        <v>86.880342806864604</v>
      </c>
      <c r="AJ3547">
        <v>96.910886732381599</v>
      </c>
      <c r="AK3547">
        <v>105.62717982410599</v>
      </c>
    </row>
    <row r="3548" spans="1:37" x14ac:dyDescent="0.2">
      <c r="A3548" t="str">
        <f>"20200111160229584"</f>
        <v>20200111160229584</v>
      </c>
      <c r="B3548" t="str">
        <f>"1578729749575526"</f>
        <v>1578729749575526</v>
      </c>
      <c r="C3548" t="s">
        <v>37</v>
      </c>
      <c r="D3548">
        <v>5.4412539999999998</v>
      </c>
      <c r="E3548">
        <v>0.45803119999999897</v>
      </c>
      <c r="F3548" t="s">
        <v>77</v>
      </c>
      <c r="G3548">
        <v>-285.90519999999998</v>
      </c>
      <c r="H3548">
        <v>7.9987989999999995E-2</v>
      </c>
      <c r="I3548">
        <v>126.8764</v>
      </c>
      <c r="J3548">
        <v>-223.71690000000001</v>
      </c>
      <c r="K3548">
        <v>1.103812</v>
      </c>
      <c r="L3548">
        <v>137.13130000000001</v>
      </c>
      <c r="M3548">
        <v>-0.99766580000000005</v>
      </c>
      <c r="N3548">
        <v>0</v>
      </c>
      <c r="O3548">
        <v>-6.7329440000000004E-2</v>
      </c>
      <c r="P3548">
        <v>-0.99910900000000002</v>
      </c>
      <c r="Q3548">
        <v>-7.116186E-3</v>
      </c>
      <c r="R3548">
        <v>-4.160225E-2</v>
      </c>
      <c r="S3548">
        <v>-2.981277</v>
      </c>
      <c r="T3548">
        <v>-4.8681620000000002E-2</v>
      </c>
      <c r="U3548">
        <v>-0.48922729999999998</v>
      </c>
      <c r="V3548">
        <v>2.576883E-2</v>
      </c>
      <c r="W3548">
        <v>4.2684589999999996E-3</v>
      </c>
      <c r="X3548">
        <v>0.99965879999999996</v>
      </c>
      <c r="Y3548">
        <v>-9.5117809999999997E-2</v>
      </c>
      <c r="Z3548">
        <v>3.1862619999999998E-4</v>
      </c>
      <c r="AA3548">
        <v>0.99546599999999996</v>
      </c>
      <c r="AB3548">
        <v>25</v>
      </c>
      <c r="AC3548">
        <v>-62.188299999999899</v>
      </c>
      <c r="AD3548">
        <v>-1.02382401</v>
      </c>
      <c r="AE3548">
        <v>-10.254899999999999</v>
      </c>
      <c r="AF3548">
        <v>-6.0426571306141197</v>
      </c>
      <c r="AG3548">
        <v>-1.02382401</v>
      </c>
      <c r="AH3548">
        <v>62.721115455361499</v>
      </c>
      <c r="AI3548">
        <v>90.930871538156595</v>
      </c>
      <c r="AJ3548">
        <v>95.502987406777194</v>
      </c>
      <c r="AK3548">
        <v>63.019840088391298</v>
      </c>
    </row>
    <row r="3549" spans="1:37" x14ac:dyDescent="0.2">
      <c r="A3549" t="str">
        <f>"20200111160229606"</f>
        <v>20200111160229606</v>
      </c>
      <c r="B3549" t="str">
        <f>"1578729749596023"</f>
        <v>1578729749596023</v>
      </c>
      <c r="C3549" t="s">
        <v>37</v>
      </c>
      <c r="D3549">
        <v>5.4436849999999897</v>
      </c>
      <c r="E3549">
        <v>0.45891199999999999</v>
      </c>
      <c r="F3549" t="s">
        <v>38</v>
      </c>
      <c r="G3549">
        <v>-260.745</v>
      </c>
      <c r="H3549" s="1">
        <v>-5.4157859999999999E-6</v>
      </c>
      <c r="I3549">
        <v>131.36789999999999</v>
      </c>
      <c r="J3549">
        <v>-223.96279999999999</v>
      </c>
      <c r="K3549">
        <v>1.1038159999999999</v>
      </c>
      <c r="L3549">
        <v>137.11510000000001</v>
      </c>
      <c r="M3549">
        <v>-0.99768860000000004</v>
      </c>
      <c r="N3549">
        <v>0</v>
      </c>
      <c r="O3549">
        <v>-6.6941470000000003E-2</v>
      </c>
      <c r="P3549">
        <v>-0.99915049999999905</v>
      </c>
      <c r="Q3549">
        <v>-7.8368759999999996E-3</v>
      </c>
      <c r="R3549">
        <v>-4.04628E-2</v>
      </c>
      <c r="S3549">
        <v>-2.9827119999999998</v>
      </c>
      <c r="T3549">
        <v>-8.8915709999999995E-2</v>
      </c>
      <c r="U3549">
        <v>-0.46424870000000001</v>
      </c>
      <c r="V3549">
        <v>2.651978E-2</v>
      </c>
      <c r="W3549">
        <v>3.8326329999999998E-3</v>
      </c>
      <c r="X3549">
        <v>0.99964089999999906</v>
      </c>
      <c r="Y3549">
        <v>-8.7291320000000006E-2</v>
      </c>
      <c r="Z3549">
        <v>6.8661099999999995E-4</v>
      </c>
      <c r="AA3549">
        <v>0.99618259999999903</v>
      </c>
      <c r="AB3549">
        <v>25</v>
      </c>
      <c r="AC3549">
        <v>-36.782200000000003</v>
      </c>
      <c r="AD3549">
        <v>-1.103821415786</v>
      </c>
      <c r="AE3549">
        <v>-5.7472000000000198</v>
      </c>
      <c r="AF3549">
        <v>-3.26901052244187</v>
      </c>
      <c r="AG3549">
        <v>-1.103821415786</v>
      </c>
      <c r="AH3549">
        <v>37.051862046220599</v>
      </c>
      <c r="AI3549">
        <v>91.699809304630705</v>
      </c>
      <c r="AJ3549">
        <v>95.042034592069399</v>
      </c>
      <c r="AK3549">
        <v>37.212166459451801</v>
      </c>
    </row>
    <row r="3550" spans="1:37" x14ac:dyDescent="0.2">
      <c r="A3550" t="str">
        <f>"20200111160229630"</f>
        <v>20200111160229630</v>
      </c>
      <c r="B3550" t="str">
        <f>"1578729749625302"</f>
        <v>1578729749625302</v>
      </c>
      <c r="C3550" t="s">
        <v>37</v>
      </c>
      <c r="D3550">
        <v>5.4549560000000001</v>
      </c>
      <c r="E3550">
        <v>0.45920630000000001</v>
      </c>
      <c r="F3550" t="s">
        <v>38</v>
      </c>
      <c r="G3550">
        <v>-251.49029999999999</v>
      </c>
      <c r="H3550" s="1">
        <v>-4.822507E-6</v>
      </c>
      <c r="I3550">
        <v>132.90989999999999</v>
      </c>
      <c r="J3550">
        <v>-224.21379999999999</v>
      </c>
      <c r="K3550">
        <v>1.103809</v>
      </c>
      <c r="L3550">
        <v>137.09870000000001</v>
      </c>
      <c r="M3550">
        <v>-0.99771209999999899</v>
      </c>
      <c r="N3550">
        <v>0</v>
      </c>
      <c r="O3550">
        <v>-6.6547029999999993E-2</v>
      </c>
      <c r="P3550">
        <v>-0.99920489999999995</v>
      </c>
      <c r="Q3550">
        <v>-8.6313880000000003E-3</v>
      </c>
      <c r="R3550">
        <v>-3.8928570000000003E-2</v>
      </c>
      <c r="S3550">
        <v>-2.9831539999999999</v>
      </c>
      <c r="T3550">
        <v>-0.1196212</v>
      </c>
      <c r="U3550">
        <v>-0.45570369999999999</v>
      </c>
      <c r="V3550">
        <v>2.765886E-2</v>
      </c>
      <c r="W3550">
        <v>3.2680609999999901E-3</v>
      </c>
      <c r="X3550">
        <v>0.999612099999999</v>
      </c>
      <c r="Y3550">
        <v>-8.4869509999999995E-2</v>
      </c>
      <c r="Z3550">
        <v>9.5629509999999897E-4</v>
      </c>
      <c r="AA3550">
        <v>0.99639159999999904</v>
      </c>
      <c r="AB3550">
        <v>25</v>
      </c>
      <c r="AC3550">
        <v>-27.276499999999999</v>
      </c>
      <c r="AD3550">
        <v>-1.103813822507</v>
      </c>
      <c r="AE3550">
        <v>-4.1888000000000103</v>
      </c>
      <c r="AF3550">
        <v>-2.3604378641625501</v>
      </c>
      <c r="AG3550">
        <v>-1.103813822507</v>
      </c>
      <c r="AH3550">
        <v>27.450880794188102</v>
      </c>
      <c r="AI3550">
        <v>92.294195023557293</v>
      </c>
      <c r="AJ3550">
        <v>94.9146428285718</v>
      </c>
      <c r="AK3550">
        <v>27.574280194450299</v>
      </c>
    </row>
    <row r="3551" spans="1:37" x14ac:dyDescent="0.2">
      <c r="A3551" t="str">
        <f>"20200111160229650"</f>
        <v>20200111160229650</v>
      </c>
      <c r="B3551" t="str">
        <f>"1578729749645798"</f>
        <v>1578729749645798</v>
      </c>
      <c r="C3551" t="s">
        <v>37</v>
      </c>
      <c r="D3551">
        <v>5.4741770000000001</v>
      </c>
      <c r="E3551">
        <v>0.45934049999999998</v>
      </c>
      <c r="F3551" t="s">
        <v>38</v>
      </c>
      <c r="G3551">
        <v>-246.3792</v>
      </c>
      <c r="H3551" s="1">
        <v>-2.7783810000000001E-6</v>
      </c>
      <c r="I3551">
        <v>133.7526</v>
      </c>
      <c r="J3551">
        <v>-224.4391</v>
      </c>
      <c r="K3551">
        <v>1.1037999999999999</v>
      </c>
      <c r="L3551">
        <v>137.08410000000001</v>
      </c>
      <c r="M3551">
        <v>-0.99773349999999905</v>
      </c>
      <c r="N3551">
        <v>0</v>
      </c>
      <c r="O3551">
        <v>-6.6195569999999995E-2</v>
      </c>
      <c r="P3551">
        <v>-0.999258599999999</v>
      </c>
      <c r="Q3551">
        <v>-9.8512189999999996E-3</v>
      </c>
      <c r="R3551">
        <v>-3.7221150000000001E-2</v>
      </c>
      <c r="S3551">
        <v>-2.9835509999999998</v>
      </c>
      <c r="T3551">
        <v>-0.1485773</v>
      </c>
      <c r="U3551">
        <v>-0.45039370000000001</v>
      </c>
      <c r="V3551">
        <v>2.9013420000000002E-2</v>
      </c>
      <c r="W3551">
        <v>2.200427E-3</v>
      </c>
      <c r="X3551">
        <v>0.99957659999999904</v>
      </c>
      <c r="Y3551">
        <v>-8.3460580000000006E-2</v>
      </c>
      <c r="Z3551">
        <v>1.2051239999999999E-3</v>
      </c>
      <c r="AA3551">
        <v>0.99651029999999996</v>
      </c>
      <c r="AB3551">
        <v>24</v>
      </c>
      <c r="AC3551">
        <v>-21.940100000000001</v>
      </c>
      <c r="AD3551">
        <v>-1.1038027783809901</v>
      </c>
      <c r="AE3551">
        <v>-3.3315000000000001</v>
      </c>
      <c r="AF3551">
        <v>-1.8671290377613901</v>
      </c>
      <c r="AG3551">
        <v>-1.1038027783809901</v>
      </c>
      <c r="AH3551">
        <v>22.057945540817801</v>
      </c>
      <c r="AI3551">
        <v>92.8545601171257</v>
      </c>
      <c r="AJ3551">
        <v>94.838356515061307</v>
      </c>
      <c r="AK3551">
        <v>22.164329741702002</v>
      </c>
    </row>
    <row r="3552" spans="1:37" x14ac:dyDescent="0.2">
      <c r="A3552" t="str">
        <f>"20200111160229674"</f>
        <v>20200111160229674</v>
      </c>
      <c r="B3552" t="str">
        <f>"1578729749665319"</f>
        <v>1578729749665319</v>
      </c>
      <c r="C3552" t="s">
        <v>37</v>
      </c>
      <c r="D3552">
        <v>5.3912559999999896</v>
      </c>
      <c r="E3552">
        <v>0.45927449999999997</v>
      </c>
      <c r="F3552" t="s">
        <v>38</v>
      </c>
      <c r="G3552">
        <v>-244.49160000000001</v>
      </c>
      <c r="H3552" s="1">
        <v>-3.3300779999999999E-6</v>
      </c>
      <c r="I3552">
        <v>134.0934</v>
      </c>
      <c r="J3552">
        <v>-224.69749999999999</v>
      </c>
      <c r="K3552">
        <v>1.103788</v>
      </c>
      <c r="L3552">
        <v>137.0675</v>
      </c>
      <c r="M3552">
        <v>-0.99775840000000005</v>
      </c>
      <c r="N3552">
        <v>0</v>
      </c>
      <c r="O3552">
        <v>-6.5797240000000007E-2</v>
      </c>
      <c r="P3552">
        <v>-0.99929990000000002</v>
      </c>
      <c r="Q3552">
        <v>-1.0692739999999999E-2</v>
      </c>
      <c r="R3552">
        <v>-3.5852530000000001E-2</v>
      </c>
      <c r="S3552">
        <v>-2.9840239999999998</v>
      </c>
      <c r="T3552">
        <v>-0.1642576</v>
      </c>
      <c r="U3552">
        <v>-0.44503779999999998</v>
      </c>
      <c r="V3552">
        <v>2.998226E-2</v>
      </c>
      <c r="W3552">
        <v>1.486603E-3</v>
      </c>
      <c r="X3552">
        <v>0.99954929999999997</v>
      </c>
      <c r="Y3552">
        <v>-8.2082500000000003E-2</v>
      </c>
      <c r="Z3552">
        <v>1.3481439999999999E-3</v>
      </c>
      <c r="AA3552">
        <v>0.99662459999999997</v>
      </c>
      <c r="AB3552">
        <v>24</v>
      </c>
      <c r="AC3552">
        <v>-19.7941</v>
      </c>
      <c r="AD3552">
        <v>-1.103791330078</v>
      </c>
      <c r="AE3552">
        <v>-2.9740999999999902</v>
      </c>
      <c r="AF3552">
        <v>-1.6601117931262199</v>
      </c>
      <c r="AG3552">
        <v>-1.103791330078</v>
      </c>
      <c r="AH3552">
        <v>19.886428884362999</v>
      </c>
      <c r="AI3552">
        <v>93.165938512386901</v>
      </c>
      <c r="AJ3552">
        <v>94.771966157390807</v>
      </c>
      <c r="AK3552">
        <v>19.9861046789729</v>
      </c>
    </row>
    <row r="3553" spans="1:37" x14ac:dyDescent="0.2">
      <c r="A3553" t="str">
        <f>"20200111160229695"</f>
        <v>20200111160229695</v>
      </c>
      <c r="B3553" t="str">
        <f>"1578729749685815"</f>
        <v>1578729749685815</v>
      </c>
      <c r="C3553" t="s">
        <v>37</v>
      </c>
      <c r="D3553">
        <v>5.5037459999999996</v>
      </c>
      <c r="E3553">
        <v>0.45937860000000003</v>
      </c>
      <c r="F3553" t="s">
        <v>38</v>
      </c>
      <c r="G3553">
        <v>-243.63560000000001</v>
      </c>
      <c r="H3553" s="1">
        <v>-3.66241199999999E-6</v>
      </c>
      <c r="I3553">
        <v>134.26179999999999</v>
      </c>
      <c r="J3553">
        <v>-224.93709999999999</v>
      </c>
      <c r="K3553">
        <v>1.103777</v>
      </c>
      <c r="L3553">
        <v>137.0522</v>
      </c>
      <c r="M3553">
        <v>-0.99778199999999995</v>
      </c>
      <c r="N3553">
        <v>0</v>
      </c>
      <c r="O3553">
        <v>-6.54256E-2</v>
      </c>
      <c r="P3553">
        <v>-0.99934330000000005</v>
      </c>
      <c r="Q3553">
        <v>-1.055297E-2</v>
      </c>
      <c r="R3553">
        <v>-3.4666959999999997E-2</v>
      </c>
      <c r="S3553">
        <v>-2.984375</v>
      </c>
      <c r="T3553">
        <v>-0.17394200000000001</v>
      </c>
      <c r="U3553">
        <v>-0.4421234</v>
      </c>
      <c r="V3553">
        <v>3.0796049999999998E-2</v>
      </c>
      <c r="W3553">
        <v>1.706424E-3</v>
      </c>
      <c r="X3553">
        <v>0.99952419999999997</v>
      </c>
      <c r="Y3553">
        <v>-8.1481789999999998E-2</v>
      </c>
      <c r="Z3553">
        <v>1.423426E-3</v>
      </c>
      <c r="AA3553">
        <v>0.99667380000000005</v>
      </c>
      <c r="AB3553">
        <v>24</v>
      </c>
      <c r="AC3553">
        <v>-18.698499999999999</v>
      </c>
      <c r="AD3553">
        <v>-1.1037806624119999</v>
      </c>
      <c r="AE3553">
        <v>-2.7904</v>
      </c>
      <c r="AF3553">
        <v>-1.55566506735518</v>
      </c>
      <c r="AG3553">
        <v>-1.1037806624119999</v>
      </c>
      <c r="AH3553">
        <v>18.777004005914801</v>
      </c>
      <c r="AI3553">
        <v>93.352722511852505</v>
      </c>
      <c r="AJ3553">
        <v>94.736109177892303</v>
      </c>
      <c r="AK3553">
        <v>18.873640480592101</v>
      </c>
    </row>
    <row r="3554" spans="1:37" x14ac:dyDescent="0.2">
      <c r="A3554" t="str">
        <f>"20200111160229718"</f>
        <v>20200111160229718</v>
      </c>
      <c r="B3554" t="str">
        <f>"1578729749716070"</f>
        <v>1578729749716070</v>
      </c>
      <c r="C3554" t="s">
        <v>37</v>
      </c>
      <c r="D3554">
        <v>5.5526429999999998</v>
      </c>
      <c r="E3554">
        <v>0.45919670000000001</v>
      </c>
      <c r="F3554" t="s">
        <v>38</v>
      </c>
      <c r="G3554">
        <v>-243.23070000000001</v>
      </c>
      <c r="H3554" s="1">
        <v>-3.8175560000000001E-6</v>
      </c>
      <c r="I3554">
        <v>134.3665</v>
      </c>
      <c r="J3554">
        <v>-225.1875</v>
      </c>
      <c r="K3554">
        <v>1.103764</v>
      </c>
      <c r="L3554">
        <v>137.03630000000001</v>
      </c>
      <c r="M3554">
        <v>-0.99780740000000001</v>
      </c>
      <c r="N3554">
        <v>0</v>
      </c>
      <c r="O3554">
        <v>-6.502616E-2</v>
      </c>
      <c r="P3554">
        <v>-0.99937580000000004</v>
      </c>
      <c r="Q3554">
        <v>-1.1062799999999999E-2</v>
      </c>
      <c r="R3554">
        <v>-3.3549280000000001E-2</v>
      </c>
      <c r="S3554">
        <v>-2.9848629999999998</v>
      </c>
      <c r="T3554">
        <v>-0.18009839999999999</v>
      </c>
      <c r="U3554">
        <v>-0.43820189999999998</v>
      </c>
      <c r="V3554">
        <v>3.1513069999999997E-2</v>
      </c>
      <c r="W3554">
        <v>1.2376939999999999E-3</v>
      </c>
      <c r="X3554">
        <v>0.99950260000000002</v>
      </c>
      <c r="Y3554">
        <v>-8.0574480000000004E-2</v>
      </c>
      <c r="Z3554">
        <v>1.4770079999999999E-3</v>
      </c>
      <c r="AA3554">
        <v>0.99674750000000001</v>
      </c>
      <c r="AB3554">
        <v>24</v>
      </c>
      <c r="AC3554">
        <v>-18.043199999999999</v>
      </c>
      <c r="AD3554">
        <v>-1.103767817556</v>
      </c>
      <c r="AE3554">
        <v>-2.6698</v>
      </c>
      <c r="AF3554">
        <v>-1.4853401173110701</v>
      </c>
      <c r="AG3554">
        <v>-1.103767817556</v>
      </c>
      <c r="AH3554">
        <v>18.112299014112601</v>
      </c>
      <c r="AI3554">
        <v>93.475666839337507</v>
      </c>
      <c r="AJ3554">
        <v>94.688179359678998</v>
      </c>
      <c r="AK3554">
        <v>18.206589857405699</v>
      </c>
    </row>
    <row r="3555" spans="1:37" x14ac:dyDescent="0.2">
      <c r="A3555" t="str">
        <f>"20200111160229739"</f>
        <v>20200111160229739</v>
      </c>
      <c r="B3555" t="str">
        <f>"1578729749735591"</f>
        <v>1578729749735591</v>
      </c>
      <c r="C3555" t="s">
        <v>37</v>
      </c>
      <c r="D3555">
        <v>5.5128360000000001</v>
      </c>
      <c r="E3555">
        <v>0.45895599999999998</v>
      </c>
      <c r="F3555" t="s">
        <v>38</v>
      </c>
      <c r="G3555">
        <v>-242.41229999999999</v>
      </c>
      <c r="H3555" s="1">
        <v>-4.1421639999999998E-6</v>
      </c>
      <c r="I3555">
        <v>134.5155</v>
      </c>
      <c r="J3555">
        <v>-225.41640000000001</v>
      </c>
      <c r="K3555">
        <v>1.1037520000000001</v>
      </c>
      <c r="L3555">
        <v>137.02180000000001</v>
      </c>
      <c r="M3555">
        <v>-0.99783159999999904</v>
      </c>
      <c r="N3555">
        <v>0</v>
      </c>
      <c r="O3555">
        <v>-6.465419E-2</v>
      </c>
      <c r="P3555">
        <v>-0.99940319999999905</v>
      </c>
      <c r="Q3555">
        <v>-1.1869350000000001E-2</v>
      </c>
      <c r="R3555">
        <v>-3.2438160000000001E-2</v>
      </c>
      <c r="S3555">
        <v>-2.985077</v>
      </c>
      <c r="T3555">
        <v>-0.1912837</v>
      </c>
      <c r="U3555">
        <v>-0.43682860000000001</v>
      </c>
      <c r="V3555">
        <v>3.2250510000000003E-2</v>
      </c>
      <c r="W3555">
        <v>4.2897859999999999E-4</v>
      </c>
      <c r="X3555">
        <v>0.99947969999999897</v>
      </c>
      <c r="Y3555">
        <v>-8.0482789999999998E-2</v>
      </c>
      <c r="Z3555">
        <v>1.5478429999999999E-3</v>
      </c>
      <c r="AA3555">
        <v>0.99675480000000005</v>
      </c>
      <c r="AB3555">
        <v>24</v>
      </c>
      <c r="AC3555">
        <v>-16.995899999999899</v>
      </c>
      <c r="AD3555">
        <v>-1.1037561421640001</v>
      </c>
      <c r="AE3555">
        <v>-2.5063</v>
      </c>
      <c r="AF3555">
        <v>-1.3963518964267301</v>
      </c>
      <c r="AG3555">
        <v>-1.1037561421640001</v>
      </c>
      <c r="AH3555">
        <v>17.052003000463099</v>
      </c>
      <c r="AI3555">
        <v>93.691201077992801</v>
      </c>
      <c r="AJ3555">
        <v>94.681383094206495</v>
      </c>
      <c r="AK3555">
        <v>17.144645886334999</v>
      </c>
    </row>
    <row r="3556" spans="1:37" x14ac:dyDescent="0.2">
      <c r="A3556" t="str">
        <f>"20200111160229764"</f>
        <v>20200111160229764</v>
      </c>
      <c r="B3556" t="str">
        <f>"1578729749756087"</f>
        <v>1578729749756087</v>
      </c>
      <c r="C3556" t="s">
        <v>37</v>
      </c>
      <c r="D3556">
        <v>5.4352199999999904</v>
      </c>
      <c r="E3556">
        <v>0.45892899999999998</v>
      </c>
      <c r="F3556" t="s">
        <v>38</v>
      </c>
      <c r="G3556">
        <v>-242.06530000000001</v>
      </c>
      <c r="H3556" s="1">
        <v>-4.2773690000000001E-6</v>
      </c>
      <c r="I3556">
        <v>134.5925</v>
      </c>
      <c r="J3556">
        <v>-225.68539999999999</v>
      </c>
      <c r="K3556">
        <v>1.1037399999999999</v>
      </c>
      <c r="L3556">
        <v>137.00489999999999</v>
      </c>
      <c r="M3556">
        <v>-0.99786059999999999</v>
      </c>
      <c r="N3556">
        <v>0</v>
      </c>
      <c r="O3556">
        <v>-6.4215019999999998E-2</v>
      </c>
      <c r="P3556">
        <v>-0.99942869999999995</v>
      </c>
      <c r="Q3556">
        <v>-1.297422E-2</v>
      </c>
      <c r="R3556">
        <v>-3.120585E-2</v>
      </c>
      <c r="S3556">
        <v>-2.985306</v>
      </c>
      <c r="T3556">
        <v>-0.1979136</v>
      </c>
      <c r="U3556">
        <v>-0.4355774</v>
      </c>
      <c r="V3556">
        <v>3.3041260000000003E-2</v>
      </c>
      <c r="W3556">
        <v>-7.2399569999999998E-4</v>
      </c>
      <c r="X3556">
        <v>0.9994537</v>
      </c>
      <c r="Y3556">
        <v>-8.0498310000000003E-2</v>
      </c>
      <c r="Z3556">
        <v>1.5719849999999999E-3</v>
      </c>
      <c r="AA3556">
        <v>0.99675349999999996</v>
      </c>
      <c r="AB3556">
        <v>24</v>
      </c>
      <c r="AC3556">
        <v>-16.379899999999999</v>
      </c>
      <c r="AD3556">
        <v>-1.103744277369</v>
      </c>
      <c r="AE3556">
        <v>-2.4123999999999901</v>
      </c>
      <c r="AF3556">
        <v>-1.34950791378098</v>
      </c>
      <c r="AG3556">
        <v>-1.103744277369</v>
      </c>
      <c r="AH3556">
        <v>16.428002620383801</v>
      </c>
      <c r="AI3556">
        <v>93.830875920792906</v>
      </c>
      <c r="AJ3556">
        <v>94.696120826147094</v>
      </c>
      <c r="AK3556">
        <v>16.520251000953898</v>
      </c>
    </row>
    <row r="3557" spans="1:37" x14ac:dyDescent="0.2">
      <c r="A3557" t="str">
        <f>"20200111160229788"</f>
        <v>20200111160229788</v>
      </c>
      <c r="B3557" t="str">
        <f>"1578729749775607"</f>
        <v>1578729749775607</v>
      </c>
      <c r="C3557" t="s">
        <v>37</v>
      </c>
      <c r="D3557">
        <v>5.5017319999999996</v>
      </c>
      <c r="E3557">
        <v>0.45881250000000001</v>
      </c>
      <c r="F3557" t="s">
        <v>38</v>
      </c>
      <c r="G3557">
        <v>-241.7534</v>
      </c>
      <c r="H3557" s="1">
        <v>-4.3959599999999997E-6</v>
      </c>
      <c r="I3557">
        <v>134.67850000000001</v>
      </c>
      <c r="J3557">
        <v>-225.93870000000001</v>
      </c>
      <c r="K3557">
        <v>1.1037299999999901</v>
      </c>
      <c r="L3557">
        <v>136.989</v>
      </c>
      <c r="M3557">
        <v>-0.997887999999999</v>
      </c>
      <c r="N3557">
        <v>0</v>
      </c>
      <c r="O3557">
        <v>-6.3803780000000004E-2</v>
      </c>
      <c r="P3557">
        <v>-0.99945430000000002</v>
      </c>
      <c r="Q3557">
        <v>-1.326944E-2</v>
      </c>
      <c r="R3557">
        <v>-3.0253789999999999E-2</v>
      </c>
      <c r="S3557">
        <v>-2.9855649999999998</v>
      </c>
      <c r="T3557">
        <v>-0.205085399999999</v>
      </c>
      <c r="U3557">
        <v>-0.432251</v>
      </c>
      <c r="V3557">
        <v>3.3580869999999999E-2</v>
      </c>
      <c r="W3557">
        <v>-1.097787E-3</v>
      </c>
      <c r="X3557">
        <v>0.99943539999999997</v>
      </c>
      <c r="Y3557">
        <v>-7.9807260000000005E-2</v>
      </c>
      <c r="Z3557">
        <v>1.6244639999999999E-3</v>
      </c>
      <c r="AA3557">
        <v>0.99680899999999995</v>
      </c>
      <c r="AB3557">
        <v>24</v>
      </c>
      <c r="AC3557">
        <v>-15.814699999999901</v>
      </c>
      <c r="AD3557">
        <v>-1.1037343959599999</v>
      </c>
      <c r="AE3557">
        <v>-2.31049999999999</v>
      </c>
      <c r="AF3557">
        <v>-1.2905243244847999</v>
      </c>
      <c r="AG3557">
        <v>-1.1037343959599999</v>
      </c>
      <c r="AH3557">
        <v>15.854291324937</v>
      </c>
      <c r="AI3557">
        <v>93.969271434540701</v>
      </c>
      <c r="AJ3557">
        <v>94.653562511760001</v>
      </c>
      <c r="AK3557">
        <v>15.9449752607173</v>
      </c>
    </row>
    <row r="3558" spans="1:37" x14ac:dyDescent="0.2">
      <c r="A3558" t="str">
        <f>"20200111160229810"</f>
        <v>20200111160229810</v>
      </c>
      <c r="B3558" t="str">
        <f>"1578729749805862"</f>
        <v>1578729749805862</v>
      </c>
      <c r="C3558" t="s">
        <v>37</v>
      </c>
      <c r="D3558">
        <v>5.5166129999999898</v>
      </c>
      <c r="E3558">
        <v>0.4587079</v>
      </c>
      <c r="F3558" t="s">
        <v>38</v>
      </c>
      <c r="G3558">
        <v>-241.77369999999999</v>
      </c>
      <c r="H3558" s="1">
        <v>-4.3823630000000002E-6</v>
      </c>
      <c r="I3558">
        <v>134.70609999999999</v>
      </c>
      <c r="J3558">
        <v>-226.18780000000001</v>
      </c>
      <c r="K3558">
        <v>1.1037139999999901</v>
      </c>
      <c r="L3558">
        <v>136.9735</v>
      </c>
      <c r="M3558">
        <v>-0.99791469999999904</v>
      </c>
      <c r="N3558">
        <v>0</v>
      </c>
      <c r="O3558">
        <v>-6.3404279999999993E-2</v>
      </c>
      <c r="P3558">
        <v>-0.99946360000000001</v>
      </c>
      <c r="Q3558">
        <v>-1.305857E-2</v>
      </c>
      <c r="R3558">
        <v>-3.0035070000000001E-2</v>
      </c>
      <c r="S3558">
        <v>-2.9858250000000002</v>
      </c>
      <c r="T3558">
        <v>-0.20811969999999999</v>
      </c>
      <c r="U3558">
        <v>-0.43046570000000001</v>
      </c>
      <c r="V3558">
        <v>3.3399640000000001E-2</v>
      </c>
      <c r="W3558">
        <v>-9.8490689999999989E-4</v>
      </c>
      <c r="X3558">
        <v>0.99944159999999904</v>
      </c>
      <c r="Y3558">
        <v>-7.9608719999999994E-2</v>
      </c>
      <c r="Z3558">
        <v>1.6276939999999901E-3</v>
      </c>
      <c r="AA3558">
        <v>0.99682490000000001</v>
      </c>
      <c r="AB3558">
        <v>24</v>
      </c>
      <c r="AC3558">
        <v>-15.585899999999899</v>
      </c>
      <c r="AD3558">
        <v>-1.1037183823629999</v>
      </c>
      <c r="AE3558">
        <v>-2.2673999999999999</v>
      </c>
      <c r="AF3558">
        <v>-1.2683236062959899</v>
      </c>
      <c r="AG3558">
        <v>-1.1037183823629999</v>
      </c>
      <c r="AH3558">
        <v>15.621593343995</v>
      </c>
      <c r="AI3558">
        <v>94.028213558788806</v>
      </c>
      <c r="AJ3558">
        <v>94.6416866835729</v>
      </c>
      <c r="AK3558">
        <v>15.7118114055319</v>
      </c>
    </row>
    <row r="3559" spans="1:37" x14ac:dyDescent="0.2">
      <c r="A3559" t="str">
        <f>"20200111160229832"</f>
        <v>20200111160229832</v>
      </c>
      <c r="B3559" t="str">
        <f>"1578729749825382"</f>
        <v>1578729749825382</v>
      </c>
      <c r="C3559" t="s">
        <v>37</v>
      </c>
      <c r="D3559">
        <v>5.4538659999999997</v>
      </c>
      <c r="E3559">
        <v>0.4585225</v>
      </c>
      <c r="F3559" t="s">
        <v>38</v>
      </c>
      <c r="G3559">
        <v>-241.74039999999999</v>
      </c>
      <c r="H3559" s="1">
        <v>-4.3924779999999997E-6</v>
      </c>
      <c r="I3559">
        <v>134.7294</v>
      </c>
      <c r="J3559">
        <v>-226.42529999999999</v>
      </c>
      <c r="K3559">
        <v>1.103701</v>
      </c>
      <c r="L3559">
        <v>136.9589</v>
      </c>
      <c r="M3559">
        <v>-0.99793960000000004</v>
      </c>
      <c r="N3559">
        <v>0</v>
      </c>
      <c r="O3559">
        <v>-6.3028420000000002E-2</v>
      </c>
      <c r="P3559">
        <v>-0.99948329999999996</v>
      </c>
      <c r="Q3559">
        <v>-1.217526E-2</v>
      </c>
      <c r="R3559">
        <v>-2.9746450000000001E-2</v>
      </c>
      <c r="S3559">
        <v>-2.9859009999999899</v>
      </c>
      <c r="T3559">
        <v>-0.21190010000000001</v>
      </c>
      <c r="U3559">
        <v>-0.43083189999999999</v>
      </c>
      <c r="V3559">
        <v>3.3312979999999999E-2</v>
      </c>
      <c r="W3559">
        <v>-2.0727169999999899E-4</v>
      </c>
      <c r="X3559">
        <v>0.99944500000000003</v>
      </c>
      <c r="Y3559">
        <v>-8.0096849999999997E-2</v>
      </c>
      <c r="Z3559">
        <v>1.6135079999999901E-3</v>
      </c>
      <c r="AA3559">
        <v>0.99678580000000006</v>
      </c>
      <c r="AB3559">
        <v>25</v>
      </c>
      <c r="AC3559">
        <v>-15.315099999999999</v>
      </c>
      <c r="AD3559">
        <v>-1.103705392478</v>
      </c>
      <c r="AE3559">
        <v>-2.2294999999999998</v>
      </c>
      <c r="AF3559">
        <v>-1.25333625237365</v>
      </c>
      <c r="AG3559">
        <v>-1.103705392478</v>
      </c>
      <c r="AH3559">
        <v>15.347124685445101</v>
      </c>
      <c r="AI3559">
        <v>94.099805542237803</v>
      </c>
      <c r="AJ3559">
        <v>94.668748820603994</v>
      </c>
      <c r="AK3559">
        <v>15.437721770568899</v>
      </c>
    </row>
    <row r="3560" spans="1:37" x14ac:dyDescent="0.2">
      <c r="A3560" t="str">
        <f>"20200111160229874"</f>
        <v>20200111160229874</v>
      </c>
      <c r="B3560" t="str">
        <f>"1578729749865398"</f>
        <v>1578729749865398</v>
      </c>
      <c r="C3560" t="s">
        <v>37</v>
      </c>
      <c r="D3560">
        <v>5.5727760000000002</v>
      </c>
      <c r="E3560">
        <v>0.45809030000000001</v>
      </c>
      <c r="F3560" t="s">
        <v>38</v>
      </c>
      <c r="G3560">
        <v>-242.02950000000001</v>
      </c>
      <c r="H3560" s="1">
        <v>-4.2727889999999999E-6</v>
      </c>
      <c r="I3560">
        <v>134.70490000000001</v>
      </c>
      <c r="J3560">
        <v>-226.88759999999999</v>
      </c>
      <c r="K3560">
        <v>1.103694</v>
      </c>
      <c r="L3560">
        <v>136.9306</v>
      </c>
      <c r="M3560">
        <v>-0.99798799999999899</v>
      </c>
      <c r="N3560">
        <v>0</v>
      </c>
      <c r="O3560">
        <v>-6.2301120000000001E-2</v>
      </c>
      <c r="P3560">
        <v>-0.99949189999999999</v>
      </c>
      <c r="Q3560">
        <v>-1.080181E-2</v>
      </c>
      <c r="R3560">
        <v>-2.9989459999999999E-2</v>
      </c>
      <c r="S3560">
        <v>-2.98612999999999</v>
      </c>
      <c r="T3560">
        <v>-0.21121279999999901</v>
      </c>
      <c r="U3560">
        <v>-0.43132019999999999</v>
      </c>
      <c r="V3560">
        <v>3.2343289999999997E-2</v>
      </c>
      <c r="W3560">
        <v>9.5302240000000001E-4</v>
      </c>
      <c r="X3560">
        <v>0.99947640000000004</v>
      </c>
      <c r="Y3560">
        <v>-8.0968670000000006E-2</v>
      </c>
      <c r="Z3560">
        <v>1.526566E-3</v>
      </c>
      <c r="AA3560">
        <v>0.99671549999999998</v>
      </c>
      <c r="AB3560">
        <v>25</v>
      </c>
      <c r="AC3560">
        <v>-15.1419</v>
      </c>
      <c r="AD3560">
        <v>-1.1036982727889999</v>
      </c>
      <c r="AE3560">
        <v>-2.2256999999999798</v>
      </c>
      <c r="AF3560">
        <v>-1.27134129303813</v>
      </c>
      <c r="AG3560">
        <v>-1.1036982727889999</v>
      </c>
      <c r="AH3560">
        <v>15.1722490815865</v>
      </c>
      <c r="AI3560">
        <v>94.146146900973307</v>
      </c>
      <c r="AJ3560">
        <v>94.789844866588396</v>
      </c>
      <c r="AK3560">
        <v>15.2653726045073</v>
      </c>
    </row>
    <row r="3561" spans="1:37" x14ac:dyDescent="0.2">
      <c r="A3561" t="str">
        <f>"20200111160229897"</f>
        <v>20200111160229897</v>
      </c>
      <c r="B3561" t="str">
        <f>"1578729749885894"</f>
        <v>1578729749885894</v>
      </c>
      <c r="C3561" t="s">
        <v>37</v>
      </c>
      <c r="D3561">
        <v>5.4815889999999996</v>
      </c>
      <c r="E3561">
        <v>0.45793999999999901</v>
      </c>
      <c r="F3561" t="s">
        <v>38</v>
      </c>
      <c r="G3561">
        <v>-242.61689999999999</v>
      </c>
      <c r="H3561" s="1">
        <v>-4.0327789999999998E-6</v>
      </c>
      <c r="I3561">
        <v>134.63740000000001</v>
      </c>
      <c r="J3561">
        <v>-227.13820000000001</v>
      </c>
      <c r="K3561">
        <v>1.103696</v>
      </c>
      <c r="L3561">
        <v>136.91540000000001</v>
      </c>
      <c r="M3561">
        <v>-0.99801399999999996</v>
      </c>
      <c r="N3561">
        <v>0</v>
      </c>
      <c r="O3561">
        <v>-6.1904859999999999E-2</v>
      </c>
      <c r="P3561">
        <v>-0.99950740000000005</v>
      </c>
      <c r="Q3561">
        <v>-9.5221619999999903E-3</v>
      </c>
      <c r="R3561">
        <v>-2.9912950000000001E-2</v>
      </c>
      <c r="S3561">
        <v>-2.9861759999999999</v>
      </c>
      <c r="T3561">
        <v>-0.20953449999999901</v>
      </c>
      <c r="U3561">
        <v>-0.43534849999999897</v>
      </c>
      <c r="V3561">
        <v>3.2024549999999999E-2</v>
      </c>
      <c r="W3561">
        <v>2.1203179999999999E-3</v>
      </c>
      <c r="X3561">
        <v>0.99948479999999995</v>
      </c>
      <c r="Y3561">
        <v>-8.267476E-2</v>
      </c>
      <c r="Z3561">
        <v>1.427251E-3</v>
      </c>
      <c r="AA3561">
        <v>0.99657549999999995</v>
      </c>
      <c r="AB3561">
        <v>25</v>
      </c>
      <c r="AC3561">
        <v>-15.4786999999999</v>
      </c>
      <c r="AD3561">
        <v>-1.1037000327790001</v>
      </c>
      <c r="AE3561">
        <v>-2.2779999999999898</v>
      </c>
      <c r="AF3561">
        <v>-1.3088449658933199</v>
      </c>
      <c r="AG3561">
        <v>-1.1037000327790001</v>
      </c>
      <c r="AH3561">
        <v>15.512837317890201</v>
      </c>
      <c r="AI3561">
        <v>94.055235758870595</v>
      </c>
      <c r="AJ3561">
        <v>94.822722185611099</v>
      </c>
      <c r="AK3561">
        <v>15.6070288831163</v>
      </c>
    </row>
    <row r="3562" spans="1:37" x14ac:dyDescent="0.2">
      <c r="A3562" t="str">
        <f>"20200111160229920"</f>
        <v>20200111160229920</v>
      </c>
      <c r="B3562" t="str">
        <f>"1578729749916152"</f>
        <v>1578729749916152</v>
      </c>
      <c r="C3562" t="s">
        <v>37</v>
      </c>
      <c r="D3562">
        <v>5.3924690000000002</v>
      </c>
      <c r="E3562">
        <v>0.45769849999999901</v>
      </c>
      <c r="F3562" t="s">
        <v>38</v>
      </c>
      <c r="G3562">
        <v>-243.08250000000001</v>
      </c>
      <c r="H3562" s="1">
        <v>-3.8423389999999996E-6</v>
      </c>
      <c r="I3562">
        <v>134.58500000000001</v>
      </c>
      <c r="J3562">
        <v>-227.38939999999999</v>
      </c>
      <c r="K3562">
        <v>1.1036999999999999</v>
      </c>
      <c r="L3562">
        <v>136.90029999999999</v>
      </c>
      <c r="M3562">
        <v>-0.99803969999999897</v>
      </c>
      <c r="N3562">
        <v>0</v>
      </c>
      <c r="O3562">
        <v>-6.1505549999999999E-2</v>
      </c>
      <c r="P3562">
        <v>-0.9995347</v>
      </c>
      <c r="Q3562">
        <v>-8.6124329999999992E-3</v>
      </c>
      <c r="R3562">
        <v>-2.925809E-2</v>
      </c>
      <c r="S3562">
        <v>-2.9864649999999999</v>
      </c>
      <c r="T3562">
        <v>-0.20672950000000001</v>
      </c>
      <c r="U3562">
        <v>-0.43649290000000002</v>
      </c>
      <c r="V3562">
        <v>3.2280290000000003E-2</v>
      </c>
      <c r="W3562">
        <v>2.9228329999999901E-3</v>
      </c>
      <c r="X3562">
        <v>0.99947459999999899</v>
      </c>
      <c r="Y3562">
        <v>-8.3432259999999994E-2</v>
      </c>
      <c r="Z3562">
        <v>1.3545879999999899E-3</v>
      </c>
      <c r="AA3562">
        <v>0.99651250000000002</v>
      </c>
      <c r="AB3562">
        <v>25</v>
      </c>
      <c r="AC3562">
        <v>-15.693099999999999</v>
      </c>
      <c r="AD3562">
        <v>-1.103703842339</v>
      </c>
      <c r="AE3562">
        <v>-2.3152999999999802</v>
      </c>
      <c r="AF3562">
        <v>-1.3391557499875399</v>
      </c>
      <c r="AG3562">
        <v>-1.103703842339</v>
      </c>
      <c r="AH3562">
        <v>15.729650890171101</v>
      </c>
      <c r="AI3562">
        <v>93.999279529843307</v>
      </c>
      <c r="AJ3562">
        <v>94.866185389549798</v>
      </c>
      <c r="AK3562">
        <v>15.8250882279051</v>
      </c>
    </row>
    <row r="3563" spans="1:37" x14ac:dyDescent="0.2">
      <c r="A3563" t="str">
        <f>"20200111160229942"</f>
        <v>20200111160229942</v>
      </c>
      <c r="B3563" t="str">
        <f>"1578729749935670"</f>
        <v>1578729749935670</v>
      </c>
      <c r="C3563" t="s">
        <v>37</v>
      </c>
      <c r="D3563">
        <v>5.3941919999999897</v>
      </c>
      <c r="E3563">
        <v>0.45757399999999998</v>
      </c>
      <c r="F3563" t="s">
        <v>38</v>
      </c>
      <c r="G3563">
        <v>-243.4966</v>
      </c>
      <c r="H3563" s="1">
        <v>-3.6717590000000001E-6</v>
      </c>
      <c r="I3563">
        <v>134.54509999999999</v>
      </c>
      <c r="J3563">
        <v>-227.63380000000001</v>
      </c>
      <c r="K3563">
        <v>1.1037030000000001</v>
      </c>
      <c r="L3563">
        <v>136.88570000000001</v>
      </c>
      <c r="M3563">
        <v>-0.99806489999999903</v>
      </c>
      <c r="N3563">
        <v>0</v>
      </c>
      <c r="O3563">
        <v>-6.1116299999999998E-2</v>
      </c>
      <c r="P3563">
        <v>-0.99955079999999996</v>
      </c>
      <c r="Q3563">
        <v>-8.6490869999999997E-3</v>
      </c>
      <c r="R3563">
        <v>-2.8696940000000001E-2</v>
      </c>
      <c r="S3563">
        <v>-2.986847</v>
      </c>
      <c r="T3563">
        <v>-0.20466570000000001</v>
      </c>
      <c r="U3563">
        <v>-0.43672179999999999</v>
      </c>
      <c r="V3563">
        <v>3.2451420000000002E-2</v>
      </c>
      <c r="W3563">
        <v>2.7869349999999999E-3</v>
      </c>
      <c r="X3563">
        <v>0.99946939999999995</v>
      </c>
      <c r="Y3563">
        <v>-8.3876679999999995E-2</v>
      </c>
      <c r="Z3563">
        <v>1.299379E-3</v>
      </c>
      <c r="AA3563">
        <v>0.99647529999999995</v>
      </c>
      <c r="AB3563">
        <v>25</v>
      </c>
      <c r="AC3563">
        <v>-15.862799999999901</v>
      </c>
      <c r="AD3563">
        <v>-1.1037066717590001</v>
      </c>
      <c r="AE3563">
        <v>-2.3406000000000202</v>
      </c>
      <c r="AF3563">
        <v>-1.3602399580972</v>
      </c>
      <c r="AG3563">
        <v>-1.1037066717590001</v>
      </c>
      <c r="AH3563">
        <v>15.9008631487185</v>
      </c>
      <c r="AI3563">
        <v>93.956228210961399</v>
      </c>
      <c r="AJ3563">
        <v>94.889465917042003</v>
      </c>
      <c r="AK3563">
        <v>15.9970581681496</v>
      </c>
    </row>
    <row r="3564" spans="1:37" x14ac:dyDescent="0.2">
      <c r="A3564" t="str">
        <f>"20200111160229963"</f>
        <v>20200111160229963</v>
      </c>
      <c r="B3564" t="str">
        <f>"1578729749956167"</f>
        <v>1578729749956167</v>
      </c>
      <c r="C3564" t="s">
        <v>37</v>
      </c>
      <c r="D3564">
        <v>5.4330449999999999</v>
      </c>
      <c r="E3564">
        <v>0.45752199999999998</v>
      </c>
      <c r="F3564" t="s">
        <v>38</v>
      </c>
      <c r="G3564">
        <v>-243.7243</v>
      </c>
      <c r="H3564" s="1">
        <v>-3.5755879999999998E-6</v>
      </c>
      <c r="I3564">
        <v>134.53659999999999</v>
      </c>
      <c r="J3564">
        <v>-227.87989999999999</v>
      </c>
      <c r="K3564">
        <v>1.103702</v>
      </c>
      <c r="L3564">
        <v>136.87100000000001</v>
      </c>
      <c r="M3564">
        <v>-0.99808980000000003</v>
      </c>
      <c r="N3564">
        <v>0</v>
      </c>
      <c r="O3564">
        <v>-6.0723760000000002E-2</v>
      </c>
      <c r="P3564">
        <v>-0.99958189999999902</v>
      </c>
      <c r="Q3564">
        <v>-8.4148569999999995E-3</v>
      </c>
      <c r="R3564">
        <v>-2.7664580000000001E-2</v>
      </c>
      <c r="S3564">
        <v>-2.9870610000000002</v>
      </c>
      <c r="T3564">
        <v>-0.20489389999999999</v>
      </c>
      <c r="U3564">
        <v>-0.4360657</v>
      </c>
      <c r="V3564">
        <v>3.3090639999999998E-2</v>
      </c>
      <c r="W3564">
        <v>2.9266470000000001E-3</v>
      </c>
      <c r="X3564">
        <v>0.99944809999999995</v>
      </c>
      <c r="Y3564">
        <v>-8.4042720000000001E-2</v>
      </c>
      <c r="Z3564">
        <v>1.26844E-3</v>
      </c>
      <c r="AA3564">
        <v>0.99646129999999999</v>
      </c>
      <c r="AB3564">
        <v>25</v>
      </c>
      <c r="AC3564">
        <v>-15.8444</v>
      </c>
      <c r="AD3564">
        <v>-1.1037055755879901</v>
      </c>
      <c r="AE3564">
        <v>-2.3344000000000098</v>
      </c>
      <c r="AF3564">
        <v>-1.36143194299236</v>
      </c>
      <c r="AG3564">
        <v>-1.1037055755879901</v>
      </c>
      <c r="AH3564">
        <v>15.881494035384099</v>
      </c>
      <c r="AI3564">
        <v>93.960973754006105</v>
      </c>
      <c r="AJ3564">
        <v>94.899669149809895</v>
      </c>
      <c r="AK3564">
        <v>15.9779071135404</v>
      </c>
    </row>
    <row r="3565" spans="1:37" x14ac:dyDescent="0.2">
      <c r="A3565" t="str">
        <f>"20200111160229986"</f>
        <v>20200111160229986</v>
      </c>
      <c r="B3565" t="str">
        <f>"1578729749975686"</f>
        <v>1578729749975686</v>
      </c>
      <c r="C3565" t="s">
        <v>37</v>
      </c>
      <c r="D3565">
        <v>5.3252990000000002</v>
      </c>
      <c r="E3565">
        <v>0.45747779999999999</v>
      </c>
      <c r="F3565" t="s">
        <v>38</v>
      </c>
      <c r="G3565">
        <v>-243.97450000000001</v>
      </c>
      <c r="H3565" s="1">
        <v>-3.4683330000000002E-6</v>
      </c>
      <c r="I3565">
        <v>134.53630000000001</v>
      </c>
      <c r="J3565">
        <v>-228.12569999999999</v>
      </c>
      <c r="K3565">
        <v>1.1036999999999999</v>
      </c>
      <c r="L3565">
        <v>136.85650000000001</v>
      </c>
      <c r="M3565">
        <v>-0.99811459999999996</v>
      </c>
      <c r="N3565">
        <v>0</v>
      </c>
      <c r="O3565">
        <v>-6.0331620000000002E-2</v>
      </c>
      <c r="P3565">
        <v>-0.9996216</v>
      </c>
      <c r="Q3565">
        <v>-8.3165840000000001E-3</v>
      </c>
      <c r="R3565">
        <v>-2.6226409999999999E-2</v>
      </c>
      <c r="S3565">
        <v>-2.9875180000000001</v>
      </c>
      <c r="T3565">
        <v>-0.20487329999999901</v>
      </c>
      <c r="U3565">
        <v>-0.4333649</v>
      </c>
      <c r="V3565">
        <v>3.413617E-2</v>
      </c>
      <c r="W3565">
        <v>2.9390449999999999E-3</v>
      </c>
      <c r="X3565">
        <v>0.99941290000000005</v>
      </c>
      <c r="Y3565">
        <v>-8.3530579999999993E-2</v>
      </c>
      <c r="Z3565">
        <v>1.259048E-3</v>
      </c>
      <c r="AA3565">
        <v>0.99650439999999996</v>
      </c>
      <c r="AB3565">
        <v>25</v>
      </c>
      <c r="AC3565">
        <v>-15.848800000000001</v>
      </c>
      <c r="AD3565">
        <v>-1.10370346833299</v>
      </c>
      <c r="AE3565">
        <v>-2.3201999999999998</v>
      </c>
      <c r="AF3565">
        <v>-1.3533029295961601</v>
      </c>
      <c r="AG3565">
        <v>-1.10370346833299</v>
      </c>
      <c r="AH3565">
        <v>15.884498101733</v>
      </c>
      <c r="AI3565">
        <v>93.960396334988602</v>
      </c>
      <c r="AJ3565">
        <v>94.869638041149202</v>
      </c>
      <c r="AK3565">
        <v>15.980202442685901</v>
      </c>
    </row>
    <row r="3566" spans="1:37" x14ac:dyDescent="0.2">
      <c r="A3566" t="str">
        <f>"20200111160230008"</f>
        <v>20200111160230008</v>
      </c>
      <c r="B3566" t="str">
        <f>"1578729750005942"</f>
        <v>1578729750005942</v>
      </c>
      <c r="C3566" t="s">
        <v>37</v>
      </c>
      <c r="D3566">
        <v>6.4356429999999998</v>
      </c>
      <c r="E3566">
        <v>0.52273359999999902</v>
      </c>
      <c r="F3566" t="s">
        <v>38</v>
      </c>
      <c r="G3566">
        <v>-244.20429999999999</v>
      </c>
      <c r="H3566" s="1">
        <v>-3.3680549999999998E-6</v>
      </c>
      <c r="I3566">
        <v>134.54580000000001</v>
      </c>
      <c r="J3566">
        <v>-228.36750000000001</v>
      </c>
      <c r="K3566">
        <v>1.103704</v>
      </c>
      <c r="L3566">
        <v>136.84229999999999</v>
      </c>
      <c r="M3566">
        <v>-0.99813869999999905</v>
      </c>
      <c r="N3566">
        <v>0</v>
      </c>
      <c r="O3566">
        <v>-5.9946329999999999E-2</v>
      </c>
      <c r="P3566">
        <v>-0.99966460000000001</v>
      </c>
      <c r="Q3566">
        <v>-8.4003319999999999E-3</v>
      </c>
      <c r="R3566">
        <v>-2.450275E-2</v>
      </c>
      <c r="S3566">
        <v>-2.9881439999999899</v>
      </c>
      <c r="T3566">
        <v>-0.20511929999999901</v>
      </c>
      <c r="U3566">
        <v>-0.42942809999999998</v>
      </c>
      <c r="V3566">
        <v>3.5473209999999998E-2</v>
      </c>
      <c r="W3566">
        <v>2.7797820000000002E-3</v>
      </c>
      <c r="X3566">
        <v>0.9993668</v>
      </c>
      <c r="Y3566">
        <v>-8.2600709999999994E-2</v>
      </c>
      <c r="Z3566">
        <v>1.265974E-3</v>
      </c>
      <c r="AA3566">
        <v>0.99658189999999902</v>
      </c>
      <c r="AB3566">
        <v>25</v>
      </c>
      <c r="AC3566">
        <v>-15.836799999999901</v>
      </c>
      <c r="AD3566">
        <v>-1.103707368055</v>
      </c>
      <c r="AE3566">
        <v>-2.29649999999998</v>
      </c>
      <c r="AF3566">
        <v>-1.3365935993790801</v>
      </c>
      <c r="AG3566">
        <v>-1.103707368055</v>
      </c>
      <c r="AH3566">
        <v>15.870494608243099</v>
      </c>
      <c r="AI3566">
        <v>93.964218570700496</v>
      </c>
      <c r="AJ3566">
        <v>94.814020125881996</v>
      </c>
      <c r="AK3566">
        <v>15.964875555871799</v>
      </c>
    </row>
    <row r="3567" spans="1:37" x14ac:dyDescent="0.2">
      <c r="A3567" t="str">
        <f>"20200111160230032"</f>
        <v>20200111160230032</v>
      </c>
      <c r="B3567" t="str">
        <f>"1578729750025462"</f>
        <v>1578729750025462</v>
      </c>
      <c r="C3567" t="s">
        <v>37</v>
      </c>
      <c r="D3567">
        <v>5.2395889999999996</v>
      </c>
      <c r="E3567">
        <v>0.54058839999999997</v>
      </c>
      <c r="F3567" t="s">
        <v>43</v>
      </c>
      <c r="G3567">
        <v>0</v>
      </c>
      <c r="H3567">
        <v>0</v>
      </c>
      <c r="I3567">
        <v>0</v>
      </c>
      <c r="J3567">
        <v>-228.61869999999999</v>
      </c>
      <c r="K3567">
        <v>1.103702</v>
      </c>
      <c r="L3567">
        <v>136.82769999999999</v>
      </c>
      <c r="M3567">
        <v>-0.99816340000000003</v>
      </c>
      <c r="N3567">
        <v>0</v>
      </c>
      <c r="O3567">
        <v>-5.9546290000000002E-2</v>
      </c>
      <c r="P3567">
        <v>-0.999699</v>
      </c>
      <c r="Q3567">
        <v>-8.3896370000000001E-3</v>
      </c>
      <c r="R3567">
        <v>-2.3058559999999999E-2</v>
      </c>
      <c r="S3567">
        <v>-3.005096</v>
      </c>
      <c r="T3567">
        <v>0.14307020000000001</v>
      </c>
      <c r="U3567">
        <v>0.11853030000000001</v>
      </c>
      <c r="V3567">
        <v>3.651629E-2</v>
      </c>
      <c r="W3567">
        <v>2.7216079999999999E-3</v>
      </c>
      <c r="X3567">
        <v>0.99932929999999998</v>
      </c>
      <c r="Y3567">
        <v>9.8667260000000007E-2</v>
      </c>
      <c r="Z3567">
        <v>-5.1784909999999899E-3</v>
      </c>
      <c r="AA3567">
        <v>0.99510699999999996</v>
      </c>
      <c r="AB3567">
        <v>25</v>
      </c>
      <c r="AC3567">
        <v>-3.005096</v>
      </c>
      <c r="AD3567">
        <v>0.14307020000000001</v>
      </c>
      <c r="AE3567">
        <v>0.11853030000000001</v>
      </c>
      <c r="AF3567">
        <v>0.29660212193660301</v>
      </c>
      <c r="AG3567">
        <v>0.14307020000000001</v>
      </c>
      <c r="AH3567">
        <v>2.9859469137463202</v>
      </c>
      <c r="AI3567">
        <v>87.270212330727901</v>
      </c>
      <c r="AJ3567">
        <v>84.327265176864003</v>
      </c>
      <c r="AK3567">
        <v>3.00405074400825</v>
      </c>
    </row>
    <row r="3568" spans="1:37" x14ac:dyDescent="0.2">
      <c r="A3568" t="str">
        <f>"20200111160230053"</f>
        <v>20200111160230053</v>
      </c>
      <c r="B3568" t="str">
        <f>"1578729750045958"</f>
        <v>1578729750045958</v>
      </c>
      <c r="C3568" t="s">
        <v>37</v>
      </c>
      <c r="D3568">
        <v>5.1673410000000004</v>
      </c>
      <c r="E3568">
        <v>0.59425620000000001</v>
      </c>
      <c r="F3568" t="s">
        <v>79</v>
      </c>
      <c r="G3568">
        <v>-511.92899999999997</v>
      </c>
      <c r="H3568">
        <v>11.615539999999999</v>
      </c>
      <c r="I3568">
        <v>161.65530000000001</v>
      </c>
      <c r="J3568">
        <v>-228.8655</v>
      </c>
      <c r="K3568">
        <v>1.103718</v>
      </c>
      <c r="L3568">
        <v>136.8134</v>
      </c>
      <c r="M3568">
        <v>-0.99818739999999995</v>
      </c>
      <c r="N3568">
        <v>0</v>
      </c>
      <c r="O3568">
        <v>-5.9153450000000003E-2</v>
      </c>
      <c r="P3568">
        <v>-0.99973140000000005</v>
      </c>
      <c r="Q3568">
        <v>-8.9625460000000001E-3</v>
      </c>
      <c r="R3568">
        <v>-2.138669E-2</v>
      </c>
      <c r="S3568">
        <v>-3.0079189999999998</v>
      </c>
      <c r="T3568">
        <v>0.111605</v>
      </c>
      <c r="U3568">
        <v>0.26359559999999999</v>
      </c>
      <c r="V3568">
        <v>3.7793609999999998E-2</v>
      </c>
      <c r="W3568">
        <v>2.0898010000000001E-3</v>
      </c>
      <c r="X3568">
        <v>0.99928340000000004</v>
      </c>
      <c r="Y3568">
        <v>0.1459375</v>
      </c>
      <c r="Z3568">
        <v>-4.8917709999999996E-3</v>
      </c>
      <c r="AA3568">
        <v>0.98928169999999904</v>
      </c>
      <c r="AB3568">
        <v>25</v>
      </c>
      <c r="AC3568">
        <v>-283.06349999999998</v>
      </c>
      <c r="AD3568">
        <v>10.511822</v>
      </c>
      <c r="AE3568">
        <v>24.841899999999999</v>
      </c>
      <c r="AF3568">
        <v>41.486828478429302</v>
      </c>
      <c r="AG3568">
        <v>10.511822</v>
      </c>
      <c r="AH3568">
        <v>280.71402552025501</v>
      </c>
      <c r="AI3568">
        <v>87.878485007981595</v>
      </c>
      <c r="AJ3568">
        <v>81.5930911883856</v>
      </c>
      <c r="AK3568">
        <v>283.95777760565898</v>
      </c>
    </row>
    <row r="3569" spans="1:37" x14ac:dyDescent="0.2">
      <c r="A3569" t="str">
        <f>"20200111160230076"</f>
        <v>20200111160230076</v>
      </c>
      <c r="B3569" t="str">
        <f>"1578729750065479"</f>
        <v>1578729750065479</v>
      </c>
      <c r="C3569" t="s">
        <v>37</v>
      </c>
      <c r="D3569">
        <v>5.1651220000000002</v>
      </c>
      <c r="E3569">
        <v>0.59509000000000001</v>
      </c>
      <c r="F3569" t="s">
        <v>38</v>
      </c>
      <c r="G3569">
        <v>-242.68340000000001</v>
      </c>
      <c r="H3569" s="1">
        <v>-3.1994849999999998E-6</v>
      </c>
      <c r="I3569">
        <v>139.9109</v>
      </c>
      <c r="J3569">
        <v>-229.11099999999999</v>
      </c>
      <c r="K3569">
        <v>1.103718</v>
      </c>
      <c r="L3569">
        <v>136.79929999999999</v>
      </c>
      <c r="M3569">
        <v>-0.99821099999999996</v>
      </c>
      <c r="N3569">
        <v>0</v>
      </c>
      <c r="O3569">
        <v>-5.8763160000000002E-2</v>
      </c>
      <c r="P3569">
        <v>-0.99975569999999903</v>
      </c>
      <c r="Q3569">
        <v>-8.8400279999999998E-3</v>
      </c>
      <c r="R3569">
        <v>-2.0259820000000001E-2</v>
      </c>
      <c r="S3569">
        <v>-3.0130919999999999</v>
      </c>
      <c r="T3569">
        <v>-0.240674899999999</v>
      </c>
      <c r="U3569">
        <v>0.67543030000000004</v>
      </c>
      <c r="V3569">
        <v>3.8529019999999997E-2</v>
      </c>
      <c r="W3569">
        <v>2.1608500000000002E-3</v>
      </c>
      <c r="X3569">
        <v>0.99925509999999995</v>
      </c>
      <c r="Y3569">
        <v>0.27468789999999998</v>
      </c>
      <c r="Z3569">
        <v>1.545444E-2</v>
      </c>
      <c r="AA3569">
        <v>0.96140930000000002</v>
      </c>
      <c r="AB3569">
        <v>25</v>
      </c>
      <c r="AC3569">
        <v>-13.5724</v>
      </c>
      <c r="AD3569">
        <v>-1.103721199485</v>
      </c>
      <c r="AE3569">
        <v>3.1116000000000001</v>
      </c>
      <c r="AF3569">
        <v>3.8794538597075001</v>
      </c>
      <c r="AG3569">
        <v>-1.103721199485</v>
      </c>
      <c r="AH3569">
        <v>13.2826316542552</v>
      </c>
      <c r="AI3569">
        <v>94.560406662308196</v>
      </c>
      <c r="AJ3569">
        <v>73.718517431618693</v>
      </c>
      <c r="AK3569">
        <v>13.8815224812847</v>
      </c>
    </row>
    <row r="3570" spans="1:37" x14ac:dyDescent="0.2">
      <c r="A3570" t="str">
        <f>"20200111160230098"</f>
        <v>20200111160230098</v>
      </c>
      <c r="B3570" t="str">
        <f>"1578729750095734"</f>
        <v>1578729750095734</v>
      </c>
      <c r="C3570" t="s">
        <v>37</v>
      </c>
      <c r="D3570">
        <v>5.2041849999999998</v>
      </c>
      <c r="E3570">
        <v>0.59684179999999998</v>
      </c>
      <c r="F3570" t="s">
        <v>38</v>
      </c>
      <c r="G3570">
        <v>-243.6592</v>
      </c>
      <c r="H3570" s="1">
        <v>-2.8345530000000001E-6</v>
      </c>
      <c r="I3570">
        <v>140.11259999999999</v>
      </c>
      <c r="J3570">
        <v>-229.3552</v>
      </c>
      <c r="K3570">
        <v>1.10372</v>
      </c>
      <c r="L3570">
        <v>136.78540000000001</v>
      </c>
      <c r="M3570">
        <v>-0.99823430000000002</v>
      </c>
      <c r="N3570">
        <v>0</v>
      </c>
      <c r="O3570">
        <v>-5.8374570000000001E-2</v>
      </c>
      <c r="P3570">
        <v>-0.99977769999999999</v>
      </c>
      <c r="Q3570">
        <v>-8.8231100000000003E-3</v>
      </c>
      <c r="R3570">
        <v>-1.9151540000000002E-2</v>
      </c>
      <c r="S3570">
        <v>-3.0126040000000001</v>
      </c>
      <c r="T3570">
        <v>-0.22855529999999999</v>
      </c>
      <c r="U3570">
        <v>0.68611149999999999</v>
      </c>
      <c r="V3570">
        <v>3.9247709999999998E-2</v>
      </c>
      <c r="W3570">
        <v>2.1341469999999999E-3</v>
      </c>
      <c r="X3570">
        <v>0.99922719999999898</v>
      </c>
      <c r="Y3570">
        <v>0.27768150000000003</v>
      </c>
      <c r="Z3570">
        <v>1.475804E-2</v>
      </c>
      <c r="AA3570">
        <v>0.96055979999999996</v>
      </c>
      <c r="AB3570">
        <v>25</v>
      </c>
      <c r="AC3570">
        <v>-14.304</v>
      </c>
      <c r="AD3570">
        <v>-1.1037228345529999</v>
      </c>
      <c r="AE3570">
        <v>3.3271999999999702</v>
      </c>
      <c r="AF3570">
        <v>4.13322001596406</v>
      </c>
      <c r="AG3570">
        <v>-1.1037228345529999</v>
      </c>
      <c r="AH3570">
        <v>14.006257461356199</v>
      </c>
      <c r="AI3570">
        <v>94.322194636350105</v>
      </c>
      <c r="AJ3570">
        <v>73.558769988155902</v>
      </c>
      <c r="AK3570">
        <v>14.645031917673499</v>
      </c>
    </row>
    <row r="3571" spans="1:37" x14ac:dyDescent="0.2">
      <c r="A3571" t="str">
        <f>"20200111160230121"</f>
        <v>20200111160230121</v>
      </c>
      <c r="B3571" t="str">
        <f>"1578729750115255"</f>
        <v>1578729750115255</v>
      </c>
      <c r="C3571" t="s">
        <v>37</v>
      </c>
      <c r="D3571">
        <v>5.2525909999999998</v>
      </c>
      <c r="E3571">
        <v>0.58792599999999995</v>
      </c>
      <c r="F3571" t="s">
        <v>66</v>
      </c>
      <c r="G3571">
        <v>-458.45</v>
      </c>
      <c r="H3571">
        <v>21.057549999999999</v>
      </c>
      <c r="I3571">
        <v>192.57429999999999</v>
      </c>
      <c r="J3571">
        <v>-229.60429999999999</v>
      </c>
      <c r="K3571">
        <v>1.103715</v>
      </c>
      <c r="L3571">
        <v>136.7713</v>
      </c>
      <c r="M3571">
        <v>-0.99825779999999997</v>
      </c>
      <c r="N3571">
        <v>0</v>
      </c>
      <c r="O3571">
        <v>-5.7978139999999997E-2</v>
      </c>
      <c r="P3571">
        <v>-0.99980709999999995</v>
      </c>
      <c r="Q3571">
        <v>-8.1421299999999992E-3</v>
      </c>
      <c r="R3571">
        <v>-1.78745999999999E-2</v>
      </c>
      <c r="S3571">
        <v>-3.0170590000000002</v>
      </c>
      <c r="T3571">
        <v>0.26278210000000002</v>
      </c>
      <c r="U3571">
        <v>0.73471070000000005</v>
      </c>
      <c r="V3571">
        <v>4.0127749999999997E-2</v>
      </c>
      <c r="W3571">
        <v>2.7764439999999999E-3</v>
      </c>
      <c r="X3571">
        <v>0.99919069999999899</v>
      </c>
      <c r="Y3571">
        <v>0.29128899999999902</v>
      </c>
      <c r="Z3571">
        <v>-1.7455089999999999E-2</v>
      </c>
      <c r="AA3571">
        <v>0.95647590000000005</v>
      </c>
      <c r="AB3571">
        <v>25</v>
      </c>
      <c r="AC3571">
        <v>-228.84569999999999</v>
      </c>
      <c r="AD3571">
        <v>19.953835000000002</v>
      </c>
      <c r="AE3571">
        <v>55.802999999999997</v>
      </c>
      <c r="AF3571">
        <v>68.486504264232195</v>
      </c>
      <c r="AG3571">
        <v>19.953835000000002</v>
      </c>
      <c r="AH3571">
        <v>223.62045321933701</v>
      </c>
      <c r="AI3571">
        <v>85.123382177319002</v>
      </c>
      <c r="AJ3571">
        <v>72.972150716093793</v>
      </c>
      <c r="AK3571">
        <v>234.72252532631799</v>
      </c>
    </row>
    <row r="3572" spans="1:37" x14ac:dyDescent="0.2">
      <c r="A3572" t="str">
        <f>"20200111160230144"</f>
        <v>20200111160230144</v>
      </c>
      <c r="B3572" t="str">
        <f>"1578729750135750"</f>
        <v>1578729750135750</v>
      </c>
      <c r="C3572" t="s">
        <v>37</v>
      </c>
      <c r="D3572">
        <v>5.2306869999999996</v>
      </c>
      <c r="E3572">
        <v>0.58478730000000001</v>
      </c>
      <c r="F3572" t="s">
        <v>38</v>
      </c>
      <c r="G3572">
        <v>-244.5103</v>
      </c>
      <c r="H3572" s="1">
        <v>-2.41857E-6</v>
      </c>
      <c r="I3572">
        <v>139.92150000000001</v>
      </c>
      <c r="J3572">
        <v>-229.86189999999999</v>
      </c>
      <c r="K3572">
        <v>1.1037189999999999</v>
      </c>
      <c r="L3572">
        <v>136.7568</v>
      </c>
      <c r="M3572">
        <v>-0.9982818</v>
      </c>
      <c r="N3572">
        <v>0</v>
      </c>
      <c r="O3572">
        <v>-5.7568269999999998E-2</v>
      </c>
      <c r="P3572">
        <v>-0.99983949999999999</v>
      </c>
      <c r="Q3572">
        <v>-7.5838099999999999E-3</v>
      </c>
      <c r="R3572">
        <v>-1.623254E-2</v>
      </c>
      <c r="S3572">
        <v>-3.010132</v>
      </c>
      <c r="T3572">
        <v>-0.222885</v>
      </c>
      <c r="U3572">
        <v>0.636154199999999</v>
      </c>
      <c r="V3572">
        <v>4.1359159999999999E-2</v>
      </c>
      <c r="W3572">
        <v>3.3009630000000001E-3</v>
      </c>
      <c r="X3572">
        <v>0.99913890000000005</v>
      </c>
      <c r="Y3572">
        <v>0.26191540000000002</v>
      </c>
      <c r="Z3572">
        <v>1.379349E-2</v>
      </c>
      <c r="AA3572">
        <v>0.96499219999999897</v>
      </c>
      <c r="AB3572">
        <v>25</v>
      </c>
      <c r="AC3572">
        <v>-14.648400000000001</v>
      </c>
      <c r="AD3572">
        <v>-1.1037214185699999</v>
      </c>
      <c r="AE3572">
        <v>3.1647000000000101</v>
      </c>
      <c r="AF3572">
        <v>3.9811899930533898</v>
      </c>
      <c r="AG3572">
        <v>-1.1037214185699999</v>
      </c>
      <c r="AH3572">
        <v>14.3639950375947</v>
      </c>
      <c r="AI3572">
        <v>94.234902197770595</v>
      </c>
      <c r="AJ3572">
        <v>74.508513506113999</v>
      </c>
      <c r="AK3572">
        <v>14.9463182145519</v>
      </c>
    </row>
    <row r="3573" spans="1:37" x14ac:dyDescent="0.2">
      <c r="A3573" t="str">
        <f>"20200111160230165"</f>
        <v>20200111160230165</v>
      </c>
      <c r="B3573" t="str">
        <f>"1578729750156247"</f>
        <v>1578729750156247</v>
      </c>
      <c r="C3573" t="s">
        <v>37</v>
      </c>
      <c r="D3573">
        <v>5.2252140000000002</v>
      </c>
      <c r="E3573">
        <v>0.58461890000000005</v>
      </c>
      <c r="F3573" t="s">
        <v>38</v>
      </c>
      <c r="G3573">
        <v>-244.01439999999999</v>
      </c>
      <c r="H3573" s="1">
        <v>-2.5590750000000001E-6</v>
      </c>
      <c r="I3573">
        <v>139.6499</v>
      </c>
      <c r="J3573">
        <v>-230.0977</v>
      </c>
      <c r="K3573">
        <v>1.1037189999999999</v>
      </c>
      <c r="L3573">
        <v>136.74359999999999</v>
      </c>
      <c r="M3573">
        <v>-0.99830379999999996</v>
      </c>
      <c r="N3573">
        <v>0</v>
      </c>
      <c r="O3573">
        <v>-5.7193359999999999E-2</v>
      </c>
      <c r="P3573">
        <v>-0.99987230000000005</v>
      </c>
      <c r="Q3573">
        <v>-7.1458279999999999E-3</v>
      </c>
      <c r="R3573">
        <v>-1.4298719999999999E-2</v>
      </c>
      <c r="S3573">
        <v>-3.0087130000000002</v>
      </c>
      <c r="T3573">
        <v>-0.23464289999999999</v>
      </c>
      <c r="U3573">
        <v>0.61506649999999996</v>
      </c>
      <c r="V3573">
        <v>4.2916639999999999E-2</v>
      </c>
      <c r="W3573">
        <v>3.71104099999999E-3</v>
      </c>
      <c r="X3573">
        <v>0.99907179999999995</v>
      </c>
      <c r="Y3573">
        <v>0.25508339999999902</v>
      </c>
      <c r="Z3573">
        <v>1.4243499999999999E-2</v>
      </c>
      <c r="AA3573">
        <v>0.96681419999999996</v>
      </c>
      <c r="AB3573">
        <v>25</v>
      </c>
      <c r="AC3573">
        <v>-13.916699999999899</v>
      </c>
      <c r="AD3573">
        <v>-1.103721559075</v>
      </c>
      <c r="AE3573">
        <v>2.9063000000000101</v>
      </c>
      <c r="AF3573">
        <v>3.6753803142633199</v>
      </c>
      <c r="AG3573">
        <v>-1.103721559075</v>
      </c>
      <c r="AH3573">
        <v>13.645444166143299</v>
      </c>
      <c r="AI3573">
        <v>94.465861514730193</v>
      </c>
      <c r="AJ3573">
        <v>74.925220899984197</v>
      </c>
      <c r="AK3573">
        <v>14.1747934103385</v>
      </c>
    </row>
    <row r="3574" spans="1:37" x14ac:dyDescent="0.2">
      <c r="A3574" t="str">
        <f>"20200111160230188"</f>
        <v>20200111160230188</v>
      </c>
      <c r="B3574" t="str">
        <f>"1578729750185526"</f>
        <v>1578729750185526</v>
      </c>
      <c r="C3574" t="s">
        <v>37</v>
      </c>
      <c r="D3574">
        <v>5.2574730000000001</v>
      </c>
      <c r="E3574">
        <v>0.5852212</v>
      </c>
      <c r="F3574" t="s">
        <v>38</v>
      </c>
      <c r="G3574">
        <v>-244.24799999999999</v>
      </c>
      <c r="H3574" s="1">
        <v>-2.4607669999999999E-6</v>
      </c>
      <c r="I3574">
        <v>139.65710000000001</v>
      </c>
      <c r="J3574">
        <v>-230.35810000000001</v>
      </c>
      <c r="K3574">
        <v>1.1037189999999999</v>
      </c>
      <c r="L3574">
        <v>136.72919999999999</v>
      </c>
      <c r="M3574">
        <v>-0.99832770000000004</v>
      </c>
      <c r="N3574">
        <v>0</v>
      </c>
      <c r="O3574">
        <v>-5.6779349999999999E-2</v>
      </c>
      <c r="P3574">
        <v>-0.99988899999999903</v>
      </c>
      <c r="Q3574">
        <v>-7.5477529999999999E-3</v>
      </c>
      <c r="R3574">
        <v>-1.285124E-2</v>
      </c>
      <c r="S3574">
        <v>-3.007568</v>
      </c>
      <c r="T3574">
        <v>-0.23458969999999901</v>
      </c>
      <c r="U3574">
        <v>0.6192474</v>
      </c>
      <c r="V3574">
        <v>4.394808E-2</v>
      </c>
      <c r="W3574">
        <v>3.2837980000000001E-3</v>
      </c>
      <c r="X3574">
        <v>0.99902839999999904</v>
      </c>
      <c r="Y3574">
        <v>0.25604270000000001</v>
      </c>
      <c r="Z3574">
        <v>1.424866E-2</v>
      </c>
      <c r="AA3574">
        <v>0.96656049999999905</v>
      </c>
      <c r="AB3574">
        <v>25</v>
      </c>
      <c r="AC3574">
        <v>-13.8898999999999</v>
      </c>
      <c r="AD3574">
        <v>-1.1037214607670001</v>
      </c>
      <c r="AE3574">
        <v>2.9279000000000202</v>
      </c>
      <c r="AF3574">
        <v>3.6895762830162102</v>
      </c>
      <c r="AG3574">
        <v>-1.1037214607670001</v>
      </c>
      <c r="AH3574">
        <v>13.6189009348192</v>
      </c>
      <c r="AI3574">
        <v>94.4727716629166</v>
      </c>
      <c r="AJ3574">
        <v>74.841526649315497</v>
      </c>
      <c r="AK3574">
        <v>14.1529373941798</v>
      </c>
    </row>
    <row r="3575" spans="1:37" x14ac:dyDescent="0.2">
      <c r="A3575" t="str">
        <f>"20200111160230208"</f>
        <v>20200111160230208</v>
      </c>
      <c r="B3575" t="str">
        <f>"1578729750206023"</f>
        <v>1578729750206023</v>
      </c>
      <c r="C3575" t="s">
        <v>37</v>
      </c>
      <c r="D3575">
        <v>7.6989919999999996</v>
      </c>
      <c r="E3575">
        <v>0.58568229999999999</v>
      </c>
      <c r="F3575" t="s">
        <v>38</v>
      </c>
      <c r="G3575">
        <v>-244.11519999999999</v>
      </c>
      <c r="H3575" s="1">
        <v>-2.5094929999999999E-6</v>
      </c>
      <c r="I3575">
        <v>139.60149999999999</v>
      </c>
      <c r="J3575">
        <v>-230.59020000000001</v>
      </c>
      <c r="K3575">
        <v>1.103712</v>
      </c>
      <c r="L3575">
        <v>136.71639999999999</v>
      </c>
      <c r="M3575">
        <v>-0.99834869999999898</v>
      </c>
      <c r="N3575">
        <v>0</v>
      </c>
      <c r="O3575">
        <v>-5.6409979999999998E-2</v>
      </c>
      <c r="P3575">
        <v>-0.99989309999999998</v>
      </c>
      <c r="Q3575">
        <v>-8.2415700000000001E-3</v>
      </c>
      <c r="R3575">
        <v>-1.2077030000000001E-2</v>
      </c>
      <c r="S3575">
        <v>-3.0065770000000001</v>
      </c>
      <c r="T3575">
        <v>-0.24121519999999999</v>
      </c>
      <c r="U3575">
        <v>0.62774659999999904</v>
      </c>
      <c r="V3575">
        <v>4.4351189999999999E-2</v>
      </c>
      <c r="W3575">
        <v>2.574743E-3</v>
      </c>
      <c r="X3575">
        <v>0.99901269999999998</v>
      </c>
      <c r="Y3575">
        <v>0.25830900000000001</v>
      </c>
      <c r="Z3575">
        <v>1.471099E-2</v>
      </c>
      <c r="AA3575">
        <v>0.96595039999999999</v>
      </c>
      <c r="AB3575">
        <v>25</v>
      </c>
      <c r="AC3575">
        <v>-13.524999999999901</v>
      </c>
      <c r="AD3575">
        <v>-1.1037145094930001</v>
      </c>
      <c r="AE3575">
        <v>2.8850999999999898</v>
      </c>
      <c r="AF3575">
        <v>3.6204346149650801</v>
      </c>
      <c r="AG3575">
        <v>-1.1037145094930001</v>
      </c>
      <c r="AH3575">
        <v>13.2562660945121</v>
      </c>
      <c r="AI3575">
        <v>94.592038804461694</v>
      </c>
      <c r="AJ3575">
        <v>74.724409283734701</v>
      </c>
      <c r="AK3575">
        <v>13.7860191240334</v>
      </c>
    </row>
    <row r="3576" spans="1:37" x14ac:dyDescent="0.2">
      <c r="A3576" t="str">
        <f>"20200111160230233"</f>
        <v>20200111160230233</v>
      </c>
      <c r="B3576" t="str">
        <f>"1578729750225542"</f>
        <v>1578729750225542</v>
      </c>
      <c r="C3576" t="s">
        <v>37</v>
      </c>
      <c r="D3576">
        <v>5.268573</v>
      </c>
      <c r="E3576">
        <v>0.58616820000000003</v>
      </c>
      <c r="F3576" t="s">
        <v>38</v>
      </c>
      <c r="G3576">
        <v>-244.1052</v>
      </c>
      <c r="H3576" s="1">
        <v>-2.520492E-6</v>
      </c>
      <c r="I3576">
        <v>139.56360000000001</v>
      </c>
      <c r="J3576">
        <v>-230.85230000000001</v>
      </c>
      <c r="K3576">
        <v>1.1037139999999901</v>
      </c>
      <c r="L3576">
        <v>136.7021</v>
      </c>
      <c r="M3576">
        <v>-0.99837219999999904</v>
      </c>
      <c r="N3576">
        <v>0</v>
      </c>
      <c r="O3576">
        <v>-5.5993090000000002E-2</v>
      </c>
      <c r="P3576">
        <v>-0.99989089999999903</v>
      </c>
      <c r="Q3576">
        <v>-8.8765119999999996E-3</v>
      </c>
      <c r="R3576">
        <v>-1.1816419999999999E-2</v>
      </c>
      <c r="S3576">
        <v>-3.0059659999999999</v>
      </c>
      <c r="T3576">
        <v>-0.2454855</v>
      </c>
      <c r="U3576">
        <v>0.63328549999999995</v>
      </c>
      <c r="V3576">
        <v>4.4193929999999999E-2</v>
      </c>
      <c r="W3576">
        <v>1.936737E-3</v>
      </c>
      <c r="X3576">
        <v>0.999021099999999</v>
      </c>
      <c r="Y3576">
        <v>0.25961210000000001</v>
      </c>
      <c r="Z3576">
        <v>1.49897E-2</v>
      </c>
      <c r="AA3576">
        <v>0.96559669999999898</v>
      </c>
      <c r="AB3576">
        <v>25</v>
      </c>
      <c r="AC3576">
        <v>-13.252899999999901</v>
      </c>
      <c r="AD3576">
        <v>-1.1037165204920001</v>
      </c>
      <c r="AE3576">
        <v>2.8614999999999999</v>
      </c>
      <c r="AF3576">
        <v>3.5754310293549101</v>
      </c>
      <c r="AG3576">
        <v>-1.1037165204920001</v>
      </c>
      <c r="AH3576">
        <v>12.9858176183062</v>
      </c>
      <c r="AI3576">
        <v>94.684617228599393</v>
      </c>
      <c r="AJ3576">
        <v>74.605983879846505</v>
      </c>
      <c r="AK3576">
        <v>13.514190927288</v>
      </c>
    </row>
    <row r="3577" spans="1:37" x14ac:dyDescent="0.2">
      <c r="A3577" t="str">
        <f>"20200111160230254"</f>
        <v>20200111160230254</v>
      </c>
      <c r="B3577" t="str">
        <f>"1578729750246039"</f>
        <v>1578729750246039</v>
      </c>
      <c r="C3577" t="s">
        <v>37</v>
      </c>
      <c r="D3577">
        <v>5.2120879999999996</v>
      </c>
      <c r="E3577">
        <v>0.58638429999999997</v>
      </c>
      <c r="F3577" t="s">
        <v>38</v>
      </c>
      <c r="G3577">
        <v>-244.20189999999999</v>
      </c>
      <c r="H3577" s="1">
        <v>-2.484068E-6</v>
      </c>
      <c r="I3577">
        <v>139.5351</v>
      </c>
      <c r="J3577">
        <v>-231.0992</v>
      </c>
      <c r="K3577">
        <v>1.1037110000000001</v>
      </c>
      <c r="L3577">
        <v>136.68870000000001</v>
      </c>
      <c r="M3577">
        <v>-0.99839409999999895</v>
      </c>
      <c r="N3577">
        <v>0</v>
      </c>
      <c r="O3577">
        <v>-5.5600799999999999E-2</v>
      </c>
      <c r="P3577">
        <v>-0.99987569999999903</v>
      </c>
      <c r="Q3577">
        <v>-9.4564450000000008E-3</v>
      </c>
      <c r="R3577">
        <v>-1.261701E-2</v>
      </c>
      <c r="S3577">
        <v>-3.0056609999999999</v>
      </c>
      <c r="T3577">
        <v>-0.24850249999999999</v>
      </c>
      <c r="U3577">
        <v>0.63787839999999996</v>
      </c>
      <c r="V3577">
        <v>4.3000620000000003E-2</v>
      </c>
      <c r="W3577">
        <v>1.364056E-3</v>
      </c>
      <c r="X3577">
        <v>0.99907409999999996</v>
      </c>
      <c r="Y3577">
        <v>0.26063789999999998</v>
      </c>
      <c r="Z3577">
        <v>1.51822999999999E-2</v>
      </c>
      <c r="AA3577">
        <v>0.96531719999999899</v>
      </c>
      <c r="AB3577">
        <v>25</v>
      </c>
      <c r="AC3577">
        <v>-13.1027</v>
      </c>
      <c r="AD3577">
        <v>-1.1037134840680001</v>
      </c>
      <c r="AE3577">
        <v>2.8463999999999801</v>
      </c>
      <c r="AF3577">
        <v>3.5465290312785398</v>
      </c>
      <c r="AG3577">
        <v>-1.1037134840680001</v>
      </c>
      <c r="AH3577">
        <v>12.8371743802468</v>
      </c>
      <c r="AI3577">
        <v>94.737470081119199</v>
      </c>
      <c r="AJ3577">
        <v>74.556109223187093</v>
      </c>
      <c r="AK3577">
        <v>13.3637231972785</v>
      </c>
    </row>
    <row r="3578" spans="1:37" x14ac:dyDescent="0.2">
      <c r="A3578" t="str">
        <f>"20200111160230277"</f>
        <v>20200111160230277</v>
      </c>
      <c r="B3578" t="str">
        <f>"1578729750265558"</f>
        <v>1578729750265558</v>
      </c>
      <c r="C3578" t="s">
        <v>37</v>
      </c>
      <c r="D3578">
        <v>5.2015900000000004</v>
      </c>
      <c r="E3578">
        <v>0.58670389999999994</v>
      </c>
      <c r="F3578" t="s">
        <v>38</v>
      </c>
      <c r="G3578">
        <v>-244.33269999999999</v>
      </c>
      <c r="H3578" s="1">
        <v>-2.4353039999999999E-6</v>
      </c>
      <c r="I3578">
        <v>139.49369999999999</v>
      </c>
      <c r="J3578">
        <v>-231.3443</v>
      </c>
      <c r="K3578">
        <v>1.103712</v>
      </c>
      <c r="L3578">
        <v>136.6755</v>
      </c>
      <c r="M3578">
        <v>-0.99841559999999996</v>
      </c>
      <c r="N3578">
        <v>0</v>
      </c>
      <c r="O3578">
        <v>-5.521152E-2</v>
      </c>
      <c r="P3578">
        <v>-0.99985360000000001</v>
      </c>
      <c r="Q3578">
        <v>-9.7754499999999998E-3</v>
      </c>
      <c r="R3578">
        <v>-1.4052439999999999E-2</v>
      </c>
      <c r="S3578">
        <v>-3.0060579999999999</v>
      </c>
      <c r="T3578">
        <v>-0.25071529999999997</v>
      </c>
      <c r="U3578">
        <v>0.63719179999999997</v>
      </c>
      <c r="V3578">
        <v>4.1176409999999997E-2</v>
      </c>
      <c r="W3578">
        <v>1.057926E-3</v>
      </c>
      <c r="X3578">
        <v>0.99915129999999996</v>
      </c>
      <c r="Y3578">
        <v>0.26000980000000001</v>
      </c>
      <c r="Z3578">
        <v>1.5257440000000001E-2</v>
      </c>
      <c r="AA3578">
        <v>0.9654855</v>
      </c>
      <c r="AB3578">
        <v>25</v>
      </c>
      <c r="AC3578">
        <v>-12.988399999999899</v>
      </c>
      <c r="AD3578">
        <v>-1.103714435304</v>
      </c>
      <c r="AE3578">
        <v>2.8181999999999898</v>
      </c>
      <c r="AF3578">
        <v>3.5068676861235999</v>
      </c>
      <c r="AG3578">
        <v>-1.103714435304</v>
      </c>
      <c r="AH3578">
        <v>12.7252216970926</v>
      </c>
      <c r="AI3578">
        <v>94.779797844407597</v>
      </c>
      <c r="AJ3578">
        <v>74.592644424171397</v>
      </c>
      <c r="AK3578">
        <v>13.245662450886799</v>
      </c>
    </row>
    <row r="3579" spans="1:37" x14ac:dyDescent="0.2">
      <c r="A3579" t="str">
        <f>"20200111160230298"</f>
        <v>20200111160230298</v>
      </c>
      <c r="B3579" t="str">
        <f>"1578729750295816"</f>
        <v>1578729750295816</v>
      </c>
      <c r="C3579" t="s">
        <v>37</v>
      </c>
      <c r="D3579">
        <v>5.2040110000000004</v>
      </c>
      <c r="E3579">
        <v>0.58701910000000002</v>
      </c>
      <c r="F3579" t="s">
        <v>38</v>
      </c>
      <c r="G3579">
        <v>-244.55029999999999</v>
      </c>
      <c r="H3579" s="1">
        <v>-2.3467139999999999E-6</v>
      </c>
      <c r="I3579">
        <v>139.46680000000001</v>
      </c>
      <c r="J3579">
        <v>-231.58670000000001</v>
      </c>
      <c r="K3579">
        <v>1.10371</v>
      </c>
      <c r="L3579">
        <v>136.66249999999999</v>
      </c>
      <c r="M3579">
        <v>-0.99843660000000001</v>
      </c>
      <c r="N3579">
        <v>0</v>
      </c>
      <c r="O3579">
        <v>-5.4826050000000001E-2</v>
      </c>
      <c r="P3579">
        <v>-0.99982519999999997</v>
      </c>
      <c r="Q3579">
        <v>-1.0261259999999999E-2</v>
      </c>
      <c r="R3579">
        <v>-1.563442E-2</v>
      </c>
      <c r="S3579">
        <v>-3.0069270000000001</v>
      </c>
      <c r="T3579">
        <v>-0.25130970000000002</v>
      </c>
      <c r="U3579">
        <v>0.63558959999999998</v>
      </c>
      <c r="V3579">
        <v>3.9209189999999998E-2</v>
      </c>
      <c r="W3579">
        <v>5.8585790000000005E-4</v>
      </c>
      <c r="X3579">
        <v>0.99923090000000003</v>
      </c>
      <c r="Y3579">
        <v>0.25908789999999998</v>
      </c>
      <c r="Z3579">
        <v>1.522008E-2</v>
      </c>
      <c r="AA3579">
        <v>0.96573379999999998</v>
      </c>
      <c r="AB3579">
        <v>25</v>
      </c>
      <c r="AC3579">
        <v>-12.9635999999999</v>
      </c>
      <c r="AD3579">
        <v>-1.103712346714</v>
      </c>
      <c r="AE3579">
        <v>2.8043000000000098</v>
      </c>
      <c r="AF3579">
        <v>3.4867222974532202</v>
      </c>
      <c r="AG3579">
        <v>-1.103712346714</v>
      </c>
      <c r="AH3579">
        <v>12.702381825218101</v>
      </c>
      <c r="AI3579">
        <v>94.789672405754402</v>
      </c>
      <c r="AJ3579">
        <v>74.650727784400701</v>
      </c>
      <c r="AK3579">
        <v>13.218393145820601</v>
      </c>
    </row>
    <row r="3580" spans="1:37" x14ac:dyDescent="0.2">
      <c r="A3580" t="str">
        <f>"20200111160230322"</f>
        <v>20200111160230322</v>
      </c>
      <c r="B3580" t="str">
        <f>"1578729750315334"</f>
        <v>1578729750315334</v>
      </c>
      <c r="C3580" t="s">
        <v>37</v>
      </c>
      <c r="D3580">
        <v>5.213679</v>
      </c>
      <c r="E3580">
        <v>0.5872754</v>
      </c>
      <c r="F3580" t="s">
        <v>38</v>
      </c>
      <c r="G3580">
        <v>-244.8117</v>
      </c>
      <c r="H3580" s="1">
        <v>-2.2377519999999999E-6</v>
      </c>
      <c r="I3580">
        <v>139.44899999999899</v>
      </c>
      <c r="J3580">
        <v>-231.84299999999999</v>
      </c>
      <c r="K3580">
        <v>1.1037110000000001</v>
      </c>
      <c r="L3580">
        <v>136.6489</v>
      </c>
      <c r="M3580">
        <v>-0.99845890000000004</v>
      </c>
      <c r="N3580">
        <v>0</v>
      </c>
      <c r="O3580">
        <v>-5.4416150000000003E-2</v>
      </c>
      <c r="P3580">
        <v>-0.99981529999999996</v>
      </c>
      <c r="Q3580">
        <v>-1.090004E-2</v>
      </c>
      <c r="R3580">
        <v>-1.5832659999999998E-2</v>
      </c>
      <c r="S3580">
        <v>-3.0078580000000001</v>
      </c>
      <c r="T3580">
        <v>-0.251027</v>
      </c>
      <c r="U3580">
        <v>0.63377380000000005</v>
      </c>
      <c r="V3580">
        <v>3.860007E-2</v>
      </c>
      <c r="W3580" s="1">
        <v>-3.8892259999999998E-5</v>
      </c>
      <c r="X3580">
        <v>0.9992548</v>
      </c>
      <c r="Y3580">
        <v>0.25808039999999999</v>
      </c>
      <c r="Z3580">
        <v>1.512399E-2</v>
      </c>
      <c r="AA3580">
        <v>0.96600509999999995</v>
      </c>
      <c r="AB3580">
        <v>25</v>
      </c>
      <c r="AC3580">
        <v>-12.9687</v>
      </c>
      <c r="AD3580">
        <v>-1.103713237752</v>
      </c>
      <c r="AE3580">
        <v>2.80009999999998</v>
      </c>
      <c r="AF3580">
        <v>3.4776327156372102</v>
      </c>
      <c r="AG3580">
        <v>-1.103713237752</v>
      </c>
      <c r="AH3580">
        <v>12.709150410644201</v>
      </c>
      <c r="AI3580">
        <v>94.788183642784404</v>
      </c>
      <c r="AJ3580">
        <v>74.696633689756496</v>
      </c>
      <c r="AK3580">
        <v>13.222504164357</v>
      </c>
    </row>
    <row r="3581" spans="1:37" x14ac:dyDescent="0.2">
      <c r="A3581" t="str">
        <f>"20200111160230344"</f>
        <v>20200111160230344</v>
      </c>
      <c r="B3581" t="str">
        <f>"1578729750335830"</f>
        <v>1578729750335830</v>
      </c>
      <c r="C3581" t="s">
        <v>37</v>
      </c>
      <c r="D3581">
        <v>5.3473519999999999</v>
      </c>
      <c r="E3581">
        <v>0.58735680000000001</v>
      </c>
      <c r="F3581" t="s">
        <v>38</v>
      </c>
      <c r="G3581">
        <v>-245.00620000000001</v>
      </c>
      <c r="H3581" s="1">
        <v>-2.1577699999999999E-6</v>
      </c>
      <c r="I3581">
        <v>139.42949999999999</v>
      </c>
      <c r="J3581">
        <v>-232.0949</v>
      </c>
      <c r="K3581">
        <v>1.1037090000000001</v>
      </c>
      <c r="L3581">
        <v>136.63560000000001</v>
      </c>
      <c r="M3581">
        <v>-0.9984809</v>
      </c>
      <c r="N3581">
        <v>0</v>
      </c>
      <c r="O3581">
        <v>-5.4010889999999999E-2</v>
      </c>
      <c r="P3581">
        <v>-0.9998283</v>
      </c>
      <c r="Q3581">
        <v>-1.1124749999999999E-2</v>
      </c>
      <c r="R3581">
        <v>-1.483041E-2</v>
      </c>
      <c r="S3581">
        <v>-3.0078580000000001</v>
      </c>
      <c r="T3581">
        <v>-0.25220500000000001</v>
      </c>
      <c r="U3581">
        <v>0.63540649999999999</v>
      </c>
      <c r="V3581">
        <v>3.9195769999999998E-2</v>
      </c>
      <c r="W3581">
        <v>-2.5115709999999999E-4</v>
      </c>
      <c r="X3581">
        <v>0.99923150000000005</v>
      </c>
      <c r="Y3581">
        <v>0.25818170000000001</v>
      </c>
      <c r="Z3581">
        <v>1.5164479999999999E-2</v>
      </c>
      <c r="AA3581">
        <v>0.96597739999999999</v>
      </c>
      <c r="AB3581">
        <v>25</v>
      </c>
      <c r="AC3581">
        <v>-12.911300000000001</v>
      </c>
      <c r="AD3581">
        <v>-1.1037111577700001</v>
      </c>
      <c r="AE3581">
        <v>2.7938999999999701</v>
      </c>
      <c r="AF3581">
        <v>3.4630392815589799</v>
      </c>
      <c r="AG3581">
        <v>-1.1037111577700001</v>
      </c>
      <c r="AH3581">
        <v>12.653213934805899</v>
      </c>
      <c r="AI3581">
        <v>94.809174206039401</v>
      </c>
      <c r="AJ3581">
        <v>74.693631795532298</v>
      </c>
      <c r="AK3581">
        <v>13.164901908687799</v>
      </c>
    </row>
    <row r="3582" spans="1:37" x14ac:dyDescent="0.2">
      <c r="A3582" t="str">
        <f>"20200111160230365"</f>
        <v>20200111160230365</v>
      </c>
      <c r="B3582" t="str">
        <f>"1578729750355351"</f>
        <v>1578729750355351</v>
      </c>
      <c r="C3582" t="s">
        <v>37</v>
      </c>
      <c r="D3582">
        <v>5.1472369999999996</v>
      </c>
      <c r="E3582">
        <v>0.5877057</v>
      </c>
      <c r="F3582" t="s">
        <v>38</v>
      </c>
      <c r="G3582">
        <v>-245.35050000000001</v>
      </c>
      <c r="H3582" s="1">
        <v>-2.0057280000000001E-6</v>
      </c>
      <c r="I3582">
        <v>139.4538</v>
      </c>
      <c r="J3582">
        <v>-232.33580000000001</v>
      </c>
      <c r="K3582">
        <v>1.103704</v>
      </c>
      <c r="L3582">
        <v>136.62299999999999</v>
      </c>
      <c r="M3582">
        <v>-0.99850169999999905</v>
      </c>
      <c r="N3582">
        <v>0</v>
      </c>
      <c r="O3582">
        <v>-5.3621009999999997E-2</v>
      </c>
      <c r="P3582">
        <v>-0.99984969999999995</v>
      </c>
      <c r="Q3582">
        <v>-1.120467E-2</v>
      </c>
      <c r="R3582">
        <v>-1.323154E-2</v>
      </c>
      <c r="S3582">
        <v>-3.0072169999999998</v>
      </c>
      <c r="T3582">
        <v>-0.2503919</v>
      </c>
      <c r="U3582">
        <v>0.63935850000000005</v>
      </c>
      <c r="V3582">
        <v>4.0403519999999998E-2</v>
      </c>
      <c r="W3582">
        <v>-3.2041250000000002E-4</v>
      </c>
      <c r="X3582">
        <v>0.99918340000000005</v>
      </c>
      <c r="Y3582">
        <v>0.25907429999999998</v>
      </c>
      <c r="Z3582">
        <v>1.506156E-2</v>
      </c>
      <c r="AA3582">
        <v>0.96573999999999904</v>
      </c>
      <c r="AB3582">
        <v>25</v>
      </c>
      <c r="AC3582">
        <v>-13.014699999999999</v>
      </c>
      <c r="AD3582">
        <v>-1.1037060057279999</v>
      </c>
      <c r="AE3582">
        <v>2.8308</v>
      </c>
      <c r="AF3582">
        <v>3.5005915850740399</v>
      </c>
      <c r="AG3582">
        <v>-1.1037060057279999</v>
      </c>
      <c r="AH3582">
        <v>12.7565762186053</v>
      </c>
      <c r="AI3582">
        <v>94.769486619886294</v>
      </c>
      <c r="AJ3582">
        <v>74.654932724775904</v>
      </c>
      <c r="AK3582">
        <v>13.2741306763817</v>
      </c>
    </row>
    <row r="3583" spans="1:37" x14ac:dyDescent="0.2">
      <c r="A3583" t="str">
        <f>"20200111160230388"</f>
        <v>20200111160230388</v>
      </c>
      <c r="B3583" t="str">
        <f>"1578729750385606"</f>
        <v>1578729750385606</v>
      </c>
      <c r="C3583" t="s">
        <v>37</v>
      </c>
      <c r="D3583">
        <v>4.9000719999999998</v>
      </c>
      <c r="E3583">
        <v>0.61149350000000002</v>
      </c>
      <c r="F3583" t="s">
        <v>38</v>
      </c>
      <c r="G3583">
        <v>-245.65549999999999</v>
      </c>
      <c r="H3583" s="1">
        <v>-1.868462E-6</v>
      </c>
      <c r="I3583">
        <v>139.49</v>
      </c>
      <c r="J3583">
        <v>-232.59190000000001</v>
      </c>
      <c r="K3583">
        <v>1.1036979999999901</v>
      </c>
      <c r="L3583">
        <v>136.60980000000001</v>
      </c>
      <c r="M3583">
        <v>-0.99852389999999902</v>
      </c>
      <c r="N3583">
        <v>0</v>
      </c>
      <c r="O3583">
        <v>-5.3205620000000002E-2</v>
      </c>
      <c r="P3583">
        <v>-0.99986359999999996</v>
      </c>
      <c r="Q3583">
        <v>-1.164838E-2</v>
      </c>
      <c r="R3583">
        <v>-1.173509E-2</v>
      </c>
      <c r="S3583">
        <v>-3.0062259999999998</v>
      </c>
      <c r="T3583">
        <v>-0.249104399999999</v>
      </c>
      <c r="U3583">
        <v>0.64707950000000003</v>
      </c>
      <c r="V3583">
        <v>4.1482650000000003E-2</v>
      </c>
      <c r="W3583">
        <v>-7.5334600000000001E-4</v>
      </c>
      <c r="X3583">
        <v>0.999138999999999</v>
      </c>
      <c r="Y3583">
        <v>0.26111390000000001</v>
      </c>
      <c r="Z3583">
        <v>1.503467E-2</v>
      </c>
      <c r="AA3583">
        <v>0.96519089999999996</v>
      </c>
      <c r="AB3583">
        <v>25</v>
      </c>
      <c r="AC3583">
        <v>-13.0635999999999</v>
      </c>
      <c r="AD3583">
        <v>-1.1036998684620001</v>
      </c>
      <c r="AE3583">
        <v>2.8801999999999999</v>
      </c>
      <c r="AF3583">
        <v>3.5470729928180602</v>
      </c>
      <c r="AG3583">
        <v>-1.1036998684620001</v>
      </c>
      <c r="AH3583">
        <v>12.804679449616501</v>
      </c>
      <c r="AI3583">
        <v>94.748476004651906</v>
      </c>
      <c r="AJ3583">
        <v>74.516533790658002</v>
      </c>
      <c r="AK3583">
        <v>13.3326552503038</v>
      </c>
    </row>
    <row r="3584" spans="1:37" x14ac:dyDescent="0.2">
      <c r="A3584" t="str">
        <f>"20200111160230411"</f>
        <v>20200111160230411</v>
      </c>
      <c r="B3584" t="str">
        <f>"1578729750406103"</f>
        <v>1578729750406103</v>
      </c>
      <c r="C3584" t="s">
        <v>37</v>
      </c>
      <c r="D3584">
        <v>4.8646449999999897</v>
      </c>
      <c r="E3584">
        <v>0.61629500000000004</v>
      </c>
      <c r="F3584" t="s">
        <v>38</v>
      </c>
      <c r="G3584">
        <v>-250.1643</v>
      </c>
      <c r="H3584" s="1">
        <v>-4.5630859999999996E-6</v>
      </c>
      <c r="I3584">
        <v>141.5498</v>
      </c>
      <c r="J3584">
        <v>-232.84569999999999</v>
      </c>
      <c r="K3584">
        <v>1.1036919999999999</v>
      </c>
      <c r="L3584">
        <v>136.5967</v>
      </c>
      <c r="M3584">
        <v>-0.99854549999999997</v>
      </c>
      <c r="N3584">
        <v>0</v>
      </c>
      <c r="O3584">
        <v>-5.2792369999999998E-2</v>
      </c>
      <c r="P3584">
        <v>-0.9998705</v>
      </c>
      <c r="Q3584">
        <v>-1.190796E-2</v>
      </c>
      <c r="R3584">
        <v>-1.0835930000000001E-2</v>
      </c>
      <c r="S3584">
        <v>-3.0081479999999998</v>
      </c>
      <c r="T3584">
        <v>-0.18893850000000001</v>
      </c>
      <c r="U3584">
        <v>0.8456726</v>
      </c>
      <c r="V3584">
        <v>4.196739E-2</v>
      </c>
      <c r="W3584">
        <v>-1.002574E-3</v>
      </c>
      <c r="X3584">
        <v>0.99911849999999902</v>
      </c>
      <c r="Y3584">
        <v>0.32039990000000002</v>
      </c>
      <c r="Z3584">
        <v>1.3116239999999999E-2</v>
      </c>
      <c r="AA3584">
        <v>0.94719149999999996</v>
      </c>
      <c r="AB3584">
        <v>25</v>
      </c>
      <c r="AC3584">
        <v>-17.3186</v>
      </c>
      <c r="AD3584">
        <v>-1.1036965630859901</v>
      </c>
      <c r="AE3584">
        <v>4.9531000000000001</v>
      </c>
      <c r="AF3584">
        <v>5.8386169525085396</v>
      </c>
      <c r="AG3584">
        <v>-1.1036965630859901</v>
      </c>
      <c r="AH3584">
        <v>16.969237370530699</v>
      </c>
      <c r="AI3584">
        <v>93.519392625692404</v>
      </c>
      <c r="AJ3584">
        <v>71.0131621342057</v>
      </c>
      <c r="AK3584">
        <v>17.979505303508901</v>
      </c>
    </row>
    <row r="3585" spans="1:37" x14ac:dyDescent="0.2">
      <c r="A3585" t="str">
        <f>"20200111160230434"</f>
        <v>20200111160230434</v>
      </c>
      <c r="B3585" t="str">
        <f>"1578729750425623"</f>
        <v>1578729750425623</v>
      </c>
      <c r="C3585" t="s">
        <v>37</v>
      </c>
      <c r="D3585">
        <v>4.897799</v>
      </c>
      <c r="E3585">
        <v>0.61727799999999999</v>
      </c>
      <c r="F3585" t="s">
        <v>38</v>
      </c>
      <c r="G3585">
        <v>-253.12360000000001</v>
      </c>
      <c r="H3585" s="1">
        <v>-3.7224979999999999E-6</v>
      </c>
      <c r="I3585">
        <v>142.58619999999999</v>
      </c>
      <c r="J3585">
        <v>-233.10380000000001</v>
      </c>
      <c r="K3585">
        <v>1.1036900000000001</v>
      </c>
      <c r="L3585">
        <v>136.58359999999999</v>
      </c>
      <c r="M3585">
        <v>-0.99856749999999905</v>
      </c>
      <c r="N3585">
        <v>0</v>
      </c>
      <c r="O3585">
        <v>-5.2371979999999999E-2</v>
      </c>
      <c r="P3585">
        <v>-0.99987000000000004</v>
      </c>
      <c r="Q3585">
        <v>-1.210059E-2</v>
      </c>
      <c r="R3585">
        <v>-1.066168E-2</v>
      </c>
      <c r="S3585">
        <v>-3.008057</v>
      </c>
      <c r="T3585">
        <v>-0.16372419999999999</v>
      </c>
      <c r="U3585">
        <v>0.88850399999999996</v>
      </c>
      <c r="V3585">
        <v>4.1720390000000003E-2</v>
      </c>
      <c r="W3585">
        <v>-1.184552E-3</v>
      </c>
      <c r="X3585">
        <v>0.99912860000000003</v>
      </c>
      <c r="Y3585">
        <v>0.33259070000000002</v>
      </c>
      <c r="Z3585">
        <v>1.164931E-2</v>
      </c>
      <c r="AA3585">
        <v>0.94299940000000004</v>
      </c>
      <c r="AB3585">
        <v>25</v>
      </c>
      <c r="AC3585">
        <v>-20.0198</v>
      </c>
      <c r="AD3585">
        <v>-1.1036937224979999</v>
      </c>
      <c r="AE3585">
        <v>6.0026000000000002</v>
      </c>
      <c r="AF3585">
        <v>7.0233154277157501</v>
      </c>
      <c r="AG3585">
        <v>-1.1036937224979999</v>
      </c>
      <c r="AH3585">
        <v>19.6232136156274</v>
      </c>
      <c r="AI3585">
        <v>93.031252416966794</v>
      </c>
      <c r="AJ3585">
        <v>70.307278496063603</v>
      </c>
      <c r="AK3585">
        <v>20.8714065657975</v>
      </c>
    </row>
    <row r="3586" spans="1:37" x14ac:dyDescent="0.2">
      <c r="A3586" t="str">
        <f>"20200111160230455"</f>
        <v>20200111160230455</v>
      </c>
      <c r="B3586" t="str">
        <f>"1578729750446119"</f>
        <v>1578729750446119</v>
      </c>
      <c r="C3586" t="s">
        <v>37</v>
      </c>
      <c r="D3586">
        <v>4.8661339999999997</v>
      </c>
      <c r="E3586">
        <v>0.61815430000000005</v>
      </c>
      <c r="F3586" t="s">
        <v>38</v>
      </c>
      <c r="G3586">
        <v>-254.05799999999999</v>
      </c>
      <c r="H3586" s="1">
        <v>-3.3874739999999999E-6</v>
      </c>
      <c r="I3586">
        <v>142.83359999999999</v>
      </c>
      <c r="J3586">
        <v>-233.34649999999999</v>
      </c>
      <c r="K3586">
        <v>1.103699</v>
      </c>
      <c r="L3586">
        <v>136.57130000000001</v>
      </c>
      <c r="M3586">
        <v>-0.99858829999999998</v>
      </c>
      <c r="N3586">
        <v>0</v>
      </c>
      <c r="O3586">
        <v>-5.197649E-2</v>
      </c>
      <c r="P3586">
        <v>-0.99987209999999904</v>
      </c>
      <c r="Q3586">
        <v>-1.14295E-2</v>
      </c>
      <c r="R3586">
        <v>-1.120733E-2</v>
      </c>
      <c r="S3586">
        <v>-3.008057</v>
      </c>
      <c r="T3586">
        <v>-0.15843929999999901</v>
      </c>
      <c r="U3586">
        <v>0.89723209999999998</v>
      </c>
      <c r="V3586">
        <v>4.0780490000000003E-2</v>
      </c>
      <c r="W3586">
        <v>-5.0337889999999897E-4</v>
      </c>
      <c r="X3586">
        <v>0.99916799999999995</v>
      </c>
      <c r="Y3586">
        <v>0.33476259999999902</v>
      </c>
      <c r="Z3586">
        <v>1.130479E-2</v>
      </c>
      <c r="AA3586">
        <v>0.94223469999999998</v>
      </c>
      <c r="AB3586">
        <v>25</v>
      </c>
      <c r="AC3586">
        <v>-20.711500000000001</v>
      </c>
      <c r="AD3586">
        <v>-1.103702387474</v>
      </c>
      <c r="AE3586">
        <v>6.2622999999999802</v>
      </c>
      <c r="AF3586">
        <v>7.3113864659447998</v>
      </c>
      <c r="AG3586">
        <v>-1.103702387474</v>
      </c>
      <c r="AH3586">
        <v>20.305157453869001</v>
      </c>
      <c r="AI3586">
        <v>92.927637399357195</v>
      </c>
      <c r="AJ3586">
        <v>70.197302347868799</v>
      </c>
      <c r="AK3586">
        <v>21.609580057024001</v>
      </c>
    </row>
    <row r="3587" spans="1:37" x14ac:dyDescent="0.2">
      <c r="A3587" t="str">
        <f>"20200111160230478"</f>
        <v>20200111160230478</v>
      </c>
      <c r="B3587" t="str">
        <f>"1578729750475398"</f>
        <v>1578729750475398</v>
      </c>
      <c r="C3587" t="s">
        <v>37</v>
      </c>
      <c r="D3587">
        <v>4.8188620000000002</v>
      </c>
      <c r="E3587">
        <v>0.61587259999999999</v>
      </c>
      <c r="F3587" t="s">
        <v>38</v>
      </c>
      <c r="G3587">
        <v>-255.3289</v>
      </c>
      <c r="H3587" s="1">
        <v>-2.9313979999999999E-6</v>
      </c>
      <c r="I3587">
        <v>143.1686</v>
      </c>
      <c r="J3587">
        <v>-233.5986</v>
      </c>
      <c r="K3587">
        <v>1.103688</v>
      </c>
      <c r="L3587">
        <v>136.55860000000001</v>
      </c>
      <c r="M3587">
        <v>-0.99860930000000003</v>
      </c>
      <c r="N3587">
        <v>0</v>
      </c>
      <c r="O3587">
        <v>-5.1565270000000003E-2</v>
      </c>
      <c r="P3587">
        <v>-0.99988290000000002</v>
      </c>
      <c r="Q3587">
        <v>-1.115121E-2</v>
      </c>
      <c r="R3587">
        <v>-1.0472520000000001E-2</v>
      </c>
      <c r="S3587">
        <v>-3.0087739999999998</v>
      </c>
      <c r="T3587">
        <v>-0.15106559999999999</v>
      </c>
      <c r="U3587">
        <v>0.90299989999999997</v>
      </c>
      <c r="V3587">
        <v>4.1103590000000002E-2</v>
      </c>
      <c r="W3587">
        <v>-2.1686819999999901E-4</v>
      </c>
      <c r="X3587">
        <v>0.99915489999999996</v>
      </c>
      <c r="Y3587">
        <v>0.33601500000000001</v>
      </c>
      <c r="Z3587">
        <v>1.0784490000000001E-2</v>
      </c>
      <c r="AA3587">
        <v>0.94179489999999999</v>
      </c>
      <c r="AB3587">
        <v>25</v>
      </c>
      <c r="AC3587">
        <v>-21.7303</v>
      </c>
      <c r="AD3587">
        <v>-1.1036909313979999</v>
      </c>
      <c r="AE3587">
        <v>6.6099999999999799</v>
      </c>
      <c r="AF3587">
        <v>7.7036117725051501</v>
      </c>
      <c r="AG3587">
        <v>-1.1036909313979999</v>
      </c>
      <c r="AH3587">
        <v>21.310202675168501</v>
      </c>
      <c r="AI3587">
        <v>92.788491537540594</v>
      </c>
      <c r="AJ3587">
        <v>70.125139768975302</v>
      </c>
      <c r="AK3587">
        <v>22.6867473664757</v>
      </c>
    </row>
    <row r="3588" spans="1:37" x14ac:dyDescent="0.2">
      <c r="A3588" t="str">
        <f>"20200111160230501"</f>
        <v>20200111160230501</v>
      </c>
      <c r="B3588" t="str">
        <f>"1578729750495895"</f>
        <v>1578729750495895</v>
      </c>
      <c r="C3588" t="s">
        <v>37</v>
      </c>
      <c r="D3588">
        <v>4.8356870000000001</v>
      </c>
      <c r="E3588">
        <v>0.61662890000000004</v>
      </c>
      <c r="F3588" t="s">
        <v>38</v>
      </c>
      <c r="G3588">
        <v>-254.11799999999999</v>
      </c>
      <c r="H3588" s="1">
        <v>-3.30031499999999E-6</v>
      </c>
      <c r="I3588">
        <v>142.6027</v>
      </c>
      <c r="J3588">
        <v>-233.85810000000001</v>
      </c>
      <c r="K3588">
        <v>1.103674</v>
      </c>
      <c r="L3588">
        <v>136.54570000000001</v>
      </c>
      <c r="M3588">
        <v>-0.99863099999999905</v>
      </c>
      <c r="N3588">
        <v>0</v>
      </c>
      <c r="O3588">
        <v>-5.1142359999999998E-2</v>
      </c>
      <c r="P3588">
        <v>-0.99987300000000001</v>
      </c>
      <c r="Q3588">
        <v>-1.274993E-2</v>
      </c>
      <c r="R3588">
        <v>-9.5499109999999995E-3</v>
      </c>
      <c r="S3588">
        <v>-3.0078279999999999</v>
      </c>
      <c r="T3588">
        <v>-0.1617845</v>
      </c>
      <c r="U3588">
        <v>0.8859863</v>
      </c>
      <c r="V3588">
        <v>4.1600169999999999E-2</v>
      </c>
      <c r="W3588">
        <v>-1.808214E-3</v>
      </c>
      <c r="X3588">
        <v>0.99913269999999998</v>
      </c>
      <c r="Y3588">
        <v>0.33073859999999999</v>
      </c>
      <c r="Z3588">
        <v>1.14E-2</v>
      </c>
      <c r="AA3588">
        <v>0.94365350000000003</v>
      </c>
      <c r="AB3588">
        <v>25</v>
      </c>
      <c r="AC3588">
        <v>-20.259899999999899</v>
      </c>
      <c r="AD3588">
        <v>-1.103677300315</v>
      </c>
      <c r="AE3588">
        <v>6.05699999999998</v>
      </c>
      <c r="AF3588">
        <v>7.0660253902729497</v>
      </c>
      <c r="AG3588">
        <v>-1.103677300315</v>
      </c>
      <c r="AH3588">
        <v>19.869468887325901</v>
      </c>
      <c r="AI3588">
        <v>92.995871411801303</v>
      </c>
      <c r="AJ3588">
        <v>70.423481396996905</v>
      </c>
      <c r="AK3588">
        <v>21.117353344196001</v>
      </c>
    </row>
    <row r="3589" spans="1:37" x14ac:dyDescent="0.2">
      <c r="A3589" t="str">
        <f>"20200111160230522"</f>
        <v>20200111160230522</v>
      </c>
      <c r="B3589" t="str">
        <f>"1578729750515414"</f>
        <v>1578729750515414</v>
      </c>
      <c r="C3589" t="s">
        <v>37</v>
      </c>
      <c r="D3589">
        <v>4.8291820000000003</v>
      </c>
      <c r="E3589">
        <v>0.61729560000000006</v>
      </c>
      <c r="F3589" t="s">
        <v>38</v>
      </c>
      <c r="G3589">
        <v>-254.1172</v>
      </c>
      <c r="H3589" s="1">
        <v>-3.2935010000000001E-6</v>
      </c>
      <c r="I3589">
        <v>142.57589999999999</v>
      </c>
      <c r="J3589">
        <v>-234.09370000000001</v>
      </c>
      <c r="K3589">
        <v>1.103666</v>
      </c>
      <c r="L3589">
        <v>136.5341</v>
      </c>
      <c r="M3589">
        <v>-0.998650499999999</v>
      </c>
      <c r="N3589">
        <v>0</v>
      </c>
      <c r="O3589">
        <v>-5.0758669999999999E-2</v>
      </c>
      <c r="P3589">
        <v>-0.99986399999999998</v>
      </c>
      <c r="Q3589">
        <v>-1.3687710000000001E-2</v>
      </c>
      <c r="R3589">
        <v>-9.2023529999999999E-3</v>
      </c>
      <c r="S3589">
        <v>-3.006821</v>
      </c>
      <c r="T3589">
        <v>-0.16380600000000001</v>
      </c>
      <c r="U3589">
        <v>0.89500429999999997</v>
      </c>
      <c r="V3589">
        <v>4.156253E-2</v>
      </c>
      <c r="W3589">
        <v>-2.7392839999999998E-3</v>
      </c>
      <c r="X3589">
        <v>0.99913220000000003</v>
      </c>
      <c r="Y3589">
        <v>0.3330475</v>
      </c>
      <c r="Z3589">
        <v>1.1582210000000001E-2</v>
      </c>
      <c r="AA3589">
        <v>0.94283890000000004</v>
      </c>
      <c r="AB3589">
        <v>25</v>
      </c>
      <c r="AC3589">
        <v>-20.023499999999899</v>
      </c>
      <c r="AD3589">
        <v>-1.103669293501</v>
      </c>
      <c r="AE3589">
        <v>6.0417999999999896</v>
      </c>
      <c r="AF3589">
        <v>7.0308606472022301</v>
      </c>
      <c r="AG3589">
        <v>-1.103669293501</v>
      </c>
      <c r="AH3589">
        <v>19.636314930731</v>
      </c>
      <c r="AI3589">
        <v>93.029027268841801</v>
      </c>
      <c r="AJ3589">
        <v>70.299891359125894</v>
      </c>
      <c r="AK3589">
        <v>20.8862622651504</v>
      </c>
    </row>
    <row r="3590" spans="1:37" x14ac:dyDescent="0.2">
      <c r="A3590" t="str">
        <f>"20200111160230837"</f>
        <v>20200111160230837</v>
      </c>
      <c r="B3590" t="str">
        <f>"1578729750825826"</f>
        <v>1578729750825826</v>
      </c>
      <c r="C3590" t="s">
        <v>37</v>
      </c>
      <c r="D3590">
        <v>5.298311</v>
      </c>
      <c r="E3590">
        <v>0.5203738</v>
      </c>
      <c r="F3590" t="s">
        <v>38</v>
      </c>
      <c r="G3590">
        <v>-254.5994</v>
      </c>
      <c r="H3590" s="1">
        <v>-3.1153769999999999E-6</v>
      </c>
      <c r="I3590">
        <v>142.68389999999999</v>
      </c>
      <c r="J3590">
        <v>-237.65110000000001</v>
      </c>
      <c r="K3590">
        <v>1.1033549999999901</v>
      </c>
      <c r="L3590">
        <v>136.37119999999999</v>
      </c>
      <c r="M3590">
        <v>-0.99898369999999903</v>
      </c>
      <c r="N3590">
        <v>0</v>
      </c>
      <c r="O3590">
        <v>-4.3694539999999997E-2</v>
      </c>
      <c r="P3590">
        <v>-0.99987300000000001</v>
      </c>
      <c r="Q3590">
        <v>-1.4257010000000001E-2</v>
      </c>
      <c r="R3590">
        <v>-7.1113909999999999E-3</v>
      </c>
      <c r="S3590">
        <v>-3.0064850000000001</v>
      </c>
      <c r="T3590">
        <v>-0.16181689999999899</v>
      </c>
      <c r="U3590">
        <v>0.90167240000000004</v>
      </c>
      <c r="V3590">
        <v>3.6582249999999997E-2</v>
      </c>
      <c r="W3590">
        <v>-3.2595979999999998E-3</v>
      </c>
      <c r="X3590">
        <v>0.99932529999999997</v>
      </c>
      <c r="Y3590">
        <v>0.32835330000000001</v>
      </c>
      <c r="Z3590">
        <v>1.094317E-2</v>
      </c>
      <c r="AA3590">
        <v>0.94449159999999899</v>
      </c>
      <c r="AB3590">
        <v>25</v>
      </c>
      <c r="AC3590">
        <v>-16.9482999999999</v>
      </c>
      <c r="AD3590">
        <v>-1.10335811537699</v>
      </c>
      <c r="AE3590">
        <v>6.3127000000000004</v>
      </c>
      <c r="AF3590">
        <v>7.0211321107952296</v>
      </c>
      <c r="AG3590">
        <v>-1.10335811537699</v>
      </c>
      <c r="AH3590">
        <v>16.594501667555502</v>
      </c>
      <c r="AI3590">
        <v>93.504076548502596</v>
      </c>
      <c r="AJ3590">
        <v>67.066782622206802</v>
      </c>
      <c r="AK3590">
        <v>18.052456365894098</v>
      </c>
    </row>
    <row r="3591" spans="1:37" x14ac:dyDescent="0.2">
      <c r="A3591" t="str">
        <f>"20200111160230858"</f>
        <v>20200111160230858</v>
      </c>
      <c r="B3591" t="str">
        <f>"1578729750845345"</f>
        <v>1578729750845345</v>
      </c>
      <c r="C3591" t="s">
        <v>37</v>
      </c>
      <c r="D3591">
        <v>5.3143989999999999</v>
      </c>
      <c r="E3591">
        <v>0.51204369999999999</v>
      </c>
      <c r="F3591" t="s">
        <v>42</v>
      </c>
      <c r="G3591">
        <v>-238.51740000000001</v>
      </c>
      <c r="H3591">
        <v>1.045058</v>
      </c>
      <c r="I3591">
        <v>136.40950000000001</v>
      </c>
      <c r="J3591">
        <v>-237.88419999999999</v>
      </c>
      <c r="K3591">
        <v>1.1032850000000001</v>
      </c>
      <c r="L3591">
        <v>136.36199999999999</v>
      </c>
      <c r="M3591">
        <v>-0.99902209999999902</v>
      </c>
      <c r="N3591">
        <v>0</v>
      </c>
      <c r="O3591">
        <v>-4.2805870000000003E-2</v>
      </c>
      <c r="P3591">
        <v>-0.99988659999999996</v>
      </c>
      <c r="Q3591">
        <v>-1.2733950000000001E-2</v>
      </c>
      <c r="R3591">
        <v>-8.0516809999999998E-3</v>
      </c>
      <c r="S3591">
        <v>-2.9984439999999899</v>
      </c>
      <c r="T3591">
        <v>-0.2017795</v>
      </c>
      <c r="U3591">
        <v>0.13143920000000001</v>
      </c>
      <c r="V3591">
        <v>3.4756580000000002E-2</v>
      </c>
      <c r="W3591">
        <v>-1.723832E-3</v>
      </c>
      <c r="X3591">
        <v>0.99939429999999996</v>
      </c>
      <c r="Y3591">
        <v>8.6229639999999996E-2</v>
      </c>
      <c r="Z3591">
        <v>5.7729069999999999E-3</v>
      </c>
      <c r="AA3591">
        <v>0.99625859999999899</v>
      </c>
      <c r="AB3591">
        <v>25</v>
      </c>
      <c r="AC3591">
        <v>-0.63320000000001597</v>
      </c>
      <c r="AD3591">
        <v>-5.8227000000000001E-2</v>
      </c>
      <c r="AE3591">
        <v>4.7500000000013601E-2</v>
      </c>
      <c r="AF3591">
        <v>7.3941044193724104E-2</v>
      </c>
      <c r="AG3591">
        <v>-5.8227000000000001E-2</v>
      </c>
      <c r="AH3591">
        <v>0.62532793187204305</v>
      </c>
      <c r="AI3591">
        <v>95.283125281690005</v>
      </c>
      <c r="AJ3591">
        <v>83.256451191430898</v>
      </c>
      <c r="AK3591">
        <v>0.63237068553564801</v>
      </c>
    </row>
    <row r="3592" spans="1:37" x14ac:dyDescent="0.2">
      <c r="A3592" t="str">
        <f>"20200111160230880"</f>
        <v>20200111160230880</v>
      </c>
      <c r="B3592" t="str">
        <f>"1578729750875602"</f>
        <v>1578729750875602</v>
      </c>
      <c r="C3592" t="s">
        <v>37</v>
      </c>
      <c r="D3592">
        <v>5.2770779999999897</v>
      </c>
      <c r="E3592">
        <v>0.50605250000000002</v>
      </c>
      <c r="F3592" t="s">
        <v>42</v>
      </c>
      <c r="G3592">
        <v>-238.7432</v>
      </c>
      <c r="H3592">
        <v>1.0436889999999901</v>
      </c>
      <c r="I3592">
        <v>136.37960000000001</v>
      </c>
      <c r="J3592">
        <v>-238.14670000000001</v>
      </c>
      <c r="K3592">
        <v>1.103199</v>
      </c>
      <c r="L3592">
        <v>136.352</v>
      </c>
      <c r="M3592">
        <v>-0.99907040000000003</v>
      </c>
      <c r="N3592">
        <v>0</v>
      </c>
      <c r="O3592">
        <v>-4.165493E-2</v>
      </c>
      <c r="P3592">
        <v>-0.9998958</v>
      </c>
      <c r="Q3592">
        <v>-1.121511E-2</v>
      </c>
      <c r="R3592">
        <v>-9.1115439999999992E-3</v>
      </c>
      <c r="S3592">
        <v>-2.9981990000000001</v>
      </c>
      <c r="T3592">
        <v>-0.2080457</v>
      </c>
      <c r="U3592">
        <v>6.1401369999999997E-2</v>
      </c>
      <c r="V3592">
        <v>3.254924E-2</v>
      </c>
      <c r="W3592">
        <v>-1.7223180000000001E-4</v>
      </c>
      <c r="X3592">
        <v>0.99947009999999903</v>
      </c>
      <c r="Y3592">
        <v>6.1857290000000002E-2</v>
      </c>
      <c r="Z3592">
        <v>5.0298729999999998E-3</v>
      </c>
      <c r="AA3592">
        <v>0.99807230000000002</v>
      </c>
      <c r="AB3592">
        <v>25</v>
      </c>
      <c r="AC3592">
        <v>-0.59649999999999104</v>
      </c>
      <c r="AD3592">
        <v>-5.9510000000000098E-2</v>
      </c>
      <c r="AE3592">
        <v>2.7600000000006699E-2</v>
      </c>
      <c r="AF3592">
        <v>5.1909184013075101E-2</v>
      </c>
      <c r="AG3592">
        <v>-5.9510000000000098E-2</v>
      </c>
      <c r="AH3592">
        <v>0.58898277173026703</v>
      </c>
      <c r="AI3592">
        <v>95.747377492692394</v>
      </c>
      <c r="AJ3592">
        <v>84.963329454736595</v>
      </c>
      <c r="AK3592">
        <v>0.59425306804422195</v>
      </c>
    </row>
    <row r="3593" spans="1:37" x14ac:dyDescent="0.2">
      <c r="A3593" t="str">
        <f>"20200111160230902"</f>
        <v>20200111160230902</v>
      </c>
      <c r="B3593" t="str">
        <f>"1578729750896097"</f>
        <v>1578729750896097</v>
      </c>
      <c r="C3593" t="s">
        <v>37</v>
      </c>
      <c r="D3593">
        <v>5.2558530000000001</v>
      </c>
      <c r="E3593">
        <v>0.50376520000000002</v>
      </c>
      <c r="F3593" t="s">
        <v>42</v>
      </c>
      <c r="G3593">
        <v>-238.97099999999901</v>
      </c>
      <c r="H3593">
        <v>1.0441830000000001</v>
      </c>
      <c r="I3593">
        <v>136.35480000000001</v>
      </c>
      <c r="J3593">
        <v>-238.3965</v>
      </c>
      <c r="K3593">
        <v>1.103113</v>
      </c>
      <c r="L3593">
        <v>136.34289999999999</v>
      </c>
      <c r="M3593">
        <v>-0.99912119999999904</v>
      </c>
      <c r="N3593">
        <v>0</v>
      </c>
      <c r="O3593">
        <v>-4.0394569999999998E-2</v>
      </c>
      <c r="P3593">
        <v>-0.9999093</v>
      </c>
      <c r="Q3593">
        <v>-9.0050919999999993E-3</v>
      </c>
      <c r="R3593">
        <v>-1.0026429999999999E-2</v>
      </c>
      <c r="S3593">
        <v>-2.9980009999999999</v>
      </c>
      <c r="T3593">
        <v>-0.214566799999999</v>
      </c>
      <c r="U3593">
        <v>9.7808840000000001E-3</v>
      </c>
      <c r="V3593">
        <v>3.0379980000000001E-2</v>
      </c>
      <c r="W3593">
        <v>2.0964759999999999E-3</v>
      </c>
      <c r="X3593">
        <v>0.99953619999999899</v>
      </c>
      <c r="Y3593">
        <v>4.3442260000000003E-2</v>
      </c>
      <c r="Z3593">
        <v>4.439564E-3</v>
      </c>
      <c r="AA3593">
        <v>0.99904609999999905</v>
      </c>
      <c r="AB3593">
        <v>25</v>
      </c>
      <c r="AC3593">
        <v>-0.57449999999997203</v>
      </c>
      <c r="AD3593">
        <v>-5.8929999999999899E-2</v>
      </c>
      <c r="AE3593">
        <v>1.19000000000255E-2</v>
      </c>
      <c r="AF3593">
        <v>3.4733117813757201E-2</v>
      </c>
      <c r="AG3593">
        <v>-5.8929999999999899E-2</v>
      </c>
      <c r="AH3593">
        <v>0.56758086331172997</v>
      </c>
      <c r="AI3593">
        <v>95.916598775151897</v>
      </c>
      <c r="AJ3593">
        <v>86.498150996957605</v>
      </c>
      <c r="AK3593">
        <v>0.57168800124784303</v>
      </c>
    </row>
    <row r="3594" spans="1:37" x14ac:dyDescent="0.2">
      <c r="A3594" t="str">
        <f>"20200111160230968"</f>
        <v>20200111160230968</v>
      </c>
      <c r="B3594" t="str">
        <f>"1578729750965902"</f>
        <v>1578729750965902</v>
      </c>
      <c r="C3594" t="s">
        <v>37</v>
      </c>
      <c r="D3594">
        <v>5.4919399999999996</v>
      </c>
      <c r="E3594">
        <v>0.50116119999999997</v>
      </c>
      <c r="F3594" t="s">
        <v>42</v>
      </c>
      <c r="G3594">
        <v>-239.2004</v>
      </c>
      <c r="H3594">
        <v>1.0458940000000001</v>
      </c>
      <c r="I3594">
        <v>136.3398</v>
      </c>
      <c r="J3594">
        <v>-239.15209999999999</v>
      </c>
      <c r="K3594">
        <v>1.102865</v>
      </c>
      <c r="L3594">
        <v>136.31880000000001</v>
      </c>
      <c r="M3594">
        <v>-0.99929979999999996</v>
      </c>
      <c r="N3594">
        <v>0</v>
      </c>
      <c r="O3594">
        <v>-3.5582429999999998E-2</v>
      </c>
      <c r="P3594">
        <v>-0.99994459999999996</v>
      </c>
      <c r="Q3594">
        <v>-3.2760259999999901E-3</v>
      </c>
      <c r="R3594">
        <v>-1.002106E-2</v>
      </c>
      <c r="S3594">
        <v>-2.99823</v>
      </c>
      <c r="T3594">
        <v>-0.21337590000000001</v>
      </c>
      <c r="U3594">
        <v>-1.158142E-2</v>
      </c>
      <c r="V3594">
        <v>2.5593769999999998E-2</v>
      </c>
      <c r="W3594">
        <v>8.2199279999999996E-3</v>
      </c>
      <c r="X3594">
        <v>0.99963860000000004</v>
      </c>
      <c r="Y3594">
        <v>3.1554489999999998E-2</v>
      </c>
      <c r="Z3594">
        <v>3.6502240000000001E-3</v>
      </c>
      <c r="AA3594">
        <v>0.99949539999999903</v>
      </c>
      <c r="AB3594">
        <v>25</v>
      </c>
      <c r="AC3594">
        <v>-4.8300000000011702E-2</v>
      </c>
      <c r="AD3594">
        <v>-5.69709999999998E-2</v>
      </c>
      <c r="AE3594">
        <v>2.0999999999986502E-2</v>
      </c>
      <c r="AF3594">
        <v>1.04629159443773E-2</v>
      </c>
      <c r="AG3594">
        <v>-5.69709999999998E-2</v>
      </c>
      <c r="AH3594">
        <v>2.1898712442794101E-2</v>
      </c>
      <c r="AI3594">
        <v>156.92581129477099</v>
      </c>
      <c r="AJ3594">
        <v>64.462144316133902</v>
      </c>
      <c r="AK3594">
        <v>6.1925124607959202E-2</v>
      </c>
    </row>
    <row r="3595" spans="1:37" x14ac:dyDescent="0.2">
      <c r="A3595" t="str">
        <f>"20200111160230992"</f>
        <v>20200111160230992</v>
      </c>
      <c r="B3595" t="str">
        <f>"1578729750985421"</f>
        <v>1578729750985421</v>
      </c>
      <c r="C3595" t="s">
        <v>37</v>
      </c>
      <c r="D3595">
        <v>5.2653639999999999</v>
      </c>
      <c r="E3595">
        <v>0.50053009999999998</v>
      </c>
      <c r="F3595" t="s">
        <v>38</v>
      </c>
      <c r="G3595">
        <v>-255.12899999999999</v>
      </c>
      <c r="H3595" s="1">
        <v>-2.6883810000000001E-6</v>
      </c>
      <c r="I3595">
        <v>136.14109999999999</v>
      </c>
      <c r="J3595">
        <v>-239.4015</v>
      </c>
      <c r="K3595">
        <v>1.1028129999999901</v>
      </c>
      <c r="L3595">
        <v>136.31209999999999</v>
      </c>
      <c r="M3595">
        <v>-0.99936320000000001</v>
      </c>
      <c r="N3595">
        <v>0</v>
      </c>
      <c r="O3595">
        <v>-3.3683310000000001E-2</v>
      </c>
      <c r="P3595">
        <v>-0.99995449999999997</v>
      </c>
      <c r="Q3595">
        <v>-1.5451009999999999E-3</v>
      </c>
      <c r="R3595">
        <v>-9.4255620000000002E-3</v>
      </c>
      <c r="S3595">
        <v>-2.999161</v>
      </c>
      <c r="T3595">
        <v>-0.20702989999999999</v>
      </c>
      <c r="U3595">
        <v>-3.3340450000000001E-2</v>
      </c>
      <c r="V3595">
        <v>2.429802E-2</v>
      </c>
      <c r="W3595">
        <v>1.0160570000000001E-2</v>
      </c>
      <c r="X3595">
        <v>0.99965309999999896</v>
      </c>
      <c r="Y3595">
        <v>2.2440459999999999E-2</v>
      </c>
      <c r="Z3595">
        <v>3.0956029999999902E-3</v>
      </c>
      <c r="AA3595">
        <v>0.99974339999999995</v>
      </c>
      <c r="AB3595">
        <v>25</v>
      </c>
      <c r="AC3595">
        <v>-15.727499999999999</v>
      </c>
      <c r="AD3595">
        <v>-1.1028156883810001</v>
      </c>
      <c r="AE3595">
        <v>-0.17099999999999199</v>
      </c>
      <c r="AF3595">
        <v>0.35713227152293398</v>
      </c>
      <c r="AG3595">
        <v>-1.1028156883810001</v>
      </c>
      <c r="AH3595">
        <v>15.647407758410401</v>
      </c>
      <c r="AI3595">
        <v>94.030444126554499</v>
      </c>
      <c r="AJ3595">
        <v>88.692523372475804</v>
      </c>
      <c r="AK3595">
        <v>15.6902872969192</v>
      </c>
    </row>
    <row r="3596" spans="1:37" x14ac:dyDescent="0.2">
      <c r="A3596" t="str">
        <f>"20200111160231014"</f>
        <v>20200111160231014</v>
      </c>
      <c r="B3596" t="str">
        <f>"1578729751005917"</f>
        <v>1578729751005917</v>
      </c>
      <c r="C3596" t="s">
        <v>37</v>
      </c>
      <c r="D3596">
        <v>5.300522</v>
      </c>
      <c r="E3596">
        <v>0.49989989999999901</v>
      </c>
      <c r="F3596" t="s">
        <v>42</v>
      </c>
      <c r="G3596">
        <v>-240.3314</v>
      </c>
      <c r="H3596">
        <v>1.038138</v>
      </c>
      <c r="I3596">
        <v>136.30080000000001</v>
      </c>
      <c r="J3596">
        <v>-239.66120000000001</v>
      </c>
      <c r="K3596">
        <v>1.102784</v>
      </c>
      <c r="L3596">
        <v>136.3058</v>
      </c>
      <c r="M3596">
        <v>-0.99942900000000001</v>
      </c>
      <c r="N3596">
        <v>0</v>
      </c>
      <c r="O3596">
        <v>-3.1581169999999999E-2</v>
      </c>
      <c r="P3596">
        <v>-0.99996469999999904</v>
      </c>
      <c r="Q3596">
        <v>2.5221329999999999E-4</v>
      </c>
      <c r="R3596">
        <v>-8.412437E-3</v>
      </c>
      <c r="S3596">
        <v>-2.999466</v>
      </c>
      <c r="T3596">
        <v>-0.20858309999999999</v>
      </c>
      <c r="U3596">
        <v>-3.7109379999999997E-2</v>
      </c>
      <c r="V3596">
        <v>2.3217089999999999E-2</v>
      </c>
      <c r="W3596">
        <v>1.219511E-2</v>
      </c>
      <c r="X3596">
        <v>0.99965609999999905</v>
      </c>
      <c r="Y3596">
        <v>1.9093829999999999E-2</v>
      </c>
      <c r="Z3596">
        <v>2.8562700000000002E-3</v>
      </c>
      <c r="AA3596">
        <v>0.99981359999999997</v>
      </c>
      <c r="AB3596">
        <v>25</v>
      </c>
      <c r="AC3596">
        <v>-0.67019999999999402</v>
      </c>
      <c r="AD3596">
        <v>-6.4645999999999898E-2</v>
      </c>
      <c r="AE3596">
        <v>-4.9999999999954499E-3</v>
      </c>
      <c r="AF3596">
        <v>1.6020672176931601E-2</v>
      </c>
      <c r="AG3596">
        <v>-6.4645999999999898E-2</v>
      </c>
      <c r="AH3596">
        <v>0.66384740650993501</v>
      </c>
      <c r="AI3596">
        <v>95.560363575636302</v>
      </c>
      <c r="AJ3596">
        <v>88.617545607301906</v>
      </c>
      <c r="AK3596">
        <v>0.66717999549069795</v>
      </c>
    </row>
    <row r="3597" spans="1:37" x14ac:dyDescent="0.2">
      <c r="A3597" t="str">
        <f>"20200111160231037"</f>
        <v>20200111160231037</v>
      </c>
      <c r="B3597" t="str">
        <f>"1578729751025947"</f>
        <v>1578729751025947</v>
      </c>
      <c r="C3597" t="s">
        <v>37</v>
      </c>
      <c r="D3597">
        <v>5.3039589999999999</v>
      </c>
      <c r="E3597">
        <v>0.49928919999999999</v>
      </c>
      <c r="F3597" t="s">
        <v>42</v>
      </c>
      <c r="G3597">
        <v>-240.56030000000001</v>
      </c>
      <c r="H3597">
        <v>1.0403549999999999</v>
      </c>
      <c r="I3597">
        <v>136.2938</v>
      </c>
      <c r="J3597">
        <v>-239.92599999999999</v>
      </c>
      <c r="K3597">
        <v>1.1027739999999999</v>
      </c>
      <c r="L3597">
        <v>136.29990000000001</v>
      </c>
      <c r="M3597">
        <v>-0.99949409999999905</v>
      </c>
      <c r="N3597">
        <v>0</v>
      </c>
      <c r="O3597">
        <v>-2.9349170000000001E-2</v>
      </c>
      <c r="P3597">
        <v>-0.99997789999999998</v>
      </c>
      <c r="Q3597">
        <v>2.2389329999999998E-3</v>
      </c>
      <c r="R3597">
        <v>-6.2713140000000001E-3</v>
      </c>
      <c r="S3597">
        <v>-2.9998320000000001</v>
      </c>
      <c r="T3597">
        <v>-0.20827619999999999</v>
      </c>
      <c r="U3597">
        <v>-3.9810180000000001E-2</v>
      </c>
      <c r="V3597">
        <v>2.3134709999999999E-2</v>
      </c>
      <c r="W3597">
        <v>1.44184E-2</v>
      </c>
      <c r="X3597">
        <v>0.99962839999999997</v>
      </c>
      <c r="Y3597">
        <v>1.597579E-2</v>
      </c>
      <c r="Z3597">
        <v>2.5888899999999999E-3</v>
      </c>
      <c r="AA3597">
        <v>0.99986900000000001</v>
      </c>
      <c r="AB3597">
        <v>25</v>
      </c>
      <c r="AC3597">
        <v>-0.63430000000002396</v>
      </c>
      <c r="AD3597">
        <v>-6.2419000000000002E-2</v>
      </c>
      <c r="AE3597">
        <v>-6.1000000000035401E-3</v>
      </c>
      <c r="AF3597">
        <v>1.2400135755711699E-2</v>
      </c>
      <c r="AG3597">
        <v>-6.2419000000000002E-2</v>
      </c>
      <c r="AH3597">
        <v>0.62812371950697099</v>
      </c>
      <c r="AI3597">
        <v>95.673965533580699</v>
      </c>
      <c r="AJ3597">
        <v>88.869039416714401</v>
      </c>
      <c r="AK3597">
        <v>0.63133929224707097</v>
      </c>
    </row>
    <row r="3598" spans="1:37" x14ac:dyDescent="0.2">
      <c r="A3598" t="str">
        <f>"20200111160231059"</f>
        <v>20200111160231059</v>
      </c>
      <c r="B3598" t="str">
        <f>"1578729751056203"</f>
        <v>1578729751056203</v>
      </c>
      <c r="C3598" t="s">
        <v>37</v>
      </c>
      <c r="D3598">
        <v>5.349628</v>
      </c>
      <c r="E3598">
        <v>0.49891239999999998</v>
      </c>
      <c r="F3598" t="s">
        <v>42</v>
      </c>
      <c r="G3598">
        <v>-240.7894</v>
      </c>
      <c r="H3598">
        <v>1.0433459999999899</v>
      </c>
      <c r="I3598">
        <v>136.28890000000001</v>
      </c>
      <c r="J3598">
        <v>-240.16239999999999</v>
      </c>
      <c r="K3598">
        <v>1.1027849999999999</v>
      </c>
      <c r="L3598">
        <v>136.2953</v>
      </c>
      <c r="M3598">
        <v>-0.99954929999999997</v>
      </c>
      <c r="N3598">
        <v>0</v>
      </c>
      <c r="O3598">
        <v>-2.7314089999999999E-2</v>
      </c>
      <c r="P3598">
        <v>-0.99998369999999903</v>
      </c>
      <c r="Q3598">
        <v>4.3219369999999997E-3</v>
      </c>
      <c r="R3598">
        <v>-3.7738170000000001E-3</v>
      </c>
      <c r="S3598">
        <v>-3.0002900000000001</v>
      </c>
      <c r="T3598">
        <v>-0.206484</v>
      </c>
      <c r="U3598">
        <v>-3.8864139999999998E-2</v>
      </c>
      <c r="V3598">
        <v>2.3605250000000001E-2</v>
      </c>
      <c r="W3598">
        <v>1.669932E-2</v>
      </c>
      <c r="X3598">
        <v>0.99958189999999902</v>
      </c>
      <c r="Y3598">
        <v>1.4268060000000001E-2</v>
      </c>
      <c r="Z3598">
        <v>2.3677540000000001E-3</v>
      </c>
      <c r="AA3598">
        <v>0.99989539999999999</v>
      </c>
      <c r="AB3598">
        <v>25</v>
      </c>
      <c r="AC3598">
        <v>-0.62700000000000899</v>
      </c>
      <c r="AD3598">
        <v>-5.94390000000002E-2</v>
      </c>
      <c r="AE3598">
        <v>-6.39999999998508E-3</v>
      </c>
      <c r="AF3598">
        <v>1.06340940837327E-2</v>
      </c>
      <c r="AG3598">
        <v>-5.94390000000002E-2</v>
      </c>
      <c r="AH3598">
        <v>0.62135738493882897</v>
      </c>
      <c r="AI3598">
        <v>95.463487589505405</v>
      </c>
      <c r="AJ3598">
        <v>89.0195188011715</v>
      </c>
      <c r="AK3598">
        <v>0.624284453191013</v>
      </c>
    </row>
    <row r="3599" spans="1:37" x14ac:dyDescent="0.2">
      <c r="A3599" t="str">
        <f>"20200111160231081"</f>
        <v>20200111160231081</v>
      </c>
      <c r="B3599" t="str">
        <f>"1578729751075723"</f>
        <v>1578729751075723</v>
      </c>
      <c r="C3599" t="s">
        <v>37</v>
      </c>
      <c r="D3599">
        <v>5.3056950000000001</v>
      </c>
      <c r="E3599">
        <v>0.49877709999999997</v>
      </c>
      <c r="F3599" t="s">
        <v>42</v>
      </c>
      <c r="G3599">
        <v>-241.0163</v>
      </c>
      <c r="H3599">
        <v>1.0441609999999999</v>
      </c>
      <c r="I3599">
        <v>136.28540000000001</v>
      </c>
      <c r="J3599">
        <v>-240.41929999999999</v>
      </c>
      <c r="K3599">
        <v>1.1027910000000001</v>
      </c>
      <c r="L3599">
        <v>136.29079999999999</v>
      </c>
      <c r="M3599">
        <v>-0.99960519999999997</v>
      </c>
      <c r="N3599">
        <v>0</v>
      </c>
      <c r="O3599">
        <v>-2.5081780000000001E-2</v>
      </c>
      <c r="P3599">
        <v>-0.99998489999999995</v>
      </c>
      <c r="Q3599">
        <v>5.4588129999999999E-3</v>
      </c>
      <c r="R3599">
        <v>-5.0648149999999999E-4</v>
      </c>
      <c r="S3599">
        <v>-3.0008240000000002</v>
      </c>
      <c r="T3599">
        <v>-0.2060004</v>
      </c>
      <c r="U3599">
        <v>-3.5263059999999999E-2</v>
      </c>
      <c r="V3599">
        <v>2.4644159999999998E-2</v>
      </c>
      <c r="W3599">
        <v>1.8028539999999999E-2</v>
      </c>
      <c r="X3599">
        <v>0.99953369999999997</v>
      </c>
      <c r="Y3599">
        <v>1.324527E-2</v>
      </c>
      <c r="Z3599">
        <v>2.1737499999999999E-3</v>
      </c>
      <c r="AA3599">
        <v>0.99990990000000002</v>
      </c>
      <c r="AB3599">
        <v>25</v>
      </c>
      <c r="AC3599">
        <v>-0.59700000000000797</v>
      </c>
      <c r="AD3599">
        <v>-5.8629999999999897E-2</v>
      </c>
      <c r="AE3599">
        <v>-5.3999999999802999E-3</v>
      </c>
      <c r="AF3599">
        <v>9.4852470330510693E-3</v>
      </c>
      <c r="AG3599">
        <v>-5.8629999999999897E-2</v>
      </c>
      <c r="AH3599">
        <v>0.59124565572841004</v>
      </c>
      <c r="AI3599">
        <v>95.662413037292495</v>
      </c>
      <c r="AJ3599">
        <v>89.0808930258233</v>
      </c>
      <c r="AK3599">
        <v>0.59422123172181895</v>
      </c>
    </row>
    <row r="3600" spans="1:37" x14ac:dyDescent="0.2">
      <c r="A3600" t="str">
        <f>"20200111160231103"</f>
        <v>20200111160231103</v>
      </c>
      <c r="B3600" t="str">
        <f>"1578729751096219"</f>
        <v>1578729751096219</v>
      </c>
      <c r="C3600" t="s">
        <v>37</v>
      </c>
      <c r="D3600">
        <v>5.3692849999999996</v>
      </c>
      <c r="E3600">
        <v>0.49853140000000001</v>
      </c>
      <c r="F3600" t="s">
        <v>42</v>
      </c>
      <c r="G3600">
        <v>-241.25360000000001</v>
      </c>
      <c r="H3600">
        <v>1.0454060000000001</v>
      </c>
      <c r="I3600">
        <v>136.2833</v>
      </c>
      <c r="J3600">
        <v>-240.67</v>
      </c>
      <c r="K3600">
        <v>1.1028119999999999</v>
      </c>
      <c r="L3600">
        <v>136.28700000000001</v>
      </c>
      <c r="M3600">
        <v>-0.99965539999999997</v>
      </c>
      <c r="N3600">
        <v>0</v>
      </c>
      <c r="O3600">
        <v>-2.2906329999999999E-2</v>
      </c>
      <c r="P3600">
        <v>-0.99998509999999996</v>
      </c>
      <c r="Q3600">
        <v>4.660506E-3</v>
      </c>
      <c r="R3600">
        <v>2.816893E-3</v>
      </c>
      <c r="S3600">
        <v>-3.001144</v>
      </c>
      <c r="T3600">
        <v>-0.20642269999999999</v>
      </c>
      <c r="U3600">
        <v>-2.7282710000000002E-2</v>
      </c>
      <c r="V3600">
        <v>2.5788450000000001E-2</v>
      </c>
      <c r="W3600">
        <v>1.7384440000000001E-2</v>
      </c>
      <c r="X3600">
        <v>0.99951619999999997</v>
      </c>
      <c r="Y3600">
        <v>1.373271E-2</v>
      </c>
      <c r="Z3600">
        <v>2.045332E-3</v>
      </c>
      <c r="AA3600">
        <v>0.9999036</v>
      </c>
      <c r="AB3600">
        <v>25</v>
      </c>
      <c r="AC3600">
        <v>-0.58360000000001799</v>
      </c>
      <c r="AD3600">
        <v>-5.7405999999999999E-2</v>
      </c>
      <c r="AE3600">
        <v>-3.70000000000914E-3</v>
      </c>
      <c r="AF3600">
        <v>9.5775380368557997E-3</v>
      </c>
      <c r="AG3600">
        <v>-5.7405999999999999E-2</v>
      </c>
      <c r="AH3600">
        <v>0.57793983917044101</v>
      </c>
      <c r="AI3600">
        <v>95.671733834327895</v>
      </c>
      <c r="AJ3600">
        <v>89.050589274654698</v>
      </c>
      <c r="AK3600">
        <v>0.580862837312908</v>
      </c>
    </row>
    <row r="3601" spans="1:37" x14ac:dyDescent="0.2">
      <c r="A3601" t="str">
        <f>"20200111160231126"</f>
        <v>20200111160231126</v>
      </c>
      <c r="B3601" t="str">
        <f>"1578729751116081"</f>
        <v>1578729751116081</v>
      </c>
      <c r="C3601" t="s">
        <v>37</v>
      </c>
      <c r="D3601">
        <v>5.3126889999999998</v>
      </c>
      <c r="E3601">
        <v>0.49842779999999998</v>
      </c>
      <c r="F3601" t="s">
        <v>38</v>
      </c>
      <c r="G3601">
        <v>-256.23559999999998</v>
      </c>
      <c r="H3601" s="1">
        <v>-2.20604E-6</v>
      </c>
      <c r="I3601">
        <v>136.184</v>
      </c>
      <c r="J3601">
        <v>-240.93029999999999</v>
      </c>
      <c r="K3601">
        <v>1.102827</v>
      </c>
      <c r="L3601">
        <v>136.28360000000001</v>
      </c>
      <c r="M3601">
        <v>-0.99970270000000006</v>
      </c>
      <c r="N3601">
        <v>0</v>
      </c>
      <c r="O3601">
        <v>-2.067244E-2</v>
      </c>
      <c r="P3601">
        <v>-0.99997839999999905</v>
      </c>
      <c r="Q3601">
        <v>3.567845E-3</v>
      </c>
      <c r="R3601">
        <v>5.5461199999999999E-3</v>
      </c>
      <c r="S3601">
        <v>-3.001099</v>
      </c>
      <c r="T3601">
        <v>-0.21262729999999899</v>
      </c>
      <c r="U3601">
        <v>-1.985168E-2</v>
      </c>
      <c r="V3601">
        <v>2.627912E-2</v>
      </c>
      <c r="W3601">
        <v>1.6408490000000001E-2</v>
      </c>
      <c r="X3601">
        <v>0.99951990000000002</v>
      </c>
      <c r="Y3601">
        <v>1.3973630000000001E-2</v>
      </c>
      <c r="Z3601">
        <v>1.9571979999999998E-3</v>
      </c>
      <c r="AA3601">
        <v>0.99990049999999997</v>
      </c>
      <c r="AB3601">
        <v>25</v>
      </c>
      <c r="AC3601">
        <v>-15.3052999999999</v>
      </c>
      <c r="AD3601">
        <v>-1.10282920604</v>
      </c>
      <c r="AE3601">
        <v>-9.9600000000009403E-2</v>
      </c>
      <c r="AF3601">
        <v>0.21572563664581801</v>
      </c>
      <c r="AG3601">
        <v>-1.10282920604</v>
      </c>
      <c r="AH3601">
        <v>15.225043154269599</v>
      </c>
      <c r="AI3601">
        <v>94.142581682426496</v>
      </c>
      <c r="AJ3601">
        <v>89.188222895210004</v>
      </c>
      <c r="AK3601">
        <v>15.2664569844274</v>
      </c>
    </row>
    <row r="3602" spans="1:37" x14ac:dyDescent="0.2">
      <c r="A3602" t="str">
        <f>"20200111160231148"</f>
        <v>20200111160231148</v>
      </c>
      <c r="B3602" t="str">
        <f>"1578729751145359"</f>
        <v>1578729751145359</v>
      </c>
      <c r="C3602" t="s">
        <v>37</v>
      </c>
      <c r="D3602">
        <v>5.559774</v>
      </c>
      <c r="E3602">
        <v>0.49801069999999997</v>
      </c>
      <c r="F3602" t="s">
        <v>38</v>
      </c>
      <c r="G3602">
        <v>-255.99799999999999</v>
      </c>
      <c r="H3602" s="1">
        <v>-2.3015049999999998E-6</v>
      </c>
      <c r="I3602">
        <v>136.22040000000001</v>
      </c>
      <c r="J3602">
        <v>-241.17509999999999</v>
      </c>
      <c r="K3602">
        <v>1.1028359999999999</v>
      </c>
      <c r="L3602">
        <v>136.28100000000001</v>
      </c>
      <c r="M3602">
        <v>-0.99974229999999997</v>
      </c>
      <c r="N3602">
        <v>0</v>
      </c>
      <c r="O3602">
        <v>-1.8611119999999998E-2</v>
      </c>
      <c r="P3602">
        <v>-0.99996469999999904</v>
      </c>
      <c r="Q3602">
        <v>3.3721070000000001E-3</v>
      </c>
      <c r="R3602">
        <v>7.6964399999999997E-3</v>
      </c>
      <c r="S3602">
        <v>-3.0009160000000001</v>
      </c>
      <c r="T3602">
        <v>-0.21964229999999901</v>
      </c>
      <c r="U3602">
        <v>-1.2588500000000001E-2</v>
      </c>
      <c r="V3602">
        <v>2.6365739999999999E-2</v>
      </c>
      <c r="W3602">
        <v>1.6270699999999999E-2</v>
      </c>
      <c r="X3602">
        <v>0.99951990000000002</v>
      </c>
      <c r="Y3602">
        <v>1.4330290000000001E-2</v>
      </c>
      <c r="Z3602">
        <v>1.8841249999999999E-3</v>
      </c>
      <c r="AA3602">
        <v>0.99989550000000005</v>
      </c>
      <c r="AB3602">
        <v>25</v>
      </c>
      <c r="AC3602">
        <v>-14.822900000000001</v>
      </c>
      <c r="AD3602">
        <v>-1.1028383015050001</v>
      </c>
      <c r="AE3602">
        <v>-6.0599999999993701E-2</v>
      </c>
      <c r="AF3602">
        <v>0.21411933788138901</v>
      </c>
      <c r="AG3602">
        <v>-1.1028383015050001</v>
      </c>
      <c r="AH3602">
        <v>14.739868872409399</v>
      </c>
      <c r="AI3602">
        <v>94.278452991451601</v>
      </c>
      <c r="AJ3602">
        <v>89.167748936862296</v>
      </c>
      <c r="AK3602">
        <v>14.782619314111599</v>
      </c>
    </row>
    <row r="3603" spans="1:37" x14ac:dyDescent="0.2">
      <c r="A3603" t="str">
        <f>"20200111160231170"</f>
        <v>20200111160231170</v>
      </c>
      <c r="B3603" t="str">
        <f>"1578729751165855"</f>
        <v>1578729751165855</v>
      </c>
      <c r="C3603" t="s">
        <v>37</v>
      </c>
      <c r="D3603">
        <v>5.344468</v>
      </c>
      <c r="E3603">
        <v>0.49780039999999998</v>
      </c>
      <c r="F3603" t="s">
        <v>38</v>
      </c>
      <c r="G3603">
        <v>-255.88669999999999</v>
      </c>
      <c r="H3603" s="1">
        <v>-2.3470179999999998E-6</v>
      </c>
      <c r="I3603">
        <v>136.23310000000001</v>
      </c>
      <c r="J3603">
        <v>-241.42099999999999</v>
      </c>
      <c r="K3603">
        <v>1.1028579999999999</v>
      </c>
      <c r="L3603">
        <v>136.27869999999999</v>
      </c>
      <c r="M3603">
        <v>-0.9997779</v>
      </c>
      <c r="N3603">
        <v>0</v>
      </c>
      <c r="O3603">
        <v>-1.658888E-2</v>
      </c>
      <c r="P3603">
        <v>-0.99995129999999999</v>
      </c>
      <c r="Q3603">
        <v>2.9568340000000002E-3</v>
      </c>
      <c r="R3603">
        <v>9.4164019999999904E-3</v>
      </c>
      <c r="S3603">
        <v>-3.0009459999999999</v>
      </c>
      <c r="T3603">
        <v>-0.22496289999999999</v>
      </c>
      <c r="U3603">
        <v>-9.7503659999999999E-3</v>
      </c>
      <c r="V3603">
        <v>2.6060440000000001E-2</v>
      </c>
      <c r="W3603">
        <v>1.5861150000000001E-2</v>
      </c>
      <c r="X3603">
        <v>0.99953449999999899</v>
      </c>
      <c r="Y3603">
        <v>1.325782E-2</v>
      </c>
      <c r="Z3603">
        <v>1.73811E-3</v>
      </c>
      <c r="AA3603">
        <v>0.99991059999999998</v>
      </c>
      <c r="AB3603">
        <v>25</v>
      </c>
      <c r="AC3603">
        <v>-14.465699999999901</v>
      </c>
      <c r="AD3603">
        <v>-1.1028603470179901</v>
      </c>
      <c r="AE3603">
        <v>-4.55999999999789E-2</v>
      </c>
      <c r="AF3603">
        <v>0.19327292686675701</v>
      </c>
      <c r="AG3603">
        <v>-1.1028603470179901</v>
      </c>
      <c r="AH3603">
        <v>14.380877767031601</v>
      </c>
      <c r="AI3603">
        <v>94.384998580919998</v>
      </c>
      <c r="AJ3603">
        <v>89.230015265064793</v>
      </c>
      <c r="AK3603">
        <v>14.4243994925123</v>
      </c>
    </row>
    <row r="3604" spans="1:37" x14ac:dyDescent="0.2">
      <c r="A3604" t="str">
        <f>"20200111160231192"</f>
        <v>20200111160231192</v>
      </c>
      <c r="B3604" t="str">
        <f>"1578729751185375"</f>
        <v>1578729751185375</v>
      </c>
      <c r="C3604" t="s">
        <v>37</v>
      </c>
      <c r="D3604">
        <v>5.2947199999999999</v>
      </c>
      <c r="E3604">
        <v>0.49756489999999998</v>
      </c>
      <c r="F3604" t="s">
        <v>42</v>
      </c>
      <c r="G3604">
        <v>-242.3578</v>
      </c>
      <c r="H3604">
        <v>1.0311980000000001</v>
      </c>
      <c r="I3604">
        <v>136.27670000000001</v>
      </c>
      <c r="J3604">
        <v>-241.6695</v>
      </c>
      <c r="K3604">
        <v>1.102868</v>
      </c>
      <c r="L3604">
        <v>136.27690000000001</v>
      </c>
      <c r="M3604">
        <v>-0.99980959999999997</v>
      </c>
      <c r="N3604">
        <v>0</v>
      </c>
      <c r="O3604">
        <v>-1.460203E-2</v>
      </c>
      <c r="P3604">
        <v>-0.99993829999999995</v>
      </c>
      <c r="Q3604">
        <v>3.4621509999999901E-3</v>
      </c>
      <c r="R3604">
        <v>1.056552E-2</v>
      </c>
      <c r="S3604">
        <v>-3.0009000000000001</v>
      </c>
      <c r="T3604">
        <v>-0.22954169999999999</v>
      </c>
      <c r="U3604">
        <v>-6.9122309999999996E-3</v>
      </c>
      <c r="V3604">
        <v>2.52223E-2</v>
      </c>
      <c r="W3604">
        <v>1.632219E-2</v>
      </c>
      <c r="X3604">
        <v>0.99954859999999901</v>
      </c>
      <c r="Y3604">
        <v>1.222172E-2</v>
      </c>
      <c r="Z3604">
        <v>1.5820949999999999E-3</v>
      </c>
      <c r="AA3604">
        <v>0.99992409999999998</v>
      </c>
      <c r="AB3604">
        <v>25</v>
      </c>
      <c r="AC3604">
        <v>-0.68829999999999802</v>
      </c>
      <c r="AD3604">
        <v>-7.16699999999999E-2</v>
      </c>
      <c r="AE3604">
        <v>-2.0000000000663901E-4</v>
      </c>
      <c r="AF3604">
        <v>9.7457745612443691E-3</v>
      </c>
      <c r="AG3604">
        <v>-7.16699999999999E-2</v>
      </c>
      <c r="AH3604">
        <v>0.68084760817088197</v>
      </c>
      <c r="AI3604">
        <v>96.008547303042306</v>
      </c>
      <c r="AJ3604">
        <v>89.179913961550199</v>
      </c>
      <c r="AK3604">
        <v>0.68467878203856203</v>
      </c>
    </row>
    <row r="3605" spans="1:37" x14ac:dyDescent="0.2">
      <c r="A3605" t="str">
        <f>"20200111160231213"</f>
        <v>20200111160231213</v>
      </c>
      <c r="B3605" t="str">
        <f>"1578729751205871"</f>
        <v>1578729751205871</v>
      </c>
      <c r="C3605" t="s">
        <v>37</v>
      </c>
      <c r="D3605">
        <v>5.3869819999999997</v>
      </c>
      <c r="E3605">
        <v>0.497251099999999</v>
      </c>
      <c r="F3605" t="s">
        <v>42</v>
      </c>
      <c r="G3605">
        <v>-242.58340000000001</v>
      </c>
      <c r="H3605">
        <v>1.0325409999999999</v>
      </c>
      <c r="I3605">
        <v>136.27529999999999</v>
      </c>
      <c r="J3605">
        <v>-241.91679999999999</v>
      </c>
      <c r="K3605">
        <v>1.1028789999999999</v>
      </c>
      <c r="L3605">
        <v>136.2756</v>
      </c>
      <c r="M3605">
        <v>-0.99983699999999998</v>
      </c>
      <c r="N3605">
        <v>0</v>
      </c>
      <c r="O3605">
        <v>-1.267248E-2</v>
      </c>
      <c r="P3605">
        <v>-0.99993029999999905</v>
      </c>
      <c r="Q3605">
        <v>3.4197569999999998E-3</v>
      </c>
      <c r="R3605">
        <v>1.131742E-2</v>
      </c>
      <c r="S3605">
        <v>-3.0010680000000001</v>
      </c>
      <c r="T3605">
        <v>-0.230912799999999</v>
      </c>
      <c r="U3605">
        <v>-5.6915280000000004E-3</v>
      </c>
      <c r="V3605">
        <v>2.4042669999999999E-2</v>
      </c>
      <c r="W3605">
        <v>1.6202520000000002E-2</v>
      </c>
      <c r="X3605">
        <v>0.99957960000000001</v>
      </c>
      <c r="Y3605">
        <v>1.070805E-2</v>
      </c>
      <c r="Z3605">
        <v>1.3850329999999999E-3</v>
      </c>
      <c r="AA3605">
        <v>0.99994169999999905</v>
      </c>
      <c r="AB3605">
        <v>25</v>
      </c>
      <c r="AC3605">
        <v>-0.66660000000001596</v>
      </c>
      <c r="AD3605">
        <v>-7.0338000000000206E-2</v>
      </c>
      <c r="AE3605">
        <v>-3.0000000000995799E-4</v>
      </c>
      <c r="AF3605">
        <v>8.0584752052991707E-3</v>
      </c>
      <c r="AG3605">
        <v>-7.0338000000000206E-2</v>
      </c>
      <c r="AH3605">
        <v>0.65921064647642802</v>
      </c>
      <c r="AI3605">
        <v>96.089984176230701</v>
      </c>
      <c r="AJ3605">
        <v>89.299626570102504</v>
      </c>
      <c r="AK3605">
        <v>0.66300154577082604</v>
      </c>
    </row>
    <row r="3606" spans="1:37" x14ac:dyDescent="0.2">
      <c r="A3606" t="str">
        <f>"20200111160231240"</f>
        <v>20200111160231240</v>
      </c>
      <c r="B3606" t="str">
        <f>"1578729751236127"</f>
        <v>1578729751236127</v>
      </c>
      <c r="C3606" t="s">
        <v>37</v>
      </c>
      <c r="D3606">
        <v>5.4997930000000004</v>
      </c>
      <c r="E3606">
        <v>0.49686740000000001</v>
      </c>
      <c r="F3606" t="s">
        <v>42</v>
      </c>
      <c r="G3606">
        <v>-242.8091</v>
      </c>
      <c r="H3606">
        <v>1.033628</v>
      </c>
      <c r="I3606">
        <v>136.27369999999999</v>
      </c>
      <c r="J3606">
        <v>-242.20189999999999</v>
      </c>
      <c r="K3606">
        <v>1.1028830000000001</v>
      </c>
      <c r="L3606">
        <v>136.27449999999999</v>
      </c>
      <c r="M3606">
        <v>-0.99986369999999902</v>
      </c>
      <c r="N3606">
        <v>0</v>
      </c>
      <c r="O3606">
        <v>-1.051114E-2</v>
      </c>
      <c r="P3606">
        <v>-0.99992769999999997</v>
      </c>
      <c r="Q3606">
        <v>2.6465170000000001E-3</v>
      </c>
      <c r="R3606">
        <v>1.173665E-2</v>
      </c>
      <c r="S3606">
        <v>-3.0011139999999998</v>
      </c>
      <c r="T3606">
        <v>-0.2329032</v>
      </c>
      <c r="U3606">
        <v>-6.5612789999999997E-3</v>
      </c>
      <c r="V3606">
        <v>2.2295760000000001E-2</v>
      </c>
      <c r="W3606">
        <v>1.5306180000000001E-2</v>
      </c>
      <c r="X3606">
        <v>0.99963429999999998</v>
      </c>
      <c r="Y3606">
        <v>8.2693369999999999E-3</v>
      </c>
      <c r="Z3606">
        <v>1.134941E-3</v>
      </c>
      <c r="AA3606">
        <v>0.9999652</v>
      </c>
      <c r="AB3606">
        <v>25</v>
      </c>
      <c r="AC3606">
        <v>-0.60720000000000596</v>
      </c>
      <c r="AD3606">
        <v>-6.9254999999999997E-2</v>
      </c>
      <c r="AE3606">
        <v>-7.9999999999813499E-4</v>
      </c>
      <c r="AF3606">
        <v>5.5112311276677498E-3</v>
      </c>
      <c r="AG3606">
        <v>-6.9254999999999997E-2</v>
      </c>
      <c r="AH3606">
        <v>0.59937766265009096</v>
      </c>
      <c r="AI3606">
        <v>96.590728278755094</v>
      </c>
      <c r="AJ3606">
        <v>89.473184597019099</v>
      </c>
      <c r="AK3606">
        <v>0.60339059586426103</v>
      </c>
    </row>
    <row r="3607" spans="1:37" x14ac:dyDescent="0.2">
      <c r="A3607" t="str">
        <f>"20200111160231259"</f>
        <v>20200111160231259</v>
      </c>
      <c r="B3607" t="str">
        <f>"1578729751255648"</f>
        <v>1578729751255648</v>
      </c>
      <c r="C3607" t="s">
        <v>37</v>
      </c>
      <c r="D3607">
        <v>5.4519310000000001</v>
      </c>
      <c r="E3607">
        <v>0.49662580000000001</v>
      </c>
      <c r="F3607" t="s">
        <v>42</v>
      </c>
      <c r="G3607">
        <v>-243.03700000000001</v>
      </c>
      <c r="H3607">
        <v>1.0365309999999901</v>
      </c>
      <c r="I3607">
        <v>136.2723</v>
      </c>
      <c r="J3607">
        <v>-242.4246</v>
      </c>
      <c r="K3607">
        <v>1.102889</v>
      </c>
      <c r="L3607">
        <v>136.274</v>
      </c>
      <c r="M3607">
        <v>-0.99988120000000003</v>
      </c>
      <c r="N3607">
        <v>0</v>
      </c>
      <c r="O3607">
        <v>-8.8716609999999994E-3</v>
      </c>
      <c r="P3607">
        <v>-0.99993140000000003</v>
      </c>
      <c r="Q3607">
        <v>1.9884999999999998E-3</v>
      </c>
      <c r="R3607">
        <v>1.1558199999999999E-2</v>
      </c>
      <c r="S3607">
        <v>-3.0009459999999999</v>
      </c>
      <c r="T3607">
        <v>-0.23837510000000001</v>
      </c>
      <c r="U3607">
        <v>-8.9416500000000006E-3</v>
      </c>
      <c r="V3607">
        <v>2.047444E-2</v>
      </c>
      <c r="W3607">
        <v>1.453188E-2</v>
      </c>
      <c r="X3607">
        <v>0.99968480000000004</v>
      </c>
      <c r="Y3607">
        <v>5.8464869999999896E-3</v>
      </c>
      <c r="Z3607">
        <v>9.3547960000000001E-4</v>
      </c>
      <c r="AA3607">
        <v>0.9999825</v>
      </c>
      <c r="AB3607">
        <v>25</v>
      </c>
      <c r="AC3607">
        <v>-0.61240000000000705</v>
      </c>
      <c r="AD3607">
        <v>-6.6358000000000097E-2</v>
      </c>
      <c r="AE3607">
        <v>-1.6999999999995901E-3</v>
      </c>
      <c r="AF3607">
        <v>3.690176617249E-3</v>
      </c>
      <c r="AG3607">
        <v>-6.6358000000000097E-2</v>
      </c>
      <c r="AH3607">
        <v>0.60528420965338503</v>
      </c>
      <c r="AI3607">
        <v>96.256301045788703</v>
      </c>
      <c r="AJ3607">
        <v>89.650694792664297</v>
      </c>
      <c r="AK3607">
        <v>0.60892197860086295</v>
      </c>
    </row>
    <row r="3608" spans="1:37" x14ac:dyDescent="0.2">
      <c r="A3608" t="str">
        <f>"20200111160231281"</f>
        <v>20200111160231281</v>
      </c>
      <c r="B3608" t="str">
        <f>"1578729751276143"</f>
        <v>1578729751276143</v>
      </c>
      <c r="C3608" t="s">
        <v>37</v>
      </c>
      <c r="D3608">
        <v>5.4430189999999996</v>
      </c>
      <c r="E3608">
        <v>0.49642179999999902</v>
      </c>
      <c r="F3608" t="s">
        <v>42</v>
      </c>
      <c r="G3608">
        <v>-243.26159999999999</v>
      </c>
      <c r="H3608">
        <v>1.03537099999999</v>
      </c>
      <c r="I3608">
        <v>136.27070000000001</v>
      </c>
      <c r="J3608">
        <v>-242.67</v>
      </c>
      <c r="K3608">
        <v>1.102908</v>
      </c>
      <c r="L3608">
        <v>136.27379999999999</v>
      </c>
      <c r="M3608">
        <v>-0.99989719999999904</v>
      </c>
      <c r="N3608">
        <v>0</v>
      </c>
      <c r="O3608">
        <v>-7.1130899999999999E-3</v>
      </c>
      <c r="P3608">
        <v>-0.99993390000000004</v>
      </c>
      <c r="Q3608">
        <v>1.381312E-3</v>
      </c>
      <c r="R3608">
        <v>1.1427669999999999E-2</v>
      </c>
      <c r="S3608">
        <v>-3.000839</v>
      </c>
      <c r="T3608">
        <v>-0.24205079999999901</v>
      </c>
      <c r="U3608">
        <v>-1.202393E-2</v>
      </c>
      <c r="V3608">
        <v>1.858191E-2</v>
      </c>
      <c r="W3608">
        <v>1.3781409999999999E-2</v>
      </c>
      <c r="X3608">
        <v>0.99973239999999997</v>
      </c>
      <c r="Y3608">
        <v>3.0737779999999901E-3</v>
      </c>
      <c r="Z3608">
        <v>6.9662100000000002E-4</v>
      </c>
      <c r="AA3608">
        <v>0.99999509999999903</v>
      </c>
      <c r="AB3608">
        <v>25</v>
      </c>
      <c r="AC3608">
        <v>-0.59159999999999902</v>
      </c>
      <c r="AD3608">
        <v>-6.7537000000000097E-2</v>
      </c>
      <c r="AE3608">
        <v>-3.0999999999892199E-3</v>
      </c>
      <c r="AF3608">
        <v>1.09424825183067E-3</v>
      </c>
      <c r="AG3608">
        <v>-6.7537000000000097E-2</v>
      </c>
      <c r="AH3608">
        <v>0.58399636911209196</v>
      </c>
      <c r="AI3608">
        <v>96.596727297483795</v>
      </c>
      <c r="AJ3608">
        <v>89.892643625005306</v>
      </c>
      <c r="AK3608">
        <v>0.58788961794229999</v>
      </c>
    </row>
    <row r="3609" spans="1:37" x14ac:dyDescent="0.2">
      <c r="A3609" t="str">
        <f>"20200111160231303"</f>
        <v>20200111160231303</v>
      </c>
      <c r="B3609" t="str">
        <f>"1578729751295664"</f>
        <v>1578729751295664</v>
      </c>
      <c r="C3609" t="s">
        <v>37</v>
      </c>
      <c r="D3609">
        <v>5.3482099999999999</v>
      </c>
      <c r="E3609">
        <v>0.49626309999999901</v>
      </c>
      <c r="F3609" t="s">
        <v>42</v>
      </c>
      <c r="G3609">
        <v>-243.48779999999999</v>
      </c>
      <c r="H3609">
        <v>1.0360830000000001</v>
      </c>
      <c r="I3609">
        <v>136.27000000000001</v>
      </c>
      <c r="J3609">
        <v>-242.9306</v>
      </c>
      <c r="K3609">
        <v>1.1029249999999999</v>
      </c>
      <c r="L3609">
        <v>136.274</v>
      </c>
      <c r="M3609">
        <v>-0.99991049999999904</v>
      </c>
      <c r="N3609">
        <v>0</v>
      </c>
      <c r="O3609">
        <v>-5.292901E-3</v>
      </c>
      <c r="P3609">
        <v>-0.99992969999999903</v>
      </c>
      <c r="Q3609">
        <v>1.6917810000000001E-3</v>
      </c>
      <c r="R3609">
        <v>1.1742560000000001E-2</v>
      </c>
      <c r="S3609">
        <v>-3.0007169999999999</v>
      </c>
      <c r="T3609">
        <v>-0.24524019999999999</v>
      </c>
      <c r="U3609">
        <v>-1.4251710000000001E-2</v>
      </c>
      <c r="V3609">
        <v>1.7075880000000002E-2</v>
      </c>
      <c r="W3609">
        <v>1.3932079999999999E-2</v>
      </c>
      <c r="X3609">
        <v>0.99975709999999995</v>
      </c>
      <c r="Y3609">
        <v>5.245305E-4</v>
      </c>
      <c r="Z3609">
        <v>4.5327980000000001E-4</v>
      </c>
      <c r="AA3609">
        <v>0.99999979999999999</v>
      </c>
      <c r="AB3609">
        <v>25</v>
      </c>
      <c r="AC3609">
        <v>-0.55719999999999403</v>
      </c>
      <c r="AD3609">
        <v>-6.6841999999999804E-2</v>
      </c>
      <c r="AE3609">
        <v>-3.9999999999906699E-3</v>
      </c>
      <c r="AF3609">
        <v>-1.0356145974224299E-3</v>
      </c>
      <c r="AG3609">
        <v>-6.6841999999999804E-2</v>
      </c>
      <c r="AH3609">
        <v>0.54930893017035698</v>
      </c>
      <c r="AI3609">
        <v>96.937847501359101</v>
      </c>
      <c r="AJ3609">
        <v>90.108019862912101</v>
      </c>
      <c r="AK3609">
        <v>0.55336174987660303</v>
      </c>
    </row>
    <row r="3610" spans="1:37" x14ac:dyDescent="0.2">
      <c r="A3610" t="str">
        <f>"20200111160231325"</f>
        <v>20200111160231325</v>
      </c>
      <c r="B3610" t="str">
        <f>"1578729751316236"</f>
        <v>1578729751316236</v>
      </c>
      <c r="C3610" t="s">
        <v>37</v>
      </c>
      <c r="D3610">
        <v>5.4873779999999996</v>
      </c>
      <c r="E3610">
        <v>0.49594449999999901</v>
      </c>
      <c r="F3610" t="s">
        <v>42</v>
      </c>
      <c r="G3610">
        <v>-243.7157</v>
      </c>
      <c r="H3610">
        <v>1.038621</v>
      </c>
      <c r="I3610">
        <v>136.2704</v>
      </c>
      <c r="J3610">
        <v>-243.1789</v>
      </c>
      <c r="K3610">
        <v>1.1029340000000001</v>
      </c>
      <c r="L3610">
        <v>136.27459999999999</v>
      </c>
      <c r="M3610">
        <v>-0.99992000000000003</v>
      </c>
      <c r="N3610">
        <v>0</v>
      </c>
      <c r="O3610">
        <v>-3.5931879999999898E-3</v>
      </c>
      <c r="P3610">
        <v>-0.99991980000000003</v>
      </c>
      <c r="Q3610">
        <v>2.334118E-3</v>
      </c>
      <c r="R3610">
        <v>1.2466079999999999E-2</v>
      </c>
      <c r="S3610">
        <v>-3.0008089999999998</v>
      </c>
      <c r="T3610">
        <v>-0.24575929999999899</v>
      </c>
      <c r="U3610">
        <v>-1.4572140000000001E-2</v>
      </c>
      <c r="V3610">
        <v>1.61005E-2</v>
      </c>
      <c r="W3610">
        <v>1.442556E-2</v>
      </c>
      <c r="X3610">
        <v>0.9997663</v>
      </c>
      <c r="Y3610">
        <v>-1.2703510000000001E-3</v>
      </c>
      <c r="Z3610">
        <v>2.418686E-4</v>
      </c>
      <c r="AA3610">
        <v>0.99999919999999998</v>
      </c>
      <c r="AB3610">
        <v>25</v>
      </c>
      <c r="AC3610">
        <v>-0.53679999999999894</v>
      </c>
      <c r="AD3610">
        <v>-6.4312999999999995E-2</v>
      </c>
      <c r="AE3610">
        <v>-4.1999999999973101E-3</v>
      </c>
      <c r="AF3610">
        <v>-2.2388729169657202E-3</v>
      </c>
      <c r="AG3610">
        <v>-6.4312999999999995E-2</v>
      </c>
      <c r="AH3610">
        <v>0.529215736317873</v>
      </c>
      <c r="AI3610">
        <v>96.928838269517797</v>
      </c>
      <c r="AJ3610">
        <v>90.242391136405402</v>
      </c>
      <c r="AK3610">
        <v>0.53311393724738299</v>
      </c>
    </row>
    <row r="3611" spans="1:37" x14ac:dyDescent="0.2">
      <c r="A3611" t="str">
        <f>"20200111160231349"</f>
        <v>20200111160231349</v>
      </c>
      <c r="B3611" t="str">
        <f>"1578729751345513"</f>
        <v>1578729751345513</v>
      </c>
      <c r="C3611" t="s">
        <v>37</v>
      </c>
      <c r="D3611">
        <v>5.3977110000000001</v>
      </c>
      <c r="E3611">
        <v>0.49565589999999998</v>
      </c>
      <c r="F3611" t="s">
        <v>42</v>
      </c>
      <c r="G3611">
        <v>-243.94309999999999</v>
      </c>
      <c r="H3611">
        <v>1.04057</v>
      </c>
      <c r="I3611">
        <v>136.27119999999999</v>
      </c>
      <c r="J3611">
        <v>-243.43180000000001</v>
      </c>
      <c r="K3611">
        <v>1.102943</v>
      </c>
      <c r="L3611">
        <v>136.2757</v>
      </c>
      <c r="M3611">
        <v>-0.99992639999999999</v>
      </c>
      <c r="N3611">
        <v>0</v>
      </c>
      <c r="O3611">
        <v>-1.887105E-3</v>
      </c>
      <c r="P3611">
        <v>-0.99989939999999999</v>
      </c>
      <c r="Q3611">
        <v>2.6526190000000002E-3</v>
      </c>
      <c r="R3611">
        <v>1.394331E-2</v>
      </c>
      <c r="S3611">
        <v>-3.0009769999999998</v>
      </c>
      <c r="T3611">
        <v>-0.24490589999999901</v>
      </c>
      <c r="U3611">
        <v>-1.448059E-2</v>
      </c>
      <c r="V3611">
        <v>1.5871440000000001E-2</v>
      </c>
      <c r="W3611">
        <v>1.460006E-2</v>
      </c>
      <c r="X3611">
        <v>0.99976739999999997</v>
      </c>
      <c r="Y3611">
        <v>-2.934528E-3</v>
      </c>
      <c r="Z3611" s="1">
        <v>3.4216479999999999E-5</v>
      </c>
      <c r="AA3611">
        <v>0.99999570000000004</v>
      </c>
      <c r="AB3611">
        <v>25</v>
      </c>
      <c r="AC3611">
        <v>-0.511299999999977</v>
      </c>
      <c r="AD3611">
        <v>-6.2372999999999998E-2</v>
      </c>
      <c r="AE3611">
        <v>-4.5000000000072699E-3</v>
      </c>
      <c r="AF3611">
        <v>-3.4832150481290398E-3</v>
      </c>
      <c r="AG3611">
        <v>-6.2372999999999998E-2</v>
      </c>
      <c r="AH3611">
        <v>0.50381078927289202</v>
      </c>
      <c r="AI3611">
        <v>97.057279378310497</v>
      </c>
      <c r="AJ3611">
        <v>90.396121611286802</v>
      </c>
      <c r="AK3611">
        <v>0.50766902141439196</v>
      </c>
    </row>
    <row r="3612" spans="1:37" x14ac:dyDescent="0.2">
      <c r="A3612" t="str">
        <f>"20200111160231370"</f>
        <v>20200111160231370</v>
      </c>
      <c r="B3612" t="str">
        <f>"1578729751366010"</f>
        <v>1578729751366010</v>
      </c>
      <c r="C3612" t="s">
        <v>37</v>
      </c>
      <c r="D3612">
        <v>5.3979499999999998</v>
      </c>
      <c r="E3612">
        <v>0.4955907</v>
      </c>
      <c r="F3612" t="s">
        <v>38</v>
      </c>
      <c r="G3612">
        <v>-256.93819999999999</v>
      </c>
      <c r="H3612" s="1">
        <v>-1.9312490000000001E-6</v>
      </c>
      <c r="I3612">
        <v>136.22149999999999</v>
      </c>
      <c r="J3612">
        <v>-243.67869999999999</v>
      </c>
      <c r="K3612">
        <v>1.1029389999999999</v>
      </c>
      <c r="L3612">
        <v>136.27709999999999</v>
      </c>
      <c r="M3612">
        <v>-0.99992959999999997</v>
      </c>
      <c r="N3612">
        <v>0</v>
      </c>
      <c r="O3612">
        <v>-2.37509399999999E-4</v>
      </c>
      <c r="P3612">
        <v>-0.99986679999999994</v>
      </c>
      <c r="Q3612">
        <v>3.083583E-3</v>
      </c>
      <c r="R3612">
        <v>1.6022669999999999E-2</v>
      </c>
      <c r="S3612">
        <v>-3.0011139999999998</v>
      </c>
      <c r="T3612">
        <v>-0.2450745</v>
      </c>
      <c r="U3612">
        <v>-1.202393E-2</v>
      </c>
      <c r="V3612">
        <v>1.630179E-2</v>
      </c>
      <c r="W3612">
        <v>1.4901869999999999E-2</v>
      </c>
      <c r="X3612">
        <v>0.99975599999999998</v>
      </c>
      <c r="Y3612">
        <v>-3.7572159999999999E-3</v>
      </c>
      <c r="Z3612">
        <v>-1.337895E-4</v>
      </c>
      <c r="AA3612">
        <v>0.99999289999999996</v>
      </c>
      <c r="AB3612">
        <v>25</v>
      </c>
      <c r="AC3612">
        <v>-13.259499999999999</v>
      </c>
      <c r="AD3612">
        <v>-1.1029409312489999</v>
      </c>
      <c r="AE3612">
        <v>-5.5599999999998297E-2</v>
      </c>
      <c r="AF3612">
        <v>-5.2090110061939698E-2</v>
      </c>
      <c r="AG3612">
        <v>-1.1029409312489999</v>
      </c>
      <c r="AH3612">
        <v>13.168400825246801</v>
      </c>
      <c r="AI3612">
        <v>94.787689652226106</v>
      </c>
      <c r="AJ3612">
        <v>90.226643153850603</v>
      </c>
      <c r="AK3612">
        <v>13.214612077989701</v>
      </c>
    </row>
    <row r="3613" spans="1:37" x14ac:dyDescent="0.2">
      <c r="A3613" t="str">
        <f>"20200111160231394"</f>
        <v>20200111160231394</v>
      </c>
      <c r="B3613" t="str">
        <f>"1578729751385530"</f>
        <v>1578729751385530</v>
      </c>
      <c r="C3613" t="s">
        <v>37</v>
      </c>
      <c r="D3613">
        <v>5.356077</v>
      </c>
      <c r="E3613">
        <v>0.4953437</v>
      </c>
      <c r="F3613" t="s">
        <v>42</v>
      </c>
      <c r="G3613">
        <v>-244.61089999999999</v>
      </c>
      <c r="H3613">
        <v>1.0270379999999999</v>
      </c>
      <c r="I3613">
        <v>136.27549999999999</v>
      </c>
      <c r="J3613">
        <v>-243.94280000000001</v>
      </c>
      <c r="K3613">
        <v>1.1029309999999899</v>
      </c>
      <c r="L3613">
        <v>136.279</v>
      </c>
      <c r="M3613">
        <v>-0.99992999999999899</v>
      </c>
      <c r="N3613">
        <v>0</v>
      </c>
      <c r="O3613">
        <v>1.51726799999999E-3</v>
      </c>
      <c r="P3613">
        <v>-0.99982760000000004</v>
      </c>
      <c r="Q3613">
        <v>3.27442599999999E-3</v>
      </c>
      <c r="R3613">
        <v>1.8287149999999999E-2</v>
      </c>
      <c r="S3613">
        <v>-3.0012509999999999</v>
      </c>
      <c r="T3613">
        <v>-0.2443237</v>
      </c>
      <c r="U3613">
        <v>-5.9204100000000001E-3</v>
      </c>
      <c r="V3613">
        <v>1.6812110000000002E-2</v>
      </c>
      <c r="W3613">
        <v>1.4969090000000001E-2</v>
      </c>
      <c r="X3613">
        <v>0.99974660000000004</v>
      </c>
      <c r="Y3613">
        <v>-3.4735009999999999E-3</v>
      </c>
      <c r="Z3613">
        <v>-2.644716E-4</v>
      </c>
      <c r="AA3613">
        <v>0.99999389999999999</v>
      </c>
      <c r="AB3613">
        <v>25</v>
      </c>
      <c r="AC3613">
        <v>-0.66809999999998104</v>
      </c>
      <c r="AD3613">
        <v>-7.5892999999999905E-2</v>
      </c>
      <c r="AE3613">
        <v>-3.5000000000024998E-3</v>
      </c>
      <c r="AF3613">
        <v>-4.4562511415808404E-3</v>
      </c>
      <c r="AG3613">
        <v>-7.5892999999999905E-2</v>
      </c>
      <c r="AH3613">
        <v>0.65958297058297999</v>
      </c>
      <c r="AI3613">
        <v>96.563559364563901</v>
      </c>
      <c r="AJ3613">
        <v>90.387093829785201</v>
      </c>
      <c r="AK3613">
        <v>0.66394977272855904</v>
      </c>
    </row>
    <row r="3614" spans="1:37" x14ac:dyDescent="0.2">
      <c r="A3614" t="str">
        <f>"20200111160231415"</f>
        <v>20200111160231415</v>
      </c>
      <c r="B3614" t="str">
        <f>"1578729751406025"</f>
        <v>1578729751406025</v>
      </c>
      <c r="C3614" t="s">
        <v>37</v>
      </c>
      <c r="D3614">
        <v>5.3563599999999996</v>
      </c>
      <c r="E3614">
        <v>0.49519340000000001</v>
      </c>
      <c r="F3614" t="s">
        <v>42</v>
      </c>
      <c r="G3614">
        <v>-244.83860000000001</v>
      </c>
      <c r="H3614">
        <v>1.0299160000000001</v>
      </c>
      <c r="I3614">
        <v>136.27889999999999</v>
      </c>
      <c r="J3614">
        <v>-244.19380000000001</v>
      </c>
      <c r="K3614">
        <v>1.1029149999999901</v>
      </c>
      <c r="L3614">
        <v>136.28129999999999</v>
      </c>
      <c r="M3614">
        <v>-0.99992719999999902</v>
      </c>
      <c r="N3614">
        <v>0</v>
      </c>
      <c r="O3614">
        <v>3.1825289999999999E-3</v>
      </c>
      <c r="P3614">
        <v>-0.99979189999999996</v>
      </c>
      <c r="Q3614">
        <v>3.103144E-3</v>
      </c>
      <c r="R3614">
        <v>2.016548E-2</v>
      </c>
      <c r="S3614">
        <v>-3.001312</v>
      </c>
      <c r="T3614">
        <v>-0.244621799999999</v>
      </c>
      <c r="U3614">
        <v>-1.037598E-3</v>
      </c>
      <c r="V3614">
        <v>1.702466E-2</v>
      </c>
      <c r="W3614">
        <v>1.4694459999999999E-2</v>
      </c>
      <c r="X3614">
        <v>0.9997471</v>
      </c>
      <c r="Y3614">
        <v>-3.5062769999999999E-3</v>
      </c>
      <c r="Z3614">
        <v>-4.0163260000000001E-4</v>
      </c>
      <c r="AA3614">
        <v>0.99999380000000004</v>
      </c>
      <c r="AB3614">
        <v>25</v>
      </c>
      <c r="AC3614">
        <v>-0.64480000000000304</v>
      </c>
      <c r="AD3614">
        <v>-7.29989999999998E-2</v>
      </c>
      <c r="AE3614">
        <v>-2.3999999999944001E-3</v>
      </c>
      <c r="AF3614">
        <v>-4.3958806701163804E-3</v>
      </c>
      <c r="AG3614">
        <v>-7.29989999999998E-2</v>
      </c>
      <c r="AH3614">
        <v>0.63662957652547003</v>
      </c>
      <c r="AI3614">
        <v>96.541085960784002</v>
      </c>
      <c r="AJ3614">
        <v>90.395616880251794</v>
      </c>
      <c r="AK3614">
        <v>0.64081619476638196</v>
      </c>
    </row>
    <row r="3615" spans="1:37" x14ac:dyDescent="0.2">
      <c r="A3615" t="str">
        <f>"20200111160231438"</f>
        <v>20200111160231438</v>
      </c>
      <c r="B3615" t="str">
        <f>"1578729751435306"</f>
        <v>1578729751435306</v>
      </c>
      <c r="C3615" t="s">
        <v>37</v>
      </c>
      <c r="D3615">
        <v>5.3322320000000003</v>
      </c>
      <c r="E3615">
        <v>0.49486999999999998</v>
      </c>
      <c r="F3615" t="s">
        <v>42</v>
      </c>
      <c r="G3615">
        <v>-245.06630000000001</v>
      </c>
      <c r="H3615">
        <v>1.031377</v>
      </c>
      <c r="I3615">
        <v>136.28229999999999</v>
      </c>
      <c r="J3615">
        <v>-244.44380000000001</v>
      </c>
      <c r="K3615">
        <v>1.1029149999999901</v>
      </c>
      <c r="L3615">
        <v>136.28399999999999</v>
      </c>
      <c r="M3615">
        <v>-0.99992159999999997</v>
      </c>
      <c r="N3615">
        <v>0</v>
      </c>
      <c r="O3615">
        <v>4.8395030000000002E-3</v>
      </c>
      <c r="P3615">
        <v>-0.99975729999999996</v>
      </c>
      <c r="Q3615">
        <v>2.0397530000000001E-3</v>
      </c>
      <c r="R3615">
        <v>2.193525E-2</v>
      </c>
      <c r="S3615">
        <v>-3.001312</v>
      </c>
      <c r="T3615">
        <v>-0.24608679999999999</v>
      </c>
      <c r="U3615">
        <v>3.372192E-3</v>
      </c>
      <c r="V3615">
        <v>1.7134449999999999E-2</v>
      </c>
      <c r="W3615">
        <v>1.354063E-2</v>
      </c>
      <c r="X3615">
        <v>0.99976149999999997</v>
      </c>
      <c r="Y3615">
        <v>-3.6876470000000001E-3</v>
      </c>
      <c r="Z3615">
        <v>-5.4709330000000001E-4</v>
      </c>
      <c r="AA3615">
        <v>0.99999300000000002</v>
      </c>
      <c r="AB3615">
        <v>25</v>
      </c>
      <c r="AC3615">
        <v>-0.62250000000000205</v>
      </c>
      <c r="AD3615">
        <v>-7.1537999999999796E-2</v>
      </c>
      <c r="AE3615">
        <v>-1.6999999999995901E-3</v>
      </c>
      <c r="AF3615">
        <v>-4.6513431115869702E-3</v>
      </c>
      <c r="AG3615">
        <v>-7.1537999999999796E-2</v>
      </c>
      <c r="AH3615">
        <v>0.614370721715361</v>
      </c>
      <c r="AI3615">
        <v>96.641485364736795</v>
      </c>
      <c r="AJ3615">
        <v>90.433772685234004</v>
      </c>
      <c r="AK3615">
        <v>0.61853916944506904</v>
      </c>
    </row>
    <row r="3616" spans="1:37" x14ac:dyDescent="0.2">
      <c r="A3616" t="str">
        <f>"20200111160231460"</f>
        <v>20200111160231460</v>
      </c>
      <c r="B3616" t="str">
        <f>"1578729751455802"</f>
        <v>1578729751455802</v>
      </c>
      <c r="C3616" t="s">
        <v>37</v>
      </c>
      <c r="D3616">
        <v>5.3290860000000002</v>
      </c>
      <c r="E3616">
        <v>0.49470249999999999</v>
      </c>
      <c r="F3616" t="s">
        <v>42</v>
      </c>
      <c r="G3616">
        <v>-245.29349999999999</v>
      </c>
      <c r="H3616">
        <v>1.031995</v>
      </c>
      <c r="I3616">
        <v>136.28579999999999</v>
      </c>
      <c r="J3616">
        <v>-244.69880000000001</v>
      </c>
      <c r="K3616">
        <v>1.1029100000000001</v>
      </c>
      <c r="L3616">
        <v>136.28710000000001</v>
      </c>
      <c r="M3616">
        <v>-0.99991299999999905</v>
      </c>
      <c r="N3616">
        <v>0</v>
      </c>
      <c r="O3616">
        <v>6.5232040000000003E-3</v>
      </c>
      <c r="P3616">
        <v>-0.9997298</v>
      </c>
      <c r="Q3616">
        <v>7.9202649999999999E-4</v>
      </c>
      <c r="R3616">
        <v>2.3238499999999999E-2</v>
      </c>
      <c r="S3616">
        <v>-3.001099</v>
      </c>
      <c r="T3616">
        <v>-0.25048759999999998</v>
      </c>
      <c r="U3616">
        <v>5.9356690000000002E-3</v>
      </c>
      <c r="V3616">
        <v>1.6750649999999999E-2</v>
      </c>
      <c r="W3616">
        <v>1.221418E-2</v>
      </c>
      <c r="X3616">
        <v>0.99978509999999998</v>
      </c>
      <c r="Y3616">
        <v>-4.5074759999999998E-3</v>
      </c>
      <c r="Z3616">
        <v>-7.3132969999999999E-4</v>
      </c>
      <c r="AA3616">
        <v>0.99998960000000003</v>
      </c>
      <c r="AB3616">
        <v>25</v>
      </c>
      <c r="AC3616">
        <v>-0.59469999999998802</v>
      </c>
      <c r="AD3616">
        <v>-7.0915000000000006E-2</v>
      </c>
      <c r="AE3616">
        <v>-1.3000000000147299E-3</v>
      </c>
      <c r="AF3616">
        <v>-5.1069593379516002E-3</v>
      </c>
      <c r="AG3616">
        <v>-7.0915000000000006E-2</v>
      </c>
      <c r="AH3616">
        <v>0.58634149805649904</v>
      </c>
      <c r="AI3616">
        <v>96.895877305603804</v>
      </c>
      <c r="AJ3616">
        <v>90.499026281224801</v>
      </c>
      <c r="AK3616">
        <v>0.59063641151034596</v>
      </c>
    </row>
    <row r="3617" spans="1:37" x14ac:dyDescent="0.2">
      <c r="A3617" t="str">
        <f>"20200111160231483"</f>
        <v>20200111160231483</v>
      </c>
      <c r="B3617" t="str">
        <f>"1578729751475321"</f>
        <v>1578729751475321</v>
      </c>
      <c r="C3617" t="s">
        <v>37</v>
      </c>
      <c r="D3617">
        <v>5.3266939999999998</v>
      </c>
      <c r="E3617">
        <v>0.49442249999999999</v>
      </c>
      <c r="F3617" t="s">
        <v>42</v>
      </c>
      <c r="G3617">
        <v>-245.52119999999999</v>
      </c>
      <c r="H3617">
        <v>1.033026</v>
      </c>
      <c r="I3617">
        <v>136.28960000000001</v>
      </c>
      <c r="J3617">
        <v>-244.95650000000001</v>
      </c>
      <c r="K3617">
        <v>1.1029149999999901</v>
      </c>
      <c r="L3617">
        <v>136.29069999999999</v>
      </c>
      <c r="M3617">
        <v>-0.99990140000000005</v>
      </c>
      <c r="N3617">
        <v>0</v>
      </c>
      <c r="O3617">
        <v>8.2051529999999998E-3</v>
      </c>
      <c r="P3617">
        <v>-0.99969229999999998</v>
      </c>
      <c r="Q3617">
        <v>-3.0660259999999999E-4</v>
      </c>
      <c r="R3617">
        <v>2.4805549999999999E-2</v>
      </c>
      <c r="S3617">
        <v>-3.0008240000000002</v>
      </c>
      <c r="T3617">
        <v>-0.25498219999999999</v>
      </c>
      <c r="U3617">
        <v>8.5144039999999997E-3</v>
      </c>
      <c r="V3617">
        <v>1.663245E-2</v>
      </c>
      <c r="W3617">
        <v>1.104553E-2</v>
      </c>
      <c r="X3617">
        <v>0.99980069999999999</v>
      </c>
      <c r="Y3617">
        <v>-5.3196659999999998E-3</v>
      </c>
      <c r="Z3617">
        <v>-9.2158089999999995E-4</v>
      </c>
      <c r="AA3617">
        <v>0.99998539999999903</v>
      </c>
      <c r="AB3617">
        <v>25</v>
      </c>
      <c r="AC3617">
        <v>-0.56469999999998699</v>
      </c>
      <c r="AD3617">
        <v>-6.9888999999999799E-2</v>
      </c>
      <c r="AE3617">
        <v>-1.09999999997967E-3</v>
      </c>
      <c r="AF3617">
        <v>-5.6472140423091096E-3</v>
      </c>
      <c r="AG3617">
        <v>-6.9888999999999799E-2</v>
      </c>
      <c r="AH3617">
        <v>0.55615323107645398</v>
      </c>
      <c r="AI3617">
        <v>97.162163831151602</v>
      </c>
      <c r="AJ3617">
        <v>90.581764867977896</v>
      </c>
      <c r="AK3617">
        <v>0.56055577758526298</v>
      </c>
    </row>
    <row r="3618" spans="1:37" x14ac:dyDescent="0.2">
      <c r="A3618" t="str">
        <f>"20200111160231505"</f>
        <v>20200111160231505</v>
      </c>
      <c r="B3618" t="str">
        <f>"1578729751495817"</f>
        <v>1578729751495817</v>
      </c>
      <c r="C3618" t="s">
        <v>37</v>
      </c>
      <c r="D3618">
        <v>5.2617120000000002</v>
      </c>
      <c r="E3618">
        <v>0.48397119999999999</v>
      </c>
      <c r="F3618" t="s">
        <v>42</v>
      </c>
      <c r="G3618">
        <v>-245.74950000000001</v>
      </c>
      <c r="H3618">
        <v>1.0345439999999999</v>
      </c>
      <c r="I3618">
        <v>136.2938</v>
      </c>
      <c r="J3618">
        <v>-245.20869999999999</v>
      </c>
      <c r="K3618">
        <v>1.102929</v>
      </c>
      <c r="L3618">
        <v>136.2946</v>
      </c>
      <c r="M3618">
        <v>-0.99988750000000004</v>
      </c>
      <c r="N3618">
        <v>0</v>
      </c>
      <c r="O3618">
        <v>9.8155769999999903E-3</v>
      </c>
      <c r="P3618">
        <v>-0.99965269999999995</v>
      </c>
      <c r="Q3618">
        <v>-7.2089959999999999E-4</v>
      </c>
      <c r="R3618">
        <v>2.6341130000000001E-2</v>
      </c>
      <c r="S3618">
        <v>-3.0005950000000001</v>
      </c>
      <c r="T3618">
        <v>-0.25864510000000002</v>
      </c>
      <c r="U3618">
        <v>1.063538E-2</v>
      </c>
      <c r="V3618">
        <v>1.6555879999999999E-2</v>
      </c>
      <c r="W3618">
        <v>1.0572059999999999E-2</v>
      </c>
      <c r="X3618">
        <v>0.99980709999999995</v>
      </c>
      <c r="Y3618">
        <v>-6.2124830000000004E-3</v>
      </c>
      <c r="Z3618">
        <v>-1.11181E-3</v>
      </c>
      <c r="AA3618">
        <v>0.99998009999999904</v>
      </c>
      <c r="AB3618">
        <v>25</v>
      </c>
      <c r="AC3618">
        <v>-0.54080000000001804</v>
      </c>
      <c r="AD3618">
        <v>-6.8384999999999904E-2</v>
      </c>
      <c r="AE3618">
        <v>-7.9999999999813499E-4</v>
      </c>
      <c r="AF3618">
        <v>-6.0124284700148901E-3</v>
      </c>
      <c r="AG3618">
        <v>-6.8384999999999904E-2</v>
      </c>
      <c r="AH3618">
        <v>0.53225534929611296</v>
      </c>
      <c r="AI3618">
        <v>97.320879501264699</v>
      </c>
      <c r="AJ3618">
        <v>90.647193353820597</v>
      </c>
      <c r="AK3618">
        <v>0.53666415417413005</v>
      </c>
    </row>
    <row r="3619" spans="1:37" x14ac:dyDescent="0.2">
      <c r="A3619" t="str">
        <f>"20200111160231527"</f>
        <v>20200111160231527</v>
      </c>
      <c r="B3619" t="str">
        <f>"1578729751515337"</f>
        <v>1578729751515337</v>
      </c>
      <c r="C3619" t="s">
        <v>37</v>
      </c>
      <c r="D3619">
        <v>5.2682159999999998</v>
      </c>
      <c r="E3619">
        <v>0.48478869999999902</v>
      </c>
      <c r="F3619" t="s">
        <v>38</v>
      </c>
      <c r="G3619">
        <v>-258.20409999999998</v>
      </c>
      <c r="H3619" s="1">
        <v>-1.559336E-6</v>
      </c>
      <c r="I3619">
        <v>136.00020000000001</v>
      </c>
      <c r="J3619">
        <v>-245.4573</v>
      </c>
      <c r="K3619">
        <v>1.1029629999999999</v>
      </c>
      <c r="L3619">
        <v>136.2988</v>
      </c>
      <c r="M3619">
        <v>-0.99987190000000004</v>
      </c>
      <c r="N3619">
        <v>0</v>
      </c>
      <c r="O3619">
        <v>1.134516E-2</v>
      </c>
      <c r="P3619">
        <v>-0.99960329999999997</v>
      </c>
      <c r="Q3619">
        <v>-6.913431E-4</v>
      </c>
      <c r="R3619">
        <v>2.8157299999999899E-2</v>
      </c>
      <c r="S3619">
        <v>-3.0026700000000002</v>
      </c>
      <c r="T3619">
        <v>-0.25484089999999998</v>
      </c>
      <c r="U3619">
        <v>-6.800842E-2</v>
      </c>
      <c r="V3619">
        <v>1.684194E-2</v>
      </c>
      <c r="W3619">
        <v>1.0551079999999999E-2</v>
      </c>
      <c r="X3619">
        <v>0.99980249999999904</v>
      </c>
      <c r="Y3619">
        <v>-3.3822720000000001E-2</v>
      </c>
      <c r="Z3619">
        <v>-2.3936389999999999E-3</v>
      </c>
      <c r="AA3619">
        <v>0.99942500000000001</v>
      </c>
      <c r="AB3619">
        <v>25</v>
      </c>
      <c r="AC3619">
        <v>-12.746799999999901</v>
      </c>
      <c r="AD3619">
        <v>-1.102964559336</v>
      </c>
      <c r="AE3619">
        <v>-0.29859999999999298</v>
      </c>
      <c r="AF3619">
        <v>-0.439912566508466</v>
      </c>
      <c r="AG3619">
        <v>-1.102964559336</v>
      </c>
      <c r="AH3619">
        <v>12.647945598372299</v>
      </c>
      <c r="AI3619">
        <v>94.980875710054704</v>
      </c>
      <c r="AJ3619">
        <v>91.992021288197805</v>
      </c>
      <c r="AK3619">
        <v>12.703565709859101</v>
      </c>
    </row>
    <row r="3620" spans="1:37" x14ac:dyDescent="0.2">
      <c r="A3620" t="str">
        <f>"20200111160231550"</f>
        <v>20200111160231550</v>
      </c>
      <c r="B3620" t="str">
        <f>"1578729751545593"</f>
        <v>1578729751545593</v>
      </c>
      <c r="C3620" t="s">
        <v>37</v>
      </c>
      <c r="D3620">
        <v>5.2609789999999998</v>
      </c>
      <c r="E3620">
        <v>0.48455349999999903</v>
      </c>
      <c r="F3620" t="s">
        <v>38</v>
      </c>
      <c r="G3620">
        <v>-258.47730000000001</v>
      </c>
      <c r="H3620" s="1">
        <v>-1.451954E-6</v>
      </c>
      <c r="I3620">
        <v>136.05439999999999</v>
      </c>
      <c r="J3620">
        <v>-245.7159</v>
      </c>
      <c r="K3620">
        <v>1.1030260000000001</v>
      </c>
      <c r="L3620">
        <v>136.30350000000001</v>
      </c>
      <c r="M3620">
        <v>-0.99985429999999997</v>
      </c>
      <c r="N3620">
        <v>0</v>
      </c>
      <c r="O3620">
        <v>1.284454E-2</v>
      </c>
      <c r="P3620">
        <v>-0.99955349999999998</v>
      </c>
      <c r="Q3620">
        <v>-6.171614E-4</v>
      </c>
      <c r="R3620">
        <v>2.9876750000000001E-2</v>
      </c>
      <c r="S3620">
        <v>-3.0026090000000001</v>
      </c>
      <c r="T3620">
        <v>-0.25436239999999999</v>
      </c>
      <c r="U3620">
        <v>-5.6350709999999998E-2</v>
      </c>
      <c r="V3620">
        <v>1.7061130000000001E-2</v>
      </c>
      <c r="W3620">
        <v>1.058446E-2</v>
      </c>
      <c r="X3620">
        <v>0.99979839999999998</v>
      </c>
      <c r="Y3620">
        <v>-3.14469E-2</v>
      </c>
      <c r="Z3620">
        <v>-2.4156439999999898E-3</v>
      </c>
      <c r="AA3620">
        <v>0.99950249999999996</v>
      </c>
      <c r="AB3620">
        <v>25</v>
      </c>
      <c r="AC3620">
        <v>-12.7614</v>
      </c>
      <c r="AD3620">
        <v>-1.103027451954</v>
      </c>
      <c r="AE3620">
        <v>-0.249100000000026</v>
      </c>
      <c r="AF3620">
        <v>-0.40994262531039199</v>
      </c>
      <c r="AG3620">
        <v>-1.103027451954</v>
      </c>
      <c r="AH3620">
        <v>12.662581823431401</v>
      </c>
      <c r="AI3620">
        <v>94.9758293444076</v>
      </c>
      <c r="AJ3620">
        <v>91.854264940538499</v>
      </c>
      <c r="AK3620">
        <v>12.717142011902901</v>
      </c>
    </row>
    <row r="3621" spans="1:37" x14ac:dyDescent="0.2">
      <c r="A3621" t="str">
        <f>"20200111160231571"</f>
        <v>20200111160231571</v>
      </c>
      <c r="B3621" t="str">
        <f>"1578729751566089"</f>
        <v>1578729751566089</v>
      </c>
      <c r="C3621" t="s">
        <v>37</v>
      </c>
      <c r="D3621">
        <v>5.263261</v>
      </c>
      <c r="E3621">
        <v>0.48472989999999999</v>
      </c>
      <c r="F3621" t="s">
        <v>42</v>
      </c>
      <c r="G3621">
        <v>-246.65549999999999</v>
      </c>
      <c r="H3621">
        <v>1.023962</v>
      </c>
      <c r="I3621">
        <v>136.28710000000001</v>
      </c>
      <c r="J3621">
        <v>-245.96260000000001</v>
      </c>
      <c r="K3621">
        <v>1.1030959999999901</v>
      </c>
      <c r="L3621">
        <v>136.3082</v>
      </c>
      <c r="M3621">
        <v>-0.99983699999999998</v>
      </c>
      <c r="N3621">
        <v>0</v>
      </c>
      <c r="O3621">
        <v>1.416108E-2</v>
      </c>
      <c r="P3621">
        <v>-0.99949599999999905</v>
      </c>
      <c r="Q3621">
        <v>-1.5390999999999901E-3</v>
      </c>
      <c r="R3621">
        <v>3.1714350000000002E-2</v>
      </c>
      <c r="S3621">
        <v>-3.0027619999999899</v>
      </c>
      <c r="T3621">
        <v>-0.25270029999999999</v>
      </c>
      <c r="U3621">
        <v>-5.290222E-2</v>
      </c>
      <c r="V3621">
        <v>1.7578610000000001E-2</v>
      </c>
      <c r="W3621">
        <v>9.6336939999999999E-3</v>
      </c>
      <c r="X3621">
        <v>0.99979910000000005</v>
      </c>
      <c r="Y3621">
        <v>-3.161137E-2</v>
      </c>
      <c r="Z3621">
        <v>-2.5173209999999999E-3</v>
      </c>
      <c r="AA3621">
        <v>0.99949709999999903</v>
      </c>
      <c r="AB3621">
        <v>25</v>
      </c>
      <c r="AC3621">
        <v>-0.69289999999997998</v>
      </c>
      <c r="AD3621">
        <v>-7.9133999999999802E-2</v>
      </c>
      <c r="AE3621">
        <v>-2.1099999999989901E-2</v>
      </c>
      <c r="AF3621">
        <v>-3.0513091254067599E-2</v>
      </c>
      <c r="AG3621">
        <v>-7.9133999999999802E-2</v>
      </c>
      <c r="AH3621">
        <v>0.68362330017039497</v>
      </c>
      <c r="AI3621">
        <v>96.596474819413999</v>
      </c>
      <c r="AJ3621">
        <v>92.555664428013102</v>
      </c>
      <c r="AK3621">
        <v>0.688864322802206</v>
      </c>
    </row>
    <row r="3622" spans="1:37" x14ac:dyDescent="0.2">
      <c r="A3622" t="str">
        <f>"20200111160231594"</f>
        <v>20200111160231594</v>
      </c>
      <c r="B3622" t="str">
        <f>"1578729751585609"</f>
        <v>1578729751585609</v>
      </c>
      <c r="C3622" t="s">
        <v>37</v>
      </c>
      <c r="D3622">
        <v>5.2176429999999998</v>
      </c>
      <c r="E3622">
        <v>0.50096430000000003</v>
      </c>
      <c r="F3622" t="s">
        <v>42</v>
      </c>
      <c r="G3622">
        <v>-246.88310000000001</v>
      </c>
      <c r="H3622">
        <v>1.024664</v>
      </c>
      <c r="I3622">
        <v>136.29419999999999</v>
      </c>
      <c r="J3622">
        <v>-246.22450000000001</v>
      </c>
      <c r="K3622">
        <v>1.1031759999999999</v>
      </c>
      <c r="L3622">
        <v>136.3134</v>
      </c>
      <c r="M3622">
        <v>-0.99981810000000004</v>
      </c>
      <c r="N3622">
        <v>0</v>
      </c>
      <c r="O3622">
        <v>1.545272E-2</v>
      </c>
      <c r="P3622">
        <v>-0.99943110000000002</v>
      </c>
      <c r="Q3622">
        <v>-3.3521800000000002E-3</v>
      </c>
      <c r="R3622">
        <v>3.3562439999999999E-2</v>
      </c>
      <c r="S3622">
        <v>-3.002548</v>
      </c>
      <c r="T3622">
        <v>-0.25582769999999999</v>
      </c>
      <c r="U3622">
        <v>-4.5471190000000002E-2</v>
      </c>
      <c r="V3622">
        <v>1.813006E-2</v>
      </c>
      <c r="W3622">
        <v>7.7993719999999997E-3</v>
      </c>
      <c r="X3622">
        <v>0.99980519999999995</v>
      </c>
      <c r="Y3622">
        <v>-3.0426370000000001E-2</v>
      </c>
      <c r="Z3622">
        <v>-2.6080510000000001E-3</v>
      </c>
      <c r="AA3622">
        <v>0.99953359999999902</v>
      </c>
      <c r="AB3622">
        <v>25</v>
      </c>
      <c r="AC3622">
        <v>-0.65860000000000696</v>
      </c>
      <c r="AD3622">
        <v>-7.8511999999999901E-2</v>
      </c>
      <c r="AE3622">
        <v>-1.9200000000011999E-2</v>
      </c>
      <c r="AF3622">
        <v>-2.8964239587459702E-2</v>
      </c>
      <c r="AG3622">
        <v>-7.8511999999999901E-2</v>
      </c>
      <c r="AH3622">
        <v>0.64900931810596196</v>
      </c>
      <c r="AI3622">
        <v>96.890879105410306</v>
      </c>
      <c r="AJ3622">
        <v>92.555322699417601</v>
      </c>
      <c r="AK3622">
        <v>0.65438227077698696</v>
      </c>
    </row>
    <row r="3623" spans="1:37" x14ac:dyDescent="0.2">
      <c r="A3623" t="str">
        <f>"20200111160231751"</f>
        <v>20200111160231751</v>
      </c>
      <c r="B3623" t="str">
        <f>"1578729751745344"</f>
        <v>1578729751745344</v>
      </c>
      <c r="C3623" t="s">
        <v>37</v>
      </c>
      <c r="D3623">
        <v>5.3770040000000003</v>
      </c>
      <c r="E3623">
        <v>0.48621759999999897</v>
      </c>
      <c r="F3623" t="s">
        <v>42</v>
      </c>
      <c r="G3623">
        <v>-248.2492</v>
      </c>
      <c r="H3623">
        <v>1.0324059999999999</v>
      </c>
      <c r="I3623">
        <v>136.3724</v>
      </c>
      <c r="J3623">
        <v>-248.00360000000001</v>
      </c>
      <c r="K3623">
        <v>1.1039939999999999</v>
      </c>
      <c r="L3623">
        <v>136.351</v>
      </c>
      <c r="M3623">
        <v>-0.99974099999999999</v>
      </c>
      <c r="N3623">
        <v>0</v>
      </c>
      <c r="O3623">
        <v>1.9856240000000001E-2</v>
      </c>
      <c r="P3623">
        <v>-0.99934769999999995</v>
      </c>
      <c r="Q3623">
        <v>-2.6970359999999998E-4</v>
      </c>
      <c r="R3623">
        <v>3.61128E-2</v>
      </c>
      <c r="S3623">
        <v>-2.9969790000000001</v>
      </c>
      <c r="T3623">
        <v>-0.28600759999999997</v>
      </c>
      <c r="U3623">
        <v>0.12738039999999901</v>
      </c>
      <c r="V3623">
        <v>1.6263299999999901E-2</v>
      </c>
      <c r="W3623">
        <v>1.0846710000000001E-2</v>
      </c>
      <c r="X3623">
        <v>0.9998089</v>
      </c>
      <c r="Y3623">
        <v>2.260419E-2</v>
      </c>
      <c r="Z3623">
        <v>-8.1394849999999995E-4</v>
      </c>
      <c r="AA3623">
        <v>0.99974419999999897</v>
      </c>
      <c r="AB3623">
        <v>25</v>
      </c>
      <c r="AC3623">
        <v>-0.24559999999999599</v>
      </c>
      <c r="AD3623">
        <v>-7.1588000000000193E-2</v>
      </c>
      <c r="AE3623">
        <v>2.1399999999999801E-2</v>
      </c>
      <c r="AF3623">
        <v>1.5234212844224E-2</v>
      </c>
      <c r="AG3623">
        <v>-7.1588000000000193E-2</v>
      </c>
      <c r="AH3623">
        <v>0.226848307166543</v>
      </c>
      <c r="AI3623">
        <v>107.477510662425</v>
      </c>
      <c r="AJ3623">
        <v>86.158016431342105</v>
      </c>
      <c r="AK3623">
        <v>0.238363330756451</v>
      </c>
    </row>
    <row r="3624" spans="1:37" x14ac:dyDescent="0.2">
      <c r="A3624" t="str">
        <f>"20200111160231774"</f>
        <v>20200111160231774</v>
      </c>
      <c r="B3624" t="str">
        <f>"1578729751765840"</f>
        <v>1578729751765840</v>
      </c>
      <c r="C3624" t="s">
        <v>37</v>
      </c>
      <c r="D3624">
        <v>5.231528</v>
      </c>
      <c r="E3624">
        <v>0.49115419999999999</v>
      </c>
      <c r="F3624" t="s">
        <v>43</v>
      </c>
      <c r="G3624">
        <v>0</v>
      </c>
      <c r="H3624">
        <v>0</v>
      </c>
      <c r="I3624">
        <v>0</v>
      </c>
      <c r="J3624">
        <v>-248.27099999999999</v>
      </c>
      <c r="K3624">
        <v>1.104085</v>
      </c>
      <c r="L3624">
        <v>136.3563</v>
      </c>
      <c r="M3624">
        <v>-0.9997414</v>
      </c>
      <c r="N3624">
        <v>0</v>
      </c>
      <c r="O3624">
        <v>1.9836940000000001E-2</v>
      </c>
      <c r="P3624">
        <v>-0.9993803</v>
      </c>
      <c r="Q3624">
        <v>-2.2744009999999901E-4</v>
      </c>
      <c r="R3624">
        <v>3.5197050000000001E-2</v>
      </c>
      <c r="S3624">
        <v>-3.0015559999999999</v>
      </c>
      <c r="T3624">
        <v>0.2123411</v>
      </c>
      <c r="U3624">
        <v>1.370239E-2</v>
      </c>
      <c r="V3624">
        <v>1.536365E-2</v>
      </c>
      <c r="W3624">
        <v>1.08901E-2</v>
      </c>
      <c r="X3624">
        <v>0.99982269999999895</v>
      </c>
      <c r="Y3624">
        <v>-1.518629E-2</v>
      </c>
      <c r="Z3624">
        <v>1.938075E-3</v>
      </c>
      <c r="AA3624">
        <v>0.99988279999999996</v>
      </c>
      <c r="AB3624">
        <v>26</v>
      </c>
      <c r="AC3624">
        <v>-3.0015559999999999</v>
      </c>
      <c r="AD3624">
        <v>0.2123411</v>
      </c>
      <c r="AE3624">
        <v>1.370239E-2</v>
      </c>
      <c r="AF3624">
        <v>-4.5617378677687399E-2</v>
      </c>
      <c r="AG3624">
        <v>0.2123411</v>
      </c>
      <c r="AH3624">
        <v>2.9862920495582701</v>
      </c>
      <c r="AI3624">
        <v>85.933286319359098</v>
      </c>
      <c r="AJ3624">
        <v>90.875158879390398</v>
      </c>
      <c r="AK3624">
        <v>2.9941793355177602</v>
      </c>
    </row>
    <row r="3625" spans="1:37" x14ac:dyDescent="0.2">
      <c r="A3625" t="str">
        <f>"20200111160231863"</f>
        <v>20200111160231863</v>
      </c>
      <c r="B3625" t="str">
        <f>"1578729751855632"</f>
        <v>1578729751855632</v>
      </c>
      <c r="C3625" t="s">
        <v>37</v>
      </c>
      <c r="D3625">
        <v>5.1937069999999999</v>
      </c>
      <c r="E3625">
        <v>0.49115419999999999</v>
      </c>
      <c r="F3625" t="s">
        <v>43</v>
      </c>
      <c r="G3625">
        <v>0</v>
      </c>
      <c r="H3625">
        <v>0</v>
      </c>
      <c r="I3625">
        <v>0</v>
      </c>
      <c r="J3625">
        <v>-249.2869</v>
      </c>
      <c r="K3625">
        <v>1.1042430000000001</v>
      </c>
      <c r="L3625">
        <v>136.37549999999999</v>
      </c>
      <c r="M3625">
        <v>-0.99975669999999905</v>
      </c>
      <c r="N3625">
        <v>0</v>
      </c>
      <c r="O3625">
        <v>1.905952E-2</v>
      </c>
      <c r="P3625">
        <v>-0.99938879999999997</v>
      </c>
      <c r="Q3625">
        <v>2.808914E-3</v>
      </c>
      <c r="R3625">
        <v>3.4845399999999999E-2</v>
      </c>
      <c r="S3625">
        <v>-3.0002140000000002</v>
      </c>
      <c r="T3625">
        <v>0.1852626</v>
      </c>
      <c r="U3625">
        <v>4.8370360000000001E-2</v>
      </c>
      <c r="V3625">
        <v>1.5784409999999999E-2</v>
      </c>
      <c r="W3625">
        <v>1.392588E-2</v>
      </c>
      <c r="X3625">
        <v>0.99977839999999996</v>
      </c>
      <c r="Y3625">
        <v>-2.8991279999999999E-3</v>
      </c>
      <c r="Z3625">
        <v>1.2651189999999899E-3</v>
      </c>
      <c r="AA3625">
        <v>0.99999499999999997</v>
      </c>
      <c r="AB3625">
        <v>26</v>
      </c>
      <c r="AC3625">
        <v>-3.0002140000000002</v>
      </c>
      <c r="AD3625">
        <v>0.1852626</v>
      </c>
      <c r="AE3625">
        <v>4.8370360000000001E-2</v>
      </c>
      <c r="AF3625">
        <v>-8.7910791892982804E-3</v>
      </c>
      <c r="AG3625">
        <v>0.1852626</v>
      </c>
      <c r="AH3625">
        <v>2.9891959655999498</v>
      </c>
      <c r="AI3625">
        <v>86.453508042409794</v>
      </c>
      <c r="AJ3625">
        <v>90.168503600479994</v>
      </c>
      <c r="AK3625">
        <v>2.9949444126379099</v>
      </c>
    </row>
    <row r="3626" spans="1:37" x14ac:dyDescent="0.2">
      <c r="A3626" t="str">
        <f>"20200111160231884"</f>
        <v>20200111160231884</v>
      </c>
      <c r="B3626" t="str">
        <f>"1578729751876128"</f>
        <v>1578729751876128</v>
      </c>
      <c r="C3626" t="s">
        <v>37</v>
      </c>
      <c r="D3626">
        <v>5.3811989999999996</v>
      </c>
      <c r="E3626">
        <v>0.49243690000000001</v>
      </c>
      <c r="F3626" t="s">
        <v>43</v>
      </c>
      <c r="G3626">
        <v>0</v>
      </c>
      <c r="H3626">
        <v>0</v>
      </c>
      <c r="I3626">
        <v>0</v>
      </c>
      <c r="J3626">
        <v>-249.53809999999999</v>
      </c>
      <c r="K3626">
        <v>1.1042510000000001</v>
      </c>
      <c r="L3626">
        <v>136.3801</v>
      </c>
      <c r="M3626">
        <v>-0.99976149999999997</v>
      </c>
      <c r="N3626">
        <v>0</v>
      </c>
      <c r="O3626">
        <v>1.880776E-2</v>
      </c>
      <c r="P3626">
        <v>-0.99938359999999904</v>
      </c>
      <c r="Q3626">
        <v>3.1491219999999999E-3</v>
      </c>
      <c r="R3626">
        <v>3.4971349999999998E-2</v>
      </c>
      <c r="S3626">
        <v>-2.9996489999999998</v>
      </c>
      <c r="T3626">
        <v>0.19425989999999899</v>
      </c>
      <c r="U3626">
        <v>4.6859739999999997E-2</v>
      </c>
      <c r="V3626">
        <v>1.61618E-2</v>
      </c>
      <c r="W3626">
        <v>1.426679E-2</v>
      </c>
      <c r="X3626">
        <v>0.99976759999999998</v>
      </c>
      <c r="Y3626">
        <v>-3.143584E-3</v>
      </c>
      <c r="Z3626">
        <v>1.31831299999999E-3</v>
      </c>
      <c r="AA3626">
        <v>0.99999419999999895</v>
      </c>
      <c r="AB3626">
        <v>26</v>
      </c>
      <c r="AC3626">
        <v>-2.9996489999999998</v>
      </c>
      <c r="AD3626">
        <v>0.19425989999999899</v>
      </c>
      <c r="AE3626">
        <v>4.6859739999999997E-2</v>
      </c>
      <c r="AF3626">
        <v>-9.5287504737595393E-3</v>
      </c>
      <c r="AG3626">
        <v>0.19425989999999899</v>
      </c>
      <c r="AH3626">
        <v>2.98747341253309</v>
      </c>
      <c r="AI3626">
        <v>86.279609201335603</v>
      </c>
      <c r="AJ3626">
        <v>90.182748181957606</v>
      </c>
      <c r="AK3626">
        <v>2.9937977714644801</v>
      </c>
    </row>
    <row r="3627" spans="1:37" x14ac:dyDescent="0.2">
      <c r="A3627" t="str">
        <f>"20200111160231908"</f>
        <v>20200111160231908</v>
      </c>
      <c r="B3627" t="str">
        <f>"1578729751895647"</f>
        <v>1578729751895647</v>
      </c>
      <c r="C3627" t="s">
        <v>37</v>
      </c>
      <c r="D3627">
        <v>5.3075380000000001</v>
      </c>
      <c r="E3627">
        <v>0.50867399999999996</v>
      </c>
      <c r="F3627" t="s">
        <v>43</v>
      </c>
      <c r="G3627">
        <v>0</v>
      </c>
      <c r="H3627">
        <v>0</v>
      </c>
      <c r="I3627">
        <v>0</v>
      </c>
      <c r="J3627">
        <v>-249.7945</v>
      </c>
      <c r="K3627">
        <v>1.1042609999999999</v>
      </c>
      <c r="L3627">
        <v>136.38460000000001</v>
      </c>
      <c r="M3627">
        <v>-0.99976620000000005</v>
      </c>
      <c r="N3627">
        <v>0</v>
      </c>
      <c r="O3627">
        <v>1.8556420000000001E-2</v>
      </c>
      <c r="P3627">
        <v>-0.99936069999999999</v>
      </c>
      <c r="Q3627">
        <v>3.425539E-3</v>
      </c>
      <c r="R3627">
        <v>3.5595509999999997E-2</v>
      </c>
      <c r="S3627">
        <v>-2.9993439999999998</v>
      </c>
      <c r="T3627">
        <v>0.17571989999999901</v>
      </c>
      <c r="U3627">
        <v>5.6198119999999997E-2</v>
      </c>
      <c r="V3627">
        <v>1.7037630000000002E-2</v>
      </c>
      <c r="W3627">
        <v>1.454428E-2</v>
      </c>
      <c r="X3627">
        <v>0.99974909999999995</v>
      </c>
      <c r="Y3627">
        <v>2.0743239999999999E-4</v>
      </c>
      <c r="Z3627">
        <v>1.080024E-3</v>
      </c>
      <c r="AA3627">
        <v>0.99999939999999998</v>
      </c>
      <c r="AB3627">
        <v>26</v>
      </c>
      <c r="AC3627">
        <v>-2.9993439999999998</v>
      </c>
      <c r="AD3627">
        <v>0.17571989999999901</v>
      </c>
      <c r="AE3627">
        <v>5.6198119999999997E-2</v>
      </c>
      <c r="AF3627">
        <v>5.2612122437931098E-4</v>
      </c>
      <c r="AG3627">
        <v>0.17571989999999901</v>
      </c>
      <c r="AH3627">
        <v>2.9896126507727798</v>
      </c>
      <c r="AI3627">
        <v>86.636206890220393</v>
      </c>
      <c r="AJ3627">
        <v>89.989916912697595</v>
      </c>
      <c r="AK3627">
        <v>2.9947723722714201</v>
      </c>
    </row>
    <row r="3628" spans="1:37" x14ac:dyDescent="0.2">
      <c r="A3628" t="str">
        <f>"20200111160231929"</f>
        <v>20200111160231929</v>
      </c>
      <c r="B3628" t="str">
        <f>"1578729751925437"</f>
        <v>1578729751925437</v>
      </c>
      <c r="C3628" t="s">
        <v>37</v>
      </c>
      <c r="D3628">
        <v>5.379867</v>
      </c>
      <c r="E3628">
        <v>0.50805279999999997</v>
      </c>
      <c r="F3628" t="s">
        <v>42</v>
      </c>
      <c r="G3628">
        <v>-250.53299999999999</v>
      </c>
      <c r="H3628">
        <v>1.029938</v>
      </c>
      <c r="I3628">
        <v>136.42259999999999</v>
      </c>
      <c r="J3628">
        <v>-250.04230000000001</v>
      </c>
      <c r="K3628">
        <v>1.1042529999999999</v>
      </c>
      <c r="L3628">
        <v>136.38900000000001</v>
      </c>
      <c r="M3628">
        <v>-0.99977039999999995</v>
      </c>
      <c r="N3628">
        <v>0</v>
      </c>
      <c r="O3628">
        <v>1.8327420000000001E-2</v>
      </c>
      <c r="P3628">
        <v>-0.99933039999999995</v>
      </c>
      <c r="Q3628">
        <v>4.2324959999999997E-3</v>
      </c>
      <c r="R3628">
        <v>3.6348859999999997E-2</v>
      </c>
      <c r="S3628">
        <v>-2.9974369999999899</v>
      </c>
      <c r="T3628">
        <v>-0.30166409999999899</v>
      </c>
      <c r="U3628">
        <v>0.15390009999999901</v>
      </c>
      <c r="V3628">
        <v>1.8020339999999999E-2</v>
      </c>
      <c r="W3628">
        <v>1.5351470000000001E-2</v>
      </c>
      <c r="X3628">
        <v>0.99971969999999999</v>
      </c>
      <c r="Y3628">
        <v>3.2889969999999998E-2</v>
      </c>
      <c r="Z3628">
        <v>-1.88669399999999E-4</v>
      </c>
      <c r="AA3628">
        <v>0.99945899999999999</v>
      </c>
      <c r="AB3628">
        <v>26</v>
      </c>
      <c r="AC3628">
        <v>-0.49069999999997499</v>
      </c>
      <c r="AD3628">
        <v>-7.4315000000000103E-2</v>
      </c>
      <c r="AE3628">
        <v>3.3599999999978501E-2</v>
      </c>
      <c r="AF3628">
        <v>2.4051462574551399E-2</v>
      </c>
      <c r="AG3628">
        <v>-7.4315000000000103E-2</v>
      </c>
      <c r="AH3628">
        <v>0.48026928072964498</v>
      </c>
      <c r="AI3628">
        <v>98.785130077940906</v>
      </c>
      <c r="AJ3628">
        <v>87.133072898233294</v>
      </c>
      <c r="AK3628">
        <v>0.48657966880002901</v>
      </c>
    </row>
    <row r="3629" spans="1:37" x14ac:dyDescent="0.2">
      <c r="A3629" t="str">
        <f>"20200111160231951"</f>
        <v>20200111160231951</v>
      </c>
      <c r="B3629" t="str">
        <f>"1578729751945933"</f>
        <v>1578729751945933</v>
      </c>
      <c r="C3629" t="s">
        <v>37</v>
      </c>
      <c r="D3629">
        <v>5.2871430000000004</v>
      </c>
      <c r="E3629">
        <v>0.50883109999999998</v>
      </c>
      <c r="F3629" t="s">
        <v>42</v>
      </c>
      <c r="G3629">
        <v>-250.76249999999999</v>
      </c>
      <c r="H3629">
        <v>1.0303530000000001</v>
      </c>
      <c r="I3629">
        <v>136.42529999999999</v>
      </c>
      <c r="J3629">
        <v>-250.30330000000001</v>
      </c>
      <c r="K3629">
        <v>1.104239</v>
      </c>
      <c r="L3629">
        <v>136.39349999999999</v>
      </c>
      <c r="M3629">
        <v>-0.9997743</v>
      </c>
      <c r="N3629">
        <v>0</v>
      </c>
      <c r="O3629">
        <v>1.8110169999999998E-2</v>
      </c>
      <c r="P3629">
        <v>-0.99930390000000002</v>
      </c>
      <c r="Q3629">
        <v>5.3612590000000002E-3</v>
      </c>
      <c r="R3629">
        <v>3.692057E-2</v>
      </c>
      <c r="S3629">
        <v>-2.9978639999999999</v>
      </c>
      <c r="T3629">
        <v>-0.30775629999999998</v>
      </c>
      <c r="U3629">
        <v>0.15032960000000001</v>
      </c>
      <c r="V3629">
        <v>1.8809920000000001E-2</v>
      </c>
      <c r="W3629">
        <v>1.6480479999999999E-2</v>
      </c>
      <c r="X3629">
        <v>0.99968729999999995</v>
      </c>
      <c r="Y3629">
        <v>3.1913520000000001E-2</v>
      </c>
      <c r="Z3629">
        <v>-2.2017750000000001E-4</v>
      </c>
      <c r="AA3629">
        <v>0.99949059999999901</v>
      </c>
      <c r="AB3629">
        <v>26</v>
      </c>
      <c r="AC3629">
        <v>-0.45919999999998101</v>
      </c>
      <c r="AD3629">
        <v>-7.3885999999999896E-2</v>
      </c>
      <c r="AE3629">
        <v>3.1800000000003999E-2</v>
      </c>
      <c r="AF3629">
        <v>2.2888345580946299E-2</v>
      </c>
      <c r="AG3629">
        <v>-7.3885999999999896E-2</v>
      </c>
      <c r="AH3629">
        <v>0.448153605802521</v>
      </c>
      <c r="AI3629">
        <v>99.350028088031294</v>
      </c>
      <c r="AJ3629">
        <v>87.076298973325905</v>
      </c>
      <c r="AK3629">
        <v>0.45477980578873001</v>
      </c>
    </row>
    <row r="3630" spans="1:37" x14ac:dyDescent="0.2">
      <c r="A3630" t="str">
        <f>"20200111160231976"</f>
        <v>20200111160231976</v>
      </c>
      <c r="B3630" t="str">
        <f>"1578729751965452"</f>
        <v>1578729751965452</v>
      </c>
      <c r="C3630" t="s">
        <v>37</v>
      </c>
      <c r="D3630">
        <v>5.2859230000000004</v>
      </c>
      <c r="E3630">
        <v>0.50934990000000002</v>
      </c>
      <c r="F3630" t="s">
        <v>42</v>
      </c>
      <c r="G3630">
        <v>-251.21340000000001</v>
      </c>
      <c r="H3630">
        <v>1.014753</v>
      </c>
      <c r="I3630">
        <v>136.4419</v>
      </c>
      <c r="J3630">
        <v>-250.57900000000001</v>
      </c>
      <c r="K3630">
        <v>1.104223</v>
      </c>
      <c r="L3630">
        <v>136.3982</v>
      </c>
      <c r="M3630">
        <v>-0.9997779</v>
      </c>
      <c r="N3630">
        <v>0</v>
      </c>
      <c r="O3630">
        <v>1.7908839999999999E-2</v>
      </c>
      <c r="P3630">
        <v>-0.99926630000000005</v>
      </c>
      <c r="Q3630">
        <v>6.5703350000000001E-3</v>
      </c>
      <c r="R3630">
        <v>3.7734370000000003E-2</v>
      </c>
      <c r="S3630">
        <v>-2.997833</v>
      </c>
      <c r="T3630">
        <v>-0.29490149999999998</v>
      </c>
      <c r="U3630">
        <v>0.1586456</v>
      </c>
      <c r="V3630">
        <v>1.982619E-2</v>
      </c>
      <c r="W3630">
        <v>1.7690029999999999E-2</v>
      </c>
      <c r="X3630">
        <v>0.9996469</v>
      </c>
      <c r="Y3630">
        <v>3.4871119999999999E-2</v>
      </c>
      <c r="Z3630" s="1">
        <v>-4.6243430000000001E-5</v>
      </c>
      <c r="AA3630">
        <v>0.99939179999999905</v>
      </c>
      <c r="AB3630">
        <v>26</v>
      </c>
      <c r="AC3630">
        <v>-0.63439999999999896</v>
      </c>
      <c r="AD3630">
        <v>-8.9469999999999897E-2</v>
      </c>
      <c r="AE3630">
        <v>4.3700000000001099E-2</v>
      </c>
      <c r="AF3630">
        <v>3.1703329197688999E-2</v>
      </c>
      <c r="AG3630">
        <v>-8.9469999999999897E-2</v>
      </c>
      <c r="AH3630">
        <v>0.62275302604606997</v>
      </c>
      <c r="AI3630">
        <v>98.165224343278496</v>
      </c>
      <c r="AJ3630">
        <v>87.085682288812706</v>
      </c>
      <c r="AK3630">
        <v>0.62994548449191601</v>
      </c>
    </row>
    <row r="3631" spans="1:37" x14ac:dyDescent="0.2">
      <c r="A3631" t="str">
        <f>"20200111160231998"</f>
        <v>20200111160231998</v>
      </c>
      <c r="B3631" t="str">
        <f>"1578729751995708"</f>
        <v>1578729751995708</v>
      </c>
      <c r="C3631" t="s">
        <v>37</v>
      </c>
      <c r="D3631">
        <v>5.4802369999999998</v>
      </c>
      <c r="E3631">
        <v>0.50975420000000005</v>
      </c>
      <c r="F3631" t="s">
        <v>42</v>
      </c>
      <c r="G3631">
        <v>-251.44640000000001</v>
      </c>
      <c r="H3631">
        <v>1.0218229999999999</v>
      </c>
      <c r="I3631">
        <v>136.4462</v>
      </c>
      <c r="J3631">
        <v>-250.8382</v>
      </c>
      <c r="K3631">
        <v>1.1042049999999899</v>
      </c>
      <c r="L3631">
        <v>136.40270000000001</v>
      </c>
      <c r="M3631">
        <v>-0.99978080000000003</v>
      </c>
      <c r="N3631">
        <v>0</v>
      </c>
      <c r="O3631">
        <v>1.7743729999999999E-2</v>
      </c>
      <c r="P3631">
        <v>-0.99926429999999999</v>
      </c>
      <c r="Q3631">
        <v>7.2357840000000003E-3</v>
      </c>
      <c r="R3631">
        <v>3.7664009999999998E-2</v>
      </c>
      <c r="S3631">
        <v>-2.997849</v>
      </c>
      <c r="T3631">
        <v>-0.28478140000000002</v>
      </c>
      <c r="U3631">
        <v>0.16561889999999899</v>
      </c>
      <c r="V3631">
        <v>1.9921580000000001E-2</v>
      </c>
      <c r="W3631">
        <v>1.8356069999999999E-2</v>
      </c>
      <c r="X3631">
        <v>0.99963299999999999</v>
      </c>
      <c r="Y3631">
        <v>3.7347350000000001E-2</v>
      </c>
      <c r="Z3631" s="1">
        <v>8.8242929999999997E-5</v>
      </c>
      <c r="AA3631">
        <v>0.99930229999999998</v>
      </c>
      <c r="AB3631">
        <v>26</v>
      </c>
      <c r="AC3631">
        <v>-0.60820000000000995</v>
      </c>
      <c r="AD3631">
        <v>-8.23819999999999E-2</v>
      </c>
      <c r="AE3631">
        <v>4.3499999999994501E-2</v>
      </c>
      <c r="AF3631">
        <v>3.21145320102545E-2</v>
      </c>
      <c r="AG3631">
        <v>-8.23819999999999E-2</v>
      </c>
      <c r="AH3631">
        <v>0.59796101204404195</v>
      </c>
      <c r="AI3631">
        <v>97.833195956319003</v>
      </c>
      <c r="AJ3631">
        <v>86.925784405917895</v>
      </c>
      <c r="AK3631">
        <v>0.60446299226253097</v>
      </c>
    </row>
    <row r="3632" spans="1:37" x14ac:dyDescent="0.2">
      <c r="A3632" t="str">
        <f>"20200111160232020"</f>
        <v>20200111160232020</v>
      </c>
      <c r="B3632" t="str">
        <f>"1578729752015736"</f>
        <v>1578729752015736</v>
      </c>
      <c r="C3632" t="s">
        <v>37</v>
      </c>
      <c r="D3632">
        <v>5.4352489999999998</v>
      </c>
      <c r="E3632">
        <v>0.50969699999999996</v>
      </c>
      <c r="F3632" t="s">
        <v>42</v>
      </c>
      <c r="G3632">
        <v>-251.67859999999999</v>
      </c>
      <c r="H3632">
        <v>1.026829</v>
      </c>
      <c r="I3632">
        <v>136.45050000000001</v>
      </c>
      <c r="J3632">
        <v>-251.08709999999999</v>
      </c>
      <c r="K3632">
        <v>1.104182</v>
      </c>
      <c r="L3632">
        <v>136.40690000000001</v>
      </c>
      <c r="M3632">
        <v>-0.99978299999999998</v>
      </c>
      <c r="N3632">
        <v>0</v>
      </c>
      <c r="O3632">
        <v>1.7610290000000001E-2</v>
      </c>
      <c r="P3632">
        <v>-0.99925549999999996</v>
      </c>
      <c r="Q3632">
        <v>7.4623709999999998E-3</v>
      </c>
      <c r="R3632">
        <v>3.7855010000000001E-2</v>
      </c>
      <c r="S3632">
        <v>-2.997833</v>
      </c>
      <c r="T3632">
        <v>-0.2760881</v>
      </c>
      <c r="U3632">
        <v>0.1692505</v>
      </c>
      <c r="V3632">
        <v>2.024714E-2</v>
      </c>
      <c r="W3632">
        <v>1.8583490000000001E-2</v>
      </c>
      <c r="X3632">
        <v>0.99962229999999996</v>
      </c>
      <c r="Y3632">
        <v>3.8686829999999998E-2</v>
      </c>
      <c r="Z3632">
        <v>1.5931389999999999E-4</v>
      </c>
      <c r="AA3632">
        <v>0.99925140000000001</v>
      </c>
      <c r="AB3632">
        <v>26</v>
      </c>
      <c r="AC3632">
        <v>-0.59149999999999603</v>
      </c>
      <c r="AD3632">
        <v>-7.7352999999999894E-2</v>
      </c>
      <c r="AE3632">
        <v>4.35999999999978E-2</v>
      </c>
      <c r="AF3632">
        <v>3.26212355137123E-2</v>
      </c>
      <c r="AG3632">
        <v>-7.7352999999999894E-2</v>
      </c>
      <c r="AH3632">
        <v>0.58227196375258194</v>
      </c>
      <c r="AI3632">
        <v>97.555544630792895</v>
      </c>
      <c r="AJ3632">
        <v>86.793410228463699</v>
      </c>
      <c r="AK3632">
        <v>0.58829267493971804</v>
      </c>
    </row>
    <row r="3633" spans="1:37" x14ac:dyDescent="0.2">
      <c r="A3633" t="str">
        <f>"20200111160232042"</f>
        <v>20200111160232042</v>
      </c>
      <c r="B3633" t="str">
        <f>"1578729752036233"</f>
        <v>1578729752036233</v>
      </c>
      <c r="C3633" t="s">
        <v>37</v>
      </c>
      <c r="D3633">
        <v>5.369434</v>
      </c>
      <c r="E3633">
        <v>0.50579019999999997</v>
      </c>
      <c r="F3633" t="s">
        <v>42</v>
      </c>
      <c r="G3633">
        <v>-251.90940000000001</v>
      </c>
      <c r="H3633">
        <v>1.0285519999999999</v>
      </c>
      <c r="I3633">
        <v>136.4537</v>
      </c>
      <c r="J3633">
        <v>-251.33670000000001</v>
      </c>
      <c r="K3633">
        <v>1.1041609999999999</v>
      </c>
      <c r="L3633">
        <v>136.41120000000001</v>
      </c>
      <c r="M3633">
        <v>-0.99978509999999998</v>
      </c>
      <c r="N3633">
        <v>0</v>
      </c>
      <c r="O3633">
        <v>1.7503790000000002E-2</v>
      </c>
      <c r="P3633">
        <v>-0.99926939999999997</v>
      </c>
      <c r="Q3633">
        <v>7.4228609999999898E-3</v>
      </c>
      <c r="R3633">
        <v>3.7496920000000003E-2</v>
      </c>
      <c r="S3633">
        <v>-2.9978790000000002</v>
      </c>
      <c r="T3633">
        <v>-0.27577760000000001</v>
      </c>
      <c r="U3633">
        <v>0.16975399999999999</v>
      </c>
      <c r="V3633">
        <v>1.999619E-2</v>
      </c>
      <c r="W3633">
        <v>1.854486E-2</v>
      </c>
      <c r="X3633">
        <v>0.99962809999999902</v>
      </c>
      <c r="Y3633">
        <v>3.8958329999999999E-2</v>
      </c>
      <c r="Z3633">
        <v>1.813509E-4</v>
      </c>
      <c r="AA3633">
        <v>0.99924080000000004</v>
      </c>
      <c r="AB3633">
        <v>26</v>
      </c>
      <c r="AC3633">
        <v>-0.57269999999999699</v>
      </c>
      <c r="AD3633">
        <v>-7.5608999999999801E-2</v>
      </c>
      <c r="AE3633">
        <v>4.2499999999989699E-2</v>
      </c>
      <c r="AF3633">
        <v>3.1915219632826002E-2</v>
      </c>
      <c r="AG3633">
        <v>-7.5608999999999801E-2</v>
      </c>
      <c r="AH3633">
        <v>0.56358679781600796</v>
      </c>
      <c r="AI3633">
        <v>97.628917080127493</v>
      </c>
      <c r="AJ3633">
        <v>86.758872852511601</v>
      </c>
      <c r="AK3633">
        <v>0.56953084270978105</v>
      </c>
    </row>
    <row r="3634" spans="1:37" x14ac:dyDescent="0.2">
      <c r="A3634" t="str">
        <f>"20200111160232064"</f>
        <v>20200111160232064</v>
      </c>
      <c r="B3634" t="str">
        <f>"1578729752055752"</f>
        <v>1578729752055752</v>
      </c>
      <c r="C3634" t="s">
        <v>37</v>
      </c>
      <c r="D3634">
        <v>5.2424089999999897</v>
      </c>
      <c r="E3634">
        <v>0.41939520000000002</v>
      </c>
      <c r="F3634" t="s">
        <v>42</v>
      </c>
      <c r="G3634">
        <v>-252.14230000000001</v>
      </c>
      <c r="H3634">
        <v>1.03372</v>
      </c>
      <c r="I3634">
        <v>136.4487</v>
      </c>
      <c r="J3634">
        <v>-251.5975</v>
      </c>
      <c r="K3634">
        <v>1.1041399999999999</v>
      </c>
      <c r="L3634">
        <v>136.41560000000001</v>
      </c>
      <c r="M3634">
        <v>-0.99978650000000002</v>
      </c>
      <c r="N3634">
        <v>0</v>
      </c>
      <c r="O3634">
        <v>1.7420660000000001E-2</v>
      </c>
      <c r="P3634">
        <v>-0.99927909999999998</v>
      </c>
      <c r="Q3634">
        <v>7.4912240000000003E-3</v>
      </c>
      <c r="R3634">
        <v>3.7222560000000002E-2</v>
      </c>
      <c r="S3634">
        <v>-2.9989469999999998</v>
      </c>
      <c r="T3634">
        <v>-0.26235330000000001</v>
      </c>
      <c r="U3634">
        <v>0.1385345</v>
      </c>
      <c r="V3634">
        <v>1.9805630000000001E-2</v>
      </c>
      <c r="W3634">
        <v>1.8613999999999999E-2</v>
      </c>
      <c r="X3634">
        <v>0.99963060000000004</v>
      </c>
      <c r="Y3634">
        <v>2.8692059999999998E-2</v>
      </c>
      <c r="Z3634">
        <v>-2.6820309999999999E-4</v>
      </c>
      <c r="AA3634">
        <v>0.99958829999999999</v>
      </c>
      <c r="AB3634">
        <v>26</v>
      </c>
      <c r="AC3634">
        <v>-0.54480000000000905</v>
      </c>
      <c r="AD3634">
        <v>-7.0419999999999899E-2</v>
      </c>
      <c r="AE3634">
        <v>3.3099999999990297E-2</v>
      </c>
      <c r="AF3634">
        <v>2.3217135490521498E-2</v>
      </c>
      <c r="AG3634">
        <v>-7.0419999999999899E-2</v>
      </c>
      <c r="AH3634">
        <v>0.53636547543367996</v>
      </c>
      <c r="AI3634">
        <v>97.472725595573195</v>
      </c>
      <c r="AJ3634">
        <v>87.521440040218096</v>
      </c>
      <c r="AK3634">
        <v>0.54146646712200297</v>
      </c>
    </row>
    <row r="3635" spans="1:37" x14ac:dyDescent="0.2">
      <c r="A3635" t="str">
        <f>"20200111160232086"</f>
        <v>20200111160232086</v>
      </c>
      <c r="B3635" t="str">
        <f>"1578729752076248"</f>
        <v>1578729752076248</v>
      </c>
      <c r="C3635" t="s">
        <v>37</v>
      </c>
      <c r="D3635">
        <v>5.1683110000000001</v>
      </c>
      <c r="E3635">
        <v>0.41614609999999902</v>
      </c>
      <c r="F3635" t="s">
        <v>77</v>
      </c>
      <c r="G3635">
        <v>-293.44319999999999</v>
      </c>
      <c r="H3635" s="1">
        <v>-4.9468989999999998E-6</v>
      </c>
      <c r="I3635">
        <v>128.94640000000001</v>
      </c>
      <c r="J3635">
        <v>-251.85319999999999</v>
      </c>
      <c r="K3635">
        <v>1.1041209999999999</v>
      </c>
      <c r="L3635">
        <v>136.41999999999999</v>
      </c>
      <c r="M3635">
        <v>-0.99978739999999999</v>
      </c>
      <c r="N3635">
        <v>0</v>
      </c>
      <c r="O3635">
        <v>1.7365060000000002E-2</v>
      </c>
      <c r="P3635">
        <v>-0.99928280000000003</v>
      </c>
      <c r="Q3635">
        <v>7.2928480000000002E-3</v>
      </c>
      <c r="R3635">
        <v>3.7162140000000003E-2</v>
      </c>
      <c r="S3635">
        <v>-3.0228579999999998</v>
      </c>
      <c r="T3635">
        <v>-7.9761390000000001E-2</v>
      </c>
      <c r="U3635">
        <v>-0.53956599999999999</v>
      </c>
      <c r="V3635">
        <v>1.9801559999999999E-2</v>
      </c>
      <c r="W3635">
        <v>1.8417099999999999E-2</v>
      </c>
      <c r="X3635">
        <v>0.99963429999999998</v>
      </c>
      <c r="Y3635">
        <v>-0.19271659999999999</v>
      </c>
      <c r="Z3635">
        <v>-2.9768659999999999E-3</v>
      </c>
      <c r="AA3635">
        <v>0.98124990000000001</v>
      </c>
      <c r="AB3635">
        <v>26</v>
      </c>
      <c r="AC3635">
        <v>-41.59</v>
      </c>
      <c r="AD3635">
        <v>-1.1041259468989999</v>
      </c>
      <c r="AE3635">
        <v>-7.47359999999997</v>
      </c>
      <c r="AF3635">
        <v>-8.1891393695715706</v>
      </c>
      <c r="AG3635">
        <v>-1.1041259468989999</v>
      </c>
      <c r="AH3635">
        <v>41.425657506492001</v>
      </c>
      <c r="AI3635">
        <v>91.497782386906906</v>
      </c>
      <c r="AJ3635">
        <v>101.18221557288101</v>
      </c>
      <c r="AK3635">
        <v>42.241758930779099</v>
      </c>
    </row>
    <row r="3636" spans="1:37" x14ac:dyDescent="0.2">
      <c r="A3636" t="str">
        <f>"20200111160232108"</f>
        <v>20200111160232108</v>
      </c>
      <c r="B3636" t="str">
        <f>"1578729752105528"</f>
        <v>1578729752105528</v>
      </c>
      <c r="C3636" t="s">
        <v>37</v>
      </c>
      <c r="D3636">
        <v>5.2219280000000001</v>
      </c>
      <c r="E3636">
        <v>0.41493940000000001</v>
      </c>
      <c r="F3636" t="s">
        <v>77</v>
      </c>
      <c r="G3636">
        <v>-291.39080000000001</v>
      </c>
      <c r="H3636" s="1">
        <v>-5.0966809999999902E-6</v>
      </c>
      <c r="I3636">
        <v>129.01900000000001</v>
      </c>
      <c r="J3636">
        <v>-252.10299999999901</v>
      </c>
      <c r="K3636">
        <v>1.1040920000000001</v>
      </c>
      <c r="L3636">
        <v>136.42429999999999</v>
      </c>
      <c r="M3636">
        <v>-0.99978799999999901</v>
      </c>
      <c r="N3636">
        <v>0</v>
      </c>
      <c r="O3636">
        <v>1.733258E-2</v>
      </c>
      <c r="P3636">
        <v>-0.99926009999999998</v>
      </c>
      <c r="Q3636">
        <v>6.6181310000000002E-3</v>
      </c>
      <c r="R3636">
        <v>3.7892910000000002E-2</v>
      </c>
      <c r="S3636">
        <v>-3.0238040000000002</v>
      </c>
      <c r="T3636">
        <v>-8.444285E-2</v>
      </c>
      <c r="U3636">
        <v>-0.56602479999999999</v>
      </c>
      <c r="V3636">
        <v>2.0565980000000001E-2</v>
      </c>
      <c r="W3636">
        <v>1.7743439999999999E-2</v>
      </c>
      <c r="X3636">
        <v>0.99963099999999905</v>
      </c>
      <c r="Y3636">
        <v>-0.20092170000000001</v>
      </c>
      <c r="Z3636">
        <v>-3.26076599999999E-3</v>
      </c>
      <c r="AA3636">
        <v>0.97960190000000003</v>
      </c>
      <c r="AB3636">
        <v>26</v>
      </c>
      <c r="AC3636">
        <v>-39.287799999999997</v>
      </c>
      <c r="AD3636">
        <v>-1.104097096681</v>
      </c>
      <c r="AE3636">
        <v>-7.40529999999998</v>
      </c>
      <c r="AF3636">
        <v>-8.0790267968302292</v>
      </c>
      <c r="AG3636">
        <v>-1.104097096681</v>
      </c>
      <c r="AH3636">
        <v>39.123698041884303</v>
      </c>
      <c r="AI3636">
        <v>91.583112723723602</v>
      </c>
      <c r="AJ3636">
        <v>101.66755572077</v>
      </c>
      <c r="AK3636">
        <v>39.964402320757202</v>
      </c>
    </row>
    <row r="3637" spans="1:37" x14ac:dyDescent="0.2">
      <c r="A3637" t="str">
        <f>"20200111160232132"</f>
        <v>20200111160232132</v>
      </c>
      <c r="B3637" t="str">
        <f>"1578729752125556"</f>
        <v>1578729752125556</v>
      </c>
      <c r="C3637" t="s">
        <v>37</v>
      </c>
      <c r="D3637">
        <v>5.1716530000000001</v>
      </c>
      <c r="E3637">
        <v>0.41465249999999998</v>
      </c>
      <c r="F3637" t="s">
        <v>77</v>
      </c>
      <c r="G3637">
        <v>-295.29270000000002</v>
      </c>
      <c r="H3637" s="1">
        <v>-4.5421939999999997E-6</v>
      </c>
      <c r="I3637">
        <v>128.24189999999999</v>
      </c>
      <c r="J3637">
        <v>-252.37860000000001</v>
      </c>
      <c r="K3637">
        <v>1.1040700000000001</v>
      </c>
      <c r="L3637">
        <v>136.42910000000001</v>
      </c>
      <c r="M3637">
        <v>-0.99978809999999996</v>
      </c>
      <c r="N3637">
        <v>0</v>
      </c>
      <c r="O3637">
        <v>1.7317409999999998E-2</v>
      </c>
      <c r="P3637">
        <v>-0.99921599999999999</v>
      </c>
      <c r="Q3637">
        <v>4.7192570000000001E-3</v>
      </c>
      <c r="R3637">
        <v>3.9310999999999999E-2</v>
      </c>
      <c r="S3637">
        <v>-3.0244900000000001</v>
      </c>
      <c r="T3637">
        <v>-7.7317830000000004E-2</v>
      </c>
      <c r="U3637">
        <v>-0.57299800000000001</v>
      </c>
      <c r="V3637">
        <v>2.2000430000000001E-2</v>
      </c>
      <c r="W3637">
        <v>1.5845890000000001E-2</v>
      </c>
      <c r="X3637">
        <v>0.99963239999999998</v>
      </c>
      <c r="Y3637">
        <v>-0.20305999999999999</v>
      </c>
      <c r="Z3637">
        <v>-3.0111320000000001E-3</v>
      </c>
      <c r="AA3637">
        <v>0.97916170000000002</v>
      </c>
      <c r="AB3637">
        <v>26</v>
      </c>
      <c r="AC3637">
        <v>-42.914099999999998</v>
      </c>
      <c r="AD3637">
        <v>-1.1040745421939999</v>
      </c>
      <c r="AE3637">
        <v>-8.1872000000000096</v>
      </c>
      <c r="AF3637">
        <v>-8.9234801293772694</v>
      </c>
      <c r="AG3637">
        <v>-1.1040745421939999</v>
      </c>
      <c r="AH3637">
        <v>42.738578560830497</v>
      </c>
      <c r="AI3637">
        <v>91.448580334533901</v>
      </c>
      <c r="AJ3637">
        <v>101.79348190381199</v>
      </c>
      <c r="AK3637">
        <v>43.674175156657398</v>
      </c>
    </row>
    <row r="3638" spans="1:37" x14ac:dyDescent="0.2">
      <c r="A3638" t="str">
        <f>"20200111160232152"</f>
        <v>20200111160232152</v>
      </c>
      <c r="B3638" t="str">
        <f>"1578729752146053"</f>
        <v>1578729752146053</v>
      </c>
      <c r="C3638" t="s">
        <v>37</v>
      </c>
      <c r="D3638">
        <v>5.2192769999999999</v>
      </c>
      <c r="E3638">
        <v>0.41419799999999901</v>
      </c>
      <c r="F3638" t="s">
        <v>77</v>
      </c>
      <c r="G3638">
        <v>-294.49740000000003</v>
      </c>
      <c r="H3638" s="1">
        <v>-4.6895979999999902E-6</v>
      </c>
      <c r="I3638">
        <v>128.48179999999999</v>
      </c>
      <c r="J3638">
        <v>-252.6191</v>
      </c>
      <c r="K3638">
        <v>1.104055</v>
      </c>
      <c r="L3638">
        <v>136.4332</v>
      </c>
      <c r="M3638">
        <v>-0.99978809999999996</v>
      </c>
      <c r="N3638">
        <v>0</v>
      </c>
      <c r="O3638">
        <v>1.7315319999999999E-2</v>
      </c>
      <c r="P3638">
        <v>-0.99916530000000003</v>
      </c>
      <c r="Q3638">
        <v>3.105558E-3</v>
      </c>
      <c r="R3638">
        <v>4.0730849999999999E-2</v>
      </c>
      <c r="S3638">
        <v>-3.0251919999999899</v>
      </c>
      <c r="T3638">
        <v>-7.9300399999999993E-2</v>
      </c>
      <c r="U3638">
        <v>-0.57081599999999999</v>
      </c>
      <c r="V3638">
        <v>2.3423289999999999E-2</v>
      </c>
      <c r="W3638">
        <v>1.423341E-2</v>
      </c>
      <c r="X3638">
        <v>0.99962430000000002</v>
      </c>
      <c r="Y3638">
        <v>-0.20233110000000001</v>
      </c>
      <c r="Z3638">
        <v>-3.0782959999999999E-3</v>
      </c>
      <c r="AA3638">
        <v>0.97931229999999903</v>
      </c>
      <c r="AB3638">
        <v>26</v>
      </c>
      <c r="AC3638">
        <v>-41.878300000000003</v>
      </c>
      <c r="AD3638">
        <v>-1.1040596895979999</v>
      </c>
      <c r="AE3638">
        <v>-7.9513999999999996</v>
      </c>
      <c r="AF3638">
        <v>-8.6695728788428408</v>
      </c>
      <c r="AG3638">
        <v>-1.1040596895979999</v>
      </c>
      <c r="AH3638">
        <v>41.706352446086498</v>
      </c>
      <c r="AI3638">
        <v>91.484669372369098</v>
      </c>
      <c r="AJ3638">
        <v>101.742940475656</v>
      </c>
      <c r="AK3638">
        <v>42.612208063616499</v>
      </c>
    </row>
    <row r="3639" spans="1:37" x14ac:dyDescent="0.2">
      <c r="A3639" t="str">
        <f>"20200111160232175"</f>
        <v>20200111160232175</v>
      </c>
      <c r="B3639" t="str">
        <f>"1578729752165573"</f>
        <v>1578729752165573</v>
      </c>
      <c r="C3639" t="s">
        <v>37</v>
      </c>
      <c r="D3639">
        <v>5.2316880000000001</v>
      </c>
      <c r="E3639">
        <v>0.41394239999999999</v>
      </c>
      <c r="F3639" t="s">
        <v>77</v>
      </c>
      <c r="G3639">
        <v>-292.62279999999998</v>
      </c>
      <c r="H3639" s="1">
        <v>-4.9731319999999999E-6</v>
      </c>
      <c r="I3639">
        <v>128.89570000000001</v>
      </c>
      <c r="J3639">
        <v>-252.87610000000001</v>
      </c>
      <c r="K3639">
        <v>1.104042</v>
      </c>
      <c r="L3639">
        <v>136.43770000000001</v>
      </c>
      <c r="M3639">
        <v>-0.99978809999999996</v>
      </c>
      <c r="N3639">
        <v>0</v>
      </c>
      <c r="O3639">
        <v>1.7320450000000001E-2</v>
      </c>
      <c r="P3639">
        <v>-0.99910319999999997</v>
      </c>
      <c r="Q3639">
        <v>2.3143370000000001E-3</v>
      </c>
      <c r="R3639">
        <v>4.2281159999999998E-2</v>
      </c>
      <c r="S3639">
        <v>-3.0260009999999999</v>
      </c>
      <c r="T3639">
        <v>-8.3514329999999998E-2</v>
      </c>
      <c r="U3639">
        <v>-0.57015990000000005</v>
      </c>
      <c r="V3639">
        <v>2.496961E-2</v>
      </c>
      <c r="W3639">
        <v>1.344385E-2</v>
      </c>
      <c r="X3639">
        <v>0.99959779999999998</v>
      </c>
      <c r="Y3639">
        <v>-0.20207559999999999</v>
      </c>
      <c r="Z3639">
        <v>-3.2376729999999999E-3</v>
      </c>
      <c r="AA3639">
        <v>0.97936460000000003</v>
      </c>
      <c r="AB3639">
        <v>26</v>
      </c>
      <c r="AC3639">
        <v>-39.746699999999898</v>
      </c>
      <c r="AD3639">
        <v>-1.104046973132</v>
      </c>
      <c r="AE3639">
        <v>-7.5419999999999998</v>
      </c>
      <c r="AF3639">
        <v>-8.2232175701690107</v>
      </c>
      <c r="AG3639">
        <v>-1.104046973132</v>
      </c>
      <c r="AH3639">
        <v>39.580620244222899</v>
      </c>
      <c r="AI3639">
        <v>91.564384203362295</v>
      </c>
      <c r="AJ3639">
        <v>101.736729919151</v>
      </c>
      <c r="AK3639">
        <v>40.4408917538005</v>
      </c>
    </row>
    <row r="3640" spans="1:37" x14ac:dyDescent="0.2">
      <c r="A3640" t="str">
        <f>"20200111160232197"</f>
        <v>20200111160232197</v>
      </c>
      <c r="B3640" t="str">
        <f>"1578729752186069"</f>
        <v>1578729752186069</v>
      </c>
      <c r="C3640" t="s">
        <v>37</v>
      </c>
      <c r="D3640">
        <v>5.2539499999999997</v>
      </c>
      <c r="E3640">
        <v>0.4140316</v>
      </c>
      <c r="F3640" t="s">
        <v>77</v>
      </c>
      <c r="G3640">
        <v>-291.91460000000001</v>
      </c>
      <c r="H3640" s="1">
        <v>-5.1082109999999997E-6</v>
      </c>
      <c r="I3640">
        <v>129.1183</v>
      </c>
      <c r="J3640">
        <v>-253.1319</v>
      </c>
      <c r="K3640">
        <v>1.104039</v>
      </c>
      <c r="L3640">
        <v>136.44210000000001</v>
      </c>
      <c r="M3640">
        <v>-0.99978789999999995</v>
      </c>
      <c r="N3640">
        <v>0</v>
      </c>
      <c r="O3640">
        <v>1.7329629999999999E-2</v>
      </c>
      <c r="P3640">
        <v>-0.99904889999999902</v>
      </c>
      <c r="Q3640">
        <v>1.9607279999999901E-3</v>
      </c>
      <c r="R3640">
        <v>4.355813E-2</v>
      </c>
      <c r="S3640">
        <v>-3.026932</v>
      </c>
      <c r="T3640">
        <v>-8.5604550000000001E-2</v>
      </c>
      <c r="U3640">
        <v>-0.56752009999999997</v>
      </c>
      <c r="V3640">
        <v>2.6238210000000001E-2</v>
      </c>
      <c r="W3640">
        <v>1.309245E-2</v>
      </c>
      <c r="X3640">
        <v>0.99956999999999996</v>
      </c>
      <c r="Y3640">
        <v>-0.20120099999999999</v>
      </c>
      <c r="Z3640">
        <v>-3.3059359999999898E-3</v>
      </c>
      <c r="AA3640">
        <v>0.97954439999999998</v>
      </c>
      <c r="AB3640">
        <v>26</v>
      </c>
      <c r="AC3640">
        <v>-38.782699999999998</v>
      </c>
      <c r="AD3640">
        <v>-1.104044108211</v>
      </c>
      <c r="AE3640">
        <v>-7.3238000000000003</v>
      </c>
      <c r="AF3640">
        <v>-7.9885805267318997</v>
      </c>
      <c r="AG3640">
        <v>-1.104044108211</v>
      </c>
      <c r="AH3640">
        <v>38.619729135429303</v>
      </c>
      <c r="AI3640">
        <v>91.603571871635097</v>
      </c>
      <c r="AJ3640">
        <v>101.686938832438</v>
      </c>
      <c r="AK3640">
        <v>39.452754158852798</v>
      </c>
    </row>
    <row r="3641" spans="1:37" x14ac:dyDescent="0.2">
      <c r="A3641" t="str">
        <f>"20200111160232219"</f>
        <v>20200111160232219</v>
      </c>
      <c r="B3641" t="str">
        <f>"1578729752216325"</f>
        <v>1578729752216325</v>
      </c>
      <c r="C3641" t="s">
        <v>37</v>
      </c>
      <c r="D3641">
        <v>5.1664919999999999</v>
      </c>
      <c r="E3641">
        <v>0.41394399999999998</v>
      </c>
      <c r="F3641" t="s">
        <v>77</v>
      </c>
      <c r="G3641">
        <v>-290.70339999999999</v>
      </c>
      <c r="H3641" s="1">
        <v>-5.3195380000000003E-6</v>
      </c>
      <c r="I3641">
        <v>129.45240000000001</v>
      </c>
      <c r="J3641">
        <v>-253.37880000000001</v>
      </c>
      <c r="K3641">
        <v>1.1040369999999999</v>
      </c>
      <c r="L3641">
        <v>136.44640000000001</v>
      </c>
      <c r="M3641">
        <v>-0.99978789999999995</v>
      </c>
      <c r="N3641">
        <v>0</v>
      </c>
      <c r="O3641">
        <v>1.733879E-2</v>
      </c>
      <c r="P3641">
        <v>-0.99900469999999897</v>
      </c>
      <c r="Q3641">
        <v>1.857486E-3</v>
      </c>
      <c r="R3641">
        <v>4.4570890000000002E-2</v>
      </c>
      <c r="S3641">
        <v>-3.027603</v>
      </c>
      <c r="T3641">
        <v>-8.8966610000000002E-2</v>
      </c>
      <c r="U3641">
        <v>-0.56324770000000002</v>
      </c>
      <c r="V3641">
        <v>2.7242389999999998E-2</v>
      </c>
      <c r="W3641">
        <v>1.299089E-2</v>
      </c>
      <c r="X3641">
        <v>0.9995444</v>
      </c>
      <c r="Y3641">
        <v>-0.1998286</v>
      </c>
      <c r="Z3641">
        <v>-3.415689E-3</v>
      </c>
      <c r="AA3641">
        <v>0.9798249</v>
      </c>
      <c r="AB3641">
        <v>26</v>
      </c>
      <c r="AC3641">
        <v>-37.324599999999897</v>
      </c>
      <c r="AD3641">
        <v>-1.104042319538</v>
      </c>
      <c r="AE3641">
        <v>-6.9939999999999998</v>
      </c>
      <c r="AF3641">
        <v>-7.6336993400810496</v>
      </c>
      <c r="AG3641">
        <v>-1.104042319538</v>
      </c>
      <c r="AH3641">
        <v>37.166297960494099</v>
      </c>
      <c r="AI3641">
        <v>91.666724583164907</v>
      </c>
      <c r="AJ3641">
        <v>101.60673648643601</v>
      </c>
      <c r="AK3641">
        <v>37.958213592664102</v>
      </c>
    </row>
    <row r="3642" spans="1:37" x14ac:dyDescent="0.2">
      <c r="A3642" t="str">
        <f>"20200111160232240"</f>
        <v>20200111160232240</v>
      </c>
      <c r="B3642" t="str">
        <f>"1578729752235844"</f>
        <v>1578729752235844</v>
      </c>
      <c r="C3642" t="s">
        <v>37</v>
      </c>
      <c r="D3642">
        <v>5.2063389999999998</v>
      </c>
      <c r="E3642">
        <v>0.41379529999999998</v>
      </c>
      <c r="F3642" t="s">
        <v>77</v>
      </c>
      <c r="G3642">
        <v>-288.3141</v>
      </c>
      <c r="H3642" s="1">
        <v>-4.4452089999999998E-6</v>
      </c>
      <c r="I3642">
        <v>129.97059999999999</v>
      </c>
      <c r="J3642">
        <v>-253.63319999999999</v>
      </c>
      <c r="K3642">
        <v>1.1040369999999999</v>
      </c>
      <c r="L3642">
        <v>136.45089999999999</v>
      </c>
      <c r="M3642">
        <v>-0.9997876</v>
      </c>
      <c r="N3642">
        <v>0</v>
      </c>
      <c r="O3642">
        <v>1.734662E-2</v>
      </c>
      <c r="P3642">
        <v>-0.99898169999999897</v>
      </c>
      <c r="Q3642">
        <v>1.611952E-3</v>
      </c>
      <c r="R3642">
        <v>4.5092189999999997E-2</v>
      </c>
      <c r="S3642">
        <v>-3.028168</v>
      </c>
      <c r="T3642">
        <v>-9.569764E-2</v>
      </c>
      <c r="U3642">
        <v>-0.56132510000000002</v>
      </c>
      <c r="V3642">
        <v>2.7756039999999999E-2</v>
      </c>
      <c r="W3642">
        <v>1.2747720000000001E-2</v>
      </c>
      <c r="X3642">
        <v>0.99953340000000002</v>
      </c>
      <c r="Y3642">
        <v>-0.19918810000000001</v>
      </c>
      <c r="Z3642">
        <v>-3.6637429999999901E-3</v>
      </c>
      <c r="AA3642">
        <v>0.9799544</v>
      </c>
      <c r="AB3642">
        <v>26</v>
      </c>
      <c r="AC3642">
        <v>-34.680900000000001</v>
      </c>
      <c r="AD3642">
        <v>-1.1040414452089999</v>
      </c>
      <c r="AE3642">
        <v>-6.4802999999999997</v>
      </c>
      <c r="AF3642">
        <v>-7.0740313632055596</v>
      </c>
      <c r="AG3642">
        <v>-1.1040414452089999</v>
      </c>
      <c r="AH3642">
        <v>34.529450535098697</v>
      </c>
      <c r="AI3642">
        <v>91.794107423585501</v>
      </c>
      <c r="AJ3642">
        <v>101.577950647958</v>
      </c>
      <c r="AK3642">
        <v>35.263916139535397</v>
      </c>
    </row>
    <row r="3643" spans="1:37" x14ac:dyDescent="0.2">
      <c r="A3643" t="str">
        <f>"20200111160232266"</f>
        <v>20200111160232266</v>
      </c>
      <c r="B3643" t="str">
        <f>"1578729752256342"</f>
        <v>1578729752256342</v>
      </c>
      <c r="C3643" t="s">
        <v>37</v>
      </c>
      <c r="D3643">
        <v>5.2592800000000004</v>
      </c>
      <c r="E3643">
        <v>0.41369409999999901</v>
      </c>
      <c r="F3643" t="s">
        <v>77</v>
      </c>
      <c r="G3643">
        <v>-286.50099999999998</v>
      </c>
      <c r="H3643" s="1">
        <v>-3.3547080000000001E-6</v>
      </c>
      <c r="I3643">
        <v>130.35599999999999</v>
      </c>
      <c r="J3643">
        <v>-253.91990000000001</v>
      </c>
      <c r="K3643">
        <v>1.104034</v>
      </c>
      <c r="L3643">
        <v>136.45580000000001</v>
      </c>
      <c r="M3643">
        <v>-0.99978739999999999</v>
      </c>
      <c r="N3643">
        <v>0</v>
      </c>
      <c r="O3643">
        <v>1.735225E-2</v>
      </c>
      <c r="P3643">
        <v>-0.99897019999999903</v>
      </c>
      <c r="Q3643" s="1">
        <v>5.3290279999999999E-5</v>
      </c>
      <c r="R3643">
        <v>4.5373190000000001E-2</v>
      </c>
      <c r="S3643">
        <v>-3.0285639999999998</v>
      </c>
      <c r="T3643">
        <v>-0.1017303</v>
      </c>
      <c r="U3643">
        <v>-0.56159969999999904</v>
      </c>
      <c r="V3643">
        <v>2.8031509999999999E-2</v>
      </c>
      <c r="W3643">
        <v>1.1191909999999999E-2</v>
      </c>
      <c r="X3643">
        <v>0.9995444</v>
      </c>
      <c r="Y3643">
        <v>-0.199242899999999</v>
      </c>
      <c r="Z3643">
        <v>-3.8951459999999999E-3</v>
      </c>
      <c r="AA3643">
        <v>0.97994239999999999</v>
      </c>
      <c r="AB3643">
        <v>26</v>
      </c>
      <c r="AC3643">
        <v>-32.5810999999999</v>
      </c>
      <c r="AD3643">
        <v>-1.104037354708</v>
      </c>
      <c r="AE3643">
        <v>-6.0998000000000099</v>
      </c>
      <c r="AF3643">
        <v>-6.6568870381601304</v>
      </c>
      <c r="AG3643">
        <v>-1.104037354708</v>
      </c>
      <c r="AH3643">
        <v>32.434360574345099</v>
      </c>
      <c r="AI3643">
        <v>91.909767255106601</v>
      </c>
      <c r="AJ3643">
        <v>101.59842180733099</v>
      </c>
      <c r="AK3643">
        <v>33.128851314014</v>
      </c>
    </row>
    <row r="3644" spans="1:37" x14ac:dyDescent="0.2">
      <c r="A3644" t="str">
        <f>"20200111160232287"</f>
        <v>20200111160232287</v>
      </c>
      <c r="B3644" t="str">
        <f>"1578729752275860"</f>
        <v>1578729752275860</v>
      </c>
      <c r="C3644" t="s">
        <v>37</v>
      </c>
      <c r="D3644">
        <v>5.2199540000000004</v>
      </c>
      <c r="E3644">
        <v>0.41345920000000003</v>
      </c>
      <c r="F3644" t="s">
        <v>77</v>
      </c>
      <c r="G3644">
        <v>-284.3057</v>
      </c>
      <c r="H3644" s="1">
        <v>-2.18095999999999E-6</v>
      </c>
      <c r="I3644">
        <v>130.81639999999999</v>
      </c>
      <c r="J3644">
        <v>-254.1721</v>
      </c>
      <c r="K3644">
        <v>1.1040319999999999</v>
      </c>
      <c r="L3644">
        <v>136.46019999999999</v>
      </c>
      <c r="M3644">
        <v>-0.99978739999999999</v>
      </c>
      <c r="N3644">
        <v>0</v>
      </c>
      <c r="O3644">
        <v>1.735426E-2</v>
      </c>
      <c r="P3644">
        <v>-0.99897610000000003</v>
      </c>
      <c r="Q3644">
        <v>-1.0111289999999999E-3</v>
      </c>
      <c r="R3644">
        <v>4.5233120000000002E-2</v>
      </c>
      <c r="S3644">
        <v>-3.0285950000000001</v>
      </c>
      <c r="T3644">
        <v>-0.11004079999999999</v>
      </c>
      <c r="U3644">
        <v>-0.56208800000000003</v>
      </c>
      <c r="V3644">
        <v>2.7889270000000001E-2</v>
      </c>
      <c r="W3644">
        <v>1.013006E-2</v>
      </c>
      <c r="X3644">
        <v>0.99955969999999905</v>
      </c>
      <c r="Y3644">
        <v>-0.19937559999999999</v>
      </c>
      <c r="Z3644">
        <v>-4.2155079999999998E-3</v>
      </c>
      <c r="AA3644">
        <v>0.97991410000000001</v>
      </c>
      <c r="AB3644">
        <v>26</v>
      </c>
      <c r="AC3644">
        <v>-30.133600000000001</v>
      </c>
      <c r="AD3644">
        <v>-1.1040341809599901</v>
      </c>
      <c r="AE3644">
        <v>-5.6437999999999899</v>
      </c>
      <c r="AF3644">
        <v>-6.1579427814096404</v>
      </c>
      <c r="AG3644">
        <v>-1.1040341809599901</v>
      </c>
      <c r="AH3644">
        <v>29.992215975593801</v>
      </c>
      <c r="AI3644">
        <v>92.065105370661897</v>
      </c>
      <c r="AJ3644">
        <v>101.60261217073</v>
      </c>
      <c r="AK3644">
        <v>30.637757259605401</v>
      </c>
    </row>
    <row r="3645" spans="1:37" x14ac:dyDescent="0.2">
      <c r="A3645" t="str">
        <f>"20200111160232309"</f>
        <v>20200111160232309</v>
      </c>
      <c r="B3645" t="str">
        <f>"1578729752306117"</f>
        <v>1578729752306117</v>
      </c>
      <c r="C3645" t="s">
        <v>37</v>
      </c>
      <c r="D3645">
        <v>5.117076</v>
      </c>
      <c r="E3645">
        <v>0.413278799999999</v>
      </c>
      <c r="F3645" t="s">
        <v>77</v>
      </c>
      <c r="G3645">
        <v>-282.80329999999998</v>
      </c>
      <c r="H3645" s="1">
        <v>-1.459587E-6</v>
      </c>
      <c r="I3645">
        <v>131.1216</v>
      </c>
      <c r="J3645">
        <v>-254.4161</v>
      </c>
      <c r="K3645">
        <v>1.104031</v>
      </c>
      <c r="L3645">
        <v>136.46449999999999</v>
      </c>
      <c r="M3645">
        <v>-0.99978729999999905</v>
      </c>
      <c r="N3645">
        <v>0</v>
      </c>
      <c r="O3645">
        <v>1.735453E-2</v>
      </c>
      <c r="P3645">
        <v>-0.99898829999999905</v>
      </c>
      <c r="Q3645">
        <v>-1.44738299999999E-3</v>
      </c>
      <c r="R3645">
        <v>4.4949839999999998E-2</v>
      </c>
      <c r="S3645">
        <v>-3.0285489999999999</v>
      </c>
      <c r="T3645">
        <v>-0.116782399999999</v>
      </c>
      <c r="U3645">
        <v>-0.56471249999999995</v>
      </c>
      <c r="V3645">
        <v>2.76055999999999E-2</v>
      </c>
      <c r="W3645">
        <v>9.6966340000000008E-3</v>
      </c>
      <c r="X3645">
        <v>0.99957189999999996</v>
      </c>
      <c r="Y3645">
        <v>-0.20018129999999901</v>
      </c>
      <c r="Z3645">
        <v>-4.4887069999999998E-3</v>
      </c>
      <c r="AA3645">
        <v>0.97974859999999897</v>
      </c>
      <c r="AB3645">
        <v>26</v>
      </c>
      <c r="AC3645">
        <v>-28.387199999999901</v>
      </c>
      <c r="AD3645">
        <v>-1.1040324595869999</v>
      </c>
      <c r="AE3645">
        <v>-5.3428999999999798</v>
      </c>
      <c r="AF3645">
        <v>-5.8262611745216297</v>
      </c>
      <c r="AG3645">
        <v>-1.1040324595869999</v>
      </c>
      <c r="AH3645">
        <v>28.248928139195399</v>
      </c>
      <c r="AI3645">
        <v>92.192020523181995</v>
      </c>
      <c r="AJ3645">
        <v>101.653684452272</v>
      </c>
      <c r="AK3645">
        <v>28.8646175786028</v>
      </c>
    </row>
    <row r="3646" spans="1:37" x14ac:dyDescent="0.2">
      <c r="A3646" t="str">
        <f>"20200111160232331"</f>
        <v>20200111160232331</v>
      </c>
      <c r="B3646" t="str">
        <f>"1578729752325637"</f>
        <v>1578729752325637</v>
      </c>
      <c r="C3646" t="s">
        <v>37</v>
      </c>
      <c r="D3646">
        <v>7.2780779999999998</v>
      </c>
      <c r="E3646">
        <v>0.41330509999999898</v>
      </c>
      <c r="F3646" t="s">
        <v>77</v>
      </c>
      <c r="G3646">
        <v>-282.02890000000002</v>
      </c>
      <c r="H3646" s="1">
        <v>-1.0938499999999999E-6</v>
      </c>
      <c r="I3646">
        <v>131.29259999999999</v>
      </c>
      <c r="J3646">
        <v>-254.67169999999999</v>
      </c>
      <c r="K3646">
        <v>1.104028</v>
      </c>
      <c r="L3646">
        <v>136.46889999999999</v>
      </c>
      <c r="M3646">
        <v>-0.99978729999999905</v>
      </c>
      <c r="N3646">
        <v>0</v>
      </c>
      <c r="O3646">
        <v>1.7353850000000001E-2</v>
      </c>
      <c r="P3646">
        <v>-0.99900719999999998</v>
      </c>
      <c r="Q3646">
        <v>-1.5219039999999999E-3</v>
      </c>
      <c r="R3646">
        <v>4.4525479999999999E-2</v>
      </c>
      <c r="S3646">
        <v>-3.0284119999999999</v>
      </c>
      <c r="T3646">
        <v>-0.1210837</v>
      </c>
      <c r="U3646">
        <v>-0.56721499999999903</v>
      </c>
      <c r="V3646">
        <v>2.7181520000000001E-2</v>
      </c>
      <c r="W3646">
        <v>9.6246349999999994E-3</v>
      </c>
      <c r="X3646">
        <v>0.99958419999999903</v>
      </c>
      <c r="Y3646">
        <v>-0.20095850000000001</v>
      </c>
      <c r="Z3646">
        <v>-4.6691379999999998E-3</v>
      </c>
      <c r="AA3646">
        <v>0.97958860000000003</v>
      </c>
      <c r="AB3646">
        <v>26</v>
      </c>
      <c r="AC3646">
        <v>-27.357199999999999</v>
      </c>
      <c r="AD3646">
        <v>-1.1040290938499999</v>
      </c>
      <c r="AE3646">
        <v>-5.1762999999999897</v>
      </c>
      <c r="AF3646">
        <v>-5.6414324904276203</v>
      </c>
      <c r="AG3646">
        <v>-1.1040290938499999</v>
      </c>
      <c r="AH3646">
        <v>27.2204461736344</v>
      </c>
      <c r="AI3646">
        <v>92.274298536574193</v>
      </c>
      <c r="AJ3646">
        <v>101.70877757094701</v>
      </c>
      <c r="AK3646">
        <v>27.820807513007999</v>
      </c>
    </row>
    <row r="3647" spans="1:37" x14ac:dyDescent="0.2">
      <c r="A3647" t="str">
        <f>"20200111160232353"</f>
        <v>20200111160232353</v>
      </c>
      <c r="B3647" t="str">
        <f>"1578729752346133"</f>
        <v>1578729752346133</v>
      </c>
      <c r="C3647" t="s">
        <v>37</v>
      </c>
      <c r="D3647">
        <v>5.6882640000000002</v>
      </c>
      <c r="E3647">
        <v>0.47647479999999998</v>
      </c>
      <c r="F3647" t="s">
        <v>77</v>
      </c>
      <c r="G3647">
        <v>-282.1001</v>
      </c>
      <c r="H3647" s="1">
        <v>-1.146748E-6</v>
      </c>
      <c r="I3647">
        <v>131.32040000000001</v>
      </c>
      <c r="J3647">
        <v>-254.94470000000001</v>
      </c>
      <c r="K3647">
        <v>1.104028</v>
      </c>
      <c r="L3647">
        <v>136.47370000000001</v>
      </c>
      <c r="M3647">
        <v>-0.99978729999999905</v>
      </c>
      <c r="N3647">
        <v>0</v>
      </c>
      <c r="O3647">
        <v>1.7353170000000001E-2</v>
      </c>
      <c r="P3647">
        <v>-0.9990135</v>
      </c>
      <c r="Q3647">
        <v>-1.9847010000000002E-3</v>
      </c>
      <c r="R3647">
        <v>4.4366639999999999E-2</v>
      </c>
      <c r="S3647">
        <v>-3.028152</v>
      </c>
      <c r="T3647">
        <v>-0.121887</v>
      </c>
      <c r="U3647">
        <v>-0.56840519999999894</v>
      </c>
      <c r="V3647">
        <v>2.7023189999999999E-2</v>
      </c>
      <c r="W3647">
        <v>9.1645069999999901E-3</v>
      </c>
      <c r="X3647">
        <v>0.99959279999999995</v>
      </c>
      <c r="Y3647">
        <v>-0.2013424</v>
      </c>
      <c r="Z3647">
        <v>-4.7079469999999997E-3</v>
      </c>
      <c r="AA3647">
        <v>0.97950959999999998</v>
      </c>
      <c r="AB3647">
        <v>26</v>
      </c>
      <c r="AC3647">
        <v>-27.155399999999901</v>
      </c>
      <c r="AD3647">
        <v>-1.1040291467479999</v>
      </c>
      <c r="AE3647">
        <v>-5.1532999999999998</v>
      </c>
      <c r="AF3647">
        <v>-5.6148272938880899</v>
      </c>
      <c r="AG3647">
        <v>-1.1040291467479999</v>
      </c>
      <c r="AH3647">
        <v>27.018771722679698</v>
      </c>
      <c r="AI3647">
        <v>92.291000483034907</v>
      </c>
      <c r="AJ3647">
        <v>101.73966296012399</v>
      </c>
      <c r="AK3647">
        <v>27.618095359733601</v>
      </c>
    </row>
    <row r="3648" spans="1:37" x14ac:dyDescent="0.2">
      <c r="A3648" t="str">
        <f>"20200111160232375"</f>
        <v>20200111160232375</v>
      </c>
      <c r="B3648" t="str">
        <f>"1578729752366629"</f>
        <v>1578729752366629</v>
      </c>
      <c r="C3648" t="s">
        <v>37</v>
      </c>
      <c r="D3648">
        <v>5.3759709999999998</v>
      </c>
      <c r="E3648">
        <v>0.52356819999999904</v>
      </c>
      <c r="F3648" t="s">
        <v>77</v>
      </c>
      <c r="G3648">
        <v>-410.33159999999998</v>
      </c>
      <c r="H3648" s="1">
        <v>-8.0017470000000002E-6</v>
      </c>
      <c r="I3648">
        <v>133.57040000000001</v>
      </c>
      <c r="J3648">
        <v>-255.19569999999999</v>
      </c>
      <c r="K3648">
        <v>1.104025</v>
      </c>
      <c r="L3648">
        <v>136.47799999999901</v>
      </c>
      <c r="M3648">
        <v>-0.99978729999999905</v>
      </c>
      <c r="N3648">
        <v>0</v>
      </c>
      <c r="O3648">
        <v>1.73525E-2</v>
      </c>
      <c r="P3648">
        <v>-0.99903059999999999</v>
      </c>
      <c r="Q3648">
        <v>-2.446152E-3</v>
      </c>
      <c r="R3648">
        <v>4.3954519999999997E-2</v>
      </c>
      <c r="S3648">
        <v>-3.0054020000000001</v>
      </c>
      <c r="T3648">
        <v>-2.13535999999999E-2</v>
      </c>
      <c r="U3648">
        <v>-5.6152340000000002E-2</v>
      </c>
      <c r="V3648">
        <v>2.6611659999999999E-2</v>
      </c>
      <c r="W3648">
        <v>8.7058090000000001E-3</v>
      </c>
      <c r="X3648">
        <v>0.99960789999999999</v>
      </c>
      <c r="Y3648">
        <v>-3.6026929999999999E-2</v>
      </c>
      <c r="Z3648">
        <v>-2.5126080000000001E-4</v>
      </c>
      <c r="AA3648">
        <v>0.99935079999999998</v>
      </c>
      <c r="AB3648">
        <v>26</v>
      </c>
      <c r="AC3648">
        <v>-155.13589999999999</v>
      </c>
      <c r="AD3648">
        <v>-1.1040330017469999</v>
      </c>
      <c r="AE3648">
        <v>-2.9075999999999702</v>
      </c>
      <c r="AF3648">
        <v>-5.5990416487216397</v>
      </c>
      <c r="AG3648">
        <v>-1.1040330017469999</v>
      </c>
      <c r="AH3648">
        <v>155.054231630625</v>
      </c>
      <c r="AI3648">
        <v>90.407690668251007</v>
      </c>
      <c r="AJ3648">
        <v>92.0680643495309</v>
      </c>
      <c r="AK3648">
        <v>155.159217911204</v>
      </c>
    </row>
    <row r="3649" spans="1:37" x14ac:dyDescent="0.2">
      <c r="A3649" t="str">
        <f>"20200111160232397"</f>
        <v>20200111160232397</v>
      </c>
      <c r="B3649" t="str">
        <f>"1578729752386148"</f>
        <v>1578729752386148</v>
      </c>
      <c r="C3649" t="s">
        <v>37</v>
      </c>
      <c r="D3649">
        <v>5.3936019999999996</v>
      </c>
      <c r="E3649">
        <v>0.59542390000000001</v>
      </c>
      <c r="F3649" t="s">
        <v>42</v>
      </c>
      <c r="G3649">
        <v>-256.03629999999998</v>
      </c>
      <c r="H3649">
        <v>0.9631594</v>
      </c>
      <c r="I3649">
        <v>136.5574</v>
      </c>
      <c r="J3649">
        <v>-255.44730000000001</v>
      </c>
      <c r="K3649">
        <v>1.104023</v>
      </c>
      <c r="L3649">
        <v>136.48240000000001</v>
      </c>
      <c r="M3649">
        <v>-0.99978729999999905</v>
      </c>
      <c r="N3649">
        <v>0</v>
      </c>
      <c r="O3649">
        <v>1.735194E-2</v>
      </c>
      <c r="P3649">
        <v>-0.99904479999999996</v>
      </c>
      <c r="Q3649">
        <v>-2.4012589999999898E-3</v>
      </c>
      <c r="R3649">
        <v>4.3636090000000002E-2</v>
      </c>
      <c r="S3649">
        <v>-2.989258</v>
      </c>
      <c r="T3649">
        <v>-0.50096109999999905</v>
      </c>
      <c r="U3649">
        <v>0.28186040000000001</v>
      </c>
      <c r="V3649">
        <v>2.6293489999999999E-2</v>
      </c>
      <c r="W3649">
        <v>8.7530160000000006E-3</v>
      </c>
      <c r="X3649">
        <v>0.99961599999999995</v>
      </c>
      <c r="Y3649">
        <v>7.5776880000000005E-2</v>
      </c>
      <c r="Z3649">
        <v>3.4109259999999999E-3</v>
      </c>
      <c r="AA3649">
        <v>0.99711890000000003</v>
      </c>
      <c r="AB3649">
        <v>26</v>
      </c>
      <c r="AC3649">
        <v>-0.58899999999996999</v>
      </c>
      <c r="AD3649">
        <v>-0.14086359999999901</v>
      </c>
      <c r="AE3649">
        <v>7.4999999999988604E-2</v>
      </c>
      <c r="AF3649">
        <v>6.13166576519441E-2</v>
      </c>
      <c r="AG3649">
        <v>-0.14086359999999901</v>
      </c>
      <c r="AH3649">
        <v>0.55876356921366199</v>
      </c>
      <c r="AI3649">
        <v>104.068294064097</v>
      </c>
      <c r="AJ3649">
        <v>83.737629089299205</v>
      </c>
      <c r="AK3649">
        <v>0.57949893234669203</v>
      </c>
    </row>
    <row r="3650" spans="1:37" x14ac:dyDescent="0.2">
      <c r="A3650" t="str">
        <f>"20200111160232420"</f>
        <v>20200111160232420</v>
      </c>
      <c r="B3650" t="str">
        <f>"1578729752415429"</f>
        <v>1578729752415429</v>
      </c>
      <c r="C3650" t="s">
        <v>37</v>
      </c>
      <c r="D3650">
        <v>5.3611139999999997</v>
      </c>
      <c r="E3650">
        <v>0.59709749999999995</v>
      </c>
      <c r="F3650" t="s">
        <v>38</v>
      </c>
      <c r="G3650">
        <v>-267.9907</v>
      </c>
      <c r="H3650" s="1">
        <v>-9.9434380000000002E-7</v>
      </c>
      <c r="I3650">
        <v>140.18010000000001</v>
      </c>
      <c r="J3650">
        <v>-255.71019999999999</v>
      </c>
      <c r="K3650">
        <v>1.1040209999999999</v>
      </c>
      <c r="L3650">
        <v>136.48699999999999</v>
      </c>
      <c r="M3650">
        <v>-0.99978719999999999</v>
      </c>
      <c r="N3650">
        <v>0</v>
      </c>
      <c r="O3650">
        <v>1.7351450000000001E-2</v>
      </c>
      <c r="P3650">
        <v>-0.99905440000000001</v>
      </c>
      <c r="Q3650">
        <v>-2.8257149999999999E-3</v>
      </c>
      <c r="R3650">
        <v>4.3387509999999997E-2</v>
      </c>
      <c r="S3650">
        <v>-2.9640810000000002</v>
      </c>
      <c r="T3650">
        <v>-0.26088840000000002</v>
      </c>
      <c r="U3650">
        <v>0.87380979999999997</v>
      </c>
      <c r="V3650">
        <v>2.6045169999999999E-2</v>
      </c>
      <c r="W3650">
        <v>8.3315049999999995E-3</v>
      </c>
      <c r="X3650">
        <v>0.99962600000000001</v>
      </c>
      <c r="Y3650">
        <v>0.26520079999999902</v>
      </c>
      <c r="Z3650">
        <v>9.9154120000000002E-3</v>
      </c>
      <c r="AA3650">
        <v>0.96414219999999895</v>
      </c>
      <c r="AB3650">
        <v>26</v>
      </c>
      <c r="AC3650">
        <v>-12.2805</v>
      </c>
      <c r="AD3650">
        <v>-1.1040219943438001</v>
      </c>
      <c r="AE3650">
        <v>3.69310000000001</v>
      </c>
      <c r="AF3650">
        <v>3.45384704700498</v>
      </c>
      <c r="AG3650">
        <v>-1.1040219943438001</v>
      </c>
      <c r="AH3650">
        <v>12.251927023956799</v>
      </c>
      <c r="AI3650">
        <v>94.956846681843103</v>
      </c>
      <c r="AJ3650">
        <v>74.256730890226507</v>
      </c>
      <c r="AK3650">
        <v>12.7772313037083</v>
      </c>
    </row>
    <row r="3651" spans="1:37" x14ac:dyDescent="0.2">
      <c r="A3651" t="str">
        <f>"20200111160232443"</f>
        <v>20200111160232443</v>
      </c>
      <c r="B3651" t="str">
        <f>"1578729752435925"</f>
        <v>1578729752435925</v>
      </c>
      <c r="C3651" t="s">
        <v>37</v>
      </c>
      <c r="D3651">
        <v>5.313841</v>
      </c>
      <c r="E3651">
        <v>0.5968097</v>
      </c>
      <c r="F3651" t="s">
        <v>38</v>
      </c>
      <c r="G3651">
        <v>-268.34469999999999</v>
      </c>
      <c r="H3651" s="1">
        <v>-8.6572029999999998E-7</v>
      </c>
      <c r="I3651">
        <v>140.26740000000001</v>
      </c>
      <c r="J3651">
        <v>-255.98419999999999</v>
      </c>
      <c r="K3651">
        <v>1.1040219999999901</v>
      </c>
      <c r="L3651">
        <v>136.49170000000001</v>
      </c>
      <c r="M3651">
        <v>-0.99978719999999999</v>
      </c>
      <c r="N3651">
        <v>0</v>
      </c>
      <c r="O3651">
        <v>1.7350890000000001E-2</v>
      </c>
      <c r="P3651">
        <v>-0.99906439999999996</v>
      </c>
      <c r="Q3651">
        <v>-2.6969870000000001E-3</v>
      </c>
      <c r="R3651">
        <v>4.3167299999999999E-2</v>
      </c>
      <c r="S3651">
        <v>-2.9635769999999999</v>
      </c>
      <c r="T3651">
        <v>-0.25896219999999998</v>
      </c>
      <c r="U3651">
        <v>0.88676449999999996</v>
      </c>
      <c r="V3651">
        <v>2.582541E-2</v>
      </c>
      <c r="W3651">
        <v>8.4631059999999998E-3</v>
      </c>
      <c r="X3651">
        <v>0.99963060000000004</v>
      </c>
      <c r="Y3651">
        <v>0.26911679999999999</v>
      </c>
      <c r="Z3651">
        <v>1.000529E-2</v>
      </c>
      <c r="AA3651">
        <v>0.96305560000000001</v>
      </c>
      <c r="AB3651">
        <v>26</v>
      </c>
      <c r="AC3651">
        <v>-12.3605</v>
      </c>
      <c r="AD3651">
        <v>-1.10402286572029</v>
      </c>
      <c r="AE3651">
        <v>3.7757000000000001</v>
      </c>
      <c r="AF3651">
        <v>3.53485883753262</v>
      </c>
      <c r="AG3651">
        <v>-1.10402286572029</v>
      </c>
      <c r="AH3651">
        <v>12.334153214795901</v>
      </c>
      <c r="AI3651">
        <v>94.917930140053699</v>
      </c>
      <c r="AJ3651">
        <v>74.008167346744798</v>
      </c>
      <c r="AK3651">
        <v>12.8780988121453</v>
      </c>
    </row>
    <row r="3652" spans="1:37" x14ac:dyDescent="0.2">
      <c r="A3652" t="str">
        <f>"20200111160232466"</f>
        <v>20200111160232466</v>
      </c>
      <c r="B3652" t="str">
        <f>"1578729752455445"</f>
        <v>1578729752455445</v>
      </c>
      <c r="C3652" t="s">
        <v>37</v>
      </c>
      <c r="D3652">
        <v>5.2799930000000002</v>
      </c>
      <c r="E3652">
        <v>0.59721219999999997</v>
      </c>
      <c r="F3652" t="s">
        <v>38</v>
      </c>
      <c r="G3652">
        <v>-268.5299</v>
      </c>
      <c r="H3652" s="1">
        <v>-7.7671600000000003E-7</v>
      </c>
      <c r="I3652">
        <v>140.23159999999999</v>
      </c>
      <c r="J3652">
        <v>-256.25049999999999</v>
      </c>
      <c r="K3652">
        <v>1.104025</v>
      </c>
      <c r="L3652">
        <v>136.49639999999999</v>
      </c>
      <c r="M3652">
        <v>-0.99978719999999999</v>
      </c>
      <c r="N3652">
        <v>0</v>
      </c>
      <c r="O3652">
        <v>1.7350399999999998E-2</v>
      </c>
      <c r="P3652">
        <v>-0.99906149999999905</v>
      </c>
      <c r="Q3652">
        <v>-2.5134939999999998E-3</v>
      </c>
      <c r="R3652">
        <v>4.3246189999999997E-2</v>
      </c>
      <c r="S3652">
        <v>-2.9639129999999998</v>
      </c>
      <c r="T3652">
        <v>-0.26082379999999999</v>
      </c>
      <c r="U3652">
        <v>0.88356019999999902</v>
      </c>
      <c r="V3652">
        <v>2.5905049999999999E-2</v>
      </c>
      <c r="W3652">
        <v>8.6495449999999998E-3</v>
      </c>
      <c r="X3652">
        <v>0.99962700000000004</v>
      </c>
      <c r="Y3652">
        <v>0.26812190000000002</v>
      </c>
      <c r="Z3652">
        <v>1.0034650000000001E-2</v>
      </c>
      <c r="AA3652">
        <v>0.96333269999999904</v>
      </c>
      <c r="AB3652">
        <v>26</v>
      </c>
      <c r="AC3652">
        <v>-12.279400000000001</v>
      </c>
      <c r="AD3652">
        <v>-1.104025776716</v>
      </c>
      <c r="AE3652">
        <v>3.7351999999999901</v>
      </c>
      <c r="AF3652">
        <v>3.4957072554891502</v>
      </c>
      <c r="AG3652">
        <v>-1.104025776716</v>
      </c>
      <c r="AH3652">
        <v>12.2517124974712</v>
      </c>
      <c r="AI3652">
        <v>94.952521908343201</v>
      </c>
      <c r="AJ3652">
        <v>74.075281838454501</v>
      </c>
      <c r="AK3652">
        <v>12.7884049534109</v>
      </c>
    </row>
    <row r="3653" spans="1:37" x14ac:dyDescent="0.2">
      <c r="A3653" t="str">
        <f>"20200111160232487"</f>
        <v>20200111160232487</v>
      </c>
      <c r="B3653" t="str">
        <f>"1578729752475940"</f>
        <v>1578729752475940</v>
      </c>
      <c r="C3653" t="s">
        <v>37</v>
      </c>
      <c r="D3653">
        <v>5.2136620000000002</v>
      </c>
      <c r="E3653">
        <v>0.59771470000000004</v>
      </c>
      <c r="F3653" t="s">
        <v>38</v>
      </c>
      <c r="G3653">
        <v>-268.65260000000001</v>
      </c>
      <c r="H3653" s="1">
        <v>-7.1739169999999997E-7</v>
      </c>
      <c r="I3653">
        <v>140.2064</v>
      </c>
      <c r="J3653">
        <v>-256.49799999999999</v>
      </c>
      <c r="K3653">
        <v>1.10402</v>
      </c>
      <c r="L3653">
        <v>136.50059999999999</v>
      </c>
      <c r="M3653">
        <v>-0.99978709999999904</v>
      </c>
      <c r="N3653">
        <v>0</v>
      </c>
      <c r="O3653">
        <v>1.7350210000000001E-2</v>
      </c>
      <c r="P3653">
        <v>-0.99906340000000005</v>
      </c>
      <c r="Q3653">
        <v>-2.410639E-3</v>
      </c>
      <c r="R3653">
        <v>4.3203119999999998E-2</v>
      </c>
      <c r="S3653">
        <v>-2.9637449999999999</v>
      </c>
      <c r="T3653">
        <v>-0.26383279999999998</v>
      </c>
      <c r="U3653">
        <v>0.88661190000000001</v>
      </c>
      <c r="V3653">
        <v>2.586188E-2</v>
      </c>
      <c r="W3653">
        <v>8.7544430000000006E-3</v>
      </c>
      <c r="X3653">
        <v>0.99962719999999905</v>
      </c>
      <c r="Y3653">
        <v>0.26902399999999999</v>
      </c>
      <c r="Z3653">
        <v>1.0188330000000001E-2</v>
      </c>
      <c r="AA3653">
        <v>0.96307960000000004</v>
      </c>
      <c r="AB3653">
        <v>26</v>
      </c>
      <c r="AC3653">
        <v>-12.1546</v>
      </c>
      <c r="AD3653">
        <v>-1.1040207173917</v>
      </c>
      <c r="AE3653">
        <v>3.7058</v>
      </c>
      <c r="AF3653">
        <v>3.4681640965214902</v>
      </c>
      <c r="AG3653">
        <v>-1.1040207173917</v>
      </c>
      <c r="AH3653">
        <v>12.125539007431501</v>
      </c>
      <c r="AI3653">
        <v>95.002855750487996</v>
      </c>
      <c r="AJ3653">
        <v>74.038335110949504</v>
      </c>
      <c r="AK3653">
        <v>12.660004745874801</v>
      </c>
    </row>
    <row r="3654" spans="1:37" x14ac:dyDescent="0.2">
      <c r="A3654" t="str">
        <f>"20200111160232511"</f>
        <v>20200111160232511</v>
      </c>
      <c r="B3654" t="str">
        <f>"1578729752506197"</f>
        <v>1578729752506197</v>
      </c>
      <c r="C3654" t="s">
        <v>37</v>
      </c>
      <c r="D3654">
        <v>5.1604989999999997</v>
      </c>
      <c r="E3654">
        <v>0.5981303</v>
      </c>
      <c r="F3654" t="s">
        <v>38</v>
      </c>
      <c r="G3654">
        <v>-268.86680000000001</v>
      </c>
      <c r="H3654" s="1">
        <v>-6.2807869999999999E-7</v>
      </c>
      <c r="I3654">
        <v>140.21610000000001</v>
      </c>
      <c r="J3654">
        <v>-256.75479999999999</v>
      </c>
      <c r="K3654">
        <v>1.1040190000000001</v>
      </c>
      <c r="L3654">
        <v>136.5051</v>
      </c>
      <c r="M3654">
        <v>-0.99978709999999904</v>
      </c>
      <c r="N3654">
        <v>0</v>
      </c>
      <c r="O3654">
        <v>1.7349900000000001E-2</v>
      </c>
      <c r="P3654">
        <v>-0.99903489999999995</v>
      </c>
      <c r="Q3654">
        <v>-2.022434E-3</v>
      </c>
      <c r="R3654">
        <v>4.3876980000000003E-2</v>
      </c>
      <c r="S3654">
        <v>-2.9636840000000002</v>
      </c>
      <c r="T3654">
        <v>-0.26453480000000001</v>
      </c>
      <c r="U3654">
        <v>0.89028929999999995</v>
      </c>
      <c r="V3654">
        <v>2.6536589999999999E-2</v>
      </c>
      <c r="W3654">
        <v>9.1444809999999994E-3</v>
      </c>
      <c r="X3654">
        <v>0.99960599999999999</v>
      </c>
      <c r="Y3654">
        <v>0.27011750000000001</v>
      </c>
      <c r="Z3654">
        <v>1.026145E-2</v>
      </c>
      <c r="AA3654">
        <v>0.96277269999999904</v>
      </c>
      <c r="AB3654">
        <v>26</v>
      </c>
      <c r="AC3654">
        <v>-12.112</v>
      </c>
      <c r="AD3654">
        <v>-1.1040196280787</v>
      </c>
      <c r="AE3654">
        <v>3.7110000000000101</v>
      </c>
      <c r="AF3654">
        <v>3.4739003759103899</v>
      </c>
      <c r="AG3654">
        <v>-1.1040196280787</v>
      </c>
      <c r="AH3654">
        <v>12.0827917830927</v>
      </c>
      <c r="AI3654">
        <v>95.0184927298763</v>
      </c>
      <c r="AJ3654">
        <v>73.959628610465202</v>
      </c>
      <c r="AK3654">
        <v>12.6206458010082</v>
      </c>
    </row>
    <row r="3655" spans="1:37" x14ac:dyDescent="0.2">
      <c r="A3655" t="str">
        <f>"20200111160232532"</f>
        <v>20200111160232532</v>
      </c>
      <c r="B3655" t="str">
        <f>"1578729752525716"</f>
        <v>1578729752525716</v>
      </c>
      <c r="C3655" t="s">
        <v>37</v>
      </c>
      <c r="D3655">
        <v>5.1950649999999996</v>
      </c>
      <c r="E3655">
        <v>0.59843469999999999</v>
      </c>
      <c r="F3655" t="s">
        <v>38</v>
      </c>
      <c r="G3655">
        <v>-269.24040000000002</v>
      </c>
      <c r="H3655" s="1">
        <v>-4.8471649999999897E-7</v>
      </c>
      <c r="I3655">
        <v>140.27959999999999</v>
      </c>
      <c r="J3655">
        <v>-257.01400000000001</v>
      </c>
      <c r="K3655">
        <v>1.1040209999999999</v>
      </c>
      <c r="L3655">
        <v>136.50960000000001</v>
      </c>
      <c r="M3655">
        <v>-0.99978709999999904</v>
      </c>
      <c r="N3655">
        <v>0</v>
      </c>
      <c r="O3655">
        <v>1.734952E-2</v>
      </c>
      <c r="P3655">
        <v>-0.99901249999999997</v>
      </c>
      <c r="Q3655">
        <v>-1.859248E-3</v>
      </c>
      <c r="R3655">
        <v>4.4392630000000002E-2</v>
      </c>
      <c r="S3655">
        <v>-2.9630130000000001</v>
      </c>
      <c r="T3655">
        <v>-0.26200089999999998</v>
      </c>
      <c r="U3655">
        <v>0.89575199999999999</v>
      </c>
      <c r="V3655">
        <v>2.7052759999999999E-2</v>
      </c>
      <c r="W3655">
        <v>9.3104139999999995E-3</v>
      </c>
      <c r="X3655">
        <v>0.999590599999999</v>
      </c>
      <c r="Y3655">
        <v>0.27181640000000001</v>
      </c>
      <c r="Z3655">
        <v>1.0236469999999999E-2</v>
      </c>
      <c r="AA3655">
        <v>0.96229469999999995</v>
      </c>
      <c r="AB3655">
        <v>26</v>
      </c>
      <c r="AC3655">
        <v>-12.2264</v>
      </c>
      <c r="AD3655">
        <v>-1.1040214847165</v>
      </c>
      <c r="AE3655">
        <v>3.76999999999998</v>
      </c>
      <c r="AF3655">
        <v>3.5310058656345502</v>
      </c>
      <c r="AG3655">
        <v>-1.1040214847165</v>
      </c>
      <c r="AH3655">
        <v>12.199138746520401</v>
      </c>
      <c r="AI3655">
        <v>94.968325641224894</v>
      </c>
      <c r="AJ3655">
        <v>73.857064317796798</v>
      </c>
      <c r="AK3655">
        <v>12.747778316974101</v>
      </c>
    </row>
    <row r="3656" spans="1:37" x14ac:dyDescent="0.2">
      <c r="A3656" t="str">
        <f>"20200111160232554"</f>
        <v>20200111160232554</v>
      </c>
      <c r="B3656" t="str">
        <f>"1578729752546213"</f>
        <v>1578729752546213</v>
      </c>
      <c r="C3656" t="s">
        <v>37</v>
      </c>
      <c r="D3656">
        <v>5.1445780000000001</v>
      </c>
      <c r="E3656">
        <v>0.59871750000000001</v>
      </c>
      <c r="F3656" t="s">
        <v>38</v>
      </c>
      <c r="G3656">
        <v>-269.52449999999999</v>
      </c>
      <c r="H3656" s="1">
        <v>-3.7070099999999998E-7</v>
      </c>
      <c r="I3656">
        <v>140.3092</v>
      </c>
      <c r="J3656">
        <v>-257.27839999999998</v>
      </c>
      <c r="K3656">
        <v>1.104026</v>
      </c>
      <c r="L3656">
        <v>136.51419999999999</v>
      </c>
      <c r="M3656">
        <v>-0.99978709999999904</v>
      </c>
      <c r="N3656">
        <v>0</v>
      </c>
      <c r="O3656">
        <v>1.7349150000000001E-2</v>
      </c>
      <c r="P3656">
        <v>-0.99896849999999904</v>
      </c>
      <c r="Q3656">
        <v>-1.4088970000000001E-3</v>
      </c>
      <c r="R3656">
        <v>4.5386139999999998E-2</v>
      </c>
      <c r="S3656">
        <v>-2.962494</v>
      </c>
      <c r="T3656">
        <v>-0.26143470000000002</v>
      </c>
      <c r="U3656">
        <v>0.89976499999999904</v>
      </c>
      <c r="V3656">
        <v>2.8047220000000001E-2</v>
      </c>
      <c r="W3656">
        <v>9.7624359999999993E-3</v>
      </c>
      <c r="X3656">
        <v>0.99955890000000003</v>
      </c>
      <c r="Y3656">
        <v>0.27305679999999999</v>
      </c>
      <c r="Z3656">
        <v>1.026764E-2</v>
      </c>
      <c r="AA3656">
        <v>0.96194310000000005</v>
      </c>
      <c r="AB3656">
        <v>26</v>
      </c>
      <c r="AC3656">
        <v>-12.2461</v>
      </c>
      <c r="AD3656">
        <v>-1.1040263707009901</v>
      </c>
      <c r="AE3656">
        <v>3.7950000000000101</v>
      </c>
      <c r="AF3656">
        <v>3.5555896827225402</v>
      </c>
      <c r="AG3656">
        <v>-1.1040263707009901</v>
      </c>
      <c r="AH3656">
        <v>12.219487457455701</v>
      </c>
      <c r="AI3656">
        <v>94.958094620099502</v>
      </c>
      <c r="AJ3656">
        <v>73.776219568443096</v>
      </c>
      <c r="AK3656">
        <v>12.7740739759093</v>
      </c>
    </row>
    <row r="3657" spans="1:37" x14ac:dyDescent="0.2">
      <c r="A3657" t="str">
        <f>"20200111160232576"</f>
        <v>20200111160232576</v>
      </c>
      <c r="B3657" t="str">
        <f>"1578729752565732"</f>
        <v>1578729752565732</v>
      </c>
      <c r="C3657" t="s">
        <v>37</v>
      </c>
      <c r="D3657">
        <v>5.2400919999999998</v>
      </c>
      <c r="E3657">
        <v>0.59868540000000003</v>
      </c>
      <c r="F3657" t="s">
        <v>38</v>
      </c>
      <c r="G3657">
        <v>-269.89030000000002</v>
      </c>
      <c r="H3657" s="1">
        <v>-2.2947740000000001E-7</v>
      </c>
      <c r="I3657">
        <v>140.3682</v>
      </c>
      <c r="J3657">
        <v>-257.52910000000003</v>
      </c>
      <c r="K3657">
        <v>1.104023</v>
      </c>
      <c r="L3657">
        <v>136.51859999999999</v>
      </c>
      <c r="M3657">
        <v>-0.99978699999999998</v>
      </c>
      <c r="N3657">
        <v>0</v>
      </c>
      <c r="O3657">
        <v>1.7349139999999999E-2</v>
      </c>
      <c r="P3657">
        <v>-0.99891669999999999</v>
      </c>
      <c r="Q3657">
        <v>-1.177572E-3</v>
      </c>
      <c r="R3657">
        <v>4.6517160000000002E-2</v>
      </c>
      <c r="S3657">
        <v>-2.9616090000000002</v>
      </c>
      <c r="T3657">
        <v>-0.2592565</v>
      </c>
      <c r="U3657">
        <v>0.90504459999999998</v>
      </c>
      <c r="V3657">
        <v>2.9179E-2</v>
      </c>
      <c r="W3657">
        <v>9.9965499999999999E-3</v>
      </c>
      <c r="X3657">
        <v>0.99952419999999997</v>
      </c>
      <c r="Y3657">
        <v>0.27471469999999998</v>
      </c>
      <c r="Z3657">
        <v>1.025356E-2</v>
      </c>
      <c r="AA3657">
        <v>0.96147109999999902</v>
      </c>
      <c r="AB3657">
        <v>26</v>
      </c>
      <c r="AC3657">
        <v>-12.361199999999901</v>
      </c>
      <c r="AD3657">
        <v>-1.1040232294773999</v>
      </c>
      <c r="AE3657">
        <v>3.8496000000000001</v>
      </c>
      <c r="AF3657">
        <v>3.6083124957808201</v>
      </c>
      <c r="AG3657">
        <v>-1.1040232294773999</v>
      </c>
      <c r="AH3657">
        <v>12.336424363009</v>
      </c>
      <c r="AI3657">
        <v>94.909322913287994</v>
      </c>
      <c r="AJ3657">
        <v>73.6961940281046</v>
      </c>
      <c r="AK3657">
        <v>12.900626047703099</v>
      </c>
    </row>
    <row r="3658" spans="1:37" x14ac:dyDescent="0.2">
      <c r="A3658" t="str">
        <f>"20200111160232598"</f>
        <v>20200111160232598</v>
      </c>
      <c r="B3658" t="str">
        <f>"1578729752595989"</f>
        <v>1578729752595989</v>
      </c>
      <c r="C3658" t="s">
        <v>37</v>
      </c>
      <c r="D3658">
        <v>5.1610009999999997</v>
      </c>
      <c r="E3658">
        <v>0.55513539999999995</v>
      </c>
      <c r="F3658" t="s">
        <v>38</v>
      </c>
      <c r="G3658">
        <v>-270.30399999999997</v>
      </c>
      <c r="H3658" s="1">
        <v>-4.3182029999999901E-6</v>
      </c>
      <c r="I3658">
        <v>140.43709999999999</v>
      </c>
      <c r="J3658">
        <v>-257.79090000000002</v>
      </c>
      <c r="K3658">
        <v>1.10402</v>
      </c>
      <c r="L3658">
        <v>136.5231</v>
      </c>
      <c r="M3658">
        <v>-0.99978709999999904</v>
      </c>
      <c r="N3658">
        <v>0</v>
      </c>
      <c r="O3658">
        <v>1.7348829999999999E-2</v>
      </c>
      <c r="P3658">
        <v>-0.99886839999999999</v>
      </c>
      <c r="Q3658">
        <v>-1.2310330000000001E-3</v>
      </c>
      <c r="R3658">
        <v>4.7545490000000003E-2</v>
      </c>
      <c r="S3658">
        <v>-2.9606319999999999</v>
      </c>
      <c r="T3658">
        <v>-0.25586329999999902</v>
      </c>
      <c r="U3658">
        <v>0.90815729999999995</v>
      </c>
      <c r="V3658">
        <v>3.02084E-2</v>
      </c>
      <c r="W3658">
        <v>9.9445780000000008E-3</v>
      </c>
      <c r="X3658">
        <v>0.99949409999999905</v>
      </c>
      <c r="Y3658">
        <v>0.27574739999999998</v>
      </c>
      <c r="Z3658">
        <v>1.016506E-2</v>
      </c>
      <c r="AA3658">
        <v>0.96117640000000004</v>
      </c>
      <c r="AB3658">
        <v>26</v>
      </c>
      <c r="AC3658">
        <v>-12.5131</v>
      </c>
      <c r="AD3658">
        <v>-1.1040243182030001</v>
      </c>
      <c r="AE3658">
        <v>3.9139999999999802</v>
      </c>
      <c r="AF3658">
        <v>3.67028480086418</v>
      </c>
      <c r="AG3658">
        <v>-1.1040243182030001</v>
      </c>
      <c r="AH3658">
        <v>12.4905573384669</v>
      </c>
      <c r="AI3658">
        <v>94.847276122002697</v>
      </c>
      <c r="AJ3658">
        <v>73.624851253758905</v>
      </c>
      <c r="AK3658">
        <v>13.065369602126299</v>
      </c>
    </row>
    <row r="3659" spans="1:37" x14ac:dyDescent="0.2">
      <c r="A3659" t="str">
        <f>"20200111160232621"</f>
        <v>20200111160232621</v>
      </c>
      <c r="B3659" t="str">
        <f>"1578729752615508"</f>
        <v>1578729752615508</v>
      </c>
      <c r="C3659" t="s">
        <v>37</v>
      </c>
      <c r="D3659">
        <v>5.183897</v>
      </c>
      <c r="E3659">
        <v>0.55099529999999997</v>
      </c>
      <c r="F3659" t="s">
        <v>80</v>
      </c>
      <c r="G3659">
        <v>-444.6044</v>
      </c>
      <c r="H3659">
        <v>7.5233339999999904</v>
      </c>
      <c r="I3659">
        <v>173.6694</v>
      </c>
      <c r="J3659">
        <v>-258.05619999999999</v>
      </c>
      <c r="K3659">
        <v>1.1040190000000001</v>
      </c>
      <c r="L3659">
        <v>136.52770000000001</v>
      </c>
      <c r="M3659">
        <v>-0.99978699999999998</v>
      </c>
      <c r="N3659">
        <v>0</v>
      </c>
      <c r="O3659">
        <v>1.7348450000000001E-2</v>
      </c>
      <c r="P3659">
        <v>-0.99881359999999997</v>
      </c>
      <c r="Q3659">
        <v>-1.155108E-3</v>
      </c>
      <c r="R3659">
        <v>4.8685949999999999E-2</v>
      </c>
      <c r="S3659">
        <v>-2.9753720000000001</v>
      </c>
      <c r="T3659">
        <v>0.1022404</v>
      </c>
      <c r="U3659">
        <v>0.59162899999999996</v>
      </c>
      <c r="V3659">
        <v>3.1350040000000003E-2</v>
      </c>
      <c r="W3659">
        <v>1.002277E-2</v>
      </c>
      <c r="X3659">
        <v>0.99945819999999996</v>
      </c>
      <c r="Y3659">
        <v>0.17788709999999999</v>
      </c>
      <c r="Z3659">
        <v>-2.4358579999999999E-3</v>
      </c>
      <c r="AA3659">
        <v>0.98404789999999998</v>
      </c>
      <c r="AB3659">
        <v>26</v>
      </c>
      <c r="AC3659">
        <v>-186.54820000000001</v>
      </c>
      <c r="AD3659">
        <v>6.4193149999999903</v>
      </c>
      <c r="AE3659">
        <v>37.141699999999901</v>
      </c>
      <c r="AF3659">
        <v>33.861018592628596</v>
      </c>
      <c r="AG3659">
        <v>6.4193149999999903</v>
      </c>
      <c r="AH3659">
        <v>186.951580899747</v>
      </c>
      <c r="AI3659">
        <v>88.064880417065794</v>
      </c>
      <c r="AJ3659">
        <v>79.733777721311398</v>
      </c>
      <c r="AK3659">
        <v>190.10173535797699</v>
      </c>
    </row>
    <row r="3660" spans="1:37" x14ac:dyDescent="0.2">
      <c r="A3660" t="str">
        <f>"20200111160232642"</f>
        <v>20200111160232642</v>
      </c>
      <c r="B3660" t="str">
        <f>"1578729752636005"</f>
        <v>1578729752636005</v>
      </c>
      <c r="C3660" t="s">
        <v>37</v>
      </c>
      <c r="D3660">
        <v>5.1040559999999999</v>
      </c>
      <c r="E3660">
        <v>0.55008069999999998</v>
      </c>
      <c r="F3660" t="s">
        <v>69</v>
      </c>
      <c r="G3660">
        <v>-441.3544</v>
      </c>
      <c r="H3660">
        <v>0.94117220000000001</v>
      </c>
      <c r="I3660">
        <v>170.6223</v>
      </c>
      <c r="J3660">
        <v>-258.31079999999997</v>
      </c>
      <c r="K3660">
        <v>1.104025</v>
      </c>
      <c r="L3660">
        <v>136.53210000000001</v>
      </c>
      <c r="M3660">
        <v>-0.99978699999999998</v>
      </c>
      <c r="N3660">
        <v>0</v>
      </c>
      <c r="O3660">
        <v>1.7348260000000001E-2</v>
      </c>
      <c r="P3660">
        <v>-0.998776199999999</v>
      </c>
      <c r="Q3660">
        <v>-1.5217179999999901E-3</v>
      </c>
      <c r="R3660">
        <v>4.9434899999999997E-2</v>
      </c>
      <c r="S3660">
        <v>-2.9765929999999998</v>
      </c>
      <c r="T3660">
        <v>-2.6438239999999999E-3</v>
      </c>
      <c r="U3660">
        <v>0.55366519999999997</v>
      </c>
      <c r="V3660">
        <v>3.2099750000000003E-2</v>
      </c>
      <c r="W3660">
        <v>9.6584889999999993E-3</v>
      </c>
      <c r="X3660">
        <v>0.99943799999999905</v>
      </c>
      <c r="Y3660">
        <v>0.1657854</v>
      </c>
      <c r="Z3660" s="1">
        <v>5.7727559999999902E-5</v>
      </c>
      <c r="AA3660">
        <v>0.98616179999999998</v>
      </c>
      <c r="AB3660">
        <v>26</v>
      </c>
      <c r="AC3660">
        <v>-183.0436</v>
      </c>
      <c r="AD3660">
        <v>-0.16285279999999999</v>
      </c>
      <c r="AE3660">
        <v>34.090199999999903</v>
      </c>
      <c r="AF3660">
        <v>30.909358957939698</v>
      </c>
      <c r="AG3660">
        <v>-0.16285279999999999</v>
      </c>
      <c r="AH3660">
        <v>183.607352041799</v>
      </c>
      <c r="AI3660">
        <v>90.050114028948997</v>
      </c>
      <c r="AJ3660">
        <v>80.444147160969493</v>
      </c>
      <c r="AK3660">
        <v>186.19096303533701</v>
      </c>
    </row>
    <row r="3661" spans="1:37" x14ac:dyDescent="0.2">
      <c r="A3661" t="str">
        <f>"20200111160232667"</f>
        <v>20200111160232667</v>
      </c>
      <c r="B3661" t="str">
        <f>"1578729752655524"</f>
        <v>1578729752655524</v>
      </c>
      <c r="C3661" t="s">
        <v>37</v>
      </c>
      <c r="D3661">
        <v>5.06799</v>
      </c>
      <c r="E3661">
        <v>0.54871740000000002</v>
      </c>
      <c r="F3661" t="s">
        <v>38</v>
      </c>
      <c r="G3661">
        <v>-321.78429999999997</v>
      </c>
      <c r="H3661" s="1">
        <v>-5.1819780000000003E-6</v>
      </c>
      <c r="I3661">
        <v>148.14670000000001</v>
      </c>
      <c r="J3661">
        <v>-258.58609999999999</v>
      </c>
      <c r="K3661">
        <v>1.104023</v>
      </c>
      <c r="L3661">
        <v>136.5369</v>
      </c>
      <c r="M3661">
        <v>-0.99978699999999998</v>
      </c>
      <c r="N3661">
        <v>0</v>
      </c>
      <c r="O3661">
        <v>1.7347950000000001E-2</v>
      </c>
      <c r="P3661">
        <v>-0.99874189999999996</v>
      </c>
      <c r="Q3661">
        <v>-1.5807110000000001E-3</v>
      </c>
      <c r="R3661">
        <v>5.0124080000000001E-2</v>
      </c>
      <c r="S3661">
        <v>-2.9766240000000002</v>
      </c>
      <c r="T3661">
        <v>-5.1774140000000003E-2</v>
      </c>
      <c r="U3661">
        <v>0.54467769999999904</v>
      </c>
      <c r="V3661">
        <v>3.2789890000000002E-2</v>
      </c>
      <c r="W3661">
        <v>9.6017489999999997E-3</v>
      </c>
      <c r="X3661">
        <v>0.99941619999999998</v>
      </c>
      <c r="Y3661">
        <v>0.16288239999999901</v>
      </c>
      <c r="Z3661">
        <v>1.105661E-3</v>
      </c>
      <c r="AA3661">
        <v>0.98664490000000005</v>
      </c>
      <c r="AB3661">
        <v>26</v>
      </c>
      <c r="AC3661">
        <v>-63.1981999999999</v>
      </c>
      <c r="AD3661">
        <v>-1.104028181978</v>
      </c>
      <c r="AE3661">
        <v>11.6098</v>
      </c>
      <c r="AF3661">
        <v>10.5085226534929</v>
      </c>
      <c r="AG3661">
        <v>-1.104028181978</v>
      </c>
      <c r="AH3661">
        <v>63.371399018261002</v>
      </c>
      <c r="AI3661">
        <v>90.984637351866894</v>
      </c>
      <c r="AJ3661">
        <v>80.584639619518299</v>
      </c>
      <c r="AK3661">
        <v>64.246261682040497</v>
      </c>
    </row>
    <row r="3662" spans="1:37" x14ac:dyDescent="0.2">
      <c r="A3662" t="str">
        <f>"20200111160232688"</f>
        <v>20200111160232688</v>
      </c>
      <c r="B3662" t="str">
        <f>"1578729752685781"</f>
        <v>1578729752685781</v>
      </c>
      <c r="C3662" t="s">
        <v>37</v>
      </c>
      <c r="D3662">
        <v>5.0242500000000003</v>
      </c>
      <c r="E3662">
        <v>0.54782209999999998</v>
      </c>
      <c r="F3662" t="s">
        <v>77</v>
      </c>
      <c r="G3662">
        <v>-300.83920000000001</v>
      </c>
      <c r="H3662" s="1">
        <v>-9.3927209999999998E-6</v>
      </c>
      <c r="I3662">
        <v>144.11349999999999</v>
      </c>
      <c r="J3662">
        <v>-258.83760000000001</v>
      </c>
      <c r="K3662">
        <v>1.1040219999999901</v>
      </c>
      <c r="L3662">
        <v>136.5412</v>
      </c>
      <c r="M3662">
        <v>-0.99978699999999998</v>
      </c>
      <c r="N3662">
        <v>0</v>
      </c>
      <c r="O3662">
        <v>1.734776E-2</v>
      </c>
      <c r="P3662">
        <v>-0.99873330000000005</v>
      </c>
      <c r="Q3662">
        <v>-1.0456630000000001E-3</v>
      </c>
      <c r="R3662">
        <v>5.0310359999999998E-2</v>
      </c>
      <c r="S3662">
        <v>-2.9768680000000001</v>
      </c>
      <c r="T3662">
        <v>-7.7782509999999999E-2</v>
      </c>
      <c r="U3662">
        <v>0.5337982</v>
      </c>
      <c r="V3662">
        <v>3.2976430000000001E-2</v>
      </c>
      <c r="W3662">
        <v>1.013912E-2</v>
      </c>
      <c r="X3662">
        <v>0.99940469999999904</v>
      </c>
      <c r="Y3662">
        <v>0.1593503</v>
      </c>
      <c r="Z3662">
        <v>1.6155589999999999E-3</v>
      </c>
      <c r="AA3662">
        <v>0.98722080000000001</v>
      </c>
      <c r="AB3662">
        <v>26</v>
      </c>
      <c r="AC3662">
        <v>-42.001600000000003</v>
      </c>
      <c r="AD3662">
        <v>-1.1040313927209999</v>
      </c>
      <c r="AE3662">
        <v>7.5722999999999798</v>
      </c>
      <c r="AF3662">
        <v>6.8379053691377099</v>
      </c>
      <c r="AG3662">
        <v>-1.1040313927209999</v>
      </c>
      <c r="AH3662">
        <v>42.098478050192497</v>
      </c>
      <c r="AI3662">
        <v>91.482812022577207</v>
      </c>
      <c r="AJ3662">
        <v>80.774220780314707</v>
      </c>
      <c r="AK3662">
        <v>42.664478073638001</v>
      </c>
    </row>
    <row r="3663" spans="1:37" x14ac:dyDescent="0.2">
      <c r="A3663" t="str">
        <f>"20200111160232711"</f>
        <v>20200111160232711</v>
      </c>
      <c r="B3663" t="str">
        <f>"1578729752706277"</f>
        <v>1578729752706277</v>
      </c>
      <c r="C3663" t="s">
        <v>37</v>
      </c>
      <c r="D3663">
        <v>5.2828799999999996</v>
      </c>
      <c r="E3663">
        <v>0.54693029999999998</v>
      </c>
      <c r="F3663" t="s">
        <v>77</v>
      </c>
      <c r="G3663">
        <v>-292.38420000000002</v>
      </c>
      <c r="H3663" s="1">
        <v>-9.4700639999999992E-6</v>
      </c>
      <c r="I3663">
        <v>142.46100000000001</v>
      </c>
      <c r="J3663">
        <v>-259.0926</v>
      </c>
      <c r="K3663">
        <v>1.104025</v>
      </c>
      <c r="L3663">
        <v>136.54570000000001</v>
      </c>
      <c r="M3663">
        <v>-0.99978690000000003</v>
      </c>
      <c r="N3663">
        <v>0</v>
      </c>
      <c r="O3663">
        <v>1.7347560000000001E-2</v>
      </c>
      <c r="P3663">
        <v>-0.99871980000000005</v>
      </c>
      <c r="Q3663">
        <v>-5.8797370000000001E-4</v>
      </c>
      <c r="R3663">
        <v>5.0582740000000001E-2</v>
      </c>
      <c r="S3663">
        <v>-2.9772340000000002</v>
      </c>
      <c r="T3663">
        <v>-9.7981810000000003E-2</v>
      </c>
      <c r="U3663">
        <v>0.52537539999999905</v>
      </c>
      <c r="V3663">
        <v>3.3249010000000002E-2</v>
      </c>
      <c r="W3663">
        <v>1.059876E-2</v>
      </c>
      <c r="X3663">
        <v>0.99939089999999997</v>
      </c>
      <c r="Y3663">
        <v>0.1565954</v>
      </c>
      <c r="Z3663">
        <v>1.990187E-3</v>
      </c>
      <c r="AA3663">
        <v>0.98766080000000001</v>
      </c>
      <c r="AB3663">
        <v>26</v>
      </c>
      <c r="AC3663">
        <v>-33.291600000000003</v>
      </c>
      <c r="AD3663">
        <v>-1.1040344700639999</v>
      </c>
      <c r="AE3663">
        <v>5.9153000000000002</v>
      </c>
      <c r="AF3663">
        <v>5.3311620241649997</v>
      </c>
      <c r="AG3663">
        <v>-1.1040344700639999</v>
      </c>
      <c r="AH3663">
        <v>33.353653843911303</v>
      </c>
      <c r="AI3663">
        <v>91.872100938329098</v>
      </c>
      <c r="AJ3663">
        <v>80.918805864562501</v>
      </c>
      <c r="AK3663">
        <v>33.795064808022602</v>
      </c>
    </row>
    <row r="3664" spans="1:37" x14ac:dyDescent="0.2">
      <c r="A3664" t="str">
        <f>"20200111160232732"</f>
        <v>20200111160232732</v>
      </c>
      <c r="B3664" t="str">
        <f>"1578729752725797"</f>
        <v>1578729752725797</v>
      </c>
      <c r="C3664" t="s">
        <v>37</v>
      </c>
      <c r="D3664">
        <v>5.3517380000000001</v>
      </c>
      <c r="E3664">
        <v>0.54626109999999894</v>
      </c>
      <c r="F3664" t="s">
        <v>77</v>
      </c>
      <c r="G3664">
        <v>-290.78269999999998</v>
      </c>
      <c r="H3664" s="1">
        <v>-9.5181820000000005E-6</v>
      </c>
      <c r="I3664">
        <v>142.06399999999999</v>
      </c>
      <c r="J3664">
        <v>-259.35329999999999</v>
      </c>
      <c r="K3664">
        <v>1.104025</v>
      </c>
      <c r="L3664">
        <v>136.55019999999999</v>
      </c>
      <c r="M3664">
        <v>-0.99978699999999998</v>
      </c>
      <c r="N3664">
        <v>0</v>
      </c>
      <c r="O3664">
        <v>1.7347069999999999E-2</v>
      </c>
      <c r="P3664">
        <v>-0.99871209999999899</v>
      </c>
      <c r="Q3664">
        <v>-5.2914399999999995E-4</v>
      </c>
      <c r="R3664">
        <v>5.0739180000000002E-2</v>
      </c>
      <c r="S3664">
        <v>-2.9775390000000002</v>
      </c>
      <c r="T3664">
        <v>-0.103732899999999</v>
      </c>
      <c r="U3664">
        <v>0.51849369999999995</v>
      </c>
      <c r="V3664">
        <v>3.340626E-2</v>
      </c>
      <c r="W3664">
        <v>1.0660269999999999E-2</v>
      </c>
      <c r="X3664">
        <v>0.99938499999999997</v>
      </c>
      <c r="Y3664">
        <v>0.15435599999999999</v>
      </c>
      <c r="Z3664">
        <v>2.0684480000000001E-3</v>
      </c>
      <c r="AA3664">
        <v>0.98801309999999998</v>
      </c>
      <c r="AB3664">
        <v>26</v>
      </c>
      <c r="AC3664">
        <v>-31.429399999999902</v>
      </c>
      <c r="AD3664">
        <v>-1.1040345181819999</v>
      </c>
      <c r="AE3664">
        <v>5.5137999999999998</v>
      </c>
      <c r="AF3664">
        <v>4.9617884076635503</v>
      </c>
      <c r="AG3664">
        <v>-1.1040345181819999</v>
      </c>
      <c r="AH3664">
        <v>31.482636747461299</v>
      </c>
      <c r="AI3664">
        <v>91.983959214548406</v>
      </c>
      <c r="AJ3664">
        <v>81.0436288199232</v>
      </c>
      <c r="AK3664">
        <v>31.890353604066</v>
      </c>
    </row>
    <row r="3665" spans="1:37" x14ac:dyDescent="0.2">
      <c r="A3665" t="str">
        <f>"20200111160232755"</f>
        <v>20200111160232755</v>
      </c>
      <c r="B3665" t="str">
        <f>"1578729752746293"</f>
        <v>1578729752746293</v>
      </c>
      <c r="C3665" t="s">
        <v>37</v>
      </c>
      <c r="D3665">
        <v>4.9758779999999998</v>
      </c>
      <c r="E3665">
        <v>0.54591709999999904</v>
      </c>
      <c r="F3665" t="s">
        <v>77</v>
      </c>
      <c r="G3665">
        <v>-290.26769999999999</v>
      </c>
      <c r="H3665" s="1">
        <v>-9.5184509999999997E-6</v>
      </c>
      <c r="I3665">
        <v>141.8809</v>
      </c>
      <c r="J3665">
        <v>-259.6259</v>
      </c>
      <c r="K3665">
        <v>1.104025</v>
      </c>
      <c r="L3665">
        <v>136.5549</v>
      </c>
      <c r="M3665">
        <v>-0.99978690000000003</v>
      </c>
      <c r="N3665">
        <v>0</v>
      </c>
      <c r="O3665">
        <v>1.7347060000000001E-2</v>
      </c>
      <c r="P3665">
        <v>-0.99872640000000001</v>
      </c>
      <c r="Q3665">
        <v>-3.683418E-4</v>
      </c>
      <c r="R3665">
        <v>5.045641E-2</v>
      </c>
      <c r="S3665">
        <v>-2.977722</v>
      </c>
      <c r="T3665">
        <v>-0.10634209999999999</v>
      </c>
      <c r="U3665">
        <v>0.51345829999999903</v>
      </c>
      <c r="V3665">
        <v>3.3123390000000003E-2</v>
      </c>
      <c r="W3665">
        <v>1.082382E-2</v>
      </c>
      <c r="X3665">
        <v>0.99939259999999996</v>
      </c>
      <c r="Y3665">
        <v>0.1527203</v>
      </c>
      <c r="Z3665">
        <v>2.0916329999999999E-3</v>
      </c>
      <c r="AA3665">
        <v>0.98826719999999901</v>
      </c>
      <c r="AB3665">
        <v>26</v>
      </c>
      <c r="AC3665">
        <v>-30.6417999999999</v>
      </c>
      <c r="AD3665">
        <v>-1.1040345184510001</v>
      </c>
      <c r="AE3665">
        <v>5.3259999999999899</v>
      </c>
      <c r="AF3665">
        <v>4.7875871457294901</v>
      </c>
      <c r="AG3665">
        <v>-1.1040345184510001</v>
      </c>
      <c r="AH3665">
        <v>30.690910840687899</v>
      </c>
      <c r="AI3665">
        <v>92.035597592907806</v>
      </c>
      <c r="AJ3665">
        <v>81.133679246580897</v>
      </c>
      <c r="AK3665">
        <v>31.081697043870399</v>
      </c>
    </row>
    <row r="3666" spans="1:37" x14ac:dyDescent="0.2">
      <c r="A3666" t="str">
        <f>"20200111160232779"</f>
        <v>20200111160232779</v>
      </c>
      <c r="B3666" t="str">
        <f>"1578729752775573"</f>
        <v>1578729752775573</v>
      </c>
      <c r="C3666" t="s">
        <v>37</v>
      </c>
      <c r="D3666">
        <v>4.9754610000000001</v>
      </c>
      <c r="E3666">
        <v>0.54547139999999905</v>
      </c>
      <c r="F3666" t="s">
        <v>77</v>
      </c>
      <c r="G3666">
        <v>-289.19729999999998</v>
      </c>
      <c r="H3666" s="1">
        <v>-9.0777790000000006E-6</v>
      </c>
      <c r="I3666">
        <v>141.613</v>
      </c>
      <c r="J3666">
        <v>-259.89490000000001</v>
      </c>
      <c r="K3666">
        <v>1.1040289999999999</v>
      </c>
      <c r="L3666">
        <v>136.55959999999999</v>
      </c>
      <c r="M3666">
        <v>-0.99978690000000003</v>
      </c>
      <c r="N3666">
        <v>0</v>
      </c>
      <c r="O3666">
        <v>1.734668E-2</v>
      </c>
      <c r="P3666">
        <v>-0.99873819999999902</v>
      </c>
      <c r="Q3666">
        <v>-3.1924619999999999E-4</v>
      </c>
      <c r="R3666">
        <v>5.0223499999999997E-2</v>
      </c>
      <c r="S3666">
        <v>-2.978027</v>
      </c>
      <c r="T3666">
        <v>-0.111183199999999</v>
      </c>
      <c r="U3666">
        <v>0.50938419999999995</v>
      </c>
      <c r="V3666">
        <v>3.2890610000000001E-2</v>
      </c>
      <c r="W3666">
        <v>1.087627E-2</v>
      </c>
      <c r="X3666">
        <v>0.99939979999999995</v>
      </c>
      <c r="Y3666">
        <v>0.1513835</v>
      </c>
      <c r="Z3666">
        <v>2.1620649999999999E-3</v>
      </c>
      <c r="AA3666">
        <v>0.98847280000000004</v>
      </c>
      <c r="AB3666">
        <v>26</v>
      </c>
      <c r="AC3666">
        <v>-29.302399999999899</v>
      </c>
      <c r="AD3666">
        <v>-1.104038077779</v>
      </c>
      <c r="AE3666">
        <v>5.0534000000000097</v>
      </c>
      <c r="AF3666">
        <v>4.5380522635499601</v>
      </c>
      <c r="AG3666">
        <v>-1.104038077779</v>
      </c>
      <c r="AH3666">
        <v>29.3452008110525</v>
      </c>
      <c r="AI3666">
        <v>92.1293041956298</v>
      </c>
      <c r="AJ3666">
        <v>81.209200128339404</v>
      </c>
      <c r="AK3666">
        <v>29.7145356528567</v>
      </c>
    </row>
    <row r="3667" spans="1:37" x14ac:dyDescent="0.2">
      <c r="A3667" t="str">
        <f>"20200111160232801"</f>
        <v>20200111160232801</v>
      </c>
      <c r="B3667" t="str">
        <f>"1578729752796069"</f>
        <v>1578729752796069</v>
      </c>
      <c r="C3667" t="s">
        <v>37</v>
      </c>
      <c r="D3667">
        <v>4.8960410000000003</v>
      </c>
      <c r="E3667">
        <v>0.54530840000000003</v>
      </c>
      <c r="F3667" t="s">
        <v>77</v>
      </c>
      <c r="G3667">
        <v>-287.65780000000001</v>
      </c>
      <c r="H3667" s="1">
        <v>-8.0301960000000005E-6</v>
      </c>
      <c r="I3667">
        <v>141.26410000000001</v>
      </c>
      <c r="J3667">
        <v>-260.15199999999999</v>
      </c>
      <c r="K3667">
        <v>1.104025</v>
      </c>
      <c r="L3667">
        <v>136.56399999999999</v>
      </c>
      <c r="M3667">
        <v>-0.99978679999999998</v>
      </c>
      <c r="N3667">
        <v>0</v>
      </c>
      <c r="O3667">
        <v>1.7346489999999999E-2</v>
      </c>
      <c r="P3667">
        <v>-0.99878880000000003</v>
      </c>
      <c r="Q3667">
        <v>-1.063384E-4</v>
      </c>
      <c r="R3667">
        <v>4.9203240000000002E-2</v>
      </c>
      <c r="S3667">
        <v>-2.97839399999999</v>
      </c>
      <c r="T3667">
        <v>-0.1184405</v>
      </c>
      <c r="U3667">
        <v>0.50469969999999997</v>
      </c>
      <c r="V3667">
        <v>3.1869689999999999E-2</v>
      </c>
      <c r="W3667">
        <v>1.109226E-2</v>
      </c>
      <c r="X3667">
        <v>0.9994305</v>
      </c>
      <c r="Y3667">
        <v>0.14984129999999901</v>
      </c>
      <c r="Z3667">
        <v>2.2726769999999999E-3</v>
      </c>
      <c r="AA3667">
        <v>0.98870740000000001</v>
      </c>
      <c r="AB3667">
        <v>26</v>
      </c>
      <c r="AC3667">
        <v>-27.505800000000001</v>
      </c>
      <c r="AD3667">
        <v>-1.104033030196</v>
      </c>
      <c r="AE3667">
        <v>4.7001000000000204</v>
      </c>
      <c r="AF3667">
        <v>4.2156346929585</v>
      </c>
      <c r="AG3667">
        <v>-1.104033030196</v>
      </c>
      <c r="AH3667">
        <v>27.5400859117279</v>
      </c>
      <c r="AI3667">
        <v>92.269252941200094</v>
      </c>
      <c r="AJ3667">
        <v>81.297135015711206</v>
      </c>
      <c r="AK3667">
        <v>27.882732951086201</v>
      </c>
    </row>
    <row r="3668" spans="1:37" x14ac:dyDescent="0.2">
      <c r="A3668" t="str">
        <f>"20200111160232823"</f>
        <v>20200111160232823</v>
      </c>
      <c r="B3668" t="str">
        <f>"1578729752815589"</f>
        <v>1578729752815589</v>
      </c>
      <c r="C3668" t="s">
        <v>37</v>
      </c>
      <c r="D3668">
        <v>5.0058920000000002</v>
      </c>
      <c r="E3668">
        <v>0.5452361</v>
      </c>
      <c r="F3668" t="s">
        <v>77</v>
      </c>
      <c r="G3668">
        <v>-287.14769999999999</v>
      </c>
      <c r="H3668" s="1">
        <v>-7.6579989999999906E-6</v>
      </c>
      <c r="I3668">
        <v>141.09520000000001</v>
      </c>
      <c r="J3668">
        <v>-260.41739999999999</v>
      </c>
      <c r="K3668">
        <v>1.104025</v>
      </c>
      <c r="L3668">
        <v>136.5686</v>
      </c>
      <c r="M3668">
        <v>-0.99978679999999998</v>
      </c>
      <c r="N3668">
        <v>0</v>
      </c>
      <c r="O3668">
        <v>1.7346170000000001E-2</v>
      </c>
      <c r="P3668">
        <v>-0.99881059999999999</v>
      </c>
      <c r="Q3668">
        <v>6.1242649999999996E-4</v>
      </c>
      <c r="R3668">
        <v>4.8758570000000001E-2</v>
      </c>
      <c r="S3668">
        <v>-2.9789729999999999</v>
      </c>
      <c r="T3668">
        <v>-0.12182989999999901</v>
      </c>
      <c r="U3668">
        <v>0.50001530000000005</v>
      </c>
      <c r="V3668">
        <v>3.1425149999999999E-2</v>
      </c>
      <c r="W3668">
        <v>1.1814140000000001E-2</v>
      </c>
      <c r="X3668">
        <v>0.99943630000000006</v>
      </c>
      <c r="Y3668">
        <v>0.14829339999999999</v>
      </c>
      <c r="Z3668">
        <v>2.306106E-3</v>
      </c>
      <c r="AA3668">
        <v>0.98894069999999901</v>
      </c>
      <c r="AB3668">
        <v>26</v>
      </c>
      <c r="AC3668">
        <v>-26.7303</v>
      </c>
      <c r="AD3668">
        <v>-1.1040326579990001</v>
      </c>
      <c r="AE3668">
        <v>4.5266000000000002</v>
      </c>
      <c r="AF3668">
        <v>4.0554959968276298</v>
      </c>
      <c r="AG3668">
        <v>-1.1040326579990001</v>
      </c>
      <c r="AH3668">
        <v>26.760423619789901</v>
      </c>
      <c r="AI3668">
        <v>92.335823845353403</v>
      </c>
      <c r="AJ3668">
        <v>81.382496665481995</v>
      </c>
      <c r="AK3668">
        <v>27.088488481287001</v>
      </c>
    </row>
    <row r="3669" spans="1:37" x14ac:dyDescent="0.2">
      <c r="A3669" t="str">
        <f>"20200111160232844"</f>
        <v>20200111160232844</v>
      </c>
      <c r="B3669" t="str">
        <f>"1578729752836085"</f>
        <v>1578729752836085</v>
      </c>
      <c r="C3669" t="s">
        <v>37</v>
      </c>
      <c r="D3669">
        <v>4.968966</v>
      </c>
      <c r="E3669">
        <v>0.5451146</v>
      </c>
      <c r="F3669" t="s">
        <v>77</v>
      </c>
      <c r="G3669">
        <v>-287.30860000000001</v>
      </c>
      <c r="H3669" s="1">
        <v>-7.7476229999999997E-6</v>
      </c>
      <c r="I3669">
        <v>141.0626</v>
      </c>
      <c r="J3669">
        <v>-260.67059999999998</v>
      </c>
      <c r="K3669">
        <v>1.104026</v>
      </c>
      <c r="L3669">
        <v>136.57299999999901</v>
      </c>
      <c r="M3669">
        <v>-0.99978690000000003</v>
      </c>
      <c r="N3669">
        <v>0</v>
      </c>
      <c r="O3669">
        <v>1.734598E-2</v>
      </c>
      <c r="P3669">
        <v>-0.998829999999999</v>
      </c>
      <c r="Q3669">
        <v>-1.225993E-4</v>
      </c>
      <c r="R3669">
        <v>4.8364099999999903E-2</v>
      </c>
      <c r="S3669">
        <v>-2.9793090000000002</v>
      </c>
      <c r="T3669">
        <v>-0.1223171</v>
      </c>
      <c r="U3669">
        <v>0.49789430000000001</v>
      </c>
      <c r="V3669">
        <v>3.1030470000000001E-2</v>
      </c>
      <c r="W3669">
        <v>1.1081769999999999E-2</v>
      </c>
      <c r="X3669">
        <v>0.99945699999999904</v>
      </c>
      <c r="Y3669">
        <v>0.1475902</v>
      </c>
      <c r="Z3669">
        <v>2.3008779999999901E-3</v>
      </c>
      <c r="AA3669">
        <v>0.98904590000000003</v>
      </c>
      <c r="AB3669">
        <v>26</v>
      </c>
      <c r="AC3669">
        <v>-26.638000000000002</v>
      </c>
      <c r="AD3669">
        <v>-1.104033747623</v>
      </c>
      <c r="AE3669">
        <v>4.4896000000000198</v>
      </c>
      <c r="AF3669">
        <v>4.0201184428813503</v>
      </c>
      <c r="AG3669">
        <v>-1.104033747623</v>
      </c>
      <c r="AH3669">
        <v>26.6673304443948</v>
      </c>
      <c r="AI3669">
        <v>92.344247193842506</v>
      </c>
      <c r="AJ3669">
        <v>81.427174167599901</v>
      </c>
      <c r="AK3669">
        <v>26.991234796526701</v>
      </c>
    </row>
    <row r="3670" spans="1:37" x14ac:dyDescent="0.2">
      <c r="A3670" t="str">
        <f>"20200111160232868"</f>
        <v>20200111160232868</v>
      </c>
      <c r="B3670" t="str">
        <f>"1578729752855604"</f>
        <v>1578729752855604</v>
      </c>
      <c r="C3670" t="s">
        <v>37</v>
      </c>
      <c r="D3670">
        <v>5.0045250000000001</v>
      </c>
      <c r="E3670">
        <v>0.54502569999999995</v>
      </c>
      <c r="F3670" t="s">
        <v>77</v>
      </c>
      <c r="G3670">
        <v>-286.62220000000002</v>
      </c>
      <c r="H3670" s="1">
        <v>-7.2639019999999997E-6</v>
      </c>
      <c r="I3670">
        <v>140.88839999999999</v>
      </c>
      <c r="J3670">
        <v>-260.93810000000002</v>
      </c>
      <c r="K3670">
        <v>1.104026</v>
      </c>
      <c r="L3670">
        <v>136.57769999999999</v>
      </c>
      <c r="M3670">
        <v>-0.99978670000000003</v>
      </c>
      <c r="N3670">
        <v>0</v>
      </c>
      <c r="O3670">
        <v>1.734579E-2</v>
      </c>
      <c r="P3670">
        <v>-0.9988359</v>
      </c>
      <c r="Q3670">
        <v>-6.6959110000000001E-4</v>
      </c>
      <c r="R3670">
        <v>4.8233680000000001E-2</v>
      </c>
      <c r="S3670">
        <v>-2.9795229999999999</v>
      </c>
      <c r="T3670">
        <v>-0.1267549</v>
      </c>
      <c r="U3670">
        <v>0.49545289999999997</v>
      </c>
      <c r="V3670">
        <v>3.090014E-2</v>
      </c>
      <c r="W3670">
        <v>1.0538209999999999E-2</v>
      </c>
      <c r="X3670">
        <v>0.99946689999999905</v>
      </c>
      <c r="Y3670">
        <v>0.1467832</v>
      </c>
      <c r="Z3670">
        <v>2.3672379999999998E-3</v>
      </c>
      <c r="AA3670">
        <v>0.98916579999999998</v>
      </c>
      <c r="AB3670">
        <v>26</v>
      </c>
      <c r="AC3670">
        <v>-25.684100000000001</v>
      </c>
      <c r="AD3670">
        <v>-1.1040332639020001</v>
      </c>
      <c r="AE3670">
        <v>4.31069999999999</v>
      </c>
      <c r="AF3670">
        <v>3.8575799318796</v>
      </c>
      <c r="AG3670">
        <v>-1.1040332639020001</v>
      </c>
      <c r="AH3670">
        <v>25.7088113522647</v>
      </c>
      <c r="AI3670">
        <v>92.4317959358455</v>
      </c>
      <c r="AJ3670">
        <v>81.466491970450903</v>
      </c>
      <c r="AK3670">
        <v>26.020045993905899</v>
      </c>
    </row>
    <row r="3671" spans="1:37" x14ac:dyDescent="0.2">
      <c r="A3671" t="str">
        <f>"20200111160232888"</f>
        <v>20200111160232888</v>
      </c>
      <c r="B3671" t="str">
        <f>"1578729752885861"</f>
        <v>1578729752885861</v>
      </c>
      <c r="C3671" t="s">
        <v>37</v>
      </c>
      <c r="D3671">
        <v>4.9731809999999896</v>
      </c>
      <c r="E3671">
        <v>0.54486129999999999</v>
      </c>
      <c r="F3671" t="s">
        <v>77</v>
      </c>
      <c r="G3671">
        <v>-286.36309999999997</v>
      </c>
      <c r="H3671" s="1">
        <v>-7.0726559999999997E-6</v>
      </c>
      <c r="I3671">
        <v>140.79580000000001</v>
      </c>
      <c r="J3671">
        <v>-261.18310000000002</v>
      </c>
      <c r="K3671">
        <v>1.104023</v>
      </c>
      <c r="L3671">
        <v>136.58189999999999</v>
      </c>
      <c r="M3671">
        <v>-0.99978670000000003</v>
      </c>
      <c r="N3671">
        <v>0</v>
      </c>
      <c r="O3671">
        <v>1.7345409999999999E-2</v>
      </c>
      <c r="P3671">
        <v>-0.99885330000000006</v>
      </c>
      <c r="Q3671">
        <v>-1.303911E-3</v>
      </c>
      <c r="R3671">
        <v>4.786004E-2</v>
      </c>
      <c r="S3671">
        <v>-2.9795529999999899</v>
      </c>
      <c r="T3671">
        <v>-0.12938139999999901</v>
      </c>
      <c r="U3671">
        <v>0.49432369999999998</v>
      </c>
      <c r="V3671">
        <v>3.052651E-2</v>
      </c>
      <c r="W3671">
        <v>9.9064319999999997E-3</v>
      </c>
      <c r="X3671">
        <v>0.99948479999999995</v>
      </c>
      <c r="Y3671">
        <v>0.14641270000000001</v>
      </c>
      <c r="Z3671">
        <v>2.4083260000000001E-3</v>
      </c>
      <c r="AA3671">
        <v>0.98922069999999995</v>
      </c>
      <c r="AB3671">
        <v>26</v>
      </c>
      <c r="AC3671">
        <v>-25.1799999999999</v>
      </c>
      <c r="AD3671">
        <v>-1.104030072656</v>
      </c>
      <c r="AE3671">
        <v>4.2139000000000202</v>
      </c>
      <c r="AF3671">
        <v>3.7694320461930499</v>
      </c>
      <c r="AG3671">
        <v>-1.104030072656</v>
      </c>
      <c r="AH3671">
        <v>25.202178310216802</v>
      </c>
      <c r="AI3671">
        <v>92.480788786108604</v>
      </c>
      <c r="AJ3671">
        <v>81.493459404335397</v>
      </c>
      <c r="AK3671">
        <v>25.5064166815364</v>
      </c>
    </row>
    <row r="3672" spans="1:37" x14ac:dyDescent="0.2">
      <c r="A3672" t="str">
        <f>"20200111160232913"</f>
        <v>20200111160232913</v>
      </c>
      <c r="B3672" t="str">
        <f>"1578729752906358"</f>
        <v>1578729752906358</v>
      </c>
      <c r="C3672" t="s">
        <v>37</v>
      </c>
      <c r="D3672">
        <v>4.9482780000000002</v>
      </c>
      <c r="E3672">
        <v>0.54487319999999995</v>
      </c>
      <c r="F3672" t="s">
        <v>77</v>
      </c>
      <c r="G3672">
        <v>-285.73090000000002</v>
      </c>
      <c r="H3672" s="1">
        <v>-6.6266179999999901E-6</v>
      </c>
      <c r="I3672">
        <v>140.6337</v>
      </c>
      <c r="J3672">
        <v>-261.4633</v>
      </c>
      <c r="K3672">
        <v>1.1040209999999999</v>
      </c>
      <c r="L3672">
        <v>136.58680000000001</v>
      </c>
      <c r="M3672">
        <v>-0.99978670000000003</v>
      </c>
      <c r="N3672">
        <v>0</v>
      </c>
      <c r="O3672">
        <v>1.7345099999999999E-2</v>
      </c>
      <c r="P3672">
        <v>-0.9988475</v>
      </c>
      <c r="Q3672">
        <v>-1.6797450000000001E-3</v>
      </c>
      <c r="R3672">
        <v>4.7971930000000003E-2</v>
      </c>
      <c r="S3672">
        <v>-2.9797359999999999</v>
      </c>
      <c r="T3672">
        <v>-0.13401270000000001</v>
      </c>
      <c r="U3672">
        <v>0.49182129999999902</v>
      </c>
      <c r="V3672">
        <v>3.0639010000000001E-2</v>
      </c>
      <c r="W3672">
        <v>9.5330869999999904E-3</v>
      </c>
      <c r="X3672">
        <v>0.99948510000000002</v>
      </c>
      <c r="Y3672">
        <v>0.14558670000000001</v>
      </c>
      <c r="Z3672">
        <v>2.4760389999999902E-3</v>
      </c>
      <c r="AA3672">
        <v>0.98934239999999996</v>
      </c>
      <c r="AB3672">
        <v>26</v>
      </c>
      <c r="AC3672">
        <v>-24.267600000000002</v>
      </c>
      <c r="AD3672">
        <v>-1.104027626618</v>
      </c>
      <c r="AE3672">
        <v>4.0468999999999902</v>
      </c>
      <c r="AF3672">
        <v>3.6180550522680699</v>
      </c>
      <c r="AG3672">
        <v>-1.104027626618</v>
      </c>
      <c r="AH3672">
        <v>24.285244010027199</v>
      </c>
      <c r="AI3672">
        <v>92.574546162687696</v>
      </c>
      <c r="AJ3672">
        <v>81.526307680191906</v>
      </c>
      <c r="AK3672">
        <v>24.578085279128999</v>
      </c>
    </row>
    <row r="3673" spans="1:37" x14ac:dyDescent="0.2">
      <c r="A3673" t="str">
        <f>"20200111160233002"</f>
        <v>20200111160233002</v>
      </c>
      <c r="B3673" t="str">
        <f>"1578729752996149"</f>
        <v>1578729752996149</v>
      </c>
      <c r="C3673" t="s">
        <v>37</v>
      </c>
      <c r="D3673">
        <v>4.8170699999999904</v>
      </c>
      <c r="E3673">
        <v>0.56328800000000001</v>
      </c>
      <c r="F3673" t="s">
        <v>77</v>
      </c>
      <c r="G3673">
        <v>-285.73719999999997</v>
      </c>
      <c r="H3673" s="1">
        <v>-6.618927E-6</v>
      </c>
      <c r="I3673">
        <v>140.5977</v>
      </c>
      <c r="J3673">
        <v>-262.52050000000003</v>
      </c>
      <c r="K3673">
        <v>1.1040099999999999</v>
      </c>
      <c r="L3673">
        <v>136.60509999999999</v>
      </c>
      <c r="M3673">
        <v>-0.99978659999999997</v>
      </c>
      <c r="N3673">
        <v>0</v>
      </c>
      <c r="O3673">
        <v>1.7344209999999999E-2</v>
      </c>
      <c r="P3673">
        <v>-0.99889859999999897</v>
      </c>
      <c r="Q3673">
        <v>-2.9423129999999998E-3</v>
      </c>
      <c r="R3673">
        <v>4.6832099999999897E-2</v>
      </c>
      <c r="S3673">
        <v>-2.979584</v>
      </c>
      <c r="T3673">
        <v>-0.13551769999999999</v>
      </c>
      <c r="U3673">
        <v>0.4923401</v>
      </c>
      <c r="V3673">
        <v>2.9499259999999999E-2</v>
      </c>
      <c r="W3673">
        <v>8.2814389999999998E-3</v>
      </c>
      <c r="X3673">
        <v>0.99953049999999999</v>
      </c>
      <c r="Y3673">
        <v>0.14576040000000001</v>
      </c>
      <c r="Z3673">
        <v>2.5078710000000001E-3</v>
      </c>
      <c r="AA3673">
        <v>0.9893168</v>
      </c>
      <c r="AB3673">
        <v>26</v>
      </c>
      <c r="AC3673">
        <v>-23.2166999999999</v>
      </c>
      <c r="AD3673">
        <v>-1.104016618927</v>
      </c>
      <c r="AE3673">
        <v>3.9925999999999999</v>
      </c>
      <c r="AF3673">
        <v>3.5814327524187801</v>
      </c>
      <c r="AG3673">
        <v>-1.104016618927</v>
      </c>
      <c r="AH3673">
        <v>23.231436786469999</v>
      </c>
      <c r="AI3673">
        <v>92.689073783175004</v>
      </c>
      <c r="AJ3673">
        <v>81.236092904965105</v>
      </c>
      <c r="AK3673">
        <v>23.531790591000899</v>
      </c>
    </row>
    <row r="3674" spans="1:37" x14ac:dyDescent="0.2">
      <c r="A3674" t="str">
        <f>"20200111160233025"</f>
        <v>20200111160233025</v>
      </c>
      <c r="B3674" t="str">
        <f>"1578729753015669"</f>
        <v>1578729753015669</v>
      </c>
      <c r="C3674" t="s">
        <v>37</v>
      </c>
      <c r="D3674">
        <v>4.8396150000000002</v>
      </c>
      <c r="E3674">
        <v>0.56412709999999999</v>
      </c>
      <c r="F3674" t="s">
        <v>38</v>
      </c>
      <c r="G3674">
        <v>-278.82889999999998</v>
      </c>
      <c r="H3674" s="1">
        <v>-6.0463710000000001E-7</v>
      </c>
      <c r="I3674">
        <v>140.0668</v>
      </c>
      <c r="J3674">
        <v>-262.79039999999998</v>
      </c>
      <c r="K3674">
        <v>1.104009</v>
      </c>
      <c r="L3674">
        <v>136.60980000000001</v>
      </c>
      <c r="M3674">
        <v>-0.99978650000000002</v>
      </c>
      <c r="N3674">
        <v>0</v>
      </c>
      <c r="O3674">
        <v>1.734401E-2</v>
      </c>
      <c r="P3674">
        <v>-0.99888619999999995</v>
      </c>
      <c r="Q3674">
        <v>-2.8088169999999999E-3</v>
      </c>
      <c r="R3674">
        <v>4.7099370000000002E-2</v>
      </c>
      <c r="S3674">
        <v>-2.9731139999999998</v>
      </c>
      <c r="T3674">
        <v>-0.20126820000000001</v>
      </c>
      <c r="U3674">
        <v>0.63110350000000004</v>
      </c>
      <c r="V3674">
        <v>2.9766830000000001E-2</v>
      </c>
      <c r="W3674">
        <v>8.4173330000000008E-3</v>
      </c>
      <c r="X3674">
        <v>0.9995214</v>
      </c>
      <c r="Y3674">
        <v>0.19026699999999999</v>
      </c>
      <c r="Z3674">
        <v>5.2027610000000002E-3</v>
      </c>
      <c r="AA3674">
        <v>0.9817186</v>
      </c>
      <c r="AB3674">
        <v>26</v>
      </c>
      <c r="AC3674">
        <v>-16.038499999999999</v>
      </c>
      <c r="AD3674">
        <v>-1.1040096046371</v>
      </c>
      <c r="AE3674">
        <v>3.4569999999999901</v>
      </c>
      <c r="AF3674">
        <v>3.1639644020745101</v>
      </c>
      <c r="AG3674">
        <v>-1.1040096046371</v>
      </c>
      <c r="AH3674">
        <v>16.023496590696599</v>
      </c>
      <c r="AI3674">
        <v>93.866984865800703</v>
      </c>
      <c r="AJ3674">
        <v>78.830190818161199</v>
      </c>
      <c r="AK3674">
        <v>16.370154273457299</v>
      </c>
    </row>
    <row r="3675" spans="1:37" x14ac:dyDescent="0.2">
      <c r="A3675" t="str">
        <f>"20200111160233046"</f>
        <v>20200111160233046</v>
      </c>
      <c r="B3675" t="str">
        <f>"1578729753036166"</f>
        <v>1578729753036166</v>
      </c>
      <c r="C3675" t="s">
        <v>37</v>
      </c>
      <c r="D3675">
        <v>4.812945</v>
      </c>
      <c r="E3675">
        <v>0.56449689999999997</v>
      </c>
      <c r="F3675" t="s">
        <v>38</v>
      </c>
      <c r="G3675">
        <v>-279.88679999999999</v>
      </c>
      <c r="H3675" s="1">
        <v>-2.093619E-7</v>
      </c>
      <c r="I3675">
        <v>140.2869</v>
      </c>
      <c r="J3675">
        <v>-263.05270000000002</v>
      </c>
      <c r="K3675">
        <v>1.104006</v>
      </c>
      <c r="L3675">
        <v>136.61439999999999</v>
      </c>
      <c r="M3675">
        <v>-0.99978670000000003</v>
      </c>
      <c r="N3675">
        <v>0</v>
      </c>
      <c r="O3675">
        <v>1.7343520000000001E-2</v>
      </c>
      <c r="P3675">
        <v>-0.99886419999999998</v>
      </c>
      <c r="Q3675">
        <v>-2.4721919999999998E-3</v>
      </c>
      <c r="R3675">
        <v>4.7587160000000003E-2</v>
      </c>
      <c r="S3675">
        <v>-2.972626</v>
      </c>
      <c r="T3675">
        <v>-0.19195909999999999</v>
      </c>
      <c r="U3675">
        <v>0.63937379999999999</v>
      </c>
      <c r="V3675">
        <v>3.025539E-2</v>
      </c>
      <c r="W3675">
        <v>8.7558740000000003E-3</v>
      </c>
      <c r="X3675">
        <v>0.9995039</v>
      </c>
      <c r="Y3675">
        <v>0.19294049999999999</v>
      </c>
      <c r="Z3675">
        <v>5.0472889999999999E-3</v>
      </c>
      <c r="AA3675">
        <v>0.98119749999999994</v>
      </c>
      <c r="AB3675">
        <v>26</v>
      </c>
      <c r="AC3675">
        <v>-16.8340999999999</v>
      </c>
      <c r="AD3675">
        <v>-1.1040062093619001</v>
      </c>
      <c r="AE3675">
        <v>3.6725000000000101</v>
      </c>
      <c r="AF3675">
        <v>3.36614677894873</v>
      </c>
      <c r="AG3675">
        <v>-1.1040062093619001</v>
      </c>
      <c r="AH3675">
        <v>16.826185117819701</v>
      </c>
      <c r="AI3675">
        <v>93.681197714282106</v>
      </c>
      <c r="AJ3675">
        <v>78.687088846666299</v>
      </c>
      <c r="AK3675">
        <v>17.195065555759701</v>
      </c>
    </row>
    <row r="3676" spans="1:37" x14ac:dyDescent="0.2">
      <c r="A3676" t="str">
        <f>"20200111160233071"</f>
        <v>20200111160233071</v>
      </c>
      <c r="B3676" t="str">
        <f>"1578729753065444"</f>
        <v>1578729753065444</v>
      </c>
      <c r="C3676" t="s">
        <v>37</v>
      </c>
      <c r="D3676">
        <v>4.8917250000000001</v>
      </c>
      <c r="E3676">
        <v>0.56482460000000001</v>
      </c>
      <c r="F3676" t="s">
        <v>77</v>
      </c>
      <c r="G3676">
        <v>-280.55329999999998</v>
      </c>
      <c r="H3676" s="1">
        <v>-4.1183809999999999E-6</v>
      </c>
      <c r="I3676">
        <v>140.4058</v>
      </c>
      <c r="J3676">
        <v>-263.33190000000002</v>
      </c>
      <c r="K3676">
        <v>1.104007</v>
      </c>
      <c r="L3676">
        <v>136.61920000000001</v>
      </c>
      <c r="M3676">
        <v>-0.99978659999999997</v>
      </c>
      <c r="N3676">
        <v>0</v>
      </c>
      <c r="O3676">
        <v>1.7343330000000001E-2</v>
      </c>
      <c r="P3676">
        <v>-0.99883089999999997</v>
      </c>
      <c r="Q3676">
        <v>-2.8662200000000001E-3</v>
      </c>
      <c r="R3676">
        <v>4.8258929999999998E-2</v>
      </c>
      <c r="S3676">
        <v>-2.9722599999999999</v>
      </c>
      <c r="T3676">
        <v>-0.187503</v>
      </c>
      <c r="U3676">
        <v>0.64393619999999996</v>
      </c>
      <c r="V3676">
        <v>3.0927969999999999E-2</v>
      </c>
      <c r="W3676">
        <v>8.3644069999999904E-3</v>
      </c>
      <c r="X3676">
        <v>0.9994866</v>
      </c>
      <c r="Y3676">
        <v>0.1944177</v>
      </c>
      <c r="Z3676">
        <v>4.9761859999999996E-3</v>
      </c>
      <c r="AA3676">
        <v>0.98090619999999995</v>
      </c>
      <c r="AB3676">
        <v>26</v>
      </c>
      <c r="AC3676">
        <v>-17.2213999999999</v>
      </c>
      <c r="AD3676">
        <v>-1.104011118381</v>
      </c>
      <c r="AE3676">
        <v>3.7865999999999902</v>
      </c>
      <c r="AF3676">
        <v>3.4737175861328402</v>
      </c>
      <c r="AG3676">
        <v>-1.104011118381</v>
      </c>
      <c r="AH3676">
        <v>17.216992251660599</v>
      </c>
      <c r="AI3676">
        <v>93.596693818999</v>
      </c>
      <c r="AJ3676">
        <v>78.593083242425806</v>
      </c>
      <c r="AK3676">
        <v>17.598590188178701</v>
      </c>
    </row>
    <row r="3677" spans="1:37" x14ac:dyDescent="0.2">
      <c r="A3677" t="str">
        <f>"20200111160233093"</f>
        <v>20200111160233093</v>
      </c>
      <c r="B3677" t="str">
        <f>"1578729753085941"</f>
        <v>1578729753085941</v>
      </c>
      <c r="C3677" t="s">
        <v>37</v>
      </c>
      <c r="D3677">
        <v>4.729101</v>
      </c>
      <c r="E3677">
        <v>0.56516250000000001</v>
      </c>
      <c r="F3677" t="s">
        <v>77</v>
      </c>
      <c r="G3677">
        <v>-281.32389999999998</v>
      </c>
      <c r="H3677" s="1">
        <v>-4.5059590000000001E-6</v>
      </c>
      <c r="I3677">
        <v>140.54750000000001</v>
      </c>
      <c r="J3677">
        <v>-263.60410000000002</v>
      </c>
      <c r="K3677">
        <v>1.1040049999999999</v>
      </c>
      <c r="L3677">
        <v>136.62389999999999</v>
      </c>
      <c r="M3677">
        <v>-0.99978639999999996</v>
      </c>
      <c r="N3677">
        <v>0</v>
      </c>
      <c r="O3677">
        <v>1.734314E-2</v>
      </c>
      <c r="P3677">
        <v>-0.99879470000000004</v>
      </c>
      <c r="Q3677">
        <v>-3.0262659999999901E-3</v>
      </c>
      <c r="R3677">
        <v>4.8991519999999997E-2</v>
      </c>
      <c r="S3677">
        <v>-2.971619</v>
      </c>
      <c r="T3677">
        <v>-0.18234300000000001</v>
      </c>
      <c r="U3677">
        <v>0.64881899999999904</v>
      </c>
      <c r="V3677">
        <v>3.1661179999999997E-2</v>
      </c>
      <c r="W3677">
        <v>8.2065780000000008E-3</v>
      </c>
      <c r="X3677">
        <v>0.99946499999999905</v>
      </c>
      <c r="Y3677">
        <v>0.19601569999999999</v>
      </c>
      <c r="Z3677">
        <v>4.88810799999999E-3</v>
      </c>
      <c r="AA3677">
        <v>0.98058860000000003</v>
      </c>
      <c r="AB3677">
        <v>26</v>
      </c>
      <c r="AC3677">
        <v>-17.7197999999999</v>
      </c>
      <c r="AD3677">
        <v>-1.1040095059589901</v>
      </c>
      <c r="AE3677">
        <v>3.92360000000002</v>
      </c>
      <c r="AF3677">
        <v>3.60234354720866</v>
      </c>
      <c r="AG3677">
        <v>-1.1040095059589901</v>
      </c>
      <c r="AH3677">
        <v>17.719617937237999</v>
      </c>
      <c r="AI3677">
        <v>93.493881718564396</v>
      </c>
      <c r="AJ3677">
        <v>78.508549618859703</v>
      </c>
      <c r="AK3677">
        <v>18.115754907346499</v>
      </c>
    </row>
    <row r="3678" spans="1:37" x14ac:dyDescent="0.2">
      <c r="A3678" t="str">
        <f>"20200111160233113"</f>
        <v>20200111160233113</v>
      </c>
      <c r="B3678" t="str">
        <f>"1578729753105463"</f>
        <v>1578729753105463</v>
      </c>
      <c r="C3678" t="s">
        <v>37</v>
      </c>
      <c r="D3678">
        <v>4.8338919999999996</v>
      </c>
      <c r="E3678">
        <v>0.5650963</v>
      </c>
      <c r="F3678" t="s">
        <v>77</v>
      </c>
      <c r="G3678">
        <v>-281.73930000000001</v>
      </c>
      <c r="H3678" s="1">
        <v>-4.712347E-6</v>
      </c>
      <c r="I3678">
        <v>140.61600000000001</v>
      </c>
      <c r="J3678">
        <v>-263.83179999999999</v>
      </c>
      <c r="K3678">
        <v>1.104004</v>
      </c>
      <c r="L3678">
        <v>136.62790000000001</v>
      </c>
      <c r="M3678">
        <v>-0.99978639999999996</v>
      </c>
      <c r="N3678">
        <v>0</v>
      </c>
      <c r="O3678">
        <v>1.7342949999999999E-2</v>
      </c>
      <c r="P3678">
        <v>-0.99875559999999997</v>
      </c>
      <c r="Q3678">
        <v>-3.120832E-3</v>
      </c>
      <c r="R3678">
        <v>4.9774859999999997E-2</v>
      </c>
      <c r="S3678">
        <v>-2.9709779999999899</v>
      </c>
      <c r="T3678">
        <v>-0.18086240000000001</v>
      </c>
      <c r="U3678">
        <v>0.65399169999999995</v>
      </c>
      <c r="V3678">
        <v>3.2445170000000002E-2</v>
      </c>
      <c r="W3678">
        <v>8.1140750000000001E-3</v>
      </c>
      <c r="X3678">
        <v>0.99944059999999901</v>
      </c>
      <c r="Y3678">
        <v>0.1976908</v>
      </c>
      <c r="Z3678">
        <v>4.8989749999999999E-3</v>
      </c>
      <c r="AA3678">
        <v>0.98025219999999902</v>
      </c>
      <c r="AB3678">
        <v>26</v>
      </c>
      <c r="AC3678">
        <v>-17.907499999999999</v>
      </c>
      <c r="AD3678">
        <v>-1.1040087123469999</v>
      </c>
      <c r="AE3678">
        <v>3.9881000000000002</v>
      </c>
      <c r="AF3678">
        <v>3.6636448290122599</v>
      </c>
      <c r="AG3678">
        <v>-1.1040087123469999</v>
      </c>
      <c r="AH3678">
        <v>17.9091236870721</v>
      </c>
      <c r="AI3678">
        <v>93.456140235342801</v>
      </c>
      <c r="AJ3678">
        <v>78.438594890022799</v>
      </c>
      <c r="AK3678">
        <v>18.313324108662901</v>
      </c>
    </row>
    <row r="3679" spans="1:37" x14ac:dyDescent="0.2">
      <c r="A3679" t="str">
        <f>"20200111160233136"</f>
        <v>20200111160233136</v>
      </c>
      <c r="B3679" t="str">
        <f>"1578729753125957"</f>
        <v>1578729753125957</v>
      </c>
      <c r="C3679" t="s">
        <v>37</v>
      </c>
      <c r="D3679">
        <v>4.9120730000000004</v>
      </c>
      <c r="E3679">
        <v>0.56391859999999905</v>
      </c>
      <c r="F3679" t="s">
        <v>77</v>
      </c>
      <c r="G3679">
        <v>-282.33460000000002</v>
      </c>
      <c r="H3679" s="1">
        <v>-5.0084729999999999E-6</v>
      </c>
      <c r="I3679">
        <v>140.71539999999999</v>
      </c>
      <c r="J3679">
        <v>-264.10570000000001</v>
      </c>
      <c r="K3679">
        <v>1.104004</v>
      </c>
      <c r="L3679">
        <v>136.6326</v>
      </c>
      <c r="M3679">
        <v>-0.99978639999999996</v>
      </c>
      <c r="N3679">
        <v>0</v>
      </c>
      <c r="O3679">
        <v>1.7342630000000001E-2</v>
      </c>
      <c r="P3679">
        <v>-0.99874479999999999</v>
      </c>
      <c r="Q3679">
        <v>-3.6179350000000001E-3</v>
      </c>
      <c r="R3679">
        <v>4.9957679999999997E-2</v>
      </c>
      <c r="S3679">
        <v>-2.9704899999999999</v>
      </c>
      <c r="T3679">
        <v>-0.17724089999999901</v>
      </c>
      <c r="U3679">
        <v>0.65621949999999996</v>
      </c>
      <c r="V3679">
        <v>3.2628570000000003E-2</v>
      </c>
      <c r="W3679">
        <v>7.6191330000000002E-3</v>
      </c>
      <c r="X3679">
        <v>0.99943850000000001</v>
      </c>
      <c r="Y3679">
        <v>0.19843729999999901</v>
      </c>
      <c r="Z3679">
        <v>4.8234430000000002E-3</v>
      </c>
      <c r="AA3679">
        <v>0.98010169999999996</v>
      </c>
      <c r="AB3679">
        <v>26</v>
      </c>
      <c r="AC3679">
        <v>-18.228899999999999</v>
      </c>
      <c r="AD3679">
        <v>-1.1040090084729901</v>
      </c>
      <c r="AE3679">
        <v>4.08279999999999</v>
      </c>
      <c r="AF3679">
        <v>3.7529208428777499</v>
      </c>
      <c r="AG3679">
        <v>-1.1040090084729901</v>
      </c>
      <c r="AH3679">
        <v>18.233284850839301</v>
      </c>
      <c r="AI3679">
        <v>93.394001234959902</v>
      </c>
      <c r="AJ3679">
        <v>78.369352721955494</v>
      </c>
      <c r="AK3679">
        <v>18.648215120904801</v>
      </c>
    </row>
    <row r="3680" spans="1:37" x14ac:dyDescent="0.2">
      <c r="A3680" t="str">
        <f>"20200111160233157"</f>
        <v>20200111160233157</v>
      </c>
      <c r="B3680" t="str">
        <f>"1578729753145476"</f>
        <v>1578729753145476</v>
      </c>
      <c r="C3680" t="s">
        <v>37</v>
      </c>
      <c r="D3680">
        <v>4.7542999999999997</v>
      </c>
      <c r="E3680">
        <v>0.50592950000000003</v>
      </c>
      <c r="F3680" t="s">
        <v>77</v>
      </c>
      <c r="G3680">
        <v>-282.73160000000001</v>
      </c>
      <c r="H3680" s="1">
        <v>-5.176796E-6</v>
      </c>
      <c r="I3680">
        <v>140.69149999999999</v>
      </c>
      <c r="J3680">
        <v>-264.35019999999997</v>
      </c>
      <c r="K3680">
        <v>1.103999</v>
      </c>
      <c r="L3680">
        <v>136.6369</v>
      </c>
      <c r="M3680">
        <v>-0.99978630000000002</v>
      </c>
      <c r="N3680">
        <v>0</v>
      </c>
      <c r="O3680">
        <v>1.7342440000000001E-2</v>
      </c>
      <c r="P3680">
        <v>-0.99874529999999995</v>
      </c>
      <c r="Q3680">
        <v>-4.3064649999999998E-3</v>
      </c>
      <c r="R3680">
        <v>4.9891829999999998E-2</v>
      </c>
      <c r="S3680">
        <v>-2.970764</v>
      </c>
      <c r="T3680">
        <v>-0.1760854</v>
      </c>
      <c r="U3680">
        <v>0.64736939999999998</v>
      </c>
      <c r="V3680">
        <v>3.2562809999999998E-2</v>
      </c>
      <c r="W3680">
        <v>6.9334599999999998E-3</v>
      </c>
      <c r="X3680">
        <v>0.99944560000000005</v>
      </c>
      <c r="Y3680">
        <v>0.19564039999999999</v>
      </c>
      <c r="Z3680">
        <v>4.7112689999999997E-3</v>
      </c>
      <c r="AA3680">
        <v>0.98066439999999999</v>
      </c>
      <c r="AB3680">
        <v>26</v>
      </c>
      <c r="AC3680">
        <v>-18.381399999999999</v>
      </c>
      <c r="AD3680">
        <v>-1.104004176796</v>
      </c>
      <c r="AE3680">
        <v>4.05459999999999</v>
      </c>
      <c r="AF3680">
        <v>3.72238684518438</v>
      </c>
      <c r="AG3680">
        <v>-1.104004176796</v>
      </c>
      <c r="AH3680">
        <v>18.385710578335999</v>
      </c>
      <c r="AI3680">
        <v>93.368130448511295</v>
      </c>
      <c r="AJ3680">
        <v>78.554557764123999</v>
      </c>
      <c r="AK3680">
        <v>18.791203860261799</v>
      </c>
    </row>
    <row r="3681" spans="1:37" x14ac:dyDescent="0.2">
      <c r="A3681" t="str">
        <f>"20200111160233178"</f>
        <v>20200111160233178</v>
      </c>
      <c r="B3681" t="str">
        <f>"1578729753175733"</f>
        <v>1578729753175733</v>
      </c>
      <c r="C3681" t="s">
        <v>37</v>
      </c>
      <c r="D3681">
        <v>4.754467</v>
      </c>
      <c r="E3681">
        <v>0.48993379999999997</v>
      </c>
      <c r="F3681" t="s">
        <v>42</v>
      </c>
      <c r="G3681">
        <v>-265.21749999999997</v>
      </c>
      <c r="H3681">
        <v>1.038754</v>
      </c>
      <c r="I3681">
        <v>136.6893</v>
      </c>
      <c r="J3681">
        <v>-264.61020000000002</v>
      </c>
      <c r="K3681">
        <v>1.103999</v>
      </c>
      <c r="L3681">
        <v>136.6414</v>
      </c>
      <c r="M3681">
        <v>-0.99978639999999996</v>
      </c>
      <c r="N3681">
        <v>0</v>
      </c>
      <c r="O3681">
        <v>1.7342070000000001E-2</v>
      </c>
      <c r="P3681">
        <v>-0.99874379999999996</v>
      </c>
      <c r="Q3681">
        <v>-4.8484579999999999E-3</v>
      </c>
      <c r="R3681">
        <v>4.9873870000000001E-2</v>
      </c>
      <c r="S3681">
        <v>-2.993805</v>
      </c>
      <c r="T3681">
        <v>-0.225327799999999</v>
      </c>
      <c r="U3681">
        <v>0.1799316</v>
      </c>
      <c r="V3681">
        <v>3.2545209999999998E-2</v>
      </c>
      <c r="W3681">
        <v>6.393691E-3</v>
      </c>
      <c r="X3681">
        <v>0.99944979999999894</v>
      </c>
      <c r="Y3681">
        <v>4.2600949999999999E-2</v>
      </c>
      <c r="Z3681">
        <v>2.9737639999999999E-4</v>
      </c>
      <c r="AA3681">
        <v>0.99909210000000004</v>
      </c>
      <c r="AB3681">
        <v>26</v>
      </c>
      <c r="AC3681">
        <v>-0.60729999999995199</v>
      </c>
      <c r="AD3681">
        <v>-6.5244999999999706E-2</v>
      </c>
      <c r="AE3681">
        <v>4.7899999999998499E-2</v>
      </c>
      <c r="AF3681">
        <v>3.6936597720999699E-2</v>
      </c>
      <c r="AG3681">
        <v>-6.5244999999999706E-2</v>
      </c>
      <c r="AH3681">
        <v>0.60114378450998596</v>
      </c>
      <c r="AI3681">
        <v>96.182767787491898</v>
      </c>
      <c r="AJ3681">
        <v>86.483946171755505</v>
      </c>
      <c r="AK3681">
        <v>0.60580118185027598</v>
      </c>
    </row>
    <row r="3682" spans="1:37" x14ac:dyDescent="0.2">
      <c r="A3682" t="str">
        <f>"20200111160233202"</f>
        <v>20200111160233202</v>
      </c>
      <c r="B3682" t="str">
        <f>"1578729753196229"</f>
        <v>1578729753196229</v>
      </c>
      <c r="C3682" t="s">
        <v>37</v>
      </c>
      <c r="D3682">
        <v>4.6537569999999997</v>
      </c>
      <c r="E3682">
        <v>0.48797439999999997</v>
      </c>
      <c r="F3682" t="s">
        <v>77</v>
      </c>
      <c r="G3682">
        <v>-280.52120000000002</v>
      </c>
      <c r="H3682" s="1">
        <v>-2.728499E-6</v>
      </c>
      <c r="I3682">
        <v>136.9254</v>
      </c>
      <c r="J3682">
        <v>-264.87950000000001</v>
      </c>
      <c r="K3682">
        <v>1.103996</v>
      </c>
      <c r="L3682">
        <v>136.64609999999999</v>
      </c>
      <c r="M3682">
        <v>-0.99978639999999996</v>
      </c>
      <c r="N3682">
        <v>0</v>
      </c>
      <c r="O3682">
        <v>1.734188E-2</v>
      </c>
      <c r="P3682">
        <v>-0.99875119999999895</v>
      </c>
      <c r="Q3682">
        <v>-5.545426E-3</v>
      </c>
      <c r="R3682">
        <v>4.965667E-2</v>
      </c>
      <c r="S3682">
        <v>-3.0000610000000001</v>
      </c>
      <c r="T3682">
        <v>-0.2081616</v>
      </c>
      <c r="U3682">
        <v>5.3543090000000002E-2</v>
      </c>
      <c r="V3682">
        <v>3.2328129999999997E-2</v>
      </c>
      <c r="W3682">
        <v>5.6989529999999997E-3</v>
      </c>
      <c r="X3682">
        <v>0.99946109999999899</v>
      </c>
      <c r="Y3682">
        <v>5.419725E-4</v>
      </c>
      <c r="Z3682">
        <v>-1.182946E-3</v>
      </c>
      <c r="AA3682">
        <v>0.99999919999999998</v>
      </c>
      <c r="AB3682">
        <v>26</v>
      </c>
      <c r="AC3682">
        <v>-15.6417</v>
      </c>
      <c r="AD3682">
        <v>-1.103998728499</v>
      </c>
      <c r="AE3682">
        <v>0.27930000000000599</v>
      </c>
      <c r="AF3682">
        <v>7.9447965866417097E-3</v>
      </c>
      <c r="AG3682">
        <v>-1.103998728499</v>
      </c>
      <c r="AH3682">
        <v>15.566669099207999</v>
      </c>
      <c r="AI3682">
        <v>94.056662783940197</v>
      </c>
      <c r="AJ3682">
        <v>89.970757824228102</v>
      </c>
      <c r="AK3682">
        <v>15.605770187868201</v>
      </c>
    </row>
    <row r="3683" spans="1:37" x14ac:dyDescent="0.2">
      <c r="A3683" t="str">
        <f>"20200111160233225"</f>
        <v>20200111160233225</v>
      </c>
      <c r="B3683" t="str">
        <f>"1578729753215749"</f>
        <v>1578729753215749</v>
      </c>
      <c r="C3683" t="s">
        <v>37</v>
      </c>
      <c r="D3683">
        <v>4.5965699999999998</v>
      </c>
      <c r="E3683">
        <v>0.48619009999999901</v>
      </c>
      <c r="F3683" t="s">
        <v>77</v>
      </c>
      <c r="G3683">
        <v>-280.21559999999999</v>
      </c>
      <c r="H3683" s="1">
        <v>-2.513908E-6</v>
      </c>
      <c r="I3683">
        <v>136.83420000000001</v>
      </c>
      <c r="J3683">
        <v>-265.15649999999999</v>
      </c>
      <c r="K3683">
        <v>1.1039939999999999</v>
      </c>
      <c r="L3683">
        <v>136.65090000000001</v>
      </c>
      <c r="M3683">
        <v>-0.99978639999999996</v>
      </c>
      <c r="N3683">
        <v>0</v>
      </c>
      <c r="O3683">
        <v>1.7341559999999999E-2</v>
      </c>
      <c r="P3683">
        <v>-0.99878579999999995</v>
      </c>
      <c r="Q3683">
        <v>-5.7363249999999996E-3</v>
      </c>
      <c r="R3683">
        <v>4.8930510000000003E-2</v>
      </c>
      <c r="S3683">
        <v>-3.0007320000000002</v>
      </c>
      <c r="T3683">
        <v>-0.21601339999999999</v>
      </c>
      <c r="U3683">
        <v>3.6804199999999898E-2</v>
      </c>
      <c r="V3683">
        <v>3.1601740000000003E-2</v>
      </c>
      <c r="W3683">
        <v>5.5110810000000001E-3</v>
      </c>
      <c r="X3683">
        <v>0.99948539999999997</v>
      </c>
      <c r="Y3683">
        <v>-5.0211939999999997E-3</v>
      </c>
      <c r="Z3683">
        <v>-1.4271939999999999E-3</v>
      </c>
      <c r="AA3683">
        <v>0.99998639999999905</v>
      </c>
      <c r="AB3683">
        <v>26</v>
      </c>
      <c r="AC3683">
        <v>-15.059100000000001</v>
      </c>
      <c r="AD3683">
        <v>-1.1039965139079999</v>
      </c>
      <c r="AE3683">
        <v>0.18330000000000199</v>
      </c>
      <c r="AF3683">
        <v>-7.7476030416517003E-2</v>
      </c>
      <c r="AG3683">
        <v>-1.1039965139079999</v>
      </c>
      <c r="AH3683">
        <v>14.979518724968701</v>
      </c>
      <c r="AI3683">
        <v>94.215044896340601</v>
      </c>
      <c r="AJ3683">
        <v>90.296338624459096</v>
      </c>
      <c r="AK3683">
        <v>15.0203459370848</v>
      </c>
    </row>
    <row r="3684" spans="1:37" x14ac:dyDescent="0.2">
      <c r="A3684" t="str">
        <f>"20200111160233247"</f>
        <v>20200111160233247</v>
      </c>
      <c r="B3684" t="str">
        <f>"1578729753236245"</f>
        <v>1578729753236245</v>
      </c>
      <c r="C3684" t="s">
        <v>37</v>
      </c>
      <c r="D3684">
        <v>4.6553389999999997</v>
      </c>
      <c r="E3684">
        <v>0.48535309999999998</v>
      </c>
      <c r="F3684" t="s">
        <v>77</v>
      </c>
      <c r="G3684">
        <v>-280.53960000000001</v>
      </c>
      <c r="H3684" s="1">
        <v>-2.6640260000000001E-6</v>
      </c>
      <c r="I3684">
        <v>136.7561</v>
      </c>
      <c r="J3684">
        <v>-265.42520000000002</v>
      </c>
      <c r="K3684">
        <v>1.103999</v>
      </c>
      <c r="L3684">
        <v>136.65549999999999</v>
      </c>
      <c r="M3684">
        <v>-0.99978630000000002</v>
      </c>
      <c r="N3684">
        <v>0</v>
      </c>
      <c r="O3684">
        <v>1.7341369999999998E-2</v>
      </c>
      <c r="P3684">
        <v>-0.99881980000000004</v>
      </c>
      <c r="Q3684">
        <v>-5.9617530000000002E-3</v>
      </c>
      <c r="R3684">
        <v>4.8201099999999997E-2</v>
      </c>
      <c r="S3684">
        <v>-3.001404</v>
      </c>
      <c r="T3684">
        <v>-0.2154007</v>
      </c>
      <c r="U3684">
        <v>2.0523070000000001E-2</v>
      </c>
      <c r="V3684">
        <v>3.0872050000000002E-2</v>
      </c>
      <c r="W3684">
        <v>5.2884019999999898E-3</v>
      </c>
      <c r="X3684">
        <v>0.99950930000000004</v>
      </c>
      <c r="Y3684">
        <v>-1.0434000000000001E-2</v>
      </c>
      <c r="Z3684">
        <v>-1.616854E-3</v>
      </c>
      <c r="AA3684">
        <v>0.99994430000000001</v>
      </c>
      <c r="AB3684">
        <v>26</v>
      </c>
      <c r="AC3684">
        <v>-15.1143999999999</v>
      </c>
      <c r="AD3684">
        <v>-1.104001664026</v>
      </c>
      <c r="AE3684">
        <v>0.100600000000014</v>
      </c>
      <c r="AF3684">
        <v>-0.16067889926689199</v>
      </c>
      <c r="AG3684">
        <v>-1.104001664026</v>
      </c>
      <c r="AH3684">
        <v>15.033666226369</v>
      </c>
      <c r="AI3684">
        <v>94.199754271050494</v>
      </c>
      <c r="AJ3684">
        <v>90.612350448766605</v>
      </c>
      <c r="AK3684">
        <v>15.075004397634901</v>
      </c>
    </row>
    <row r="3685" spans="1:37" x14ac:dyDescent="0.2">
      <c r="A3685" t="str">
        <f>"20200111160233268"</f>
        <v>20200111160233268</v>
      </c>
      <c r="B3685" t="str">
        <f>"1578729753265525"</f>
        <v>1578729753265525</v>
      </c>
      <c r="C3685" t="s">
        <v>37</v>
      </c>
      <c r="D3685">
        <v>4.6049920000000002</v>
      </c>
      <c r="E3685">
        <v>0.4851916</v>
      </c>
      <c r="F3685" t="s">
        <v>77</v>
      </c>
      <c r="G3685">
        <v>-281.57990000000001</v>
      </c>
      <c r="H3685" s="1">
        <v>-3.220104E-6</v>
      </c>
      <c r="I3685">
        <v>136.72280000000001</v>
      </c>
      <c r="J3685">
        <v>-265.6721</v>
      </c>
      <c r="K3685">
        <v>1.1040019999999999</v>
      </c>
      <c r="L3685">
        <v>136.65979999999999</v>
      </c>
      <c r="M3685">
        <v>-0.99978619999999996</v>
      </c>
      <c r="N3685">
        <v>0</v>
      </c>
      <c r="O3685">
        <v>1.7341180000000001E-2</v>
      </c>
      <c r="P3685">
        <v>-0.99884119999999998</v>
      </c>
      <c r="Q3685">
        <v>-6.1995649999999998E-3</v>
      </c>
      <c r="R3685">
        <v>4.7729599999999997E-2</v>
      </c>
      <c r="S3685">
        <v>-3.0017399999999999</v>
      </c>
      <c r="T3685">
        <v>-0.20513709999999999</v>
      </c>
      <c r="U3685">
        <v>1.249695E-2</v>
      </c>
      <c r="V3685">
        <v>3.0400630000000001E-2</v>
      </c>
      <c r="W3685">
        <v>5.053325E-3</v>
      </c>
      <c r="X3685">
        <v>0.999525</v>
      </c>
      <c r="Y3685">
        <v>-1.310854E-2</v>
      </c>
      <c r="Z3685">
        <v>-1.6311120000000001E-3</v>
      </c>
      <c r="AA3685">
        <v>0.99991269999999999</v>
      </c>
      <c r="AB3685">
        <v>26</v>
      </c>
      <c r="AC3685">
        <v>-15.9078</v>
      </c>
      <c r="AD3685">
        <v>-1.104005220104</v>
      </c>
      <c r="AE3685">
        <v>6.3000000000016598E-2</v>
      </c>
      <c r="AF3685">
        <v>-0.211866577174468</v>
      </c>
      <c r="AG3685">
        <v>-1.104005220104</v>
      </c>
      <c r="AH3685">
        <v>15.830256653347099</v>
      </c>
      <c r="AI3685">
        <v>93.989003560786301</v>
      </c>
      <c r="AJ3685">
        <v>90.766780744281704</v>
      </c>
      <c r="AK3685">
        <v>15.870121004055999</v>
      </c>
    </row>
    <row r="3686" spans="1:37" x14ac:dyDescent="0.2">
      <c r="A3686" t="str">
        <f>"20200111160233291"</f>
        <v>20200111160233291</v>
      </c>
      <c r="B3686" t="str">
        <f>"1578729753286021"</f>
        <v>1578729753286021</v>
      </c>
      <c r="C3686" t="s">
        <v>37</v>
      </c>
      <c r="D3686">
        <v>4.6878919999999997</v>
      </c>
      <c r="E3686">
        <v>0.48511209999999999</v>
      </c>
      <c r="F3686" t="s">
        <v>77</v>
      </c>
      <c r="G3686">
        <v>-281.5204</v>
      </c>
      <c r="H3686" s="1">
        <v>-3.18880999999999E-6</v>
      </c>
      <c r="I3686">
        <v>136.7098</v>
      </c>
      <c r="J3686">
        <v>-265.94720000000001</v>
      </c>
      <c r="K3686">
        <v>1.1040030000000001</v>
      </c>
      <c r="L3686">
        <v>136.66460000000001</v>
      </c>
      <c r="M3686">
        <v>-0.99978639999999996</v>
      </c>
      <c r="N3686">
        <v>0</v>
      </c>
      <c r="O3686">
        <v>1.7340689999999999E-2</v>
      </c>
      <c r="P3686">
        <v>-0.99887340000000002</v>
      </c>
      <c r="Q3686">
        <v>-5.1705459999999998E-3</v>
      </c>
      <c r="R3686">
        <v>4.7173979999999997E-2</v>
      </c>
      <c r="S3686">
        <v>-3.0017399999999999</v>
      </c>
      <c r="T3686">
        <v>-0.2091035</v>
      </c>
      <c r="U3686">
        <v>9.4604489999999992E-3</v>
      </c>
      <c r="V3686">
        <v>2.9844860000000001E-2</v>
      </c>
      <c r="W3686">
        <v>6.084707E-3</v>
      </c>
      <c r="X3686">
        <v>0.99953599999999998</v>
      </c>
      <c r="Y3686">
        <v>-1.41143E-2</v>
      </c>
      <c r="Z3686">
        <v>-1.6975339999999999E-3</v>
      </c>
      <c r="AA3686">
        <v>0.99989899999999998</v>
      </c>
      <c r="AB3686">
        <v>27</v>
      </c>
      <c r="AC3686">
        <v>-15.5731999999999</v>
      </c>
      <c r="AD3686">
        <v>-1.1040061888099999</v>
      </c>
      <c r="AE3686">
        <v>4.5199999999994099E-2</v>
      </c>
      <c r="AF3686">
        <v>-0.223749442767159</v>
      </c>
      <c r="AG3686">
        <v>-1.1040061888099999</v>
      </c>
      <c r="AH3686">
        <v>15.493777190985</v>
      </c>
      <c r="AI3686">
        <v>94.075288045652002</v>
      </c>
      <c r="AJ3686">
        <v>90.827364915451398</v>
      </c>
      <c r="AK3686">
        <v>15.5346717095005</v>
      </c>
    </row>
    <row r="3687" spans="1:37" x14ac:dyDescent="0.2">
      <c r="A3687" t="str">
        <f>"20200111160233313"</f>
        <v>20200111160233313</v>
      </c>
      <c r="B3687" t="str">
        <f>"1578729753305541"</f>
        <v>1578729753305541</v>
      </c>
      <c r="C3687" t="s">
        <v>37</v>
      </c>
      <c r="D3687">
        <v>4.6738679999999997</v>
      </c>
      <c r="E3687">
        <v>0.48504520000000001</v>
      </c>
      <c r="F3687" t="s">
        <v>77</v>
      </c>
      <c r="G3687">
        <v>-281.75299999999999</v>
      </c>
      <c r="H3687" s="1">
        <v>-3.2891049999999999E-6</v>
      </c>
      <c r="I3687">
        <v>136.70230000000001</v>
      </c>
      <c r="J3687">
        <v>-266.20389999999998</v>
      </c>
      <c r="K3687">
        <v>1.103999</v>
      </c>
      <c r="L3687">
        <v>136.66899999999899</v>
      </c>
      <c r="M3687">
        <v>-0.99978619999999996</v>
      </c>
      <c r="N3687">
        <v>0</v>
      </c>
      <c r="O3687">
        <v>1.7340669999999999E-2</v>
      </c>
      <c r="P3687">
        <v>-0.99890789999999996</v>
      </c>
      <c r="Q3687">
        <v>-4.7764519999999996E-3</v>
      </c>
      <c r="R3687">
        <v>4.647834E-2</v>
      </c>
      <c r="S3687">
        <v>-3.0019840000000002</v>
      </c>
      <c r="T3687">
        <v>-0.20968289999999901</v>
      </c>
      <c r="U3687">
        <v>7.1563719999999898E-3</v>
      </c>
      <c r="V3687">
        <v>2.914885E-2</v>
      </c>
      <c r="W3687">
        <v>6.481428E-3</v>
      </c>
      <c r="X3687">
        <v>0.999554099999999</v>
      </c>
      <c r="Y3687">
        <v>-1.4879710000000001E-2</v>
      </c>
      <c r="Z3687">
        <v>-1.72879E-3</v>
      </c>
      <c r="AA3687">
        <v>0.99988779999999999</v>
      </c>
      <c r="AB3687">
        <v>27</v>
      </c>
      <c r="AC3687">
        <v>-15.549099999999999</v>
      </c>
      <c r="AD3687">
        <v>-1.1040022891050001</v>
      </c>
      <c r="AE3687">
        <v>3.33000000000254E-2</v>
      </c>
      <c r="AF3687">
        <v>-0.23516841001824401</v>
      </c>
      <c r="AG3687">
        <v>-1.1040022891050001</v>
      </c>
      <c r="AH3687">
        <v>15.4693562560893</v>
      </c>
      <c r="AI3687">
        <v>94.081639593783905</v>
      </c>
      <c r="AJ3687">
        <v>90.870955410044303</v>
      </c>
      <c r="AK3687">
        <v>15.5104838162202</v>
      </c>
    </row>
    <row r="3688" spans="1:37" x14ac:dyDescent="0.2">
      <c r="A3688" t="str">
        <f>"20200111160233335"</f>
        <v>20200111160233335</v>
      </c>
      <c r="B3688" t="str">
        <f>"1578729753326036"</f>
        <v>1578729753326036</v>
      </c>
      <c r="C3688" t="s">
        <v>37</v>
      </c>
      <c r="D3688">
        <v>4.7527359999999996</v>
      </c>
      <c r="E3688">
        <v>0.4848305</v>
      </c>
      <c r="F3688" t="s">
        <v>77</v>
      </c>
      <c r="G3688">
        <v>-281.89839999999998</v>
      </c>
      <c r="H3688" s="1">
        <v>-3.3495630000000001E-6</v>
      </c>
      <c r="I3688">
        <v>136.6917</v>
      </c>
      <c r="J3688">
        <v>-266.4751</v>
      </c>
      <c r="K3688">
        <v>1.103996</v>
      </c>
      <c r="L3688">
        <v>136.6737</v>
      </c>
      <c r="M3688">
        <v>-0.99978630000000002</v>
      </c>
      <c r="N3688">
        <v>0</v>
      </c>
      <c r="O3688">
        <v>1.7340299999999999E-2</v>
      </c>
      <c r="P3688">
        <v>-0.99892769999999997</v>
      </c>
      <c r="Q3688">
        <v>-4.54386299999999E-3</v>
      </c>
      <c r="R3688">
        <v>4.607646E-2</v>
      </c>
      <c r="S3688">
        <v>-3.002075</v>
      </c>
      <c r="T3688">
        <v>-0.21117649999999999</v>
      </c>
      <c r="U3688">
        <v>4.333496E-3</v>
      </c>
      <c r="V3688">
        <v>2.8747000000000002E-2</v>
      </c>
      <c r="W3688">
        <v>6.7169809999999899E-3</v>
      </c>
      <c r="X3688">
        <v>0.99956420000000001</v>
      </c>
      <c r="Y3688">
        <v>-1.5816170000000001E-2</v>
      </c>
      <c r="Z3688">
        <v>-1.7738949999999999E-3</v>
      </c>
      <c r="AA3688">
        <v>0.99987329999999996</v>
      </c>
      <c r="AB3688">
        <v>27</v>
      </c>
      <c r="AC3688">
        <v>-15.4232999999999</v>
      </c>
      <c r="AD3688">
        <v>-1.1039993495630001</v>
      </c>
      <c r="AE3688">
        <v>1.8000000000000599E-2</v>
      </c>
      <c r="AF3688">
        <v>-0.24819263479558901</v>
      </c>
      <c r="AG3688">
        <v>-1.1039993495630001</v>
      </c>
      <c r="AH3688">
        <v>15.3426818214138</v>
      </c>
      <c r="AI3688">
        <v>94.115150101531697</v>
      </c>
      <c r="AJ3688">
        <v>90.9267708494245</v>
      </c>
      <c r="AK3688">
        <v>15.384352427741099</v>
      </c>
    </row>
    <row r="3689" spans="1:37" x14ac:dyDescent="0.2">
      <c r="A3689" t="str">
        <f>"20200111160233358"</f>
        <v>20200111160233358</v>
      </c>
      <c r="B3689" t="str">
        <f>"1578729753345556"</f>
        <v>1578729753345556</v>
      </c>
      <c r="C3689" t="s">
        <v>37</v>
      </c>
      <c r="D3689">
        <v>4.5212919999999999</v>
      </c>
      <c r="E3689">
        <v>0.48490100000000003</v>
      </c>
      <c r="F3689" t="s">
        <v>77</v>
      </c>
      <c r="G3689">
        <v>-282.31040000000002</v>
      </c>
      <c r="H3689" s="1">
        <v>-3.5285629999999899E-6</v>
      </c>
      <c r="I3689">
        <v>136.68190000000001</v>
      </c>
      <c r="J3689">
        <v>-266.73009999999999</v>
      </c>
      <c r="K3689">
        <v>1.1039939999999999</v>
      </c>
      <c r="L3689">
        <v>136.6782</v>
      </c>
      <c r="M3689">
        <v>-0.99978609999999901</v>
      </c>
      <c r="N3689">
        <v>0</v>
      </c>
      <c r="O3689">
        <v>1.7340109999999999E-2</v>
      </c>
      <c r="P3689">
        <v>-0.99897590000000003</v>
      </c>
      <c r="Q3689">
        <v>-5.16954799999999E-3</v>
      </c>
      <c r="R3689">
        <v>4.4948059999999998E-2</v>
      </c>
      <c r="S3689">
        <v>-3.002167</v>
      </c>
      <c r="T3689">
        <v>-0.20930409999999999</v>
      </c>
      <c r="U3689">
        <v>1.556396E-3</v>
      </c>
      <c r="V3689">
        <v>2.761798E-2</v>
      </c>
      <c r="W3689">
        <v>6.0937669999999999E-3</v>
      </c>
      <c r="X3689">
        <v>0.99960000000000004</v>
      </c>
      <c r="Y3689">
        <v>-1.6740140000000001E-2</v>
      </c>
      <c r="Z3689">
        <v>-1.79031E-3</v>
      </c>
      <c r="AA3689">
        <v>0.99985829999999998</v>
      </c>
      <c r="AB3689">
        <v>27</v>
      </c>
      <c r="AC3689">
        <v>-15.580299999999999</v>
      </c>
      <c r="AD3689">
        <v>-1.1039975285629999</v>
      </c>
      <c r="AE3689">
        <v>3.70000000000914E-3</v>
      </c>
      <c r="AF3689">
        <v>-0.26515053592435101</v>
      </c>
      <c r="AG3689">
        <v>-1.1039975285629999</v>
      </c>
      <c r="AH3689">
        <v>15.500195884356099</v>
      </c>
      <c r="AI3689">
        <v>94.073403667778507</v>
      </c>
      <c r="AJ3689">
        <v>90.980021489184395</v>
      </c>
      <c r="AK3689">
        <v>15.5417240936514</v>
      </c>
    </row>
    <row r="3690" spans="1:37" x14ac:dyDescent="0.2">
      <c r="A3690" t="str">
        <f>"20200111160233380"</f>
        <v>20200111160233380</v>
      </c>
      <c r="B3690" t="str">
        <f>"1578729753375813"</f>
        <v>1578729753375813</v>
      </c>
      <c r="C3690" t="s">
        <v>37</v>
      </c>
      <c r="D3690">
        <v>4.7203669999999898</v>
      </c>
      <c r="E3690">
        <v>0.48467329999999997</v>
      </c>
      <c r="F3690" t="s">
        <v>77</v>
      </c>
      <c r="G3690">
        <v>-282.35309999999998</v>
      </c>
      <c r="H3690" s="1">
        <v>-3.5433159999999899E-6</v>
      </c>
      <c r="I3690">
        <v>136.67089999999999</v>
      </c>
      <c r="J3690">
        <v>-266.99549999999999</v>
      </c>
      <c r="K3690">
        <v>1.103988</v>
      </c>
      <c r="L3690">
        <v>136.68279999999999</v>
      </c>
      <c r="M3690">
        <v>-0.99978619999999996</v>
      </c>
      <c r="N3690">
        <v>0</v>
      </c>
      <c r="O3690">
        <v>1.7339799999999999E-2</v>
      </c>
      <c r="P3690">
        <v>-0.9989846</v>
      </c>
      <c r="Q3690">
        <v>-5.4641069999999898E-3</v>
      </c>
      <c r="R3690">
        <v>4.4725019999999997E-2</v>
      </c>
      <c r="S3690">
        <v>-3.002014</v>
      </c>
      <c r="T3690">
        <v>-0.21213769999999901</v>
      </c>
      <c r="U3690">
        <v>-1.3885499999999999E-3</v>
      </c>
      <c r="V3690">
        <v>2.7395340000000001E-2</v>
      </c>
      <c r="W3690">
        <v>5.8019469999999896E-3</v>
      </c>
      <c r="X3690">
        <v>0.99960789999999999</v>
      </c>
      <c r="Y3690">
        <v>-1.7715950000000001E-2</v>
      </c>
      <c r="Z3690">
        <v>-1.8489960000000001E-3</v>
      </c>
      <c r="AA3690">
        <v>0.99984130000000004</v>
      </c>
      <c r="AB3690">
        <v>27</v>
      </c>
      <c r="AC3690">
        <v>-15.3575999999999</v>
      </c>
      <c r="AD3690">
        <v>-1.1039915433159999</v>
      </c>
      <c r="AE3690">
        <v>-1.18999999999971E-2</v>
      </c>
      <c r="AF3690">
        <v>-0.27678253237102202</v>
      </c>
      <c r="AG3690">
        <v>-1.1039915433159999</v>
      </c>
      <c r="AH3690">
        <v>15.276144192062899</v>
      </c>
      <c r="AI3690">
        <v>94.132846066417798</v>
      </c>
      <c r="AJ3690">
        <v>91.038006432044995</v>
      </c>
      <c r="AK3690">
        <v>15.3184851494733</v>
      </c>
    </row>
    <row r="3691" spans="1:37" x14ac:dyDescent="0.2">
      <c r="A3691" t="str">
        <f>"20200111160233403"</f>
        <v>20200111160233403</v>
      </c>
      <c r="B3691" t="str">
        <f>"1578729753396309"</f>
        <v>1578729753396309</v>
      </c>
      <c r="C3691" t="s">
        <v>37</v>
      </c>
      <c r="D3691">
        <v>4.6938519999999997</v>
      </c>
      <c r="E3691">
        <v>0.48451850000000002</v>
      </c>
      <c r="F3691" t="s">
        <v>77</v>
      </c>
      <c r="G3691">
        <v>-282.57119999999998</v>
      </c>
      <c r="H3691" s="1">
        <v>-3.6370099999999902E-6</v>
      </c>
      <c r="I3691">
        <v>136.66299999999899</v>
      </c>
      <c r="J3691">
        <v>-267.27339999999998</v>
      </c>
      <c r="K3691">
        <v>1.103993</v>
      </c>
      <c r="L3691">
        <v>136.6876</v>
      </c>
      <c r="M3691">
        <v>-0.99978630000000002</v>
      </c>
      <c r="N3691">
        <v>0</v>
      </c>
      <c r="O3691">
        <v>1.7339429999999999E-2</v>
      </c>
      <c r="P3691">
        <v>-0.99900789999999995</v>
      </c>
      <c r="Q3691">
        <v>-5.6269950000000001E-3</v>
      </c>
      <c r="R3691">
        <v>4.418308E-2</v>
      </c>
      <c r="S3691">
        <v>-3.002075</v>
      </c>
      <c r="T3691">
        <v>-0.21278459999999999</v>
      </c>
      <c r="U3691">
        <v>-3.8146970000000001E-3</v>
      </c>
      <c r="V3691">
        <v>2.6853410000000001E-2</v>
      </c>
      <c r="W3691">
        <v>5.6417319999999896E-3</v>
      </c>
      <c r="X3691">
        <v>0.9996235</v>
      </c>
      <c r="Y3691">
        <v>-1.8521039999999999E-2</v>
      </c>
      <c r="Z3691">
        <v>-1.883055E-3</v>
      </c>
      <c r="AA3691">
        <v>0.99982669999999996</v>
      </c>
      <c r="AB3691">
        <v>27</v>
      </c>
      <c r="AC3691">
        <v>-15.297799999999899</v>
      </c>
      <c r="AD3691">
        <v>-1.1039966370100001</v>
      </c>
      <c r="AE3691">
        <v>-2.46000000000208E-2</v>
      </c>
      <c r="AF3691">
        <v>-0.28836640767154198</v>
      </c>
      <c r="AG3691">
        <v>-1.1039966370100001</v>
      </c>
      <c r="AH3691">
        <v>15.215828245275</v>
      </c>
      <c r="AI3691">
        <v>94.1491269250171</v>
      </c>
      <c r="AJ3691">
        <v>91.085724693475797</v>
      </c>
      <c r="AK3691">
        <v>15.258551469563301</v>
      </c>
    </row>
    <row r="3692" spans="1:37" x14ac:dyDescent="0.2">
      <c r="A3692" t="str">
        <f>"20200111160233426"</f>
        <v>20200111160233426</v>
      </c>
      <c r="B3692" t="str">
        <f>"1578729753415829"</f>
        <v>1578729753415829</v>
      </c>
      <c r="C3692" t="s">
        <v>37</v>
      </c>
      <c r="D3692">
        <v>4.6702180000000002</v>
      </c>
      <c r="E3692">
        <v>0.48466419999999999</v>
      </c>
      <c r="F3692" t="s">
        <v>77</v>
      </c>
      <c r="G3692">
        <v>-282.83859999999999</v>
      </c>
      <c r="H3692" s="1">
        <v>-3.752167E-6</v>
      </c>
      <c r="I3692">
        <v>136.65389999999999</v>
      </c>
      <c r="J3692">
        <v>-267.53769999999997</v>
      </c>
      <c r="K3692">
        <v>1.1039950000000001</v>
      </c>
      <c r="L3692">
        <v>136.69220000000001</v>
      </c>
      <c r="M3692">
        <v>-0.99978609999999901</v>
      </c>
      <c r="N3692">
        <v>0</v>
      </c>
      <c r="O3692">
        <v>1.7339230000000001E-2</v>
      </c>
      <c r="P3692">
        <v>-0.99900689999999903</v>
      </c>
      <c r="Q3692">
        <v>-5.6950969999999997E-3</v>
      </c>
      <c r="R3692">
        <v>4.4189590000000001E-2</v>
      </c>
      <c r="S3692">
        <v>-3.002075</v>
      </c>
      <c r="T3692">
        <v>-0.21292839999999999</v>
      </c>
      <c r="U3692">
        <v>-6.5002439999999996E-3</v>
      </c>
      <c r="V3692">
        <v>2.686005E-2</v>
      </c>
      <c r="W3692">
        <v>5.5759299999999998E-3</v>
      </c>
      <c r="X3692">
        <v>0.999623699999999</v>
      </c>
      <c r="Y3692">
        <v>-1.9412889999999999E-2</v>
      </c>
      <c r="Z3692">
        <v>-1.915899E-3</v>
      </c>
      <c r="AA3692">
        <v>0.99980970000000002</v>
      </c>
      <c r="AB3692">
        <v>27</v>
      </c>
      <c r="AC3692">
        <v>-15.3009</v>
      </c>
      <c r="AD3692">
        <v>-1.1039987521670001</v>
      </c>
      <c r="AE3692">
        <v>-3.8300000000020797E-2</v>
      </c>
      <c r="AF3692">
        <v>-0.30204449786262599</v>
      </c>
      <c r="AG3692">
        <v>-1.1039987521670001</v>
      </c>
      <c r="AH3692">
        <v>15.218707380111899</v>
      </c>
      <c r="AI3692">
        <v>94.148280876614706</v>
      </c>
      <c r="AJ3692">
        <v>91.1369955932647</v>
      </c>
      <c r="AK3692">
        <v>15.261687273854999</v>
      </c>
    </row>
    <row r="3693" spans="1:37" x14ac:dyDescent="0.2">
      <c r="A3693" t="str">
        <f>"20200111160233626"</f>
        <v>20200111160233626</v>
      </c>
      <c r="B3693" t="str">
        <f>"1578729753615439"</f>
        <v>1578729753615439</v>
      </c>
      <c r="C3693" t="s">
        <v>37</v>
      </c>
      <c r="D3693">
        <v>5.0107699999999999</v>
      </c>
      <c r="E3693">
        <v>0.48461799999999999</v>
      </c>
      <c r="F3693" t="s">
        <v>77</v>
      </c>
      <c r="G3693">
        <v>-283.07159999999999</v>
      </c>
      <c r="H3693" s="1">
        <v>-3.8593259999999999E-6</v>
      </c>
      <c r="I3693">
        <v>136.66399999999999</v>
      </c>
      <c r="J3693">
        <v>-269.93060000000003</v>
      </c>
      <c r="K3693">
        <v>1.1039889999999899</v>
      </c>
      <c r="L3693">
        <v>136.7336</v>
      </c>
      <c r="M3693">
        <v>-0.99978590000000001</v>
      </c>
      <c r="N3693">
        <v>0</v>
      </c>
      <c r="O3693">
        <v>1.7337140000000001E-2</v>
      </c>
      <c r="P3693">
        <v>-0.99916329999999998</v>
      </c>
      <c r="Q3693">
        <v>-8.2308950000000002E-3</v>
      </c>
      <c r="R3693">
        <v>4.0062149999999998E-2</v>
      </c>
      <c r="S3693">
        <v>-3.002014</v>
      </c>
      <c r="T3693">
        <v>-0.21335380000000001</v>
      </c>
      <c r="U3693">
        <v>-5.432129E-3</v>
      </c>
      <c r="V3693">
        <v>2.2732490000000001E-2</v>
      </c>
      <c r="W3693">
        <v>3.0630219999999999E-3</v>
      </c>
      <c r="X3693">
        <v>0.99973690000000004</v>
      </c>
      <c r="Y3693">
        <v>-1.905565E-2</v>
      </c>
      <c r="Z3693">
        <v>-1.90693E-3</v>
      </c>
      <c r="AA3693">
        <v>0.99981659999999895</v>
      </c>
      <c r="AB3693">
        <v>27</v>
      </c>
      <c r="AC3693">
        <v>-13.140999999999901</v>
      </c>
      <c r="AD3693">
        <v>-1.103992859326</v>
      </c>
      <c r="AE3693">
        <v>-6.9600000000008294E-2</v>
      </c>
      <c r="AF3693">
        <v>-0.29534695703742803</v>
      </c>
      <c r="AG3693">
        <v>-1.103992859326</v>
      </c>
      <c r="AH3693">
        <v>13.045744898285999</v>
      </c>
      <c r="AI3693">
        <v>94.835882795082895</v>
      </c>
      <c r="AJ3693">
        <v>91.296916662424593</v>
      </c>
      <c r="AK3693">
        <v>13.0957050214805</v>
      </c>
    </row>
    <row r="3694" spans="1:37" x14ac:dyDescent="0.2">
      <c r="A3694" t="str">
        <f>"20200111160233670"</f>
        <v>20200111160233670</v>
      </c>
      <c r="B3694" t="str">
        <f>"1578729753666192"</f>
        <v>1578729753666192</v>
      </c>
      <c r="C3694" t="s">
        <v>37</v>
      </c>
      <c r="D3694">
        <v>4.9260549999999999</v>
      </c>
      <c r="E3694">
        <v>0.48342410000000002</v>
      </c>
      <c r="F3694" t="s">
        <v>77</v>
      </c>
      <c r="G3694">
        <v>-284.90300000000002</v>
      </c>
      <c r="H3694" s="1">
        <v>-4.6652139999999998E-6</v>
      </c>
      <c r="I3694">
        <v>136.64760000000001</v>
      </c>
      <c r="J3694">
        <v>-270.44990000000001</v>
      </c>
      <c r="K3694">
        <v>1.10399</v>
      </c>
      <c r="L3694">
        <v>136.74260000000001</v>
      </c>
      <c r="M3694">
        <v>-0.99978590000000001</v>
      </c>
      <c r="N3694">
        <v>0</v>
      </c>
      <c r="O3694">
        <v>1.7336399999999998E-2</v>
      </c>
      <c r="P3694">
        <v>-0.99922619999999895</v>
      </c>
      <c r="Q3694">
        <v>-8.5770710000000003E-3</v>
      </c>
      <c r="R3694">
        <v>3.8385740000000002E-2</v>
      </c>
      <c r="S3694">
        <v>-3.0013730000000001</v>
      </c>
      <c r="T3694">
        <v>-0.22130759999999999</v>
      </c>
      <c r="U3694">
        <v>-1.724243E-2</v>
      </c>
      <c r="V3694">
        <v>2.1055839999999999E-2</v>
      </c>
      <c r="W3694">
        <v>2.722562E-3</v>
      </c>
      <c r="X3694">
        <v>0.99977459999999996</v>
      </c>
      <c r="Y3694">
        <v>-2.2971680000000001E-2</v>
      </c>
      <c r="Z3694">
        <v>-2.122372E-3</v>
      </c>
      <c r="AA3694">
        <v>0.99973389999999995</v>
      </c>
      <c r="AB3694">
        <v>27</v>
      </c>
      <c r="AC3694">
        <v>-14.453099999999999</v>
      </c>
      <c r="AD3694">
        <v>-1.103994665214</v>
      </c>
      <c r="AE3694">
        <v>-9.4999999999998794E-2</v>
      </c>
      <c r="AF3694">
        <v>-0.34356196780380999</v>
      </c>
      <c r="AG3694">
        <v>-1.103994665214</v>
      </c>
      <c r="AH3694">
        <v>14.365467253750801</v>
      </c>
      <c r="AI3694">
        <v>94.393325373703803</v>
      </c>
      <c r="AJ3694">
        <v>91.370014543120902</v>
      </c>
      <c r="AK3694">
        <v>14.4119217478145</v>
      </c>
    </row>
    <row r="3695" spans="1:37" x14ac:dyDescent="0.2">
      <c r="A3695" t="str">
        <f>"20200111160233694"</f>
        <v>20200111160233694</v>
      </c>
      <c r="B3695" t="str">
        <f>"1578729753685714"</f>
        <v>1578729753685714</v>
      </c>
      <c r="C3695" t="s">
        <v>37</v>
      </c>
      <c r="D3695">
        <v>4.8668719999999999</v>
      </c>
      <c r="E3695">
        <v>0.41194890000000001</v>
      </c>
      <c r="F3695" t="s">
        <v>77</v>
      </c>
      <c r="G3695">
        <v>-286.3809</v>
      </c>
      <c r="H3695" s="1">
        <v>-5.6348919999999998E-6</v>
      </c>
      <c r="I3695">
        <v>136.58070000000001</v>
      </c>
      <c r="J3695">
        <v>-270.75150000000002</v>
      </c>
      <c r="K3695">
        <v>1.1039920000000001</v>
      </c>
      <c r="L3695">
        <v>136.74780000000001</v>
      </c>
      <c r="M3695">
        <v>-0.99978599999999995</v>
      </c>
      <c r="N3695">
        <v>0</v>
      </c>
      <c r="O3695">
        <v>1.733608E-2</v>
      </c>
      <c r="P3695">
        <v>-0.99924369999999996</v>
      </c>
      <c r="Q3695">
        <v>-8.8694919999999997E-3</v>
      </c>
      <c r="R3695">
        <v>3.786643E-2</v>
      </c>
      <c r="S3695">
        <v>-3.001709</v>
      </c>
      <c r="T3695">
        <v>-0.20801509999999901</v>
      </c>
      <c r="U3695">
        <v>-3.0502319999999999E-2</v>
      </c>
      <c r="V3695">
        <v>2.0536869999999999E-2</v>
      </c>
      <c r="W3695">
        <v>2.4331229999999902E-3</v>
      </c>
      <c r="X3695">
        <v>0.99978609999999901</v>
      </c>
      <c r="Y3695">
        <v>-2.7388639999999999E-2</v>
      </c>
      <c r="Z3695">
        <v>-2.1478000000000001E-3</v>
      </c>
      <c r="AA3695">
        <v>0.99962249999999997</v>
      </c>
      <c r="AB3695">
        <v>27</v>
      </c>
      <c r="AC3695">
        <v>-15.629399999999899</v>
      </c>
      <c r="AD3695">
        <v>-1.103997634892</v>
      </c>
      <c r="AE3695">
        <v>-0.167100000000004</v>
      </c>
      <c r="AF3695">
        <v>-0.43587017798164102</v>
      </c>
      <c r="AG3695">
        <v>-1.103997634892</v>
      </c>
      <c r="AH3695">
        <v>15.5465939444816</v>
      </c>
      <c r="AI3695">
        <v>94.060289985560502</v>
      </c>
      <c r="AJ3695">
        <v>91.605945418302596</v>
      </c>
      <c r="AK3695">
        <v>15.5918368662738</v>
      </c>
    </row>
    <row r="3696" spans="1:37" x14ac:dyDescent="0.2">
      <c r="A3696" t="str">
        <f>"20200111160233715"</f>
        <v>20200111160233715</v>
      </c>
      <c r="B3696" t="str">
        <f>"1578729753706208"</f>
        <v>1578729753706208</v>
      </c>
      <c r="C3696" t="s">
        <v>37</v>
      </c>
      <c r="D3696">
        <v>4.7865510000000002</v>
      </c>
      <c r="E3696">
        <v>0.46729179999999998</v>
      </c>
      <c r="F3696" t="s">
        <v>67</v>
      </c>
      <c r="G3696">
        <v>-367.38220000000001</v>
      </c>
      <c r="H3696">
        <v>15.3772</v>
      </c>
      <c r="I3696">
        <v>119.00490000000001</v>
      </c>
      <c r="J3696">
        <v>-271.00200000000001</v>
      </c>
      <c r="K3696">
        <v>1.103988</v>
      </c>
      <c r="L3696">
        <v>136.75210000000001</v>
      </c>
      <c r="M3696">
        <v>-0.99978590000000001</v>
      </c>
      <c r="N3696">
        <v>0</v>
      </c>
      <c r="O3696">
        <v>1.733589E-2</v>
      </c>
      <c r="P3696">
        <v>-0.99925259999999905</v>
      </c>
      <c r="Q3696">
        <v>-8.7095279999999994E-3</v>
      </c>
      <c r="R3696">
        <v>3.766303E-2</v>
      </c>
      <c r="S3696">
        <v>-3.0273129999999999</v>
      </c>
      <c r="T3696">
        <v>0.44716129999999998</v>
      </c>
      <c r="U3696">
        <v>-0.55586239999999998</v>
      </c>
      <c r="V3696">
        <v>2.0333469999999999E-2</v>
      </c>
      <c r="W3696">
        <v>2.5957239999999898E-3</v>
      </c>
      <c r="X3696">
        <v>0.99978989999999901</v>
      </c>
      <c r="Y3696">
        <v>-0.19538649999999999</v>
      </c>
      <c r="Z3696">
        <v>1.6762340000000001E-2</v>
      </c>
      <c r="AA3696">
        <v>0.98058310000000004</v>
      </c>
      <c r="AB3696">
        <v>27</v>
      </c>
      <c r="AC3696">
        <v>-96.380200000000002</v>
      </c>
      <c r="AD3696">
        <v>14.273211999999999</v>
      </c>
      <c r="AE3696">
        <v>-17.747199999999999</v>
      </c>
      <c r="AF3696">
        <v>-19.0121848371009</v>
      </c>
      <c r="AG3696">
        <v>14.273211999999999</v>
      </c>
      <c r="AH3696">
        <v>94.062749793653794</v>
      </c>
      <c r="AI3696">
        <v>81.540207117427002</v>
      </c>
      <c r="AJ3696">
        <v>101.426809787468</v>
      </c>
      <c r="AK3696">
        <v>97.020557882443399</v>
      </c>
    </row>
    <row r="3697" spans="1:37" x14ac:dyDescent="0.2">
      <c r="A3697" t="str">
        <f>"20200111160233737"</f>
        <v>20200111160233737</v>
      </c>
      <c r="B3697" t="str">
        <f>"1578729753725728"</f>
        <v>1578729753725728</v>
      </c>
      <c r="C3697" t="s">
        <v>37</v>
      </c>
      <c r="D3697">
        <v>4.8283259999999997</v>
      </c>
      <c r="E3697">
        <v>0.42712889999999998</v>
      </c>
      <c r="F3697" t="s">
        <v>43</v>
      </c>
      <c r="G3697">
        <v>0</v>
      </c>
      <c r="H3697">
        <v>0</v>
      </c>
      <c r="I3697">
        <v>0</v>
      </c>
      <c r="J3697">
        <v>-271.25990000000002</v>
      </c>
      <c r="K3697">
        <v>1.103988</v>
      </c>
      <c r="L3697">
        <v>136.75659999999999</v>
      </c>
      <c r="M3697">
        <v>-0.99978579999999995</v>
      </c>
      <c r="N3697">
        <v>0</v>
      </c>
      <c r="O3697">
        <v>1.7335699999999999E-2</v>
      </c>
      <c r="P3697">
        <v>-0.99924590000000002</v>
      </c>
      <c r="Q3697">
        <v>-8.98430699999999E-3</v>
      </c>
      <c r="R3697">
        <v>3.777668E-2</v>
      </c>
      <c r="S3697">
        <v>-3.0078429999999998</v>
      </c>
      <c r="T3697">
        <v>1.1352299999999999E-2</v>
      </c>
      <c r="U3697">
        <v>-0.14569089999999901</v>
      </c>
      <c r="V3697">
        <v>2.0447429999999999E-2</v>
      </c>
      <c r="W3697">
        <v>2.3229739999999998E-3</v>
      </c>
      <c r="X3697">
        <v>0.99978820000000002</v>
      </c>
      <c r="Y3697">
        <v>-6.5688930000000006E-2</v>
      </c>
      <c r="Z3697">
        <v>1.8928860000000001E-4</v>
      </c>
      <c r="AA3697">
        <v>0.99784010000000001</v>
      </c>
      <c r="AB3697">
        <v>27</v>
      </c>
      <c r="AC3697">
        <v>-3.0078429999999998</v>
      </c>
      <c r="AD3697">
        <v>1.1352299999999999E-2</v>
      </c>
      <c r="AE3697">
        <v>-0.14569089999999901</v>
      </c>
      <c r="AF3697">
        <v>-0.19781258923270001</v>
      </c>
      <c r="AG3697">
        <v>1.1352299999999999E-2</v>
      </c>
      <c r="AH3697">
        <v>3.0048224218074302</v>
      </c>
      <c r="AI3697">
        <v>89.784003566174405</v>
      </c>
      <c r="AJ3697">
        <v>93.766444220145701</v>
      </c>
      <c r="AK3697">
        <v>3.0113479509632999</v>
      </c>
    </row>
    <row r="3698" spans="1:37" x14ac:dyDescent="0.2">
      <c r="A3698" t="str">
        <f>"20200111160233759"</f>
        <v>20200111160233759</v>
      </c>
      <c r="B3698" t="str">
        <f>"1578729753755986"</f>
        <v>1578729753755986</v>
      </c>
      <c r="C3698" t="s">
        <v>37</v>
      </c>
      <c r="D3698">
        <v>4.8359540000000001</v>
      </c>
      <c r="E3698">
        <v>0.47434579999999998</v>
      </c>
      <c r="F3698" t="s">
        <v>81</v>
      </c>
      <c r="G3698">
        <v>-390.7919</v>
      </c>
      <c r="H3698">
        <v>19.602079999999901</v>
      </c>
      <c r="I3698">
        <v>119.6135</v>
      </c>
      <c r="J3698">
        <v>-271.52170000000001</v>
      </c>
      <c r="K3698">
        <v>1.1039870000000001</v>
      </c>
      <c r="L3698">
        <v>136.7611</v>
      </c>
      <c r="M3698">
        <v>-0.99978579999999995</v>
      </c>
      <c r="N3698">
        <v>0</v>
      </c>
      <c r="O3698">
        <v>1.7335389999999999E-2</v>
      </c>
      <c r="P3698">
        <v>-0.99923839999999997</v>
      </c>
      <c r="Q3698">
        <v>-8.7723360000000004E-3</v>
      </c>
      <c r="R3698">
        <v>3.8027310000000002E-2</v>
      </c>
      <c r="S3698">
        <v>-3.0228579999999998</v>
      </c>
      <c r="T3698">
        <v>0.46780050000000001</v>
      </c>
      <c r="U3698">
        <v>-0.43353269999999999</v>
      </c>
      <c r="V3698">
        <v>2.0698500000000002E-2</v>
      </c>
      <c r="W3698">
        <v>2.5370729999999999E-3</v>
      </c>
      <c r="X3698">
        <v>0.99978259999999997</v>
      </c>
      <c r="Y3698">
        <v>-0.1570694</v>
      </c>
      <c r="Z3698">
        <v>1.467566E-2</v>
      </c>
      <c r="AA3698">
        <v>0.98747850000000004</v>
      </c>
      <c r="AB3698">
        <v>27</v>
      </c>
      <c r="AC3698">
        <v>-119.2702</v>
      </c>
      <c r="AD3698">
        <v>18.498093000000001</v>
      </c>
      <c r="AE3698">
        <v>-17.147599999999901</v>
      </c>
      <c r="AF3698">
        <v>-18.7703884452079</v>
      </c>
      <c r="AG3698">
        <v>18.498093000000001</v>
      </c>
      <c r="AH3698">
        <v>116.216128206292</v>
      </c>
      <c r="AI3698">
        <v>81.069936916020595</v>
      </c>
      <c r="AJ3698">
        <v>99.174768589402106</v>
      </c>
      <c r="AK3698">
        <v>119.166670601649</v>
      </c>
    </row>
    <row r="3699" spans="1:37" x14ac:dyDescent="0.2">
      <c r="A3699" t="str">
        <f>"20200111160233783"</f>
        <v>20200111160233783</v>
      </c>
      <c r="B3699" t="str">
        <f>"1578729753775504"</f>
        <v>1578729753775504</v>
      </c>
      <c r="C3699" t="s">
        <v>37</v>
      </c>
      <c r="D3699">
        <v>4.9606389999999996</v>
      </c>
      <c r="E3699">
        <v>0.47149469999999999</v>
      </c>
      <c r="F3699" t="s">
        <v>77</v>
      </c>
      <c r="G3699">
        <v>-289.65570000000002</v>
      </c>
      <c r="H3699" s="1">
        <v>-7.5269799999999902E-6</v>
      </c>
      <c r="I3699">
        <v>136.14519999999999</v>
      </c>
      <c r="J3699">
        <v>-271.80590000000001</v>
      </c>
      <c r="K3699">
        <v>1.1039859999999999</v>
      </c>
      <c r="L3699">
        <v>136.76609999999999</v>
      </c>
      <c r="M3699">
        <v>-0.99978579999999995</v>
      </c>
      <c r="N3699">
        <v>0</v>
      </c>
      <c r="O3699">
        <v>1.733502E-2</v>
      </c>
      <c r="P3699">
        <v>-0.99922569999999999</v>
      </c>
      <c r="Q3699">
        <v>-8.2834769999999992E-3</v>
      </c>
      <c r="R3699">
        <v>3.8462690000000001E-2</v>
      </c>
      <c r="S3699">
        <v>-3.0046080000000002</v>
      </c>
      <c r="T3699">
        <v>-0.18292</v>
      </c>
      <c r="U3699">
        <v>-0.1020508</v>
      </c>
      <c r="V3699">
        <v>2.1134190000000001E-2</v>
      </c>
      <c r="W3699">
        <v>3.0286900000000001E-3</v>
      </c>
      <c r="X3699">
        <v>0.99977209999999905</v>
      </c>
      <c r="Y3699">
        <v>-5.1139570000000002E-2</v>
      </c>
      <c r="Z3699">
        <v>-2.6089759999999998E-3</v>
      </c>
      <c r="AA3699">
        <v>0.99868809999999997</v>
      </c>
      <c r="AB3699">
        <v>27</v>
      </c>
      <c r="AC3699">
        <v>-17.849799999999998</v>
      </c>
      <c r="AD3699">
        <v>-1.1039935269800001</v>
      </c>
      <c r="AE3699">
        <v>-0.620900000000006</v>
      </c>
      <c r="AF3699">
        <v>-0.92671243625835897</v>
      </c>
      <c r="AG3699">
        <v>-1.1039935269800001</v>
      </c>
      <c r="AH3699">
        <v>17.7684657930143</v>
      </c>
      <c r="AI3699">
        <v>93.550528097107502</v>
      </c>
      <c r="AJ3699">
        <v>92.985550192628494</v>
      </c>
      <c r="AK3699">
        <v>17.8268329852683</v>
      </c>
    </row>
    <row r="3700" spans="1:37" x14ac:dyDescent="0.2">
      <c r="A3700" t="str">
        <f>"20200111160233805"</f>
        <v>20200111160233805</v>
      </c>
      <c r="B3700" t="str">
        <f>"1578729753796001"</f>
        <v>1578729753796001</v>
      </c>
      <c r="C3700" t="s">
        <v>37</v>
      </c>
      <c r="D3700">
        <v>4.9043219999999996</v>
      </c>
      <c r="E3700">
        <v>0.47224499999999903</v>
      </c>
      <c r="F3700" t="s">
        <v>77</v>
      </c>
      <c r="G3700">
        <v>-292.88080000000002</v>
      </c>
      <c r="H3700" s="1">
        <v>-7.3767679999999901E-6</v>
      </c>
      <c r="I3700">
        <v>135.91220000000001</v>
      </c>
      <c r="J3700">
        <v>-272.07310000000001</v>
      </c>
      <c r="K3700">
        <v>1.10399</v>
      </c>
      <c r="L3700">
        <v>136.77070000000001</v>
      </c>
      <c r="M3700">
        <v>-0.9997857</v>
      </c>
      <c r="N3700">
        <v>0</v>
      </c>
      <c r="O3700">
        <v>1.7335E-2</v>
      </c>
      <c r="P3700">
        <v>-0.99921489999999902</v>
      </c>
      <c r="Q3700">
        <v>-7.671125E-3</v>
      </c>
      <c r="R3700">
        <v>3.886945E-2</v>
      </c>
      <c r="S3700">
        <v>-3.0057369999999999</v>
      </c>
      <c r="T3700">
        <v>-0.15745379999999901</v>
      </c>
      <c r="U3700">
        <v>-0.121780399999999</v>
      </c>
      <c r="V3700">
        <v>2.1541270000000001E-2</v>
      </c>
      <c r="W3700">
        <v>3.6433300000000002E-3</v>
      </c>
      <c r="X3700">
        <v>0.99976129999999996</v>
      </c>
      <c r="Y3700">
        <v>-5.7695860000000002E-2</v>
      </c>
      <c r="Z3700">
        <v>-2.4167220000000001E-3</v>
      </c>
      <c r="AA3700">
        <v>0.99833130000000003</v>
      </c>
      <c r="AB3700">
        <v>27</v>
      </c>
      <c r="AC3700">
        <v>-20.807700000000001</v>
      </c>
      <c r="AD3700">
        <v>-1.103997376768</v>
      </c>
      <c r="AE3700">
        <v>-0.85849999999999205</v>
      </c>
      <c r="AF3700">
        <v>-1.2156791629268</v>
      </c>
      <c r="AG3700">
        <v>-1.103997376768</v>
      </c>
      <c r="AH3700">
        <v>20.7314288584952</v>
      </c>
      <c r="AI3700">
        <v>93.043038318969906</v>
      </c>
      <c r="AJ3700">
        <v>93.355948780430296</v>
      </c>
      <c r="AK3700">
        <v>20.796365753417899</v>
      </c>
    </row>
    <row r="3701" spans="1:37" x14ac:dyDescent="0.2">
      <c r="A3701" t="str">
        <f>"20200111160233828"</f>
        <v>20200111160233828</v>
      </c>
      <c r="B3701" t="str">
        <f>"1578729753815520"</f>
        <v>1578729753815520</v>
      </c>
      <c r="C3701" t="s">
        <v>37</v>
      </c>
      <c r="D3701">
        <v>5.88774</v>
      </c>
      <c r="E3701">
        <v>0.47252870000000002</v>
      </c>
      <c r="F3701" t="s">
        <v>77</v>
      </c>
      <c r="G3701">
        <v>-292.4633</v>
      </c>
      <c r="H3701" s="1">
        <v>-7.4407809999999997E-6</v>
      </c>
      <c r="I3701">
        <v>135.99039999999999</v>
      </c>
      <c r="J3701">
        <v>-272.34089999999998</v>
      </c>
      <c r="K3701">
        <v>1.1039939999999999</v>
      </c>
      <c r="L3701">
        <v>136.77529999999999</v>
      </c>
      <c r="M3701">
        <v>-0.99978579999999995</v>
      </c>
      <c r="N3701">
        <v>0</v>
      </c>
      <c r="O3701">
        <v>1.733463E-2</v>
      </c>
      <c r="P3701">
        <v>-0.99921150000000003</v>
      </c>
      <c r="Q3701">
        <v>-7.3217079999999997E-3</v>
      </c>
      <c r="R3701">
        <v>3.9024330000000003E-2</v>
      </c>
      <c r="S3701">
        <v>-3.0056150000000001</v>
      </c>
      <c r="T3701">
        <v>-0.1627344</v>
      </c>
      <c r="U3701">
        <v>-0.11502080000000001</v>
      </c>
      <c r="V3701">
        <v>2.169656E-2</v>
      </c>
      <c r="W3701">
        <v>3.9947569999999998E-3</v>
      </c>
      <c r="X3701">
        <v>0.999756599999999</v>
      </c>
      <c r="Y3701">
        <v>-5.5451479999999997E-2</v>
      </c>
      <c r="Z3701">
        <v>-2.4371520000000002E-3</v>
      </c>
      <c r="AA3701">
        <v>0.99845839999999997</v>
      </c>
      <c r="AB3701">
        <v>27</v>
      </c>
      <c r="AC3701">
        <v>-20.122399999999999</v>
      </c>
      <c r="AD3701">
        <v>-1.1040014407809999</v>
      </c>
      <c r="AE3701">
        <v>-0.78489999999999305</v>
      </c>
      <c r="AF3701">
        <v>-1.1302218074527499</v>
      </c>
      <c r="AG3701">
        <v>-1.1040014407809999</v>
      </c>
      <c r="AH3701">
        <v>20.045522087269699</v>
      </c>
      <c r="AI3701">
        <v>93.147375362657101</v>
      </c>
      <c r="AJ3701">
        <v>93.227077283899703</v>
      </c>
      <c r="AK3701">
        <v>20.1076894810544</v>
      </c>
    </row>
    <row r="3702" spans="1:37" x14ac:dyDescent="0.2">
      <c r="A3702" t="str">
        <f>"20200111160233849"</f>
        <v>20200111160233849</v>
      </c>
      <c r="B3702" t="str">
        <f>"1578729753845776"</f>
        <v>1578729753845776</v>
      </c>
      <c r="C3702" t="s">
        <v>37</v>
      </c>
      <c r="D3702">
        <v>5.1169449999999896</v>
      </c>
      <c r="E3702">
        <v>0.47310859999999899</v>
      </c>
      <c r="F3702" t="s">
        <v>77</v>
      </c>
      <c r="G3702">
        <v>-293.50020000000001</v>
      </c>
      <c r="H3702" s="1">
        <v>-7.348468E-6</v>
      </c>
      <c r="I3702">
        <v>135.98689999999999</v>
      </c>
      <c r="J3702">
        <v>-272.6019</v>
      </c>
      <c r="K3702">
        <v>1.1039909999999999</v>
      </c>
      <c r="L3702">
        <v>136.7799</v>
      </c>
      <c r="M3702">
        <v>-0.9997857</v>
      </c>
      <c r="N3702">
        <v>0</v>
      </c>
      <c r="O3702">
        <v>1.7334499999999999E-2</v>
      </c>
      <c r="P3702">
        <v>-0.99920059999999999</v>
      </c>
      <c r="Q3702">
        <v>-6.9559959999999999E-3</v>
      </c>
      <c r="R3702">
        <v>3.9369149999999999E-2</v>
      </c>
      <c r="S3702">
        <v>-3.0056150000000001</v>
      </c>
      <c r="T3702">
        <v>-0.15682019999999999</v>
      </c>
      <c r="U3702">
        <v>-0.111999499999999</v>
      </c>
      <c r="V3702">
        <v>2.2041760000000001E-2</v>
      </c>
      <c r="W3702">
        <v>4.3628709999999999E-3</v>
      </c>
      <c r="X3702">
        <v>0.99974750000000001</v>
      </c>
      <c r="Y3702">
        <v>-5.4458039999999999E-2</v>
      </c>
      <c r="Z3702">
        <v>-2.3228459999999999E-3</v>
      </c>
      <c r="AA3702">
        <v>0.99851329999999905</v>
      </c>
      <c r="AB3702">
        <v>27</v>
      </c>
      <c r="AC3702">
        <v>-20.898299999999999</v>
      </c>
      <c r="AD3702">
        <v>-1.103998348468</v>
      </c>
      <c r="AE3702">
        <v>-0.79300000000000603</v>
      </c>
      <c r="AF3702">
        <v>-1.1519554613377201</v>
      </c>
      <c r="AG3702">
        <v>-1.103998348468</v>
      </c>
      <c r="AH3702">
        <v>20.823383909903299</v>
      </c>
      <c r="AI3702">
        <v>93.030198271366004</v>
      </c>
      <c r="AJ3702">
        <v>93.166391216704</v>
      </c>
      <c r="AK3702">
        <v>20.884423171290798</v>
      </c>
    </row>
    <row r="3703" spans="1:37" x14ac:dyDescent="0.2">
      <c r="A3703" t="str">
        <f>"20200111160233872"</f>
        <v>20200111160233872</v>
      </c>
      <c r="B3703" t="str">
        <f>"1578729753866272"</f>
        <v>1578729753866272</v>
      </c>
      <c r="C3703" t="s">
        <v>37</v>
      </c>
      <c r="D3703">
        <v>6.0145349999999898</v>
      </c>
      <c r="E3703">
        <v>0.47445299999999901</v>
      </c>
      <c r="F3703" t="s">
        <v>77</v>
      </c>
      <c r="G3703">
        <v>-293.459</v>
      </c>
      <c r="H3703" s="1">
        <v>-7.3707069999999902E-6</v>
      </c>
      <c r="I3703">
        <v>136.0401</v>
      </c>
      <c r="J3703">
        <v>-272.87459999999999</v>
      </c>
      <c r="K3703">
        <v>1.1039909999999999</v>
      </c>
      <c r="L3703">
        <v>136.78460000000001</v>
      </c>
      <c r="M3703">
        <v>-0.9997857</v>
      </c>
      <c r="N3703">
        <v>0</v>
      </c>
      <c r="O3703">
        <v>1.733413E-2</v>
      </c>
      <c r="P3703">
        <v>-0.99920169999999997</v>
      </c>
      <c r="Q3703">
        <v>-6.9525949999999998E-3</v>
      </c>
      <c r="R3703">
        <v>3.9345409999999997E-2</v>
      </c>
      <c r="S3703">
        <v>-3.005493</v>
      </c>
      <c r="T3703">
        <v>-0.15908539999999999</v>
      </c>
      <c r="U3703">
        <v>-0.1065979</v>
      </c>
      <c r="V3703">
        <v>2.2018369999999999E-2</v>
      </c>
      <c r="W3703">
        <v>4.3685929999999996E-3</v>
      </c>
      <c r="X3703">
        <v>0.99974810000000003</v>
      </c>
      <c r="Y3703">
        <v>-5.2666530000000003E-2</v>
      </c>
      <c r="Z3703">
        <v>-2.3091359999999998E-3</v>
      </c>
      <c r="AA3703">
        <v>0.99860949999999904</v>
      </c>
      <c r="AB3703">
        <v>27</v>
      </c>
      <c r="AC3703">
        <v>-20.584399999999999</v>
      </c>
      <c r="AD3703">
        <v>-1.103998370707</v>
      </c>
      <c r="AE3703">
        <v>-0.74450000000001604</v>
      </c>
      <c r="AF3703">
        <v>-1.0980692039692099</v>
      </c>
      <c r="AG3703">
        <v>-1.103998370707</v>
      </c>
      <c r="AH3703">
        <v>20.509482846842801</v>
      </c>
      <c r="AI3703">
        <v>93.076784348088097</v>
      </c>
      <c r="AJ3703">
        <v>93.064666227478099</v>
      </c>
      <c r="AK3703">
        <v>20.568506387780602</v>
      </c>
    </row>
    <row r="3704" spans="1:37" x14ac:dyDescent="0.2">
      <c r="A3704" t="str">
        <f>"20200111160234230"</f>
        <v>20200111160234230</v>
      </c>
      <c r="B3704" t="str">
        <f>"1578729754226348"</f>
        <v>1578729754226348</v>
      </c>
      <c r="C3704" t="s">
        <v>37</v>
      </c>
      <c r="D3704">
        <v>5.1712480000000003</v>
      </c>
      <c r="E3704">
        <v>0.47934159999999998</v>
      </c>
      <c r="F3704" t="s">
        <v>77</v>
      </c>
      <c r="G3704">
        <v>-296.45310000000001</v>
      </c>
      <c r="H3704" s="1">
        <v>-7.1105430000000001E-6</v>
      </c>
      <c r="I3704">
        <v>136.04230000000001</v>
      </c>
      <c r="J3704">
        <v>-277.17759999999998</v>
      </c>
      <c r="K3704">
        <v>1.104088</v>
      </c>
      <c r="L3704">
        <v>136.85919999999999</v>
      </c>
      <c r="M3704">
        <v>-0.99978020000000001</v>
      </c>
      <c r="N3704">
        <v>0</v>
      </c>
      <c r="O3704">
        <v>1.7330479999999999E-2</v>
      </c>
      <c r="P3704">
        <v>-0.99922339999999998</v>
      </c>
      <c r="Q3704">
        <v>-7.6143740000000001E-3</v>
      </c>
      <c r="R3704">
        <v>3.8663610000000001E-2</v>
      </c>
      <c r="S3704">
        <v>-3.005188</v>
      </c>
      <c r="T3704">
        <v>-0.14070969999999999</v>
      </c>
      <c r="U3704">
        <v>-9.4604489999999999E-2</v>
      </c>
      <c r="V3704">
        <v>2.1339799999999999E-2</v>
      </c>
      <c r="W3704">
        <v>4.1873969999999998E-3</v>
      </c>
      <c r="X3704">
        <v>0.99976350000000003</v>
      </c>
      <c r="Y3704">
        <v>-4.871089E-2</v>
      </c>
      <c r="Z3704">
        <v>-1.9503599999999999E-3</v>
      </c>
      <c r="AA3704">
        <v>0.998811</v>
      </c>
      <c r="AB3704">
        <v>27</v>
      </c>
      <c r="AC3704">
        <v>-19.275500000000001</v>
      </c>
      <c r="AD3704">
        <v>-1.1040951105429999</v>
      </c>
      <c r="AE3704">
        <v>-0.81689999999997498</v>
      </c>
      <c r="AF3704">
        <v>-1.14709737902949</v>
      </c>
      <c r="AG3704">
        <v>-1.1040951105429999</v>
      </c>
      <c r="AH3704">
        <v>19.195579350022999</v>
      </c>
      <c r="AI3704">
        <v>93.286073562192001</v>
      </c>
      <c r="AJ3704">
        <v>93.419837961014295</v>
      </c>
      <c r="AK3704">
        <v>19.261493321991701</v>
      </c>
    </row>
    <row r="3705" spans="1:37" x14ac:dyDescent="0.2">
      <c r="A3705" t="str">
        <f>"20200111160234252"</f>
        <v>20200111160234252</v>
      </c>
      <c r="B3705" t="str">
        <f>"1578729754245867"</f>
        <v>1578729754245867</v>
      </c>
      <c r="C3705" t="s">
        <v>37</v>
      </c>
      <c r="D3705">
        <v>5.0103919999999897</v>
      </c>
      <c r="E3705">
        <v>0.48173840000000001</v>
      </c>
      <c r="F3705" t="s">
        <v>77</v>
      </c>
      <c r="G3705">
        <v>-297.91269999999997</v>
      </c>
      <c r="H3705" s="1">
        <v>-7.157183E-6</v>
      </c>
      <c r="I3705">
        <v>136.453</v>
      </c>
      <c r="J3705">
        <v>-277.44779999999997</v>
      </c>
      <c r="K3705">
        <v>1.1041430000000001</v>
      </c>
      <c r="L3705">
        <v>136.8639</v>
      </c>
      <c r="M3705">
        <v>-0.99977729999999998</v>
      </c>
      <c r="N3705">
        <v>0</v>
      </c>
      <c r="O3705">
        <v>1.733026E-2</v>
      </c>
      <c r="P3705">
        <v>-0.99919880000000005</v>
      </c>
      <c r="Q3705">
        <v>-7.5825529999999997E-3</v>
      </c>
      <c r="R3705">
        <v>3.9301269999999999E-2</v>
      </c>
      <c r="S3705">
        <v>-3.003387</v>
      </c>
      <c r="T3705">
        <v>-0.15992319999999999</v>
      </c>
      <c r="U3705">
        <v>-5.8837889999999997E-2</v>
      </c>
      <c r="V3705">
        <v>2.197781E-2</v>
      </c>
      <c r="W3705">
        <v>4.4706360000000001E-3</v>
      </c>
      <c r="X3705">
        <v>0.99974850000000004</v>
      </c>
      <c r="Y3705">
        <v>-3.6835300000000001E-2</v>
      </c>
      <c r="Z3705">
        <v>-1.90203299999999E-3</v>
      </c>
      <c r="AA3705">
        <v>0.99931959999999997</v>
      </c>
      <c r="AB3705">
        <v>27</v>
      </c>
      <c r="AC3705">
        <v>-20.4649</v>
      </c>
      <c r="AD3705">
        <v>-1.1041501571829999</v>
      </c>
      <c r="AE3705">
        <v>-0.41089999999999799</v>
      </c>
      <c r="AF3705">
        <v>-0.76330497898596295</v>
      </c>
      <c r="AG3705">
        <v>-1.1041501571829999</v>
      </c>
      <c r="AH3705">
        <v>20.395358355475899</v>
      </c>
      <c r="AI3705">
        <v>93.096651549822795</v>
      </c>
      <c r="AJ3705">
        <v>92.1433186526111</v>
      </c>
      <c r="AK3705">
        <v>20.439482001969498</v>
      </c>
    </row>
    <row r="3706" spans="1:37" x14ac:dyDescent="0.2">
      <c r="A3706" t="str">
        <f>"20200111160234274"</f>
        <v>20200111160234274</v>
      </c>
      <c r="B3706" t="str">
        <f>"1578729754266363"</f>
        <v>1578729754266363</v>
      </c>
      <c r="C3706" t="s">
        <v>37</v>
      </c>
      <c r="D3706">
        <v>5.1130329999999997</v>
      </c>
      <c r="E3706">
        <v>0.48326920000000001</v>
      </c>
      <c r="F3706" t="s">
        <v>77</v>
      </c>
      <c r="G3706">
        <v>-297.12709999999998</v>
      </c>
      <c r="H3706" s="1">
        <v>-7.2532789999999997E-6</v>
      </c>
      <c r="I3706">
        <v>136.61089999999999</v>
      </c>
      <c r="J3706">
        <v>-277.72370000000001</v>
      </c>
      <c r="K3706">
        <v>1.1041989999999999</v>
      </c>
      <c r="L3706">
        <v>136.86869999999999</v>
      </c>
      <c r="M3706">
        <v>-0.99977359999999904</v>
      </c>
      <c r="N3706">
        <v>0</v>
      </c>
      <c r="O3706">
        <v>1.733028E-2</v>
      </c>
      <c r="P3706">
        <v>-0.99917789999999995</v>
      </c>
      <c r="Q3706">
        <v>-7.0483799999999999E-3</v>
      </c>
      <c r="R3706">
        <v>3.9930609999999998E-2</v>
      </c>
      <c r="S3706">
        <v>-3.0026250000000001</v>
      </c>
      <c r="T3706">
        <v>-0.16846849999999999</v>
      </c>
      <c r="U3706">
        <v>-3.8604739999999999E-2</v>
      </c>
      <c r="V3706">
        <v>2.260767E-2</v>
      </c>
      <c r="W3706">
        <v>5.3007979999999998E-3</v>
      </c>
      <c r="X3706">
        <v>0.99973029999999996</v>
      </c>
      <c r="Y3706">
        <v>-3.0109569999999999E-2</v>
      </c>
      <c r="Z3706">
        <v>-1.8155929999999999E-3</v>
      </c>
      <c r="AA3706">
        <v>0.99954500000000002</v>
      </c>
      <c r="AB3706">
        <v>27</v>
      </c>
      <c r="AC3706">
        <v>-19.403399999999898</v>
      </c>
      <c r="AD3706">
        <v>-1.104206253279</v>
      </c>
      <c r="AE3706">
        <v>-0.25780000000000303</v>
      </c>
      <c r="AF3706">
        <v>-0.59213596310065097</v>
      </c>
      <c r="AG3706">
        <v>-1.104206253279</v>
      </c>
      <c r="AH3706">
        <v>19.333417114907899</v>
      </c>
      <c r="AI3706">
        <v>93.267303665382599</v>
      </c>
      <c r="AJ3706">
        <v>91.7542832176931</v>
      </c>
      <c r="AK3706">
        <v>19.3739751674144</v>
      </c>
    </row>
    <row r="3707" spans="1:37" x14ac:dyDescent="0.2">
      <c r="A3707" t="str">
        <f>"20200111160234297"</f>
        <v>20200111160234297</v>
      </c>
      <c r="B3707" t="str">
        <f>"1578729754285883"</f>
        <v>1578729754285883</v>
      </c>
      <c r="C3707" t="s">
        <v>37</v>
      </c>
      <c r="D3707">
        <v>5.2064719999999998</v>
      </c>
      <c r="E3707">
        <v>0.48456759999999899</v>
      </c>
      <c r="F3707" t="s">
        <v>77</v>
      </c>
      <c r="G3707">
        <v>-296.75580000000002</v>
      </c>
      <c r="H3707" s="1">
        <v>-7.3152340000000004E-6</v>
      </c>
      <c r="I3707">
        <v>136.70959999999999</v>
      </c>
      <c r="J3707">
        <v>-277.99299999999999</v>
      </c>
      <c r="K3707">
        <v>1.1042430000000001</v>
      </c>
      <c r="L3707">
        <v>136.8733</v>
      </c>
      <c r="M3707">
        <v>-0.99976989999999999</v>
      </c>
      <c r="N3707">
        <v>0</v>
      </c>
      <c r="O3707">
        <v>1.7330439999999999E-2</v>
      </c>
      <c r="P3707">
        <v>-0.99915689999999902</v>
      </c>
      <c r="Q3707">
        <v>-6.8688019999999898E-3</v>
      </c>
      <c r="R3707">
        <v>4.0479429999999997E-2</v>
      </c>
      <c r="S3707">
        <v>-3.0022579999999999</v>
      </c>
      <c r="T3707">
        <v>-0.17418529999999999</v>
      </c>
      <c r="U3707">
        <v>-2.5085449999999999E-2</v>
      </c>
      <c r="V3707">
        <v>2.315642E-2</v>
      </c>
      <c r="W3707">
        <v>5.774291E-3</v>
      </c>
      <c r="X3707">
        <v>0.99971509999999997</v>
      </c>
      <c r="Y3707">
        <v>-2.5612989999999999E-2</v>
      </c>
      <c r="Z3707">
        <v>-1.7470489999999899E-3</v>
      </c>
      <c r="AA3707">
        <v>0.99967039999999996</v>
      </c>
      <c r="AB3707">
        <v>27</v>
      </c>
      <c r="AC3707">
        <v>-18.762799999999999</v>
      </c>
      <c r="AD3707">
        <v>-1.104250315234</v>
      </c>
      <c r="AE3707">
        <v>-0.16370000000000501</v>
      </c>
      <c r="AF3707">
        <v>-0.48718165446633999</v>
      </c>
      <c r="AG3707">
        <v>-1.104250315234</v>
      </c>
      <c r="AH3707">
        <v>18.6924045910872</v>
      </c>
      <c r="AI3707">
        <v>93.379663303925597</v>
      </c>
      <c r="AJ3707">
        <v>91.492966552637</v>
      </c>
      <c r="AK3707">
        <v>18.731329480846799</v>
      </c>
    </row>
    <row r="3708" spans="1:37" x14ac:dyDescent="0.2">
      <c r="A3708" t="str">
        <f>"20200111160234319"</f>
        <v>20200111160234319</v>
      </c>
      <c r="B3708" t="str">
        <f>"1578729754316140"</f>
        <v>1578729754316140</v>
      </c>
      <c r="C3708" t="s">
        <v>37</v>
      </c>
      <c r="D3708">
        <v>5.0026479999999998</v>
      </c>
      <c r="E3708">
        <v>0.4862184</v>
      </c>
      <c r="F3708" t="s">
        <v>77</v>
      </c>
      <c r="G3708">
        <v>-296.5591</v>
      </c>
      <c r="H3708" s="1">
        <v>-7.3605119999999903E-6</v>
      </c>
      <c r="I3708">
        <v>136.78970000000001</v>
      </c>
      <c r="J3708">
        <v>-278.24829999999997</v>
      </c>
      <c r="K3708">
        <v>1.104285</v>
      </c>
      <c r="L3708">
        <v>136.87780000000001</v>
      </c>
      <c r="M3708">
        <v>-0.9997665</v>
      </c>
      <c r="N3708">
        <v>0</v>
      </c>
      <c r="O3708">
        <v>1.7330390000000001E-2</v>
      </c>
      <c r="P3708">
        <v>-0.99914969999999903</v>
      </c>
      <c r="Q3708">
        <v>-7.1635919999999999E-3</v>
      </c>
      <c r="R3708">
        <v>4.0602649999999997E-2</v>
      </c>
      <c r="S3708">
        <v>-3.001862</v>
      </c>
      <c r="T3708">
        <v>-0.1785407</v>
      </c>
      <c r="U3708">
        <v>-1.351929E-2</v>
      </c>
      <c r="V3708">
        <v>2.3279640000000001E-2</v>
      </c>
      <c r="W3708">
        <v>5.7456819999999898E-3</v>
      </c>
      <c r="X3708">
        <v>0.9997125</v>
      </c>
      <c r="Y3708">
        <v>-2.176548E-2</v>
      </c>
      <c r="Z3708">
        <v>-1.6765899999999999E-3</v>
      </c>
      <c r="AA3708">
        <v>0.99976169999999998</v>
      </c>
      <c r="AB3708">
        <v>27</v>
      </c>
      <c r="AC3708">
        <v>-18.3108</v>
      </c>
      <c r="AD3708">
        <v>-1.1042923605120001</v>
      </c>
      <c r="AE3708">
        <v>-8.8099999999997097E-2</v>
      </c>
      <c r="AF3708">
        <v>-0.40397724386446798</v>
      </c>
      <c r="AG3708">
        <v>-1.1042923605120001</v>
      </c>
      <c r="AH3708">
        <v>18.2401830780436</v>
      </c>
      <c r="AI3708">
        <v>93.463709907477295</v>
      </c>
      <c r="AJ3708">
        <v>91.268759615075098</v>
      </c>
      <c r="AK3708">
        <v>18.278045244270299</v>
      </c>
    </row>
    <row r="3709" spans="1:37" x14ac:dyDescent="0.2">
      <c r="A3709" t="str">
        <f>"20200111160234341"</f>
        <v>20200111160234341</v>
      </c>
      <c r="B3709" t="str">
        <f>"1578729754336168"</f>
        <v>1578729754336168</v>
      </c>
      <c r="C3709" t="s">
        <v>37</v>
      </c>
      <c r="D3709">
        <v>5.0600230000000002</v>
      </c>
      <c r="E3709">
        <v>0.4870678</v>
      </c>
      <c r="F3709" t="s">
        <v>77</v>
      </c>
      <c r="G3709">
        <v>-295.79050000000001</v>
      </c>
      <c r="H3709" s="1">
        <v>-7.4572569999999996E-6</v>
      </c>
      <c r="I3709">
        <v>136.8733</v>
      </c>
      <c r="J3709">
        <v>-278.51400000000001</v>
      </c>
      <c r="K3709">
        <v>1.104314</v>
      </c>
      <c r="L3709">
        <v>136.88239999999999</v>
      </c>
      <c r="M3709">
        <v>-0.99976330000000002</v>
      </c>
      <c r="N3709">
        <v>0</v>
      </c>
      <c r="O3709">
        <v>1.7330180000000001E-2</v>
      </c>
      <c r="P3709">
        <v>-0.99913479999999999</v>
      </c>
      <c r="Q3709">
        <v>-7.0863849999999997E-3</v>
      </c>
      <c r="R3709">
        <v>4.0985290000000001E-2</v>
      </c>
      <c r="S3709">
        <v>-3.0012509999999999</v>
      </c>
      <c r="T3709">
        <v>-0.18893119999999999</v>
      </c>
      <c r="U3709">
        <v>-7.6293949999999998E-4</v>
      </c>
      <c r="V3709">
        <v>2.366275E-2</v>
      </c>
      <c r="W3709">
        <v>6.0789850000000003E-3</v>
      </c>
      <c r="X3709">
        <v>0.99970149999999902</v>
      </c>
      <c r="Y3709">
        <v>-1.751687E-2</v>
      </c>
      <c r="Z3709">
        <v>-1.64073E-3</v>
      </c>
      <c r="AA3709">
        <v>0.99984519999999899</v>
      </c>
      <c r="AB3709">
        <v>27</v>
      </c>
      <c r="AC3709">
        <v>-17.276499999999999</v>
      </c>
      <c r="AD3709">
        <v>-1.1043214572569999</v>
      </c>
      <c r="AE3709">
        <v>-9.0999999999894499E-3</v>
      </c>
      <c r="AF3709">
        <v>-0.30727392475196402</v>
      </c>
      <c r="AG3709">
        <v>-1.1043214572569999</v>
      </c>
      <c r="AH3709">
        <v>17.2034570161631</v>
      </c>
      <c r="AI3709">
        <v>93.672297763207496</v>
      </c>
      <c r="AJ3709">
        <v>91.023261034502298</v>
      </c>
      <c r="AK3709">
        <v>17.241603070850601</v>
      </c>
    </row>
    <row r="3710" spans="1:37" x14ac:dyDescent="0.2">
      <c r="A3710" t="str">
        <f>"20200111160234364"</f>
        <v>20200111160234364</v>
      </c>
      <c r="B3710" t="str">
        <f>"1578729754355688"</f>
        <v>1578729754355688</v>
      </c>
      <c r="C3710" t="s">
        <v>37</v>
      </c>
      <c r="D3710">
        <v>4.9971769999999998</v>
      </c>
      <c r="E3710">
        <v>0.48804759999999903</v>
      </c>
      <c r="F3710" t="s">
        <v>77</v>
      </c>
      <c r="G3710">
        <v>-295.61739999999998</v>
      </c>
      <c r="H3710" s="1">
        <v>-7.4892269999999999E-6</v>
      </c>
      <c r="I3710">
        <v>136.9213</v>
      </c>
      <c r="J3710">
        <v>-278.78710000000001</v>
      </c>
      <c r="K3710">
        <v>1.1043350000000001</v>
      </c>
      <c r="L3710">
        <v>136.8871</v>
      </c>
      <c r="M3710">
        <v>-0.99976010000000004</v>
      </c>
      <c r="N3710">
        <v>0</v>
      </c>
      <c r="O3710">
        <v>1.733005E-2</v>
      </c>
      <c r="P3710">
        <v>-0.99915560000000003</v>
      </c>
      <c r="Q3710">
        <v>-7.2860829999999996E-3</v>
      </c>
      <c r="R3710">
        <v>4.044354E-2</v>
      </c>
      <c r="S3710">
        <v>-3.0009160000000001</v>
      </c>
      <c r="T3710">
        <v>-0.193761299999999</v>
      </c>
      <c r="U3710">
        <v>6.8206789999999996E-3</v>
      </c>
      <c r="V3710">
        <v>2.312086E-2</v>
      </c>
      <c r="W3710">
        <v>6.1190380000000003E-3</v>
      </c>
      <c r="X3710">
        <v>0.99971399999999999</v>
      </c>
      <c r="Y3710">
        <v>-1.499174E-2</v>
      </c>
      <c r="Z3710">
        <v>-1.60133E-3</v>
      </c>
      <c r="AA3710">
        <v>0.99988630000000001</v>
      </c>
      <c r="AB3710">
        <v>27</v>
      </c>
      <c r="AC3710">
        <v>-16.830299999999902</v>
      </c>
      <c r="AD3710">
        <v>-1.104342489227</v>
      </c>
      <c r="AE3710">
        <v>3.4199999999998398E-2</v>
      </c>
      <c r="AF3710">
        <v>-0.25639733071577397</v>
      </c>
      <c r="AG3710">
        <v>-1.104342489227</v>
      </c>
      <c r="AH3710">
        <v>16.7562211156453</v>
      </c>
      <c r="AI3710">
        <v>93.770266187386994</v>
      </c>
      <c r="AJ3710">
        <v>90.876649839291105</v>
      </c>
      <c r="AK3710">
        <v>16.7945305978199</v>
      </c>
    </row>
    <row r="3711" spans="1:37" x14ac:dyDescent="0.2">
      <c r="A3711" t="str">
        <f>"20200111160234385"</f>
        <v>20200111160234385</v>
      </c>
      <c r="B3711" t="str">
        <f>"1578729754376183"</f>
        <v>1578729754376183</v>
      </c>
      <c r="C3711" t="s">
        <v>37</v>
      </c>
      <c r="D3711">
        <v>4.8336550000000003</v>
      </c>
      <c r="E3711">
        <v>0.48894880000000002</v>
      </c>
      <c r="F3711" t="s">
        <v>77</v>
      </c>
      <c r="G3711">
        <v>-295.63580000000002</v>
      </c>
      <c r="H3711" s="1">
        <v>-7.5005989999999903E-6</v>
      </c>
      <c r="I3711">
        <v>136.95840000000001</v>
      </c>
      <c r="J3711">
        <v>-279.05329999999998</v>
      </c>
      <c r="K3711">
        <v>1.1043419999999999</v>
      </c>
      <c r="L3711">
        <v>136.89169999999999</v>
      </c>
      <c r="M3711">
        <v>-0.99975709999999995</v>
      </c>
      <c r="N3711">
        <v>0</v>
      </c>
      <c r="O3711">
        <v>1.732999E-2</v>
      </c>
      <c r="P3711">
        <v>-0.99916749999999899</v>
      </c>
      <c r="Q3711">
        <v>-7.2346069999999997E-3</v>
      </c>
      <c r="R3711">
        <v>4.015063E-2</v>
      </c>
      <c r="S3711">
        <v>-3.0005799999999998</v>
      </c>
      <c r="T3711">
        <v>-0.1966714</v>
      </c>
      <c r="U3711">
        <v>1.269531E-2</v>
      </c>
      <c r="V3711">
        <v>2.2827719999999999E-2</v>
      </c>
      <c r="W3711">
        <v>6.3798630000000004E-3</v>
      </c>
      <c r="X3711">
        <v>0.99971909999999897</v>
      </c>
      <c r="Y3711">
        <v>-1.3036010000000001E-2</v>
      </c>
      <c r="Z3711">
        <v>-1.561474E-3</v>
      </c>
      <c r="AA3711">
        <v>0.99991379999999996</v>
      </c>
      <c r="AB3711">
        <v>27</v>
      </c>
      <c r="AC3711">
        <v>-16.5825</v>
      </c>
      <c r="AD3711">
        <v>-1.1043495005989901</v>
      </c>
      <c r="AE3711">
        <v>6.6700000000025697E-2</v>
      </c>
      <c r="AF3711">
        <v>-0.219736662896825</v>
      </c>
      <c r="AG3711">
        <v>-1.1043495005989901</v>
      </c>
      <c r="AH3711">
        <v>16.5079504163952</v>
      </c>
      <c r="AI3711">
        <v>93.826934587922295</v>
      </c>
      <c r="AJ3711">
        <v>90.762616774246794</v>
      </c>
      <c r="AK3711">
        <v>16.546307714129401</v>
      </c>
    </row>
    <row r="3712" spans="1:37" x14ac:dyDescent="0.2">
      <c r="A3712" t="str">
        <f>"20200111160234408"</f>
        <v>20200111160234408</v>
      </c>
      <c r="B3712" t="str">
        <f>"1578729754395703"</f>
        <v>1578729754395703</v>
      </c>
      <c r="C3712" t="s">
        <v>37</v>
      </c>
      <c r="D3712">
        <v>5.0540959999999897</v>
      </c>
      <c r="E3712">
        <v>0.48956129999999998</v>
      </c>
      <c r="F3712" t="s">
        <v>77</v>
      </c>
      <c r="G3712">
        <v>-295.74419999999998</v>
      </c>
      <c r="H3712" s="1">
        <v>-7.5045650000000002E-6</v>
      </c>
      <c r="I3712">
        <v>136.99700000000001</v>
      </c>
      <c r="J3712">
        <v>-279.31020000000001</v>
      </c>
      <c r="K3712">
        <v>1.1043510000000001</v>
      </c>
      <c r="L3712">
        <v>136.89619999999999</v>
      </c>
      <c r="M3712">
        <v>-0.999754699999999</v>
      </c>
      <c r="N3712">
        <v>0</v>
      </c>
      <c r="O3712">
        <v>1.7329879999999999E-2</v>
      </c>
      <c r="P3712">
        <v>-0.99919210000000003</v>
      </c>
      <c r="Q3712">
        <v>-7.4975450000000004E-3</v>
      </c>
      <c r="R3712">
        <v>3.9487580000000001E-2</v>
      </c>
      <c r="S3712">
        <v>-3.0003359999999999</v>
      </c>
      <c r="T3712">
        <v>-0.19851569999999999</v>
      </c>
      <c r="U3712">
        <v>1.8920900000000001E-2</v>
      </c>
      <c r="V3712">
        <v>2.2164380000000001E-2</v>
      </c>
      <c r="W3712">
        <v>6.2959419999999997E-3</v>
      </c>
      <c r="X3712">
        <v>0.99973449999999997</v>
      </c>
      <c r="Y3712">
        <v>-1.0964140000000001E-2</v>
      </c>
      <c r="Z3712">
        <v>-1.5077279999999901E-3</v>
      </c>
      <c r="AA3712">
        <v>0.99993869999999896</v>
      </c>
      <c r="AB3712">
        <v>27</v>
      </c>
      <c r="AC3712">
        <v>-16.433999999999902</v>
      </c>
      <c r="AD3712">
        <v>-1.104358504565</v>
      </c>
      <c r="AE3712">
        <v>0.10080000000002</v>
      </c>
      <c r="AF3712">
        <v>-0.18321415348040301</v>
      </c>
      <c r="AG3712">
        <v>-1.104358504565</v>
      </c>
      <c r="AH3712">
        <v>16.359405757358701</v>
      </c>
      <c r="AI3712">
        <v>93.861709790583603</v>
      </c>
      <c r="AJ3712">
        <v>90.641646710927603</v>
      </c>
      <c r="AK3712">
        <v>16.3976623903086</v>
      </c>
    </row>
    <row r="3713" spans="1:37" x14ac:dyDescent="0.2">
      <c r="A3713" t="str">
        <f>"20200111160234430"</f>
        <v>20200111160234430</v>
      </c>
      <c r="B3713" t="str">
        <f>"1578729754425961"</f>
        <v>1578729754425961</v>
      </c>
      <c r="C3713" t="s">
        <v>37</v>
      </c>
      <c r="D3713">
        <v>5.9423449999999898</v>
      </c>
      <c r="E3713">
        <v>0.49028699999999997</v>
      </c>
      <c r="F3713" t="s">
        <v>77</v>
      </c>
      <c r="G3713">
        <v>-295.81490000000002</v>
      </c>
      <c r="H3713" s="1">
        <v>-7.5048519999999901E-6</v>
      </c>
      <c r="I3713">
        <v>137.0155</v>
      </c>
      <c r="J3713">
        <v>-279.56979999999999</v>
      </c>
      <c r="K3713">
        <v>1.104355</v>
      </c>
      <c r="L3713">
        <v>136.9007</v>
      </c>
      <c r="M3713">
        <v>-0.99975249999999904</v>
      </c>
      <c r="N3713">
        <v>0</v>
      </c>
      <c r="O3713">
        <v>1.7329779999999999E-2</v>
      </c>
      <c r="P3713">
        <v>-0.99922789999999995</v>
      </c>
      <c r="Q3713">
        <v>-8.0081000000000006E-3</v>
      </c>
      <c r="R3713">
        <v>3.8472590000000001E-2</v>
      </c>
      <c r="S3713">
        <v>-3.0000610000000001</v>
      </c>
      <c r="T3713">
        <v>-0.20073959999999999</v>
      </c>
      <c r="U3713">
        <v>2.1697999999999999E-2</v>
      </c>
      <c r="V3713">
        <v>2.1149069999999999E-2</v>
      </c>
      <c r="W3713">
        <v>5.9440419999999897E-3</v>
      </c>
      <c r="X3713">
        <v>0.9997587</v>
      </c>
      <c r="Y3713">
        <v>-1.003857E-2</v>
      </c>
      <c r="Z3713">
        <v>-1.4937779999999901E-3</v>
      </c>
      <c r="AA3713">
        <v>0.99994850000000002</v>
      </c>
      <c r="AB3713">
        <v>27</v>
      </c>
      <c r="AC3713">
        <v>-16.245100000000001</v>
      </c>
      <c r="AD3713">
        <v>-1.104362504852</v>
      </c>
      <c r="AE3713">
        <v>0.114800000000002</v>
      </c>
      <c r="AF3713">
        <v>-0.166001521018496</v>
      </c>
      <c r="AG3713">
        <v>-1.104362504852</v>
      </c>
      <c r="AH3713">
        <v>16.1699248060388</v>
      </c>
      <c r="AI3713">
        <v>93.906875516799204</v>
      </c>
      <c r="AJ3713">
        <v>90.588181611703405</v>
      </c>
      <c r="AK3713">
        <v>16.208443518119001</v>
      </c>
    </row>
    <row r="3714" spans="1:37" x14ac:dyDescent="0.2">
      <c r="A3714" t="str">
        <f>"20200111160234454"</f>
        <v>20200111160234454</v>
      </c>
      <c r="B3714" t="str">
        <f>"1578729754446457"</f>
        <v>1578729754446457</v>
      </c>
      <c r="C3714" t="s">
        <v>37</v>
      </c>
      <c r="D3714">
        <v>5.0105269999999997</v>
      </c>
      <c r="E3714">
        <v>0.49090040000000001</v>
      </c>
      <c r="F3714" t="s">
        <v>77</v>
      </c>
      <c r="G3714">
        <v>-296.22340000000003</v>
      </c>
      <c r="H3714" s="1">
        <v>-7.4770219999999898E-6</v>
      </c>
      <c r="I3714">
        <v>137.0386</v>
      </c>
      <c r="J3714">
        <v>-279.85309999999998</v>
      </c>
      <c r="K3714">
        <v>1.1043559999999999</v>
      </c>
      <c r="L3714">
        <v>136.90559999999999</v>
      </c>
      <c r="M3714">
        <v>-0.99975040000000004</v>
      </c>
      <c r="N3714">
        <v>0</v>
      </c>
      <c r="O3714">
        <v>1.7330089999999999E-2</v>
      </c>
      <c r="P3714">
        <v>-0.99927559999999904</v>
      </c>
      <c r="Q3714">
        <v>-8.7912679999999997E-3</v>
      </c>
      <c r="R3714">
        <v>3.7030210000000001E-2</v>
      </c>
      <c r="S3714">
        <v>-2.9997560000000001</v>
      </c>
      <c r="T3714">
        <v>-0.19892489999999999</v>
      </c>
      <c r="U3714">
        <v>2.4841309999999998E-2</v>
      </c>
      <c r="V3714">
        <v>1.9705629999999998E-2</v>
      </c>
      <c r="W3714">
        <v>5.3103359999999997E-3</v>
      </c>
      <c r="X3714">
        <v>0.99979169999999995</v>
      </c>
      <c r="Y3714">
        <v>-8.9938229999999997E-3</v>
      </c>
      <c r="Z3714">
        <v>-1.445867E-3</v>
      </c>
      <c r="AA3714">
        <v>0.99995849999999897</v>
      </c>
      <c r="AB3714">
        <v>26</v>
      </c>
      <c r="AC3714">
        <v>-16.3703</v>
      </c>
      <c r="AD3714">
        <v>-1.1043634770219899</v>
      </c>
      <c r="AE3714">
        <v>0.133000000000009</v>
      </c>
      <c r="AF3714">
        <v>-0.15006405189817801</v>
      </c>
      <c r="AG3714">
        <v>-1.1043634770219899</v>
      </c>
      <c r="AH3714">
        <v>16.2959873754344</v>
      </c>
      <c r="AI3714">
        <v>93.876788401994901</v>
      </c>
      <c r="AJ3714">
        <v>90.527601894196906</v>
      </c>
      <c r="AK3714">
        <v>16.334054684902</v>
      </c>
    </row>
    <row r="3715" spans="1:37" x14ac:dyDescent="0.2">
      <c r="A3715" t="str">
        <f>"20200111160234478"</f>
        <v>20200111160234478</v>
      </c>
      <c r="B3715" t="str">
        <f>"1578729754465976"</f>
        <v>1578729754465976</v>
      </c>
      <c r="C3715" t="s">
        <v>37</v>
      </c>
      <c r="D3715">
        <v>5.6029330000000002</v>
      </c>
      <c r="E3715">
        <v>0.49100519999999998</v>
      </c>
      <c r="F3715" t="s">
        <v>77</v>
      </c>
      <c r="G3715">
        <v>-296.1703</v>
      </c>
      <c r="H3715" s="1">
        <v>-7.4832809999999997E-6</v>
      </c>
      <c r="I3715">
        <v>137.04310000000001</v>
      </c>
      <c r="J3715">
        <v>-280.13240000000002</v>
      </c>
      <c r="K3715">
        <v>1.1043670000000001</v>
      </c>
      <c r="L3715">
        <v>136.91040000000001</v>
      </c>
      <c r="M3715">
        <v>-0.99974859999999899</v>
      </c>
      <c r="N3715">
        <v>0</v>
      </c>
      <c r="O3715">
        <v>1.733001E-2</v>
      </c>
      <c r="P3715">
        <v>-0.99932449999999995</v>
      </c>
      <c r="Q3715">
        <v>-9.0856959999999903E-3</v>
      </c>
      <c r="R3715">
        <v>3.5611860000000002E-2</v>
      </c>
      <c r="S3715">
        <v>-2.9994509999999899</v>
      </c>
      <c r="T3715">
        <v>-0.20300609999999999</v>
      </c>
      <c r="U3715">
        <v>2.528381E-2</v>
      </c>
      <c r="V3715">
        <v>1.828668E-2</v>
      </c>
      <c r="W3715">
        <v>5.143445E-3</v>
      </c>
      <c r="X3715">
        <v>0.99981960000000003</v>
      </c>
      <c r="Y3715">
        <v>-8.8433560000000001E-3</v>
      </c>
      <c r="Z3715">
        <v>-1.4705229999999901E-3</v>
      </c>
      <c r="AA3715">
        <v>0.99995979999999995</v>
      </c>
      <c r="AB3715">
        <v>26</v>
      </c>
      <c r="AC3715">
        <v>-16.037899999999901</v>
      </c>
      <c r="AD3715">
        <v>-1.1043744832810001</v>
      </c>
      <c r="AE3715">
        <v>0.13269999999999901</v>
      </c>
      <c r="AF3715">
        <v>-0.14459942636971301</v>
      </c>
      <c r="AG3715">
        <v>-1.1043744832810001</v>
      </c>
      <c r="AH3715">
        <v>15.9621079491437</v>
      </c>
      <c r="AI3715">
        <v>93.957668841731405</v>
      </c>
      <c r="AJ3715">
        <v>90.519023568621407</v>
      </c>
      <c r="AK3715">
        <v>16.000920041470899</v>
      </c>
    </row>
    <row r="3716" spans="1:37" x14ac:dyDescent="0.2">
      <c r="A3716" t="str">
        <f>"20200111160234498"</f>
        <v>20200111160234498</v>
      </c>
      <c r="B3716" t="str">
        <f>"1578729754486472"</f>
        <v>1578729754486472</v>
      </c>
      <c r="C3716" t="s">
        <v>37</v>
      </c>
      <c r="D3716">
        <v>5.0293549999999998</v>
      </c>
      <c r="E3716">
        <v>0.49004309999999901</v>
      </c>
      <c r="F3716" t="s">
        <v>77</v>
      </c>
      <c r="G3716">
        <v>-296.34129999999999</v>
      </c>
      <c r="H3716" s="1">
        <v>-7.4631419999999996E-6</v>
      </c>
      <c r="I3716">
        <v>137.02850000000001</v>
      </c>
      <c r="J3716">
        <v>-280.36829999999998</v>
      </c>
      <c r="K3716">
        <v>1.104376</v>
      </c>
      <c r="L3716">
        <v>136.9145</v>
      </c>
      <c r="M3716">
        <v>-0.99974730000000001</v>
      </c>
      <c r="N3716">
        <v>0</v>
      </c>
      <c r="O3716">
        <v>1.732999E-2</v>
      </c>
      <c r="P3716">
        <v>-0.99937069999999995</v>
      </c>
      <c r="Q3716">
        <v>-8.5310339999999998E-3</v>
      </c>
      <c r="R3716">
        <v>3.4432949999999997E-2</v>
      </c>
      <c r="S3716">
        <v>-2.9993590000000001</v>
      </c>
      <c r="T3716">
        <v>-0.20435680000000001</v>
      </c>
      <c r="U3716">
        <v>2.185059E-2</v>
      </c>
      <c r="V3716">
        <v>1.710716E-2</v>
      </c>
      <c r="W3716">
        <v>5.7919340000000003E-3</v>
      </c>
      <c r="X3716">
        <v>0.99983690000000003</v>
      </c>
      <c r="Y3716">
        <v>-9.9841819999999994E-3</v>
      </c>
      <c r="Z3716">
        <v>-1.5191579999999901E-3</v>
      </c>
      <c r="AA3716">
        <v>0.99994899999999998</v>
      </c>
      <c r="AB3716">
        <v>26</v>
      </c>
      <c r="AC3716">
        <v>-15.973000000000001</v>
      </c>
      <c r="AD3716">
        <v>-1.104383463142</v>
      </c>
      <c r="AE3716">
        <v>0.114000000000004</v>
      </c>
      <c r="AF3716">
        <v>-0.16208264742513201</v>
      </c>
      <c r="AG3716">
        <v>-1.104383463142</v>
      </c>
      <c r="AH3716">
        <v>15.89658794753</v>
      </c>
      <c r="AI3716">
        <v>93.973917615182401</v>
      </c>
      <c r="AJ3716">
        <v>90.584171261647001</v>
      </c>
      <c r="AK3716">
        <v>15.935728473835599</v>
      </c>
    </row>
    <row r="3717" spans="1:37" x14ac:dyDescent="0.2">
      <c r="A3717" t="str">
        <f>"20200111160234522"</f>
        <v>20200111160234522</v>
      </c>
      <c r="B3717" t="str">
        <f>"1578729754515751"</f>
        <v>1578729754515751</v>
      </c>
      <c r="C3717" t="s">
        <v>37</v>
      </c>
      <c r="D3717">
        <v>4.9268219999999996</v>
      </c>
      <c r="E3717">
        <v>0.48883589999999999</v>
      </c>
      <c r="F3717" t="s">
        <v>77</v>
      </c>
      <c r="G3717">
        <v>-296.54649999999998</v>
      </c>
      <c r="H3717" s="1">
        <v>-7.4249940000000003E-6</v>
      </c>
      <c r="I3717">
        <v>136.971</v>
      </c>
      <c r="J3717">
        <v>-280.64909999999998</v>
      </c>
      <c r="K3717">
        <v>1.1043799999999999</v>
      </c>
      <c r="L3717">
        <v>136.9194</v>
      </c>
      <c r="M3717">
        <v>-0.99974580000000002</v>
      </c>
      <c r="N3717">
        <v>0</v>
      </c>
      <c r="O3717">
        <v>1.7329939999999999E-2</v>
      </c>
      <c r="P3717">
        <v>-0.99940709999999999</v>
      </c>
      <c r="Q3717">
        <v>-8.2785189999999998E-3</v>
      </c>
      <c r="R3717">
        <v>3.3422239999999999E-2</v>
      </c>
      <c r="S3717">
        <v>-2.9997859999999998</v>
      </c>
      <c r="T3717">
        <v>-0.20477599999999899</v>
      </c>
      <c r="U3717">
        <v>1.0467529999999999E-2</v>
      </c>
      <c r="V3717">
        <v>1.6096059999999999E-2</v>
      </c>
      <c r="W3717">
        <v>6.1404959999999996E-3</v>
      </c>
      <c r="X3717">
        <v>0.99985159999999995</v>
      </c>
      <c r="Y3717">
        <v>-1.377038E-2</v>
      </c>
      <c r="Z3717">
        <v>-1.6511539999999999E-3</v>
      </c>
      <c r="AA3717">
        <v>0.99990380000000001</v>
      </c>
      <c r="AB3717">
        <v>26</v>
      </c>
      <c r="AC3717">
        <v>-15.897399999999999</v>
      </c>
      <c r="AD3717">
        <v>-1.104387424994</v>
      </c>
      <c r="AE3717">
        <v>5.1600000000007598E-2</v>
      </c>
      <c r="AF3717">
        <v>-0.222861868108466</v>
      </c>
      <c r="AG3717">
        <v>-1.104387424994</v>
      </c>
      <c r="AH3717">
        <v>15.819561439930199</v>
      </c>
      <c r="AI3717">
        <v>93.993030674731401</v>
      </c>
      <c r="AJ3717">
        <v>90.807114651845296</v>
      </c>
      <c r="AK3717">
        <v>15.8596299814487</v>
      </c>
    </row>
    <row r="3718" spans="1:37" x14ac:dyDescent="0.2">
      <c r="A3718" t="str">
        <f>"20200111160234543"</f>
        <v>20200111160234543</v>
      </c>
      <c r="B3718" t="str">
        <f>"1578729754535779"</f>
        <v>1578729754535779</v>
      </c>
      <c r="C3718" t="s">
        <v>37</v>
      </c>
      <c r="D3718">
        <v>5.1284619999999999</v>
      </c>
      <c r="E3718">
        <v>0.48803449999999998</v>
      </c>
      <c r="F3718" t="s">
        <v>77</v>
      </c>
      <c r="G3718">
        <v>-296.5625</v>
      </c>
      <c r="H3718" s="1">
        <v>-7.401223E-6</v>
      </c>
      <c r="I3718">
        <v>136.90700000000001</v>
      </c>
      <c r="J3718">
        <v>-280.892</v>
      </c>
      <c r="K3718">
        <v>1.104384</v>
      </c>
      <c r="L3718">
        <v>136.92359999999999</v>
      </c>
      <c r="M3718">
        <v>-0.99974499999999999</v>
      </c>
      <c r="N3718">
        <v>0</v>
      </c>
      <c r="O3718">
        <v>1.732773E-2</v>
      </c>
      <c r="P3718">
        <v>-0.99940180000000001</v>
      </c>
      <c r="Q3718">
        <v>-8.8102519999999993E-3</v>
      </c>
      <c r="R3718">
        <v>3.3447280000000003E-2</v>
      </c>
      <c r="S3718">
        <v>-3.0001530000000001</v>
      </c>
      <c r="T3718">
        <v>-0.20821029999999999</v>
      </c>
      <c r="U3718">
        <v>-2.3345950000000001E-3</v>
      </c>
      <c r="V3718">
        <v>1.612326E-2</v>
      </c>
      <c r="W3718">
        <v>5.67988E-3</v>
      </c>
      <c r="X3718">
        <v>0.99985380000000001</v>
      </c>
      <c r="Y3718">
        <v>-1.802256E-2</v>
      </c>
      <c r="Z3718">
        <v>-1.8258110000000001E-3</v>
      </c>
      <c r="AA3718">
        <v>0.9998359</v>
      </c>
      <c r="AB3718">
        <v>26</v>
      </c>
      <c r="AC3718">
        <v>-15.670500000000001</v>
      </c>
      <c r="AD3718">
        <v>-1.1043914012230001</v>
      </c>
      <c r="AE3718">
        <v>-1.6599999999982601E-2</v>
      </c>
      <c r="AF3718">
        <v>-0.28673600218825801</v>
      </c>
      <c r="AG3718">
        <v>-1.1043914012230001</v>
      </c>
      <c r="AH3718">
        <v>15.590424041252</v>
      </c>
      <c r="AI3718">
        <v>94.051255858711997</v>
      </c>
      <c r="AJ3718">
        <v>91.053653877739904</v>
      </c>
      <c r="AK3718">
        <v>15.632121407156999</v>
      </c>
    </row>
    <row r="3719" spans="1:37" x14ac:dyDescent="0.2">
      <c r="A3719" t="str">
        <f>"20200111160234565"</f>
        <v>20200111160234565</v>
      </c>
      <c r="B3719" t="str">
        <f>"1578729754556275"</f>
        <v>1578729754556275</v>
      </c>
      <c r="C3719" t="s">
        <v>37</v>
      </c>
      <c r="D3719">
        <v>5.0334899999999996</v>
      </c>
      <c r="E3719">
        <v>0.48731940000000001</v>
      </c>
      <c r="F3719" t="s">
        <v>77</v>
      </c>
      <c r="G3719">
        <v>-296.483</v>
      </c>
      <c r="H3719" s="1">
        <v>-7.3979519999999997E-6</v>
      </c>
      <c r="I3719">
        <v>136.8777</v>
      </c>
      <c r="J3719">
        <v>-281.1515</v>
      </c>
      <c r="K3719">
        <v>1.1043940000000001</v>
      </c>
      <c r="L3719">
        <v>136.9281</v>
      </c>
      <c r="M3719">
        <v>-0.99974419999999897</v>
      </c>
      <c r="N3719">
        <v>0</v>
      </c>
      <c r="O3719">
        <v>1.7314630000000001E-2</v>
      </c>
      <c r="P3719">
        <v>-0.9993668</v>
      </c>
      <c r="Q3719">
        <v>-9.0773809999999903E-3</v>
      </c>
      <c r="R3719">
        <v>3.4408590000000003E-2</v>
      </c>
      <c r="S3719">
        <v>-3.0002140000000002</v>
      </c>
      <c r="T3719">
        <v>-0.21252009999999999</v>
      </c>
      <c r="U3719">
        <v>-8.8348390000000006E-3</v>
      </c>
      <c r="V3719">
        <v>1.7098019999999998E-2</v>
      </c>
      <c r="W3719">
        <v>5.4786569999999996E-3</v>
      </c>
      <c r="X3719">
        <v>0.99983880000000003</v>
      </c>
      <c r="Y3719">
        <v>-2.0166759999999999E-2</v>
      </c>
      <c r="Z3719">
        <v>-1.9383969999999999E-3</v>
      </c>
      <c r="AA3719">
        <v>0.99979470000000004</v>
      </c>
      <c r="AB3719">
        <v>26</v>
      </c>
      <c r="AC3719">
        <v>-15.3315</v>
      </c>
      <c r="AD3719">
        <v>-1.104401397952</v>
      </c>
      <c r="AE3719">
        <v>-5.0399999999996198E-2</v>
      </c>
      <c r="AF3719">
        <v>-0.314249176352077</v>
      </c>
      <c r="AG3719">
        <v>-1.104401397952</v>
      </c>
      <c r="AH3719">
        <v>15.2492010084667</v>
      </c>
      <c r="AI3719">
        <v>94.141455687535696</v>
      </c>
      <c r="AJ3719">
        <v>91.180560436941207</v>
      </c>
      <c r="AK3719">
        <v>15.2923702018117</v>
      </c>
    </row>
    <row r="3720" spans="1:37" x14ac:dyDescent="0.2">
      <c r="A3720" t="str">
        <f>"20200111160234587"</f>
        <v>20200111160234587</v>
      </c>
      <c r="B3720" t="str">
        <f>"1578729754575795"</f>
        <v>1578729754575795</v>
      </c>
      <c r="C3720" t="s">
        <v>37</v>
      </c>
      <c r="D3720">
        <v>5.0181550000000001</v>
      </c>
      <c r="E3720">
        <v>0.48674529999999899</v>
      </c>
      <c r="F3720" t="s">
        <v>77</v>
      </c>
      <c r="G3720">
        <v>-296.55</v>
      </c>
      <c r="H3720" s="1">
        <v>-7.3887379999999999E-6</v>
      </c>
      <c r="I3720">
        <v>136.8682</v>
      </c>
      <c r="J3720">
        <v>-281.41309999999999</v>
      </c>
      <c r="K3720">
        <v>1.104411</v>
      </c>
      <c r="L3720">
        <v>136.93260000000001</v>
      </c>
      <c r="M3720">
        <v>-0.99974399999999997</v>
      </c>
      <c r="N3720">
        <v>0</v>
      </c>
      <c r="O3720">
        <v>1.727971E-2</v>
      </c>
      <c r="P3720">
        <v>-0.99934539999999905</v>
      </c>
      <c r="Q3720">
        <v>-8.6905839999999995E-3</v>
      </c>
      <c r="R3720">
        <v>3.5125249999999997E-2</v>
      </c>
      <c r="S3720">
        <v>-3.000305</v>
      </c>
      <c r="T3720">
        <v>-0.21518499999999999</v>
      </c>
      <c r="U3720">
        <v>-1.167297E-2</v>
      </c>
      <c r="V3720">
        <v>1.7849759999999999E-2</v>
      </c>
      <c r="W3720">
        <v>5.9225850000000002E-3</v>
      </c>
      <c r="X3720">
        <v>0.99982320000000002</v>
      </c>
      <c r="Y3720">
        <v>-2.1072899999999999E-2</v>
      </c>
      <c r="Z3720">
        <v>-1.9925339999999998E-3</v>
      </c>
      <c r="AA3720">
        <v>0.99977590000000005</v>
      </c>
      <c r="AB3720">
        <v>26</v>
      </c>
      <c r="AC3720">
        <v>-15.136900000000001</v>
      </c>
      <c r="AD3720">
        <v>-1.1044183887379999</v>
      </c>
      <c r="AE3720">
        <v>-6.4400000000006202E-2</v>
      </c>
      <c r="AF3720">
        <v>-0.32425341461073498</v>
      </c>
      <c r="AG3720">
        <v>-1.1044183887379999</v>
      </c>
      <c r="AH3720">
        <v>15.053392000558601</v>
      </c>
      <c r="AI3720">
        <v>94.195117314106</v>
      </c>
      <c r="AJ3720">
        <v>91.233973021730804</v>
      </c>
      <c r="AK3720">
        <v>15.097333902936301</v>
      </c>
    </row>
    <row r="3721" spans="1:37" x14ac:dyDescent="0.2">
      <c r="A3721" t="str">
        <f>"20200111160234608"</f>
        <v>20200111160234608</v>
      </c>
      <c r="B3721" t="str">
        <f>"1578729754596291"</f>
        <v>1578729754596291</v>
      </c>
      <c r="C3721" t="s">
        <v>37</v>
      </c>
      <c r="D3721">
        <v>5.1559239999999997</v>
      </c>
      <c r="E3721">
        <v>0.48600129999999903</v>
      </c>
      <c r="F3721" t="s">
        <v>77</v>
      </c>
      <c r="G3721">
        <v>-296.74880000000002</v>
      </c>
      <c r="H3721" s="1">
        <v>-7.3681129999999902E-6</v>
      </c>
      <c r="I3721">
        <v>136.85910000000001</v>
      </c>
      <c r="J3721">
        <v>-281.6506</v>
      </c>
      <c r="K3721">
        <v>1.1044389999999999</v>
      </c>
      <c r="L3721">
        <v>136.9366</v>
      </c>
      <c r="M3721">
        <v>-0.99974419999999897</v>
      </c>
      <c r="N3721">
        <v>0</v>
      </c>
      <c r="O3721">
        <v>1.722158E-2</v>
      </c>
      <c r="P3721">
        <v>-0.99934020000000001</v>
      </c>
      <c r="Q3721">
        <v>-8.0724809999999994E-3</v>
      </c>
      <c r="R3721">
        <v>3.541337E-2</v>
      </c>
      <c r="S3721">
        <v>-3.00061</v>
      </c>
      <c r="T3721">
        <v>-0.21609249999999999</v>
      </c>
      <c r="U3721">
        <v>-1.4373779999999999E-2</v>
      </c>
      <c r="V3721">
        <v>1.819581E-2</v>
      </c>
      <c r="W3721">
        <v>6.58442199999999E-3</v>
      </c>
      <c r="X3721">
        <v>0.99981279999999995</v>
      </c>
      <c r="Y3721">
        <v>-2.1911409999999999E-2</v>
      </c>
      <c r="Z3721">
        <v>-2.026684E-3</v>
      </c>
      <c r="AA3721">
        <v>0.99975789999999998</v>
      </c>
      <c r="AB3721">
        <v>26</v>
      </c>
      <c r="AC3721">
        <v>-15.0982</v>
      </c>
      <c r="AD3721">
        <v>-1.1044463681129999</v>
      </c>
      <c r="AE3721">
        <v>-7.7499999999986302E-2</v>
      </c>
      <c r="AF3721">
        <v>-0.33573482695710599</v>
      </c>
      <c r="AG3721">
        <v>-1.1044463681129999</v>
      </c>
      <c r="AH3721">
        <v>15.014285544860501</v>
      </c>
      <c r="AI3721">
        <v>94.206035523718995</v>
      </c>
      <c r="AJ3721">
        <v>91.280978931270795</v>
      </c>
      <c r="AK3721">
        <v>15.058595222552301</v>
      </c>
    </row>
    <row r="3722" spans="1:37" x14ac:dyDescent="0.2">
      <c r="A3722" t="str">
        <f>"20200111160234631"</f>
        <v>20200111160234631</v>
      </c>
      <c r="B3722" t="str">
        <f>"1578729754626078"</f>
        <v>1578729754626078</v>
      </c>
      <c r="C3722" t="s">
        <v>37</v>
      </c>
      <c r="D3722">
        <v>5.3538430000000004</v>
      </c>
      <c r="E3722">
        <v>0.48531920000000001</v>
      </c>
      <c r="F3722" t="s">
        <v>77</v>
      </c>
      <c r="G3722">
        <v>-297.0668</v>
      </c>
      <c r="H3722" s="1">
        <v>-7.3322849999999999E-6</v>
      </c>
      <c r="I3722">
        <v>136.8365</v>
      </c>
      <c r="J3722">
        <v>-281.9203</v>
      </c>
      <c r="K3722">
        <v>1.104479</v>
      </c>
      <c r="L3722">
        <v>136.94120000000001</v>
      </c>
      <c r="M3722">
        <v>-0.99974549999999995</v>
      </c>
      <c r="N3722">
        <v>0</v>
      </c>
      <c r="O3722">
        <v>1.711828E-2</v>
      </c>
      <c r="P3722">
        <v>-0.99936380000000002</v>
      </c>
      <c r="Q3722">
        <v>-6.4842369999999899E-3</v>
      </c>
      <c r="R3722">
        <v>3.507176E-2</v>
      </c>
      <c r="S3722">
        <v>-3.0009459999999999</v>
      </c>
      <c r="T3722">
        <v>-0.21499270000000001</v>
      </c>
      <c r="U3722">
        <v>-1.9485470000000001E-2</v>
      </c>
      <c r="V3722">
        <v>1.795627E-2</v>
      </c>
      <c r="W3722">
        <v>8.2161149999999995E-3</v>
      </c>
      <c r="X3722">
        <v>0.99980499999999894</v>
      </c>
      <c r="Y3722">
        <v>-2.350766E-2</v>
      </c>
      <c r="Z3722">
        <v>-2.0658809999999999E-3</v>
      </c>
      <c r="AA3722">
        <v>0.99972150000000004</v>
      </c>
      <c r="AB3722">
        <v>26</v>
      </c>
      <c r="AC3722">
        <v>-15.1465</v>
      </c>
      <c r="AD3722">
        <v>-1.104486332285</v>
      </c>
      <c r="AE3722">
        <v>-0.104700000000008</v>
      </c>
      <c r="AF3722">
        <v>-0.36206951497974599</v>
      </c>
      <c r="AG3722">
        <v>-1.104486332285</v>
      </c>
      <c r="AH3722">
        <v>15.0623992678498</v>
      </c>
      <c r="AI3722">
        <v>94.1926369217054</v>
      </c>
      <c r="AJ3722">
        <v>91.377009097334494</v>
      </c>
      <c r="AK3722">
        <v>15.107178958892501</v>
      </c>
    </row>
    <row r="3723" spans="1:37" x14ac:dyDescent="0.2">
      <c r="A3723" t="str">
        <f>"20200111160234654"</f>
        <v>20200111160234654</v>
      </c>
      <c r="B3723" t="str">
        <f>"1578729754645597"</f>
        <v>1578729754645597</v>
      </c>
      <c r="C3723" t="s">
        <v>37</v>
      </c>
      <c r="D3723">
        <v>5.3081139999999998</v>
      </c>
      <c r="E3723">
        <v>0.48500559999999998</v>
      </c>
      <c r="F3723" t="s">
        <v>77</v>
      </c>
      <c r="G3723">
        <v>-297.52289999999999</v>
      </c>
      <c r="H3723" s="1">
        <v>-7.2927849999999997E-6</v>
      </c>
      <c r="I3723">
        <v>136.80619999999999</v>
      </c>
      <c r="J3723">
        <v>-282.18770000000001</v>
      </c>
      <c r="K3723">
        <v>1.104522</v>
      </c>
      <c r="L3723">
        <v>136.94560000000001</v>
      </c>
      <c r="M3723">
        <v>-0.99974739999999995</v>
      </c>
      <c r="N3723">
        <v>0</v>
      </c>
      <c r="O3723">
        <v>1.697508E-2</v>
      </c>
      <c r="P3723">
        <v>-0.99938449999999901</v>
      </c>
      <c r="Q3723">
        <v>-5.0202459999999999E-3</v>
      </c>
      <c r="R3723">
        <v>3.4721990000000001E-2</v>
      </c>
      <c r="S3723">
        <v>-3.001465</v>
      </c>
      <c r="T3723">
        <v>-0.21246889999999999</v>
      </c>
      <c r="U3723">
        <v>-2.5970460000000001E-2</v>
      </c>
      <c r="V3723">
        <v>1.7748670000000001E-2</v>
      </c>
      <c r="W3723">
        <v>9.7161839999999992E-3</v>
      </c>
      <c r="X3723">
        <v>0.99979530000000005</v>
      </c>
      <c r="Y3723">
        <v>-2.5520979999999999E-2</v>
      </c>
      <c r="Z3723">
        <v>-2.1023729999999998E-3</v>
      </c>
      <c r="AA3723">
        <v>0.99967209999999995</v>
      </c>
      <c r="AB3723">
        <v>26</v>
      </c>
      <c r="AC3723">
        <v>-15.335199999999899</v>
      </c>
      <c r="AD3723">
        <v>-1.1045292927849999</v>
      </c>
      <c r="AE3723">
        <v>-0.13940000000002301</v>
      </c>
      <c r="AF3723">
        <v>-0.39766162117086001</v>
      </c>
      <c r="AG3723">
        <v>-1.1045292927849999</v>
      </c>
      <c r="AH3723">
        <v>15.2515094815684</v>
      </c>
      <c r="AI3723">
        <v>94.140782689972298</v>
      </c>
      <c r="AJ3723">
        <v>91.4935683268627</v>
      </c>
      <c r="AK3723">
        <v>15.296622541919</v>
      </c>
    </row>
    <row r="3724" spans="1:37" x14ac:dyDescent="0.2">
      <c r="A3724" t="str">
        <f>"20200111160234676"</f>
        <v>20200111160234676</v>
      </c>
      <c r="B3724" t="str">
        <f>"1578729754666093"</f>
        <v>1578729754666093</v>
      </c>
      <c r="C3724" t="s">
        <v>37</v>
      </c>
      <c r="D3724">
        <v>5.1479480000000004</v>
      </c>
      <c r="E3724">
        <v>0.48458669999999998</v>
      </c>
      <c r="F3724" t="s">
        <v>77</v>
      </c>
      <c r="G3724">
        <v>-298.03739999999999</v>
      </c>
      <c r="H3724" s="1">
        <v>-7.2572459999999997E-6</v>
      </c>
      <c r="I3724">
        <v>136.7884</v>
      </c>
      <c r="J3724">
        <v>-282.44299999999998</v>
      </c>
      <c r="K3724">
        <v>1.1045579999999999</v>
      </c>
      <c r="L3724">
        <v>136.94970000000001</v>
      </c>
      <c r="M3724">
        <v>-0.99974969999999996</v>
      </c>
      <c r="N3724">
        <v>0</v>
      </c>
      <c r="O3724">
        <v>1.680827E-2</v>
      </c>
      <c r="P3724">
        <v>-0.99939020000000001</v>
      </c>
      <c r="Q3724">
        <v>-5.2577930000000002E-3</v>
      </c>
      <c r="R3724">
        <v>3.4521740000000002E-2</v>
      </c>
      <c r="S3724">
        <v>-3.0018310000000001</v>
      </c>
      <c r="T3724">
        <v>-0.20919169999999901</v>
      </c>
      <c r="U3724">
        <v>-2.9769899999999998E-2</v>
      </c>
      <c r="V3724">
        <v>1.7714669999999998E-2</v>
      </c>
      <c r="W3724">
        <v>9.5078160000000005E-3</v>
      </c>
      <c r="X3724">
        <v>0.99979789999999902</v>
      </c>
      <c r="Y3724">
        <v>-2.6619319999999998E-2</v>
      </c>
      <c r="Z3724">
        <v>-2.0963760000000001E-3</v>
      </c>
      <c r="AA3724">
        <v>0.99964339999999996</v>
      </c>
      <c r="AB3724">
        <v>26</v>
      </c>
      <c r="AC3724">
        <v>-15.5944</v>
      </c>
      <c r="AD3724">
        <v>-1.1045652572460001</v>
      </c>
      <c r="AE3724">
        <v>-0.16130000000001099</v>
      </c>
      <c r="AF3724">
        <v>-0.42130719329185301</v>
      </c>
      <c r="AG3724">
        <v>-1.1045652572460001</v>
      </c>
      <c r="AH3724">
        <v>15.511671080772</v>
      </c>
      <c r="AI3724">
        <v>94.071583868736596</v>
      </c>
      <c r="AJ3724">
        <v>91.555808573620496</v>
      </c>
      <c r="AK3724">
        <v>15.5566546492712</v>
      </c>
    </row>
    <row r="3725" spans="1:37" x14ac:dyDescent="0.2">
      <c r="A3725" t="str">
        <f>"20200111160234697"</f>
        <v>20200111160234697</v>
      </c>
      <c r="B3725" t="str">
        <f>"1578729754685613"</f>
        <v>1578729754685613</v>
      </c>
      <c r="C3725" t="s">
        <v>37</v>
      </c>
      <c r="D3725">
        <v>5.2061260000000003</v>
      </c>
      <c r="E3725">
        <v>0.48417850000000001</v>
      </c>
      <c r="F3725" t="s">
        <v>77</v>
      </c>
      <c r="G3725">
        <v>-298.11939999999998</v>
      </c>
      <c r="H3725" s="1">
        <v>-7.2474249999999902E-6</v>
      </c>
      <c r="I3725">
        <v>136.77260000000001</v>
      </c>
      <c r="J3725">
        <v>-282.68810000000002</v>
      </c>
      <c r="K3725">
        <v>1.104576</v>
      </c>
      <c r="L3725">
        <v>136.9537</v>
      </c>
      <c r="M3725">
        <v>-0.99975259999999999</v>
      </c>
      <c r="N3725">
        <v>0</v>
      </c>
      <c r="O3725">
        <v>1.6624110000000001E-2</v>
      </c>
      <c r="P3725">
        <v>-0.99939859999999903</v>
      </c>
      <c r="Q3725">
        <v>-5.6140719999999899E-3</v>
      </c>
      <c r="R3725">
        <v>3.4222660000000002E-2</v>
      </c>
      <c r="S3725">
        <v>-3.001862</v>
      </c>
      <c r="T3725">
        <v>-0.2115129</v>
      </c>
      <c r="U3725">
        <v>-3.3920289999999999E-2</v>
      </c>
      <c r="V3725">
        <v>1.7599179999999999E-2</v>
      </c>
      <c r="W3725">
        <v>9.1745209999999997E-3</v>
      </c>
      <c r="X3725">
        <v>0.999803</v>
      </c>
      <c r="Y3725">
        <v>-2.7812170000000001E-2</v>
      </c>
      <c r="Z3725">
        <v>-2.148559E-3</v>
      </c>
      <c r="AA3725">
        <v>0.99961080000000002</v>
      </c>
      <c r="AB3725">
        <v>26</v>
      </c>
      <c r="AC3725">
        <v>-15.431299999999901</v>
      </c>
      <c r="AD3725">
        <v>-1.1045832474249999</v>
      </c>
      <c r="AE3725">
        <v>-0.18109999999998599</v>
      </c>
      <c r="AF3725">
        <v>-0.43540399767594501</v>
      </c>
      <c r="AG3725">
        <v>-1.1045832474249999</v>
      </c>
      <c r="AH3725">
        <v>15.3475293384598</v>
      </c>
      <c r="AI3725">
        <v>94.114909876520599</v>
      </c>
      <c r="AJ3725">
        <v>91.625025202767901</v>
      </c>
      <c r="AK3725">
        <v>15.3933861637577</v>
      </c>
    </row>
    <row r="3726" spans="1:37" x14ac:dyDescent="0.2">
      <c r="A3726" t="str">
        <f>"20200111160234720"</f>
        <v>20200111160234720</v>
      </c>
      <c r="B3726" t="str">
        <f>"1578729754715870"</f>
        <v>1578729754715870</v>
      </c>
      <c r="C3726" t="s">
        <v>37</v>
      </c>
      <c r="D3726">
        <v>5.2092960000000001</v>
      </c>
      <c r="E3726">
        <v>0.44824259999999899</v>
      </c>
      <c r="F3726" t="s">
        <v>77</v>
      </c>
      <c r="G3726">
        <v>-298.11750000000001</v>
      </c>
      <c r="H3726" s="1">
        <v>-7.2428319999999902E-6</v>
      </c>
      <c r="I3726">
        <v>136.75790000000001</v>
      </c>
      <c r="J3726">
        <v>-282.94729999999998</v>
      </c>
      <c r="K3726">
        <v>1.1045879999999999</v>
      </c>
      <c r="L3726">
        <v>136.95769999999999</v>
      </c>
      <c r="M3726">
        <v>-0.99975569999999903</v>
      </c>
      <c r="N3726">
        <v>0</v>
      </c>
      <c r="O3726">
        <v>1.6410460000000002E-2</v>
      </c>
      <c r="P3726">
        <v>-0.99942070000000005</v>
      </c>
      <c r="Q3726">
        <v>-5.7548690000000001E-3</v>
      </c>
      <c r="R3726">
        <v>3.354153E-2</v>
      </c>
      <c r="S3726">
        <v>-3.0018919999999998</v>
      </c>
      <c r="T3726">
        <v>-0.21490429999999899</v>
      </c>
      <c r="U3726">
        <v>-3.8085939999999999E-2</v>
      </c>
      <c r="V3726">
        <v>1.713135E-2</v>
      </c>
      <c r="W3726">
        <v>9.0534090000000001E-3</v>
      </c>
      <c r="X3726">
        <v>0.99981219999999904</v>
      </c>
      <c r="Y3726">
        <v>-2.8979370000000001E-2</v>
      </c>
      <c r="Z3726">
        <v>-2.2093339999999999E-3</v>
      </c>
      <c r="AA3726">
        <v>0.99957759999999996</v>
      </c>
      <c r="AB3726">
        <v>26</v>
      </c>
      <c r="AC3726">
        <v>-15.170199999999999</v>
      </c>
      <c r="AD3726">
        <v>-1.1045952428319901</v>
      </c>
      <c r="AE3726">
        <v>-0.19979999999998199</v>
      </c>
      <c r="AF3726">
        <v>-0.44638411229435199</v>
      </c>
      <c r="AG3726">
        <v>-1.1045952428319901</v>
      </c>
      <c r="AH3726">
        <v>15.084914155672401</v>
      </c>
      <c r="AI3726">
        <v>94.186192074655594</v>
      </c>
      <c r="AJ3726">
        <v>91.694969167514202</v>
      </c>
      <c r="AK3726">
        <v>15.131887671741501</v>
      </c>
    </row>
    <row r="3727" spans="1:37" x14ac:dyDescent="0.2">
      <c r="A3727" t="str">
        <f>"20200111160234742"</f>
        <v>20200111160234742</v>
      </c>
      <c r="B3727" t="str">
        <f>"1578729754735898"</f>
        <v>1578729754735898</v>
      </c>
      <c r="C3727" t="s">
        <v>37</v>
      </c>
      <c r="D3727">
        <v>5.1761919999999897</v>
      </c>
      <c r="E3727">
        <v>0.47017589999999998</v>
      </c>
      <c r="F3727" t="s">
        <v>82</v>
      </c>
      <c r="G3727">
        <v>-458.78960000000001</v>
      </c>
      <c r="H3727">
        <v>9.9925259999999998</v>
      </c>
      <c r="I3727">
        <v>119.395</v>
      </c>
      <c r="J3727">
        <v>-283.21109999999999</v>
      </c>
      <c r="K3727">
        <v>1.1045989999999899</v>
      </c>
      <c r="L3727">
        <v>136.96180000000001</v>
      </c>
      <c r="M3727">
        <v>-0.99975939999999996</v>
      </c>
      <c r="N3727">
        <v>0</v>
      </c>
      <c r="O3727">
        <v>1.6181689999999999E-2</v>
      </c>
      <c r="P3727">
        <v>-0.99943099999999996</v>
      </c>
      <c r="Q3727">
        <v>-5.3308640000000003E-3</v>
      </c>
      <c r="R3727">
        <v>3.3309199999999997E-2</v>
      </c>
      <c r="S3727">
        <v>-3.0127259999999998</v>
      </c>
      <c r="T3727">
        <v>0.15227829999999901</v>
      </c>
      <c r="U3727">
        <v>-0.30090329999999998</v>
      </c>
      <c r="V3727">
        <v>1.712748E-2</v>
      </c>
      <c r="W3727">
        <v>9.4944650000000005E-3</v>
      </c>
      <c r="X3727">
        <v>0.99980829999999998</v>
      </c>
      <c r="Y3727">
        <v>-0.11530699999999899</v>
      </c>
      <c r="Z3727">
        <v>3.7206100000000001E-3</v>
      </c>
      <c r="AA3727">
        <v>0.99332289999999901</v>
      </c>
      <c r="AB3727">
        <v>26</v>
      </c>
      <c r="AC3727">
        <v>-175.57849999999999</v>
      </c>
      <c r="AD3727">
        <v>8.8879269999999995</v>
      </c>
      <c r="AE3727">
        <v>-17.566800000000001</v>
      </c>
      <c r="AF3727">
        <v>-20.354327508585701</v>
      </c>
      <c r="AG3727">
        <v>8.8879269999999995</v>
      </c>
      <c r="AH3727">
        <v>174.82766430263899</v>
      </c>
      <c r="AI3727">
        <v>87.109182995859697</v>
      </c>
      <c r="AJ3727">
        <v>96.640769518732498</v>
      </c>
      <c r="AK3727">
        <v>176.232817886454</v>
      </c>
    </row>
    <row r="3728" spans="1:37" x14ac:dyDescent="0.2">
      <c r="A3728" t="str">
        <f>"20200111160234766"</f>
        <v>20200111160234766</v>
      </c>
      <c r="B3728" t="str">
        <f>"1578729754756394"</f>
        <v>1578729754756394</v>
      </c>
      <c r="C3728" t="s">
        <v>37</v>
      </c>
      <c r="D3728">
        <v>5.5429409999999999</v>
      </c>
      <c r="E3728">
        <v>0.47033589999999997</v>
      </c>
      <c r="F3728" t="s">
        <v>77</v>
      </c>
      <c r="G3728">
        <v>-295.27159999999998</v>
      </c>
      <c r="H3728" s="1">
        <v>-7.3135249999999903E-6</v>
      </c>
      <c r="I3728">
        <v>136.33189999999999</v>
      </c>
      <c r="J3728">
        <v>-283.46940000000001</v>
      </c>
      <c r="K3728">
        <v>1.104603</v>
      </c>
      <c r="L3728">
        <v>136.9657</v>
      </c>
      <c r="M3728">
        <v>-0.9997627</v>
      </c>
      <c r="N3728">
        <v>0</v>
      </c>
      <c r="O3728">
        <v>1.595448E-2</v>
      </c>
      <c r="P3728">
        <v>-0.999444</v>
      </c>
      <c r="Q3728">
        <v>-4.5903619999999997E-3</v>
      </c>
      <c r="R3728">
        <v>3.3024690000000002E-2</v>
      </c>
      <c r="S3728">
        <v>-3.005493</v>
      </c>
      <c r="T3728">
        <v>-0.2752694</v>
      </c>
      <c r="U3728">
        <v>-0.1569672</v>
      </c>
      <c r="V3728">
        <v>1.7069640000000001E-2</v>
      </c>
      <c r="W3728">
        <v>1.024831E-2</v>
      </c>
      <c r="X3728">
        <v>0.99980179999999996</v>
      </c>
      <c r="Y3728">
        <v>-6.7734169999999996E-2</v>
      </c>
      <c r="Z3728">
        <v>-4.5507509999999996E-3</v>
      </c>
      <c r="AA3728">
        <v>0.99769300000000005</v>
      </c>
      <c r="AB3728">
        <v>26</v>
      </c>
      <c r="AC3728">
        <v>-11.8021999999999</v>
      </c>
      <c r="AD3728">
        <v>-1.1046103135250001</v>
      </c>
      <c r="AE3728">
        <v>-0.63380000000000702</v>
      </c>
      <c r="AF3728">
        <v>-0.81492001459786101</v>
      </c>
      <c r="AG3728">
        <v>-1.1046103135250001</v>
      </c>
      <c r="AH3728">
        <v>11.688490460785999</v>
      </c>
      <c r="AI3728">
        <v>95.385656105333894</v>
      </c>
      <c r="AJ3728">
        <v>93.988200523966498</v>
      </c>
      <c r="AK3728">
        <v>11.7688176053002</v>
      </c>
    </row>
    <row r="3729" spans="1:37" x14ac:dyDescent="0.2">
      <c r="A3729" t="str">
        <f>"20200111160234788"</f>
        <v>20200111160234788</v>
      </c>
      <c r="B3729" t="str">
        <f>"1578729754785674"</f>
        <v>1578729754785674</v>
      </c>
      <c r="C3729" t="s">
        <v>37</v>
      </c>
      <c r="D3729">
        <v>5.2523790000000004</v>
      </c>
      <c r="E3729">
        <v>0.46787079999999998</v>
      </c>
      <c r="F3729" t="s">
        <v>77</v>
      </c>
      <c r="G3729">
        <v>-295.4794</v>
      </c>
      <c r="H3729" s="1">
        <v>-7.2972979999999999E-6</v>
      </c>
      <c r="I3729">
        <v>136.33770000000001</v>
      </c>
      <c r="J3729">
        <v>-283.72930000000002</v>
      </c>
      <c r="K3729">
        <v>1.1046049999999901</v>
      </c>
      <c r="L3729">
        <v>136.96960000000001</v>
      </c>
      <c r="M3729">
        <v>-0.99976620000000005</v>
      </c>
      <c r="N3729">
        <v>0</v>
      </c>
      <c r="O3729">
        <v>1.572751E-2</v>
      </c>
      <c r="P3729">
        <v>-0.99945019999999996</v>
      </c>
      <c r="Q3729">
        <v>-3.6667359999999999E-3</v>
      </c>
      <c r="R3729">
        <v>3.295199E-2</v>
      </c>
      <c r="S3729">
        <v>-3.0056150000000001</v>
      </c>
      <c r="T3729">
        <v>-0.27644059999999998</v>
      </c>
      <c r="U3729">
        <v>-0.15716549999999899</v>
      </c>
      <c r="V3729">
        <v>1.7223510000000001E-2</v>
      </c>
      <c r="W3729">
        <v>1.11819E-2</v>
      </c>
      <c r="X3729">
        <v>0.99978909999999999</v>
      </c>
      <c r="Y3729">
        <v>-6.7569909999999997E-2</v>
      </c>
      <c r="Z3729">
        <v>-4.5414840000000001E-3</v>
      </c>
      <c r="AA3729">
        <v>0.99770419999999904</v>
      </c>
      <c r="AB3729">
        <v>26</v>
      </c>
      <c r="AC3729">
        <v>-11.7500999999999</v>
      </c>
      <c r="AD3729">
        <v>-1.1046122972979999</v>
      </c>
      <c r="AE3729">
        <v>-0.63190000000000102</v>
      </c>
      <c r="AF3729">
        <v>-0.80950847171027696</v>
      </c>
      <c r="AG3729">
        <v>-1.1046122972979999</v>
      </c>
      <c r="AH3729">
        <v>11.6361672849924</v>
      </c>
      <c r="AI3729">
        <v>95.409796036100801</v>
      </c>
      <c r="AJ3729">
        <v>93.9795586888945</v>
      </c>
      <c r="AK3729">
        <v>11.7164781985646</v>
      </c>
    </row>
    <row r="3730" spans="1:37" x14ac:dyDescent="0.2">
      <c r="A3730" t="str">
        <f>"20200111160234810"</f>
        <v>20200111160234810</v>
      </c>
      <c r="B3730" t="str">
        <f>"1578729754806170"</f>
        <v>1578729754806170</v>
      </c>
      <c r="C3730" t="s">
        <v>37</v>
      </c>
      <c r="D3730">
        <v>5.1884319999999997</v>
      </c>
      <c r="E3730">
        <v>0.46934740000000003</v>
      </c>
      <c r="F3730" t="s">
        <v>77</v>
      </c>
      <c r="G3730">
        <v>-302.21230000000003</v>
      </c>
      <c r="H3730" s="1">
        <v>-7.1927349999999997E-6</v>
      </c>
      <c r="I3730">
        <v>135.923</v>
      </c>
      <c r="J3730">
        <v>-283.96699999999998</v>
      </c>
      <c r="K3730">
        <v>1.104606</v>
      </c>
      <c r="L3730">
        <v>136.97309999999999</v>
      </c>
      <c r="M3730">
        <v>-0.99976929999999997</v>
      </c>
      <c r="N3730">
        <v>0</v>
      </c>
      <c r="O3730">
        <v>1.5523230000000001E-2</v>
      </c>
      <c r="P3730">
        <v>-0.99947469999999905</v>
      </c>
      <c r="Q3730">
        <v>-3.0228159999999998E-3</v>
      </c>
      <c r="R3730">
        <v>3.2273059999999999E-2</v>
      </c>
      <c r="S3730">
        <v>-3.0065919999999999</v>
      </c>
      <c r="T3730">
        <v>-0.1796854</v>
      </c>
      <c r="U3730">
        <v>-0.17024229999999901</v>
      </c>
      <c r="V3730">
        <v>1.6748499999999999E-2</v>
      </c>
      <c r="W3730">
        <v>1.183274E-2</v>
      </c>
      <c r="X3730">
        <v>0.999789699999999</v>
      </c>
      <c r="Y3730">
        <v>-7.1870299999999998E-2</v>
      </c>
      <c r="Z3730">
        <v>-3.0703309999999999E-3</v>
      </c>
      <c r="AA3730">
        <v>0.99740930000000005</v>
      </c>
      <c r="AB3730">
        <v>26</v>
      </c>
      <c r="AC3730">
        <v>-18.2453</v>
      </c>
      <c r="AD3730">
        <v>-1.104613192735</v>
      </c>
      <c r="AE3730">
        <v>-1.05009999999998</v>
      </c>
      <c r="AF3730">
        <v>-1.3283777171720801</v>
      </c>
      <c r="AG3730">
        <v>-1.104613192735</v>
      </c>
      <c r="AH3730">
        <v>18.160453246930199</v>
      </c>
      <c r="AI3730">
        <v>93.471487043886697</v>
      </c>
      <c r="AJ3730">
        <v>94.183548082908601</v>
      </c>
      <c r="AK3730">
        <v>18.242445554228201</v>
      </c>
    </row>
    <row r="3731" spans="1:37" x14ac:dyDescent="0.2">
      <c r="A3731" t="str">
        <f>"20200111160234832"</f>
        <v>20200111160234832</v>
      </c>
      <c r="B3731" t="str">
        <f>"1578729754825690"</f>
        <v>1578729754825690</v>
      </c>
      <c r="C3731" t="s">
        <v>37</v>
      </c>
      <c r="D3731">
        <v>5.2307379999999997</v>
      </c>
      <c r="E3731">
        <v>0.47068159999999998</v>
      </c>
      <c r="F3731" t="s">
        <v>77</v>
      </c>
      <c r="G3731">
        <v>-301.88639999999998</v>
      </c>
      <c r="H3731" s="1">
        <v>-7.1749450000000003E-6</v>
      </c>
      <c r="I3731">
        <v>136.0137</v>
      </c>
      <c r="J3731">
        <v>-284.22710000000001</v>
      </c>
      <c r="K3731">
        <v>1.104614</v>
      </c>
      <c r="L3731">
        <v>136.9769</v>
      </c>
      <c r="M3731">
        <v>-0.99977269999999896</v>
      </c>
      <c r="N3731">
        <v>0</v>
      </c>
      <c r="O3731">
        <v>1.5303809999999999E-2</v>
      </c>
      <c r="P3731">
        <v>-0.99949200000000005</v>
      </c>
      <c r="Q3731">
        <v>-2.7927049999999999E-3</v>
      </c>
      <c r="R3731">
        <v>3.1749760000000002E-2</v>
      </c>
      <c r="S3731">
        <v>-3.0062259999999998</v>
      </c>
      <c r="T3731">
        <v>-0.1853138</v>
      </c>
      <c r="U3731">
        <v>-0.1609497</v>
      </c>
      <c r="V3731">
        <v>1.6444219999999999E-2</v>
      </c>
      <c r="W3731">
        <v>1.2063040000000001E-2</v>
      </c>
      <c r="X3731">
        <v>0.99979200000000001</v>
      </c>
      <c r="Y3731">
        <v>-6.8580769999999999E-2</v>
      </c>
      <c r="Z3731">
        <v>-3.0522470000000001E-3</v>
      </c>
      <c r="AA3731">
        <v>0.99764089999999905</v>
      </c>
      <c r="AB3731">
        <v>25</v>
      </c>
      <c r="AC3731">
        <v>-17.659299999999899</v>
      </c>
      <c r="AD3731">
        <v>-1.1046211749449999</v>
      </c>
      <c r="AE3731">
        <v>-0.96319999999999995</v>
      </c>
      <c r="AF3731">
        <v>-1.2285786889710999</v>
      </c>
      <c r="AG3731">
        <v>-1.1046211749449999</v>
      </c>
      <c r="AH3731">
        <v>17.573931138089801</v>
      </c>
      <c r="AI3731">
        <v>93.5878989800526</v>
      </c>
      <c r="AJ3731">
        <v>93.998993295598098</v>
      </c>
      <c r="AK3731">
        <v>17.651420599528301</v>
      </c>
    </row>
    <row r="3732" spans="1:37" x14ac:dyDescent="0.2">
      <c r="A3732" t="str">
        <f>"20200111160234854"</f>
        <v>20200111160234854</v>
      </c>
      <c r="B3732" t="str">
        <f>"1578729754846186"</f>
        <v>1578729754846186</v>
      </c>
      <c r="C3732" t="s">
        <v>37</v>
      </c>
      <c r="D3732">
        <v>5.2531040000000004</v>
      </c>
      <c r="E3732">
        <v>0.47174820000000001</v>
      </c>
      <c r="F3732" t="s">
        <v>77</v>
      </c>
      <c r="G3732">
        <v>-302.02229999999997</v>
      </c>
      <c r="H3732" s="1">
        <v>-7.2149829999999997E-6</v>
      </c>
      <c r="I3732">
        <v>136.0779</v>
      </c>
      <c r="J3732">
        <v>-284.48149999999998</v>
      </c>
      <c r="K3732">
        <v>1.104617</v>
      </c>
      <c r="L3732">
        <v>136.98050000000001</v>
      </c>
      <c r="M3732">
        <v>-0.99977590000000005</v>
      </c>
      <c r="N3732">
        <v>0</v>
      </c>
      <c r="O3732">
        <v>1.50912999999999E-2</v>
      </c>
      <c r="P3732">
        <v>-0.99950329999999998</v>
      </c>
      <c r="Q3732">
        <v>-2.4274919999999998E-3</v>
      </c>
      <c r="R3732">
        <v>3.1420969999999999E-2</v>
      </c>
      <c r="S3732">
        <v>-3.0058289999999999</v>
      </c>
      <c r="T3732">
        <v>-0.1865841</v>
      </c>
      <c r="U3732">
        <v>-0.1518555</v>
      </c>
      <c r="V3732">
        <v>1.6327950000000001E-2</v>
      </c>
      <c r="W3732">
        <v>1.2419680000000001E-2</v>
      </c>
      <c r="X3732">
        <v>0.9997895</v>
      </c>
      <c r="Y3732">
        <v>-6.5369479999999994E-2</v>
      </c>
      <c r="Z3732">
        <v>-2.961085E-3</v>
      </c>
      <c r="AA3732">
        <v>0.99785669999999904</v>
      </c>
      <c r="AB3732">
        <v>25</v>
      </c>
      <c r="AC3732">
        <v>-17.540799999999901</v>
      </c>
      <c r="AD3732">
        <v>-1.1046242149829999</v>
      </c>
      <c r="AE3732">
        <v>-0.90260000000000595</v>
      </c>
      <c r="AF3732">
        <v>-1.1626412197223699</v>
      </c>
      <c r="AG3732">
        <v>-1.1046242149829999</v>
      </c>
      <c r="AH3732">
        <v>17.456134460120101</v>
      </c>
      <c r="AI3732">
        <v>93.612865838000303</v>
      </c>
      <c r="AJ3732">
        <v>93.810476774420295</v>
      </c>
      <c r="AK3732">
        <v>17.5296480156311</v>
      </c>
    </row>
    <row r="3733" spans="1:37" x14ac:dyDescent="0.2">
      <c r="A3733" t="str">
        <f>"20200111160234877"</f>
        <v>20200111160234877</v>
      </c>
      <c r="B3733" t="str">
        <f>"1578729754865705"</f>
        <v>1578729754865705</v>
      </c>
      <c r="C3733" t="s">
        <v>37</v>
      </c>
      <c r="D3733">
        <v>5.4493089999999897</v>
      </c>
      <c r="E3733">
        <v>0.47250349999999902</v>
      </c>
      <c r="F3733" t="s">
        <v>77</v>
      </c>
      <c r="G3733">
        <v>-302.09160000000003</v>
      </c>
      <c r="H3733" s="1">
        <v>-7.2431889999999901E-6</v>
      </c>
      <c r="I3733">
        <v>136.13499999999999</v>
      </c>
      <c r="J3733">
        <v>-284.72910000000002</v>
      </c>
      <c r="K3733">
        <v>1.104622</v>
      </c>
      <c r="L3733">
        <v>136.98400000000001</v>
      </c>
      <c r="M3733">
        <v>-0.99977919999999998</v>
      </c>
      <c r="N3733">
        <v>0</v>
      </c>
      <c r="O3733">
        <v>1.4886470000000001E-2</v>
      </c>
      <c r="P3733">
        <v>-0.99950919999999899</v>
      </c>
      <c r="Q3733">
        <v>-2.5346129999999998E-3</v>
      </c>
      <c r="R3733">
        <v>3.1218799999999901E-2</v>
      </c>
      <c r="S3733">
        <v>-3.0056150000000001</v>
      </c>
      <c r="T3733">
        <v>-0.1885329</v>
      </c>
      <c r="U3733">
        <v>-0.14431759999999999</v>
      </c>
      <c r="V3733">
        <v>1.633039E-2</v>
      </c>
      <c r="W3733">
        <v>1.2299050000000001E-2</v>
      </c>
      <c r="X3733">
        <v>0.99979099999999999</v>
      </c>
      <c r="Y3733">
        <v>-6.2674289999999994E-2</v>
      </c>
      <c r="Z3733">
        <v>-2.8951139999999998E-3</v>
      </c>
      <c r="AA3733">
        <v>0.99802979999999997</v>
      </c>
      <c r="AB3733">
        <v>25</v>
      </c>
      <c r="AC3733">
        <v>-17.362500000000001</v>
      </c>
      <c r="AD3733">
        <v>-1.1046292431889999</v>
      </c>
      <c r="AE3733">
        <v>-0.84900000000001696</v>
      </c>
      <c r="AF3733">
        <v>-1.1029469146026101</v>
      </c>
      <c r="AG3733">
        <v>-1.1046292431889999</v>
      </c>
      <c r="AH3733">
        <v>17.278165596566399</v>
      </c>
      <c r="AI3733">
        <v>93.650650242883003</v>
      </c>
      <c r="AJ3733">
        <v>93.652504430593297</v>
      </c>
      <c r="AK3733">
        <v>17.3485360778283</v>
      </c>
    </row>
    <row r="3734" spans="1:37" x14ac:dyDescent="0.2">
      <c r="A3734" t="str">
        <f>"20200111160234897"</f>
        <v>20200111160234897</v>
      </c>
      <c r="B3734" t="str">
        <f>"1578729754895963"</f>
        <v>1578729754895963</v>
      </c>
      <c r="C3734" t="s">
        <v>37</v>
      </c>
      <c r="D3734">
        <v>5.5148219999999997</v>
      </c>
      <c r="E3734">
        <v>0.47069759999999899</v>
      </c>
      <c r="F3734" t="s">
        <v>77</v>
      </c>
      <c r="G3734">
        <v>-302.06670000000003</v>
      </c>
      <c r="H3734" s="1">
        <v>-7.2544100000000002E-6</v>
      </c>
      <c r="I3734">
        <v>136.18119999999999</v>
      </c>
      <c r="J3734">
        <v>-284.96969999999999</v>
      </c>
      <c r="K3734">
        <v>1.1046260000000001</v>
      </c>
      <c r="L3734">
        <v>136.98740000000001</v>
      </c>
      <c r="M3734">
        <v>-0.99978259999999997</v>
      </c>
      <c r="N3734">
        <v>0</v>
      </c>
      <c r="O3734">
        <v>1.468787E-2</v>
      </c>
      <c r="P3734">
        <v>-0.99950699999999904</v>
      </c>
      <c r="Q3734">
        <v>-2.3340729999999999E-3</v>
      </c>
      <c r="R3734">
        <v>3.131312E-2</v>
      </c>
      <c r="S3734">
        <v>-3.005341</v>
      </c>
      <c r="T3734">
        <v>-0.19147910000000001</v>
      </c>
      <c r="U3734">
        <v>-0.13916020000000001</v>
      </c>
      <c r="V3734">
        <v>1.6623550000000001E-2</v>
      </c>
      <c r="W3734">
        <v>1.2480710000000001E-2</v>
      </c>
      <c r="X3734">
        <v>0.99978389999999995</v>
      </c>
      <c r="Y3734">
        <v>-6.0770789999999998E-2</v>
      </c>
      <c r="Z3734">
        <v>-2.8674669999999998E-3</v>
      </c>
      <c r="AA3734">
        <v>0.99814760000000002</v>
      </c>
      <c r="AB3734">
        <v>25</v>
      </c>
      <c r="AC3734">
        <v>-17.097000000000001</v>
      </c>
      <c r="AD3734">
        <v>-1.1046332544099999</v>
      </c>
      <c r="AE3734">
        <v>-0.80620000000001801</v>
      </c>
      <c r="AF3734">
        <v>-1.0528736435416299</v>
      </c>
      <c r="AG3734">
        <v>-1.1046332544099999</v>
      </c>
      <c r="AH3734">
        <v>17.0124530333355</v>
      </c>
      <c r="AI3734">
        <v>93.707974892152393</v>
      </c>
      <c r="AJ3734">
        <v>93.541427789274906</v>
      </c>
      <c r="AK3734">
        <v>17.0807586408643</v>
      </c>
    </row>
    <row r="3735" spans="1:37" x14ac:dyDescent="0.2">
      <c r="A3735" t="str">
        <f>"20200111160234921"</f>
        <v>20200111160234921</v>
      </c>
      <c r="B3735" t="str">
        <f>"1578729754916458"</f>
        <v>1578729754916458</v>
      </c>
      <c r="C3735" t="s">
        <v>37</v>
      </c>
      <c r="D3735">
        <v>5.179157</v>
      </c>
      <c r="E3735">
        <v>0.47135500000000002</v>
      </c>
      <c r="F3735" t="s">
        <v>77</v>
      </c>
      <c r="G3735">
        <v>-304.10120000000001</v>
      </c>
      <c r="H3735" s="1">
        <v>-7.4951170000000003E-6</v>
      </c>
      <c r="I3735">
        <v>136.0204</v>
      </c>
      <c r="J3735">
        <v>-285.23489999999998</v>
      </c>
      <c r="K3735">
        <v>1.1046320000000001</v>
      </c>
      <c r="L3735">
        <v>136.99100000000001</v>
      </c>
      <c r="M3735">
        <v>-0.99978599999999995</v>
      </c>
      <c r="N3735">
        <v>0</v>
      </c>
      <c r="O3735">
        <v>1.447007E-2</v>
      </c>
      <c r="P3735">
        <v>-0.99951199999999996</v>
      </c>
      <c r="Q3735">
        <v>-1.315758E-3</v>
      </c>
      <c r="R3735">
        <v>3.1209589999999999E-2</v>
      </c>
      <c r="S3735">
        <v>-3.0058590000000001</v>
      </c>
      <c r="T3735">
        <v>-0.17355599999999999</v>
      </c>
      <c r="U3735">
        <v>-0.15193180000000001</v>
      </c>
      <c r="V3735">
        <v>1.673753E-2</v>
      </c>
      <c r="W3735">
        <v>1.3474359999999999E-2</v>
      </c>
      <c r="X3735">
        <v>0.99976919999999903</v>
      </c>
      <c r="Y3735">
        <v>-6.4796950000000006E-2</v>
      </c>
      <c r="Z3735">
        <v>-2.7023259999999901E-3</v>
      </c>
      <c r="AA3735">
        <v>0.99789479999999997</v>
      </c>
      <c r="AB3735">
        <v>25</v>
      </c>
      <c r="AC3735">
        <v>-18.866299999999999</v>
      </c>
      <c r="AD3735">
        <v>-1.104639495117</v>
      </c>
      <c r="AE3735">
        <v>-0.970600000000018</v>
      </c>
      <c r="AF3735">
        <v>-1.2392875546923501</v>
      </c>
      <c r="AG3735">
        <v>-1.104639495117</v>
      </c>
      <c r="AH3735">
        <v>18.786045598726499</v>
      </c>
      <c r="AI3735">
        <v>93.357896169769404</v>
      </c>
      <c r="AJ3735">
        <v>93.77424891986</v>
      </c>
      <c r="AK3735">
        <v>18.859256912583302</v>
      </c>
    </row>
    <row r="3736" spans="1:37" x14ac:dyDescent="0.2">
      <c r="A3736" t="str">
        <f>"20200111160234943"</f>
        <v>20200111160234943</v>
      </c>
      <c r="B3736" t="str">
        <f>"1578729754935978"</f>
        <v>1578729754935978</v>
      </c>
      <c r="C3736" t="s">
        <v>37</v>
      </c>
      <c r="D3736">
        <v>5.9650639999999999</v>
      </c>
      <c r="E3736">
        <v>0.47210190000000002</v>
      </c>
      <c r="F3736" t="s">
        <v>77</v>
      </c>
      <c r="G3736">
        <v>-304.32560000000001</v>
      </c>
      <c r="H3736" s="1">
        <v>-7.5386149999999902E-6</v>
      </c>
      <c r="I3736">
        <v>136.0556</v>
      </c>
      <c r="J3736">
        <v>-285.48649999999998</v>
      </c>
      <c r="K3736">
        <v>1.104633</v>
      </c>
      <c r="L3736">
        <v>136.99440000000001</v>
      </c>
      <c r="M3736">
        <v>-0.99978940000000005</v>
      </c>
      <c r="N3736">
        <v>0</v>
      </c>
      <c r="O3736">
        <v>1.42633999999999E-2</v>
      </c>
      <c r="P3736">
        <v>-0.99950280000000002</v>
      </c>
      <c r="Q3736">
        <v>-4.1171909999999999E-4</v>
      </c>
      <c r="R3736">
        <v>3.1530089999999997E-2</v>
      </c>
      <c r="S3736">
        <v>-3.0058289999999999</v>
      </c>
      <c r="T3736">
        <v>-0.1739252</v>
      </c>
      <c r="U3736">
        <v>-0.14727779999999999</v>
      </c>
      <c r="V3736">
        <v>1.7264599999999901E-2</v>
      </c>
      <c r="W3736">
        <v>1.435356E-2</v>
      </c>
      <c r="X3736">
        <v>0.99974789999999902</v>
      </c>
      <c r="Y3736">
        <v>-6.3052549999999999E-2</v>
      </c>
      <c r="Z3736">
        <v>-2.6458549999999999E-3</v>
      </c>
      <c r="AA3736">
        <v>0.99800669999999903</v>
      </c>
      <c r="AB3736">
        <v>25</v>
      </c>
      <c r="AC3736">
        <v>-18.839099999999998</v>
      </c>
      <c r="AD3736">
        <v>-1.104640538615</v>
      </c>
      <c r="AE3736">
        <v>-0.93880000000001396</v>
      </c>
      <c r="AF3736">
        <v>-1.2033164477093601</v>
      </c>
      <c r="AG3736">
        <v>-1.104640538615</v>
      </c>
      <c r="AH3736">
        <v>18.759453614436399</v>
      </c>
      <c r="AI3736">
        <v>93.363044771562599</v>
      </c>
      <c r="AJ3736">
        <v>93.670183020417895</v>
      </c>
      <c r="AK3736">
        <v>18.830435499612602</v>
      </c>
    </row>
    <row r="3737" spans="1:37" x14ac:dyDescent="0.2">
      <c r="A3737" t="str">
        <f>"20200111160234966"</f>
        <v>20200111160234966</v>
      </c>
      <c r="B3737" t="str">
        <f>"1578729754955497"</f>
        <v>1578729754955497</v>
      </c>
      <c r="C3737" t="s">
        <v>37</v>
      </c>
      <c r="D3737">
        <v>5.5898519999999996</v>
      </c>
      <c r="E3737">
        <v>0.47163679999999902</v>
      </c>
      <c r="F3737" t="s">
        <v>77</v>
      </c>
      <c r="G3737">
        <v>-305.3956</v>
      </c>
      <c r="H3737" s="1">
        <v>-7.6959690000000007E-6</v>
      </c>
      <c r="I3737">
        <v>136.06710000000001</v>
      </c>
      <c r="J3737">
        <v>-285.73930000000001</v>
      </c>
      <c r="K3737">
        <v>1.10463</v>
      </c>
      <c r="L3737">
        <v>136.99770000000001</v>
      </c>
      <c r="M3737">
        <v>-0.99979269999999998</v>
      </c>
      <c r="N3737">
        <v>0</v>
      </c>
      <c r="O3737">
        <v>1.405607E-2</v>
      </c>
      <c r="P3737">
        <v>-0.99949189999999999</v>
      </c>
      <c r="Q3737" s="1">
        <v>4.0352339999999999E-5</v>
      </c>
      <c r="R3737">
        <v>3.1879129999999999E-2</v>
      </c>
      <c r="S3737">
        <v>-3.0058289999999999</v>
      </c>
      <c r="T3737">
        <v>-0.16677600000000001</v>
      </c>
      <c r="U3737">
        <v>-0.1399994</v>
      </c>
      <c r="V3737">
        <v>1.7821130000000001E-2</v>
      </c>
      <c r="W3737">
        <v>1.478076E-2</v>
      </c>
      <c r="X3737">
        <v>0.99973199999999995</v>
      </c>
      <c r="Y3737">
        <v>-6.044894E-2</v>
      </c>
      <c r="Z3737">
        <v>-2.4537840000000001E-3</v>
      </c>
      <c r="AA3737">
        <v>0.99816830000000001</v>
      </c>
      <c r="AB3737">
        <v>25</v>
      </c>
      <c r="AC3737">
        <v>-19.656299999999899</v>
      </c>
      <c r="AD3737">
        <v>-1.1046376959690001</v>
      </c>
      <c r="AE3737">
        <v>-0.93059999999999798</v>
      </c>
      <c r="AF3737">
        <v>-1.20303744798546</v>
      </c>
      <c r="AG3737">
        <v>-1.1046376959690001</v>
      </c>
      <c r="AH3737">
        <v>19.5795782637591</v>
      </c>
      <c r="AI3737">
        <v>93.2230161833224</v>
      </c>
      <c r="AJ3737">
        <v>93.516031900921107</v>
      </c>
      <c r="AK3737">
        <v>19.647580220660199</v>
      </c>
    </row>
    <row r="3738" spans="1:37" x14ac:dyDescent="0.2">
      <c r="A3738" t="str">
        <f>"20200111160234987"</f>
        <v>20200111160234987</v>
      </c>
      <c r="B3738" t="str">
        <f>"1578729754975993"</f>
        <v>1578729754975993</v>
      </c>
      <c r="C3738" t="s">
        <v>37</v>
      </c>
      <c r="D3738">
        <v>5.2018430000000002</v>
      </c>
      <c r="E3738">
        <v>0.47224480000000002</v>
      </c>
      <c r="F3738" t="s">
        <v>77</v>
      </c>
      <c r="G3738">
        <v>-306.31150000000002</v>
      </c>
      <c r="H3738" s="1">
        <v>-7.8136659999999997E-6</v>
      </c>
      <c r="I3738">
        <v>136.0239</v>
      </c>
      <c r="J3738">
        <v>-285.97480000000002</v>
      </c>
      <c r="K3738">
        <v>1.104625</v>
      </c>
      <c r="L3738">
        <v>137.0008</v>
      </c>
      <c r="M3738">
        <v>-0.99979569999999995</v>
      </c>
      <c r="N3738">
        <v>0</v>
      </c>
      <c r="O3738">
        <v>1.386272E-2</v>
      </c>
      <c r="P3738">
        <v>-0.99950430000000001</v>
      </c>
      <c r="Q3738" s="1">
        <v>2.9448419999999999E-5</v>
      </c>
      <c r="R3738">
        <v>3.14877E-2</v>
      </c>
      <c r="S3738">
        <v>-3.00607299999999</v>
      </c>
      <c r="T3738">
        <v>-0.16141329999999901</v>
      </c>
      <c r="U3738">
        <v>-0.1423035</v>
      </c>
      <c r="V3738">
        <v>1.7622849999999999E-2</v>
      </c>
      <c r="W3738">
        <v>1.4747390000000001E-2</v>
      </c>
      <c r="X3738">
        <v>0.99973599999999996</v>
      </c>
      <c r="Y3738">
        <v>-6.102221E-2</v>
      </c>
      <c r="Z3738">
        <v>-2.3797639999999999E-3</v>
      </c>
      <c r="AA3738">
        <v>0.99813359999999995</v>
      </c>
      <c r="AB3738">
        <v>25</v>
      </c>
      <c r="AC3738">
        <v>-20.3367</v>
      </c>
      <c r="AD3738">
        <v>-1.104632813666</v>
      </c>
      <c r="AE3738">
        <v>-0.97689999999999999</v>
      </c>
      <c r="AF3738">
        <v>-1.25506422588947</v>
      </c>
      <c r="AG3738">
        <v>-1.104632813666</v>
      </c>
      <c r="AH3738">
        <v>20.2615601617848</v>
      </c>
      <c r="AI3738">
        <v>93.114641112501403</v>
      </c>
      <c r="AJ3738">
        <v>93.544550478960403</v>
      </c>
      <c r="AK3738">
        <v>20.330425968330299</v>
      </c>
    </row>
    <row r="3739" spans="1:37" x14ac:dyDescent="0.2">
      <c r="A3739" t="str">
        <f>"20200111160235010"</f>
        <v>20200111160235010</v>
      </c>
      <c r="B3739" t="str">
        <f>"1578729755006250"</f>
        <v>1578729755006250</v>
      </c>
      <c r="C3739" t="s">
        <v>37</v>
      </c>
      <c r="D3739">
        <v>5.328093</v>
      </c>
      <c r="E3739">
        <v>0.47258850000000002</v>
      </c>
      <c r="F3739" t="s">
        <v>77</v>
      </c>
      <c r="G3739">
        <v>-305.83699999999999</v>
      </c>
      <c r="H3739" s="1">
        <v>-7.7642790000000004E-6</v>
      </c>
      <c r="I3739">
        <v>136.08250000000001</v>
      </c>
      <c r="J3739">
        <v>-286.22800000000001</v>
      </c>
      <c r="K3739">
        <v>1.104625</v>
      </c>
      <c r="L3739">
        <v>137.00409999999999</v>
      </c>
      <c r="M3739">
        <v>-0.99979879999999999</v>
      </c>
      <c r="N3739">
        <v>0</v>
      </c>
      <c r="O3739">
        <v>1.3654650000000001E-2</v>
      </c>
      <c r="P3739">
        <v>-0.99950859999999997</v>
      </c>
      <c r="Q3739">
        <v>-4.2273099999999997E-4</v>
      </c>
      <c r="R3739">
        <v>3.1348279999999999E-2</v>
      </c>
      <c r="S3739">
        <v>-3.0058590000000001</v>
      </c>
      <c r="T3739">
        <v>-0.1671697</v>
      </c>
      <c r="U3739">
        <v>-0.13897709999999999</v>
      </c>
      <c r="V3739">
        <v>1.7691579999999998E-2</v>
      </c>
      <c r="W3739">
        <v>1.427346E-2</v>
      </c>
      <c r="X3739">
        <v>0.99974159999999901</v>
      </c>
      <c r="Y3739">
        <v>-5.9710140000000002E-2</v>
      </c>
      <c r="Z3739">
        <v>-2.4167439999999902E-3</v>
      </c>
      <c r="AA3739">
        <v>0.99821280000000001</v>
      </c>
      <c r="AB3739">
        <v>25</v>
      </c>
      <c r="AC3739">
        <v>-19.608999999999899</v>
      </c>
      <c r="AD3739">
        <v>-1.1046327642789999</v>
      </c>
      <c r="AE3739">
        <v>-0.92159999999998299</v>
      </c>
      <c r="AF3739">
        <v>-1.1855430918463701</v>
      </c>
      <c r="AG3739">
        <v>-1.1046327642789999</v>
      </c>
      <c r="AH3739">
        <v>19.532737401180398</v>
      </c>
      <c r="AI3739">
        <v>93.230861234590293</v>
      </c>
      <c r="AJ3739">
        <v>93.473316941901004</v>
      </c>
      <c r="AK3739">
        <v>19.599835620484601</v>
      </c>
    </row>
    <row r="3740" spans="1:37" x14ac:dyDescent="0.2">
      <c r="A3740" t="str">
        <f>"20200111160235033"</f>
        <v>20200111160235033</v>
      </c>
      <c r="B3740" t="str">
        <f>"1578729755025770"</f>
        <v>1578729755025770</v>
      </c>
      <c r="C3740" t="s">
        <v>37</v>
      </c>
      <c r="D3740">
        <v>5.1633230000000001</v>
      </c>
      <c r="E3740">
        <v>0.47280450000000002</v>
      </c>
      <c r="F3740" t="s">
        <v>77</v>
      </c>
      <c r="G3740">
        <v>-305.3064</v>
      </c>
      <c r="H3740" s="1">
        <v>-7.7044810000000002E-6</v>
      </c>
      <c r="I3740">
        <v>136.13380000000001</v>
      </c>
      <c r="J3740">
        <v>-286.48919999999998</v>
      </c>
      <c r="K3740">
        <v>1.1046260000000001</v>
      </c>
      <c r="L3740">
        <v>137.00739999999999</v>
      </c>
      <c r="M3740">
        <v>-0.99980210000000003</v>
      </c>
      <c r="N3740">
        <v>0</v>
      </c>
      <c r="O3740">
        <v>1.3439649999999999E-2</v>
      </c>
      <c r="P3740">
        <v>-0.99952249999999998</v>
      </c>
      <c r="Q3740">
        <v>-3.411062E-4</v>
      </c>
      <c r="R3740">
        <v>3.0897500000000001E-2</v>
      </c>
      <c r="S3740">
        <v>-3.0057369999999999</v>
      </c>
      <c r="T3740">
        <v>-0.17403170000000001</v>
      </c>
      <c r="U3740">
        <v>-0.1371155</v>
      </c>
      <c r="V3740">
        <v>1.7455599999999901E-2</v>
      </c>
      <c r="W3740">
        <v>1.4333540000000001E-2</v>
      </c>
      <c r="X3740">
        <v>0.99974490000000005</v>
      </c>
      <c r="Y3740">
        <v>-5.8872670000000002E-2</v>
      </c>
      <c r="Z3740">
        <v>-2.479275E-3</v>
      </c>
      <c r="AA3740">
        <v>0.99826239999999999</v>
      </c>
      <c r="AB3740">
        <v>25</v>
      </c>
      <c r="AC3740">
        <v>-18.8172</v>
      </c>
      <c r="AD3740">
        <v>-1.104633704481</v>
      </c>
      <c r="AE3740">
        <v>-0.87359999999998195</v>
      </c>
      <c r="AF3740">
        <v>-1.12258466542923</v>
      </c>
      <c r="AG3740">
        <v>-1.104633704481</v>
      </c>
      <c r="AH3740">
        <v>18.739319505964001</v>
      </c>
      <c r="AI3740">
        <v>93.3675089481887</v>
      </c>
      <c r="AJ3740">
        <v>93.428224215692893</v>
      </c>
      <c r="AK3740">
        <v>18.8053850664839</v>
      </c>
    </row>
    <row r="3741" spans="1:37" x14ac:dyDescent="0.2">
      <c r="A3741" t="str">
        <f>"20200111160235055"</f>
        <v>20200111160235055</v>
      </c>
      <c r="B3741" t="str">
        <f>"1578729755046265"</f>
        <v>1578729755046265</v>
      </c>
      <c r="C3741" t="s">
        <v>37</v>
      </c>
      <c r="D3741">
        <v>5.6803509999999999</v>
      </c>
      <c r="E3741">
        <v>0.4726957</v>
      </c>
      <c r="F3741" t="s">
        <v>77</v>
      </c>
      <c r="G3741">
        <v>-305.39139999999998</v>
      </c>
      <c r="H3741" s="1">
        <v>-7.7210460000000003E-6</v>
      </c>
      <c r="I3741">
        <v>136.1474</v>
      </c>
      <c r="J3741">
        <v>-286.73450000000003</v>
      </c>
      <c r="K3741">
        <v>1.1046290000000001</v>
      </c>
      <c r="L3741">
        <v>137.01050000000001</v>
      </c>
      <c r="M3741">
        <v>-0.99980519999999995</v>
      </c>
      <c r="N3741">
        <v>0</v>
      </c>
      <c r="O3741">
        <v>1.3237509999999999E-2</v>
      </c>
      <c r="P3741">
        <v>-0.99952569999999996</v>
      </c>
      <c r="Q3741" s="1">
        <v>4.6916309999999997E-5</v>
      </c>
      <c r="R3741">
        <v>3.0802340000000001E-2</v>
      </c>
      <c r="S3741">
        <v>-3.005585</v>
      </c>
      <c r="T3741">
        <v>-0.17564460000000001</v>
      </c>
      <c r="U3741">
        <v>-0.13674929999999999</v>
      </c>
      <c r="V3741">
        <v>1.756255E-2</v>
      </c>
      <c r="W3741">
        <v>1.4703519999999999E-2</v>
      </c>
      <c r="X3741">
        <v>0.9997376</v>
      </c>
      <c r="Y3741">
        <v>-5.8550400000000002E-2</v>
      </c>
      <c r="Z3741">
        <v>-2.4811439999999998E-3</v>
      </c>
      <c r="AA3741">
        <v>0.99828139999999999</v>
      </c>
      <c r="AB3741">
        <v>25</v>
      </c>
      <c r="AC3741">
        <v>-18.656899999999901</v>
      </c>
      <c r="AD3741">
        <v>-1.104636721046</v>
      </c>
      <c r="AE3741">
        <v>-0.86310000000000198</v>
      </c>
      <c r="AF3741">
        <v>-1.1061523053231801</v>
      </c>
      <c r="AG3741">
        <v>-1.104636721046</v>
      </c>
      <c r="AH3741">
        <v>18.578847854991999</v>
      </c>
      <c r="AI3741">
        <v>93.396610701487702</v>
      </c>
      <c r="AJ3741">
        <v>93.407268878418805</v>
      </c>
      <c r="AK3741">
        <v>18.644500069108702</v>
      </c>
    </row>
    <row r="3742" spans="1:37" x14ac:dyDescent="0.2">
      <c r="A3742" t="str">
        <f>"20200111160235076"</f>
        <v>20200111160235076</v>
      </c>
      <c r="B3742" t="str">
        <f>"1578729755065785"</f>
        <v>1578729755065785</v>
      </c>
      <c r="C3742" t="s">
        <v>37</v>
      </c>
      <c r="D3742">
        <v>5.1942449999999996</v>
      </c>
      <c r="E3742">
        <v>0.47295189999999998</v>
      </c>
      <c r="F3742" t="s">
        <v>77</v>
      </c>
      <c r="G3742">
        <v>-305.80079999999998</v>
      </c>
      <c r="H3742" s="1">
        <v>-7.7762750000000004E-6</v>
      </c>
      <c r="I3742">
        <v>136.13630000000001</v>
      </c>
      <c r="J3742">
        <v>-286.97140000000002</v>
      </c>
      <c r="K3742">
        <v>1.1046240000000001</v>
      </c>
      <c r="L3742">
        <v>137.01339999999999</v>
      </c>
      <c r="M3742">
        <v>-0.99980789999999997</v>
      </c>
      <c r="N3742">
        <v>0</v>
      </c>
      <c r="O3742">
        <v>1.304256E-2</v>
      </c>
      <c r="P3742">
        <v>-0.99953899999999996</v>
      </c>
      <c r="Q3742" s="1">
        <v>5.0388279999999897E-5</v>
      </c>
      <c r="R3742">
        <v>3.036353E-2</v>
      </c>
      <c r="S3742">
        <v>-3.0056759999999998</v>
      </c>
      <c r="T3742">
        <v>-0.17413879999999901</v>
      </c>
      <c r="U3742">
        <v>-0.13781740000000001</v>
      </c>
      <c r="V3742">
        <v>1.7318549999999999E-2</v>
      </c>
      <c r="W3742">
        <v>1.469065E-2</v>
      </c>
      <c r="X3742">
        <v>0.99974209999999997</v>
      </c>
      <c r="Y3742">
        <v>-5.8710529999999997E-2</v>
      </c>
      <c r="Z3742">
        <v>-2.4531660000000001E-3</v>
      </c>
      <c r="AA3742">
        <v>0.9982721</v>
      </c>
      <c r="AB3742">
        <v>25</v>
      </c>
      <c r="AC3742">
        <v>-18.8293999999999</v>
      </c>
      <c r="AD3742">
        <v>-1.104631776275</v>
      </c>
      <c r="AE3742">
        <v>-0.877099999999984</v>
      </c>
      <c r="AF3742">
        <v>-1.11879313062126</v>
      </c>
      <c r="AG3742">
        <v>-1.104631776275</v>
      </c>
      <c r="AH3742">
        <v>18.751959947509601</v>
      </c>
      <c r="AI3742">
        <v>93.365286832067298</v>
      </c>
      <c r="AJ3742">
        <v>93.414375166985195</v>
      </c>
      <c r="AK3742">
        <v>18.817755214246102</v>
      </c>
    </row>
    <row r="3743" spans="1:37" x14ac:dyDescent="0.2">
      <c r="A3743" t="str">
        <f>"20200111160235123"</f>
        <v>20200111160235123</v>
      </c>
      <c r="B3743" t="str">
        <f>"1578729755115563"</f>
        <v>1578729755115563</v>
      </c>
      <c r="C3743" t="s">
        <v>37</v>
      </c>
      <c r="D3743">
        <v>6.3768669999999998</v>
      </c>
      <c r="E3743">
        <v>0.51807859999999994</v>
      </c>
      <c r="F3743" t="s">
        <v>77</v>
      </c>
      <c r="G3743">
        <v>-306.67259999999999</v>
      </c>
      <c r="H3743" s="1">
        <v>-7.8979159999999998E-6</v>
      </c>
      <c r="I3743">
        <v>136.11670000000001</v>
      </c>
      <c r="J3743">
        <v>-287.48939999999999</v>
      </c>
      <c r="K3743">
        <v>1.1046240000000001</v>
      </c>
      <c r="L3743">
        <v>137.0196</v>
      </c>
      <c r="M3743">
        <v>-0.99981369999999903</v>
      </c>
      <c r="N3743">
        <v>0</v>
      </c>
      <c r="O3743">
        <v>1.261727E-2</v>
      </c>
      <c r="P3743">
        <v>-0.99954149999999997</v>
      </c>
      <c r="Q3743">
        <v>-6.3983349999999998E-4</v>
      </c>
      <c r="R3743">
        <v>3.0275159999999999E-2</v>
      </c>
      <c r="S3743">
        <v>-3.0055239999999999</v>
      </c>
      <c r="T3743">
        <v>-0.168517</v>
      </c>
      <c r="U3743">
        <v>-0.136795</v>
      </c>
      <c r="V3743">
        <v>1.7655790000000001E-2</v>
      </c>
      <c r="W3743">
        <v>1.3968309999999999E-2</v>
      </c>
      <c r="X3743">
        <v>0.99974660000000004</v>
      </c>
      <c r="Y3743">
        <v>-5.7958799999999998E-2</v>
      </c>
      <c r="Z3743">
        <v>-2.3293670000000002E-3</v>
      </c>
      <c r="AA3743">
        <v>0.99831630000000005</v>
      </c>
      <c r="AB3743">
        <v>25</v>
      </c>
      <c r="AC3743">
        <v>-19.183199999999999</v>
      </c>
      <c r="AD3743">
        <v>-1.1046318979159999</v>
      </c>
      <c r="AE3743">
        <v>-0.90289999999998805</v>
      </c>
      <c r="AF3743">
        <v>-1.1411181559516901</v>
      </c>
      <c r="AG3743">
        <v>-1.1046318979159999</v>
      </c>
      <c r="AH3743">
        <v>19.107063478528602</v>
      </c>
      <c r="AI3743">
        <v>93.302871650114596</v>
      </c>
      <c r="AJ3743">
        <v>93.417777267701595</v>
      </c>
      <c r="AK3743">
        <v>19.1729558766575</v>
      </c>
    </row>
    <row r="3744" spans="1:37" x14ac:dyDescent="0.2">
      <c r="A3744" t="str">
        <f>"20200111160235144"</f>
        <v>20200111160235144</v>
      </c>
      <c r="B3744" t="str">
        <f>"1578729755136057"</f>
        <v>1578729755136057</v>
      </c>
      <c r="C3744" t="s">
        <v>37</v>
      </c>
      <c r="D3744">
        <v>5.3593839999999897</v>
      </c>
      <c r="E3744">
        <v>0.52026530000000004</v>
      </c>
      <c r="F3744" t="s">
        <v>42</v>
      </c>
      <c r="G3744">
        <v>-288.28410000000002</v>
      </c>
      <c r="H3744">
        <v>1.0452250000000001</v>
      </c>
      <c r="I3744">
        <v>137.07810000000001</v>
      </c>
      <c r="J3744">
        <v>-287.72949999999997</v>
      </c>
      <c r="K3744">
        <v>1.104625</v>
      </c>
      <c r="L3744">
        <v>137.0224</v>
      </c>
      <c r="M3744">
        <v>-0.9998165</v>
      </c>
      <c r="N3744">
        <v>0</v>
      </c>
      <c r="O3744">
        <v>1.242088E-2</v>
      </c>
      <c r="P3744">
        <v>-0.99953449999999899</v>
      </c>
      <c r="Q3744">
        <v>-4.2196360000000001E-4</v>
      </c>
      <c r="R3744">
        <v>3.0504730000000001E-2</v>
      </c>
      <c r="S3744">
        <v>-2.9945680000000001</v>
      </c>
      <c r="T3744">
        <v>-0.22397259999999999</v>
      </c>
      <c r="U3744">
        <v>0.21952820000000001</v>
      </c>
      <c r="V3744">
        <v>1.8081650000000001E-2</v>
      </c>
      <c r="W3744">
        <v>1.417334E-2</v>
      </c>
      <c r="X3744">
        <v>0.99973609999999902</v>
      </c>
      <c r="Y3744">
        <v>6.0584249999999999E-2</v>
      </c>
      <c r="Z3744">
        <v>1.3330219999999999E-3</v>
      </c>
      <c r="AA3744">
        <v>0.998162199999999</v>
      </c>
      <c r="AB3744">
        <v>25</v>
      </c>
      <c r="AC3744">
        <v>-0.55460000000005005</v>
      </c>
      <c r="AD3744">
        <v>-5.9399999999999897E-2</v>
      </c>
      <c r="AE3744">
        <v>5.5700000000001602E-2</v>
      </c>
      <c r="AF3744">
        <v>4.8258291651278602E-2</v>
      </c>
      <c r="AG3744">
        <v>-5.9399999999999897E-2</v>
      </c>
      <c r="AH3744">
        <v>0.54901410246910598</v>
      </c>
      <c r="AI3744">
        <v>96.151500322568495</v>
      </c>
      <c r="AJ3744">
        <v>84.976616983252995</v>
      </c>
      <c r="AK3744">
        <v>0.55432274662245096</v>
      </c>
    </row>
    <row r="3745" spans="1:37" x14ac:dyDescent="0.2">
      <c r="A3745" t="str">
        <f>"20200111160235167"</f>
        <v>20200111160235167</v>
      </c>
      <c r="B3745" t="str">
        <f>"1578729755155581"</f>
        <v>1578729755155581</v>
      </c>
      <c r="C3745" t="s">
        <v>37</v>
      </c>
      <c r="D3745">
        <v>5.2705979999999997</v>
      </c>
      <c r="E3745">
        <v>0.52130500000000002</v>
      </c>
      <c r="F3745" t="s">
        <v>42</v>
      </c>
      <c r="G3745">
        <v>-288.51319999999998</v>
      </c>
      <c r="H3745">
        <v>1.0522559999999901</v>
      </c>
      <c r="I3745">
        <v>137.08539999999999</v>
      </c>
      <c r="J3745">
        <v>-287.97489999999999</v>
      </c>
      <c r="K3745">
        <v>1.10463</v>
      </c>
      <c r="L3745">
        <v>137.02520000000001</v>
      </c>
      <c r="M3745">
        <v>-0.99981919999999902</v>
      </c>
      <c r="N3745">
        <v>0</v>
      </c>
      <c r="O3745">
        <v>1.2220429999999999E-2</v>
      </c>
      <c r="P3745">
        <v>-0.99952540000000001</v>
      </c>
      <c r="Q3745">
        <v>1.665018E-4</v>
      </c>
      <c r="R3745">
        <v>3.081389E-2</v>
      </c>
      <c r="S3745">
        <v>-2.99401899999999</v>
      </c>
      <c r="T3745">
        <v>-0.20024539999999999</v>
      </c>
      <c r="U3745">
        <v>0.23945619999999901</v>
      </c>
      <c r="V3745">
        <v>1.8591389999999999E-2</v>
      </c>
      <c r="W3745">
        <v>1.4749770000000001E-2</v>
      </c>
      <c r="X3745">
        <v>0.99971840000000001</v>
      </c>
      <c r="Y3745">
        <v>6.7412349999999996E-2</v>
      </c>
      <c r="Z3745">
        <v>1.43315E-3</v>
      </c>
      <c r="AA3745">
        <v>0.99772419999999995</v>
      </c>
      <c r="AB3745">
        <v>25</v>
      </c>
      <c r="AC3745">
        <v>-0.53829999999999201</v>
      </c>
      <c r="AD3745">
        <v>-5.2374000000000101E-2</v>
      </c>
      <c r="AE3745">
        <v>6.0199999999980401E-2</v>
      </c>
      <c r="AF3745">
        <v>5.3119907669486197E-2</v>
      </c>
      <c r="AG3745">
        <v>-5.2374000000000101E-2</v>
      </c>
      <c r="AH3745">
        <v>0.53400292420069195</v>
      </c>
      <c r="AI3745">
        <v>95.574210148931996</v>
      </c>
      <c r="AJ3745">
        <v>84.319194396564399</v>
      </c>
      <c r="AK3745">
        <v>0.539188170791705</v>
      </c>
    </row>
    <row r="3746" spans="1:37" x14ac:dyDescent="0.2">
      <c r="A3746" t="str">
        <f>"20200111160235189"</f>
        <v>20200111160235189</v>
      </c>
      <c r="B3746" t="str">
        <f>"1578729755185834"</f>
        <v>1578729755185834</v>
      </c>
      <c r="C3746" t="s">
        <v>37</v>
      </c>
      <c r="D3746">
        <v>6.6226759999999896</v>
      </c>
      <c r="E3746">
        <v>0.52212619999999998</v>
      </c>
      <c r="F3746" t="s">
        <v>42</v>
      </c>
      <c r="G3746">
        <v>-288.73250000000002</v>
      </c>
      <c r="H3746">
        <v>1.0522559999999901</v>
      </c>
      <c r="I3746">
        <v>137.0882</v>
      </c>
      <c r="J3746">
        <v>-288.21980000000002</v>
      </c>
      <c r="K3746">
        <v>1.10463</v>
      </c>
      <c r="L3746">
        <v>137.02799999999999</v>
      </c>
      <c r="M3746">
        <v>-0.99982169999999904</v>
      </c>
      <c r="N3746">
        <v>0</v>
      </c>
      <c r="O3746">
        <v>1.2021169999999999E-2</v>
      </c>
      <c r="P3746">
        <v>-0.99951559999999995</v>
      </c>
      <c r="Q3746">
        <v>6.2475349999999998E-4</v>
      </c>
      <c r="R3746">
        <v>3.1117760000000001E-2</v>
      </c>
      <c r="S3746">
        <v>-2.9937740000000002</v>
      </c>
      <c r="T3746">
        <v>-0.20700549999999901</v>
      </c>
      <c r="U3746">
        <v>0.2482452</v>
      </c>
      <c r="V3746">
        <v>1.9094489999999999E-2</v>
      </c>
      <c r="W3746">
        <v>1.519652E-2</v>
      </c>
      <c r="X3746">
        <v>0.99970219999999899</v>
      </c>
      <c r="Y3746">
        <v>7.0510920000000005E-2</v>
      </c>
      <c r="Z3746">
        <v>1.6019179999999999E-3</v>
      </c>
      <c r="AA3746">
        <v>0.99750969999999906</v>
      </c>
      <c r="AB3746">
        <v>25</v>
      </c>
      <c r="AC3746">
        <v>-0.51269999999999505</v>
      </c>
      <c r="AD3746">
        <v>-5.2374000000000101E-2</v>
      </c>
      <c r="AE3746">
        <v>6.0200000000008899E-2</v>
      </c>
      <c r="AF3746">
        <v>5.3481238824882503E-2</v>
      </c>
      <c r="AG3746">
        <v>-5.2374000000000101E-2</v>
      </c>
      <c r="AH3746">
        <v>0.50815605176321998</v>
      </c>
      <c r="AI3746">
        <v>95.852415581853904</v>
      </c>
      <c r="AJ3746">
        <v>83.991983407774001</v>
      </c>
      <c r="AK3746">
        <v>0.51363980738045301</v>
      </c>
    </row>
    <row r="3747" spans="1:37" x14ac:dyDescent="0.2">
      <c r="A3747" t="str">
        <f>"20200111160235212"</f>
        <v>20200111160235212</v>
      </c>
      <c r="B3747" t="str">
        <f>"1578729755206330"</f>
        <v>1578729755206330</v>
      </c>
      <c r="C3747" t="s">
        <v>37</v>
      </c>
      <c r="D3747">
        <v>5.277139</v>
      </c>
      <c r="E3747">
        <v>0.51916359999999995</v>
      </c>
      <c r="F3747" t="s">
        <v>42</v>
      </c>
      <c r="G3747">
        <v>-288.95249999999999</v>
      </c>
      <c r="H3747">
        <v>1.051615</v>
      </c>
      <c r="I3747">
        <v>137.09059999999999</v>
      </c>
      <c r="J3747">
        <v>-288.46949999999998</v>
      </c>
      <c r="K3747">
        <v>1.1046290000000001</v>
      </c>
      <c r="L3747">
        <v>137.0307</v>
      </c>
      <c r="M3747">
        <v>-0.9998243</v>
      </c>
      <c r="N3747">
        <v>0</v>
      </c>
      <c r="O3747">
        <v>1.181831E-2</v>
      </c>
      <c r="P3747">
        <v>-0.99952799999999997</v>
      </c>
      <c r="Q3747">
        <v>1.223411E-3</v>
      </c>
      <c r="R3747">
        <v>3.0701389999999999E-2</v>
      </c>
      <c r="S3747">
        <v>-2.9935909999999999</v>
      </c>
      <c r="T3747">
        <v>-0.2166689</v>
      </c>
      <c r="U3747">
        <v>0.25482179999999999</v>
      </c>
      <c r="V3747">
        <v>1.888068E-2</v>
      </c>
      <c r="W3747">
        <v>1.5783910000000002E-2</v>
      </c>
      <c r="X3747">
        <v>0.99969710000000001</v>
      </c>
      <c r="Y3747">
        <v>7.2874289999999994E-2</v>
      </c>
      <c r="Z3747">
        <v>1.7763569999999999E-3</v>
      </c>
      <c r="AA3747">
        <v>0.99733950000000005</v>
      </c>
      <c r="AB3747">
        <v>25</v>
      </c>
      <c r="AC3747">
        <v>-0.48300000000000398</v>
      </c>
      <c r="AD3747">
        <v>-5.3014000000000103E-2</v>
      </c>
      <c r="AE3747">
        <v>5.9899999999998899E-2</v>
      </c>
      <c r="AF3747">
        <v>5.3551592014632603E-2</v>
      </c>
      <c r="AG3747">
        <v>-5.3014000000000103E-2</v>
      </c>
      <c r="AH3747">
        <v>0.47800287257097201</v>
      </c>
      <c r="AI3747">
        <v>96.289625758444203</v>
      </c>
      <c r="AJ3747">
        <v>83.607696995679305</v>
      </c>
      <c r="AK3747">
        <v>0.48390598610618801</v>
      </c>
    </row>
    <row r="3748" spans="1:37" x14ac:dyDescent="0.2">
      <c r="A3748" t="str">
        <f>"20200111160235233"</f>
        <v>20200111160235233</v>
      </c>
      <c r="B3748" t="str">
        <f>"1578729755225850"</f>
        <v>1578729755225850</v>
      </c>
      <c r="C3748" t="s">
        <v>37</v>
      </c>
      <c r="D3748">
        <v>5.2126359999999998</v>
      </c>
      <c r="E3748">
        <v>0.5274451</v>
      </c>
      <c r="F3748" t="s">
        <v>79</v>
      </c>
      <c r="G3748">
        <v>-511.92970000000003</v>
      </c>
      <c r="H3748">
        <v>13.430569999999999</v>
      </c>
      <c r="I3748">
        <v>156.1713</v>
      </c>
      <c r="J3748">
        <v>-288.7079</v>
      </c>
      <c r="K3748">
        <v>1.104633</v>
      </c>
      <c r="L3748">
        <v>137.0333</v>
      </c>
      <c r="M3748">
        <v>-0.99982669999999996</v>
      </c>
      <c r="N3748">
        <v>0</v>
      </c>
      <c r="O3748">
        <v>1.162469E-2</v>
      </c>
      <c r="P3748">
        <v>-0.9995368</v>
      </c>
      <c r="Q3748">
        <v>2.08924E-3</v>
      </c>
      <c r="R3748">
        <v>3.036964E-2</v>
      </c>
      <c r="S3748">
        <v>-2.9933169999999998</v>
      </c>
      <c r="T3748">
        <v>0.16511010000000001</v>
      </c>
      <c r="U3748">
        <v>0.25639339999999999</v>
      </c>
      <c r="V3748">
        <v>1.874228E-2</v>
      </c>
      <c r="W3748">
        <v>1.6640200000000001E-2</v>
      </c>
      <c r="X3748">
        <v>0.99968590000000002</v>
      </c>
      <c r="Y3748">
        <v>7.3659939999999993E-2</v>
      </c>
      <c r="Z3748">
        <v>-1.3867459999999999E-3</v>
      </c>
      <c r="AA3748">
        <v>0.99728240000000001</v>
      </c>
      <c r="AB3748">
        <v>25</v>
      </c>
      <c r="AC3748">
        <v>-223.2218</v>
      </c>
      <c r="AD3748">
        <v>12.325937</v>
      </c>
      <c r="AE3748">
        <v>19.138000000000002</v>
      </c>
      <c r="AF3748">
        <v>16.491630859545001</v>
      </c>
      <c r="AG3748">
        <v>12.325937</v>
      </c>
      <c r="AH3748">
        <v>222.75497242321401</v>
      </c>
      <c r="AI3748">
        <v>86.841448606754994</v>
      </c>
      <c r="AJ3748">
        <v>85.765840345603806</v>
      </c>
      <c r="AK3748">
        <v>223.704448660732</v>
      </c>
    </row>
    <row r="3749" spans="1:37" x14ac:dyDescent="0.2">
      <c r="A3749" t="str">
        <f>"20200111160235258"</f>
        <v>20200111160235258</v>
      </c>
      <c r="B3749" t="str">
        <f>"1578729755246346"</f>
        <v>1578729755246346</v>
      </c>
      <c r="C3749" t="s">
        <v>37</v>
      </c>
      <c r="D3749">
        <v>5.2651849999999998</v>
      </c>
      <c r="E3749">
        <v>0.5251924</v>
      </c>
      <c r="F3749" t="s">
        <v>42</v>
      </c>
      <c r="G3749">
        <v>-289.61070000000001</v>
      </c>
      <c r="H3749">
        <v>1.050627</v>
      </c>
      <c r="I3749">
        <v>137.12309999999999</v>
      </c>
      <c r="J3749">
        <v>-288.96949999999998</v>
      </c>
      <c r="K3749">
        <v>1.1046309999999999</v>
      </c>
      <c r="L3749">
        <v>137.0361</v>
      </c>
      <c r="M3749">
        <v>-0.99982929999999903</v>
      </c>
      <c r="N3749">
        <v>0</v>
      </c>
      <c r="O3749">
        <v>1.1412780000000001E-2</v>
      </c>
      <c r="P3749">
        <v>-0.99954019999999999</v>
      </c>
      <c r="Q3749">
        <v>2.0670670000000001E-3</v>
      </c>
      <c r="R3749">
        <v>3.0254329999999999E-2</v>
      </c>
      <c r="S3749">
        <v>-2.99276699999999</v>
      </c>
      <c r="T3749">
        <v>-0.17901549999999999</v>
      </c>
      <c r="U3749">
        <v>0.29748540000000001</v>
      </c>
      <c r="V3749">
        <v>1.88387E-2</v>
      </c>
      <c r="W3749">
        <v>1.6607779999999999E-2</v>
      </c>
      <c r="X3749">
        <v>0.99968459999999904</v>
      </c>
      <c r="Y3749">
        <v>8.7415039999999999E-2</v>
      </c>
      <c r="Z3749">
        <v>1.9253229999999901E-3</v>
      </c>
      <c r="AA3749">
        <v>0.99617009999999995</v>
      </c>
      <c r="AB3749">
        <v>25</v>
      </c>
      <c r="AC3749">
        <v>-0.64120000000002597</v>
      </c>
      <c r="AD3749">
        <v>-5.4003999999999899E-2</v>
      </c>
      <c r="AE3749">
        <v>8.6999999999989003E-2</v>
      </c>
      <c r="AF3749">
        <v>7.9124556241469093E-2</v>
      </c>
      <c r="AG3749">
        <v>-5.4003999999999899E-2</v>
      </c>
      <c r="AH3749">
        <v>0.63770938623161799</v>
      </c>
      <c r="AI3749">
        <v>94.803844558510093</v>
      </c>
      <c r="AJ3749">
        <v>82.927105196623003</v>
      </c>
      <c r="AK3749">
        <v>0.64486462820061397</v>
      </c>
    </row>
    <row r="3750" spans="1:37" x14ac:dyDescent="0.2">
      <c r="A3750" t="str">
        <f>"20200111160235277"</f>
        <v>20200111160235277</v>
      </c>
      <c r="B3750" t="str">
        <f>"1578729755265866"</f>
        <v>1578729755265866</v>
      </c>
      <c r="C3750" t="s">
        <v>37</v>
      </c>
      <c r="D3750">
        <v>6.1808639999999997</v>
      </c>
      <c r="E3750">
        <v>0.52415299999999998</v>
      </c>
      <c r="F3750" t="s">
        <v>77</v>
      </c>
      <c r="G3750">
        <v>-312.78980000000001</v>
      </c>
      <c r="H3750" s="1">
        <v>-8.3167389999999995E-6</v>
      </c>
      <c r="I3750">
        <v>139.2791</v>
      </c>
      <c r="J3750">
        <v>-289.19389999999999</v>
      </c>
      <c r="K3750">
        <v>1.104635</v>
      </c>
      <c r="L3750">
        <v>137.0385</v>
      </c>
      <c r="M3750">
        <v>-0.99983140000000004</v>
      </c>
      <c r="N3750">
        <v>0</v>
      </c>
      <c r="O3750">
        <v>1.123215E-2</v>
      </c>
      <c r="P3750">
        <v>-0.99954209999999999</v>
      </c>
      <c r="Q3750">
        <v>1.1986830000000001E-3</v>
      </c>
      <c r="R3750">
        <v>3.023584E-2</v>
      </c>
      <c r="S3750">
        <v>-2.993134</v>
      </c>
      <c r="T3750">
        <v>-0.13880319999999999</v>
      </c>
      <c r="U3750">
        <v>0.28184509999999902</v>
      </c>
      <c r="V3750">
        <v>1.9001130000000001E-2</v>
      </c>
      <c r="W3750">
        <v>1.573099E-2</v>
      </c>
      <c r="X3750">
        <v>0.99969569999999996</v>
      </c>
      <c r="Y3750">
        <v>8.2483520000000005E-2</v>
      </c>
      <c r="Z3750">
        <v>1.3878720000000001E-3</v>
      </c>
      <c r="AA3750">
        <v>0.99659140000000002</v>
      </c>
      <c r="AB3750">
        <v>25</v>
      </c>
      <c r="AC3750">
        <v>-23.5959</v>
      </c>
      <c r="AD3750">
        <v>-1.104643316739</v>
      </c>
      <c r="AE3750">
        <v>2.2406000000000001</v>
      </c>
      <c r="AF3750">
        <v>1.9711165810047799</v>
      </c>
      <c r="AG3750">
        <v>-1.104643316739</v>
      </c>
      <c r="AH3750">
        <v>23.568388557813201</v>
      </c>
      <c r="AI3750">
        <v>92.674149769272503</v>
      </c>
      <c r="AJ3750">
        <v>85.219255505890203</v>
      </c>
      <c r="AK3750">
        <v>23.676454055563099</v>
      </c>
    </row>
    <row r="3751" spans="1:37" x14ac:dyDescent="0.2">
      <c r="A3751" t="str">
        <f>"20200111160235301"</f>
        <v>20200111160235301</v>
      </c>
      <c r="B3751" t="str">
        <f>"1578729755296122"</f>
        <v>1578729755296122</v>
      </c>
      <c r="C3751" t="s">
        <v>37</v>
      </c>
      <c r="D3751">
        <v>5.3665609999999999</v>
      </c>
      <c r="E3751">
        <v>0.52318450000000005</v>
      </c>
      <c r="F3751" t="s">
        <v>77</v>
      </c>
      <c r="G3751">
        <v>-316.55169999999998</v>
      </c>
      <c r="H3751" s="1">
        <v>-6.8766289999999997E-6</v>
      </c>
      <c r="I3751">
        <v>139.5513</v>
      </c>
      <c r="J3751">
        <v>-289.4391</v>
      </c>
      <c r="K3751">
        <v>1.104636</v>
      </c>
      <c r="L3751">
        <v>137.041</v>
      </c>
      <c r="M3751">
        <v>-0.99983359999999899</v>
      </c>
      <c r="N3751">
        <v>0</v>
      </c>
      <c r="O3751">
        <v>1.103663E-2</v>
      </c>
      <c r="P3751">
        <v>-0.99956219999999996</v>
      </c>
      <c r="Q3751">
        <v>1.5390289999999999E-3</v>
      </c>
      <c r="R3751">
        <v>2.954503E-2</v>
      </c>
      <c r="S3751">
        <v>-2.9932249999999998</v>
      </c>
      <c r="T3751">
        <v>-0.1208593</v>
      </c>
      <c r="U3751">
        <v>0.27493289999999998</v>
      </c>
      <c r="V3751">
        <v>1.8505609999999999E-2</v>
      </c>
      <c r="W3751">
        <v>1.6062819999999998E-2</v>
      </c>
      <c r="X3751">
        <v>0.99969969999999997</v>
      </c>
      <c r="Y3751">
        <v>8.041355E-2</v>
      </c>
      <c r="Z3751">
        <v>1.1748869999999999E-3</v>
      </c>
      <c r="AA3751">
        <v>0.99676089999999995</v>
      </c>
      <c r="AB3751">
        <v>25</v>
      </c>
      <c r="AC3751">
        <v>-27.112599999999901</v>
      </c>
      <c r="AD3751">
        <v>-1.104642876629</v>
      </c>
      <c r="AE3751">
        <v>2.5103</v>
      </c>
      <c r="AF3751">
        <v>2.2072509354921999</v>
      </c>
      <c r="AG3751">
        <v>-1.104642876629</v>
      </c>
      <c r="AH3751">
        <v>27.0940633391427</v>
      </c>
      <c r="AI3751">
        <v>92.326993230320298</v>
      </c>
      <c r="AJ3751">
        <v>85.342614519985304</v>
      </c>
      <c r="AK3751">
        <v>27.206257750793199</v>
      </c>
    </row>
    <row r="3752" spans="1:37" x14ac:dyDescent="0.2">
      <c r="A3752" t="str">
        <f>"20200111160235324"</f>
        <v>20200111160235324</v>
      </c>
      <c r="B3752" t="str">
        <f>"1578729755315643"</f>
        <v>1578729755315643</v>
      </c>
      <c r="C3752" t="s">
        <v>37</v>
      </c>
      <c r="D3752">
        <v>5.3094599999999996</v>
      </c>
      <c r="E3752">
        <v>0.52334519999999995</v>
      </c>
      <c r="F3752" t="s">
        <v>38</v>
      </c>
      <c r="G3752">
        <v>-341.49630000000002</v>
      </c>
      <c r="H3752" s="1">
        <v>-4.1402879999999997E-6</v>
      </c>
      <c r="I3752">
        <v>141.7218</v>
      </c>
      <c r="J3752">
        <v>-289.69709999999998</v>
      </c>
      <c r="K3752">
        <v>1.104636</v>
      </c>
      <c r="L3752">
        <v>137.0436</v>
      </c>
      <c r="M3752">
        <v>-0.99983599999999995</v>
      </c>
      <c r="N3752">
        <v>0</v>
      </c>
      <c r="O3752">
        <v>1.0832720000000001E-2</v>
      </c>
      <c r="P3752">
        <v>-0.99956919999999905</v>
      </c>
      <c r="Q3752">
        <v>1.610532E-3</v>
      </c>
      <c r="R3752">
        <v>2.930787E-2</v>
      </c>
      <c r="S3752">
        <v>-2.993439</v>
      </c>
      <c r="T3752">
        <v>-6.3519950000000006E-2</v>
      </c>
      <c r="U3752">
        <v>0.26916499999999999</v>
      </c>
      <c r="V3752">
        <v>1.8472550000000001E-2</v>
      </c>
      <c r="W3752">
        <v>1.6125759999999999E-2</v>
      </c>
      <c r="X3752">
        <v>0.99969929999999996</v>
      </c>
      <c r="Y3752">
        <v>7.8746280000000002E-2</v>
      </c>
      <c r="Z3752">
        <v>6.0434029999999997E-4</v>
      </c>
      <c r="AA3752">
        <v>0.99689450000000002</v>
      </c>
      <c r="AB3752">
        <v>24</v>
      </c>
      <c r="AC3752">
        <v>-51.799199999999999</v>
      </c>
      <c r="AD3752">
        <v>-1.1046401402879999</v>
      </c>
      <c r="AE3752">
        <v>4.6782000000000004</v>
      </c>
      <c r="AF3752">
        <v>4.1148839115304696</v>
      </c>
      <c r="AG3752">
        <v>-1.1046401402879999</v>
      </c>
      <c r="AH3752">
        <v>51.823465697691198</v>
      </c>
      <c r="AI3752">
        <v>91.217269967660201</v>
      </c>
      <c r="AJ3752">
        <v>85.460128541848107</v>
      </c>
      <c r="AK3752">
        <v>51.998308591382902</v>
      </c>
    </row>
    <row r="3753" spans="1:37" x14ac:dyDescent="0.2">
      <c r="A3753" t="str">
        <f>"20200111160235345"</f>
        <v>20200111160235345</v>
      </c>
      <c r="B3753" t="str">
        <f>"1578729755336138"</f>
        <v>1578729755336138</v>
      </c>
      <c r="C3753" t="s">
        <v>37</v>
      </c>
      <c r="D3753">
        <v>5.2804909999999996</v>
      </c>
      <c r="E3753">
        <v>0.52345640000000004</v>
      </c>
      <c r="F3753" t="s">
        <v>38</v>
      </c>
      <c r="G3753">
        <v>-327.4708</v>
      </c>
      <c r="H3753" s="1">
        <v>-1.2827549999999901E-6</v>
      </c>
      <c r="I3753">
        <v>140.42599999999999</v>
      </c>
      <c r="J3753">
        <v>-289.93869999999998</v>
      </c>
      <c r="K3753">
        <v>1.1046320000000001</v>
      </c>
      <c r="L3753">
        <v>137.04599999999999</v>
      </c>
      <c r="M3753">
        <v>-0.99983809999999995</v>
      </c>
      <c r="N3753">
        <v>0</v>
      </c>
      <c r="O3753">
        <v>1.064466E-2</v>
      </c>
      <c r="P3753">
        <v>-0.99959609999999999</v>
      </c>
      <c r="Q3753">
        <v>1.698881E-3</v>
      </c>
      <c r="R3753">
        <v>2.8363659999999999E-2</v>
      </c>
      <c r="S3753">
        <v>-2.9935909999999999</v>
      </c>
      <c r="T3753">
        <v>-8.7543490000000002E-2</v>
      </c>
      <c r="U3753">
        <v>0.26806639999999998</v>
      </c>
      <c r="V3753">
        <v>1.771617E-2</v>
      </c>
      <c r="W3753">
        <v>1.6206809999999999E-2</v>
      </c>
      <c r="X3753">
        <v>0.99971169999999998</v>
      </c>
      <c r="Y3753">
        <v>7.8552689999999994E-2</v>
      </c>
      <c r="Z3753">
        <v>8.3545369999999904E-4</v>
      </c>
      <c r="AA3753">
        <v>0.99690959999999995</v>
      </c>
      <c r="AB3753">
        <v>24</v>
      </c>
      <c r="AC3753">
        <v>-37.5321</v>
      </c>
      <c r="AD3753">
        <v>-1.1046332827550001</v>
      </c>
      <c r="AE3753">
        <v>3.3800000000000199</v>
      </c>
      <c r="AF3753">
        <v>2.9776913710850299</v>
      </c>
      <c r="AG3753">
        <v>-1.1046332827550001</v>
      </c>
      <c r="AH3753">
        <v>37.5337048126108</v>
      </c>
      <c r="AI3753">
        <v>91.680476159783893</v>
      </c>
      <c r="AJ3753">
        <v>85.464008544847601</v>
      </c>
      <c r="AK3753">
        <v>37.667835849050398</v>
      </c>
    </row>
    <row r="3754" spans="1:37" x14ac:dyDescent="0.2">
      <c r="A3754" t="str">
        <f>"20200111160235367"</f>
        <v>20200111160235367</v>
      </c>
      <c r="B3754" t="str">
        <f>"1578729755355673"</f>
        <v>1578729755355673</v>
      </c>
      <c r="C3754" t="s">
        <v>37</v>
      </c>
      <c r="D3754">
        <v>5.3608390000000004</v>
      </c>
      <c r="E3754">
        <v>0.52376780000000001</v>
      </c>
      <c r="F3754" t="s">
        <v>38</v>
      </c>
      <c r="G3754">
        <v>-321.31189999999998</v>
      </c>
      <c r="H3754" s="1">
        <v>-3.7643579999999899E-6</v>
      </c>
      <c r="I3754">
        <v>139.8227</v>
      </c>
      <c r="J3754">
        <v>-290.1705</v>
      </c>
      <c r="K3754">
        <v>1.1046240000000001</v>
      </c>
      <c r="L3754">
        <v>137.04820000000001</v>
      </c>
      <c r="M3754">
        <v>-0.99984019999999996</v>
      </c>
      <c r="N3754">
        <v>0</v>
      </c>
      <c r="O3754">
        <v>1.0467209999999999E-2</v>
      </c>
      <c r="P3754">
        <v>-0.99960669999999996</v>
      </c>
      <c r="Q3754">
        <v>2.076872E-3</v>
      </c>
      <c r="R3754">
        <v>2.7978949999999999E-2</v>
      </c>
      <c r="S3754">
        <v>-2.9938959999999999</v>
      </c>
      <c r="T3754">
        <v>-0.1054137</v>
      </c>
      <c r="U3754">
        <v>0.2649841</v>
      </c>
      <c r="V3754">
        <v>1.750904E-2</v>
      </c>
      <c r="W3754">
        <v>1.657726E-2</v>
      </c>
      <c r="X3754">
        <v>0.99970919999999897</v>
      </c>
      <c r="Y3754">
        <v>7.7689759999999997E-2</v>
      </c>
      <c r="Z3754">
        <v>9.9691699999999994E-4</v>
      </c>
      <c r="AA3754">
        <v>0.99697709999999995</v>
      </c>
      <c r="AB3754">
        <v>24</v>
      </c>
      <c r="AC3754">
        <v>-31.141399999999901</v>
      </c>
      <c r="AD3754">
        <v>-1.104627764358</v>
      </c>
      <c r="AE3754">
        <v>2.7744999999999802</v>
      </c>
      <c r="AF3754">
        <v>2.4452976801881601</v>
      </c>
      <c r="AG3754">
        <v>-1.104627764358</v>
      </c>
      <c r="AH3754">
        <v>31.129878259378799</v>
      </c>
      <c r="AI3754">
        <v>92.026022884089798</v>
      </c>
      <c r="AJ3754">
        <v>85.508555080397301</v>
      </c>
      <c r="AK3754">
        <v>31.245303706097399</v>
      </c>
    </row>
    <row r="3755" spans="1:37" x14ac:dyDescent="0.2">
      <c r="A3755" t="str">
        <f>"20200111160235389"</f>
        <v>20200111160235389</v>
      </c>
      <c r="B3755" t="str">
        <f>"1578729755385915"</f>
        <v>1578729755385915</v>
      </c>
      <c r="C3755" t="s">
        <v>37</v>
      </c>
      <c r="D3755">
        <v>5.3149519999999999</v>
      </c>
      <c r="E3755">
        <v>0.52407340000000002</v>
      </c>
      <c r="F3755" t="s">
        <v>77</v>
      </c>
      <c r="G3755">
        <v>-317.8279</v>
      </c>
      <c r="H3755" s="1">
        <v>-6.2938949999999996E-6</v>
      </c>
      <c r="I3755">
        <v>139.49889999999999</v>
      </c>
      <c r="J3755">
        <v>-290.40359999999998</v>
      </c>
      <c r="K3755">
        <v>1.104625</v>
      </c>
      <c r="L3755">
        <v>137.0505</v>
      </c>
      <c r="M3755">
        <v>-0.99984209999999996</v>
      </c>
      <c r="N3755">
        <v>0</v>
      </c>
      <c r="O3755">
        <v>1.02922E-2</v>
      </c>
      <c r="P3755">
        <v>-0.99962419999999996</v>
      </c>
      <c r="Q3755">
        <v>2.0964069999999998E-3</v>
      </c>
      <c r="R3755">
        <v>2.7342950000000001E-2</v>
      </c>
      <c r="S3755">
        <v>-2.99401899999999</v>
      </c>
      <c r="T3755">
        <v>-0.119580399999999</v>
      </c>
      <c r="U3755">
        <v>0.26528930000000001</v>
      </c>
      <c r="V3755">
        <v>1.7048000000000001E-2</v>
      </c>
      <c r="W3755">
        <v>1.659014E-2</v>
      </c>
      <c r="X3755">
        <v>0.99971699999999997</v>
      </c>
      <c r="Y3755">
        <v>7.7949350000000001E-2</v>
      </c>
      <c r="Z3755">
        <v>1.1428880000000001E-3</v>
      </c>
      <c r="AA3755">
        <v>0.99695659999999897</v>
      </c>
      <c r="AB3755">
        <v>24</v>
      </c>
      <c r="AC3755">
        <v>-27.424299999999999</v>
      </c>
      <c r="AD3755">
        <v>-1.104631293895</v>
      </c>
      <c r="AE3755">
        <v>2.4483999999999901</v>
      </c>
      <c r="AF3755">
        <v>2.16250354279574</v>
      </c>
      <c r="AG3755">
        <v>-1.104631293895</v>
      </c>
      <c r="AH3755">
        <v>27.403940052251599</v>
      </c>
      <c r="AI3755">
        <v>92.301152263340001</v>
      </c>
      <c r="AJ3755">
        <v>85.488017508194105</v>
      </c>
      <c r="AK3755">
        <v>27.5113169851146</v>
      </c>
    </row>
    <row r="3756" spans="1:37" x14ac:dyDescent="0.2">
      <c r="A3756" t="str">
        <f>"20200111160235435"</f>
        <v>20200111160235435</v>
      </c>
      <c r="B3756" t="str">
        <f>"1578729755425929"</f>
        <v>1578729755425929</v>
      </c>
      <c r="C3756" t="s">
        <v>37</v>
      </c>
      <c r="D3756">
        <v>5.3649360000000001</v>
      </c>
      <c r="E3756">
        <v>0.524177</v>
      </c>
      <c r="F3756" t="s">
        <v>77</v>
      </c>
      <c r="G3756">
        <v>-314.97489999999999</v>
      </c>
      <c r="H3756" s="1">
        <v>-7.4707019999999999E-6</v>
      </c>
      <c r="I3756">
        <v>139.2225</v>
      </c>
      <c r="J3756">
        <v>-290.90690000000001</v>
      </c>
      <c r="K3756">
        <v>1.1046290000000001</v>
      </c>
      <c r="L3756">
        <v>137.05520000000001</v>
      </c>
      <c r="M3756">
        <v>-0.99984589999999995</v>
      </c>
      <c r="N3756">
        <v>0</v>
      </c>
      <c r="O3756">
        <v>9.9247759999999997E-3</v>
      </c>
      <c r="P3756">
        <v>-0.99960099999999996</v>
      </c>
      <c r="Q3756">
        <v>3.3492890000000001E-3</v>
      </c>
      <c r="R3756">
        <v>2.8045999999999901E-2</v>
      </c>
      <c r="S3756">
        <v>-2.994202</v>
      </c>
      <c r="T3756">
        <v>-0.13460810000000001</v>
      </c>
      <c r="U3756">
        <v>0.264679</v>
      </c>
      <c r="V3756">
        <v>1.8118430000000001E-2</v>
      </c>
      <c r="W3756">
        <v>1.7828779999999999E-2</v>
      </c>
      <c r="X3756">
        <v>0.99967689999999998</v>
      </c>
      <c r="Y3756">
        <v>7.8093919999999997E-2</v>
      </c>
      <c r="Z3756">
        <v>1.3060280000000001E-3</v>
      </c>
      <c r="AA3756">
        <v>0.99694509999999903</v>
      </c>
      <c r="AB3756">
        <v>24</v>
      </c>
      <c r="AC3756">
        <v>-24.067999999999898</v>
      </c>
      <c r="AD3756">
        <v>-1.104636470702</v>
      </c>
      <c r="AE3756">
        <v>2.16729999999998</v>
      </c>
      <c r="AF3756">
        <v>1.9242778175596</v>
      </c>
      <c r="AG3756">
        <v>-1.104636470702</v>
      </c>
      <c r="AH3756">
        <v>24.038097939902801</v>
      </c>
      <c r="AI3756">
        <v>92.622716490198698</v>
      </c>
      <c r="AJ3756">
        <v>85.423165682829705</v>
      </c>
      <c r="AK3756">
        <v>24.140282090727901</v>
      </c>
    </row>
    <row r="3757" spans="1:37" x14ac:dyDescent="0.2">
      <c r="A3757" t="str">
        <f>"20200111160235456"</f>
        <v>20200111160235456</v>
      </c>
      <c r="B3757" t="str">
        <f>"1578729755446426"</f>
        <v>1578729755446426</v>
      </c>
      <c r="C3757" t="s">
        <v>37</v>
      </c>
      <c r="D3757">
        <v>5.4962200000000001</v>
      </c>
      <c r="E3757">
        <v>0.52511529999999995</v>
      </c>
      <c r="F3757" t="s">
        <v>77</v>
      </c>
      <c r="G3757">
        <v>-314.858</v>
      </c>
      <c r="H3757" s="1">
        <v>-7.508708E-6</v>
      </c>
      <c r="I3757">
        <v>139.19239999999999</v>
      </c>
      <c r="J3757">
        <v>-291.13499999999999</v>
      </c>
      <c r="K3757">
        <v>1.1046320000000001</v>
      </c>
      <c r="L3757">
        <v>137.0573</v>
      </c>
      <c r="M3757">
        <v>-0.99984759999999995</v>
      </c>
      <c r="N3757">
        <v>0</v>
      </c>
      <c r="O3757">
        <v>9.7621459999999993E-3</v>
      </c>
      <c r="P3757">
        <v>-0.99957469999999904</v>
      </c>
      <c r="Q3757">
        <v>4.5274159999999898E-3</v>
      </c>
      <c r="R3757">
        <v>2.8807570000000001E-2</v>
      </c>
      <c r="S3757">
        <v>-2.994202</v>
      </c>
      <c r="T3757">
        <v>-0.13809370000000001</v>
      </c>
      <c r="U3757">
        <v>0.26718140000000001</v>
      </c>
      <c r="V3757">
        <v>1.9042610000000001E-2</v>
      </c>
      <c r="W3757">
        <v>1.9000639999999999E-2</v>
      </c>
      <c r="X3757">
        <v>0.99963809999999997</v>
      </c>
      <c r="Y3757">
        <v>7.9077939999999999E-2</v>
      </c>
      <c r="Z3757">
        <v>1.3698789999999901E-3</v>
      </c>
      <c r="AA3757">
        <v>0.99686749999999902</v>
      </c>
      <c r="AB3757">
        <v>24</v>
      </c>
      <c r="AC3757">
        <v>-23.722999999999999</v>
      </c>
      <c r="AD3757">
        <v>-1.1046395087080001</v>
      </c>
      <c r="AE3757">
        <v>2.1350999999999898</v>
      </c>
      <c r="AF3757">
        <v>1.89930158896996</v>
      </c>
      <c r="AG3757">
        <v>-1.1046395087080001</v>
      </c>
      <c r="AH3757">
        <v>23.691758660909599</v>
      </c>
      <c r="AI3757">
        <v>92.660984872403901</v>
      </c>
      <c r="AJ3757">
        <v>85.416560812896705</v>
      </c>
      <c r="AK3757">
        <v>23.793423532918599</v>
      </c>
    </row>
    <row r="3758" spans="1:37" x14ac:dyDescent="0.2">
      <c r="A3758" t="str">
        <f>"20200111160235480"</f>
        <v>20200111160235480</v>
      </c>
      <c r="B3758" t="str">
        <f>"1578729755475707"</f>
        <v>1578729755475707</v>
      </c>
      <c r="C3758" t="s">
        <v>37</v>
      </c>
      <c r="D3758">
        <v>5.3600409999999998</v>
      </c>
      <c r="E3758">
        <v>0.52229550000000002</v>
      </c>
      <c r="F3758" t="s">
        <v>79</v>
      </c>
      <c r="G3758">
        <v>-511.92849999999999</v>
      </c>
      <c r="H3758">
        <v>9.8335860000000004</v>
      </c>
      <c r="I3758">
        <v>158.77629999999999</v>
      </c>
      <c r="J3758">
        <v>-291.38479999999998</v>
      </c>
      <c r="K3758">
        <v>1.104638</v>
      </c>
      <c r="L3758">
        <v>137.05950000000001</v>
      </c>
      <c r="M3758">
        <v>-0.99984949999999995</v>
      </c>
      <c r="N3758">
        <v>0</v>
      </c>
      <c r="O3758">
        <v>9.5862840000000005E-3</v>
      </c>
      <c r="P3758">
        <v>-0.99953429999999999</v>
      </c>
      <c r="Q3758">
        <v>5.4737219999999899E-3</v>
      </c>
      <c r="R3758">
        <v>3.0025079999999999E-2</v>
      </c>
      <c r="S3758">
        <v>-2.9922490000000002</v>
      </c>
      <c r="T3758">
        <v>0.118297499999999</v>
      </c>
      <c r="U3758">
        <v>0.29434199999999999</v>
      </c>
      <c r="V3758">
        <v>2.0436380000000001E-2</v>
      </c>
      <c r="W3758">
        <v>1.9940309999999999E-2</v>
      </c>
      <c r="X3758">
        <v>0.99959229999999999</v>
      </c>
      <c r="Y3758">
        <v>8.8289069999999997E-2</v>
      </c>
      <c r="Z3758">
        <v>-1.362439E-3</v>
      </c>
      <c r="AA3758">
        <v>0.99609400000000003</v>
      </c>
      <c r="AB3758">
        <v>24</v>
      </c>
      <c r="AC3758">
        <v>-220.5437</v>
      </c>
      <c r="AD3758">
        <v>8.7289479999999902</v>
      </c>
      <c r="AE3758">
        <v>21.7167999999999</v>
      </c>
      <c r="AF3758">
        <v>19.571022438685301</v>
      </c>
      <c r="AG3758">
        <v>8.7289479999999902</v>
      </c>
      <c r="AH3758">
        <v>220.399825170019</v>
      </c>
      <c r="AI3758">
        <v>87.740862592090195</v>
      </c>
      <c r="AJ3758">
        <v>84.925569543770393</v>
      </c>
      <c r="AK3758">
        <v>221.43916181980401</v>
      </c>
    </row>
    <row r="3759" spans="1:37" x14ac:dyDescent="0.2">
      <c r="A3759" t="str">
        <f>"20200111160235503"</f>
        <v>20200111160235503</v>
      </c>
      <c r="B3759" t="str">
        <f>"1578729755496202"</f>
        <v>1578729755496202</v>
      </c>
      <c r="C3759" t="s">
        <v>37</v>
      </c>
      <c r="D3759">
        <v>5.318174</v>
      </c>
      <c r="E3759">
        <v>0.52282529999999905</v>
      </c>
      <c r="F3759" t="s">
        <v>79</v>
      </c>
      <c r="G3759">
        <v>-511.92790000000002</v>
      </c>
      <c r="H3759">
        <v>8.0909519999999997</v>
      </c>
      <c r="I3759">
        <v>157.22730000000001</v>
      </c>
      <c r="J3759">
        <v>-291.6259</v>
      </c>
      <c r="K3759">
        <v>1.1046419999999999</v>
      </c>
      <c r="L3759">
        <v>137.0616</v>
      </c>
      <c r="M3759">
        <v>-0.99985119999999905</v>
      </c>
      <c r="N3759">
        <v>0</v>
      </c>
      <c r="O3759">
        <v>9.4190579999999993E-3</v>
      </c>
      <c r="P3759">
        <v>-0.99950269999999997</v>
      </c>
      <c r="Q3759">
        <v>5.7173409999999999E-3</v>
      </c>
      <c r="R3759">
        <v>3.1017739999999999E-2</v>
      </c>
      <c r="S3759">
        <v>-2.992645</v>
      </c>
      <c r="T3759">
        <v>9.4800830000000003E-2</v>
      </c>
      <c r="U3759">
        <v>0.27366639999999998</v>
      </c>
      <c r="V3759">
        <v>2.1596420000000002E-2</v>
      </c>
      <c r="W3759">
        <v>2.0177250000000001E-2</v>
      </c>
      <c r="X3759">
        <v>0.99956319999999999</v>
      </c>
      <c r="Y3759">
        <v>8.1645499999999996E-2</v>
      </c>
      <c r="Z3759">
        <v>-9.9248999999999995E-4</v>
      </c>
      <c r="AA3759">
        <v>0.99666089999999996</v>
      </c>
      <c r="AB3759">
        <v>24</v>
      </c>
      <c r="AC3759">
        <v>-220.30199999999999</v>
      </c>
      <c r="AD3759">
        <v>6.9863099999999996</v>
      </c>
      <c r="AE3759">
        <v>20.165700000000001</v>
      </c>
      <c r="AF3759">
        <v>18.071528093446499</v>
      </c>
      <c r="AG3759">
        <v>6.9863099999999996</v>
      </c>
      <c r="AH3759">
        <v>220.26251455346599</v>
      </c>
      <c r="AI3759">
        <v>88.1893751707928</v>
      </c>
      <c r="AJ3759">
        <v>85.309649795281601</v>
      </c>
      <c r="AK3759">
        <v>221.113011766526</v>
      </c>
    </row>
    <row r="3760" spans="1:37" x14ac:dyDescent="0.2">
      <c r="A3760" t="str">
        <f>"20200111160235524"</f>
        <v>20200111160235524</v>
      </c>
      <c r="B3760" t="str">
        <f>"1578729755515722"</f>
        <v>1578729755515722</v>
      </c>
      <c r="C3760" t="s">
        <v>37</v>
      </c>
      <c r="D3760">
        <v>5.2884669999999998</v>
      </c>
      <c r="E3760">
        <v>0.52571029999999996</v>
      </c>
      <c r="F3760" t="s">
        <v>79</v>
      </c>
      <c r="G3760">
        <v>-510.17579999999998</v>
      </c>
      <c r="H3760">
        <v>6.2499289999999998</v>
      </c>
      <c r="I3760">
        <v>157.4442</v>
      </c>
      <c r="J3760">
        <v>-291.86599999999999</v>
      </c>
      <c r="K3760">
        <v>1.1046400000000001</v>
      </c>
      <c r="L3760">
        <v>137.06370000000001</v>
      </c>
      <c r="M3760">
        <v>-0.99985279999999999</v>
      </c>
      <c r="N3760">
        <v>0</v>
      </c>
      <c r="O3760">
        <v>9.2558929999999994E-3</v>
      </c>
      <c r="P3760">
        <v>-0.99950779999999995</v>
      </c>
      <c r="Q3760">
        <v>5.9373339999999998E-3</v>
      </c>
      <c r="R3760">
        <v>3.0814930000000001E-2</v>
      </c>
      <c r="S3760">
        <v>-2.992432</v>
      </c>
      <c r="T3760">
        <v>7.0450899999999997E-2</v>
      </c>
      <c r="U3760">
        <v>0.27908329999999998</v>
      </c>
      <c r="V3760">
        <v>2.1556909999999999E-2</v>
      </c>
      <c r="W3760">
        <v>2.0391309999999999E-2</v>
      </c>
      <c r="X3760">
        <v>0.99955959999999999</v>
      </c>
      <c r="Y3760">
        <v>8.3618799999999993E-2</v>
      </c>
      <c r="Z3760">
        <v>-7.6464670000000003E-4</v>
      </c>
      <c r="AA3760">
        <v>0.99649750000000004</v>
      </c>
      <c r="AB3760">
        <v>24</v>
      </c>
      <c r="AC3760">
        <v>-218.3098</v>
      </c>
      <c r="AD3760">
        <v>5.145289</v>
      </c>
      <c r="AE3760">
        <v>20.380499999999898</v>
      </c>
      <c r="AF3760">
        <v>18.348659380043198</v>
      </c>
      <c r="AG3760">
        <v>5.145289</v>
      </c>
      <c r="AH3760">
        <v>218.36885300333401</v>
      </c>
      <c r="AI3760">
        <v>88.654963185244398</v>
      </c>
      <c r="AJ3760">
        <v>85.196947885909907</v>
      </c>
      <c r="AK3760">
        <v>219.19877568529</v>
      </c>
    </row>
    <row r="3761" spans="1:37" x14ac:dyDescent="0.2">
      <c r="A3761" t="str">
        <f>"20200111160235547"</f>
        <v>20200111160235547</v>
      </c>
      <c r="B3761" t="str">
        <f>"1578729755536217"</f>
        <v>1578729755536217</v>
      </c>
      <c r="C3761" t="s">
        <v>37</v>
      </c>
      <c r="D3761">
        <v>5.4278339999999998</v>
      </c>
      <c r="E3761">
        <v>0.52640149999999997</v>
      </c>
      <c r="F3761" t="s">
        <v>42</v>
      </c>
      <c r="G3761">
        <v>-292.64710000000002</v>
      </c>
      <c r="H3761">
        <v>1.0532859999999999</v>
      </c>
      <c r="I3761">
        <v>137.1378</v>
      </c>
      <c r="J3761">
        <v>-292.1071</v>
      </c>
      <c r="K3761">
        <v>1.104644</v>
      </c>
      <c r="L3761">
        <v>137.06569999999999</v>
      </c>
      <c r="M3761">
        <v>-0.99985429999999997</v>
      </c>
      <c r="N3761">
        <v>0</v>
      </c>
      <c r="O3761">
        <v>9.0967340000000004E-3</v>
      </c>
      <c r="P3761">
        <v>-0.99950090000000003</v>
      </c>
      <c r="Q3761">
        <v>6.1440469999999997E-3</v>
      </c>
      <c r="R3761">
        <v>3.0994359999999999E-2</v>
      </c>
      <c r="S3761">
        <v>-2.9939269999999998</v>
      </c>
      <c r="T3761">
        <v>-0.196966</v>
      </c>
      <c r="U3761">
        <v>0.28303529999999999</v>
      </c>
      <c r="V3761">
        <v>2.1895540000000002E-2</v>
      </c>
      <c r="W3761">
        <v>2.0592490000000001E-2</v>
      </c>
      <c r="X3761">
        <v>0.99954809999999905</v>
      </c>
      <c r="Y3761">
        <v>8.4893280000000002E-2</v>
      </c>
      <c r="Z3761">
        <v>2.1868199999999999E-3</v>
      </c>
      <c r="AA3761">
        <v>0.99638769999999999</v>
      </c>
      <c r="AB3761">
        <v>24</v>
      </c>
      <c r="AC3761">
        <v>-0.54000000000002002</v>
      </c>
      <c r="AD3761">
        <v>-5.1357999999999703E-2</v>
      </c>
      <c r="AE3761">
        <v>7.2100000000006007E-2</v>
      </c>
      <c r="AF3761">
        <v>6.6592460844189599E-2</v>
      </c>
      <c r="AG3761">
        <v>-5.1357999999999703E-2</v>
      </c>
      <c r="AH3761">
        <v>0.53587131278233402</v>
      </c>
      <c r="AI3761">
        <v>95.432979727475697</v>
      </c>
      <c r="AJ3761">
        <v>82.916197922038506</v>
      </c>
      <c r="AK3761">
        <v>0.54242996217792605</v>
      </c>
    </row>
    <row r="3762" spans="1:37" x14ac:dyDescent="0.2">
      <c r="A3762" t="str">
        <f>"20200111160235569"</f>
        <v>20200111160235569</v>
      </c>
      <c r="B3762" t="str">
        <f>"1578729755566474"</f>
        <v>1578729755566474</v>
      </c>
      <c r="C3762" t="s">
        <v>37</v>
      </c>
      <c r="D3762">
        <v>5.3139209999999997</v>
      </c>
      <c r="E3762">
        <v>0.5187659</v>
      </c>
      <c r="F3762" t="s">
        <v>77</v>
      </c>
      <c r="G3762">
        <v>-309.06869999999998</v>
      </c>
      <c r="H3762" s="1">
        <v>-9.0667960000000001E-6</v>
      </c>
      <c r="I3762">
        <v>138.70259999999999</v>
      </c>
      <c r="J3762">
        <v>-292.33879999999999</v>
      </c>
      <c r="K3762">
        <v>1.104638</v>
      </c>
      <c r="L3762">
        <v>137.0677</v>
      </c>
      <c r="M3762">
        <v>-0.99985569999999901</v>
      </c>
      <c r="N3762">
        <v>0</v>
      </c>
      <c r="O3762">
        <v>8.9496980000000007E-3</v>
      </c>
      <c r="P3762">
        <v>-0.9994923</v>
      </c>
      <c r="Q3762">
        <v>5.9373230000000004E-3</v>
      </c>
      <c r="R3762">
        <v>3.130699E-2</v>
      </c>
      <c r="S3762">
        <v>-2.993744</v>
      </c>
      <c r="T3762">
        <v>-0.19497210000000001</v>
      </c>
      <c r="U3762">
        <v>0.2889099</v>
      </c>
      <c r="V3762">
        <v>2.2355590000000002E-2</v>
      </c>
      <c r="W3762">
        <v>2.0379870000000001E-2</v>
      </c>
      <c r="X3762">
        <v>0.99954240000000005</v>
      </c>
      <c r="Y3762">
        <v>8.6981450000000002E-2</v>
      </c>
      <c r="Z3762">
        <v>2.2419720000000001E-3</v>
      </c>
      <c r="AA3762">
        <v>0.99620739999999997</v>
      </c>
      <c r="AB3762">
        <v>24</v>
      </c>
      <c r="AC3762">
        <v>-16.729899999999901</v>
      </c>
      <c r="AD3762">
        <v>-1.104647066796</v>
      </c>
      <c r="AE3762">
        <v>1.63489999999998</v>
      </c>
      <c r="AF3762">
        <v>1.4787055611548101</v>
      </c>
      <c r="AG3762">
        <v>-1.104647066796</v>
      </c>
      <c r="AH3762">
        <v>16.671865820475201</v>
      </c>
      <c r="AI3762">
        <v>93.775991618118596</v>
      </c>
      <c r="AJ3762">
        <v>84.931433275945395</v>
      </c>
      <c r="AK3762">
        <v>16.773727230842301</v>
      </c>
    </row>
    <row r="3763" spans="1:37" x14ac:dyDescent="0.2">
      <c r="A3763" t="str">
        <f>"20200111160235591"</f>
        <v>20200111160235591</v>
      </c>
      <c r="B3763" t="str">
        <f>"1578729755585994"</f>
        <v>1578729755585994</v>
      </c>
      <c r="C3763" t="s">
        <v>37</v>
      </c>
      <c r="D3763">
        <v>5.257625</v>
      </c>
      <c r="E3763">
        <v>0.52233679999999905</v>
      </c>
      <c r="F3763" t="s">
        <v>79</v>
      </c>
      <c r="G3763">
        <v>-511.92829999999998</v>
      </c>
      <c r="H3763">
        <v>9.5520069999999997</v>
      </c>
      <c r="I3763">
        <v>155.4547</v>
      </c>
      <c r="J3763">
        <v>-292.57170000000002</v>
      </c>
      <c r="K3763">
        <v>1.1046279999999999</v>
      </c>
      <c r="L3763">
        <v>137.06950000000001</v>
      </c>
      <c r="M3763">
        <v>-0.99985689999999905</v>
      </c>
      <c r="N3763">
        <v>0</v>
      </c>
      <c r="O3763">
        <v>8.8142889999999995E-3</v>
      </c>
      <c r="P3763">
        <v>-0.99946480000000004</v>
      </c>
      <c r="Q3763">
        <v>5.5517930000000002E-3</v>
      </c>
      <c r="R3763">
        <v>3.22449E-2</v>
      </c>
      <c r="S3763">
        <v>-2.99295</v>
      </c>
      <c r="T3763">
        <v>0.115135999999999</v>
      </c>
      <c r="U3763">
        <v>0.25061039999999901</v>
      </c>
      <c r="V3763">
        <v>2.3429519999999999E-2</v>
      </c>
      <c r="W3763">
        <v>1.9987990000000001E-2</v>
      </c>
      <c r="X3763">
        <v>0.99952569999999996</v>
      </c>
      <c r="Y3763">
        <v>7.4605530000000003E-2</v>
      </c>
      <c r="Z3763">
        <v>-1.093608E-3</v>
      </c>
      <c r="AA3763">
        <v>0.99721249999999995</v>
      </c>
      <c r="AB3763">
        <v>24</v>
      </c>
      <c r="AC3763">
        <v>-219.35659999999999</v>
      </c>
      <c r="AD3763">
        <v>8.4473789999999997</v>
      </c>
      <c r="AE3763">
        <v>18.385200000000001</v>
      </c>
      <c r="AF3763">
        <v>16.426620777101999</v>
      </c>
      <c r="AG3763">
        <v>8.4473789999999997</v>
      </c>
      <c r="AH3763">
        <v>219.18735796045499</v>
      </c>
      <c r="AI3763">
        <v>87.799105450478194</v>
      </c>
      <c r="AJ3763">
        <v>85.714078001944699</v>
      </c>
      <c r="AK3763">
        <v>219.964292492688</v>
      </c>
    </row>
    <row r="3764" spans="1:37" x14ac:dyDescent="0.2">
      <c r="A3764" t="str">
        <f>"20200111160235614"</f>
        <v>20200111160235614</v>
      </c>
      <c r="B3764" t="str">
        <f>"1578729755606490"</f>
        <v>1578729755606490</v>
      </c>
      <c r="C3764" t="s">
        <v>37</v>
      </c>
      <c r="D3764">
        <v>6.4130539999999998</v>
      </c>
      <c r="E3764">
        <v>0.5217503</v>
      </c>
      <c r="F3764" t="s">
        <v>79</v>
      </c>
      <c r="G3764">
        <v>-510.17590000000001</v>
      </c>
      <c r="H3764">
        <v>6.4681819999999997</v>
      </c>
      <c r="I3764">
        <v>157.37450000000001</v>
      </c>
      <c r="J3764">
        <v>-292.82</v>
      </c>
      <c r="K3764">
        <v>1.1046119999999999</v>
      </c>
      <c r="L3764">
        <v>137.07159999999999</v>
      </c>
      <c r="M3764">
        <v>-0.99985829999999998</v>
      </c>
      <c r="N3764">
        <v>0</v>
      </c>
      <c r="O3764">
        <v>8.6882039999999997E-3</v>
      </c>
      <c r="P3764">
        <v>-0.99943119999999996</v>
      </c>
      <c r="Q3764">
        <v>5.0517690000000002E-3</v>
      </c>
      <c r="R3764">
        <v>3.3349139999999999E-2</v>
      </c>
      <c r="S3764">
        <v>-2.9921880000000001</v>
      </c>
      <c r="T3764">
        <v>7.3752639999999994E-2</v>
      </c>
      <c r="U3764">
        <v>0.27920529999999999</v>
      </c>
      <c r="V3764">
        <v>2.466074E-2</v>
      </c>
      <c r="W3764">
        <v>1.9481209999999999E-2</v>
      </c>
      <c r="X3764">
        <v>0.99950609999999995</v>
      </c>
      <c r="Y3764">
        <v>8.4230079999999999E-2</v>
      </c>
      <c r="Z3764">
        <v>-8.2200980000000001E-4</v>
      </c>
      <c r="AA3764">
        <v>0.99644599999999905</v>
      </c>
      <c r="AB3764">
        <v>24</v>
      </c>
      <c r="AC3764">
        <v>-217.35589999999999</v>
      </c>
      <c r="AD3764">
        <v>5.3635699999999904</v>
      </c>
      <c r="AE3764">
        <v>20.302900000000001</v>
      </c>
      <c r="AF3764">
        <v>18.402396031892</v>
      </c>
      <c r="AG3764">
        <v>5.3635699999999904</v>
      </c>
      <c r="AH3764">
        <v>217.39287735192701</v>
      </c>
      <c r="AI3764">
        <v>88.591705959323093</v>
      </c>
      <c r="AJ3764">
        <v>85.161424063242094</v>
      </c>
      <c r="AK3764">
        <v>218.23629209233101</v>
      </c>
    </row>
    <row r="3765" spans="1:37" x14ac:dyDescent="0.2">
      <c r="A3765" t="str">
        <f>"20200111160235639"</f>
        <v>20200111160235639</v>
      </c>
      <c r="B3765" t="str">
        <f>"1578729755635771"</f>
        <v>1578729755635771</v>
      </c>
      <c r="C3765" t="s">
        <v>37</v>
      </c>
      <c r="D3765">
        <v>5.3793379999999997</v>
      </c>
      <c r="E3765">
        <v>0.52091149999999997</v>
      </c>
      <c r="F3765" t="s">
        <v>79</v>
      </c>
      <c r="G3765">
        <v>-510.17599999999999</v>
      </c>
      <c r="H3765">
        <v>6.6600630000000001</v>
      </c>
      <c r="I3765">
        <v>157.26689999999999</v>
      </c>
      <c r="J3765">
        <v>-293.07260000000002</v>
      </c>
      <c r="K3765">
        <v>1.1046</v>
      </c>
      <c r="L3765">
        <v>137.0737</v>
      </c>
      <c r="M3765">
        <v>-0.99985919999999895</v>
      </c>
      <c r="N3765">
        <v>0</v>
      </c>
      <c r="O3765">
        <v>8.5790250000000005E-3</v>
      </c>
      <c r="P3765">
        <v>-0.99938769999999999</v>
      </c>
      <c r="Q3765">
        <v>4.8774439999999999E-3</v>
      </c>
      <c r="R3765">
        <v>3.4648659999999998E-2</v>
      </c>
      <c r="S3765">
        <v>-2.992035</v>
      </c>
      <c r="T3765">
        <v>7.6474669999999995E-2</v>
      </c>
      <c r="U3765">
        <v>0.27799990000000002</v>
      </c>
      <c r="V3765">
        <v>2.607027E-2</v>
      </c>
      <c r="W3765">
        <v>1.9300040000000001E-2</v>
      </c>
      <c r="X3765">
        <v>0.99947379999999997</v>
      </c>
      <c r="Y3765">
        <v>8.3943909999999997E-2</v>
      </c>
      <c r="Z3765">
        <v>-8.5153240000000003E-4</v>
      </c>
      <c r="AA3765">
        <v>0.99647009999999903</v>
      </c>
      <c r="AB3765">
        <v>24</v>
      </c>
      <c r="AC3765">
        <v>-217.10339999999999</v>
      </c>
      <c r="AD3765">
        <v>5.5554629999999996</v>
      </c>
      <c r="AE3765">
        <v>20.193199999999901</v>
      </c>
      <c r="AF3765">
        <v>18.3178359099273</v>
      </c>
      <c r="AG3765">
        <v>5.5554629999999996</v>
      </c>
      <c r="AH3765">
        <v>217.12770947650699</v>
      </c>
      <c r="AI3765">
        <v>88.539527009817803</v>
      </c>
      <c r="AJ3765">
        <v>85.177698398535199</v>
      </c>
      <c r="AK3765">
        <v>217.96983393139999</v>
      </c>
    </row>
    <row r="3766" spans="1:37" x14ac:dyDescent="0.2">
      <c r="A3766" t="str">
        <f>"20200111160235658"</f>
        <v>20200111160235658</v>
      </c>
      <c r="B3766" t="str">
        <f>"1578729755645530"</f>
        <v>1578729755645530</v>
      </c>
      <c r="C3766" t="s">
        <v>37</v>
      </c>
      <c r="D3766">
        <v>6.0899609999999997</v>
      </c>
      <c r="E3766">
        <v>0.52121850000000003</v>
      </c>
      <c r="F3766" t="s">
        <v>79</v>
      </c>
      <c r="G3766">
        <v>-510.17579999999998</v>
      </c>
      <c r="H3766">
        <v>6.111656</v>
      </c>
      <c r="I3766">
        <v>157.01329999999999</v>
      </c>
      <c r="J3766">
        <v>-293.28399999999999</v>
      </c>
      <c r="K3766">
        <v>1.1045830000000001</v>
      </c>
      <c r="L3766">
        <v>137.0754</v>
      </c>
      <c r="M3766">
        <v>-0.99985979999999997</v>
      </c>
      <c r="N3766">
        <v>0</v>
      </c>
      <c r="O3766">
        <v>8.5086950000000001E-3</v>
      </c>
      <c r="P3766">
        <v>-0.99936270000000005</v>
      </c>
      <c r="Q3766">
        <v>5.3608340000000001E-3</v>
      </c>
      <c r="R3766">
        <v>3.5293940000000003E-2</v>
      </c>
      <c r="S3766">
        <v>-2.9919739999999999</v>
      </c>
      <c r="T3766">
        <v>6.9004540000000003E-2</v>
      </c>
      <c r="U3766">
        <v>0.27479549999999903</v>
      </c>
      <c r="V3766">
        <v>2.678701E-2</v>
      </c>
      <c r="W3766">
        <v>1.9776789999999999E-2</v>
      </c>
      <c r="X3766">
        <v>0.99944549999999999</v>
      </c>
      <c r="Y3766">
        <v>8.2962449999999993E-2</v>
      </c>
      <c r="Z3766">
        <v>-7.5875569999999998E-4</v>
      </c>
      <c r="AA3766">
        <v>0.99655239999999901</v>
      </c>
      <c r="AB3766">
        <v>24</v>
      </c>
      <c r="AC3766">
        <v>-216.89179999999999</v>
      </c>
      <c r="AD3766">
        <v>5.0070730000000001</v>
      </c>
      <c r="AE3766">
        <v>19.9378999999999</v>
      </c>
      <c r="AF3766">
        <v>18.081964065584199</v>
      </c>
      <c r="AG3766">
        <v>5.0070730000000001</v>
      </c>
      <c r="AH3766">
        <v>216.93896261211</v>
      </c>
      <c r="AI3766">
        <v>88.682383401477693</v>
      </c>
      <c r="AJ3766">
        <v>85.235383336059897</v>
      </c>
      <c r="AK3766">
        <v>217.748804138427</v>
      </c>
    </row>
    <row r="3767" spans="1:37" x14ac:dyDescent="0.2">
      <c r="A3767" t="str">
        <f>"20200111160235680"</f>
        <v>20200111160235680</v>
      </c>
      <c r="B3767" t="str">
        <f>"1578729755675787"</f>
        <v>1578729755675787</v>
      </c>
      <c r="C3767" t="s">
        <v>37</v>
      </c>
      <c r="D3767">
        <v>5.2969939999999998</v>
      </c>
      <c r="E3767">
        <v>0.52446999999999999</v>
      </c>
      <c r="F3767" t="s">
        <v>79</v>
      </c>
      <c r="G3767">
        <v>-510.17579999999998</v>
      </c>
      <c r="H3767">
        <v>6.0875699999999897</v>
      </c>
      <c r="I3767">
        <v>157.30189999999999</v>
      </c>
      <c r="J3767">
        <v>-293.51870000000002</v>
      </c>
      <c r="K3767">
        <v>1.104573</v>
      </c>
      <c r="L3767">
        <v>137.07740000000001</v>
      </c>
      <c r="M3767">
        <v>-0.99986030000000004</v>
      </c>
      <c r="N3767">
        <v>0</v>
      </c>
      <c r="O3767">
        <v>8.4575120000000004E-3</v>
      </c>
      <c r="P3767">
        <v>-0.99935759999999996</v>
      </c>
      <c r="Q3767">
        <v>5.5831149999999996E-3</v>
      </c>
      <c r="R3767">
        <v>3.540252E-2</v>
      </c>
      <c r="S3767">
        <v>-2.9916689999999999</v>
      </c>
      <c r="T3767">
        <v>6.8732740000000001E-2</v>
      </c>
      <c r="U3767">
        <v>0.27899170000000001</v>
      </c>
      <c r="V3767">
        <v>2.694763E-2</v>
      </c>
      <c r="W3767">
        <v>1.999275E-2</v>
      </c>
      <c r="X3767">
        <v>0.99943689999999996</v>
      </c>
      <c r="Y3767">
        <v>8.4408280000000002E-2</v>
      </c>
      <c r="Z3767">
        <v>-7.7354020000000004E-4</v>
      </c>
      <c r="AA3767">
        <v>0.99643090000000001</v>
      </c>
      <c r="AB3767">
        <v>24</v>
      </c>
      <c r="AC3767">
        <v>-216.65710000000001</v>
      </c>
      <c r="AD3767">
        <v>4.9829969999999904</v>
      </c>
      <c r="AE3767">
        <v>20.2244999999999</v>
      </c>
      <c r="AF3767">
        <v>18.381566629932799</v>
      </c>
      <c r="AG3767">
        <v>4.9829969999999904</v>
      </c>
      <c r="AH3767">
        <v>216.706774021439</v>
      </c>
      <c r="AI3767">
        <v>88.687473589823895</v>
      </c>
      <c r="AJ3767">
        <v>85.1516457557275</v>
      </c>
      <c r="AK3767">
        <v>217.542037679277</v>
      </c>
    </row>
    <row r="3768" spans="1:37" x14ac:dyDescent="0.2">
      <c r="A3768" t="str">
        <f>"20200111160235704"</f>
        <v>20200111160235704</v>
      </c>
      <c r="B3768" t="str">
        <f>"1578729755696282"</f>
        <v>1578729755696282</v>
      </c>
      <c r="C3768" t="s">
        <v>37</v>
      </c>
      <c r="D3768">
        <v>5.2722489999999897</v>
      </c>
      <c r="E3768">
        <v>0.52481409999999995</v>
      </c>
      <c r="F3768" t="s">
        <v>42</v>
      </c>
      <c r="G3768">
        <v>-294.34559999999999</v>
      </c>
      <c r="H3768">
        <v>1.0490839999999999</v>
      </c>
      <c r="I3768">
        <v>137.1568</v>
      </c>
      <c r="J3768">
        <v>-293.76990000000001</v>
      </c>
      <c r="K3768">
        <v>1.104555</v>
      </c>
      <c r="L3768">
        <v>137.0795</v>
      </c>
      <c r="M3768">
        <v>-0.99986079999999999</v>
      </c>
      <c r="N3768">
        <v>0</v>
      </c>
      <c r="O3768">
        <v>8.4292259999999997E-3</v>
      </c>
      <c r="P3768">
        <v>-0.99937730000000002</v>
      </c>
      <c r="Q3768">
        <v>6.7847039999999999E-3</v>
      </c>
      <c r="R3768">
        <v>3.463169E-2</v>
      </c>
      <c r="S3768">
        <v>-2.9928590000000002</v>
      </c>
      <c r="T3768">
        <v>-0.2009223</v>
      </c>
      <c r="U3768">
        <v>0.28652949999999999</v>
      </c>
      <c r="V3768">
        <v>2.620596E-2</v>
      </c>
      <c r="W3768">
        <v>2.1186980000000001E-2</v>
      </c>
      <c r="X3768">
        <v>0.99943199999999999</v>
      </c>
      <c r="Y3768">
        <v>8.6732240000000002E-2</v>
      </c>
      <c r="Z3768">
        <v>2.3374899999999998E-3</v>
      </c>
      <c r="AA3768">
        <v>0.99622889999999997</v>
      </c>
      <c r="AB3768">
        <v>24</v>
      </c>
      <c r="AC3768">
        <v>-0.575699999999983</v>
      </c>
      <c r="AD3768">
        <v>-5.5470999999999999E-2</v>
      </c>
      <c r="AE3768">
        <v>7.7300000000008098E-2</v>
      </c>
      <c r="AF3768">
        <v>7.1789348990404095E-2</v>
      </c>
      <c r="AG3768">
        <v>-5.5470999999999999E-2</v>
      </c>
      <c r="AH3768">
        <v>0.571122734791911</v>
      </c>
      <c r="AI3768">
        <v>95.504476536995398</v>
      </c>
      <c r="AJ3768">
        <v>82.835573957366705</v>
      </c>
      <c r="AK3768">
        <v>0.57828359882125002</v>
      </c>
    </row>
    <row r="3769" spans="1:37" x14ac:dyDescent="0.2">
      <c r="A3769" t="str">
        <f>"20200111160235726"</f>
        <v>20200111160235726</v>
      </c>
      <c r="B3769" t="str">
        <f>"1578729755715801"</f>
        <v>1578729755715801</v>
      </c>
      <c r="C3769" t="s">
        <v>37</v>
      </c>
      <c r="D3769">
        <v>5.2604340000000001</v>
      </c>
      <c r="E3769">
        <v>0.5244335</v>
      </c>
      <c r="F3769" t="s">
        <v>42</v>
      </c>
      <c r="G3769">
        <v>-294.56029999999998</v>
      </c>
      <c r="H3769">
        <v>1.0531239999999999</v>
      </c>
      <c r="I3769">
        <v>137.15530000000001</v>
      </c>
      <c r="J3769">
        <v>-294.00490000000002</v>
      </c>
      <c r="K3769">
        <v>1.1045450000000001</v>
      </c>
      <c r="L3769">
        <v>137.0814</v>
      </c>
      <c r="M3769">
        <v>-0.99986090000000005</v>
      </c>
      <c r="N3769">
        <v>0</v>
      </c>
      <c r="O3769">
        <v>8.4234489999999995E-3</v>
      </c>
      <c r="P3769">
        <v>-0.99941049999999998</v>
      </c>
      <c r="Q3769">
        <v>7.3338930000000002E-3</v>
      </c>
      <c r="R3769">
        <v>3.354596E-2</v>
      </c>
      <c r="S3769">
        <v>-2.9932560000000001</v>
      </c>
      <c r="T3769">
        <v>-0.19473219999999999</v>
      </c>
      <c r="U3769">
        <v>0.28709409999999902</v>
      </c>
      <c r="V3769">
        <v>2.5126389999999998E-2</v>
      </c>
      <c r="W3769">
        <v>2.1730449999999998E-2</v>
      </c>
      <c r="X3769">
        <v>0.99944809999999995</v>
      </c>
      <c r="Y3769">
        <v>8.6921890000000002E-2</v>
      </c>
      <c r="Z3769">
        <v>2.2718339999999999E-3</v>
      </c>
      <c r="AA3769">
        <v>0.99621249999999995</v>
      </c>
      <c r="AB3769">
        <v>24</v>
      </c>
      <c r="AC3769">
        <v>-0.55539999999996303</v>
      </c>
      <c r="AD3769">
        <v>-5.1421000000000099E-2</v>
      </c>
      <c r="AE3769">
        <v>7.3900000000008903E-2</v>
      </c>
      <c r="AF3769">
        <v>6.8640376777544795E-2</v>
      </c>
      <c r="AG3769">
        <v>-5.1421000000000099E-2</v>
      </c>
      <c r="AH3769">
        <v>0.55135895659985001</v>
      </c>
      <c r="AI3769">
        <v>95.287540650434195</v>
      </c>
      <c r="AJ3769">
        <v>82.903582759682706</v>
      </c>
      <c r="AK3769">
        <v>0.55798953358287895</v>
      </c>
    </row>
    <row r="3770" spans="1:37" x14ac:dyDescent="0.2">
      <c r="A3770" t="str">
        <f>"20200111160235748"</f>
        <v>20200111160235748</v>
      </c>
      <c r="B3770" t="str">
        <f>"1578729755736298"</f>
        <v>1578729755736298</v>
      </c>
      <c r="C3770" t="s">
        <v>37</v>
      </c>
      <c r="D3770">
        <v>5.2835489999999998</v>
      </c>
      <c r="E3770">
        <v>0.52443379999999995</v>
      </c>
      <c r="F3770" t="s">
        <v>77</v>
      </c>
      <c r="G3770">
        <v>-311.1232</v>
      </c>
      <c r="H3770" s="1">
        <v>-8.7619369999999995E-6</v>
      </c>
      <c r="I3770">
        <v>138.68629999999999</v>
      </c>
      <c r="J3770">
        <v>-294.2364</v>
      </c>
      <c r="K3770">
        <v>1.104536</v>
      </c>
      <c r="L3770">
        <v>137.08340000000001</v>
      </c>
      <c r="M3770">
        <v>-0.99986079999999999</v>
      </c>
      <c r="N3770">
        <v>0</v>
      </c>
      <c r="O3770">
        <v>8.4393279999999994E-3</v>
      </c>
      <c r="P3770">
        <v>-0.99943879999999996</v>
      </c>
      <c r="Q3770">
        <v>7.837307E-3</v>
      </c>
      <c r="R3770">
        <v>3.2572589999999998E-2</v>
      </c>
      <c r="S3770">
        <v>-2.993744</v>
      </c>
      <c r="T3770">
        <v>-0.19317039999999999</v>
      </c>
      <c r="U3770">
        <v>0.28067019999999998</v>
      </c>
      <c r="V3770">
        <v>2.4137749999999999E-2</v>
      </c>
      <c r="W3770">
        <v>2.222766E-2</v>
      </c>
      <c r="X3770">
        <v>0.9994615</v>
      </c>
      <c r="Y3770">
        <v>8.4778900000000004E-2</v>
      </c>
      <c r="Z3770">
        <v>2.1835750000000001E-3</v>
      </c>
      <c r="AA3770">
        <v>0.99639739999999999</v>
      </c>
      <c r="AB3770">
        <v>24</v>
      </c>
      <c r="AC3770">
        <v>-16.886799999999901</v>
      </c>
      <c r="AD3770">
        <v>-1.1045447619369999</v>
      </c>
      <c r="AE3770">
        <v>1.60289999999997</v>
      </c>
      <c r="AF3770">
        <v>1.4541491546427601</v>
      </c>
      <c r="AG3770">
        <v>-1.1045447619369999</v>
      </c>
      <c r="AH3770">
        <v>16.8283732539463</v>
      </c>
      <c r="AI3770">
        <v>93.741369126363196</v>
      </c>
      <c r="AJ3770">
        <v>85.061307285883899</v>
      </c>
      <c r="AK3770">
        <v>16.927159102141399</v>
      </c>
    </row>
    <row r="3771" spans="1:37" x14ac:dyDescent="0.2">
      <c r="A3771" t="str">
        <f>"20200111160235771"</f>
        <v>20200111160235771</v>
      </c>
      <c r="B3771" t="str">
        <f>"1578729755765578"</f>
        <v>1578729755765578</v>
      </c>
      <c r="C3771" t="s">
        <v>37</v>
      </c>
      <c r="D3771">
        <v>5.1620780000000002</v>
      </c>
      <c r="E3771">
        <v>0.52460660000000003</v>
      </c>
      <c r="F3771" t="s">
        <v>77</v>
      </c>
      <c r="G3771">
        <v>-311.3741</v>
      </c>
      <c r="H3771" s="1">
        <v>-8.6634700000000006E-6</v>
      </c>
      <c r="I3771">
        <v>138.67320000000001</v>
      </c>
      <c r="J3771">
        <v>-294.4753</v>
      </c>
      <c r="K3771">
        <v>1.1045180000000001</v>
      </c>
      <c r="L3771">
        <v>137.08539999999999</v>
      </c>
      <c r="M3771">
        <v>-0.99986049999999904</v>
      </c>
      <c r="N3771">
        <v>0</v>
      </c>
      <c r="O3771">
        <v>8.482758E-3</v>
      </c>
      <c r="P3771">
        <v>-0.99947509999999995</v>
      </c>
      <c r="Q3771">
        <v>8.0487839999999998E-3</v>
      </c>
      <c r="R3771">
        <v>3.1386820000000003E-2</v>
      </c>
      <c r="S3771">
        <v>-2.99411</v>
      </c>
      <c r="T3771">
        <v>-0.19297429999999999</v>
      </c>
      <c r="U3771">
        <v>0.27775569999999999</v>
      </c>
      <c r="V3771">
        <v>2.2909079999999998E-2</v>
      </c>
      <c r="W3771">
        <v>2.243361E-2</v>
      </c>
      <c r="X3771">
        <v>0.99948590000000004</v>
      </c>
      <c r="Y3771">
        <v>8.3765240000000005E-2</v>
      </c>
      <c r="Z3771">
        <v>2.1458429999999902E-3</v>
      </c>
      <c r="AA3771">
        <v>0.99648320000000001</v>
      </c>
      <c r="AB3771">
        <v>24</v>
      </c>
      <c r="AC3771">
        <v>-16.898799999999898</v>
      </c>
      <c r="AD3771">
        <v>-1.1045266634699999</v>
      </c>
      <c r="AE3771">
        <v>1.5878000000000101</v>
      </c>
      <c r="AF3771">
        <v>1.43828885661311</v>
      </c>
      <c r="AG3771">
        <v>-1.1045266634699999</v>
      </c>
      <c r="AH3771">
        <v>16.8403482404211</v>
      </c>
      <c r="AI3771">
        <v>93.738974114325103</v>
      </c>
      <c r="AJ3771">
        <v>85.118368088981995</v>
      </c>
      <c r="AK3771">
        <v>16.9377089018564</v>
      </c>
    </row>
    <row r="3772" spans="1:37" x14ac:dyDescent="0.2">
      <c r="A3772" t="str">
        <f>"20200111160235793"</f>
        <v>20200111160235793</v>
      </c>
      <c r="B3772" t="str">
        <f>"1578729755786076"</f>
        <v>1578729755786076</v>
      </c>
      <c r="C3772" t="s">
        <v>37</v>
      </c>
      <c r="D3772">
        <v>5.3168239999999898</v>
      </c>
      <c r="E3772">
        <v>0.52119989999999905</v>
      </c>
      <c r="F3772" t="s">
        <v>42</v>
      </c>
      <c r="G3772">
        <v>-295.39460000000003</v>
      </c>
      <c r="H3772">
        <v>1.045191</v>
      </c>
      <c r="I3772">
        <v>137.16990000000001</v>
      </c>
      <c r="J3772">
        <v>-294.71600000000001</v>
      </c>
      <c r="K3772">
        <v>1.104503</v>
      </c>
      <c r="L3772">
        <v>137.08750000000001</v>
      </c>
      <c r="M3772">
        <v>-0.99985990000000002</v>
      </c>
      <c r="N3772">
        <v>0</v>
      </c>
      <c r="O3772">
        <v>8.5517240000000001E-3</v>
      </c>
      <c r="P3772">
        <v>-0.99950059999999996</v>
      </c>
      <c r="Q3772">
        <v>8.5843949999999999E-3</v>
      </c>
      <c r="R3772">
        <v>3.0412740000000001E-2</v>
      </c>
      <c r="S3772">
        <v>-2.9944459999999999</v>
      </c>
      <c r="T3772">
        <v>-0.1931803</v>
      </c>
      <c r="U3772">
        <v>0.27525329999999998</v>
      </c>
      <c r="V3772">
        <v>2.1866690000000001E-2</v>
      </c>
      <c r="W3772">
        <v>2.296372E-2</v>
      </c>
      <c r="X3772">
        <v>0.99949709999999903</v>
      </c>
      <c r="Y3772">
        <v>8.2862179999999994E-2</v>
      </c>
      <c r="Z3772">
        <v>2.1144990000000002E-3</v>
      </c>
      <c r="AA3772">
        <v>0.99655879999999997</v>
      </c>
      <c r="AB3772">
        <v>24</v>
      </c>
      <c r="AC3772">
        <v>-0.67860000000001697</v>
      </c>
      <c r="AD3772">
        <v>-5.9311999999999997E-2</v>
      </c>
      <c r="AE3772">
        <v>8.2400000000006898E-2</v>
      </c>
      <c r="AF3772">
        <v>7.6020872501419701E-2</v>
      </c>
      <c r="AG3772">
        <v>-5.9311999999999997E-2</v>
      </c>
      <c r="AH3772">
        <v>0.67420425880476997</v>
      </c>
      <c r="AI3772">
        <v>94.996059847189201</v>
      </c>
      <c r="AJ3772">
        <v>83.566704349592399</v>
      </c>
      <c r="AK3772">
        <v>0.68106421796359695</v>
      </c>
    </row>
    <row r="3773" spans="1:37" x14ac:dyDescent="0.2">
      <c r="A3773" t="str">
        <f>"20200111160235817"</f>
        <v>20200111160235817</v>
      </c>
      <c r="B3773" t="str">
        <f>"1578729755806570"</f>
        <v>1578729755806570</v>
      </c>
      <c r="C3773" t="s">
        <v>37</v>
      </c>
      <c r="D3773">
        <v>5.334962</v>
      </c>
      <c r="E3773">
        <v>0.45840920000000002</v>
      </c>
      <c r="F3773" t="s">
        <v>42</v>
      </c>
      <c r="G3773">
        <v>-295.60379999999998</v>
      </c>
      <c r="H3773">
        <v>1.044926</v>
      </c>
      <c r="I3773">
        <v>137.1602</v>
      </c>
      <c r="J3773">
        <v>-294.95499999999998</v>
      </c>
      <c r="K3773">
        <v>1.104495</v>
      </c>
      <c r="L3773">
        <v>137.08969999999999</v>
      </c>
      <c r="M3773">
        <v>-0.99985939999999995</v>
      </c>
      <c r="N3773">
        <v>0</v>
      </c>
      <c r="O3773">
        <v>8.6374209999999993E-3</v>
      </c>
      <c r="P3773">
        <v>-0.9995096</v>
      </c>
      <c r="Q3773">
        <v>9.4452500000000005E-3</v>
      </c>
      <c r="R3773">
        <v>2.985778E-2</v>
      </c>
      <c r="S3773">
        <v>-2.9957889999999998</v>
      </c>
      <c r="T3773">
        <v>-0.20113259999999999</v>
      </c>
      <c r="U3773">
        <v>0.24444579999999999</v>
      </c>
      <c r="V3773">
        <v>2.1227010000000001E-2</v>
      </c>
      <c r="W3773">
        <v>2.3817979999999999E-2</v>
      </c>
      <c r="X3773">
        <v>0.99949089999999996</v>
      </c>
      <c r="Y3773">
        <v>7.2570510000000005E-2</v>
      </c>
      <c r="Z3773">
        <v>1.8510759999999999E-3</v>
      </c>
      <c r="AA3773">
        <v>0.99736150000000001</v>
      </c>
      <c r="AB3773">
        <v>23</v>
      </c>
      <c r="AC3773">
        <v>-0.64879999999999405</v>
      </c>
      <c r="AD3773">
        <v>-5.95689999999999E-2</v>
      </c>
      <c r="AE3773">
        <v>7.0500000000009694E-2</v>
      </c>
      <c r="AF3773">
        <v>6.4356647162034902E-2</v>
      </c>
      <c r="AG3773">
        <v>-5.95689999999999E-2</v>
      </c>
      <c r="AH3773">
        <v>0.64401917444433998</v>
      </c>
      <c r="AI3773">
        <v>95.258533848175702</v>
      </c>
      <c r="AJ3773">
        <v>84.293394527682395</v>
      </c>
      <c r="AK3773">
        <v>0.64996226109437105</v>
      </c>
    </row>
    <row r="3774" spans="1:37" x14ac:dyDescent="0.2">
      <c r="A3774" t="str">
        <f>"20200111160235839"</f>
        <v>20200111160235839</v>
      </c>
      <c r="B3774" t="str">
        <f>"1578729755835850"</f>
        <v>1578729755835850</v>
      </c>
      <c r="C3774" t="s">
        <v>37</v>
      </c>
      <c r="D3774">
        <v>5.4026259999999997</v>
      </c>
      <c r="E3774">
        <v>0.45774319999999902</v>
      </c>
      <c r="F3774" t="s">
        <v>77</v>
      </c>
      <c r="G3774">
        <v>-311.13569999999999</v>
      </c>
      <c r="H3774" s="1">
        <v>-7.8376090000000006E-6</v>
      </c>
      <c r="I3774">
        <v>135.6936</v>
      </c>
      <c r="J3774">
        <v>-295.18920000000003</v>
      </c>
      <c r="K3774">
        <v>1.1044780000000001</v>
      </c>
      <c r="L3774">
        <v>137.09180000000001</v>
      </c>
      <c r="M3774">
        <v>-0.99985849999999898</v>
      </c>
      <c r="N3774">
        <v>0</v>
      </c>
      <c r="O3774">
        <v>8.7353480000000004E-3</v>
      </c>
      <c r="P3774">
        <v>-0.99949319999999897</v>
      </c>
      <c r="Q3774">
        <v>9.1962439999999993E-3</v>
      </c>
      <c r="R3774">
        <v>3.0477049999999999E-2</v>
      </c>
      <c r="S3774">
        <v>-3.01116899999999</v>
      </c>
      <c r="T3774">
        <v>-0.205544</v>
      </c>
      <c r="U3774">
        <v>-0.25979609999999997</v>
      </c>
      <c r="V3774">
        <v>2.1749069999999999E-2</v>
      </c>
      <c r="W3774">
        <v>2.3562940000000001E-2</v>
      </c>
      <c r="X3774">
        <v>0.99948570000000003</v>
      </c>
      <c r="Y3774">
        <v>-9.4420480000000001E-2</v>
      </c>
      <c r="Z3774">
        <v>-3.8075000000000001E-3</v>
      </c>
      <c r="AA3774">
        <v>0.99552510000000005</v>
      </c>
      <c r="AB3774">
        <v>23</v>
      </c>
      <c r="AC3774">
        <v>-15.946499999999901</v>
      </c>
      <c r="AD3774">
        <v>-1.1044858376090001</v>
      </c>
      <c r="AE3774">
        <v>-1.3982000000000001</v>
      </c>
      <c r="AF3774">
        <v>-1.5301746859715999</v>
      </c>
      <c r="AG3774">
        <v>-1.1044858376090001</v>
      </c>
      <c r="AH3774">
        <v>15.858181652978899</v>
      </c>
      <c r="AI3774">
        <v>93.965725835207806</v>
      </c>
      <c r="AJ3774">
        <v>95.511474778925304</v>
      </c>
      <c r="AK3774">
        <v>15.970073540029301</v>
      </c>
    </row>
    <row r="3775" spans="1:37" x14ac:dyDescent="0.2">
      <c r="A3775" t="str">
        <f>"20200111160235883"</f>
        <v>20200111160235883</v>
      </c>
      <c r="B3775" t="str">
        <f>"1578729755875866"</f>
        <v>1578729755875866</v>
      </c>
      <c r="C3775" t="s">
        <v>37</v>
      </c>
      <c r="D3775">
        <v>5.3365679999999998</v>
      </c>
      <c r="E3775">
        <v>0.4578719</v>
      </c>
      <c r="F3775" t="s">
        <v>77</v>
      </c>
      <c r="G3775">
        <v>-311.80930000000001</v>
      </c>
      <c r="H3775" s="1">
        <v>-7.567684E-6</v>
      </c>
      <c r="I3775">
        <v>135.6404</v>
      </c>
      <c r="J3775">
        <v>-295.64350000000002</v>
      </c>
      <c r="K3775">
        <v>1.1044609999999999</v>
      </c>
      <c r="L3775">
        <v>137.09610000000001</v>
      </c>
      <c r="M3775">
        <v>-0.99985669999999904</v>
      </c>
      <c r="N3775">
        <v>0</v>
      </c>
      <c r="O3775">
        <v>8.9583639999999999E-3</v>
      </c>
      <c r="P3775">
        <v>-0.99941329999999995</v>
      </c>
      <c r="Q3775">
        <v>7.042553E-3</v>
      </c>
      <c r="R3775">
        <v>3.3520149999999999E-2</v>
      </c>
      <c r="S3775">
        <v>-3.0114139999999998</v>
      </c>
      <c r="T3775">
        <v>-0.20012360000000001</v>
      </c>
      <c r="U3775">
        <v>-0.26298519999999997</v>
      </c>
      <c r="V3775">
        <v>2.4569799999999999E-2</v>
      </c>
      <c r="W3775">
        <v>2.139721E-2</v>
      </c>
      <c r="X3775">
        <v>0.999469099999999</v>
      </c>
      <c r="Y3775">
        <v>-9.5691100000000001E-2</v>
      </c>
      <c r="Z3775">
        <v>-3.7637220000000002E-3</v>
      </c>
      <c r="AA3775">
        <v>0.99540390000000001</v>
      </c>
      <c r="AB3775">
        <v>23</v>
      </c>
      <c r="AC3775">
        <v>-16.165799999999901</v>
      </c>
      <c r="AD3775">
        <v>-1.104468567684</v>
      </c>
      <c r="AE3775">
        <v>-1.4557</v>
      </c>
      <c r="AF3775">
        <v>-1.59309918177692</v>
      </c>
      <c r="AG3775">
        <v>-1.104468567684</v>
      </c>
      <c r="AH3775">
        <v>16.077665444576699</v>
      </c>
      <c r="AI3775">
        <v>93.910715452038602</v>
      </c>
      <c r="AJ3775">
        <v>95.658836099576305</v>
      </c>
      <c r="AK3775">
        <v>16.194108248610501</v>
      </c>
    </row>
    <row r="3776" spans="1:37" x14ac:dyDescent="0.2">
      <c r="A3776" t="str">
        <f>"20200111160235905"</f>
        <v>20200111160235905</v>
      </c>
      <c r="B3776" t="str">
        <f>"1578729755896362"</f>
        <v>1578729755896362</v>
      </c>
      <c r="C3776" t="s">
        <v>37</v>
      </c>
      <c r="D3776">
        <v>5.3128159999999998</v>
      </c>
      <c r="E3776">
        <v>0.45792769999999999</v>
      </c>
      <c r="F3776" t="s">
        <v>77</v>
      </c>
      <c r="G3776">
        <v>-311.71699999999998</v>
      </c>
      <c r="H3776" s="1">
        <v>-7.6348789999999996E-6</v>
      </c>
      <c r="I3776">
        <v>135.74610000000001</v>
      </c>
      <c r="J3776">
        <v>-295.8741</v>
      </c>
      <c r="K3776">
        <v>1.1044510000000001</v>
      </c>
      <c r="L3776">
        <v>137.09829999999999</v>
      </c>
      <c r="M3776">
        <v>-0.99985569999999901</v>
      </c>
      <c r="N3776">
        <v>0</v>
      </c>
      <c r="O3776">
        <v>9.0815640000000003E-3</v>
      </c>
      <c r="P3776">
        <v>-0.99936309999999995</v>
      </c>
      <c r="Q3776">
        <v>5.9544219999999896E-3</v>
      </c>
      <c r="R3776">
        <v>3.5187450000000002E-2</v>
      </c>
      <c r="S3776">
        <v>-3.0116879999999999</v>
      </c>
      <c r="T3776">
        <v>-0.20694389999999999</v>
      </c>
      <c r="U3776">
        <v>-0.25294489999999997</v>
      </c>
      <c r="V3776">
        <v>2.611428E-2</v>
      </c>
      <c r="W3776">
        <v>2.0303109999999999E-2</v>
      </c>
      <c r="X3776">
        <v>0.99945280000000003</v>
      </c>
      <c r="Y3776">
        <v>-9.2502379999999995E-2</v>
      </c>
      <c r="Z3776">
        <v>-3.7911020000000002E-3</v>
      </c>
      <c r="AA3776">
        <v>0.99570519999999996</v>
      </c>
      <c r="AB3776">
        <v>23</v>
      </c>
      <c r="AC3776">
        <v>-15.842899999999901</v>
      </c>
      <c r="AD3776">
        <v>-1.104458634879</v>
      </c>
      <c r="AE3776">
        <v>-1.3521999999999801</v>
      </c>
      <c r="AF3776">
        <v>-1.4888539762969699</v>
      </c>
      <c r="AG3776">
        <v>-1.104458634879</v>
      </c>
      <c r="AH3776">
        <v>15.7539558410675</v>
      </c>
      <c r="AI3776">
        <v>93.992527263444202</v>
      </c>
      <c r="AJ3776">
        <v>95.398798543116101</v>
      </c>
      <c r="AK3776">
        <v>15.8626492012274</v>
      </c>
    </row>
    <row r="3777" spans="1:37" x14ac:dyDescent="0.2">
      <c r="A3777" t="str">
        <f>"20200111160235927"</f>
        <v>20200111160235927</v>
      </c>
      <c r="B3777" t="str">
        <f>"1578729755915881"</f>
        <v>1578729755915881</v>
      </c>
      <c r="C3777" t="s">
        <v>37</v>
      </c>
      <c r="D3777">
        <v>5.3586119999999999</v>
      </c>
      <c r="E3777">
        <v>0.45791509999999902</v>
      </c>
      <c r="F3777" t="s">
        <v>77</v>
      </c>
      <c r="G3777">
        <v>-311.6318</v>
      </c>
      <c r="H3777" s="1">
        <v>-7.6846180000000002E-6</v>
      </c>
      <c r="I3777">
        <v>135.80359999999999</v>
      </c>
      <c r="J3777">
        <v>-296.10239999999999</v>
      </c>
      <c r="K3777">
        <v>1.104447</v>
      </c>
      <c r="L3777">
        <v>137.10050000000001</v>
      </c>
      <c r="M3777">
        <v>-0.99985460000000004</v>
      </c>
      <c r="N3777">
        <v>0</v>
      </c>
      <c r="O3777">
        <v>9.2058009999999996E-3</v>
      </c>
      <c r="P3777">
        <v>-0.99932909999999997</v>
      </c>
      <c r="Q3777">
        <v>5.0080719999999997E-3</v>
      </c>
      <c r="R3777">
        <v>3.6278360000000003E-2</v>
      </c>
      <c r="S3777">
        <v>-3.01187099999999</v>
      </c>
      <c r="T3777">
        <v>-0.21110180000000001</v>
      </c>
      <c r="U3777">
        <v>-0.24746699999999999</v>
      </c>
      <c r="V3777">
        <v>2.708087E-2</v>
      </c>
      <c r="W3777">
        <v>1.9351529999999999E-2</v>
      </c>
      <c r="X3777">
        <v>0.9994459</v>
      </c>
      <c r="Y3777">
        <v>-9.0816510000000003E-2</v>
      </c>
      <c r="Z3777">
        <v>-3.8169179999999999E-3</v>
      </c>
      <c r="AA3777">
        <v>0.99586030000000003</v>
      </c>
      <c r="AB3777">
        <v>23</v>
      </c>
      <c r="AC3777">
        <v>-15.529400000000001</v>
      </c>
      <c r="AD3777">
        <v>-1.1044546846179999</v>
      </c>
      <c r="AE3777">
        <v>-1.2969000000000199</v>
      </c>
      <c r="AF3777">
        <v>-1.43262417717521</v>
      </c>
      <c r="AG3777">
        <v>-1.1044546846179999</v>
      </c>
      <c r="AH3777">
        <v>15.4392493655207</v>
      </c>
      <c r="AI3777">
        <v>94.074269973833907</v>
      </c>
      <c r="AJ3777">
        <v>95.301355178106405</v>
      </c>
      <c r="AK3777">
        <v>15.544859380326701</v>
      </c>
    </row>
    <row r="3778" spans="1:37" x14ac:dyDescent="0.2">
      <c r="A3778" t="str">
        <f>"20200111160235950"</f>
        <v>20200111160235950</v>
      </c>
      <c r="B3778" t="str">
        <f>"1578729755946138"</f>
        <v>1578729755946138</v>
      </c>
      <c r="C3778" t="s">
        <v>37</v>
      </c>
      <c r="D3778">
        <v>5.376093</v>
      </c>
      <c r="E3778">
        <v>0.45783209999999902</v>
      </c>
      <c r="F3778" t="s">
        <v>77</v>
      </c>
      <c r="G3778">
        <v>-311.67500000000001</v>
      </c>
      <c r="H3778" s="1">
        <v>-7.6788539999999994E-6</v>
      </c>
      <c r="I3778">
        <v>135.83770000000001</v>
      </c>
      <c r="J3778">
        <v>-296.33429999999998</v>
      </c>
      <c r="K3778">
        <v>1.1044479999999901</v>
      </c>
      <c r="L3778">
        <v>137.1027</v>
      </c>
      <c r="M3778">
        <v>-0.9998534</v>
      </c>
      <c r="N3778">
        <v>0</v>
      </c>
      <c r="O3778">
        <v>9.3308009999999997E-3</v>
      </c>
      <c r="P3778">
        <v>-0.99932799999999999</v>
      </c>
      <c r="Q3778">
        <v>5.0137530000000001E-3</v>
      </c>
      <c r="R3778">
        <v>3.6312249999999997E-2</v>
      </c>
      <c r="S3778">
        <v>-3.0119630000000002</v>
      </c>
      <c r="T3778">
        <v>-0.21361669999999999</v>
      </c>
      <c r="U3778">
        <v>-0.24423220000000001</v>
      </c>
      <c r="V3778">
        <v>2.6989949999999999E-2</v>
      </c>
      <c r="W3778">
        <v>1.9352009999999999E-2</v>
      </c>
      <c r="X3778">
        <v>0.99944840000000001</v>
      </c>
      <c r="Y3778">
        <v>-8.9872229999999997E-2</v>
      </c>
      <c r="Z3778">
        <v>-3.8377809999999902E-3</v>
      </c>
      <c r="AA3778">
        <v>0.99594590000000005</v>
      </c>
      <c r="AB3778">
        <v>23</v>
      </c>
      <c r="AC3778">
        <v>-15.3407</v>
      </c>
      <c r="AD3778">
        <v>-1.1044556788539901</v>
      </c>
      <c r="AE3778">
        <v>-1.2649999999999799</v>
      </c>
      <c r="AF3778">
        <v>-1.4008885097672299</v>
      </c>
      <c r="AG3778">
        <v>-1.1044556788539901</v>
      </c>
      <c r="AH3778">
        <v>15.249717364134</v>
      </c>
      <c r="AI3778">
        <v>94.125086420646397</v>
      </c>
      <c r="AJ3778">
        <v>95.248645076077807</v>
      </c>
      <c r="AK3778">
        <v>15.353702831868301</v>
      </c>
    </row>
    <row r="3779" spans="1:37" x14ac:dyDescent="0.2">
      <c r="A3779" t="str">
        <f>"20200111160235972"</f>
        <v>20200111160235972</v>
      </c>
      <c r="B3779" t="str">
        <f>"1578729755965658"</f>
        <v>1578729755965658</v>
      </c>
      <c r="C3779" t="s">
        <v>37</v>
      </c>
      <c r="D3779">
        <v>5.3923100000000002</v>
      </c>
      <c r="E3779">
        <v>0.45797320000000002</v>
      </c>
      <c r="F3779" t="s">
        <v>77</v>
      </c>
      <c r="G3779">
        <v>-311.87729999999999</v>
      </c>
      <c r="H3779" s="1">
        <v>-7.6033029999999902E-6</v>
      </c>
      <c r="I3779">
        <v>135.83959999999999</v>
      </c>
      <c r="J3779">
        <v>-296.56630000000001</v>
      </c>
      <c r="K3779">
        <v>1.104452</v>
      </c>
      <c r="L3779">
        <v>137.10509999999999</v>
      </c>
      <c r="M3779">
        <v>-0.99985239999999997</v>
      </c>
      <c r="N3779">
        <v>0</v>
      </c>
      <c r="O3779">
        <v>9.4526349999999992E-3</v>
      </c>
      <c r="P3779">
        <v>-0.99936019999999903</v>
      </c>
      <c r="Q3779">
        <v>5.128812E-3</v>
      </c>
      <c r="R3779">
        <v>3.5398060000000002E-2</v>
      </c>
      <c r="S3779">
        <v>-3.0119630000000002</v>
      </c>
      <c r="T3779">
        <v>-0.21402389999999999</v>
      </c>
      <c r="U3779">
        <v>-0.24476619999999999</v>
      </c>
      <c r="V3779">
        <v>2.595358E-2</v>
      </c>
      <c r="W3779">
        <v>1.9462610000000002E-2</v>
      </c>
      <c r="X3779">
        <v>0.99947369999999902</v>
      </c>
      <c r="Y3779">
        <v>-9.0167020000000001E-2</v>
      </c>
      <c r="Z3779">
        <v>-3.8641280000000001E-3</v>
      </c>
      <c r="AA3779">
        <v>0.99591919999999901</v>
      </c>
      <c r="AB3779">
        <v>23</v>
      </c>
      <c r="AC3779">
        <v>-15.3109999999999</v>
      </c>
      <c r="AD3779">
        <v>-1.1044596033030001</v>
      </c>
      <c r="AE3779">
        <v>-1.2655000000000001</v>
      </c>
      <c r="AF3779">
        <v>-1.40293704086958</v>
      </c>
      <c r="AG3779">
        <v>-1.1044596033030001</v>
      </c>
      <c r="AH3779">
        <v>15.219694485321901</v>
      </c>
      <c r="AI3779">
        <v>94.133091473522796</v>
      </c>
      <c r="AJ3779">
        <v>95.266587713849603</v>
      </c>
      <c r="AK3779">
        <v>15.324071377493301</v>
      </c>
    </row>
    <row r="3780" spans="1:37" x14ac:dyDescent="0.2">
      <c r="A3780" t="str">
        <f>"20200111160235993"</f>
        <v>20200111160235993</v>
      </c>
      <c r="B3780" t="str">
        <f>"1578729755986154"</f>
        <v>1578729755986154</v>
      </c>
      <c r="C3780" t="s">
        <v>37</v>
      </c>
      <c r="D3780">
        <v>5.3801610000000002</v>
      </c>
      <c r="E3780">
        <v>0.457984</v>
      </c>
      <c r="F3780" t="s">
        <v>77</v>
      </c>
      <c r="G3780">
        <v>-312.1986</v>
      </c>
      <c r="H3780" s="1">
        <v>-7.4784269999999999E-6</v>
      </c>
      <c r="I3780">
        <v>135.82689999999999</v>
      </c>
      <c r="J3780">
        <v>-296.79239999999999</v>
      </c>
      <c r="K3780">
        <v>1.1044529999999999</v>
      </c>
      <c r="L3780">
        <v>137.10730000000001</v>
      </c>
      <c r="M3780">
        <v>-0.99985139999999995</v>
      </c>
      <c r="N3780">
        <v>0</v>
      </c>
      <c r="O3780">
        <v>9.5693989999999993E-3</v>
      </c>
      <c r="P3780">
        <v>-0.99939469999999997</v>
      </c>
      <c r="Q3780">
        <v>5.1479300000000002E-3</v>
      </c>
      <c r="R3780">
        <v>3.4405890000000001E-2</v>
      </c>
      <c r="S3780">
        <v>-3.011749</v>
      </c>
      <c r="T3780">
        <v>-0.2127877</v>
      </c>
      <c r="U3780">
        <v>-0.2462616</v>
      </c>
      <c r="V3780">
        <v>2.4844290000000002E-2</v>
      </c>
      <c r="W3780">
        <v>1.9477870000000001E-2</v>
      </c>
      <c r="X3780">
        <v>0.99950159999999999</v>
      </c>
      <c r="Y3780">
        <v>-9.0781269999999997E-2</v>
      </c>
      <c r="Z3780">
        <v>-3.8719229999999898E-3</v>
      </c>
      <c r="AA3780">
        <v>0.99586330000000001</v>
      </c>
      <c r="AB3780">
        <v>23</v>
      </c>
      <c r="AC3780">
        <v>-15.4062</v>
      </c>
      <c r="AD3780">
        <v>-1.104460478427</v>
      </c>
      <c r="AE3780">
        <v>-1.28040000000001</v>
      </c>
      <c r="AF3780">
        <v>-1.42053403520773</v>
      </c>
      <c r="AG3780">
        <v>-1.104460478427</v>
      </c>
      <c r="AH3780">
        <v>15.3150707450461</v>
      </c>
      <c r="AI3780">
        <v>94.107228046888096</v>
      </c>
      <c r="AJ3780">
        <v>95.2992502841971</v>
      </c>
      <c r="AK3780">
        <v>15.4204131533289</v>
      </c>
    </row>
    <row r="3781" spans="1:37" x14ac:dyDescent="0.2">
      <c r="A3781" t="str">
        <f>"20200111160236016"</f>
        <v>20200111160236016</v>
      </c>
      <c r="B3781" t="str">
        <f>"1578729756005674"</f>
        <v>1578729756005674</v>
      </c>
      <c r="C3781" t="s">
        <v>37</v>
      </c>
      <c r="D3781">
        <v>5.3646409999999998</v>
      </c>
      <c r="E3781">
        <v>0.45799390000000001</v>
      </c>
      <c r="F3781" t="s">
        <v>77</v>
      </c>
      <c r="G3781">
        <v>-312.41160000000002</v>
      </c>
      <c r="H3781" s="1">
        <v>-7.3946509999999998E-6</v>
      </c>
      <c r="I3781">
        <v>135.8152</v>
      </c>
      <c r="J3781">
        <v>-297.02719999999999</v>
      </c>
      <c r="K3781">
        <v>1.104455</v>
      </c>
      <c r="L3781">
        <v>137.1097</v>
      </c>
      <c r="M3781">
        <v>-0.99985029999999997</v>
      </c>
      <c r="N3781">
        <v>0</v>
      </c>
      <c r="O3781">
        <v>9.6883719999999902E-3</v>
      </c>
      <c r="P3781">
        <v>-0.99941899999999995</v>
      </c>
      <c r="Q3781">
        <v>5.5472330000000004E-3</v>
      </c>
      <c r="R3781">
        <v>3.3630069999999998E-2</v>
      </c>
      <c r="S3781">
        <v>-3.011536</v>
      </c>
      <c r="T3781">
        <v>-0.2129509</v>
      </c>
      <c r="U3781">
        <v>-0.24914549999999999</v>
      </c>
      <c r="V3781">
        <v>2.3949350000000001E-2</v>
      </c>
      <c r="W3781">
        <v>1.987214E-2</v>
      </c>
      <c r="X3781">
        <v>0.99951569999999901</v>
      </c>
      <c r="Y3781">
        <v>-9.1849360000000005E-2</v>
      </c>
      <c r="Z3781">
        <v>-3.9210499999999997E-3</v>
      </c>
      <c r="AA3781">
        <v>0.99576520000000002</v>
      </c>
      <c r="AB3781">
        <v>23</v>
      </c>
      <c r="AC3781">
        <v>-15.384399999999999</v>
      </c>
      <c r="AD3781">
        <v>-1.1044623946509999</v>
      </c>
      <c r="AE3781">
        <v>-1.29449999999999</v>
      </c>
      <c r="AF3781">
        <v>-1.4361545009973899</v>
      </c>
      <c r="AG3781">
        <v>-1.1044623946509999</v>
      </c>
      <c r="AH3781">
        <v>15.292870262875899</v>
      </c>
      <c r="AI3781">
        <v>94.112738685026599</v>
      </c>
      <c r="AJ3781">
        <v>95.364916278802795</v>
      </c>
      <c r="AK3781">
        <v>15.399813564101599</v>
      </c>
    </row>
    <row r="3782" spans="1:37" x14ac:dyDescent="0.2">
      <c r="A3782" t="str">
        <f>"20200111160236038"</f>
        <v>20200111160236038</v>
      </c>
      <c r="B3782" t="str">
        <f>"1578729756035930"</f>
        <v>1578729756035930</v>
      </c>
      <c r="C3782" t="s">
        <v>37</v>
      </c>
      <c r="D3782">
        <v>5.4031279999999997</v>
      </c>
      <c r="E3782">
        <v>0.45907769999999998</v>
      </c>
      <c r="F3782" t="s">
        <v>77</v>
      </c>
      <c r="G3782">
        <v>-312.6936</v>
      </c>
      <c r="H3782" s="1">
        <v>-7.2841679999999996E-6</v>
      </c>
      <c r="I3782">
        <v>135.80109999999999</v>
      </c>
      <c r="J3782">
        <v>-297.25130000000001</v>
      </c>
      <c r="K3782">
        <v>1.104455</v>
      </c>
      <c r="L3782">
        <v>137.11199999999999</v>
      </c>
      <c r="M3782">
        <v>-0.99984930000000005</v>
      </c>
      <c r="N3782">
        <v>0</v>
      </c>
      <c r="O3782">
        <v>9.800909E-3</v>
      </c>
      <c r="P3782">
        <v>-0.99944109999999997</v>
      </c>
      <c r="Q3782">
        <v>5.1510929999999998E-3</v>
      </c>
      <c r="R3782">
        <v>3.3030450000000003E-2</v>
      </c>
      <c r="S3782">
        <v>-3.0113219999999998</v>
      </c>
      <c r="T3782">
        <v>-0.2122947</v>
      </c>
      <c r="U3782">
        <v>-0.25154110000000002</v>
      </c>
      <c r="V3782">
        <v>2.3236949999999999E-2</v>
      </c>
      <c r="W3782">
        <v>1.9471189999999999E-2</v>
      </c>
      <c r="X3782">
        <v>0.99954030000000005</v>
      </c>
      <c r="Y3782">
        <v>-9.2752970000000004E-2</v>
      </c>
      <c r="Z3782">
        <v>-3.9488140000000001E-3</v>
      </c>
      <c r="AA3782">
        <v>0.99568129999999999</v>
      </c>
      <c r="AB3782">
        <v>23</v>
      </c>
      <c r="AC3782">
        <v>-15.4422999999999</v>
      </c>
      <c r="AD3782">
        <v>-1.1044622841680001</v>
      </c>
      <c r="AE3782">
        <v>-1.3109</v>
      </c>
      <c r="AF3782">
        <v>-1.45481246960499</v>
      </c>
      <c r="AG3782">
        <v>-1.1044622841680001</v>
      </c>
      <c r="AH3782">
        <v>15.350745769786799</v>
      </c>
      <c r="AI3782">
        <v>94.096956418474804</v>
      </c>
      <c r="AJ3782">
        <v>95.413834521329406</v>
      </c>
      <c r="AK3782">
        <v>15.459033344536699</v>
      </c>
    </row>
    <row r="3783" spans="1:37" x14ac:dyDescent="0.2">
      <c r="A3783" t="str">
        <f>"20200111160236061"</f>
        <v>20200111160236061</v>
      </c>
      <c r="B3783" t="str">
        <f>"1578729756056427"</f>
        <v>1578729756056427</v>
      </c>
      <c r="C3783" t="s">
        <v>37</v>
      </c>
      <c r="D3783">
        <v>5.3990339999999897</v>
      </c>
      <c r="E3783">
        <v>0.46026590000000001</v>
      </c>
      <c r="F3783" t="s">
        <v>77</v>
      </c>
      <c r="G3783">
        <v>-313.07889999999998</v>
      </c>
      <c r="H3783" s="1">
        <v>-7.147172E-6</v>
      </c>
      <c r="I3783">
        <v>135.82849999999999</v>
      </c>
      <c r="J3783">
        <v>-297.48180000000002</v>
      </c>
      <c r="K3783">
        <v>1.104457</v>
      </c>
      <c r="L3783">
        <v>137.11439999999999</v>
      </c>
      <c r="M3783">
        <v>-0.99984819999999996</v>
      </c>
      <c r="N3783">
        <v>0</v>
      </c>
      <c r="O3783">
        <v>9.9156580000000008E-3</v>
      </c>
      <c r="P3783">
        <v>-0.99943890000000002</v>
      </c>
      <c r="Q3783">
        <v>4.42867E-3</v>
      </c>
      <c r="R3783">
        <v>3.319884E-2</v>
      </c>
      <c r="S3783">
        <v>-3.01086399999999</v>
      </c>
      <c r="T3783">
        <v>-0.21010119999999999</v>
      </c>
      <c r="U3783">
        <v>-0.2441711</v>
      </c>
      <c r="V3783">
        <v>2.3290149999999999E-2</v>
      </c>
      <c r="W3783">
        <v>1.8743679999999999E-2</v>
      </c>
      <c r="X3783">
        <v>0.99955300000000002</v>
      </c>
      <c r="Y3783">
        <v>-9.0469030000000006E-2</v>
      </c>
      <c r="Z3783">
        <v>-3.8376170000000002E-3</v>
      </c>
      <c r="AA3783">
        <v>0.99589189999999905</v>
      </c>
      <c r="AB3783">
        <v>23</v>
      </c>
      <c r="AC3783">
        <v>-15.5970999999999</v>
      </c>
      <c r="AD3783">
        <v>-1.104464147172</v>
      </c>
      <c r="AE3783">
        <v>-1.2858999999999901</v>
      </c>
      <c r="AF3783">
        <v>-1.4333692487351399</v>
      </c>
      <c r="AG3783">
        <v>-1.104464147172</v>
      </c>
      <c r="AH3783">
        <v>15.5063517213735</v>
      </c>
      <c r="AI3783">
        <v>94.056863810395001</v>
      </c>
      <c r="AJ3783">
        <v>95.281273622045106</v>
      </c>
      <c r="AK3783">
        <v>15.611576863422499</v>
      </c>
    </row>
    <row r="3784" spans="1:37" x14ac:dyDescent="0.2">
      <c r="A3784" t="str">
        <f>"20200111160236082"</f>
        <v>20200111160236082</v>
      </c>
      <c r="B3784" t="str">
        <f>"1578729756075945"</f>
        <v>1578729756075945</v>
      </c>
      <c r="C3784" t="s">
        <v>37</v>
      </c>
      <c r="D3784">
        <v>5.4060800000000002</v>
      </c>
      <c r="E3784">
        <v>0.461207799999999</v>
      </c>
      <c r="F3784" t="s">
        <v>77</v>
      </c>
      <c r="G3784">
        <v>-313.0761</v>
      </c>
      <c r="H3784" s="1">
        <v>-7.1704869999999996E-6</v>
      </c>
      <c r="I3784">
        <v>135.8997</v>
      </c>
      <c r="J3784">
        <v>-297.7099</v>
      </c>
      <c r="K3784">
        <v>1.1044510000000001</v>
      </c>
      <c r="L3784">
        <v>137.11680000000001</v>
      </c>
      <c r="M3784">
        <v>-0.99984719999999905</v>
      </c>
      <c r="N3784">
        <v>0</v>
      </c>
      <c r="O3784">
        <v>1.002874E-2</v>
      </c>
      <c r="P3784">
        <v>-0.99944</v>
      </c>
      <c r="Q3784">
        <v>4.15028599999999E-3</v>
      </c>
      <c r="R3784">
        <v>3.3203669999999998E-2</v>
      </c>
      <c r="S3784">
        <v>-3.0104060000000001</v>
      </c>
      <c r="T3784">
        <v>-0.2132107</v>
      </c>
      <c r="U3784">
        <v>-0.23448179999999899</v>
      </c>
      <c r="V3784">
        <v>2.3181819999999999E-2</v>
      </c>
      <c r="W3784">
        <v>1.8460480000000001E-2</v>
      </c>
      <c r="X3784">
        <v>0.99956080000000003</v>
      </c>
      <c r="Y3784">
        <v>-8.7408150000000004E-2</v>
      </c>
      <c r="Z3784">
        <v>-3.79525E-3</v>
      </c>
      <c r="AA3784">
        <v>0.99616530000000003</v>
      </c>
      <c r="AB3784">
        <v>23</v>
      </c>
      <c r="AC3784">
        <v>-15.3661999999999</v>
      </c>
      <c r="AD3784">
        <v>-1.104458170487</v>
      </c>
      <c r="AE3784">
        <v>-1.2171000000000101</v>
      </c>
      <c r="AF3784">
        <v>-1.3641547357806501</v>
      </c>
      <c r="AG3784">
        <v>-1.104458170487</v>
      </c>
      <c r="AH3784">
        <v>15.2748001863888</v>
      </c>
      <c r="AI3784">
        <v>94.119287711704601</v>
      </c>
      <c r="AJ3784">
        <v>95.103405535486303</v>
      </c>
      <c r="AK3784">
        <v>15.3753135489203</v>
      </c>
    </row>
    <row r="3785" spans="1:37" x14ac:dyDescent="0.2">
      <c r="A3785" t="str">
        <f>"20200111160236107"</f>
        <v>20200111160236107</v>
      </c>
      <c r="B3785" t="str">
        <f>"1578729756096442"</f>
        <v>1578729756096442</v>
      </c>
      <c r="C3785" t="s">
        <v>37</v>
      </c>
      <c r="D3785">
        <v>5.2974449999999997</v>
      </c>
      <c r="E3785">
        <v>0.46228159999999902</v>
      </c>
      <c r="F3785" t="s">
        <v>77</v>
      </c>
      <c r="G3785">
        <v>-313.1884</v>
      </c>
      <c r="H3785" s="1">
        <v>-7.1421130000000003E-6</v>
      </c>
      <c r="I3785">
        <v>135.95009999999999</v>
      </c>
      <c r="J3785">
        <v>-297.9511</v>
      </c>
      <c r="K3785">
        <v>1.1044479999999901</v>
      </c>
      <c r="L3785">
        <v>137.11940000000001</v>
      </c>
      <c r="M3785">
        <v>-0.99984619999999902</v>
      </c>
      <c r="N3785">
        <v>0</v>
      </c>
      <c r="O3785">
        <v>1.0147679999999999E-2</v>
      </c>
      <c r="P3785">
        <v>-0.99944239999999995</v>
      </c>
      <c r="Q3785">
        <v>4.4283529999999899E-3</v>
      </c>
      <c r="R3785">
        <v>3.3099879999999998E-2</v>
      </c>
      <c r="S3785">
        <v>-3.010132</v>
      </c>
      <c r="T3785">
        <v>-0.21478639999999999</v>
      </c>
      <c r="U3785">
        <v>-0.226882899999999</v>
      </c>
      <c r="V3785">
        <v>2.2959279999999999E-2</v>
      </c>
      <c r="W3785">
        <v>1.8733659999999999E-2</v>
      </c>
      <c r="X3785">
        <v>0.99956089999999997</v>
      </c>
      <c r="Y3785">
        <v>-8.5035340000000001E-2</v>
      </c>
      <c r="Z3785">
        <v>-3.7479750000000002E-3</v>
      </c>
      <c r="AA3785">
        <v>0.99637089999999995</v>
      </c>
      <c r="AB3785">
        <v>23</v>
      </c>
      <c r="AC3785">
        <v>-15.237299999999999</v>
      </c>
      <c r="AD3785">
        <v>-1.10445514211299</v>
      </c>
      <c r="AE3785">
        <v>-1.16930000000002</v>
      </c>
      <c r="AF3785">
        <v>-1.31699999591979</v>
      </c>
      <c r="AG3785">
        <v>-1.10445514211299</v>
      </c>
      <c r="AH3785">
        <v>15.1455413915109</v>
      </c>
      <c r="AI3785">
        <v>94.155160945977798</v>
      </c>
      <c r="AJ3785">
        <v>94.969727198920495</v>
      </c>
      <c r="AK3785">
        <v>15.242760058209999</v>
      </c>
    </row>
    <row r="3786" spans="1:37" x14ac:dyDescent="0.2">
      <c r="A3786" t="str">
        <f>"20200111160236129"</f>
        <v>20200111160236129</v>
      </c>
      <c r="B3786" t="str">
        <f>"1578729756125721"</f>
        <v>1578729756125721</v>
      </c>
      <c r="C3786" t="s">
        <v>37</v>
      </c>
      <c r="D3786">
        <v>5.2852629999999996</v>
      </c>
      <c r="E3786">
        <v>0.46328549999999902</v>
      </c>
      <c r="F3786" t="s">
        <v>77</v>
      </c>
      <c r="G3786">
        <v>-313.32619999999997</v>
      </c>
      <c r="H3786" s="1">
        <v>-7.1037649999999997E-6</v>
      </c>
      <c r="I3786">
        <v>136.0033</v>
      </c>
      <c r="J3786">
        <v>-298.1771</v>
      </c>
      <c r="K3786">
        <v>1.104449</v>
      </c>
      <c r="L3786">
        <v>137.12180000000001</v>
      </c>
      <c r="M3786">
        <v>-0.99984499999999998</v>
      </c>
      <c r="N3786">
        <v>0</v>
      </c>
      <c r="O3786">
        <v>1.025994E-2</v>
      </c>
      <c r="P3786">
        <v>-0.999424599999999</v>
      </c>
      <c r="Q3786">
        <v>4.7255159999999999E-3</v>
      </c>
      <c r="R3786">
        <v>3.3587150000000003E-2</v>
      </c>
      <c r="S3786">
        <v>-3.0098569999999998</v>
      </c>
      <c r="T3786">
        <v>-0.21621070000000001</v>
      </c>
      <c r="U3786">
        <v>-0.21849060000000001</v>
      </c>
      <c r="V3786">
        <v>2.3334540000000001E-2</v>
      </c>
      <c r="W3786">
        <v>1.9025429999999999E-2</v>
      </c>
      <c r="X3786">
        <v>0.99954659999999995</v>
      </c>
      <c r="Y3786">
        <v>-8.2393880000000003E-2</v>
      </c>
      <c r="Z3786">
        <v>-3.6869099999999998E-3</v>
      </c>
      <c r="AA3786">
        <v>0.99659299999999995</v>
      </c>
      <c r="AB3786">
        <v>23</v>
      </c>
      <c r="AC3786">
        <v>-15.149099999999899</v>
      </c>
      <c r="AD3786">
        <v>-1.104456103765</v>
      </c>
      <c r="AE3786">
        <v>-1.11850000000001</v>
      </c>
      <c r="AF3786">
        <v>-1.2671869932669</v>
      </c>
      <c r="AG3786">
        <v>-1.104456103765</v>
      </c>
      <c r="AH3786">
        <v>15.0572266261261</v>
      </c>
      <c r="AI3786">
        <v>94.180439538370194</v>
      </c>
      <c r="AJ3786">
        <v>94.810565992725202</v>
      </c>
      <c r="AK3786">
        <v>15.150764331596299</v>
      </c>
    </row>
    <row r="3787" spans="1:37" x14ac:dyDescent="0.2">
      <c r="A3787" t="str">
        <f>"20200111160236154"</f>
        <v>20200111160236154</v>
      </c>
      <c r="B3787" t="str">
        <f>"1578729756146217"</f>
        <v>1578729756146217</v>
      </c>
      <c r="C3787" t="s">
        <v>37</v>
      </c>
      <c r="D3787">
        <v>5.4135879999999998</v>
      </c>
      <c r="E3787">
        <v>0.46402139999999997</v>
      </c>
      <c r="F3787" t="s">
        <v>77</v>
      </c>
      <c r="G3787">
        <v>-313.4776</v>
      </c>
      <c r="H3787" s="1">
        <v>-7.0606699999999996E-6</v>
      </c>
      <c r="I3787">
        <v>136.05860000000001</v>
      </c>
      <c r="J3787">
        <v>-298.43130000000002</v>
      </c>
      <c r="K3787">
        <v>1.104455</v>
      </c>
      <c r="L3787">
        <v>137.12450000000001</v>
      </c>
      <c r="M3787">
        <v>-0.99984379999999995</v>
      </c>
      <c r="N3787">
        <v>0</v>
      </c>
      <c r="O3787">
        <v>1.0386090000000001E-2</v>
      </c>
      <c r="P3787">
        <v>-0.99941480000000005</v>
      </c>
      <c r="Q3787">
        <v>4.4442969999999998E-3</v>
      </c>
      <c r="R3787">
        <v>3.3914960000000001E-2</v>
      </c>
      <c r="S3787">
        <v>-3.0097659999999999</v>
      </c>
      <c r="T3787">
        <v>-0.2172586</v>
      </c>
      <c r="U3787">
        <v>-0.20913699999999999</v>
      </c>
      <c r="V3787">
        <v>2.353618E-2</v>
      </c>
      <c r="W3787">
        <v>1.873843E-2</v>
      </c>
      <c r="X3787">
        <v>0.99954739999999997</v>
      </c>
      <c r="Y3787">
        <v>-7.9444749999999995E-2</v>
      </c>
      <c r="Z3787">
        <v>-3.6081590000000001E-3</v>
      </c>
      <c r="AA3787">
        <v>0.99683269999999902</v>
      </c>
      <c r="AB3787">
        <v>23</v>
      </c>
      <c r="AC3787">
        <v>-15.046299999999899</v>
      </c>
      <c r="AD3787">
        <v>-1.10446206067</v>
      </c>
      <c r="AE3787">
        <v>-1.0658999999999901</v>
      </c>
      <c r="AF3787">
        <v>-1.2156134659668301</v>
      </c>
      <c r="AG3787">
        <v>-1.10446206067</v>
      </c>
      <c r="AH3787">
        <v>14.9542428038763</v>
      </c>
      <c r="AI3787">
        <v>94.210136835757297</v>
      </c>
      <c r="AJ3787">
        <v>94.647290773447693</v>
      </c>
      <c r="AK3787">
        <v>15.0441659914861</v>
      </c>
    </row>
    <row r="3788" spans="1:37" x14ac:dyDescent="0.2">
      <c r="A3788" t="str">
        <f>"20200111160236171"</f>
        <v>20200111160236171</v>
      </c>
      <c r="B3788" t="str">
        <f>"1578729756165738"</f>
        <v>1578729756165738</v>
      </c>
      <c r="C3788" t="s">
        <v>37</v>
      </c>
      <c r="D3788">
        <v>5.201098</v>
      </c>
      <c r="E3788">
        <v>0.46477059999999998</v>
      </c>
      <c r="F3788" t="s">
        <v>77</v>
      </c>
      <c r="G3788">
        <v>-313.58019999999999</v>
      </c>
      <c r="H3788" s="1">
        <v>-7.0346039999999996E-6</v>
      </c>
      <c r="I3788">
        <v>136.10589999999999</v>
      </c>
      <c r="J3788">
        <v>-298.61509999999998</v>
      </c>
      <c r="K3788">
        <v>1.104449</v>
      </c>
      <c r="L3788">
        <v>137.12649999999999</v>
      </c>
      <c r="M3788">
        <v>-0.99984289999999998</v>
      </c>
      <c r="N3788">
        <v>0</v>
      </c>
      <c r="O3788">
        <v>1.047766E-2</v>
      </c>
      <c r="P3788">
        <v>-0.99941669999999905</v>
      </c>
      <c r="Q3788">
        <v>3.9494300000000003E-3</v>
      </c>
      <c r="R3788">
        <v>3.3926329999999998E-2</v>
      </c>
      <c r="S3788">
        <v>-3.0096129999999999</v>
      </c>
      <c r="T3788">
        <v>-0.2194226</v>
      </c>
      <c r="U3788">
        <v>-0.20236209999999999</v>
      </c>
      <c r="V3788">
        <v>2.345587E-2</v>
      </c>
      <c r="W3788">
        <v>1.8239740000000001E-2</v>
      </c>
      <c r="X3788">
        <v>0.99955839999999996</v>
      </c>
      <c r="Y3788">
        <v>-7.7306529999999998E-2</v>
      </c>
      <c r="Z3788">
        <v>-3.5733700000000002E-3</v>
      </c>
      <c r="AA3788">
        <v>0.99700100000000003</v>
      </c>
      <c r="AB3788">
        <v>23</v>
      </c>
      <c r="AC3788">
        <v>-14.9651</v>
      </c>
      <c r="AD3788">
        <v>-1.104456034604</v>
      </c>
      <c r="AE3788">
        <v>-1.0206</v>
      </c>
      <c r="AF3788">
        <v>-1.1710105459005999</v>
      </c>
      <c r="AG3788">
        <v>-1.104456034604</v>
      </c>
      <c r="AH3788">
        <v>14.8729495360279</v>
      </c>
      <c r="AI3788">
        <v>94.233899051127594</v>
      </c>
      <c r="AJ3788">
        <v>94.501853176142404</v>
      </c>
      <c r="AK3788">
        <v>14.9598033654262</v>
      </c>
    </row>
    <row r="3789" spans="1:37" x14ac:dyDescent="0.2">
      <c r="A3789" t="str">
        <f>"20200111160236195"</f>
        <v>20200111160236195</v>
      </c>
      <c r="B3789" t="str">
        <f>"1578729756186234"</f>
        <v>1578729756186234</v>
      </c>
      <c r="C3789" t="s">
        <v>37</v>
      </c>
      <c r="D3789">
        <v>5.2342849999999999</v>
      </c>
      <c r="E3789">
        <v>0.4649972</v>
      </c>
      <c r="F3789" t="s">
        <v>77</v>
      </c>
      <c r="G3789">
        <v>-313.59179999999998</v>
      </c>
      <c r="H3789" s="1">
        <v>-7.0438679999999902E-6</v>
      </c>
      <c r="I3789">
        <v>136.14949999999999</v>
      </c>
      <c r="J3789">
        <v>-298.84840000000003</v>
      </c>
      <c r="K3789">
        <v>1.10444599999999</v>
      </c>
      <c r="L3789">
        <v>137.12909999999999</v>
      </c>
      <c r="M3789">
        <v>-0.99984189999999995</v>
      </c>
      <c r="N3789">
        <v>0</v>
      </c>
      <c r="O3789">
        <v>1.0594040000000001E-2</v>
      </c>
      <c r="P3789">
        <v>-0.99940219999999902</v>
      </c>
      <c r="Q3789">
        <v>3.1867509999999998E-3</v>
      </c>
      <c r="R3789">
        <v>3.4431049999999998E-2</v>
      </c>
      <c r="S3789">
        <v>-3.0093079999999999</v>
      </c>
      <c r="T3789">
        <v>-0.22192049999999999</v>
      </c>
      <c r="U3789">
        <v>-0.19631960000000001</v>
      </c>
      <c r="V3789">
        <v>2.3844150000000001E-2</v>
      </c>
      <c r="W3789">
        <v>1.747073E-2</v>
      </c>
      <c r="X3789">
        <v>0.99956299999999898</v>
      </c>
      <c r="Y3789">
        <v>-7.54354E-2</v>
      </c>
      <c r="Z3789">
        <v>-3.554279E-3</v>
      </c>
      <c r="AA3789">
        <v>0.99714429999999998</v>
      </c>
      <c r="AB3789">
        <v>23</v>
      </c>
      <c r="AC3789">
        <v>-14.7433999999999</v>
      </c>
      <c r="AD3789">
        <v>-1.10445304386799</v>
      </c>
      <c r="AE3789">
        <v>-0.97960000000000402</v>
      </c>
      <c r="AF3789">
        <v>-1.1294428083252801</v>
      </c>
      <c r="AG3789">
        <v>-1.10445304386799</v>
      </c>
      <c r="AH3789">
        <v>14.650340612238899</v>
      </c>
      <c r="AI3789">
        <v>94.298525595884001</v>
      </c>
      <c r="AJ3789">
        <v>94.408399772402305</v>
      </c>
      <c r="AK3789">
        <v>14.7352617091792</v>
      </c>
    </row>
    <row r="3790" spans="1:37" x14ac:dyDescent="0.2">
      <c r="A3790" t="str">
        <f>"20200111160236217"</f>
        <v>20200111160236217</v>
      </c>
      <c r="B3790" t="str">
        <f>"1578729756205754"</f>
        <v>1578729756205754</v>
      </c>
      <c r="C3790" t="s">
        <v>37</v>
      </c>
      <c r="D3790">
        <v>5.1739800000000002</v>
      </c>
      <c r="E3790">
        <v>0.46566859999999999</v>
      </c>
      <c r="F3790" t="s">
        <v>77</v>
      </c>
      <c r="G3790">
        <v>-314.76990000000001</v>
      </c>
      <c r="H3790" s="1">
        <v>-6.5594140000000002E-6</v>
      </c>
      <c r="I3790">
        <v>136.11410000000001</v>
      </c>
      <c r="J3790">
        <v>-299.07310000000001</v>
      </c>
      <c r="K3790">
        <v>1.104452</v>
      </c>
      <c r="L3790">
        <v>137.13159999999999</v>
      </c>
      <c r="M3790">
        <v>-0.99984059999999897</v>
      </c>
      <c r="N3790">
        <v>0</v>
      </c>
      <c r="O3790">
        <v>1.070664E-2</v>
      </c>
      <c r="P3790">
        <v>-0.9993919</v>
      </c>
      <c r="Q3790">
        <v>3.2047930000000001E-3</v>
      </c>
      <c r="R3790">
        <v>3.4723129999999998E-2</v>
      </c>
      <c r="S3790">
        <v>-3.0090330000000001</v>
      </c>
      <c r="T3790">
        <v>-0.2087331</v>
      </c>
      <c r="U3790">
        <v>-0.19183349999999999</v>
      </c>
      <c r="V3790">
        <v>2.402375E-2</v>
      </c>
      <c r="W3790">
        <v>1.7477880000000001E-2</v>
      </c>
      <c r="X3790">
        <v>0.99955859999999996</v>
      </c>
      <c r="Y3790">
        <v>-7.410274E-2</v>
      </c>
      <c r="Z3790">
        <v>-3.3057259999999902E-3</v>
      </c>
      <c r="AA3790">
        <v>0.997245099999999</v>
      </c>
      <c r="AB3790">
        <v>23</v>
      </c>
      <c r="AC3790">
        <v>-15.6967999999999</v>
      </c>
      <c r="AD3790">
        <v>-1.104458559414</v>
      </c>
      <c r="AE3790">
        <v>-1.0174999999999801</v>
      </c>
      <c r="AF3790">
        <v>-1.17970276048094</v>
      </c>
      <c r="AG3790">
        <v>-1.104458559414</v>
      </c>
      <c r="AH3790">
        <v>15.608055747724601</v>
      </c>
      <c r="AI3790">
        <v>94.036147753600503</v>
      </c>
      <c r="AJ3790">
        <v>94.322365129525906</v>
      </c>
      <c r="AK3790">
        <v>15.691492329814499</v>
      </c>
    </row>
    <row r="3791" spans="1:37" x14ac:dyDescent="0.2">
      <c r="A3791" t="str">
        <f>"20200111160236238"</f>
        <v>20200111160236238</v>
      </c>
      <c r="B3791" t="str">
        <f>"1578729756236010"</f>
        <v>1578729756236010</v>
      </c>
      <c r="C3791" t="s">
        <v>37</v>
      </c>
      <c r="D3791">
        <v>5.1476350000000002</v>
      </c>
      <c r="E3791">
        <v>0.4664295</v>
      </c>
      <c r="F3791" t="s">
        <v>77</v>
      </c>
      <c r="G3791">
        <v>-315.17750000000001</v>
      </c>
      <c r="H3791" s="1">
        <v>-6.3945969999999999E-6</v>
      </c>
      <c r="I3791">
        <v>136.13929999999999</v>
      </c>
      <c r="J3791">
        <v>-299.2912</v>
      </c>
      <c r="K3791">
        <v>1.104455</v>
      </c>
      <c r="L3791">
        <v>137.13409999999999</v>
      </c>
      <c r="M3791">
        <v>-0.999839699999999</v>
      </c>
      <c r="N3791">
        <v>0</v>
      </c>
      <c r="O3791">
        <v>1.0815719999999999E-2</v>
      </c>
      <c r="P3791">
        <v>-0.99937559999999903</v>
      </c>
      <c r="Q3791">
        <v>3.1941529999999999E-3</v>
      </c>
      <c r="R3791">
        <v>3.5187419999999997E-2</v>
      </c>
      <c r="S3791">
        <v>-3.0089419999999998</v>
      </c>
      <c r="T3791">
        <v>-0.2063574</v>
      </c>
      <c r="U3791">
        <v>-0.1854095</v>
      </c>
      <c r="V3791">
        <v>2.437899E-2</v>
      </c>
      <c r="W3791">
        <v>1.7449280000000001E-2</v>
      </c>
      <c r="X3791">
        <v>0.99955049999999901</v>
      </c>
      <c r="Y3791">
        <v>-7.210155E-2</v>
      </c>
      <c r="Z3791">
        <v>-3.2074930000000001E-3</v>
      </c>
      <c r="AA3791">
        <v>0.9973921</v>
      </c>
      <c r="AB3791">
        <v>23</v>
      </c>
      <c r="AC3791">
        <v>-15.8863</v>
      </c>
      <c r="AD3791">
        <v>-1.1044613945970001</v>
      </c>
      <c r="AE3791">
        <v>-0.99479999999999702</v>
      </c>
      <c r="AF3791">
        <v>-1.1609914131180299</v>
      </c>
      <c r="AG3791">
        <v>-1.1044613945970001</v>
      </c>
      <c r="AH3791">
        <v>15.7985470906735</v>
      </c>
      <c r="AI3791">
        <v>93.988267461202796</v>
      </c>
      <c r="AJ3791">
        <v>94.202952971223795</v>
      </c>
      <c r="AK3791">
        <v>15.879604094867</v>
      </c>
    </row>
    <row r="3792" spans="1:37" x14ac:dyDescent="0.2">
      <c r="A3792" t="str">
        <f>"20200111160236262"</f>
        <v>20200111160236262</v>
      </c>
      <c r="B3792" t="str">
        <f>"1578729756255530"</f>
        <v>1578729756255530</v>
      </c>
      <c r="C3792" t="s">
        <v>37</v>
      </c>
      <c r="D3792">
        <v>5.0925399999999996</v>
      </c>
      <c r="E3792">
        <v>0.46697179999999999</v>
      </c>
      <c r="F3792" t="s">
        <v>77</v>
      </c>
      <c r="G3792">
        <v>-315.28820000000002</v>
      </c>
      <c r="H3792" s="1">
        <v>-6.3611169999999998E-6</v>
      </c>
      <c r="I3792">
        <v>136.18819999999999</v>
      </c>
      <c r="J3792">
        <v>-299.5231</v>
      </c>
      <c r="K3792">
        <v>1.104449</v>
      </c>
      <c r="L3792">
        <v>137.13669999999999</v>
      </c>
      <c r="M3792">
        <v>-0.99983909999999998</v>
      </c>
      <c r="N3792">
        <v>0</v>
      </c>
      <c r="O3792">
        <v>1.093154E-2</v>
      </c>
      <c r="P3792">
        <v>-0.99936309999999995</v>
      </c>
      <c r="Q3792">
        <v>3.4879970000000001E-3</v>
      </c>
      <c r="R3792">
        <v>3.5516890000000002E-2</v>
      </c>
      <c r="S3792">
        <v>-3.008759</v>
      </c>
      <c r="T3792">
        <v>-0.20772929999999901</v>
      </c>
      <c r="U3792">
        <v>-0.17790220000000001</v>
      </c>
      <c r="V3792">
        <v>2.4592840000000001E-2</v>
      </c>
      <c r="W3792">
        <v>1.770768E-2</v>
      </c>
      <c r="X3792">
        <v>0.99954069999999995</v>
      </c>
      <c r="Y3792">
        <v>-6.9743680000000002E-2</v>
      </c>
      <c r="Z3792">
        <v>-3.155957E-3</v>
      </c>
      <c r="AA3792">
        <v>0.99756</v>
      </c>
      <c r="AB3792">
        <v>23</v>
      </c>
      <c r="AC3792">
        <v>-15.7651</v>
      </c>
      <c r="AD3792">
        <v>-1.104455361117</v>
      </c>
      <c r="AE3792">
        <v>-0.94849999999999501</v>
      </c>
      <c r="AF3792">
        <v>-1.11534322836505</v>
      </c>
      <c r="AG3792">
        <v>-1.104455361117</v>
      </c>
      <c r="AH3792">
        <v>15.677122704153801</v>
      </c>
      <c r="AI3792">
        <v>94.019710300863494</v>
      </c>
      <c r="AJ3792">
        <v>94.069430877938899</v>
      </c>
      <c r="AK3792">
        <v>15.7555066069884</v>
      </c>
    </row>
    <row r="3793" spans="1:37" x14ac:dyDescent="0.2">
      <c r="A3793" t="str">
        <f>"20200111160236283"</f>
        <v>20200111160236283</v>
      </c>
      <c r="B3793" t="str">
        <f>"1578729756276026"</f>
        <v>1578729756276026</v>
      </c>
      <c r="C3793" t="s">
        <v>37</v>
      </c>
      <c r="D3793">
        <v>5.0709239999999998</v>
      </c>
      <c r="E3793">
        <v>0.46744920000000001</v>
      </c>
      <c r="F3793" t="s">
        <v>77</v>
      </c>
      <c r="G3793">
        <v>-315.45979999999997</v>
      </c>
      <c r="H3793" s="1">
        <v>-6.2960709999999903E-6</v>
      </c>
      <c r="I3793">
        <v>136.2227</v>
      </c>
      <c r="J3793">
        <v>-299.74149999999997</v>
      </c>
      <c r="K3793">
        <v>1.104428</v>
      </c>
      <c r="L3793">
        <v>137.13929999999999</v>
      </c>
      <c r="M3793">
        <v>-0.99983880000000003</v>
      </c>
      <c r="N3793">
        <v>0</v>
      </c>
      <c r="O3793">
        <v>1.1040799999999899E-2</v>
      </c>
      <c r="P3793">
        <v>-0.99934969999999901</v>
      </c>
      <c r="Q3793">
        <v>3.8037409999999998E-3</v>
      </c>
      <c r="R3793">
        <v>3.5856590000000001E-2</v>
      </c>
      <c r="S3793">
        <v>-3.0088200000000001</v>
      </c>
      <c r="T3793">
        <v>-0.20851979999999901</v>
      </c>
      <c r="U3793">
        <v>-0.17257690000000001</v>
      </c>
      <c r="V3793">
        <v>2.482353E-2</v>
      </c>
      <c r="W3793">
        <v>1.7955120000000001E-2</v>
      </c>
      <c r="X3793">
        <v>0.99953060000000005</v>
      </c>
      <c r="Y3793">
        <v>-6.8093989999999993E-2</v>
      </c>
      <c r="Z3793">
        <v>-3.1185430000000001E-3</v>
      </c>
      <c r="AA3793">
        <v>0.99767399999999995</v>
      </c>
      <c r="AB3793">
        <v>23</v>
      </c>
      <c r="AC3793">
        <v>-15.718299999999999</v>
      </c>
      <c r="AD3793">
        <v>-1.1044342960709901</v>
      </c>
      <c r="AE3793">
        <v>-0.91659999999998798</v>
      </c>
      <c r="AF3793">
        <v>-1.08476671445488</v>
      </c>
      <c r="AG3793">
        <v>-1.1044342960709901</v>
      </c>
      <c r="AH3793">
        <v>15.6303144270386</v>
      </c>
      <c r="AI3793">
        <v>94.032121740624504</v>
      </c>
      <c r="AJ3793">
        <v>93.970045192441106</v>
      </c>
      <c r="AK3793">
        <v>15.706789074384901</v>
      </c>
    </row>
    <row r="3794" spans="1:37" x14ac:dyDescent="0.2">
      <c r="A3794" t="str">
        <f>"20200111160236306"</f>
        <v>20200111160236306</v>
      </c>
      <c r="B3794" t="str">
        <f>"1578729756295545"</f>
        <v>1578729756295545</v>
      </c>
      <c r="C3794" t="s">
        <v>37</v>
      </c>
      <c r="D3794">
        <v>5.3090419999999998</v>
      </c>
      <c r="E3794">
        <v>0.46742889999999998</v>
      </c>
      <c r="F3794" t="s">
        <v>77</v>
      </c>
      <c r="G3794">
        <v>-315.67959999999999</v>
      </c>
      <c r="H3794" s="1">
        <v>-6.2073449999999996E-6</v>
      </c>
      <c r="I3794">
        <v>136.25</v>
      </c>
      <c r="J3794">
        <v>-299.97329999999999</v>
      </c>
      <c r="K3794">
        <v>1.104395</v>
      </c>
      <c r="L3794">
        <v>137.142</v>
      </c>
      <c r="M3794">
        <v>-0.99983949999999999</v>
      </c>
      <c r="N3794">
        <v>0</v>
      </c>
      <c r="O3794">
        <v>1.115771E-2</v>
      </c>
      <c r="P3794">
        <v>-0.99936579999999997</v>
      </c>
      <c r="Q3794">
        <v>3.785498E-3</v>
      </c>
      <c r="R3794">
        <v>3.5411230000000002E-2</v>
      </c>
      <c r="S3794">
        <v>-3.008759</v>
      </c>
      <c r="T3794">
        <v>-0.20849200000000001</v>
      </c>
      <c r="U3794">
        <v>-0.16786189999999901</v>
      </c>
      <c r="V3794">
        <v>2.4261350000000001E-2</v>
      </c>
      <c r="W3794">
        <v>1.7791589999999999E-2</v>
      </c>
      <c r="X3794">
        <v>0.99954730000000003</v>
      </c>
      <c r="Y3794">
        <v>-6.6656439999999997E-2</v>
      </c>
      <c r="Z3794">
        <v>-3.0767030000000001E-3</v>
      </c>
      <c r="AA3794">
        <v>0.99777130000000003</v>
      </c>
      <c r="AB3794">
        <v>23</v>
      </c>
      <c r="AC3794">
        <v>-15.706300000000001</v>
      </c>
      <c r="AD3794">
        <v>-1.104401207345</v>
      </c>
      <c r="AE3794">
        <v>-0.89199999999999502</v>
      </c>
      <c r="AF3794">
        <v>-1.0619741704574801</v>
      </c>
      <c r="AG3794">
        <v>-1.104401207345</v>
      </c>
      <c r="AH3794">
        <v>15.6183944860403</v>
      </c>
      <c r="AI3794">
        <v>94.035455150148707</v>
      </c>
      <c r="AJ3794">
        <v>93.889844492380206</v>
      </c>
      <c r="AK3794">
        <v>15.693366034317799</v>
      </c>
    </row>
    <row r="3795" spans="1:37" x14ac:dyDescent="0.2">
      <c r="A3795" t="str">
        <f>"20200111160236327"</f>
        <v>20200111160236327</v>
      </c>
      <c r="B3795" t="str">
        <f>"1578729756316042"</f>
        <v>1578729756316042</v>
      </c>
      <c r="C3795" t="s">
        <v>37</v>
      </c>
      <c r="D3795">
        <v>5.1416870000000001</v>
      </c>
      <c r="E3795">
        <v>0.46695550000000002</v>
      </c>
      <c r="F3795" t="s">
        <v>77</v>
      </c>
      <c r="G3795">
        <v>-316.44209999999998</v>
      </c>
      <c r="H3795" s="1">
        <v>-5.8588489999999996E-6</v>
      </c>
      <c r="I3795">
        <v>136.21770000000001</v>
      </c>
      <c r="J3795">
        <v>-300.18729999999999</v>
      </c>
      <c r="K3795">
        <v>1.104344</v>
      </c>
      <c r="L3795">
        <v>137.14449999999999</v>
      </c>
      <c r="M3795">
        <v>-0.99984169999999895</v>
      </c>
      <c r="N3795">
        <v>0</v>
      </c>
      <c r="O3795">
        <v>1.126543E-2</v>
      </c>
      <c r="P3795">
        <v>-0.99936879999999995</v>
      </c>
      <c r="Q3795">
        <v>3.80424E-3</v>
      </c>
      <c r="R3795">
        <v>3.5324790000000002E-2</v>
      </c>
      <c r="S3795">
        <v>-3.0086059999999999</v>
      </c>
      <c r="T3795">
        <v>-0.201757299999999</v>
      </c>
      <c r="U3795">
        <v>-0.168853799999999</v>
      </c>
      <c r="V3795">
        <v>2.4067080000000001E-2</v>
      </c>
      <c r="W3795">
        <v>1.7576100000000001E-2</v>
      </c>
      <c r="X3795">
        <v>0.99955579999999999</v>
      </c>
      <c r="Y3795">
        <v>-6.7105139999999994E-2</v>
      </c>
      <c r="Z3795">
        <v>-2.999893E-3</v>
      </c>
      <c r="AA3795">
        <v>0.9977414</v>
      </c>
      <c r="AB3795">
        <v>23</v>
      </c>
      <c r="AC3795">
        <v>-16.2547999999999</v>
      </c>
      <c r="AD3795">
        <v>-1.1043498588489999</v>
      </c>
      <c r="AE3795">
        <v>-0.92679999999998597</v>
      </c>
      <c r="AF3795">
        <v>-1.1047928416088399</v>
      </c>
      <c r="AG3795">
        <v>-1.1043498588489999</v>
      </c>
      <c r="AH3795">
        <v>16.168935267627599</v>
      </c>
      <c r="AI3795">
        <v>93.898213382015399</v>
      </c>
      <c r="AJ3795">
        <v>93.908836968764703</v>
      </c>
      <c r="AK3795">
        <v>16.244218156696299</v>
      </c>
    </row>
    <row r="3796" spans="1:37" x14ac:dyDescent="0.2">
      <c r="A3796" t="str">
        <f>"20200111160236352"</f>
        <v>20200111160236352</v>
      </c>
      <c r="B3796" t="str">
        <f>"1578729756346298"</f>
        <v>1578729756346298</v>
      </c>
      <c r="C3796" t="s">
        <v>37</v>
      </c>
      <c r="D3796">
        <v>5.0733819999999996</v>
      </c>
      <c r="E3796">
        <v>0.46736369999999999</v>
      </c>
      <c r="F3796" t="s">
        <v>77</v>
      </c>
      <c r="G3796">
        <v>-317.67059999999998</v>
      </c>
      <c r="H3796" s="1">
        <v>-5.2911949999999999E-6</v>
      </c>
      <c r="I3796">
        <v>136.14619999999999</v>
      </c>
      <c r="J3796">
        <v>-300.42860000000002</v>
      </c>
      <c r="K3796">
        <v>1.1042620000000001</v>
      </c>
      <c r="L3796">
        <v>137.1474</v>
      </c>
      <c r="M3796">
        <v>-0.99984569999999995</v>
      </c>
      <c r="N3796">
        <v>0</v>
      </c>
      <c r="O3796">
        <v>1.1387980000000001E-2</v>
      </c>
      <c r="P3796">
        <v>-0.99938069999999901</v>
      </c>
      <c r="Q3796">
        <v>4.3588170000000001E-3</v>
      </c>
      <c r="R3796">
        <v>3.4918810000000002E-2</v>
      </c>
      <c r="S3796">
        <v>-3.0087280000000001</v>
      </c>
      <c r="T3796">
        <v>-0.19004960000000001</v>
      </c>
      <c r="U3796">
        <v>-0.1717987</v>
      </c>
      <c r="V3796">
        <v>2.3538469999999999E-2</v>
      </c>
      <c r="W3796">
        <v>1.773009E-2</v>
      </c>
      <c r="X3796">
        <v>0.999565699999999</v>
      </c>
      <c r="Y3796">
        <v>-6.8215880000000007E-2</v>
      </c>
      <c r="Z3796">
        <v>-2.8687209999999999E-3</v>
      </c>
      <c r="AA3796">
        <v>0.99766650000000001</v>
      </c>
      <c r="AB3796">
        <v>23</v>
      </c>
      <c r="AC3796">
        <v>-17.241999999999901</v>
      </c>
      <c r="AD3796">
        <v>-1.104267291195</v>
      </c>
      <c r="AE3796">
        <v>-1.0012000000000101</v>
      </c>
      <c r="AF3796">
        <v>-1.1926287116038401</v>
      </c>
      <c r="AG3796">
        <v>-1.104267291195</v>
      </c>
      <c r="AH3796">
        <v>17.159331671316</v>
      </c>
      <c r="AI3796">
        <v>93.673283436027205</v>
      </c>
      <c r="AJ3796">
        <v>93.975847048324596</v>
      </c>
      <c r="AK3796">
        <v>17.236137412435902</v>
      </c>
    </row>
    <row r="3797" spans="1:37" x14ac:dyDescent="0.2">
      <c r="A3797" t="str">
        <f>"20200111160236373"</f>
        <v>20200111160236373</v>
      </c>
      <c r="B3797" t="str">
        <f>"1578729756365818"</f>
        <v>1578729756365818</v>
      </c>
      <c r="C3797" t="s">
        <v>37</v>
      </c>
      <c r="D3797">
        <v>5.0148279999999996</v>
      </c>
      <c r="E3797">
        <v>0.46780889999999897</v>
      </c>
      <c r="F3797" t="s">
        <v>77</v>
      </c>
      <c r="G3797">
        <v>-317.9024</v>
      </c>
      <c r="H3797" s="1">
        <v>-5.19288699999999E-6</v>
      </c>
      <c r="I3797">
        <v>136.1602</v>
      </c>
      <c r="J3797">
        <v>-300.65320000000003</v>
      </c>
      <c r="K3797">
        <v>1.104174</v>
      </c>
      <c r="L3797">
        <v>137.15</v>
      </c>
      <c r="M3797">
        <v>-0.99985079999999904</v>
      </c>
      <c r="N3797">
        <v>0</v>
      </c>
      <c r="O3797">
        <v>1.1503609999999999E-2</v>
      </c>
      <c r="P3797">
        <v>-0.99940560000000001</v>
      </c>
      <c r="Q3797">
        <v>5.9404169999999999E-3</v>
      </c>
      <c r="R3797">
        <v>3.3964260000000003E-2</v>
      </c>
      <c r="S3797">
        <v>-3.008575</v>
      </c>
      <c r="T3797">
        <v>-0.190129399999999</v>
      </c>
      <c r="U3797">
        <v>-0.1699677</v>
      </c>
      <c r="V3797">
        <v>2.2468410000000001E-2</v>
      </c>
      <c r="W3797">
        <v>1.8824250000000001E-2</v>
      </c>
      <c r="X3797">
        <v>0.99957030000000002</v>
      </c>
      <c r="Y3797">
        <v>-6.7729410000000004E-2</v>
      </c>
      <c r="Z3797">
        <v>-2.8620629999999898E-3</v>
      </c>
      <c r="AA3797">
        <v>0.99769959999999902</v>
      </c>
      <c r="AB3797">
        <v>23</v>
      </c>
      <c r="AC3797">
        <v>-17.249199999999899</v>
      </c>
      <c r="AD3797">
        <v>-1.1041791928869999</v>
      </c>
      <c r="AE3797">
        <v>-0.98980000000000201</v>
      </c>
      <c r="AF3797">
        <v>-1.1833459467375</v>
      </c>
      <c r="AG3797">
        <v>-1.1041791928869999</v>
      </c>
      <c r="AH3797">
        <v>17.1665585214364</v>
      </c>
      <c r="AI3797">
        <v>93.671592917275007</v>
      </c>
      <c r="AJ3797">
        <v>93.943343796591293</v>
      </c>
      <c r="AK3797">
        <v>17.2426868784876</v>
      </c>
    </row>
    <row r="3798" spans="1:37" x14ac:dyDescent="0.2">
      <c r="A3798" t="str">
        <f>"20200111160236396"</f>
        <v>20200111160236396</v>
      </c>
      <c r="B3798" t="str">
        <f>"1578729756386314"</f>
        <v>1578729756386314</v>
      </c>
      <c r="C3798" t="s">
        <v>37</v>
      </c>
      <c r="D3798">
        <v>5.0875050000000002</v>
      </c>
      <c r="E3798">
        <v>0.46821249999999998</v>
      </c>
      <c r="F3798" t="s">
        <v>77</v>
      </c>
      <c r="G3798">
        <v>-318.51409999999998</v>
      </c>
      <c r="H3798" s="1">
        <v>-4.8799020000000001E-6</v>
      </c>
      <c r="I3798">
        <v>136.14529999999999</v>
      </c>
      <c r="J3798">
        <v>-300.88060000000002</v>
      </c>
      <c r="K3798">
        <v>1.104085</v>
      </c>
      <c r="L3798">
        <v>137.15280000000001</v>
      </c>
      <c r="M3798">
        <v>-0.99985630000000003</v>
      </c>
      <c r="N3798">
        <v>0</v>
      </c>
      <c r="O3798">
        <v>1.16212E-2</v>
      </c>
      <c r="P3798">
        <v>-0.99940839999999997</v>
      </c>
      <c r="Q3798">
        <v>7.6166169999999896E-3</v>
      </c>
      <c r="R3798">
        <v>3.3540970000000003E-2</v>
      </c>
      <c r="S3798">
        <v>-3.0086360000000001</v>
      </c>
      <c r="T3798">
        <v>-0.1859972</v>
      </c>
      <c r="U3798">
        <v>-0.1692505</v>
      </c>
      <c r="V3798">
        <v>2.192786E-2</v>
      </c>
      <c r="W3798">
        <v>1.9947940000000001E-2</v>
      </c>
      <c r="X3798">
        <v>0.99956049999999996</v>
      </c>
      <c r="Y3798">
        <v>-6.7615220000000004E-2</v>
      </c>
      <c r="Z3798">
        <v>-2.8036720000000001E-3</v>
      </c>
      <c r="AA3798">
        <v>0.99770749999999997</v>
      </c>
      <c r="AB3798">
        <v>23</v>
      </c>
      <c r="AC3798">
        <v>-17.633499999999898</v>
      </c>
      <c r="AD3798">
        <v>-1.104089879902</v>
      </c>
      <c r="AE3798">
        <v>-1.00750000000002</v>
      </c>
      <c r="AF3798">
        <v>-1.2076509094182</v>
      </c>
      <c r="AG3798">
        <v>-1.104089879902</v>
      </c>
      <c r="AH3798">
        <v>17.552012569224399</v>
      </c>
      <c r="AI3798">
        <v>93.590917593849497</v>
      </c>
      <c r="AJ3798">
        <v>93.935982944530906</v>
      </c>
      <c r="AK3798">
        <v>17.6281190264909</v>
      </c>
    </row>
    <row r="3799" spans="1:37" x14ac:dyDescent="0.2">
      <c r="A3799" t="str">
        <f>"20200111160236417"</f>
        <v>20200111160236417</v>
      </c>
      <c r="B3799" t="str">
        <f>"1578729756405834"</f>
        <v>1578729756405834</v>
      </c>
      <c r="C3799" t="s">
        <v>37</v>
      </c>
      <c r="D3799">
        <v>5.8496949999999996</v>
      </c>
      <c r="E3799">
        <v>0.46805479999999999</v>
      </c>
      <c r="F3799" t="s">
        <v>77</v>
      </c>
      <c r="G3799">
        <v>-319.62970000000001</v>
      </c>
      <c r="H3799" s="1">
        <v>-4.2313709999999997E-6</v>
      </c>
      <c r="I3799">
        <v>136.11259999999999</v>
      </c>
      <c r="J3799">
        <v>-301.09710000000001</v>
      </c>
      <c r="K3799">
        <v>1.1039889999999899</v>
      </c>
      <c r="L3799">
        <v>137.15539999999999</v>
      </c>
      <c r="M3799">
        <v>-0.99986189999999997</v>
      </c>
      <c r="N3799">
        <v>0</v>
      </c>
      <c r="O3799">
        <v>1.173244E-2</v>
      </c>
      <c r="P3799">
        <v>-0.99940560000000001</v>
      </c>
      <c r="Q3799">
        <v>7.6012950000000001E-3</v>
      </c>
      <c r="R3799">
        <v>3.3627539999999997E-2</v>
      </c>
      <c r="S3799">
        <v>-3.008667</v>
      </c>
      <c r="T3799">
        <v>-0.177173</v>
      </c>
      <c r="U3799">
        <v>-0.16691589999999901</v>
      </c>
      <c r="V3799">
        <v>2.1902910000000001E-2</v>
      </c>
      <c r="W3799">
        <v>1.9372029999999998E-2</v>
      </c>
      <c r="X3799">
        <v>0.99957240000000003</v>
      </c>
      <c r="Y3799">
        <v>-6.6968659999999999E-2</v>
      </c>
      <c r="Z3799">
        <v>-2.6584540000000002E-3</v>
      </c>
      <c r="AA3799">
        <v>0.99775149999999901</v>
      </c>
      <c r="AB3799">
        <v>23</v>
      </c>
      <c r="AC3799">
        <v>-18.532599999999999</v>
      </c>
      <c r="AD3799">
        <v>-1.1039932313709999</v>
      </c>
      <c r="AE3799">
        <v>-1.04279999999999</v>
      </c>
      <c r="AF3799">
        <v>-1.2557338320704801</v>
      </c>
      <c r="AG3799">
        <v>-1.1039932313709999</v>
      </c>
      <c r="AH3799">
        <v>18.453809865415</v>
      </c>
      <c r="AI3799">
        <v>93.415740768802493</v>
      </c>
      <c r="AJ3799">
        <v>93.892827871671599</v>
      </c>
      <c r="AK3799">
        <v>18.5294027712931</v>
      </c>
    </row>
    <row r="3800" spans="1:37" x14ac:dyDescent="0.2">
      <c r="A3800" t="str">
        <f>"20200111160236440"</f>
        <v>20200111160236440</v>
      </c>
      <c r="B3800" t="str">
        <f>"1578729756436380"</f>
        <v>1578729756436380</v>
      </c>
      <c r="C3800" t="s">
        <v>37</v>
      </c>
      <c r="D3800">
        <v>5.1127390000000004</v>
      </c>
      <c r="E3800">
        <v>0.46819300000000003</v>
      </c>
      <c r="F3800" t="s">
        <v>38</v>
      </c>
      <c r="G3800">
        <v>-320.51889999999997</v>
      </c>
      <c r="H3800" s="1">
        <v>-4.6784510000000003E-6</v>
      </c>
      <c r="I3800">
        <v>136.07169999999999</v>
      </c>
      <c r="J3800">
        <v>-301.33390000000003</v>
      </c>
      <c r="K3800">
        <v>1.1038809999999999</v>
      </c>
      <c r="L3800">
        <v>137.1583</v>
      </c>
      <c r="M3800">
        <v>-0.99986790000000003</v>
      </c>
      <c r="N3800">
        <v>0</v>
      </c>
      <c r="O3800">
        <v>1.1852929999999999E-2</v>
      </c>
      <c r="P3800">
        <v>-0.99939219999999895</v>
      </c>
      <c r="Q3800">
        <v>7.4453469999999997E-3</v>
      </c>
      <c r="R3800">
        <v>3.4059199999999998E-2</v>
      </c>
      <c r="S3800">
        <v>-3.0087280000000001</v>
      </c>
      <c r="T3800">
        <v>-0.17102609999999999</v>
      </c>
      <c r="U3800">
        <v>-0.1678772</v>
      </c>
      <c r="V3800">
        <v>2.2214210000000002E-2</v>
      </c>
      <c r="W3800">
        <v>1.8572040000000001E-2</v>
      </c>
      <c r="X3800">
        <v>0.99958069999999899</v>
      </c>
      <c r="Y3800">
        <v>-6.7413840000000003E-2</v>
      </c>
      <c r="Z3800">
        <v>-2.5857639999999999E-3</v>
      </c>
      <c r="AA3800">
        <v>0.99772169999999905</v>
      </c>
      <c r="AB3800">
        <v>23</v>
      </c>
      <c r="AC3800">
        <v>-19.184999999999899</v>
      </c>
      <c r="AD3800">
        <v>-1.1038856784509901</v>
      </c>
      <c r="AE3800">
        <v>-1.0866</v>
      </c>
      <c r="AF3800">
        <v>-1.3096142621389499</v>
      </c>
      <c r="AG3800">
        <v>-1.1038856784509901</v>
      </c>
      <c r="AH3800">
        <v>19.107713607921099</v>
      </c>
      <c r="AI3800">
        <v>93.298679549520799</v>
      </c>
      <c r="AJ3800">
        <v>93.9208357432626</v>
      </c>
      <c r="AK3800">
        <v>19.184326217749302</v>
      </c>
    </row>
    <row r="3801" spans="1:37" x14ac:dyDescent="0.2">
      <c r="A3801" t="str">
        <f>"20200111160236462"</f>
        <v>20200111160236462</v>
      </c>
      <c r="B3801" t="str">
        <f>"1578729756455900"</f>
        <v>1578729756455900</v>
      </c>
      <c r="C3801" t="s">
        <v>37</v>
      </c>
      <c r="D3801">
        <v>5.1724940000000004</v>
      </c>
      <c r="E3801">
        <v>0.46867219999999998</v>
      </c>
      <c r="F3801" t="s">
        <v>38</v>
      </c>
      <c r="G3801">
        <v>-320.77730000000003</v>
      </c>
      <c r="H3801" s="1">
        <v>-4.5646460000000003E-6</v>
      </c>
      <c r="I3801">
        <v>136.08840000000001</v>
      </c>
      <c r="J3801">
        <v>-301.56439999999998</v>
      </c>
      <c r="K3801">
        <v>1.103788</v>
      </c>
      <c r="L3801">
        <v>137.16120000000001</v>
      </c>
      <c r="M3801">
        <v>-0.99987349999999997</v>
      </c>
      <c r="N3801">
        <v>0</v>
      </c>
      <c r="O3801">
        <v>1.1969199999999999E-2</v>
      </c>
      <c r="P3801">
        <v>-0.99936610000000003</v>
      </c>
      <c r="Q3801">
        <v>7.6845999999999998E-3</v>
      </c>
      <c r="R3801">
        <v>3.476655E-2</v>
      </c>
      <c r="S3801">
        <v>-3.0087280000000001</v>
      </c>
      <c r="T3801">
        <v>-0.17081930000000001</v>
      </c>
      <c r="U3801">
        <v>-0.16555790000000001</v>
      </c>
      <c r="V3801">
        <v>2.2805659999999998E-2</v>
      </c>
      <c r="W3801">
        <v>1.816299E-2</v>
      </c>
      <c r="X3801">
        <v>0.99957489999999904</v>
      </c>
      <c r="Y3801">
        <v>-6.6764160000000003E-2</v>
      </c>
      <c r="Z3801">
        <v>-2.5708689999999999E-3</v>
      </c>
      <c r="AA3801">
        <v>0.99776549999999997</v>
      </c>
      <c r="AB3801">
        <v>23</v>
      </c>
      <c r="AC3801">
        <v>-19.212900000000001</v>
      </c>
      <c r="AD3801">
        <v>-1.1037925646460001</v>
      </c>
      <c r="AE3801">
        <v>-1.0728</v>
      </c>
      <c r="AF3801">
        <v>-1.29842657388447</v>
      </c>
      <c r="AG3801">
        <v>-1.1037925646460001</v>
      </c>
      <c r="AH3801">
        <v>19.135719804123401</v>
      </c>
      <c r="AI3801">
        <v>93.293737959161703</v>
      </c>
      <c r="AJ3801">
        <v>93.8817721347271</v>
      </c>
      <c r="AK3801">
        <v>19.2114560097734</v>
      </c>
    </row>
    <row r="3802" spans="1:37" x14ac:dyDescent="0.2">
      <c r="A3802" t="str">
        <f>"20200111160236486"</f>
        <v>20200111160236486</v>
      </c>
      <c r="B3802" t="str">
        <f>"1578729756476396"</f>
        <v>1578729756476396</v>
      </c>
      <c r="C3802" t="s">
        <v>37</v>
      </c>
      <c r="D3802">
        <v>5.0823640000000001</v>
      </c>
      <c r="E3802">
        <v>0.46892159999999899</v>
      </c>
      <c r="F3802" t="s">
        <v>38</v>
      </c>
      <c r="G3802">
        <v>-321.38330000000002</v>
      </c>
      <c r="H3802" s="1">
        <v>-4.3005230000000002E-6</v>
      </c>
      <c r="I3802">
        <v>136.11170000000001</v>
      </c>
      <c r="J3802">
        <v>-301.80860000000001</v>
      </c>
      <c r="K3802">
        <v>1.103691</v>
      </c>
      <c r="L3802">
        <v>137.16419999999999</v>
      </c>
      <c r="M3802">
        <v>-0.99987909999999902</v>
      </c>
      <c r="N3802">
        <v>0</v>
      </c>
      <c r="O3802">
        <v>1.2091660000000001E-2</v>
      </c>
      <c r="P3802">
        <v>-0.99933680000000003</v>
      </c>
      <c r="Q3802">
        <v>8.0553959999999994E-3</v>
      </c>
      <c r="R3802">
        <v>3.551348E-2</v>
      </c>
      <c r="S3802">
        <v>-3.0087280000000001</v>
      </c>
      <c r="T3802">
        <v>-0.16756840000000001</v>
      </c>
      <c r="U3802">
        <v>-0.15931699999999999</v>
      </c>
      <c r="V3802">
        <v>2.3430579999999999E-2</v>
      </c>
      <c r="W3802">
        <v>1.784117E-2</v>
      </c>
      <c r="X3802">
        <v>0.99956630000000002</v>
      </c>
      <c r="Y3802">
        <v>-6.4830090000000007E-2</v>
      </c>
      <c r="Z3802">
        <v>-2.4751869999999998E-3</v>
      </c>
      <c r="AA3802">
        <v>0.99789329999999998</v>
      </c>
      <c r="AB3802">
        <v>23</v>
      </c>
      <c r="AC3802">
        <v>-19.5747</v>
      </c>
      <c r="AD3802">
        <v>-1.1036953005229999</v>
      </c>
      <c r="AE3802">
        <v>-1.05249999999998</v>
      </c>
      <c r="AF3802">
        <v>-1.2850514092460299</v>
      </c>
      <c r="AG3802">
        <v>-1.1036953005229999</v>
      </c>
      <c r="AH3802">
        <v>19.498731451727298</v>
      </c>
      <c r="AI3802">
        <v>93.232683450811294</v>
      </c>
      <c r="AJ3802">
        <v>93.770588925523498</v>
      </c>
      <c r="AK3802">
        <v>19.5721748578787</v>
      </c>
    </row>
    <row r="3803" spans="1:37" x14ac:dyDescent="0.2">
      <c r="A3803" t="str">
        <f>"20200111160236507"</f>
        <v>20200111160236507</v>
      </c>
      <c r="B3803" t="str">
        <f>"1578729756495915"</f>
        <v>1578729756495915</v>
      </c>
      <c r="C3803" t="s">
        <v>37</v>
      </c>
      <c r="D3803">
        <v>5.1085659999999997</v>
      </c>
      <c r="E3803">
        <v>0.46912090000000001</v>
      </c>
      <c r="F3803" t="s">
        <v>38</v>
      </c>
      <c r="G3803">
        <v>-321.58260000000001</v>
      </c>
      <c r="H3803" s="1">
        <v>-4.2090569999999999E-6</v>
      </c>
      <c r="I3803">
        <v>136.14529999999999</v>
      </c>
      <c r="J3803">
        <v>-302.03859999999997</v>
      </c>
      <c r="K3803">
        <v>1.1036159999999999</v>
      </c>
      <c r="L3803">
        <v>137.16720000000001</v>
      </c>
      <c r="M3803">
        <v>-0.99988369999999904</v>
      </c>
      <c r="N3803">
        <v>0</v>
      </c>
      <c r="O3803">
        <v>1.2207269999999999E-2</v>
      </c>
      <c r="P3803">
        <v>-0.99930759999999996</v>
      </c>
      <c r="Q3803">
        <v>8.7328530000000005E-3</v>
      </c>
      <c r="R3803">
        <v>3.6167640000000001E-2</v>
      </c>
      <c r="S3803">
        <v>-3.0088810000000001</v>
      </c>
      <c r="T3803">
        <v>-0.16794339999999999</v>
      </c>
      <c r="U3803">
        <v>-0.15502929999999901</v>
      </c>
      <c r="V3803">
        <v>2.3969620000000001E-2</v>
      </c>
      <c r="W3803">
        <v>1.7876449999999999E-2</v>
      </c>
      <c r="X3803">
        <v>0.99955280000000002</v>
      </c>
      <c r="Y3803">
        <v>-6.3525830000000005E-2</v>
      </c>
      <c r="Z3803">
        <v>-2.4507739999999902E-3</v>
      </c>
      <c r="AA3803">
        <v>0.99797719999999901</v>
      </c>
      <c r="AB3803">
        <v>23</v>
      </c>
      <c r="AC3803">
        <v>-19.544</v>
      </c>
      <c r="AD3803">
        <v>-1.103620209057</v>
      </c>
      <c r="AE3803">
        <v>-1.02190000000001</v>
      </c>
      <c r="AF3803">
        <v>-1.2564173019242</v>
      </c>
      <c r="AG3803">
        <v>-1.103620209057</v>
      </c>
      <c r="AH3803">
        <v>19.468159811959701</v>
      </c>
      <c r="AI3803">
        <v>93.237816150715304</v>
      </c>
      <c r="AJ3803">
        <v>93.692578816396605</v>
      </c>
      <c r="AK3803">
        <v>19.539851802570499</v>
      </c>
    </row>
    <row r="3804" spans="1:37" x14ac:dyDescent="0.2">
      <c r="A3804" t="str">
        <f>"20200111160236529"</f>
        <v>20200111160236529</v>
      </c>
      <c r="B3804" t="str">
        <f>"1578729756526172"</f>
        <v>1578729756526172</v>
      </c>
      <c r="C3804" t="s">
        <v>37</v>
      </c>
      <c r="D3804">
        <v>5.1733359999999999</v>
      </c>
      <c r="E3804">
        <v>0.46923559999999997</v>
      </c>
      <c r="F3804" t="s">
        <v>38</v>
      </c>
      <c r="G3804">
        <v>-321.96210000000002</v>
      </c>
      <c r="H3804" s="1">
        <v>-4.0430799999999998E-6</v>
      </c>
      <c r="I3804">
        <v>136.16309999999999</v>
      </c>
      <c r="J3804">
        <v>-302.26119999999997</v>
      </c>
      <c r="K3804">
        <v>1.1035469999999901</v>
      </c>
      <c r="L3804">
        <v>137.16999999999999</v>
      </c>
      <c r="M3804">
        <v>-0.99988779999999999</v>
      </c>
      <c r="N3804">
        <v>0</v>
      </c>
      <c r="O3804">
        <v>1.2318809999999999E-2</v>
      </c>
      <c r="P3804">
        <v>-0.99928139999999999</v>
      </c>
      <c r="Q3804">
        <v>9.3686129999999996E-3</v>
      </c>
      <c r="R3804">
        <v>3.6730699999999998E-2</v>
      </c>
      <c r="S3804">
        <v>-3.0090029999999999</v>
      </c>
      <c r="T3804">
        <v>-0.1666782</v>
      </c>
      <c r="U3804">
        <v>-0.1516266</v>
      </c>
      <c r="V3804">
        <v>2.4421410000000001E-2</v>
      </c>
      <c r="W3804">
        <v>1.790839E-2</v>
      </c>
      <c r="X3804">
        <v>0.99954129999999997</v>
      </c>
      <c r="Y3804">
        <v>-6.2512509999999993E-2</v>
      </c>
      <c r="Z3804">
        <v>-2.4104529999999999E-3</v>
      </c>
      <c r="AA3804">
        <v>0.99804130000000002</v>
      </c>
      <c r="AB3804">
        <v>23</v>
      </c>
      <c r="AC3804">
        <v>-19.700900000000001</v>
      </c>
      <c r="AD3804">
        <v>-1.10355104307999</v>
      </c>
      <c r="AE3804">
        <v>-1.0068999999999999</v>
      </c>
      <c r="AF3804">
        <v>-1.2456258207211599</v>
      </c>
      <c r="AG3804">
        <v>-1.10355104307999</v>
      </c>
      <c r="AH3804">
        <v>19.625581802259301</v>
      </c>
      <c r="AI3804">
        <v>93.211916587177001</v>
      </c>
      <c r="AJ3804">
        <v>93.631663009000803</v>
      </c>
      <c r="AK3804">
        <v>19.6960115167285</v>
      </c>
    </row>
    <row r="3805" spans="1:37" x14ac:dyDescent="0.2">
      <c r="A3805" t="str">
        <f>"20200111160236552"</f>
        <v>20200111160236552</v>
      </c>
      <c r="B3805" t="str">
        <f>"1578729756546667"</f>
        <v>1578729756546667</v>
      </c>
      <c r="C3805" t="s">
        <v>37</v>
      </c>
      <c r="D3805">
        <v>4.8918010000000001</v>
      </c>
      <c r="E3805">
        <v>0.40682209999999902</v>
      </c>
      <c r="F3805" t="s">
        <v>38</v>
      </c>
      <c r="G3805">
        <v>-322.42520000000002</v>
      </c>
      <c r="H3805" s="1">
        <v>-3.8430289999999996E-6</v>
      </c>
      <c r="I3805">
        <v>136.17089999999999</v>
      </c>
      <c r="J3805">
        <v>-302.49950000000001</v>
      </c>
      <c r="K3805">
        <v>1.103486</v>
      </c>
      <c r="L3805">
        <v>137.173</v>
      </c>
      <c r="M3805">
        <v>-0.99989130000000004</v>
      </c>
      <c r="N3805">
        <v>0</v>
      </c>
      <c r="O3805">
        <v>1.243827E-2</v>
      </c>
      <c r="P3805">
        <v>-0.99926530000000002</v>
      </c>
      <c r="Q3805">
        <v>1.028277E-2</v>
      </c>
      <c r="R3805">
        <v>3.6925409999999999E-2</v>
      </c>
      <c r="S3805">
        <v>-3.0091549999999998</v>
      </c>
      <c r="T3805">
        <v>-0.16468749999999999</v>
      </c>
      <c r="U3805">
        <v>-0.14909359999999999</v>
      </c>
      <c r="V3805">
        <v>2.449716E-2</v>
      </c>
      <c r="W3805">
        <v>1.8204459999999999E-2</v>
      </c>
      <c r="X3805">
        <v>0.99953409999999998</v>
      </c>
      <c r="Y3805">
        <v>-6.1794740000000001E-2</v>
      </c>
      <c r="Z3805">
        <v>-2.368546E-3</v>
      </c>
      <c r="AA3805">
        <v>0.99808609999999898</v>
      </c>
      <c r="AB3805">
        <v>23</v>
      </c>
      <c r="AC3805">
        <v>-19.925699999999999</v>
      </c>
      <c r="AD3805">
        <v>-1.1034898430290001</v>
      </c>
      <c r="AE3805">
        <v>-1.00210000000001</v>
      </c>
      <c r="AF3805">
        <v>-1.24605949301807</v>
      </c>
      <c r="AG3805">
        <v>-1.1034898430290001</v>
      </c>
      <c r="AH3805">
        <v>19.850964992895701</v>
      </c>
      <c r="AI3805">
        <v>93.175487770960899</v>
      </c>
      <c r="AJ3805">
        <v>93.591785240309207</v>
      </c>
      <c r="AK3805">
        <v>19.920621607846002</v>
      </c>
    </row>
    <row r="3806" spans="1:37" x14ac:dyDescent="0.2">
      <c r="A3806" t="str">
        <f>"20200111160236617"</f>
        <v>20200111160236617</v>
      </c>
      <c r="B3806" t="str">
        <f>"1578729756606203"</f>
        <v>1578729756606203</v>
      </c>
      <c r="C3806" t="s">
        <v>37</v>
      </c>
      <c r="D3806">
        <v>4.9232569999999898</v>
      </c>
      <c r="E3806">
        <v>0.40369509999999997</v>
      </c>
      <c r="F3806" t="s">
        <v>38</v>
      </c>
      <c r="G3806">
        <v>-338.11340000000001</v>
      </c>
      <c r="H3806">
        <v>2.7880909999999998E-2</v>
      </c>
      <c r="I3806">
        <v>129.6163</v>
      </c>
      <c r="J3806">
        <v>-303.21289999999999</v>
      </c>
      <c r="K3806">
        <v>1.103356</v>
      </c>
      <c r="L3806">
        <v>137.1824</v>
      </c>
      <c r="M3806">
        <v>-0.99989810000000001</v>
      </c>
      <c r="N3806">
        <v>0</v>
      </c>
      <c r="O3806">
        <v>1.279516E-2</v>
      </c>
      <c r="P3806">
        <v>-0.99919609999999903</v>
      </c>
      <c r="Q3806">
        <v>1.3126840000000001E-2</v>
      </c>
      <c r="R3806">
        <v>3.7884050000000002E-2</v>
      </c>
      <c r="S3806">
        <v>-3.0268860000000002</v>
      </c>
      <c r="T3806">
        <v>-9.1417310000000002E-2</v>
      </c>
      <c r="U3806">
        <v>-0.64225769999999904</v>
      </c>
      <c r="V3806">
        <v>2.51002E-2</v>
      </c>
      <c r="W3806">
        <v>1.9458320000000001E-2</v>
      </c>
      <c r="X3806">
        <v>0.99949560000000004</v>
      </c>
      <c r="Y3806">
        <v>-0.2199614</v>
      </c>
      <c r="Z3806">
        <v>-3.6665459999999902E-3</v>
      </c>
      <c r="AA3806">
        <v>0.97550170000000003</v>
      </c>
      <c r="AB3806">
        <v>24</v>
      </c>
      <c r="AC3806">
        <v>-34.900500000000001</v>
      </c>
      <c r="AD3806">
        <v>-1.0754750900000001</v>
      </c>
      <c r="AE3806">
        <v>-7.5660999999999996</v>
      </c>
      <c r="AF3806">
        <v>-8.00478695519657</v>
      </c>
      <c r="AG3806">
        <v>-1.0754750900000001</v>
      </c>
      <c r="AH3806">
        <v>34.769296875881302</v>
      </c>
      <c r="AI3806">
        <v>91.726555760757805</v>
      </c>
      <c r="AJ3806">
        <v>102.965047796254</v>
      </c>
      <c r="AK3806">
        <v>35.695059407577197</v>
      </c>
    </row>
    <row r="3807" spans="1:37" x14ac:dyDescent="0.2">
      <c r="A3807" t="str">
        <f>"20200111160236640"</f>
        <v>20200111160236640</v>
      </c>
      <c r="B3807" t="str">
        <f>"1578729756635990"</f>
        <v>1578729756635990</v>
      </c>
      <c r="C3807" t="s">
        <v>37</v>
      </c>
      <c r="D3807">
        <v>4.9011550000000002</v>
      </c>
      <c r="E3807">
        <v>0.40374320000000002</v>
      </c>
      <c r="F3807" t="s">
        <v>38</v>
      </c>
      <c r="G3807">
        <v>-337.65789999999998</v>
      </c>
      <c r="H3807">
        <v>2.0059549999999999E-2</v>
      </c>
      <c r="I3807">
        <v>129.6163</v>
      </c>
      <c r="J3807">
        <v>-303.46319999999997</v>
      </c>
      <c r="K3807">
        <v>1.103321</v>
      </c>
      <c r="L3807">
        <v>137.1858</v>
      </c>
      <c r="M3807">
        <v>-0.99989919999999999</v>
      </c>
      <c r="N3807">
        <v>0</v>
      </c>
      <c r="O3807">
        <v>1.291965E-2</v>
      </c>
      <c r="P3807">
        <v>-0.99917279999999997</v>
      </c>
      <c r="Q3807">
        <v>1.41038999999999E-2</v>
      </c>
      <c r="R3807">
        <v>3.8139489999999998E-2</v>
      </c>
      <c r="S3807">
        <v>-3.02887</v>
      </c>
      <c r="T3807">
        <v>-9.5257999999999995E-2</v>
      </c>
      <c r="U3807">
        <v>-0.66531370000000001</v>
      </c>
      <c r="V3807">
        <v>2.5231610000000002E-2</v>
      </c>
      <c r="W3807">
        <v>1.9987990000000001E-2</v>
      </c>
      <c r="X3807">
        <v>0.99948179999999998</v>
      </c>
      <c r="Y3807">
        <v>-0.2270305</v>
      </c>
      <c r="Z3807">
        <v>-3.92874E-3</v>
      </c>
      <c r="AA3807">
        <v>0.97387979999999996</v>
      </c>
      <c r="AB3807">
        <v>24</v>
      </c>
      <c r="AC3807">
        <v>-34.194699999999997</v>
      </c>
      <c r="AD3807">
        <v>-1.08326145</v>
      </c>
      <c r="AE3807">
        <v>-7.5694999999999997</v>
      </c>
      <c r="AF3807">
        <v>-8.0030030104847292</v>
      </c>
      <c r="AG3807">
        <v>-1.08326145</v>
      </c>
      <c r="AH3807">
        <v>34.061462593878403</v>
      </c>
      <c r="AI3807">
        <v>91.773313334175896</v>
      </c>
      <c r="AJ3807">
        <v>103.22225455902399</v>
      </c>
      <c r="AK3807">
        <v>35.005781616599599</v>
      </c>
    </row>
    <row r="3808" spans="1:37" x14ac:dyDescent="0.2">
      <c r="A3808" t="str">
        <f>"20200111160236684"</f>
        <v>20200111160236684</v>
      </c>
      <c r="B3808" t="str">
        <f>"1578729756676006"</f>
        <v>1578729756676006</v>
      </c>
      <c r="C3808" t="s">
        <v>37</v>
      </c>
      <c r="D3808">
        <v>4.9720589999999998</v>
      </c>
      <c r="E3808">
        <v>0.40378559999999902</v>
      </c>
      <c r="F3808" t="s">
        <v>38</v>
      </c>
      <c r="G3808">
        <v>-334.41090000000003</v>
      </c>
      <c r="H3808" s="1">
        <v>-4.5857830000000004E-6</v>
      </c>
      <c r="I3808">
        <v>130.3886</v>
      </c>
      <c r="J3808">
        <v>-303.95940000000002</v>
      </c>
      <c r="K3808">
        <v>1.1032729999999999</v>
      </c>
      <c r="L3808">
        <v>137.1925</v>
      </c>
      <c r="M3808">
        <v>-0.99990000000000001</v>
      </c>
      <c r="N3808">
        <v>0</v>
      </c>
      <c r="O3808">
        <v>1.3165090000000001E-2</v>
      </c>
      <c r="P3808">
        <v>-0.99916139999999998</v>
      </c>
      <c r="Q3808">
        <v>1.530785E-2</v>
      </c>
      <c r="R3808">
        <v>3.7977410000000003E-2</v>
      </c>
      <c r="S3808">
        <v>-3.0294189999999999</v>
      </c>
      <c r="T3808">
        <v>-0.108003</v>
      </c>
      <c r="U3808">
        <v>-0.66535949999999999</v>
      </c>
      <c r="V3808">
        <v>2.4824769999999999E-2</v>
      </c>
      <c r="W3808">
        <v>2.046854E-2</v>
      </c>
      <c r="X3808">
        <v>0.99948230000000005</v>
      </c>
      <c r="Y3808">
        <v>-0.227214</v>
      </c>
      <c r="Z3808">
        <v>-4.4651630000000003E-3</v>
      </c>
      <c r="AA3808">
        <v>0.97383459999999999</v>
      </c>
      <c r="AB3808">
        <v>25</v>
      </c>
      <c r="AC3808">
        <v>-30.451499999999999</v>
      </c>
      <c r="AD3808">
        <v>-1.1032775857829999</v>
      </c>
      <c r="AE3808">
        <v>-6.8038999999999898</v>
      </c>
      <c r="AF3808">
        <v>-7.1952166401882502</v>
      </c>
      <c r="AG3808">
        <v>-1.1032775857829999</v>
      </c>
      <c r="AH3808">
        <v>30.321376617359</v>
      </c>
      <c r="AI3808">
        <v>92.027595666314298</v>
      </c>
      <c r="AJ3808">
        <v>103.34928831249699</v>
      </c>
      <c r="AK3808">
        <v>31.182915898008201</v>
      </c>
    </row>
    <row r="3809" spans="1:37" x14ac:dyDescent="0.2">
      <c r="A3809" t="str">
        <f>"20200111160236730"</f>
        <v>20200111160236730</v>
      </c>
      <c r="B3809" t="str">
        <f>"1578729756725783"</f>
        <v>1578729756725783</v>
      </c>
      <c r="C3809" t="s">
        <v>37</v>
      </c>
      <c r="D3809">
        <v>5.4614399999999996</v>
      </c>
      <c r="E3809">
        <v>0.45507789999999998</v>
      </c>
      <c r="F3809" t="s">
        <v>38</v>
      </c>
      <c r="G3809">
        <v>-332.40129999999999</v>
      </c>
      <c r="H3809" s="1">
        <v>-5.2116399999999996E-6</v>
      </c>
      <c r="I3809">
        <v>130.93680000000001</v>
      </c>
      <c r="J3809">
        <v>-304.4547</v>
      </c>
      <c r="K3809">
        <v>1.1032420000000001</v>
      </c>
      <c r="L3809">
        <v>137.19929999999999</v>
      </c>
      <c r="M3809">
        <v>-0.99989930000000005</v>
      </c>
      <c r="N3809">
        <v>0</v>
      </c>
      <c r="O3809">
        <v>1.3409509999999999E-2</v>
      </c>
      <c r="P3809">
        <v>-0.99916759999999905</v>
      </c>
      <c r="Q3809">
        <v>1.5117820000000001E-2</v>
      </c>
      <c r="R3809">
        <v>3.7889810000000003E-2</v>
      </c>
      <c r="S3809">
        <v>-3.0296630000000002</v>
      </c>
      <c r="T3809">
        <v>-0.117522499999999</v>
      </c>
      <c r="U3809">
        <v>-0.66636660000000003</v>
      </c>
      <c r="V3809">
        <v>2.4492759999999999E-2</v>
      </c>
      <c r="W3809">
        <v>1.976296E-2</v>
      </c>
      <c r="X3809">
        <v>0.99950459999999997</v>
      </c>
      <c r="Y3809">
        <v>-0.227717</v>
      </c>
      <c r="Z3809">
        <v>-4.8769140000000004E-3</v>
      </c>
      <c r="AA3809">
        <v>0.97371509999999994</v>
      </c>
      <c r="AB3809">
        <v>25</v>
      </c>
      <c r="AC3809">
        <v>-27.946599999999901</v>
      </c>
      <c r="AD3809">
        <v>-1.1032472116399901</v>
      </c>
      <c r="AE3809">
        <v>-6.2624999999999797</v>
      </c>
      <c r="AF3809">
        <v>-6.6268574721537696</v>
      </c>
      <c r="AG3809">
        <v>-1.1032472116399901</v>
      </c>
      <c r="AH3809">
        <v>27.8188284583929</v>
      </c>
      <c r="AI3809">
        <v>92.209306383626298</v>
      </c>
      <c r="AJ3809">
        <v>103.398982049145</v>
      </c>
      <c r="AK3809">
        <v>28.618518675216698</v>
      </c>
    </row>
    <row r="3810" spans="1:37" x14ac:dyDescent="0.2">
      <c r="A3810" t="str">
        <f>"20200111160236752"</f>
        <v>20200111160236752</v>
      </c>
      <c r="B3810" t="str">
        <f>"1578729756745811"</f>
        <v>1578729756745811</v>
      </c>
      <c r="C3810" t="s">
        <v>37</v>
      </c>
      <c r="D3810">
        <v>5.3396749999999997</v>
      </c>
      <c r="E3810">
        <v>0.46241179999999898</v>
      </c>
      <c r="F3810" t="s">
        <v>38</v>
      </c>
      <c r="G3810">
        <v>-337.98480000000001</v>
      </c>
      <c r="H3810" s="1">
        <v>-2.1575599999999899E-6</v>
      </c>
      <c r="I3810">
        <v>134.35650000000001</v>
      </c>
      <c r="J3810">
        <v>-304.7167</v>
      </c>
      <c r="K3810">
        <v>1.103229</v>
      </c>
      <c r="L3810">
        <v>137.2029</v>
      </c>
      <c r="M3810">
        <v>-0.99989839999999997</v>
      </c>
      <c r="N3810">
        <v>0</v>
      </c>
      <c r="O3810">
        <v>1.353905E-2</v>
      </c>
      <c r="P3810">
        <v>-0.99916389999999999</v>
      </c>
      <c r="Q3810">
        <v>1.471592E-2</v>
      </c>
      <c r="R3810">
        <v>3.8143959999999998E-2</v>
      </c>
      <c r="S3810">
        <v>-3.0137019999999999</v>
      </c>
      <c r="T3810">
        <v>-9.9159960000000005E-2</v>
      </c>
      <c r="U3810">
        <v>-0.25550839999999903</v>
      </c>
      <c r="V3810">
        <v>2.461754E-2</v>
      </c>
      <c r="W3810">
        <v>1.9165599999999901E-2</v>
      </c>
      <c r="X3810">
        <v>0.99951319999999999</v>
      </c>
      <c r="Y3810">
        <v>-9.7902310000000006E-2</v>
      </c>
      <c r="Z3810">
        <v>-2.0519409999999998E-3</v>
      </c>
      <c r="AA3810">
        <v>0.99519389999999996</v>
      </c>
      <c r="AB3810">
        <v>25</v>
      </c>
      <c r="AC3810">
        <v>-33.268099999999997</v>
      </c>
      <c r="AD3810">
        <v>-1.10323115756</v>
      </c>
      <c r="AE3810">
        <v>-2.8463999999999801</v>
      </c>
      <c r="AF3810">
        <v>-3.2929670667335</v>
      </c>
      <c r="AG3810">
        <v>-1.10323115756</v>
      </c>
      <c r="AH3810">
        <v>33.190278410118196</v>
      </c>
      <c r="AI3810">
        <v>91.894492496688699</v>
      </c>
      <c r="AJ3810">
        <v>95.666046866524297</v>
      </c>
      <c r="AK3810">
        <v>33.371474825526697</v>
      </c>
    </row>
    <row r="3811" spans="1:37" x14ac:dyDescent="0.2">
      <c r="A3811" t="str">
        <f>"20200111160236777"</f>
        <v>20200111160236777</v>
      </c>
      <c r="B3811" t="str">
        <f>"1578729756766306"</f>
        <v>1578729756766306</v>
      </c>
      <c r="C3811" t="s">
        <v>37</v>
      </c>
      <c r="D3811">
        <v>5.2880979999999997</v>
      </c>
      <c r="E3811">
        <v>0.46652339999999998</v>
      </c>
      <c r="F3811" t="s">
        <v>38</v>
      </c>
      <c r="G3811">
        <v>-329.52670000000001</v>
      </c>
      <c r="H3811" s="1">
        <v>-1.2246830000000001E-6</v>
      </c>
      <c r="I3811">
        <v>135.56649999999999</v>
      </c>
      <c r="J3811">
        <v>-304.99160000000001</v>
      </c>
      <c r="K3811">
        <v>1.1032150000000001</v>
      </c>
      <c r="L3811">
        <v>137.20679999999999</v>
      </c>
      <c r="M3811">
        <v>-0.99989740000000005</v>
      </c>
      <c r="N3811">
        <v>0</v>
      </c>
      <c r="O3811">
        <v>1.367464E-2</v>
      </c>
      <c r="P3811">
        <v>-0.99915810000000005</v>
      </c>
      <c r="Q3811">
        <v>1.454157E-2</v>
      </c>
      <c r="R3811">
        <v>3.8363220000000003E-2</v>
      </c>
      <c r="S3811">
        <v>-3.012054</v>
      </c>
      <c r="T3811">
        <v>-0.13393769999999999</v>
      </c>
      <c r="U3811">
        <v>-0.1986694</v>
      </c>
      <c r="V3811">
        <v>2.4701069999999999E-2</v>
      </c>
      <c r="W3811">
        <v>1.8825669999999999E-2</v>
      </c>
      <c r="X3811">
        <v>0.99951759999999901</v>
      </c>
      <c r="Y3811">
        <v>-7.9362509999999997E-2</v>
      </c>
      <c r="Z3811">
        <v>-2.368906E-3</v>
      </c>
      <c r="AA3811">
        <v>0.99684300000000003</v>
      </c>
      <c r="AB3811">
        <v>25</v>
      </c>
      <c r="AC3811">
        <v>-24.5351</v>
      </c>
      <c r="AD3811">
        <v>-1.103216224683</v>
      </c>
      <c r="AE3811">
        <v>-1.6402999999999901</v>
      </c>
      <c r="AF3811">
        <v>-1.97168964571775</v>
      </c>
      <c r="AG3811">
        <v>-1.103216224683</v>
      </c>
      <c r="AH3811">
        <v>24.461138846756999</v>
      </c>
      <c r="AI3811">
        <v>92.573996878323399</v>
      </c>
      <c r="AJ3811">
        <v>94.608362057895903</v>
      </c>
      <c r="AK3811">
        <v>24.565259204367401</v>
      </c>
    </row>
    <row r="3812" spans="1:37" x14ac:dyDescent="0.2">
      <c r="A3812" t="str">
        <f>"20200111160236800"</f>
        <v>20200111160236800</v>
      </c>
      <c r="B3812" t="str">
        <f>"1578729756796561"</f>
        <v>1578729756796561</v>
      </c>
      <c r="C3812" t="s">
        <v>37</v>
      </c>
      <c r="D3812">
        <v>5.768548</v>
      </c>
      <c r="E3812">
        <v>0.46937839999999997</v>
      </c>
      <c r="F3812" t="s">
        <v>38</v>
      </c>
      <c r="G3812">
        <v>-326.17809999999997</v>
      </c>
      <c r="H3812" s="1">
        <v>-2.2575380000000002E-6</v>
      </c>
      <c r="I3812">
        <v>136.03290000000001</v>
      </c>
      <c r="J3812">
        <v>-305.2527</v>
      </c>
      <c r="K3812">
        <v>1.103205</v>
      </c>
      <c r="L3812">
        <v>137.2105</v>
      </c>
      <c r="M3812">
        <v>-0.99989599999999901</v>
      </c>
      <c r="N3812">
        <v>0</v>
      </c>
      <c r="O3812">
        <v>1.380353E-2</v>
      </c>
      <c r="P3812">
        <v>-0.99914349999999996</v>
      </c>
      <c r="Q3812">
        <v>1.450364E-2</v>
      </c>
      <c r="R3812">
        <v>3.8754440000000001E-2</v>
      </c>
      <c r="S3812">
        <v>-3.0112299999999999</v>
      </c>
      <c r="T3812">
        <v>-0.15680060000000001</v>
      </c>
      <c r="U3812">
        <v>-0.1668396</v>
      </c>
      <c r="V3812">
        <v>2.4963699999999998E-2</v>
      </c>
      <c r="W3812">
        <v>1.8661199999999999E-2</v>
      </c>
      <c r="X3812">
        <v>0.99951420000000002</v>
      </c>
      <c r="Y3812">
        <v>-6.8986329999999998E-2</v>
      </c>
      <c r="Z3812">
        <v>-2.5113359999999999E-3</v>
      </c>
      <c r="AA3812">
        <v>0.99761440000000001</v>
      </c>
      <c r="AB3812">
        <v>25</v>
      </c>
      <c r="AC3812">
        <v>-20.9253999999999</v>
      </c>
      <c r="AD3812">
        <v>-1.1032072575380001</v>
      </c>
      <c r="AE3812">
        <v>-1.17759999999998</v>
      </c>
      <c r="AF3812">
        <v>-1.4622831267368701</v>
      </c>
      <c r="AG3812">
        <v>-1.1032072575380001</v>
      </c>
      <c r="AH3812">
        <v>20.849383244955799</v>
      </c>
      <c r="AI3812">
        <v>93.021469112717298</v>
      </c>
      <c r="AJ3812">
        <v>94.011901893697598</v>
      </c>
      <c r="AK3812">
        <v>20.9296946917738</v>
      </c>
    </row>
    <row r="3813" spans="1:37" x14ac:dyDescent="0.2">
      <c r="A3813" t="str">
        <f>"20200111160236820"</f>
        <v>20200111160236820</v>
      </c>
      <c r="B3813" t="str">
        <f>"1578729756816082"</f>
        <v>1578729756816082</v>
      </c>
      <c r="C3813" t="s">
        <v>37</v>
      </c>
      <c r="D3813">
        <v>5.4514719999999999</v>
      </c>
      <c r="E3813">
        <v>0.47044209999999897</v>
      </c>
      <c r="F3813" t="s">
        <v>38</v>
      </c>
      <c r="G3813">
        <v>-326.76029999999997</v>
      </c>
      <c r="H3813" s="1">
        <v>-2.00002E-6</v>
      </c>
      <c r="I3813">
        <v>136.19069999999999</v>
      </c>
      <c r="J3813">
        <v>-305.49560000000002</v>
      </c>
      <c r="K3813">
        <v>1.1031979999999999</v>
      </c>
      <c r="L3813">
        <v>137.214</v>
      </c>
      <c r="M3813">
        <v>-0.99989479999999997</v>
      </c>
      <c r="N3813">
        <v>0</v>
      </c>
      <c r="O3813">
        <v>1.3923400000000001E-2</v>
      </c>
      <c r="P3813">
        <v>-0.99914099999999995</v>
      </c>
      <c r="Q3813">
        <v>1.4127860000000001E-2</v>
      </c>
      <c r="R3813">
        <v>3.8957249999999999E-2</v>
      </c>
      <c r="S3813">
        <v>-3.0103759999999999</v>
      </c>
      <c r="T3813">
        <v>-0.15441389999999999</v>
      </c>
      <c r="U3813">
        <v>-0.14273069999999999</v>
      </c>
      <c r="V3813">
        <v>2.5046570000000001E-2</v>
      </c>
      <c r="W3813">
        <v>1.8191590000000001E-2</v>
      </c>
      <c r="X3813">
        <v>0.99952079999999999</v>
      </c>
      <c r="Y3813">
        <v>-6.1164509999999998E-2</v>
      </c>
      <c r="Z3813">
        <v>-2.280139E-3</v>
      </c>
      <c r="AA3813">
        <v>0.99812509999999999</v>
      </c>
      <c r="AB3813">
        <v>26</v>
      </c>
      <c r="AC3813">
        <v>-21.264699999999898</v>
      </c>
      <c r="AD3813">
        <v>-1.10320000002</v>
      </c>
      <c r="AE3813">
        <v>-1.0233000000000001</v>
      </c>
      <c r="AF3813">
        <v>-1.3157470596913301</v>
      </c>
      <c r="AG3813">
        <v>-1.10320000002</v>
      </c>
      <c r="AH3813">
        <v>21.1914862022061</v>
      </c>
      <c r="AI3813">
        <v>92.974333186279495</v>
      </c>
      <c r="AJ3813">
        <v>93.552846870321702</v>
      </c>
      <c r="AK3813">
        <v>21.260934316803301</v>
      </c>
    </row>
    <row r="3814" spans="1:37" x14ac:dyDescent="0.2">
      <c r="A3814" t="str">
        <f>"20200111160236842"</f>
        <v>20200111160236842</v>
      </c>
      <c r="B3814" t="str">
        <f>"1578729756836111"</f>
        <v>1578729756836111</v>
      </c>
      <c r="C3814" t="s">
        <v>37</v>
      </c>
      <c r="D3814">
        <v>5.3382829999999997</v>
      </c>
      <c r="E3814">
        <v>0.47108159999999999</v>
      </c>
      <c r="F3814" t="s">
        <v>38</v>
      </c>
      <c r="G3814">
        <v>-327.07530000000003</v>
      </c>
      <c r="H3814" s="1">
        <v>-1.8749879999999999E-6</v>
      </c>
      <c r="I3814">
        <v>136.2577</v>
      </c>
      <c r="J3814">
        <v>-305.75020000000001</v>
      </c>
      <c r="K3814">
        <v>1.103189</v>
      </c>
      <c r="L3814">
        <v>137.21770000000001</v>
      </c>
      <c r="M3814">
        <v>-0.99989340000000004</v>
      </c>
      <c r="N3814">
        <v>0</v>
      </c>
      <c r="O3814">
        <v>1.404878E-2</v>
      </c>
      <c r="P3814">
        <v>-0.99911139999999998</v>
      </c>
      <c r="Q3814">
        <v>1.4440990000000001E-2</v>
      </c>
      <c r="R3814">
        <v>3.9598630000000003E-2</v>
      </c>
      <c r="S3814">
        <v>-3.0099179999999999</v>
      </c>
      <c r="T3814">
        <v>-0.15387329999999999</v>
      </c>
      <c r="U3814">
        <v>-0.1333771</v>
      </c>
      <c r="V3814">
        <v>2.5563099999999998E-2</v>
      </c>
      <c r="W3814">
        <v>1.842806E-2</v>
      </c>
      <c r="X3814">
        <v>0.99950329999999998</v>
      </c>
      <c r="Y3814">
        <v>-5.8205649999999998E-2</v>
      </c>
      <c r="Z3814">
        <v>-2.2035259999999999E-3</v>
      </c>
      <c r="AA3814">
        <v>0.99830219999999903</v>
      </c>
      <c r="AB3814">
        <v>26</v>
      </c>
      <c r="AC3814">
        <v>-21.325099999999999</v>
      </c>
      <c r="AD3814">
        <v>-1.1031908749879999</v>
      </c>
      <c r="AE3814">
        <v>-0.96000000000000696</v>
      </c>
      <c r="AF3814">
        <v>-1.2561443660194</v>
      </c>
      <c r="AG3814">
        <v>-1.1031908749879999</v>
      </c>
      <c r="AH3814">
        <v>21.2527468299721</v>
      </c>
      <c r="AI3814">
        <v>92.966283869305897</v>
      </c>
      <c r="AJ3814">
        <v>93.382533918205198</v>
      </c>
      <c r="AK3814">
        <v>21.318399953885599</v>
      </c>
    </row>
    <row r="3815" spans="1:37" x14ac:dyDescent="0.2">
      <c r="A3815" t="str">
        <f>"20200111160236864"</f>
        <v>20200111160236864</v>
      </c>
      <c r="B3815" t="str">
        <f>"1578729756856607"</f>
        <v>1578729756856607</v>
      </c>
      <c r="C3815" t="s">
        <v>37</v>
      </c>
      <c r="D3815">
        <v>6.0384149999999996</v>
      </c>
      <c r="E3815">
        <v>0.471580099999999</v>
      </c>
      <c r="F3815" t="s">
        <v>38</v>
      </c>
      <c r="G3815">
        <v>-326.14609999999999</v>
      </c>
      <c r="H3815" s="1">
        <v>-2.2138770000000001E-6</v>
      </c>
      <c r="I3815">
        <v>136.3563</v>
      </c>
      <c r="J3815">
        <v>-306.00720000000001</v>
      </c>
      <c r="K3815">
        <v>1.103181</v>
      </c>
      <c r="L3815">
        <v>137.22139999999999</v>
      </c>
      <c r="M3815">
        <v>-0.9998918</v>
      </c>
      <c r="N3815">
        <v>0</v>
      </c>
      <c r="O3815">
        <v>1.417561E-2</v>
      </c>
      <c r="P3815">
        <v>-0.99910580000000004</v>
      </c>
      <c r="Q3815">
        <v>1.4746469999999999E-2</v>
      </c>
      <c r="R3815">
        <v>3.9629369999999997E-2</v>
      </c>
      <c r="S3815">
        <v>-3.0100709999999999</v>
      </c>
      <c r="T3815">
        <v>-0.1628116</v>
      </c>
      <c r="U3815">
        <v>-0.12710569999999999</v>
      </c>
      <c r="V3815">
        <v>2.5467380000000001E-2</v>
      </c>
      <c r="W3815">
        <v>1.867883E-2</v>
      </c>
      <c r="X3815">
        <v>0.99950110000000003</v>
      </c>
      <c r="Y3815">
        <v>-5.624531E-2</v>
      </c>
      <c r="Z3815">
        <v>-2.2852269999999999E-3</v>
      </c>
      <c r="AA3815">
        <v>0.99841429999999998</v>
      </c>
      <c r="AB3815">
        <v>26</v>
      </c>
      <c r="AC3815">
        <v>-20.1388999999999</v>
      </c>
      <c r="AD3815">
        <v>-1.1031832138769999</v>
      </c>
      <c r="AE3815">
        <v>-0.86509999999998399</v>
      </c>
      <c r="AF3815">
        <v>-1.1470608151569599</v>
      </c>
      <c r="AG3815">
        <v>-1.1031832138769999</v>
      </c>
      <c r="AH3815">
        <v>20.064516149584598</v>
      </c>
      <c r="AI3815">
        <v>93.141936631566395</v>
      </c>
      <c r="AJ3815">
        <v>93.271959549699005</v>
      </c>
      <c r="AK3815">
        <v>20.127532636515301</v>
      </c>
    </row>
    <row r="3816" spans="1:37" x14ac:dyDescent="0.2">
      <c r="A3816" t="str">
        <f>"20200111160236886"</f>
        <v>20200111160236886</v>
      </c>
      <c r="B3816" t="str">
        <f>"1578729756876126"</f>
        <v>1578729756876126</v>
      </c>
      <c r="C3816" t="s">
        <v>37</v>
      </c>
      <c r="D3816">
        <v>5.4931580000000002</v>
      </c>
      <c r="E3816">
        <v>0.44538469999999902</v>
      </c>
      <c r="F3816" t="s">
        <v>38</v>
      </c>
      <c r="G3816">
        <v>-325.92200000000003</v>
      </c>
      <c r="H3816" s="1">
        <v>-2.301488E-6</v>
      </c>
      <c r="I3816">
        <v>136.40450000000001</v>
      </c>
      <c r="J3816">
        <v>-306.26260000000002</v>
      </c>
      <c r="K3816">
        <v>1.103175</v>
      </c>
      <c r="L3816">
        <v>137.2252</v>
      </c>
      <c r="M3816">
        <v>-0.9998901</v>
      </c>
      <c r="N3816">
        <v>0</v>
      </c>
      <c r="O3816">
        <v>1.4301499999999899E-2</v>
      </c>
      <c r="P3816">
        <v>-0.99910460000000001</v>
      </c>
      <c r="Q3816">
        <v>1.4941599999999999E-2</v>
      </c>
      <c r="R3816">
        <v>3.9579759999999999E-2</v>
      </c>
      <c r="S3816">
        <v>-3.0100709999999999</v>
      </c>
      <c r="T3816">
        <v>-0.16674410000000001</v>
      </c>
      <c r="U3816">
        <v>-0.1234589</v>
      </c>
      <c r="V3816">
        <v>2.5291770000000002E-2</v>
      </c>
      <c r="W3816">
        <v>1.884284E-2</v>
      </c>
      <c r="X3816">
        <v>0.99950249999999996</v>
      </c>
      <c r="Y3816">
        <v>-5.5159880000000001E-2</v>
      </c>
      <c r="Z3816">
        <v>-2.3173339999999999E-3</v>
      </c>
      <c r="AA3816">
        <v>0.9984748</v>
      </c>
      <c r="AB3816">
        <v>26</v>
      </c>
      <c r="AC3816">
        <v>-19.659400000000002</v>
      </c>
      <c r="AD3816">
        <v>-1.103177301488</v>
      </c>
      <c r="AE3816">
        <v>-0.820699999999987</v>
      </c>
      <c r="AF3816">
        <v>-1.09832468972756</v>
      </c>
      <c r="AG3816">
        <v>-1.103177301488</v>
      </c>
      <c r="AH3816">
        <v>19.584092215403398</v>
      </c>
      <c r="AI3816">
        <v>93.219032105283404</v>
      </c>
      <c r="AJ3816">
        <v>93.209927561589097</v>
      </c>
      <c r="AK3816">
        <v>19.645864327740998</v>
      </c>
    </row>
    <row r="3817" spans="1:37" x14ac:dyDescent="0.2">
      <c r="A3817" t="str">
        <f>"20200111160236910"</f>
        <v>20200111160236910</v>
      </c>
      <c r="B3817" t="str">
        <f>"1578729756906384"</f>
        <v>1578729756906384</v>
      </c>
      <c r="C3817" t="s">
        <v>37</v>
      </c>
      <c r="D3817">
        <v>5.3760870000000001</v>
      </c>
      <c r="E3817">
        <v>0.4764234</v>
      </c>
      <c r="F3817" t="s">
        <v>43</v>
      </c>
      <c r="G3817">
        <v>0</v>
      </c>
      <c r="H3817">
        <v>0</v>
      </c>
      <c r="I3817">
        <v>0</v>
      </c>
      <c r="J3817">
        <v>-306.529</v>
      </c>
      <c r="K3817">
        <v>1.1031660000000001</v>
      </c>
      <c r="L3817">
        <v>137.22909999999999</v>
      </c>
      <c r="M3817">
        <v>-0.99988840000000001</v>
      </c>
      <c r="N3817">
        <v>0</v>
      </c>
      <c r="O3817">
        <v>1.443259E-2</v>
      </c>
      <c r="P3817">
        <v>-0.99910549999999998</v>
      </c>
      <c r="Q3817">
        <v>1.4691920000000001E-2</v>
      </c>
      <c r="R3817">
        <v>3.9657699999999997E-2</v>
      </c>
      <c r="S3817">
        <v>-3.0132750000000001</v>
      </c>
      <c r="T3817">
        <v>0.1193963</v>
      </c>
      <c r="U3817">
        <v>-0.31228640000000002</v>
      </c>
      <c r="V3817">
        <v>2.5238770000000001E-2</v>
      </c>
      <c r="W3817">
        <v>1.858396E-2</v>
      </c>
      <c r="X3817">
        <v>0.99950869999999903</v>
      </c>
      <c r="Y3817">
        <v>-0.1173275</v>
      </c>
      <c r="Z3817">
        <v>2.887564E-3</v>
      </c>
      <c r="AA3817">
        <v>0.99308909999999995</v>
      </c>
      <c r="AB3817">
        <v>26</v>
      </c>
      <c r="AC3817">
        <v>-3.0132750000000001</v>
      </c>
      <c r="AD3817">
        <v>0.1193963</v>
      </c>
      <c r="AE3817">
        <v>-0.31228640000000002</v>
      </c>
      <c r="AF3817">
        <v>-0.35519182852893599</v>
      </c>
      <c r="AG3817">
        <v>0.1193963</v>
      </c>
      <c r="AH3817">
        <v>3.0037881294233002</v>
      </c>
      <c r="AI3817">
        <v>87.739505044567196</v>
      </c>
      <c r="AJ3817">
        <v>96.743793702683504</v>
      </c>
      <c r="AK3817">
        <v>3.0270711649995499</v>
      </c>
    </row>
    <row r="3818" spans="1:37" x14ac:dyDescent="0.2">
      <c r="A3818" t="str">
        <f>"20200111160236931"</f>
        <v>20200111160236931</v>
      </c>
      <c r="B3818" t="str">
        <f>"1578729756925902"</f>
        <v>1578729756925902</v>
      </c>
      <c r="C3818" t="s">
        <v>37</v>
      </c>
      <c r="D3818">
        <v>5.3847550000000002</v>
      </c>
      <c r="E3818">
        <v>0.47665809999999997</v>
      </c>
      <c r="F3818" t="s">
        <v>38</v>
      </c>
      <c r="G3818">
        <v>-326.7441</v>
      </c>
      <c r="H3818" s="1">
        <v>-1.9030559999999899E-6</v>
      </c>
      <c r="I3818">
        <v>136.66239999999999</v>
      </c>
      <c r="J3818">
        <v>-306.78890000000001</v>
      </c>
      <c r="K3818">
        <v>1.1031660000000001</v>
      </c>
      <c r="L3818">
        <v>137.233</v>
      </c>
      <c r="M3818">
        <v>-0.99988650000000001</v>
      </c>
      <c r="N3818">
        <v>0</v>
      </c>
      <c r="O3818">
        <v>1.4560419999999999E-2</v>
      </c>
      <c r="P3818">
        <v>-0.99910339999999997</v>
      </c>
      <c r="Q3818">
        <v>1.451481E-2</v>
      </c>
      <c r="R3818">
        <v>3.9779000000000002E-2</v>
      </c>
      <c r="S3818">
        <v>-3.0084230000000001</v>
      </c>
      <c r="T3818">
        <v>-0.1641743</v>
      </c>
      <c r="U3818">
        <v>-8.433533E-2</v>
      </c>
      <c r="V3818">
        <v>2.5232350000000001E-2</v>
      </c>
      <c r="W3818">
        <v>1.8421860000000002E-2</v>
      </c>
      <c r="X3818">
        <v>0.99951179999999995</v>
      </c>
      <c r="Y3818">
        <v>-4.2489079999999999E-2</v>
      </c>
      <c r="Z3818">
        <v>-1.9521219999999999E-3</v>
      </c>
      <c r="AA3818">
        <v>0.99909499999999996</v>
      </c>
      <c r="AB3818">
        <v>26</v>
      </c>
      <c r="AC3818">
        <v>-19.955199999999898</v>
      </c>
      <c r="AD3818">
        <v>-1.103167903056</v>
      </c>
      <c r="AE3818">
        <v>-0.57060000000001299</v>
      </c>
      <c r="AF3818">
        <v>-0.85847631301795302</v>
      </c>
      <c r="AG3818">
        <v>-1.103167903056</v>
      </c>
      <c r="AH3818">
        <v>19.884057794210399</v>
      </c>
      <c r="AI3818">
        <v>93.172566075383401</v>
      </c>
      <c r="AJ3818">
        <v>92.472158478756597</v>
      </c>
      <c r="AK3818">
        <v>19.9331310978944</v>
      </c>
    </row>
    <row r="3819" spans="1:37" x14ac:dyDescent="0.2">
      <c r="A3819" t="str">
        <f>"20200111160236954"</f>
        <v>20200111160236954</v>
      </c>
      <c r="B3819" t="str">
        <f>"1578729756945932"</f>
        <v>1578729756945932</v>
      </c>
      <c r="C3819" t="s">
        <v>37</v>
      </c>
      <c r="D3819">
        <v>5.4740880000000001</v>
      </c>
      <c r="E3819">
        <v>0.47708879999999998</v>
      </c>
      <c r="F3819" t="s">
        <v>38</v>
      </c>
      <c r="G3819">
        <v>-324.44389999999999</v>
      </c>
      <c r="H3819" s="1">
        <v>-2.8757069999999998E-6</v>
      </c>
      <c r="I3819">
        <v>136.74209999999999</v>
      </c>
      <c r="J3819">
        <v>-307.06740000000002</v>
      </c>
      <c r="K3819">
        <v>1.103164</v>
      </c>
      <c r="L3819">
        <v>137.2372</v>
      </c>
      <c r="M3819">
        <v>-0.999884199999999</v>
      </c>
      <c r="N3819">
        <v>0</v>
      </c>
      <c r="O3819">
        <v>1.469727E-2</v>
      </c>
      <c r="P3819">
        <v>-0.99910290000000002</v>
      </c>
      <c r="Q3819">
        <v>1.462138E-2</v>
      </c>
      <c r="R3819">
        <v>3.9745639999999999E-2</v>
      </c>
      <c r="S3819">
        <v>-3.0087280000000001</v>
      </c>
      <c r="T3819">
        <v>-0.18800049999999999</v>
      </c>
      <c r="U3819">
        <v>-8.3648680000000003E-2</v>
      </c>
      <c r="V3819">
        <v>2.5062299999999999E-2</v>
      </c>
      <c r="W3819">
        <v>1.8564890000000001E-2</v>
      </c>
      <c r="X3819">
        <v>0.99951350000000005</v>
      </c>
      <c r="Y3819">
        <v>-4.2368759999999998E-2</v>
      </c>
      <c r="Z3819">
        <v>-2.2394799999999999E-3</v>
      </c>
      <c r="AA3819">
        <v>0.99909959999999898</v>
      </c>
      <c r="AB3819">
        <v>27</v>
      </c>
      <c r="AC3819">
        <v>-17.376499999999901</v>
      </c>
      <c r="AD3819">
        <v>-1.1031668757069999</v>
      </c>
      <c r="AE3819">
        <v>-0.49510000000000698</v>
      </c>
      <c r="AF3819">
        <v>-0.74742557683689403</v>
      </c>
      <c r="AG3819">
        <v>-1.1031668757069999</v>
      </c>
      <c r="AH3819">
        <v>17.2976848597289</v>
      </c>
      <c r="AI3819">
        <v>93.645726966482897</v>
      </c>
      <c r="AJ3819">
        <v>92.474187109363996</v>
      </c>
      <c r="AK3819">
        <v>17.348934366555799</v>
      </c>
    </row>
    <row r="3820" spans="1:37" x14ac:dyDescent="0.2">
      <c r="A3820" t="str">
        <f>"20200111160236977"</f>
        <v>20200111160236977</v>
      </c>
      <c r="B3820" t="str">
        <f>"1578729756966427"</f>
        <v>1578729756966427</v>
      </c>
      <c r="C3820" t="s">
        <v>37</v>
      </c>
      <c r="D3820">
        <v>5.4932739999999898</v>
      </c>
      <c r="E3820">
        <v>0.47757500000000003</v>
      </c>
      <c r="F3820" t="s">
        <v>38</v>
      </c>
      <c r="G3820">
        <v>-323.6934</v>
      </c>
      <c r="H3820" s="1">
        <v>-3.1893669999999899E-6</v>
      </c>
      <c r="I3820">
        <v>136.78880000000001</v>
      </c>
      <c r="J3820">
        <v>-307.33960000000002</v>
      </c>
      <c r="K3820">
        <v>1.1031660000000001</v>
      </c>
      <c r="L3820">
        <v>137.2414</v>
      </c>
      <c r="M3820">
        <v>-0.99988199999999905</v>
      </c>
      <c r="N3820">
        <v>0</v>
      </c>
      <c r="O3820">
        <v>1.483057E-2</v>
      </c>
      <c r="P3820">
        <v>-0.9990966</v>
      </c>
      <c r="Q3820">
        <v>1.5465110000000001E-2</v>
      </c>
      <c r="R3820">
        <v>3.9586530000000002E-2</v>
      </c>
      <c r="S3820">
        <v>-3.0087890000000002</v>
      </c>
      <c r="T3820">
        <v>-0.19963910000000001</v>
      </c>
      <c r="U3820">
        <v>-8.1130980000000005E-2</v>
      </c>
      <c r="V3820">
        <v>2.4770380000000002E-2</v>
      </c>
      <c r="W3820">
        <v>1.9460700000000001E-2</v>
      </c>
      <c r="X3820">
        <v>0.99950369999999999</v>
      </c>
      <c r="Y3820">
        <v>-4.1653080000000002E-2</v>
      </c>
      <c r="Z3820">
        <v>-2.3629229999999998E-3</v>
      </c>
      <c r="AA3820">
        <v>0.99912939999999995</v>
      </c>
      <c r="AB3820">
        <v>27</v>
      </c>
      <c r="AC3820">
        <v>-16.3537999999999</v>
      </c>
      <c r="AD3820">
        <v>-1.1031691893669999</v>
      </c>
      <c r="AE3820">
        <v>-0.45259999999998901</v>
      </c>
      <c r="AF3820">
        <v>-0.69194215927352198</v>
      </c>
      <c r="AG3820">
        <v>-1.1031691893669999</v>
      </c>
      <c r="AH3820">
        <v>16.271305205983001</v>
      </c>
      <c r="AI3820">
        <v>93.875137509947507</v>
      </c>
      <c r="AJ3820">
        <v>92.4350531531489</v>
      </c>
      <c r="AK3820">
        <v>16.323331134250701</v>
      </c>
    </row>
    <row r="3821" spans="1:37" x14ac:dyDescent="0.2">
      <c r="A3821" t="str">
        <f>"20200111160236998"</f>
        <v>20200111160236998</v>
      </c>
      <c r="B3821" t="str">
        <f>"1578729756985948"</f>
        <v>1578729756985948</v>
      </c>
      <c r="C3821" t="s">
        <v>37</v>
      </c>
      <c r="D3821">
        <v>5.3001550000000002</v>
      </c>
      <c r="E3821">
        <v>0.47762669999999902</v>
      </c>
      <c r="F3821" t="s">
        <v>38</v>
      </c>
      <c r="G3821">
        <v>-323.89920000000001</v>
      </c>
      <c r="H3821" s="1">
        <v>-3.0965779999999999E-6</v>
      </c>
      <c r="I3821">
        <v>136.8142</v>
      </c>
      <c r="J3821">
        <v>-307.58999999999997</v>
      </c>
      <c r="K3821">
        <v>1.1031759999999999</v>
      </c>
      <c r="L3821">
        <v>137.24520000000001</v>
      </c>
      <c r="M3821">
        <v>-0.99987999999999899</v>
      </c>
      <c r="N3821">
        <v>0</v>
      </c>
      <c r="O3821">
        <v>1.4953599999999999E-2</v>
      </c>
      <c r="P3821">
        <v>-0.99908899999999901</v>
      </c>
      <c r="Q3821">
        <v>1.5745720000000001E-2</v>
      </c>
      <c r="R3821">
        <v>3.9665020000000002E-2</v>
      </c>
      <c r="S3821">
        <v>-3.0088810000000001</v>
      </c>
      <c r="T3821">
        <v>-0.2004466</v>
      </c>
      <c r="U3821">
        <v>-7.76062E-2</v>
      </c>
      <c r="V3821">
        <v>2.4725960000000002E-2</v>
      </c>
      <c r="W3821">
        <v>1.980349E-2</v>
      </c>
      <c r="X3821">
        <v>0.99949809999999994</v>
      </c>
      <c r="Y3821">
        <v>-4.06066E-2</v>
      </c>
      <c r="Z3821">
        <v>-2.3457949999999999E-3</v>
      </c>
      <c r="AA3821">
        <v>0.99917239999999996</v>
      </c>
      <c r="AB3821">
        <v>27</v>
      </c>
      <c r="AC3821">
        <v>-16.309200000000001</v>
      </c>
      <c r="AD3821">
        <v>-1.103179096578</v>
      </c>
      <c r="AE3821">
        <v>-0.43100000000001099</v>
      </c>
      <c r="AF3821">
        <v>-0.67176363272734996</v>
      </c>
      <c r="AG3821">
        <v>-1.103179096578</v>
      </c>
      <c r="AH3821">
        <v>16.2267397505098</v>
      </c>
      <c r="AI3821">
        <v>93.885965339103194</v>
      </c>
      <c r="AJ3821">
        <v>92.370609008934096</v>
      </c>
      <c r="AK3821">
        <v>16.278063565060702</v>
      </c>
    </row>
    <row r="3822" spans="1:37" x14ac:dyDescent="0.2">
      <c r="A3822" t="str">
        <f>"20200111160237021"</f>
        <v>20200111160237021</v>
      </c>
      <c r="B3822" t="str">
        <f>"1578729757016205"</f>
        <v>1578729757016205</v>
      </c>
      <c r="C3822" t="s">
        <v>37</v>
      </c>
      <c r="D3822">
        <v>6.2851410000000003</v>
      </c>
      <c r="E3822">
        <v>0.44687739999999998</v>
      </c>
      <c r="F3822" t="s">
        <v>38</v>
      </c>
      <c r="G3822">
        <v>-323.98489999999998</v>
      </c>
      <c r="H3822" s="1">
        <v>-3.0582490000000001E-6</v>
      </c>
      <c r="I3822">
        <v>136.82310000000001</v>
      </c>
      <c r="J3822">
        <v>-307.86880000000002</v>
      </c>
      <c r="K3822">
        <v>1.103183</v>
      </c>
      <c r="L3822">
        <v>137.24950000000001</v>
      </c>
      <c r="M3822">
        <v>-0.99987760000000003</v>
      </c>
      <c r="N3822">
        <v>0</v>
      </c>
      <c r="O3822">
        <v>1.5090289999999999E-2</v>
      </c>
      <c r="P3822">
        <v>-0.999063699999999</v>
      </c>
      <c r="Q3822">
        <v>1.5686309999999998E-2</v>
      </c>
      <c r="R3822">
        <v>4.0320160000000001E-2</v>
      </c>
      <c r="S3822">
        <v>-3.0090029999999999</v>
      </c>
      <c r="T3822">
        <v>-0.2024707</v>
      </c>
      <c r="U3822">
        <v>-7.7453610000000006E-2</v>
      </c>
      <c r="V3822">
        <v>2.5244820000000001E-2</v>
      </c>
      <c r="W3822">
        <v>1.982923E-2</v>
      </c>
      <c r="X3822">
        <v>0.99948459999999995</v>
      </c>
      <c r="Y3822">
        <v>-4.0688530000000001E-2</v>
      </c>
      <c r="Z3822">
        <v>-2.3812740000000001E-3</v>
      </c>
      <c r="AA3822">
        <v>0.99916909999999903</v>
      </c>
      <c r="AB3822">
        <v>27</v>
      </c>
      <c r="AC3822">
        <v>-16.1160999999999</v>
      </c>
      <c r="AD3822">
        <v>-1.1031860582490001</v>
      </c>
      <c r="AE3822">
        <v>-0.426400000000001</v>
      </c>
      <c r="AF3822">
        <v>-0.66642961792362398</v>
      </c>
      <c r="AG3822">
        <v>-1.1031860582490001</v>
      </c>
      <c r="AH3822">
        <v>16.0327576724514</v>
      </c>
      <c r="AI3822">
        <v>93.932832825008006</v>
      </c>
      <c r="AJ3822">
        <v>92.380229082007105</v>
      </c>
      <c r="AK3822">
        <v>16.084479055857202</v>
      </c>
    </row>
    <row r="3823" spans="1:37" x14ac:dyDescent="0.2">
      <c r="A3823" t="str">
        <f>"20200111160237067"</f>
        <v>20200111160237067</v>
      </c>
      <c r="B3823" t="str">
        <f>"1578729757055751"</f>
        <v>1578729757055751</v>
      </c>
      <c r="C3823" t="s">
        <v>37</v>
      </c>
      <c r="D3823">
        <v>5.1608549999999997</v>
      </c>
      <c r="E3823">
        <v>0.46126479999999997</v>
      </c>
      <c r="F3823" t="s">
        <v>43</v>
      </c>
      <c r="G3823">
        <v>0</v>
      </c>
      <c r="H3823">
        <v>0</v>
      </c>
      <c r="I3823">
        <v>0</v>
      </c>
      <c r="J3823">
        <v>-308.42750000000001</v>
      </c>
      <c r="K3823">
        <v>1.1032010000000001</v>
      </c>
      <c r="L3823">
        <v>137.25829999999999</v>
      </c>
      <c r="M3823">
        <v>-0.99987239999999999</v>
      </c>
      <c r="N3823">
        <v>0</v>
      </c>
      <c r="O3823">
        <v>1.536477E-2</v>
      </c>
      <c r="P3823">
        <v>-0.99902880000000005</v>
      </c>
      <c r="Q3823">
        <v>1.621496E-2</v>
      </c>
      <c r="R3823">
        <v>4.097042E-2</v>
      </c>
      <c r="S3823">
        <v>-3.011841</v>
      </c>
      <c r="T3823">
        <v>0.18034629999999999</v>
      </c>
      <c r="U3823">
        <v>-0.29405209999999998</v>
      </c>
      <c r="V3823">
        <v>2.5621419999999999E-2</v>
      </c>
      <c r="W3823">
        <v>2.056674E-2</v>
      </c>
      <c r="X3823">
        <v>0.99946009999999996</v>
      </c>
      <c r="Y3823">
        <v>-0.1122243</v>
      </c>
      <c r="Z3823">
        <v>4.2661799999999996E-3</v>
      </c>
      <c r="AA3823">
        <v>0.99367369999999899</v>
      </c>
      <c r="AB3823">
        <v>27</v>
      </c>
      <c r="AC3823">
        <v>-3.011841</v>
      </c>
      <c r="AD3823">
        <v>0.18034629999999999</v>
      </c>
      <c r="AE3823">
        <v>-0.29405209999999998</v>
      </c>
      <c r="AF3823">
        <v>-0.33908974583093598</v>
      </c>
      <c r="AG3823">
        <v>0.18034629999999999</v>
      </c>
      <c r="AH3823">
        <v>2.99632547155224</v>
      </c>
      <c r="AI3823">
        <v>86.577365695202801</v>
      </c>
      <c r="AJ3823">
        <v>96.456609077543405</v>
      </c>
      <c r="AK3823">
        <v>3.02083977978379</v>
      </c>
    </row>
    <row r="3824" spans="1:37" x14ac:dyDescent="0.2">
      <c r="A3824" t="str">
        <f>"20200111160237088"</f>
        <v>20200111160237088</v>
      </c>
      <c r="B3824" t="str">
        <f>"1578729757076248"</f>
        <v>1578729757076248</v>
      </c>
      <c r="C3824" t="s">
        <v>37</v>
      </c>
      <c r="D3824">
        <v>5.2741769999999999</v>
      </c>
      <c r="E3824">
        <v>0.50893969999999999</v>
      </c>
      <c r="F3824" t="s">
        <v>43</v>
      </c>
      <c r="G3824">
        <v>0</v>
      </c>
      <c r="H3824">
        <v>0</v>
      </c>
      <c r="I3824">
        <v>0</v>
      </c>
      <c r="J3824">
        <v>-308.69170000000003</v>
      </c>
      <c r="K3824">
        <v>1.1032090000000001</v>
      </c>
      <c r="L3824">
        <v>137.26249999999999</v>
      </c>
      <c r="M3824">
        <v>-0.99986989999999998</v>
      </c>
      <c r="N3824">
        <v>0</v>
      </c>
      <c r="O3824">
        <v>1.54942999999999E-2</v>
      </c>
      <c r="P3824">
        <v>-0.999029099999999</v>
      </c>
      <c r="Q3824">
        <v>1.6427219999999999E-2</v>
      </c>
      <c r="R3824">
        <v>4.0877940000000001E-2</v>
      </c>
      <c r="S3824">
        <v>-3.0094910000000001</v>
      </c>
      <c r="T3824">
        <v>6.5356730000000002E-2</v>
      </c>
      <c r="U3824">
        <v>-0.1853485</v>
      </c>
      <c r="V3824">
        <v>2.539957E-2</v>
      </c>
      <c r="W3824">
        <v>2.0889970000000001E-2</v>
      </c>
      <c r="X3824">
        <v>0.99945910000000004</v>
      </c>
      <c r="Y3824">
        <v>-7.6907589999999998E-2</v>
      </c>
      <c r="Z3824">
        <v>1.1703709999999999E-3</v>
      </c>
      <c r="AA3824">
        <v>0.99703750000000002</v>
      </c>
      <c r="AB3824">
        <v>27</v>
      </c>
      <c r="AC3824">
        <v>-3.0094910000000001</v>
      </c>
      <c r="AD3824">
        <v>6.5356730000000002E-2</v>
      </c>
      <c r="AE3824">
        <v>-0.1853485</v>
      </c>
      <c r="AF3824">
        <v>-0.231847743436815</v>
      </c>
      <c r="AG3824">
        <v>6.5356730000000002E-2</v>
      </c>
      <c r="AH3824">
        <v>3.0048460496482798</v>
      </c>
      <c r="AI3824">
        <v>88.757679263436799</v>
      </c>
      <c r="AJ3824">
        <v>94.412082852521195</v>
      </c>
      <c r="AK3824">
        <v>3.0144858036454498</v>
      </c>
    </row>
    <row r="3825" spans="1:37" x14ac:dyDescent="0.2">
      <c r="A3825" t="str">
        <f>"20200111160237109"</f>
        <v>20200111160237109</v>
      </c>
      <c r="B3825" t="str">
        <f>"1578729757106504"</f>
        <v>1578729757106504</v>
      </c>
      <c r="C3825" t="s">
        <v>37</v>
      </c>
      <c r="D3825">
        <v>5.1776249999999999</v>
      </c>
      <c r="E3825">
        <v>0.50881980000000004</v>
      </c>
      <c r="F3825" t="s">
        <v>42</v>
      </c>
      <c r="G3825">
        <v>-309.42540000000002</v>
      </c>
      <c r="H3825">
        <v>1.043582</v>
      </c>
      <c r="I3825">
        <v>137.30520000000001</v>
      </c>
      <c r="J3825">
        <v>-308.94529999999997</v>
      </c>
      <c r="K3825">
        <v>1.1032189999999999</v>
      </c>
      <c r="L3825">
        <v>137.26650000000001</v>
      </c>
      <c r="M3825">
        <v>-0.99986769999999903</v>
      </c>
      <c r="N3825">
        <v>0</v>
      </c>
      <c r="O3825">
        <v>1.5618689999999999E-2</v>
      </c>
      <c r="P3825">
        <v>-0.999021099999999</v>
      </c>
      <c r="Q3825">
        <v>1.623987E-2</v>
      </c>
      <c r="R3825">
        <v>4.115386E-2</v>
      </c>
      <c r="S3825">
        <v>-2.9997859999999998</v>
      </c>
      <c r="T3825">
        <v>-0.2438159</v>
      </c>
      <c r="U3825">
        <v>0.17367550000000001</v>
      </c>
      <c r="V3825">
        <v>2.555135E-2</v>
      </c>
      <c r="W3825">
        <v>2.0814650000000001E-2</v>
      </c>
      <c r="X3825">
        <v>0.99945680000000003</v>
      </c>
      <c r="Y3825">
        <v>4.2112330000000003E-2</v>
      </c>
      <c r="Z3825">
        <v>4.4101930000000001E-4</v>
      </c>
      <c r="AA3825">
        <v>0.99911280000000002</v>
      </c>
      <c r="AB3825">
        <v>27</v>
      </c>
      <c r="AC3825">
        <v>-0.48010000000004899</v>
      </c>
      <c r="AD3825">
        <v>-5.9636999999999898E-2</v>
      </c>
      <c r="AE3825">
        <v>3.8700000000005702E-2</v>
      </c>
      <c r="AF3825">
        <v>3.07256305902554E-2</v>
      </c>
      <c r="AG3825">
        <v>-5.9636999999999898E-2</v>
      </c>
      <c r="AH3825">
        <v>0.473388617535064</v>
      </c>
      <c r="AI3825">
        <v>97.165316551384507</v>
      </c>
      <c r="AJ3825">
        <v>86.286384994641097</v>
      </c>
      <c r="AK3825">
        <v>0.47811862477415401</v>
      </c>
    </row>
    <row r="3826" spans="1:37" x14ac:dyDescent="0.2">
      <c r="A3826" t="str">
        <f>"20200111160237134"</f>
        <v>20200111160237134</v>
      </c>
      <c r="B3826" t="str">
        <f>"1578729757126023"</f>
        <v>1578729757126023</v>
      </c>
      <c r="C3826" t="s">
        <v>37</v>
      </c>
      <c r="D3826">
        <v>5.1769970000000001</v>
      </c>
      <c r="E3826">
        <v>0.50892040000000005</v>
      </c>
      <c r="F3826" t="s">
        <v>42</v>
      </c>
      <c r="G3826">
        <v>-309.67399999999998</v>
      </c>
      <c r="H3826">
        <v>1.047291</v>
      </c>
      <c r="I3826">
        <v>137.3092</v>
      </c>
      <c r="J3826">
        <v>-309.2534</v>
      </c>
      <c r="K3826">
        <v>1.1032249999999999</v>
      </c>
      <c r="L3826">
        <v>137.2715</v>
      </c>
      <c r="M3826">
        <v>-0.99986459999999999</v>
      </c>
      <c r="N3826">
        <v>0</v>
      </c>
      <c r="O3826">
        <v>1.5770070000000001E-2</v>
      </c>
      <c r="P3826">
        <v>-0.99901989999999996</v>
      </c>
      <c r="Q3826">
        <v>1.659714E-2</v>
      </c>
      <c r="R3826">
        <v>4.1040859999999998E-2</v>
      </c>
      <c r="S3826">
        <v>-2.9994809999999998</v>
      </c>
      <c r="T3826">
        <v>-0.2303103</v>
      </c>
      <c r="U3826">
        <v>0.1746521</v>
      </c>
      <c r="V3826">
        <v>2.5287259999999999E-2</v>
      </c>
      <c r="W3826">
        <v>2.1313789999999999E-2</v>
      </c>
      <c r="X3826">
        <v>0.99945300000000004</v>
      </c>
      <c r="Y3826">
        <v>4.2300360000000002E-2</v>
      </c>
      <c r="Z3826">
        <v>4.1231079999999999E-4</v>
      </c>
      <c r="AA3826">
        <v>0.99910489999999996</v>
      </c>
      <c r="AB3826">
        <v>27</v>
      </c>
      <c r="AC3826">
        <v>-0.420600000000035</v>
      </c>
      <c r="AD3826">
        <v>-5.59339999999999E-2</v>
      </c>
      <c r="AE3826">
        <v>3.7700000000000899E-2</v>
      </c>
      <c r="AF3826">
        <v>3.0526773795093699E-2</v>
      </c>
      <c r="AG3826">
        <v>-5.59339999999999E-2</v>
      </c>
      <c r="AH3826">
        <v>0.41388094997390401</v>
      </c>
      <c r="AI3826">
        <v>97.676013407839505</v>
      </c>
      <c r="AJ3826">
        <v>85.7816519335462</v>
      </c>
      <c r="AK3826">
        <v>0.418757611304724</v>
      </c>
    </row>
    <row r="3827" spans="1:37" x14ac:dyDescent="0.2">
      <c r="A3827" t="str">
        <f>"20200111160237156"</f>
        <v>20200111160237156</v>
      </c>
      <c r="B3827" t="str">
        <f>"1578729757146519"</f>
        <v>1578729757146519</v>
      </c>
      <c r="C3827" t="s">
        <v>37</v>
      </c>
      <c r="D3827">
        <v>5.2317809999999998</v>
      </c>
      <c r="E3827">
        <v>0.50982740000000004</v>
      </c>
      <c r="F3827" t="s">
        <v>42</v>
      </c>
      <c r="G3827">
        <v>-310.16309999999999</v>
      </c>
      <c r="H3827">
        <v>1.0355809999999901</v>
      </c>
      <c r="I3827">
        <v>137.32490000000001</v>
      </c>
      <c r="J3827">
        <v>-309.53289999999998</v>
      </c>
      <c r="K3827">
        <v>1.103234</v>
      </c>
      <c r="L3827">
        <v>137.27610000000001</v>
      </c>
      <c r="M3827">
        <v>-0.99986169999999996</v>
      </c>
      <c r="N3827">
        <v>0</v>
      </c>
      <c r="O3827">
        <v>1.5907290000000001E-2</v>
      </c>
      <c r="P3827">
        <v>-0.9990367</v>
      </c>
      <c r="Q3827">
        <v>1.6814809999999999E-2</v>
      </c>
      <c r="R3827">
        <v>4.0535219999999997E-2</v>
      </c>
      <c r="S3827">
        <v>-2.9994509999999899</v>
      </c>
      <c r="T3827">
        <v>-0.2230695</v>
      </c>
      <c r="U3827">
        <v>0.1756134</v>
      </c>
      <c r="V3827">
        <v>2.46444E-2</v>
      </c>
      <c r="W3827">
        <v>2.1662270000000001E-2</v>
      </c>
      <c r="X3827">
        <v>0.9994615</v>
      </c>
      <c r="Y3827">
        <v>4.2487610000000002E-2</v>
      </c>
      <c r="Z3827">
        <v>3.9615329999999999E-4</v>
      </c>
      <c r="AA3827">
        <v>0.99909689999999995</v>
      </c>
      <c r="AB3827">
        <v>28</v>
      </c>
      <c r="AC3827">
        <v>-0.63020000000000198</v>
      </c>
      <c r="AD3827">
        <v>-6.7653000000000102E-2</v>
      </c>
      <c r="AE3827">
        <v>4.8799999999999899E-2</v>
      </c>
      <c r="AF3827">
        <v>3.8329838661064201E-2</v>
      </c>
      <c r="AG3827">
        <v>-6.7653000000000102E-2</v>
      </c>
      <c r="AH3827">
        <v>0.623751050920058</v>
      </c>
      <c r="AI3827">
        <v>96.178626219351102</v>
      </c>
      <c r="AJ3827">
        <v>86.483565200407995</v>
      </c>
      <c r="AK3827">
        <v>0.62857893574686396</v>
      </c>
    </row>
    <row r="3828" spans="1:37" x14ac:dyDescent="0.2">
      <c r="A3828" t="str">
        <f>"20200111160237177"</f>
        <v>20200111160237177</v>
      </c>
      <c r="B3828" t="str">
        <f>"1578729757166040"</f>
        <v>1578729757166040</v>
      </c>
      <c r="C3828" t="s">
        <v>37</v>
      </c>
      <c r="D3828">
        <v>5.3937160000000004</v>
      </c>
      <c r="E3828">
        <v>0.50931439999999994</v>
      </c>
      <c r="F3828" t="s">
        <v>42</v>
      </c>
      <c r="G3828">
        <v>-310.41230000000002</v>
      </c>
      <c r="H3828">
        <v>1.036224</v>
      </c>
      <c r="I3828">
        <v>137.32939999999999</v>
      </c>
      <c r="J3828">
        <v>-309.79599999999999</v>
      </c>
      <c r="K3828">
        <v>1.1032360000000001</v>
      </c>
      <c r="L3828">
        <v>137.28039999999999</v>
      </c>
      <c r="M3828">
        <v>-0.9998591</v>
      </c>
      <c r="N3828">
        <v>0</v>
      </c>
      <c r="O3828">
        <v>1.6036399999999999E-2</v>
      </c>
      <c r="P3828">
        <v>-0.99903569999999997</v>
      </c>
      <c r="Q3828">
        <v>1.7228670000000001E-2</v>
      </c>
      <c r="R3828">
        <v>4.0387949999999999E-2</v>
      </c>
      <c r="S3828">
        <v>-2.99939</v>
      </c>
      <c r="T3828">
        <v>-0.22855929999999999</v>
      </c>
      <c r="U3828">
        <v>0.18084720000000001</v>
      </c>
      <c r="V3828">
        <v>2.4368190000000001E-2</v>
      </c>
      <c r="W3828">
        <v>2.2197629999999999E-2</v>
      </c>
      <c r="X3828">
        <v>0.99945659999999903</v>
      </c>
      <c r="Y3828">
        <v>4.4089080000000003E-2</v>
      </c>
      <c r="Z3828">
        <v>4.5692710000000002E-4</v>
      </c>
      <c r="AA3828">
        <v>0.99902749999999996</v>
      </c>
      <c r="AB3828">
        <v>28</v>
      </c>
      <c r="AC3828">
        <v>-0.61630000000002305</v>
      </c>
      <c r="AD3828">
        <v>-6.7012000000000002E-2</v>
      </c>
      <c r="AE3828">
        <v>4.9000000000006497E-2</v>
      </c>
      <c r="AF3828">
        <v>3.8656189859907202E-2</v>
      </c>
      <c r="AG3828">
        <v>-6.7012000000000002E-2</v>
      </c>
      <c r="AH3828">
        <v>0.60984178574135095</v>
      </c>
      <c r="AI3828">
        <v>96.258284884471095</v>
      </c>
      <c r="AJ3828">
        <v>86.373030921413402</v>
      </c>
      <c r="AK3828">
        <v>0.61472913774660598</v>
      </c>
    </row>
    <row r="3829" spans="1:37" x14ac:dyDescent="0.2">
      <c r="A3829" t="str">
        <f>"20200111160237200"</f>
        <v>20200111160237200</v>
      </c>
      <c r="B3829" t="str">
        <f>"1578729757196296"</f>
        <v>1578729757196296</v>
      </c>
      <c r="C3829" t="s">
        <v>37</v>
      </c>
      <c r="D3829">
        <v>5.2265990000000002</v>
      </c>
      <c r="E3829">
        <v>0.50920169999999998</v>
      </c>
      <c r="F3829" t="s">
        <v>42</v>
      </c>
      <c r="G3829">
        <v>-310.66320000000002</v>
      </c>
      <c r="H3829">
        <v>1.03803</v>
      </c>
      <c r="I3829">
        <v>137.33160000000001</v>
      </c>
      <c r="J3829">
        <v>-310.07310000000001</v>
      </c>
      <c r="K3829">
        <v>1.1032500000000001</v>
      </c>
      <c r="L3829">
        <v>137.285</v>
      </c>
      <c r="M3829">
        <v>-0.99985630000000003</v>
      </c>
      <c r="N3829">
        <v>0</v>
      </c>
      <c r="O3829">
        <v>1.6172579999999999E-2</v>
      </c>
      <c r="P3829">
        <v>-0.99903960000000003</v>
      </c>
      <c r="Q3829">
        <v>1.69664E-2</v>
      </c>
      <c r="R3829">
        <v>4.0402140000000003E-2</v>
      </c>
      <c r="S3829">
        <v>-2.9996640000000001</v>
      </c>
      <c r="T3829">
        <v>-0.22558429999999999</v>
      </c>
      <c r="U3829">
        <v>0.17636109999999999</v>
      </c>
      <c r="V3829">
        <v>2.4246199999999999E-2</v>
      </c>
      <c r="W3829">
        <v>2.2067010000000001E-2</v>
      </c>
      <c r="X3829">
        <v>0.99946239999999997</v>
      </c>
      <c r="Y3829">
        <v>4.246569E-2</v>
      </c>
      <c r="Z3829">
        <v>3.7985309999999899E-4</v>
      </c>
      <c r="AA3829">
        <v>0.99909780000000004</v>
      </c>
      <c r="AB3829">
        <v>28</v>
      </c>
      <c r="AC3829">
        <v>-0.59010000000000595</v>
      </c>
      <c r="AD3829">
        <v>-6.522E-2</v>
      </c>
      <c r="AE3829">
        <v>4.6600000000012097E-2</v>
      </c>
      <c r="AF3829">
        <v>3.6605954744357697E-2</v>
      </c>
      <c r="AG3829">
        <v>-6.522E-2</v>
      </c>
      <c r="AH3829">
        <v>0.58369060485704904</v>
      </c>
      <c r="AI3829">
        <v>96.363229989174997</v>
      </c>
      <c r="AJ3829">
        <v>86.411414834937105</v>
      </c>
      <c r="AK3829">
        <v>0.58846271463970701</v>
      </c>
    </row>
    <row r="3830" spans="1:37" x14ac:dyDescent="0.2">
      <c r="A3830" t="str">
        <f>"20200111160237221"</f>
        <v>20200111160237221</v>
      </c>
      <c r="B3830" t="str">
        <f>"1578729757215816"</f>
        <v>1578729757215816</v>
      </c>
      <c r="C3830" t="s">
        <v>37</v>
      </c>
      <c r="D3830">
        <v>5.2719120000000004</v>
      </c>
      <c r="E3830">
        <v>0.50965169999999904</v>
      </c>
      <c r="F3830" t="s">
        <v>42</v>
      </c>
      <c r="G3830">
        <v>-310.9153</v>
      </c>
      <c r="H3830">
        <v>1.0409679999999999</v>
      </c>
      <c r="I3830">
        <v>137.33459999999999</v>
      </c>
      <c r="J3830">
        <v>-310.35070000000002</v>
      </c>
      <c r="K3830">
        <v>1.103262</v>
      </c>
      <c r="L3830">
        <v>137.28960000000001</v>
      </c>
      <c r="M3830">
        <v>-0.999853199999999</v>
      </c>
      <c r="N3830">
        <v>0</v>
      </c>
      <c r="O3830">
        <v>1.630885E-2</v>
      </c>
      <c r="P3830">
        <v>-0.99902549999999901</v>
      </c>
      <c r="Q3830">
        <v>1.6748470000000001E-2</v>
      </c>
      <c r="R3830">
        <v>4.0837459999999999E-2</v>
      </c>
      <c r="S3830">
        <v>-2.9995419999999999</v>
      </c>
      <c r="T3830">
        <v>-0.221828899999999</v>
      </c>
      <c r="U3830">
        <v>0.17576600000000001</v>
      </c>
      <c r="V3830">
        <v>2.4545239999999999E-2</v>
      </c>
      <c r="W3830">
        <v>2.1990740000000002E-2</v>
      </c>
      <c r="X3830">
        <v>0.99945680000000003</v>
      </c>
      <c r="Y3830">
        <v>4.2138059999999998E-2</v>
      </c>
      <c r="Z3830">
        <v>3.514228E-4</v>
      </c>
      <c r="AA3830">
        <v>0.99911170000000005</v>
      </c>
      <c r="AB3830">
        <v>28</v>
      </c>
      <c r="AC3830">
        <v>-0.564599999999984</v>
      </c>
      <c r="AD3830">
        <v>-6.2294000000000002E-2</v>
      </c>
      <c r="AE3830">
        <v>4.4999999999987397E-2</v>
      </c>
      <c r="AF3830">
        <v>3.53581998461149E-2</v>
      </c>
      <c r="AG3830">
        <v>-6.2294000000000002E-2</v>
      </c>
      <c r="AH3830">
        <v>0.55850287251281805</v>
      </c>
      <c r="AI3830">
        <v>96.351709624179804</v>
      </c>
      <c r="AJ3830">
        <v>86.377502012275301</v>
      </c>
      <c r="AK3830">
        <v>0.56307743991162296</v>
      </c>
    </row>
    <row r="3831" spans="1:37" x14ac:dyDescent="0.2">
      <c r="A3831" t="str">
        <f>"20200111160237245"</f>
        <v>20200111160237245</v>
      </c>
      <c r="B3831" t="str">
        <f>"1578729757236312"</f>
        <v>1578729757236312</v>
      </c>
      <c r="C3831" t="s">
        <v>37</v>
      </c>
      <c r="D3831">
        <v>5.2793400000000004</v>
      </c>
      <c r="E3831">
        <v>0.50078729999999905</v>
      </c>
      <c r="F3831" t="s">
        <v>42</v>
      </c>
      <c r="G3831">
        <v>-311.16719999999998</v>
      </c>
      <c r="H3831">
        <v>1.0418229999999999</v>
      </c>
      <c r="I3831">
        <v>137.33879999999999</v>
      </c>
      <c r="J3831">
        <v>-310.64060000000001</v>
      </c>
      <c r="K3831">
        <v>1.1032789999999999</v>
      </c>
      <c r="L3831">
        <v>137.2945</v>
      </c>
      <c r="M3831">
        <v>-0.99985000000000002</v>
      </c>
      <c r="N3831">
        <v>0</v>
      </c>
      <c r="O3831">
        <v>1.6450880000000001E-2</v>
      </c>
      <c r="P3831">
        <v>-0.99899490000000002</v>
      </c>
      <c r="Q3831">
        <v>1.7044960000000001E-2</v>
      </c>
      <c r="R3831">
        <v>4.1457109999999998E-2</v>
      </c>
      <c r="S3831">
        <v>-2.9993289999999999</v>
      </c>
      <c r="T3831">
        <v>-0.2257062</v>
      </c>
      <c r="U3831">
        <v>0.18026729999999899</v>
      </c>
      <c r="V3831">
        <v>2.502358E-2</v>
      </c>
      <c r="W3831">
        <v>2.2451249999999999E-2</v>
      </c>
      <c r="X3831">
        <v>0.99943470000000001</v>
      </c>
      <c r="Y3831">
        <v>4.3488539999999999E-2</v>
      </c>
      <c r="Z3831">
        <v>3.9759559999999998E-4</v>
      </c>
      <c r="AA3831">
        <v>0.99905379999999999</v>
      </c>
      <c r="AB3831">
        <v>28</v>
      </c>
      <c r="AC3831">
        <v>-0.52659999999997298</v>
      </c>
      <c r="AD3831">
        <v>-6.1456000000000101E-2</v>
      </c>
      <c r="AE3831">
        <v>4.4299999999992602E-2</v>
      </c>
      <c r="AF3831">
        <v>3.5155403762352898E-2</v>
      </c>
      <c r="AG3831">
        <v>-6.1456000000000101E-2</v>
      </c>
      <c r="AH3831">
        <v>0.52022205277359401</v>
      </c>
      <c r="AI3831">
        <v>96.722172647933206</v>
      </c>
      <c r="AJ3831">
        <v>86.133961586961107</v>
      </c>
      <c r="AK3831">
        <v>0.52501783449866302</v>
      </c>
    </row>
    <row r="3832" spans="1:37" x14ac:dyDescent="0.2">
      <c r="A3832" t="str">
        <f>"20200111160237267"</f>
        <v>20200111160237267</v>
      </c>
      <c r="B3832" t="str">
        <f>"1578729757255831"</f>
        <v>1578729757255831</v>
      </c>
      <c r="C3832" t="s">
        <v>37</v>
      </c>
      <c r="D3832">
        <v>5.3109159999999997</v>
      </c>
      <c r="E3832">
        <v>0.50797009999999998</v>
      </c>
      <c r="F3832" t="s">
        <v>43</v>
      </c>
      <c r="G3832">
        <v>0</v>
      </c>
      <c r="H3832">
        <v>0</v>
      </c>
      <c r="I3832">
        <v>0</v>
      </c>
      <c r="J3832">
        <v>-310.9271</v>
      </c>
      <c r="K3832">
        <v>1.103307</v>
      </c>
      <c r="L3832">
        <v>137.29929999999999</v>
      </c>
      <c r="M3832">
        <v>-0.99984680000000004</v>
      </c>
      <c r="N3832">
        <v>0</v>
      </c>
      <c r="O3832">
        <v>1.6590819999999999E-2</v>
      </c>
      <c r="P3832">
        <v>-0.99892959999999997</v>
      </c>
      <c r="Q3832">
        <v>1.8425E-2</v>
      </c>
      <c r="R3832">
        <v>4.2434199999999998E-2</v>
      </c>
      <c r="S3832">
        <v>-2.9966430000000002</v>
      </c>
      <c r="T3832">
        <v>5.3542380000000001E-2</v>
      </c>
      <c r="U3832">
        <v>0.13085939999999999</v>
      </c>
      <c r="V3832">
        <v>2.5862219999999998E-2</v>
      </c>
      <c r="W3832">
        <v>2.4016760000000002E-2</v>
      </c>
      <c r="X3832">
        <v>0.99937699999999996</v>
      </c>
      <c r="Y3832">
        <v>2.7044120000000001E-2</v>
      </c>
      <c r="Z3832" s="1">
        <v>5.4767969999999898E-5</v>
      </c>
      <c r="AA3832">
        <v>0.99963429999999998</v>
      </c>
      <c r="AB3832">
        <v>28</v>
      </c>
      <c r="AC3832">
        <v>-2.9966430000000002</v>
      </c>
      <c r="AD3832">
        <v>5.3542380000000001E-2</v>
      </c>
      <c r="AE3832">
        <v>0.13085939999999999</v>
      </c>
      <c r="AF3832">
        <v>8.1098009139555602E-2</v>
      </c>
      <c r="AG3832">
        <v>5.3542380000000001E-2</v>
      </c>
      <c r="AH3832">
        <v>2.9974465351793498</v>
      </c>
      <c r="AI3832">
        <v>88.9770278453082</v>
      </c>
      <c r="AJ3832">
        <v>88.450200758186099</v>
      </c>
      <c r="AK3832">
        <v>2.9990214078597601</v>
      </c>
    </row>
    <row r="3833" spans="1:37" x14ac:dyDescent="0.2">
      <c r="A3833" t="str">
        <f>"20200111160237289"</f>
        <v>20200111160237289</v>
      </c>
      <c r="B3833" t="str">
        <f>"1578729757286088"</f>
        <v>1578729757286088</v>
      </c>
      <c r="C3833" t="s">
        <v>37</v>
      </c>
      <c r="D3833">
        <v>5.2863559999999996</v>
      </c>
      <c r="E3833">
        <v>0.5092759</v>
      </c>
      <c r="F3833" t="s">
        <v>38</v>
      </c>
      <c r="G3833">
        <v>-359.4502</v>
      </c>
      <c r="H3833" s="1">
        <v>-3.8777090000000002E-7</v>
      </c>
      <c r="I3833">
        <v>140.25370000000001</v>
      </c>
      <c r="J3833">
        <v>-311.20209999999997</v>
      </c>
      <c r="K3833">
        <v>1.1033379999999999</v>
      </c>
      <c r="L3833">
        <v>137.30410000000001</v>
      </c>
      <c r="M3833">
        <v>-0.99984340000000005</v>
      </c>
      <c r="N3833">
        <v>0</v>
      </c>
      <c r="O3833">
        <v>1.6725299999999999E-2</v>
      </c>
      <c r="P3833">
        <v>-0.99888399999999999</v>
      </c>
      <c r="Q3833">
        <v>1.917808E-2</v>
      </c>
      <c r="R3833">
        <v>4.3166580000000003E-2</v>
      </c>
      <c r="S3833">
        <v>-2.9967349999999899</v>
      </c>
      <c r="T3833">
        <v>-6.8139080000000005E-2</v>
      </c>
      <c r="U3833">
        <v>0.1824646</v>
      </c>
      <c r="V3833">
        <v>2.6461200000000001E-2</v>
      </c>
      <c r="W3833">
        <v>2.4981110000000001E-2</v>
      </c>
      <c r="X3833">
        <v>0.9993377</v>
      </c>
      <c r="Y3833">
        <v>4.4065050000000001E-2</v>
      </c>
      <c r="Z3833">
        <v>1.206024E-4</v>
      </c>
      <c r="AA3833">
        <v>0.99902869999999999</v>
      </c>
      <c r="AB3833">
        <v>28</v>
      </c>
      <c r="AC3833">
        <v>-48.248100000000001</v>
      </c>
      <c r="AD3833">
        <v>-1.10333838777089</v>
      </c>
      <c r="AE3833">
        <v>2.9496000000000002</v>
      </c>
      <c r="AF3833">
        <v>2.1410944553809501</v>
      </c>
      <c r="AG3833">
        <v>-1.10333838777089</v>
      </c>
      <c r="AH3833">
        <v>48.265538415205903</v>
      </c>
      <c r="AI3833">
        <v>91.308253253052996</v>
      </c>
      <c r="AJ3833">
        <v>87.459982740563206</v>
      </c>
      <c r="AK3833">
        <v>48.325602319831603</v>
      </c>
    </row>
    <row r="3834" spans="1:37" x14ac:dyDescent="0.2">
      <c r="A3834" t="str">
        <f>"20200111160237311"</f>
        <v>20200111160237311</v>
      </c>
      <c r="B3834" t="str">
        <f>"1578729757306584"</f>
        <v>1578729757306584</v>
      </c>
      <c r="C3834" t="s">
        <v>37</v>
      </c>
      <c r="D3834">
        <v>5.3594679999999997</v>
      </c>
      <c r="E3834">
        <v>0.51255399999999995</v>
      </c>
      <c r="F3834" t="s">
        <v>38</v>
      </c>
      <c r="G3834">
        <v>-334.96870000000001</v>
      </c>
      <c r="H3834" s="1">
        <v>-2.5018380000000001E-6</v>
      </c>
      <c r="I3834">
        <v>138.81</v>
      </c>
      <c r="J3834">
        <v>-311.47089999999997</v>
      </c>
      <c r="K3834">
        <v>1.1033729999999999</v>
      </c>
      <c r="L3834">
        <v>137.30869999999999</v>
      </c>
      <c r="M3834">
        <v>-0.999839699999999</v>
      </c>
      <c r="N3834">
        <v>0</v>
      </c>
      <c r="O3834">
        <v>1.6856960000000001E-2</v>
      </c>
      <c r="P3834">
        <v>-0.99889050000000001</v>
      </c>
      <c r="Q3834">
        <v>1.8687289999999999E-2</v>
      </c>
      <c r="R3834">
        <v>4.3228280000000001E-2</v>
      </c>
      <c r="S3834">
        <v>-2.997833</v>
      </c>
      <c r="T3834">
        <v>-0.13917179999999901</v>
      </c>
      <c r="U3834">
        <v>0.18995670000000001</v>
      </c>
      <c r="V3834">
        <v>2.6390879999999999E-2</v>
      </c>
      <c r="W3834">
        <v>2.474324E-2</v>
      </c>
      <c r="X3834">
        <v>0.99934539999999905</v>
      </c>
      <c r="Y3834">
        <v>4.6373669999999999E-2</v>
      </c>
      <c r="Z3834">
        <v>2.9352430000000002E-4</v>
      </c>
      <c r="AA3834">
        <v>0.99892409999999998</v>
      </c>
      <c r="AB3834">
        <v>28</v>
      </c>
      <c r="AC3834">
        <v>-23.497800000000002</v>
      </c>
      <c r="AD3834">
        <v>-1.103375501838</v>
      </c>
      <c r="AE3834">
        <v>1.5013000000000101</v>
      </c>
      <c r="AF3834">
        <v>1.102556824159</v>
      </c>
      <c r="AG3834">
        <v>-1.103375501838</v>
      </c>
      <c r="AH3834">
        <v>23.468233782532099</v>
      </c>
      <c r="AI3834">
        <v>92.688857676879294</v>
      </c>
      <c r="AJ3834">
        <v>87.310175228504605</v>
      </c>
      <c r="AK3834">
        <v>23.520014156461201</v>
      </c>
    </row>
    <row r="3835" spans="1:37" x14ac:dyDescent="0.2">
      <c r="A3835" t="str">
        <f>"20200111160237333"</f>
        <v>20200111160237333</v>
      </c>
      <c r="B3835" t="str">
        <f>"1578729757326105"</f>
        <v>1578729757326105</v>
      </c>
      <c r="C3835" t="s">
        <v>37</v>
      </c>
      <c r="D3835">
        <v>5.4268609999999997</v>
      </c>
      <c r="E3835">
        <v>0.51557070000000005</v>
      </c>
      <c r="F3835" t="s">
        <v>42</v>
      </c>
      <c r="G3835">
        <v>-312.43819999999999</v>
      </c>
      <c r="H3835">
        <v>1.0494540000000001</v>
      </c>
      <c r="I3835">
        <v>137.37809999999999</v>
      </c>
      <c r="J3835">
        <v>-311.76940000000002</v>
      </c>
      <c r="K3835">
        <v>1.1034280000000001</v>
      </c>
      <c r="L3835">
        <v>137.31389999999999</v>
      </c>
      <c r="M3835">
        <v>-0.99983489999999997</v>
      </c>
      <c r="N3835">
        <v>0</v>
      </c>
      <c r="O3835">
        <v>1.700285E-2</v>
      </c>
      <c r="P3835">
        <v>-0.99888899999999903</v>
      </c>
      <c r="Q3835">
        <v>1.812076E-2</v>
      </c>
      <c r="R3835">
        <v>4.3499919999999997E-2</v>
      </c>
      <c r="S3835">
        <v>-2.9971619999999999</v>
      </c>
      <c r="T3835">
        <v>-0.1671308</v>
      </c>
      <c r="U3835">
        <v>0.21435549999999901</v>
      </c>
      <c r="V3835">
        <v>2.6516629999999999E-2</v>
      </c>
      <c r="W3835">
        <v>2.451967E-2</v>
      </c>
      <c r="X3835">
        <v>0.9993476</v>
      </c>
      <c r="Y3835">
        <v>5.4309429999999999E-2</v>
      </c>
      <c r="Z3835">
        <v>5.6509699999999997E-4</v>
      </c>
      <c r="AA3835">
        <v>0.99852399999999997</v>
      </c>
      <c r="AB3835">
        <v>28</v>
      </c>
      <c r="AC3835">
        <v>-0.66879999999997597</v>
      </c>
      <c r="AD3835">
        <v>-5.3973999999999897E-2</v>
      </c>
      <c r="AE3835">
        <v>6.4199999999999494E-2</v>
      </c>
      <c r="AF3835">
        <v>5.2480299381594597E-2</v>
      </c>
      <c r="AG3835">
        <v>-5.3973999999999897E-2</v>
      </c>
      <c r="AH3835">
        <v>0.66550013673102504</v>
      </c>
      <c r="AI3835">
        <v>94.622418301577298</v>
      </c>
      <c r="AJ3835">
        <v>85.491075515873504</v>
      </c>
      <c r="AK3835">
        <v>0.66974458302265905</v>
      </c>
    </row>
    <row r="3836" spans="1:37" x14ac:dyDescent="0.2">
      <c r="A3836" t="str">
        <f>"20200111160237356"</f>
        <v>20200111160237356</v>
      </c>
      <c r="B3836" t="str">
        <f>"1578729757346600"</f>
        <v>1578729757346600</v>
      </c>
      <c r="C3836" t="s">
        <v>37</v>
      </c>
      <c r="D3836">
        <v>5.3009240000000002</v>
      </c>
      <c r="E3836">
        <v>0.51762589999999997</v>
      </c>
      <c r="F3836" t="s">
        <v>42</v>
      </c>
      <c r="G3836">
        <v>-312.69040000000001</v>
      </c>
      <c r="H3836">
        <v>1.046098</v>
      </c>
      <c r="I3836">
        <v>137.38720000000001</v>
      </c>
      <c r="J3836">
        <v>-312.05</v>
      </c>
      <c r="K3836">
        <v>1.1034809999999999</v>
      </c>
      <c r="L3836">
        <v>137.31880000000001</v>
      </c>
      <c r="M3836">
        <v>-0.99983029999999995</v>
      </c>
      <c r="N3836">
        <v>0</v>
      </c>
      <c r="O3836">
        <v>1.7139450000000001E-2</v>
      </c>
      <c r="P3836">
        <v>-0.99889810000000001</v>
      </c>
      <c r="Q3836">
        <v>1.7392620000000001E-2</v>
      </c>
      <c r="R3836">
        <v>4.3593189999999997E-2</v>
      </c>
      <c r="S3836">
        <v>-2.9963679999999999</v>
      </c>
      <c r="T3836">
        <v>-0.18653710000000001</v>
      </c>
      <c r="U3836">
        <v>0.237960799999999</v>
      </c>
      <c r="V3836">
        <v>2.6473190000000001E-2</v>
      </c>
      <c r="W3836">
        <v>2.4152139999999999E-2</v>
      </c>
      <c r="X3836">
        <v>0.99935769999999902</v>
      </c>
      <c r="Y3836">
        <v>6.1983240000000002E-2</v>
      </c>
      <c r="Z3836">
        <v>8.6036999999999995E-4</v>
      </c>
      <c r="AA3836">
        <v>0.99807679999999999</v>
      </c>
      <c r="AB3836">
        <v>28</v>
      </c>
      <c r="AC3836">
        <v>-0.64039999999999897</v>
      </c>
      <c r="AD3836">
        <v>-5.7382999999999899E-2</v>
      </c>
      <c r="AE3836">
        <v>6.8399999999996894E-2</v>
      </c>
      <c r="AF3836">
        <v>5.6961410946252698E-2</v>
      </c>
      <c r="AG3836">
        <v>-5.7382999999999899E-2</v>
      </c>
      <c r="AH3836">
        <v>0.63642603506408801</v>
      </c>
      <c r="AI3836">
        <v>95.131707822279594</v>
      </c>
      <c r="AJ3836">
        <v>84.885540023211604</v>
      </c>
      <c r="AK3836">
        <v>0.64154151006258597</v>
      </c>
    </row>
    <row r="3837" spans="1:37" x14ac:dyDescent="0.2">
      <c r="A3837" t="str">
        <f>"20200111160237377"</f>
        <v>20200111160237377</v>
      </c>
      <c r="B3837" t="str">
        <f>"1578729757366119"</f>
        <v>1578729757366119</v>
      </c>
      <c r="C3837" t="s">
        <v>37</v>
      </c>
      <c r="D3837">
        <v>5.3091699999999999</v>
      </c>
      <c r="E3837">
        <v>0.51910000000000001</v>
      </c>
      <c r="F3837" t="s">
        <v>42</v>
      </c>
      <c r="G3837">
        <v>-312.94389999999999</v>
      </c>
      <c r="H3837">
        <v>1.043693</v>
      </c>
      <c r="I3837">
        <v>137.39500000000001</v>
      </c>
      <c r="J3837">
        <v>-312.3227</v>
      </c>
      <c r="K3837">
        <v>1.1035349999999999</v>
      </c>
      <c r="L3837">
        <v>137.3236</v>
      </c>
      <c r="M3837">
        <v>-0.99982519999999997</v>
      </c>
      <c r="N3837">
        <v>0</v>
      </c>
      <c r="O3837">
        <v>1.7272630000000001E-2</v>
      </c>
      <c r="P3837">
        <v>-0.99888860000000002</v>
      </c>
      <c r="Q3837">
        <v>1.6694359999999998E-2</v>
      </c>
      <c r="R3837">
        <v>4.4081559999999999E-2</v>
      </c>
      <c r="S3837">
        <v>-2.99572799999999</v>
      </c>
      <c r="T3837">
        <v>-0.2004869</v>
      </c>
      <c r="U3837">
        <v>0.2538147</v>
      </c>
      <c r="V3837">
        <v>2.6828439999999999E-2</v>
      </c>
      <c r="W3837">
        <v>2.3852769999999999E-2</v>
      </c>
      <c r="X3837">
        <v>0.9993554</v>
      </c>
      <c r="Y3837">
        <v>6.7088480000000006E-2</v>
      </c>
      <c r="Z3837">
        <v>1.086034E-3</v>
      </c>
      <c r="AA3837">
        <v>0.99774649999999998</v>
      </c>
      <c r="AB3837">
        <v>28</v>
      </c>
      <c r="AC3837">
        <v>-0.62119999999998698</v>
      </c>
      <c r="AD3837">
        <v>-5.9841999999999902E-2</v>
      </c>
      <c r="AE3837">
        <v>7.1400000000011205E-2</v>
      </c>
      <c r="AF3837">
        <v>6.0108777164161298E-2</v>
      </c>
      <c r="AG3837">
        <v>-5.9841999999999902E-2</v>
      </c>
      <c r="AH3837">
        <v>0.61669231727900098</v>
      </c>
      <c r="AI3837">
        <v>95.516480455230607</v>
      </c>
      <c r="AJ3837">
        <v>84.432986137815206</v>
      </c>
      <c r="AK3837">
        <v>0.62249782670071596</v>
      </c>
    </row>
    <row r="3838" spans="1:37" x14ac:dyDescent="0.2">
      <c r="A3838" t="str">
        <f>"20200111160237400"</f>
        <v>20200111160237400</v>
      </c>
      <c r="B3838" t="str">
        <f>"1578729757396376"</f>
        <v>1578729757396376</v>
      </c>
      <c r="C3838" t="s">
        <v>37</v>
      </c>
      <c r="D3838">
        <v>5.3560109999999996</v>
      </c>
      <c r="E3838">
        <v>0.52070680000000003</v>
      </c>
      <c r="F3838" t="s">
        <v>42</v>
      </c>
      <c r="G3838">
        <v>-313.19779999999997</v>
      </c>
      <c r="H3838">
        <v>1.0417179999999999</v>
      </c>
      <c r="I3838">
        <v>137.40170000000001</v>
      </c>
      <c r="J3838">
        <v>-312.60980000000001</v>
      </c>
      <c r="K3838">
        <v>1.103613</v>
      </c>
      <c r="L3838">
        <v>137.3288</v>
      </c>
      <c r="M3838">
        <v>-0.99981889999999995</v>
      </c>
      <c r="N3838">
        <v>0</v>
      </c>
      <c r="O3838">
        <v>1.741175E-2</v>
      </c>
      <c r="P3838">
        <v>-0.99888339999999998</v>
      </c>
      <c r="Q3838">
        <v>1.6240339999999999E-2</v>
      </c>
      <c r="R3838">
        <v>4.4361520000000002E-2</v>
      </c>
      <c r="S3838">
        <v>-2.995117</v>
      </c>
      <c r="T3838">
        <v>-0.21162069999999999</v>
      </c>
      <c r="U3838">
        <v>0.26637270000000002</v>
      </c>
      <c r="V3838">
        <v>2.6969389999999999E-2</v>
      </c>
      <c r="W3838">
        <v>2.3896150000000001E-2</v>
      </c>
      <c r="X3838">
        <v>0.99935059999999998</v>
      </c>
      <c r="Y3838">
        <v>7.1096030000000005E-2</v>
      </c>
      <c r="Z3838">
        <v>1.277563E-3</v>
      </c>
      <c r="AA3838">
        <v>0.99746869999999999</v>
      </c>
      <c r="AB3838">
        <v>28</v>
      </c>
      <c r="AC3838">
        <v>-0.587999999999965</v>
      </c>
      <c r="AD3838">
        <v>-6.1894999999999999E-2</v>
      </c>
      <c r="AE3838">
        <v>7.29000000000041E-2</v>
      </c>
      <c r="AF3838">
        <v>6.19742314958594E-2</v>
      </c>
      <c r="AG3838">
        <v>-6.1894999999999999E-2</v>
      </c>
      <c r="AH3838">
        <v>0.58282007644186096</v>
      </c>
      <c r="AI3838">
        <v>96.028308437420904</v>
      </c>
      <c r="AJ3838">
        <v>83.930256118921804</v>
      </c>
      <c r="AK3838">
        <v>0.58936494457865296</v>
      </c>
    </row>
    <row r="3839" spans="1:37" x14ac:dyDescent="0.2">
      <c r="A3839" t="str">
        <f>"20200111160237422"</f>
        <v>20200111160237422</v>
      </c>
      <c r="B3839" t="str">
        <f>"1578729757415896"</f>
        <v>1578729757415896</v>
      </c>
      <c r="C3839" t="s">
        <v>37</v>
      </c>
      <c r="D3839">
        <v>5.3280949999999896</v>
      </c>
      <c r="E3839">
        <v>0.52128829999999904</v>
      </c>
      <c r="F3839" t="s">
        <v>42</v>
      </c>
      <c r="G3839">
        <v>-313.45240000000001</v>
      </c>
      <c r="H3839">
        <v>1.041879</v>
      </c>
      <c r="I3839">
        <v>137.4076</v>
      </c>
      <c r="J3839">
        <v>-312.89580000000001</v>
      </c>
      <c r="K3839">
        <v>1.1037090000000001</v>
      </c>
      <c r="L3839">
        <v>137.3339</v>
      </c>
      <c r="M3839">
        <v>-0.99981209999999898</v>
      </c>
      <c r="N3839">
        <v>0</v>
      </c>
      <c r="O3839">
        <v>1.7547159999999999E-2</v>
      </c>
      <c r="P3839">
        <v>-0.99888149999999998</v>
      </c>
      <c r="Q3839">
        <v>1.575116E-2</v>
      </c>
      <c r="R3839">
        <v>4.4586130000000002E-2</v>
      </c>
      <c r="S3839">
        <v>-2.9945369999999998</v>
      </c>
      <c r="T3839">
        <v>-0.21950819999999999</v>
      </c>
      <c r="U3839">
        <v>0.27952579999999999</v>
      </c>
      <c r="V3839">
        <v>2.705867E-2</v>
      </c>
      <c r="W3839">
        <v>2.3992449999999999E-2</v>
      </c>
      <c r="X3839">
        <v>0.99934590000000001</v>
      </c>
      <c r="Y3839">
        <v>7.5301519999999997E-2</v>
      </c>
      <c r="Z3839">
        <v>1.4687649999999999E-3</v>
      </c>
      <c r="AA3839">
        <v>0.99715969999999998</v>
      </c>
      <c r="AB3839">
        <v>28</v>
      </c>
      <c r="AC3839">
        <v>-0.55660000000000298</v>
      </c>
      <c r="AD3839">
        <v>-6.1830000000000003E-2</v>
      </c>
      <c r="AE3839">
        <v>7.3700000000002305E-2</v>
      </c>
      <c r="AF3839">
        <v>6.3155664490187002E-2</v>
      </c>
      <c r="AG3839">
        <v>-6.1830000000000003E-2</v>
      </c>
      <c r="AH3839">
        <v>0.55112392878551797</v>
      </c>
      <c r="AI3839">
        <v>96.359907364629905</v>
      </c>
      <c r="AJ3839">
        <v>83.462745775747194</v>
      </c>
      <c r="AK3839">
        <v>0.55816589983371601</v>
      </c>
    </row>
    <row r="3840" spans="1:37" x14ac:dyDescent="0.2">
      <c r="A3840" t="str">
        <f>"20200111160237447"</f>
        <v>20200111160237447</v>
      </c>
      <c r="B3840" t="str">
        <f>"1578729757436391"</f>
        <v>1578729757436391</v>
      </c>
      <c r="C3840" t="s">
        <v>37</v>
      </c>
      <c r="D3840">
        <v>5.3978349999999997</v>
      </c>
      <c r="E3840">
        <v>0.52177799999999996</v>
      </c>
      <c r="F3840" t="s">
        <v>42</v>
      </c>
      <c r="G3840">
        <v>-313.70710000000003</v>
      </c>
      <c r="H3840">
        <v>1.042605</v>
      </c>
      <c r="I3840">
        <v>137.4111</v>
      </c>
      <c r="J3840">
        <v>-313.20260000000002</v>
      </c>
      <c r="K3840">
        <v>1.1038250000000001</v>
      </c>
      <c r="L3840">
        <v>137.33940000000001</v>
      </c>
      <c r="M3840">
        <v>-0.999803199999999</v>
      </c>
      <c r="N3840">
        <v>0</v>
      </c>
      <c r="O3840">
        <v>1.769455E-2</v>
      </c>
      <c r="P3840">
        <v>-0.99886469999999905</v>
      </c>
      <c r="Q3840">
        <v>1.545653E-2</v>
      </c>
      <c r="R3840">
        <v>4.5062770000000002E-2</v>
      </c>
      <c r="S3840">
        <v>-2.994202</v>
      </c>
      <c r="T3840">
        <v>-0.22564210000000001</v>
      </c>
      <c r="U3840">
        <v>0.28445429999999999</v>
      </c>
      <c r="V3840">
        <v>2.7388249999999999E-2</v>
      </c>
      <c r="W3840">
        <v>2.4400499999999999E-2</v>
      </c>
      <c r="X3840">
        <v>0.99932699999999997</v>
      </c>
      <c r="Y3840">
        <v>7.6779180000000002E-2</v>
      </c>
      <c r="Z3840">
        <v>1.5541579999999999E-3</v>
      </c>
      <c r="AA3840">
        <v>0.99704689999999996</v>
      </c>
      <c r="AB3840">
        <v>28</v>
      </c>
      <c r="AC3840">
        <v>-0.50450000000000705</v>
      </c>
      <c r="AD3840">
        <v>-6.1219999999999997E-2</v>
      </c>
      <c r="AE3840">
        <v>7.16999999999927E-2</v>
      </c>
      <c r="AF3840">
        <v>6.1868518263607897E-2</v>
      </c>
      <c r="AG3840">
        <v>-6.1219999999999997E-2</v>
      </c>
      <c r="AH3840">
        <v>0.49849460402041001</v>
      </c>
      <c r="AI3840">
        <v>96.948637158463796</v>
      </c>
      <c r="AJ3840">
        <v>82.925157918141494</v>
      </c>
      <c r="AK3840">
        <v>0.50603603842967604</v>
      </c>
    </row>
    <row r="3841" spans="1:37" x14ac:dyDescent="0.2">
      <c r="A3841" t="str">
        <f>"20200111160237466"</f>
        <v>20200111160237466</v>
      </c>
      <c r="B3841" t="str">
        <f>"1578729757455912"</f>
        <v>1578729757455912</v>
      </c>
      <c r="C3841" t="s">
        <v>37</v>
      </c>
      <c r="D3841">
        <v>5.3502919999999996</v>
      </c>
      <c r="E3841">
        <v>0.5222405</v>
      </c>
      <c r="F3841" t="s">
        <v>42</v>
      </c>
      <c r="G3841">
        <v>-313.9622</v>
      </c>
      <c r="H3841">
        <v>1.0454699999999999</v>
      </c>
      <c r="I3841">
        <v>137.41329999999999</v>
      </c>
      <c r="J3841">
        <v>-313.4624</v>
      </c>
      <c r="K3841">
        <v>1.1039219999999901</v>
      </c>
      <c r="L3841">
        <v>137.3442</v>
      </c>
      <c r="M3841">
        <v>-0.99979530000000005</v>
      </c>
      <c r="N3841">
        <v>0</v>
      </c>
      <c r="O3841">
        <v>1.7821879999999998E-2</v>
      </c>
      <c r="P3841">
        <v>-0.99883529999999998</v>
      </c>
      <c r="Q3841">
        <v>1.480747E-2</v>
      </c>
      <c r="R3841">
        <v>4.5921419999999998E-2</v>
      </c>
      <c r="S3841">
        <v>-2.9938660000000001</v>
      </c>
      <c r="T3841">
        <v>-0.23007629999999901</v>
      </c>
      <c r="U3841">
        <v>0.28956599999999999</v>
      </c>
      <c r="V3841">
        <v>2.8119669999999999E-2</v>
      </c>
      <c r="W3841">
        <v>2.43676E-2</v>
      </c>
      <c r="X3841">
        <v>0.99930750000000002</v>
      </c>
      <c r="Y3841">
        <v>7.8338619999999998E-2</v>
      </c>
      <c r="Z3841">
        <v>1.634606E-3</v>
      </c>
      <c r="AA3841">
        <v>0.99692549999999902</v>
      </c>
      <c r="AB3841">
        <v>28</v>
      </c>
      <c r="AC3841">
        <v>-0.49979999999999303</v>
      </c>
      <c r="AD3841">
        <v>-5.8451999999999699E-2</v>
      </c>
      <c r="AE3841">
        <v>6.9099999999991696E-2</v>
      </c>
      <c r="AF3841">
        <v>5.9384247138562898E-2</v>
      </c>
      <c r="AG3841">
        <v>-5.8451999999999699E-2</v>
      </c>
      <c r="AH3841">
        <v>0.494317945350711</v>
      </c>
      <c r="AI3841">
        <v>96.696079082431595</v>
      </c>
      <c r="AJ3841">
        <v>83.149674618608302</v>
      </c>
      <c r="AK3841">
        <v>0.50129168775071697</v>
      </c>
    </row>
    <row r="3842" spans="1:37" x14ac:dyDescent="0.2">
      <c r="A3842" t="str">
        <f>"20200111160237488"</f>
        <v>20200111160237488</v>
      </c>
      <c r="B3842" t="str">
        <f>"1578729757476408"</f>
        <v>1578729757476408</v>
      </c>
      <c r="C3842" t="s">
        <v>37</v>
      </c>
      <c r="D3842">
        <v>5.2818290000000001</v>
      </c>
      <c r="E3842">
        <v>0.52232479999999903</v>
      </c>
      <c r="F3842" t="s">
        <v>42</v>
      </c>
      <c r="G3842">
        <v>-314.21530000000001</v>
      </c>
      <c r="H3842">
        <v>1.045034</v>
      </c>
      <c r="I3842">
        <v>137.4188</v>
      </c>
      <c r="J3842">
        <v>-313.73270000000002</v>
      </c>
      <c r="K3842">
        <v>1.103999</v>
      </c>
      <c r="L3842">
        <v>137.3492</v>
      </c>
      <c r="M3842">
        <v>-0.99978690000000003</v>
      </c>
      <c r="N3842">
        <v>0</v>
      </c>
      <c r="O3842">
        <v>1.7955120000000001E-2</v>
      </c>
      <c r="P3842">
        <v>-0.99880910000000001</v>
      </c>
      <c r="Q3842">
        <v>1.417742E-2</v>
      </c>
      <c r="R3842">
        <v>4.6687260000000001E-2</v>
      </c>
      <c r="S3842">
        <v>-2.9933779999999999</v>
      </c>
      <c r="T3842">
        <v>-0.23419949999999901</v>
      </c>
      <c r="U3842">
        <v>0.2959137</v>
      </c>
      <c r="V3842">
        <v>2.8752299999999901E-2</v>
      </c>
      <c r="W3842">
        <v>2.4360940000000001E-2</v>
      </c>
      <c r="X3842">
        <v>0.99928969999999995</v>
      </c>
      <c r="Y3842">
        <v>8.0303180000000002E-2</v>
      </c>
      <c r="Z3842">
        <v>1.7300799999999999E-3</v>
      </c>
      <c r="AA3842">
        <v>0.99676900000000002</v>
      </c>
      <c r="AB3842">
        <v>28</v>
      </c>
      <c r="AC3842">
        <v>-0.48259999999998998</v>
      </c>
      <c r="AD3842">
        <v>-5.8964999999999899E-2</v>
      </c>
      <c r="AE3842">
        <v>6.9600000000008294E-2</v>
      </c>
      <c r="AF3842">
        <v>6.0045073973729303E-2</v>
      </c>
      <c r="AG3842">
        <v>-5.8964999999999899E-2</v>
      </c>
      <c r="AH3842">
        <v>0.47679910406516801</v>
      </c>
      <c r="AI3842">
        <v>96.995187534855106</v>
      </c>
      <c r="AJ3842">
        <v>82.822315841505898</v>
      </c>
      <c r="AK3842">
        <v>0.48416904875348798</v>
      </c>
    </row>
    <row r="3843" spans="1:37" x14ac:dyDescent="0.2">
      <c r="A3843" t="str">
        <f>"20200111160237846"</f>
        <v>20200111160237846</v>
      </c>
      <c r="B3843" t="str">
        <f>"1578729757836551"</f>
        <v>1578729757836551</v>
      </c>
      <c r="C3843" t="s">
        <v>37</v>
      </c>
      <c r="D3843">
        <v>5.4463749999999997</v>
      </c>
      <c r="E3843">
        <v>0.46192280000000002</v>
      </c>
      <c r="F3843" t="s">
        <v>42</v>
      </c>
      <c r="G3843">
        <v>-318.68770000000001</v>
      </c>
      <c r="H3843">
        <v>1.0419879999999999</v>
      </c>
      <c r="I3843">
        <v>137.50970000000001</v>
      </c>
      <c r="J3843">
        <v>-318.17610000000002</v>
      </c>
      <c r="K3843">
        <v>1.1043319999999901</v>
      </c>
      <c r="L3843">
        <v>137.4359</v>
      </c>
      <c r="M3843">
        <v>-0.99969050000000004</v>
      </c>
      <c r="N3843">
        <v>0</v>
      </c>
      <c r="O3843">
        <v>2.0106929999999999E-2</v>
      </c>
      <c r="P3843">
        <v>-0.9986545</v>
      </c>
      <c r="Q3843">
        <v>1.1836350000000001E-2</v>
      </c>
      <c r="R3843">
        <v>5.0488350000000001E-2</v>
      </c>
      <c r="S3843">
        <v>-2.9913639999999999</v>
      </c>
      <c r="T3843">
        <v>-0.2425409</v>
      </c>
      <c r="U3843">
        <v>0.30722050000000001</v>
      </c>
      <c r="V3843">
        <v>3.0403570000000001E-2</v>
      </c>
      <c r="W3843">
        <v>2.6465490000000001E-2</v>
      </c>
      <c r="X3843">
        <v>0.9991873</v>
      </c>
      <c r="Y3843">
        <v>8.1939869999999998E-2</v>
      </c>
      <c r="Z3843">
        <v>1.684725E-3</v>
      </c>
      <c r="AA3843">
        <v>0.99663590000000002</v>
      </c>
      <c r="AB3843">
        <v>27</v>
      </c>
      <c r="AC3843">
        <v>-0.51159999999998695</v>
      </c>
      <c r="AD3843">
        <v>-6.2343999999999899E-2</v>
      </c>
      <c r="AE3843">
        <v>7.3800000000005597E-2</v>
      </c>
      <c r="AF3843">
        <v>6.2586795881322196E-2</v>
      </c>
      <c r="AG3843">
        <v>-6.2343999999999899E-2</v>
      </c>
      <c r="AH3843">
        <v>0.505625097973599</v>
      </c>
      <c r="AI3843">
        <v>96.976427815460994</v>
      </c>
      <c r="AJ3843">
        <v>82.943761231765706</v>
      </c>
      <c r="AK3843">
        <v>0.51328415235179603</v>
      </c>
    </row>
    <row r="3844" spans="1:37" x14ac:dyDescent="0.2">
      <c r="A3844" t="str">
        <f>"20200111160237867"</f>
        <v>20200111160237867</v>
      </c>
      <c r="B3844" t="str">
        <f>"1578729757856072"</f>
        <v>1578729757856072</v>
      </c>
      <c r="C3844" t="s">
        <v>37</v>
      </c>
      <c r="D3844">
        <v>5.3780549999999998</v>
      </c>
      <c r="E3844">
        <v>0.4616305</v>
      </c>
      <c r="F3844" t="s">
        <v>38</v>
      </c>
      <c r="G3844">
        <v>-334.2912</v>
      </c>
      <c r="H3844" s="1">
        <v>-3.2270810000000001E-6</v>
      </c>
      <c r="I3844">
        <v>136.52690000000001</v>
      </c>
      <c r="J3844">
        <v>-318.43900000000002</v>
      </c>
      <c r="K3844">
        <v>1.1043419999999999</v>
      </c>
      <c r="L3844">
        <v>137.44130000000001</v>
      </c>
      <c r="M3844">
        <v>-0.99968699999999999</v>
      </c>
      <c r="N3844">
        <v>0</v>
      </c>
      <c r="O3844">
        <v>2.023492E-2</v>
      </c>
      <c r="P3844">
        <v>-0.99861639999999996</v>
      </c>
      <c r="Q3844">
        <v>1.2568609999999999E-2</v>
      </c>
      <c r="R3844">
        <v>5.1063629999999999E-2</v>
      </c>
      <c r="S3844">
        <v>-3.0151059999999998</v>
      </c>
      <c r="T3844">
        <v>-0.20661929999999901</v>
      </c>
      <c r="U3844">
        <v>-0.17007449999999999</v>
      </c>
      <c r="V3844">
        <v>3.0851839999999998E-2</v>
      </c>
      <c r="W3844">
        <v>2.7257710000000001E-2</v>
      </c>
      <c r="X3844">
        <v>0.99915219999999905</v>
      </c>
      <c r="Y3844">
        <v>-7.6285690000000003E-2</v>
      </c>
      <c r="Z3844">
        <v>-3.9929420000000002E-3</v>
      </c>
      <c r="AA3844">
        <v>0.99707800000000002</v>
      </c>
      <c r="AB3844">
        <v>27</v>
      </c>
      <c r="AC3844">
        <v>-15.8521999999999</v>
      </c>
      <c r="AD3844">
        <v>-1.1043452270809999</v>
      </c>
      <c r="AE3844">
        <v>-0.91439999999999999</v>
      </c>
      <c r="AF3844">
        <v>-1.2290702824428399</v>
      </c>
      <c r="AG3844">
        <v>-1.1043452270809999</v>
      </c>
      <c r="AH3844">
        <v>15.754243428707399</v>
      </c>
      <c r="AI3844">
        <v>93.997668342566598</v>
      </c>
      <c r="AJ3844">
        <v>94.460905483551699</v>
      </c>
      <c r="AK3844">
        <v>15.8406558623919</v>
      </c>
    </row>
    <row r="3845" spans="1:37" x14ac:dyDescent="0.2">
      <c r="A3845" t="str">
        <f>"20200111160238225"</f>
        <v>20200111160238225</v>
      </c>
      <c r="B3845" t="str">
        <f>"1578729758216216"</f>
        <v>1578729758216216</v>
      </c>
      <c r="C3845" t="s">
        <v>37</v>
      </c>
      <c r="D3845">
        <v>5.4424700000000001</v>
      </c>
      <c r="E3845">
        <v>0.43175239999999998</v>
      </c>
      <c r="F3845" t="s">
        <v>38</v>
      </c>
      <c r="G3845">
        <v>-336.6918</v>
      </c>
      <c r="H3845" s="1">
        <v>-2.111659E-6</v>
      </c>
      <c r="I3845">
        <v>136.41759999999999</v>
      </c>
      <c r="J3845">
        <v>-322.72089999999997</v>
      </c>
      <c r="K3845">
        <v>1.1044969999999901</v>
      </c>
      <c r="L3845">
        <v>137.53460000000001</v>
      </c>
      <c r="M3845">
        <v>-0.99963840000000004</v>
      </c>
      <c r="N3845">
        <v>0</v>
      </c>
      <c r="O3845">
        <v>2.2325149999999998E-2</v>
      </c>
      <c r="P3845">
        <v>-0.99849779999999999</v>
      </c>
      <c r="Q3845">
        <v>1.6691250000000001E-2</v>
      </c>
      <c r="R3845">
        <v>5.2187070000000002E-2</v>
      </c>
      <c r="S3845">
        <v>-3.01513699999999</v>
      </c>
      <c r="T3845">
        <v>-0.182423799999999</v>
      </c>
      <c r="U3845">
        <v>-0.16911319999999999</v>
      </c>
      <c r="V3845">
        <v>2.9888229999999998E-2</v>
      </c>
      <c r="W3845">
        <v>3.1669389999999999E-2</v>
      </c>
      <c r="X3845">
        <v>0.99905140000000003</v>
      </c>
      <c r="Y3845">
        <v>-7.8095590000000006E-2</v>
      </c>
      <c r="Z3845">
        <v>-3.7072070000000001E-3</v>
      </c>
      <c r="AA3845">
        <v>0.99693899999999902</v>
      </c>
      <c r="AB3845">
        <v>26</v>
      </c>
      <c r="AC3845">
        <v>-13.9709</v>
      </c>
      <c r="AD3845">
        <v>-1.1044991116589999</v>
      </c>
      <c r="AE3845">
        <v>-1.11700000000001</v>
      </c>
      <c r="AF3845">
        <v>-1.41984133602635</v>
      </c>
      <c r="AG3845">
        <v>-1.1044991116589999</v>
      </c>
      <c r="AH3845">
        <v>13.8564241906037</v>
      </c>
      <c r="AI3845">
        <v>94.5337854947784</v>
      </c>
      <c r="AJ3845">
        <v>95.850569745007306</v>
      </c>
      <c r="AK3845">
        <v>13.972700492642501</v>
      </c>
    </row>
    <row r="3846" spans="1:37" x14ac:dyDescent="0.2">
      <c r="A3846" t="str">
        <f>"20200111160238246"</f>
        <v>20200111160238246</v>
      </c>
      <c r="B3846" t="str">
        <f>"1578729758235736"</f>
        <v>1578729758235736</v>
      </c>
      <c r="C3846" t="s">
        <v>37</v>
      </c>
      <c r="D3846">
        <v>5.3948900000000002</v>
      </c>
      <c r="E3846">
        <v>0.43315519999999902</v>
      </c>
      <c r="F3846" t="s">
        <v>82</v>
      </c>
      <c r="G3846">
        <v>-461.11020000000002</v>
      </c>
      <c r="H3846">
        <v>4.2518409999999998</v>
      </c>
      <c r="I3846">
        <v>119.8177</v>
      </c>
      <c r="J3846">
        <v>-322.96269999999998</v>
      </c>
      <c r="K3846">
        <v>1.1044940000000001</v>
      </c>
      <c r="L3846">
        <v>137.5401</v>
      </c>
      <c r="M3846">
        <v>-0.99963579999999996</v>
      </c>
      <c r="N3846">
        <v>0</v>
      </c>
      <c r="O3846">
        <v>2.2443640000000001E-2</v>
      </c>
      <c r="P3846">
        <v>-0.99849219999999905</v>
      </c>
      <c r="Q3846">
        <v>1.649225E-2</v>
      </c>
      <c r="R3846">
        <v>5.2359299999999998E-2</v>
      </c>
      <c r="S3846">
        <v>-3.02359</v>
      </c>
      <c r="T3846">
        <v>6.8765039999999999E-2</v>
      </c>
      <c r="U3846">
        <v>-0.38708500000000001</v>
      </c>
      <c r="V3846">
        <v>2.9942110000000001E-2</v>
      </c>
      <c r="W3846">
        <v>3.1469700000000003E-2</v>
      </c>
      <c r="X3846">
        <v>0.9990561</v>
      </c>
      <c r="Y3846">
        <v>-0.149174</v>
      </c>
      <c r="Z3846">
        <v>2.1977110000000002E-3</v>
      </c>
      <c r="AA3846">
        <v>0.98880849999999898</v>
      </c>
      <c r="AB3846">
        <v>26</v>
      </c>
      <c r="AC3846">
        <v>-138.14750000000001</v>
      </c>
      <c r="AD3846">
        <v>3.1473469999999999</v>
      </c>
      <c r="AE3846">
        <v>-17.722399999999901</v>
      </c>
      <c r="AF3846">
        <v>-20.808190351416499</v>
      </c>
      <c r="AG3846">
        <v>3.1473469999999999</v>
      </c>
      <c r="AH3846">
        <v>137.64460763343499</v>
      </c>
      <c r="AI3846">
        <v>88.704828181946795</v>
      </c>
      <c r="AJ3846">
        <v>98.596500443855803</v>
      </c>
      <c r="AK3846">
        <v>139.24411868873099</v>
      </c>
    </row>
    <row r="3847" spans="1:37" x14ac:dyDescent="0.2">
      <c r="A3847" t="str">
        <f>"20200111160238274"</f>
        <v>20200111160238274</v>
      </c>
      <c r="B3847" t="str">
        <f>"1578729758266347"</f>
        <v>1578729758266347</v>
      </c>
      <c r="C3847" t="s">
        <v>37</v>
      </c>
      <c r="D3847">
        <v>6.0946429999999996</v>
      </c>
      <c r="E3847">
        <v>0.42916359999999998</v>
      </c>
      <c r="F3847" t="s">
        <v>82</v>
      </c>
      <c r="G3847">
        <v>-468.47120000000001</v>
      </c>
      <c r="H3847">
        <v>3.241063</v>
      </c>
      <c r="I3847">
        <v>119.395</v>
      </c>
      <c r="J3847">
        <v>-323.27530000000002</v>
      </c>
      <c r="K3847">
        <v>1.104495</v>
      </c>
      <c r="L3847">
        <v>137.54730000000001</v>
      </c>
      <c r="M3847">
        <v>-0.99963219999999997</v>
      </c>
      <c r="N3847">
        <v>0</v>
      </c>
      <c r="O3847">
        <v>2.2596640000000001E-2</v>
      </c>
      <c r="P3847">
        <v>-0.99852819999999998</v>
      </c>
      <c r="Q3847">
        <v>1.6410210000000001E-2</v>
      </c>
      <c r="R3847">
        <v>5.16929E-2</v>
      </c>
      <c r="S3847">
        <v>-3.02359</v>
      </c>
      <c r="T3847">
        <v>4.4397119999999998E-2</v>
      </c>
      <c r="U3847">
        <v>-0.37704470000000001</v>
      </c>
      <c r="V3847">
        <v>2.9122140000000001E-2</v>
      </c>
      <c r="W3847">
        <v>3.1386770000000001E-2</v>
      </c>
      <c r="X3847">
        <v>0.99908299999999906</v>
      </c>
      <c r="Y3847">
        <v>-0.14611859999999999</v>
      </c>
      <c r="Z3847">
        <v>1.3992099999999999E-3</v>
      </c>
      <c r="AA3847">
        <v>0.98926610000000004</v>
      </c>
      <c r="AB3847">
        <v>26</v>
      </c>
      <c r="AC3847">
        <v>-145.19589999999999</v>
      </c>
      <c r="AD3847">
        <v>2.136568</v>
      </c>
      <c r="AE3847">
        <v>-18.1523</v>
      </c>
      <c r="AF3847">
        <v>-21.424404719098401</v>
      </c>
      <c r="AG3847">
        <v>2.136568</v>
      </c>
      <c r="AH3847">
        <v>144.717736742266</v>
      </c>
      <c r="AI3847">
        <v>89.163282254195593</v>
      </c>
      <c r="AJ3847">
        <v>98.421057043250599</v>
      </c>
      <c r="AK3847">
        <v>146.31060579530799</v>
      </c>
    </row>
    <row r="3848" spans="1:37" x14ac:dyDescent="0.2">
      <c r="A3848" t="str">
        <f>"20200111160238293"</f>
        <v>20200111160238293</v>
      </c>
      <c r="B3848" t="str">
        <f>"1578729758285867"</f>
        <v>1578729758285867</v>
      </c>
      <c r="C3848" t="s">
        <v>37</v>
      </c>
      <c r="D3848">
        <v>5.4541370000000002</v>
      </c>
      <c r="E3848">
        <v>0.42987589999999998</v>
      </c>
      <c r="F3848" t="s">
        <v>82</v>
      </c>
      <c r="G3848">
        <v>-458.1798</v>
      </c>
      <c r="H3848">
        <v>5.6082960000000002</v>
      </c>
      <c r="I3848">
        <v>119.395</v>
      </c>
      <c r="J3848">
        <v>-323.50720000000001</v>
      </c>
      <c r="K3848">
        <v>1.1044940000000001</v>
      </c>
      <c r="L3848">
        <v>137.55269999999999</v>
      </c>
      <c r="M3848">
        <v>-0.99962969999999896</v>
      </c>
      <c r="N3848">
        <v>0</v>
      </c>
      <c r="O3848">
        <v>2.2710310000000001E-2</v>
      </c>
      <c r="P3848">
        <v>-0.99855869999999902</v>
      </c>
      <c r="Q3848">
        <v>1.6334370000000001E-2</v>
      </c>
      <c r="R3848">
        <v>5.1125450000000003E-2</v>
      </c>
      <c r="S3848">
        <v>-3.0238339999999999</v>
      </c>
      <c r="T3848">
        <v>0.100951399999999</v>
      </c>
      <c r="U3848">
        <v>-0.4068756</v>
      </c>
      <c r="V3848">
        <v>2.8440440000000001E-2</v>
      </c>
      <c r="W3848">
        <v>3.130956E-2</v>
      </c>
      <c r="X3848">
        <v>0.99910499999999902</v>
      </c>
      <c r="Y3848">
        <v>-0.15573229999999999</v>
      </c>
      <c r="Z3848">
        <v>3.3421129999999999E-3</v>
      </c>
      <c r="AA3848">
        <v>0.98779359999999905</v>
      </c>
      <c r="AB3848">
        <v>26</v>
      </c>
      <c r="AC3848">
        <v>-134.67259999999999</v>
      </c>
      <c r="AD3848">
        <v>4.5038019999999896</v>
      </c>
      <c r="AE3848">
        <v>-18.157699999999899</v>
      </c>
      <c r="AF3848">
        <v>-21.188541701843</v>
      </c>
      <c r="AG3848">
        <v>4.5038019999999896</v>
      </c>
      <c r="AH3848">
        <v>134.078168397849</v>
      </c>
      <c r="AI3848">
        <v>88.099673758473202</v>
      </c>
      <c r="AJ3848">
        <v>98.980258306730605</v>
      </c>
      <c r="AK3848">
        <v>135.81676543353501</v>
      </c>
    </row>
    <row r="3849" spans="1:37" x14ac:dyDescent="0.2">
      <c r="A3849" t="str">
        <f>"20200111160238317"</f>
        <v>20200111160238317</v>
      </c>
      <c r="B3849" t="str">
        <f>"1578729758306363"</f>
        <v>1578729758306363</v>
      </c>
      <c r="C3849" t="s">
        <v>37</v>
      </c>
      <c r="D3849">
        <v>6.1076860000000002</v>
      </c>
      <c r="E3849">
        <v>0.4303207</v>
      </c>
      <c r="F3849" t="s">
        <v>82</v>
      </c>
      <c r="G3849">
        <v>-459.6979</v>
      </c>
      <c r="H3849">
        <v>5.4989530000000002</v>
      </c>
      <c r="I3849">
        <v>119.395</v>
      </c>
      <c r="J3849">
        <v>-323.78280000000001</v>
      </c>
      <c r="K3849">
        <v>1.1044989999999999</v>
      </c>
      <c r="L3849">
        <v>137.5591</v>
      </c>
      <c r="M3849">
        <v>-0.99962659999999903</v>
      </c>
      <c r="N3849">
        <v>0</v>
      </c>
      <c r="O3849">
        <v>2.2845150000000002E-2</v>
      </c>
      <c r="P3849">
        <v>-0.99857969999999896</v>
      </c>
      <c r="Q3849">
        <v>1.56706E-2</v>
      </c>
      <c r="R3849">
        <v>5.0923400000000001E-2</v>
      </c>
      <c r="S3849">
        <v>-3.0233759999999998</v>
      </c>
      <c r="T3849">
        <v>9.7555520000000007E-2</v>
      </c>
      <c r="U3849">
        <v>-0.40309139999999999</v>
      </c>
      <c r="V3849">
        <v>2.8103059999999999E-2</v>
      </c>
      <c r="W3849">
        <v>3.0642780000000001E-2</v>
      </c>
      <c r="X3849">
        <v>0.99913529999999995</v>
      </c>
      <c r="Y3849">
        <v>-0.1546775</v>
      </c>
      <c r="Z3849">
        <v>3.2178889999999998E-3</v>
      </c>
      <c r="AA3849">
        <v>0.98795979999999906</v>
      </c>
      <c r="AB3849">
        <v>26</v>
      </c>
      <c r="AC3849">
        <v>-135.9151</v>
      </c>
      <c r="AD3849">
        <v>4.3944539999999996</v>
      </c>
      <c r="AE3849">
        <v>-18.164100000000001</v>
      </c>
      <c r="AF3849">
        <v>-21.242890990775699</v>
      </c>
      <c r="AG3849">
        <v>4.3944539999999996</v>
      </c>
      <c r="AH3849">
        <v>135.325627602195</v>
      </c>
      <c r="AI3849">
        <v>88.1625623273423</v>
      </c>
      <c r="AJ3849">
        <v>98.921266351801407</v>
      </c>
      <c r="AK3849">
        <v>137.05326384122401</v>
      </c>
    </row>
    <row r="3850" spans="1:37" x14ac:dyDescent="0.2">
      <c r="A3850" t="str">
        <f>"20200111160238337"</f>
        <v>20200111160238337</v>
      </c>
      <c r="B3850" t="str">
        <f>"1578729758325884"</f>
        <v>1578729758325884</v>
      </c>
      <c r="C3850" t="s">
        <v>37</v>
      </c>
      <c r="D3850">
        <v>6.3599500000000004</v>
      </c>
      <c r="E3850">
        <v>0.42984149999999999</v>
      </c>
      <c r="F3850" t="s">
        <v>82</v>
      </c>
      <c r="G3850">
        <v>-460.9443</v>
      </c>
      <c r="H3850">
        <v>5.3180399999999999</v>
      </c>
      <c r="I3850">
        <v>119.395</v>
      </c>
      <c r="J3850">
        <v>-324.02850000000001</v>
      </c>
      <c r="K3850">
        <v>1.1045069999999999</v>
      </c>
      <c r="L3850">
        <v>137.56479999999999</v>
      </c>
      <c r="M3850">
        <v>-0.99962410000000002</v>
      </c>
      <c r="N3850">
        <v>0</v>
      </c>
      <c r="O3850">
        <v>2.2965340000000001E-2</v>
      </c>
      <c r="P3850">
        <v>-0.99855919999999898</v>
      </c>
      <c r="Q3850">
        <v>1.5646960000000001E-2</v>
      </c>
      <c r="R3850">
        <v>5.1330729999999998E-2</v>
      </c>
      <c r="S3850">
        <v>-3.0232239999999999</v>
      </c>
      <c r="T3850">
        <v>9.2872620000000003E-2</v>
      </c>
      <c r="U3850">
        <v>-0.400360099999999</v>
      </c>
      <c r="V3850">
        <v>2.8390450000000001E-2</v>
      </c>
      <c r="W3850">
        <v>3.0616089999999999E-2</v>
      </c>
      <c r="X3850">
        <v>0.99912789999999996</v>
      </c>
      <c r="Y3850">
        <v>-0.1539345</v>
      </c>
      <c r="Z3850">
        <v>3.0561459999999901E-3</v>
      </c>
      <c r="AA3850">
        <v>0.98807630000000002</v>
      </c>
      <c r="AB3850">
        <v>26</v>
      </c>
      <c r="AC3850">
        <v>-136.91579999999999</v>
      </c>
      <c r="AD3850">
        <v>4.213533</v>
      </c>
      <c r="AE3850">
        <v>-18.169799999999899</v>
      </c>
      <c r="AF3850">
        <v>-21.2898631700963</v>
      </c>
      <c r="AG3850">
        <v>4.213533</v>
      </c>
      <c r="AH3850">
        <v>136.33547387096999</v>
      </c>
      <c r="AI3850">
        <v>88.250984874362999</v>
      </c>
      <c r="AJ3850">
        <v>98.875508667291101</v>
      </c>
      <c r="AK3850">
        <v>138.052068328459</v>
      </c>
    </row>
    <row r="3851" spans="1:37" x14ac:dyDescent="0.2">
      <c r="A3851" t="str">
        <f>"20200111160238360"</f>
        <v>20200111160238360</v>
      </c>
      <c r="B3851" t="str">
        <f>"1578729758356141"</f>
        <v>1578729758356141</v>
      </c>
      <c r="C3851" t="s">
        <v>37</v>
      </c>
      <c r="D3851">
        <v>5.4438190000000004</v>
      </c>
      <c r="E3851">
        <v>0.43080950000000001</v>
      </c>
      <c r="F3851" t="s">
        <v>82</v>
      </c>
      <c r="G3851">
        <v>-460.84469999999999</v>
      </c>
      <c r="H3851">
        <v>6.2843730000000004</v>
      </c>
      <c r="I3851">
        <v>119.395</v>
      </c>
      <c r="J3851">
        <v>-324.27910000000003</v>
      </c>
      <c r="K3851">
        <v>1.104514</v>
      </c>
      <c r="L3851">
        <v>137.57069999999999</v>
      </c>
      <c r="M3851">
        <v>-0.99962119999999999</v>
      </c>
      <c r="N3851">
        <v>0</v>
      </c>
      <c r="O3851">
        <v>2.3088020000000001E-2</v>
      </c>
      <c r="P3851">
        <v>-0.99852929999999995</v>
      </c>
      <c r="Q3851">
        <v>1.5732360000000001E-2</v>
      </c>
      <c r="R3851">
        <v>5.1886109999999999E-2</v>
      </c>
      <c r="S3851">
        <v>-3.0231629999999998</v>
      </c>
      <c r="T3851">
        <v>0.114457399999999</v>
      </c>
      <c r="U3851">
        <v>-0.40148929999999999</v>
      </c>
      <c r="V3851">
        <v>2.882386E-2</v>
      </c>
      <c r="W3851">
        <v>3.0697599999999998E-2</v>
      </c>
      <c r="X3851">
        <v>0.99911299999999903</v>
      </c>
      <c r="Y3851">
        <v>-0.15437799999999999</v>
      </c>
      <c r="Z3851">
        <v>3.7789439999999998E-3</v>
      </c>
      <c r="AA3851">
        <v>0.98800460000000001</v>
      </c>
      <c r="AB3851">
        <v>26</v>
      </c>
      <c r="AC3851">
        <v>-136.56559999999899</v>
      </c>
      <c r="AD3851">
        <v>5.1798590000000004</v>
      </c>
      <c r="AE3851">
        <v>-18.1756999999999</v>
      </c>
      <c r="AF3851">
        <v>-21.294135584068599</v>
      </c>
      <c r="AG3851">
        <v>5.1798590000000004</v>
      </c>
      <c r="AH3851">
        <v>135.91736701374299</v>
      </c>
      <c r="AI3851">
        <v>87.843770812622594</v>
      </c>
      <c r="AJ3851">
        <v>98.904132606896397</v>
      </c>
      <c r="AK3851">
        <v>137.672807066178</v>
      </c>
    </row>
    <row r="3852" spans="1:37" x14ac:dyDescent="0.2">
      <c r="A3852" t="str">
        <f>"20200111160238383"</f>
        <v>20200111160238383</v>
      </c>
      <c r="B3852" t="str">
        <f>"1578729758375660"</f>
        <v>1578729758375660</v>
      </c>
      <c r="C3852" t="s">
        <v>37</v>
      </c>
      <c r="D3852">
        <v>5.54725</v>
      </c>
      <c r="E3852">
        <v>0.43166660000000001</v>
      </c>
      <c r="F3852" t="s">
        <v>82</v>
      </c>
      <c r="G3852">
        <v>-461.03219999999999</v>
      </c>
      <c r="H3852">
        <v>5.9745749999999997</v>
      </c>
      <c r="I3852">
        <v>119.816</v>
      </c>
      <c r="J3852">
        <v>-324.56079999999997</v>
      </c>
      <c r="K3852">
        <v>1.1045180000000001</v>
      </c>
      <c r="L3852">
        <v>137.57740000000001</v>
      </c>
      <c r="M3852">
        <v>-0.99961809999999995</v>
      </c>
      <c r="N3852">
        <v>0</v>
      </c>
      <c r="O3852">
        <v>2.322579E-2</v>
      </c>
      <c r="P3852">
        <v>-0.99853630000000004</v>
      </c>
      <c r="Q3852">
        <v>1.684927E-2</v>
      </c>
      <c r="R3852">
        <v>5.1393950000000001E-2</v>
      </c>
      <c r="S3852">
        <v>-3.023193</v>
      </c>
      <c r="T3852">
        <v>0.1076627</v>
      </c>
      <c r="U3852">
        <v>-0.39250180000000001</v>
      </c>
      <c r="V3852">
        <v>2.8194179999999999E-2</v>
      </c>
      <c r="W3852">
        <v>3.1810459999999999E-2</v>
      </c>
      <c r="X3852">
        <v>0.99909619999999999</v>
      </c>
      <c r="Y3852">
        <v>-0.1516409</v>
      </c>
      <c r="Z3852">
        <v>3.511765E-3</v>
      </c>
      <c r="AA3852">
        <v>0.98842940000000001</v>
      </c>
      <c r="AB3852">
        <v>26</v>
      </c>
      <c r="AC3852">
        <v>-136.47139999999999</v>
      </c>
      <c r="AD3852">
        <v>4.8700569999999903</v>
      </c>
      <c r="AE3852">
        <v>-17.761399999999998</v>
      </c>
      <c r="AF3852">
        <v>-20.900446648543902</v>
      </c>
      <c r="AG3852">
        <v>4.8700569999999903</v>
      </c>
      <c r="AH3852">
        <v>135.851888905826</v>
      </c>
      <c r="AI3852">
        <v>87.970777896426895</v>
      </c>
      <c r="AJ3852">
        <v>98.746226554224705</v>
      </c>
      <c r="AK3852">
        <v>137.536474597005</v>
      </c>
    </row>
    <row r="3853" spans="1:37" x14ac:dyDescent="0.2">
      <c r="A3853" t="str">
        <f>"20200111160238404"</f>
        <v>20200111160238404</v>
      </c>
      <c r="B3853" t="str">
        <f>"1578729758396155"</f>
        <v>1578729758396155</v>
      </c>
      <c r="C3853" t="s">
        <v>37</v>
      </c>
      <c r="D3853">
        <v>5.4903199999999996</v>
      </c>
      <c r="E3853">
        <v>0.4326643</v>
      </c>
      <c r="F3853" t="s">
        <v>82</v>
      </c>
      <c r="G3853">
        <v>-462.73070000000001</v>
      </c>
      <c r="H3853">
        <v>5.3226599999999999</v>
      </c>
      <c r="I3853">
        <v>119.8177</v>
      </c>
      <c r="J3853">
        <v>-324.80770000000001</v>
      </c>
      <c r="K3853">
        <v>1.1045240000000001</v>
      </c>
      <c r="L3853">
        <v>137.58330000000001</v>
      </c>
      <c r="M3853">
        <v>-0.99961529999999998</v>
      </c>
      <c r="N3853">
        <v>0</v>
      </c>
      <c r="O3853">
        <v>2.3346809999999999E-2</v>
      </c>
      <c r="P3853">
        <v>-0.99857719999999905</v>
      </c>
      <c r="Q3853">
        <v>1.8322169999999999E-2</v>
      </c>
      <c r="R3853">
        <v>5.0078839999999999E-2</v>
      </c>
      <c r="S3853">
        <v>-3.0227970000000002</v>
      </c>
      <c r="T3853">
        <v>9.2282409999999995E-2</v>
      </c>
      <c r="U3853">
        <v>-0.3885345</v>
      </c>
      <c r="V3853">
        <v>2.6757779999999998E-2</v>
      </c>
      <c r="W3853">
        <v>3.3279780000000002E-2</v>
      </c>
      <c r="X3853">
        <v>0.99908779999999997</v>
      </c>
      <c r="Y3853">
        <v>-0.15053039999999901</v>
      </c>
      <c r="Z3853">
        <v>2.997783E-3</v>
      </c>
      <c r="AA3853">
        <v>0.9886009</v>
      </c>
      <c r="AB3853">
        <v>26</v>
      </c>
      <c r="AC3853">
        <v>-137.923</v>
      </c>
      <c r="AD3853">
        <v>4.2181359999999897</v>
      </c>
      <c r="AE3853">
        <v>-17.765599999999999</v>
      </c>
      <c r="AF3853">
        <v>-20.961893118274599</v>
      </c>
      <c r="AG3853">
        <v>4.2181359999999897</v>
      </c>
      <c r="AH3853">
        <v>137.344214359418</v>
      </c>
      <c r="AI3853">
        <v>88.261001190705201</v>
      </c>
      <c r="AJ3853">
        <v>98.677691427948304</v>
      </c>
      <c r="AK3853">
        <v>138.998657736045</v>
      </c>
    </row>
    <row r="3854" spans="1:37" x14ac:dyDescent="0.2">
      <c r="A3854" t="str">
        <f>"20200111160238426"</f>
        <v>20200111160238426</v>
      </c>
      <c r="B3854" t="str">
        <f>"1578729758415676"</f>
        <v>1578729758415676</v>
      </c>
      <c r="C3854" t="s">
        <v>37</v>
      </c>
      <c r="D3854">
        <v>5.4177099999999996</v>
      </c>
      <c r="E3854">
        <v>0.43328889999999998</v>
      </c>
      <c r="F3854" t="s">
        <v>82</v>
      </c>
      <c r="G3854">
        <v>-467.32740000000001</v>
      </c>
      <c r="H3854">
        <v>4.9356249999999999</v>
      </c>
      <c r="I3854">
        <v>119.395</v>
      </c>
      <c r="J3854">
        <v>-325.05689999999998</v>
      </c>
      <c r="K3854">
        <v>1.104525</v>
      </c>
      <c r="L3854">
        <v>137.58920000000001</v>
      </c>
      <c r="M3854">
        <v>-0.99961250000000001</v>
      </c>
      <c r="N3854">
        <v>0</v>
      </c>
      <c r="O3854">
        <v>2.346908E-2</v>
      </c>
      <c r="P3854">
        <v>-0.99861160000000004</v>
      </c>
      <c r="Q3854">
        <v>1.9427900000000001E-2</v>
      </c>
      <c r="R3854">
        <v>4.8963989999999999E-2</v>
      </c>
      <c r="S3854">
        <v>-3.022125</v>
      </c>
      <c r="T3854">
        <v>8.1239099999999995E-2</v>
      </c>
      <c r="U3854">
        <v>-0.3856812</v>
      </c>
      <c r="V3854">
        <v>2.552041E-2</v>
      </c>
      <c r="W3854">
        <v>3.4381589999999997E-2</v>
      </c>
      <c r="X3854">
        <v>0.9990829</v>
      </c>
      <c r="Y3854">
        <v>-0.14977879999999999</v>
      </c>
      <c r="Z3854">
        <v>2.6331309999999999E-3</v>
      </c>
      <c r="AA3854">
        <v>0.98871600000000004</v>
      </c>
      <c r="AB3854">
        <v>26</v>
      </c>
      <c r="AC3854">
        <v>-142.2705</v>
      </c>
      <c r="AD3854">
        <v>3.8311000000000002</v>
      </c>
      <c r="AE3854">
        <v>-18.194199999999999</v>
      </c>
      <c r="AF3854">
        <v>-21.513170511382398</v>
      </c>
      <c r="AG3854">
        <v>3.8311000000000002</v>
      </c>
      <c r="AH3854">
        <v>141.70315560845299</v>
      </c>
      <c r="AI3854">
        <v>88.468859630296095</v>
      </c>
      <c r="AJ3854">
        <v>98.632641904126501</v>
      </c>
      <c r="AK3854">
        <v>143.37809505658601</v>
      </c>
    </row>
    <row r="3855" spans="1:37" x14ac:dyDescent="0.2">
      <c r="A3855" t="str">
        <f>"20200111160238449"</f>
        <v>20200111160238449</v>
      </c>
      <c r="B3855" t="str">
        <f>"1578729758445932"</f>
        <v>1578729758445932</v>
      </c>
      <c r="C3855" t="s">
        <v>37</v>
      </c>
      <c r="D3855">
        <v>5.6728269999999998</v>
      </c>
      <c r="E3855">
        <v>0.43416059999999901</v>
      </c>
      <c r="F3855" t="s">
        <v>82</v>
      </c>
      <c r="G3855">
        <v>-467.89699999999999</v>
      </c>
      <c r="H3855">
        <v>4.4468129999999997</v>
      </c>
      <c r="I3855">
        <v>119.395</v>
      </c>
      <c r="J3855">
        <v>-325.31560000000002</v>
      </c>
      <c r="K3855">
        <v>1.1045290000000001</v>
      </c>
      <c r="L3855">
        <v>137.59549999999999</v>
      </c>
      <c r="M3855">
        <v>-0.99960949999999904</v>
      </c>
      <c r="N3855">
        <v>0</v>
      </c>
      <c r="O3855">
        <v>2.359636E-2</v>
      </c>
      <c r="P3855">
        <v>-0.99859140000000002</v>
      </c>
      <c r="Q3855">
        <v>1.817394E-2</v>
      </c>
      <c r="R3855">
        <v>4.984823E-2</v>
      </c>
      <c r="S3855">
        <v>-3.02169799999999</v>
      </c>
      <c r="T3855">
        <v>7.0704459999999997E-2</v>
      </c>
      <c r="U3855">
        <v>-0.3848877</v>
      </c>
      <c r="V3855">
        <v>2.6277160000000001E-2</v>
      </c>
      <c r="W3855">
        <v>3.3122510000000001E-2</v>
      </c>
      <c r="X3855">
        <v>0.99910580000000004</v>
      </c>
      <c r="Y3855">
        <v>-0.1496817</v>
      </c>
      <c r="Z3855">
        <v>2.2939760000000001E-3</v>
      </c>
      <c r="AA3855">
        <v>0.98873159999999904</v>
      </c>
      <c r="AB3855">
        <v>26</v>
      </c>
      <c r="AC3855">
        <v>-142.58139999999901</v>
      </c>
      <c r="AD3855">
        <v>3.3422839999999998</v>
      </c>
      <c r="AE3855">
        <v>-18.200499999999899</v>
      </c>
      <c r="AF3855">
        <v>-21.548559362778199</v>
      </c>
      <c r="AG3855">
        <v>3.3422839999999998</v>
      </c>
      <c r="AH3855">
        <v>142.035382202823</v>
      </c>
      <c r="AI3855">
        <v>88.667246797657398</v>
      </c>
      <c r="AJ3855">
        <v>98.626707825850303</v>
      </c>
      <c r="AK3855">
        <v>143.69955139265301</v>
      </c>
    </row>
    <row r="3856" spans="1:37" x14ac:dyDescent="0.2">
      <c r="A3856" t="str">
        <f>"20200111160238472"</f>
        <v>20200111160238472</v>
      </c>
      <c r="B3856" t="str">
        <f>"1578729758466427"</f>
        <v>1578729758466427</v>
      </c>
      <c r="C3856" t="s">
        <v>37</v>
      </c>
      <c r="D3856">
        <v>5.3760069999999898</v>
      </c>
      <c r="E3856">
        <v>0.43483630000000001</v>
      </c>
      <c r="F3856" t="s">
        <v>82</v>
      </c>
      <c r="G3856">
        <v>-470.8775</v>
      </c>
      <c r="H3856">
        <v>3.482237</v>
      </c>
      <c r="I3856">
        <v>119.46729999999999</v>
      </c>
      <c r="J3856">
        <v>-325.58010000000002</v>
      </c>
      <c r="K3856">
        <v>1.104517</v>
      </c>
      <c r="L3856">
        <v>137.6019</v>
      </c>
      <c r="M3856">
        <v>-0.99960659999999901</v>
      </c>
      <c r="N3856">
        <v>0</v>
      </c>
      <c r="O3856">
        <v>2.3725489999999998E-2</v>
      </c>
      <c r="P3856">
        <v>-0.9984556</v>
      </c>
      <c r="Q3856">
        <v>1.486059E-2</v>
      </c>
      <c r="R3856">
        <v>5.352983E-2</v>
      </c>
      <c r="S3856">
        <v>-3.022125</v>
      </c>
      <c r="T3856">
        <v>4.9366E-2</v>
      </c>
      <c r="U3856">
        <v>-0.37637329999999902</v>
      </c>
      <c r="V3856">
        <v>2.9831010000000002E-2</v>
      </c>
      <c r="W3856">
        <v>2.980346E-2</v>
      </c>
      <c r="X3856">
        <v>0.99911049999999901</v>
      </c>
      <c r="Y3856">
        <v>-0.1470736</v>
      </c>
      <c r="Z3856">
        <v>1.582707E-3</v>
      </c>
      <c r="AA3856">
        <v>0.98912429999999996</v>
      </c>
      <c r="AB3856">
        <v>26</v>
      </c>
      <c r="AC3856">
        <v>-145.29739999999899</v>
      </c>
      <c r="AD3856">
        <v>2.3777200000000001</v>
      </c>
      <c r="AE3856">
        <v>-18.134599999999999</v>
      </c>
      <c r="AF3856">
        <v>-21.5714437360337</v>
      </c>
      <c r="AG3856">
        <v>2.3777200000000001</v>
      </c>
      <c r="AH3856">
        <v>144.788011744893</v>
      </c>
      <c r="AI3856">
        <v>89.069438113934893</v>
      </c>
      <c r="AJ3856">
        <v>98.473959766564505</v>
      </c>
      <c r="AK3856">
        <v>146.40542709303699</v>
      </c>
    </row>
    <row r="3857" spans="1:37" x14ac:dyDescent="0.2">
      <c r="A3857" t="str">
        <f>"20200111160238494"</f>
        <v>20200111160238494</v>
      </c>
      <c r="B3857" t="str">
        <f>"1578729758485947"</f>
        <v>1578729758485947</v>
      </c>
      <c r="C3857" t="s">
        <v>37</v>
      </c>
      <c r="D3857">
        <v>5.4474679999999998</v>
      </c>
      <c r="E3857">
        <v>0.435395799999999</v>
      </c>
      <c r="F3857" t="s">
        <v>43</v>
      </c>
      <c r="G3857">
        <v>0</v>
      </c>
      <c r="H3857">
        <v>0</v>
      </c>
      <c r="I3857">
        <v>0</v>
      </c>
      <c r="J3857">
        <v>-325.83929999999998</v>
      </c>
      <c r="K3857">
        <v>1.1045020000000001</v>
      </c>
      <c r="L3857">
        <v>137.60820000000001</v>
      </c>
      <c r="M3857">
        <v>-0.99960380000000004</v>
      </c>
      <c r="N3857">
        <v>0</v>
      </c>
      <c r="O3857">
        <v>2.38464E-2</v>
      </c>
      <c r="P3857">
        <v>-0.99821839999999995</v>
      </c>
      <c r="Q3857">
        <v>1.1263759999999999E-2</v>
      </c>
      <c r="R3857">
        <v>5.8593729999999997E-2</v>
      </c>
      <c r="S3857">
        <v>-3.0234380000000001</v>
      </c>
      <c r="T3857">
        <v>3.238916E-2</v>
      </c>
      <c r="U3857">
        <v>-0.36003109999999999</v>
      </c>
      <c r="V3857">
        <v>3.4777099999999998E-2</v>
      </c>
      <c r="W3857">
        <v>2.6199030000000002E-2</v>
      </c>
      <c r="X3857">
        <v>0.99905159999999904</v>
      </c>
      <c r="Y3857">
        <v>-0.14188339999999999</v>
      </c>
      <c r="Z3857">
        <v>1.011933E-3</v>
      </c>
      <c r="AA3857">
        <v>0.98988290000000001</v>
      </c>
      <c r="AB3857">
        <v>26</v>
      </c>
      <c r="AC3857">
        <v>-3.0234380000000001</v>
      </c>
      <c r="AD3857">
        <v>3.238916E-2</v>
      </c>
      <c r="AE3857">
        <v>-0.36003109999999999</v>
      </c>
      <c r="AF3857">
        <v>-0.43198598779983199</v>
      </c>
      <c r="AG3857">
        <v>3.238916E-2</v>
      </c>
      <c r="AH3857">
        <v>3.0136506233895699</v>
      </c>
      <c r="AI3857">
        <v>89.390468051236198</v>
      </c>
      <c r="AJ3857">
        <v>98.157386273584805</v>
      </c>
      <c r="AK3857">
        <v>3.0446265832113499</v>
      </c>
    </row>
    <row r="3858" spans="1:37" x14ac:dyDescent="0.2">
      <c r="A3858" t="str">
        <f>"20200111160238516"</f>
        <v>20200111160238516</v>
      </c>
      <c r="B3858" t="str">
        <f>"1578729758506443"</f>
        <v>1578729758506443</v>
      </c>
      <c r="C3858" t="s">
        <v>37</v>
      </c>
      <c r="D3858">
        <v>5.4201519999999999</v>
      </c>
      <c r="E3858">
        <v>0.435693099999999</v>
      </c>
      <c r="F3858" t="s">
        <v>43</v>
      </c>
      <c r="G3858">
        <v>0</v>
      </c>
      <c r="H3858">
        <v>0</v>
      </c>
      <c r="I3858">
        <v>0</v>
      </c>
      <c r="J3858">
        <v>-326.08550000000002</v>
      </c>
      <c r="K3858">
        <v>1.1044889999999901</v>
      </c>
      <c r="L3858">
        <v>137.61429999999999</v>
      </c>
      <c r="M3858">
        <v>-0.99960139999999997</v>
      </c>
      <c r="N3858">
        <v>0</v>
      </c>
      <c r="O3858">
        <v>2.3952419999999999E-2</v>
      </c>
      <c r="P3858">
        <v>-0.99801039999999996</v>
      </c>
      <c r="Q3858">
        <v>9.7361730000000007E-3</v>
      </c>
      <c r="R3858">
        <v>6.2297819999999997E-2</v>
      </c>
      <c r="S3858">
        <v>-3.0251769999999998</v>
      </c>
      <c r="T3858">
        <v>1.324666E-2</v>
      </c>
      <c r="U3858">
        <v>-0.34086609999999901</v>
      </c>
      <c r="V3858">
        <v>3.8378450000000001E-2</v>
      </c>
      <c r="W3858">
        <v>2.466411E-2</v>
      </c>
      <c r="X3858">
        <v>0.99895879999999904</v>
      </c>
      <c r="Y3858">
        <v>-0.13573869999999999</v>
      </c>
      <c r="Z3858">
        <v>4.0083879999999999E-4</v>
      </c>
      <c r="AA3858">
        <v>0.99074459999999998</v>
      </c>
      <c r="AB3858">
        <v>26</v>
      </c>
      <c r="AC3858">
        <v>-3.0251769999999998</v>
      </c>
      <c r="AD3858">
        <v>1.324666E-2</v>
      </c>
      <c r="AE3858">
        <v>-0.34086609999999901</v>
      </c>
      <c r="AF3858">
        <v>-0.41322886210187598</v>
      </c>
      <c r="AG3858">
        <v>1.324666E-2</v>
      </c>
      <c r="AH3858">
        <v>3.01608629666802</v>
      </c>
      <c r="AI3858">
        <v>89.750687432137994</v>
      </c>
      <c r="AJ3858">
        <v>97.801425203394402</v>
      </c>
      <c r="AK3858">
        <v>3.04429139791575</v>
      </c>
    </row>
    <row r="3859" spans="1:37" x14ac:dyDescent="0.2">
      <c r="A3859" t="str">
        <f>"20200111160238874"</f>
        <v>20200111160238874</v>
      </c>
      <c r="B3859" t="str">
        <f>"1578729758866587"</f>
        <v>1578729758866587</v>
      </c>
      <c r="C3859" t="s">
        <v>37</v>
      </c>
      <c r="D3859">
        <v>5.6484800000000002</v>
      </c>
      <c r="E3859">
        <v>0.40429939999999998</v>
      </c>
      <c r="F3859" t="s">
        <v>43</v>
      </c>
      <c r="G3859">
        <v>0</v>
      </c>
      <c r="H3859">
        <v>0</v>
      </c>
      <c r="I3859">
        <v>0</v>
      </c>
      <c r="J3859">
        <v>-330.11590000000001</v>
      </c>
      <c r="K3859">
        <v>1.1050329999999999</v>
      </c>
      <c r="L3859">
        <v>137.69990000000001</v>
      </c>
      <c r="M3859">
        <v>-0.99971900000000002</v>
      </c>
      <c r="N3859">
        <v>0</v>
      </c>
      <c r="O3859">
        <v>1.847648E-2</v>
      </c>
      <c r="P3859">
        <v>-0.99804539999999997</v>
      </c>
      <c r="Q3859">
        <v>9.2574319999999995E-3</v>
      </c>
      <c r="R3859">
        <v>6.1806979999999997E-2</v>
      </c>
      <c r="S3859">
        <v>-3.0264279999999899</v>
      </c>
      <c r="T3859">
        <v>4.5244689999999997E-3</v>
      </c>
      <c r="U3859">
        <v>-0.32757570000000003</v>
      </c>
      <c r="V3859">
        <v>4.3327089999999999E-2</v>
      </c>
      <c r="W3859">
        <v>2.415167E-2</v>
      </c>
      <c r="X3859">
        <v>0.99876900000000002</v>
      </c>
      <c r="Y3859">
        <v>-0.12596260000000001</v>
      </c>
      <c r="Z3859">
        <v>1.21432299999999E-4</v>
      </c>
      <c r="AA3859">
        <v>0.992035</v>
      </c>
      <c r="AB3859">
        <v>25</v>
      </c>
      <c r="AC3859">
        <v>-3.0264279999999899</v>
      </c>
      <c r="AD3859">
        <v>4.5244689999999997E-3</v>
      </c>
      <c r="AE3859">
        <v>-0.32757570000000003</v>
      </c>
      <c r="AF3859">
        <v>-0.38344282538117203</v>
      </c>
      <c r="AG3859">
        <v>4.5244689999999997E-3</v>
      </c>
      <c r="AH3859">
        <v>3.0198514759130699</v>
      </c>
      <c r="AI3859">
        <v>89.914840847606101</v>
      </c>
      <c r="AJ3859">
        <v>97.2363548101237</v>
      </c>
      <c r="AK3859">
        <v>3.04410114939212</v>
      </c>
    </row>
    <row r="3860" spans="1:37" x14ac:dyDescent="0.2">
      <c r="A3860" t="str">
        <f>"20200111160238895"</f>
        <v>20200111160238895</v>
      </c>
      <c r="B3860" t="str">
        <f>"1578729758886107"</f>
        <v>1578729758886107</v>
      </c>
      <c r="C3860" t="s">
        <v>37</v>
      </c>
      <c r="D3860">
        <v>5.7678050000000001</v>
      </c>
      <c r="E3860">
        <v>0.48044579999999998</v>
      </c>
      <c r="F3860" t="s">
        <v>82</v>
      </c>
      <c r="G3860">
        <v>-439.84660000000002</v>
      </c>
      <c r="H3860">
        <v>6.9623200000000001</v>
      </c>
      <c r="I3860">
        <v>117.1889</v>
      </c>
      <c r="J3860">
        <v>-330.35640000000001</v>
      </c>
      <c r="K3860">
        <v>1.10503</v>
      </c>
      <c r="L3860">
        <v>137.70359999999999</v>
      </c>
      <c r="M3860">
        <v>-0.99973120000000004</v>
      </c>
      <c r="N3860">
        <v>0</v>
      </c>
      <c r="O3860">
        <v>1.7803309999999999E-2</v>
      </c>
      <c r="P3860">
        <v>-0.99813980000000002</v>
      </c>
      <c r="Q3860">
        <v>8.5670650000000004E-3</v>
      </c>
      <c r="R3860">
        <v>6.0363149999999997E-2</v>
      </c>
      <c r="S3860">
        <v>-3.0395810000000001</v>
      </c>
      <c r="T3860">
        <v>0.16224959999999999</v>
      </c>
      <c r="U3860">
        <v>-0.56816099999999903</v>
      </c>
      <c r="V3860">
        <v>4.2555549999999998E-2</v>
      </c>
      <c r="W3860">
        <v>2.3455199999999999E-2</v>
      </c>
      <c r="X3860">
        <v>0.99881880000000001</v>
      </c>
      <c r="Y3860">
        <v>-0.20091039999999999</v>
      </c>
      <c r="Z3860">
        <v>6.25443099999999E-3</v>
      </c>
      <c r="AA3860">
        <v>0.97958959999999995</v>
      </c>
      <c r="AB3860">
        <v>25</v>
      </c>
      <c r="AC3860">
        <v>-109.4902</v>
      </c>
      <c r="AD3860">
        <v>5.8572899999999999</v>
      </c>
      <c r="AE3860">
        <v>-20.514699999999898</v>
      </c>
      <c r="AF3860">
        <v>-22.399022834305399</v>
      </c>
      <c r="AG3860">
        <v>5.8572899999999999</v>
      </c>
      <c r="AH3860">
        <v>108.806747998026</v>
      </c>
      <c r="AI3860">
        <v>86.981794437546597</v>
      </c>
      <c r="AJ3860">
        <v>101.632438529403</v>
      </c>
      <c r="AK3860">
        <v>111.242673826108</v>
      </c>
    </row>
    <row r="3861" spans="1:37" x14ac:dyDescent="0.2">
      <c r="A3861" t="str">
        <f>"20200111160238963"</f>
        <v>20200111160238963</v>
      </c>
      <c r="B3861" t="str">
        <f>"1578729758956380"</f>
        <v>1578729758956380</v>
      </c>
      <c r="C3861" t="s">
        <v>37</v>
      </c>
      <c r="D3861">
        <v>5.3883080000000003</v>
      </c>
      <c r="E3861">
        <v>0.49496970000000001</v>
      </c>
      <c r="F3861" t="s">
        <v>38</v>
      </c>
      <c r="G3861">
        <v>-394.89620000000002</v>
      </c>
      <c r="H3861" s="1">
        <v>-2.43958499999999E-6</v>
      </c>
      <c r="I3861">
        <v>138.10659999999999</v>
      </c>
      <c r="J3861">
        <v>-331.09050000000002</v>
      </c>
      <c r="K3861">
        <v>1.1050359999999999</v>
      </c>
      <c r="L3861">
        <v>137.71379999999999</v>
      </c>
      <c r="M3861">
        <v>-0.99976529999999997</v>
      </c>
      <c r="N3861">
        <v>0</v>
      </c>
      <c r="O3861">
        <v>1.579216E-2</v>
      </c>
      <c r="P3861">
        <v>-0.99836190000000002</v>
      </c>
      <c r="Q3861">
        <v>1.0932209999999999E-2</v>
      </c>
      <c r="R3861">
        <v>5.6163680000000001E-2</v>
      </c>
      <c r="S3861">
        <v>-3.0049130000000002</v>
      </c>
      <c r="T3861">
        <v>-5.1449300000000003E-2</v>
      </c>
      <c r="U3861">
        <v>1.876831E-2</v>
      </c>
      <c r="V3861">
        <v>4.0361399999999999E-2</v>
      </c>
      <c r="W3861">
        <v>2.5799099999999998E-2</v>
      </c>
      <c r="X3861">
        <v>0.99885199999999996</v>
      </c>
      <c r="Y3861">
        <v>-9.5449079999999995E-3</v>
      </c>
      <c r="Z3861">
        <v>-3.5209050000000001E-4</v>
      </c>
      <c r="AA3861">
        <v>0.99995440000000002</v>
      </c>
      <c r="AB3861">
        <v>25</v>
      </c>
      <c r="AC3861">
        <v>-63.805700000000002</v>
      </c>
      <c r="AD3861">
        <v>-1.1050384395849999</v>
      </c>
      <c r="AE3861">
        <v>0.39279999999999399</v>
      </c>
      <c r="AF3861">
        <v>-0.61480525317157997</v>
      </c>
      <c r="AG3861">
        <v>-1.1050384395849999</v>
      </c>
      <c r="AH3861">
        <v>63.784814315216501</v>
      </c>
      <c r="AI3861">
        <v>90.992473934202593</v>
      </c>
      <c r="AJ3861">
        <v>90.552242030988893</v>
      </c>
      <c r="AK3861">
        <v>63.797348163375403</v>
      </c>
    </row>
    <row r="3862" spans="1:37" x14ac:dyDescent="0.2">
      <c r="A3862" t="str">
        <f>"20200111160238985"</f>
        <v>20200111160238985</v>
      </c>
      <c r="B3862" t="str">
        <f>"1578729758975903"</f>
        <v>1578729758975903</v>
      </c>
      <c r="C3862" t="s">
        <v>37</v>
      </c>
      <c r="D3862">
        <v>5.4959759999999998</v>
      </c>
      <c r="E3862">
        <v>0.50596640000000004</v>
      </c>
      <c r="F3862" t="s">
        <v>43</v>
      </c>
      <c r="G3862">
        <v>0</v>
      </c>
      <c r="H3862">
        <v>0</v>
      </c>
      <c r="I3862">
        <v>0</v>
      </c>
      <c r="J3862">
        <v>-331.34309999999999</v>
      </c>
      <c r="K3862">
        <v>1.105029</v>
      </c>
      <c r="L3862">
        <v>137.71700000000001</v>
      </c>
      <c r="M3862">
        <v>-0.99977579999999999</v>
      </c>
      <c r="N3862">
        <v>0</v>
      </c>
      <c r="O3862">
        <v>1.5121509999999999E-2</v>
      </c>
      <c r="P3862">
        <v>-0.99843669999999995</v>
      </c>
      <c r="Q3862">
        <v>1.177108E-2</v>
      </c>
      <c r="R3862">
        <v>5.4640099999999997E-2</v>
      </c>
      <c r="S3862">
        <v>-2.997833</v>
      </c>
      <c r="T3862">
        <v>-6.2656400000000003E-4</v>
      </c>
      <c r="U3862">
        <v>0.1258087</v>
      </c>
      <c r="V3862">
        <v>3.9506729999999997E-2</v>
      </c>
      <c r="W3862">
        <v>2.6629940000000001E-2</v>
      </c>
      <c r="X3862">
        <v>0.99886439999999999</v>
      </c>
      <c r="Y3862">
        <v>2.681497E-2</v>
      </c>
      <c r="Z3862" s="1">
        <v>-3.58090599999999E-7</v>
      </c>
      <c r="AA3862">
        <v>0.99964039999999998</v>
      </c>
      <c r="AB3862">
        <v>25</v>
      </c>
      <c r="AC3862">
        <v>-2.997833</v>
      </c>
      <c r="AD3862">
        <v>-6.2656400000000003E-4</v>
      </c>
      <c r="AE3862">
        <v>0.1258087</v>
      </c>
      <c r="AF3862">
        <v>8.0457566827126903E-2</v>
      </c>
      <c r="AG3862">
        <v>-6.2656400000000003E-4</v>
      </c>
      <c r="AH3862">
        <v>2.9993926584660602</v>
      </c>
      <c r="AI3862">
        <v>90.011964609975905</v>
      </c>
      <c r="AJ3862">
        <v>88.463430995595502</v>
      </c>
      <c r="AK3862">
        <v>3.00047165164117</v>
      </c>
    </row>
    <row r="3863" spans="1:37" x14ac:dyDescent="0.2">
      <c r="A3863" t="str">
        <f>"20200111160239007"</f>
        <v>20200111160239007</v>
      </c>
      <c r="B3863" t="str">
        <f>"1578729758996396"</f>
        <v>1578729758996396</v>
      </c>
      <c r="C3863" t="s">
        <v>37</v>
      </c>
      <c r="D3863">
        <v>5.4034329999999997</v>
      </c>
      <c r="E3863">
        <v>0.51145909999999895</v>
      </c>
      <c r="F3863" t="s">
        <v>38</v>
      </c>
      <c r="G3863">
        <v>-396.85849999999999</v>
      </c>
      <c r="H3863" s="1">
        <v>-2.0188299999999899E-6</v>
      </c>
      <c r="I3863">
        <v>142.20500000000001</v>
      </c>
      <c r="J3863">
        <v>-331.57760000000002</v>
      </c>
      <c r="K3863">
        <v>1.1050139999999999</v>
      </c>
      <c r="L3863">
        <v>137.71979999999999</v>
      </c>
      <c r="M3863">
        <v>-0.99978480000000003</v>
      </c>
      <c r="N3863">
        <v>0</v>
      </c>
      <c r="O3863">
        <v>1.451086E-2</v>
      </c>
      <c r="P3863">
        <v>-0.99851749999999995</v>
      </c>
      <c r="Q3863">
        <v>1.1601739999999999E-2</v>
      </c>
      <c r="R3863">
        <v>5.3179499999999998E-2</v>
      </c>
      <c r="S3863">
        <v>-2.9940799999999999</v>
      </c>
      <c r="T3863">
        <v>-5.0500389999999999E-2</v>
      </c>
      <c r="U3863">
        <v>0.2051086</v>
      </c>
      <c r="V3863">
        <v>3.8656120000000002E-2</v>
      </c>
      <c r="W3863">
        <v>2.645405E-2</v>
      </c>
      <c r="X3863">
        <v>0.99890230000000002</v>
      </c>
      <c r="Y3863">
        <v>5.3853270000000002E-2</v>
      </c>
      <c r="Z3863">
        <v>2.0916389999999901E-4</v>
      </c>
      <c r="AA3863">
        <v>0.99854889999999996</v>
      </c>
      <c r="AB3863">
        <v>25</v>
      </c>
      <c r="AC3863">
        <v>-65.280899999999903</v>
      </c>
      <c r="AD3863">
        <v>-1.10501601882999</v>
      </c>
      <c r="AE3863">
        <v>4.4852000000000096</v>
      </c>
      <c r="AF3863">
        <v>3.5363330467697698</v>
      </c>
      <c r="AG3863">
        <v>-1.10501601882999</v>
      </c>
      <c r="AH3863">
        <v>65.320488331753893</v>
      </c>
      <c r="AI3863">
        <v>90.967753978465296</v>
      </c>
      <c r="AJ3863">
        <v>86.901135338639307</v>
      </c>
      <c r="AK3863">
        <v>65.425475983888305</v>
      </c>
    </row>
    <row r="3864" spans="1:37" x14ac:dyDescent="0.2">
      <c r="A3864" t="str">
        <f>"20200111160239030"</f>
        <v>20200111160239030</v>
      </c>
      <c r="B3864" t="str">
        <f>"1578729759026653"</f>
        <v>1578729759026653</v>
      </c>
      <c r="C3864" t="s">
        <v>37</v>
      </c>
      <c r="D3864">
        <v>5.4710029999999996</v>
      </c>
      <c r="E3864">
        <v>0.51647319999999997</v>
      </c>
      <c r="F3864" t="s">
        <v>38</v>
      </c>
      <c r="G3864">
        <v>-367.37189999999998</v>
      </c>
      <c r="H3864" s="1">
        <v>-1.373843E-6</v>
      </c>
      <c r="I3864">
        <v>140.6088</v>
      </c>
      <c r="J3864">
        <v>-331.82339999999999</v>
      </c>
      <c r="K3864">
        <v>1.1049990000000001</v>
      </c>
      <c r="L3864">
        <v>137.7226</v>
      </c>
      <c r="M3864">
        <v>-0.99979379999999995</v>
      </c>
      <c r="N3864">
        <v>0</v>
      </c>
      <c r="O3864">
        <v>1.388723E-2</v>
      </c>
      <c r="P3864">
        <v>-0.99860579999999999</v>
      </c>
      <c r="Q3864">
        <v>1.1887440000000001E-2</v>
      </c>
      <c r="R3864">
        <v>5.1432850000000002E-2</v>
      </c>
      <c r="S3864">
        <v>-2.9926759999999999</v>
      </c>
      <c r="T3864">
        <v>-9.2387910000000004E-2</v>
      </c>
      <c r="U3864">
        <v>0.2415466</v>
      </c>
      <c r="V3864">
        <v>3.753248E-2</v>
      </c>
      <c r="W3864">
        <v>2.673147E-2</v>
      </c>
      <c r="X3864">
        <v>0.99893779999999999</v>
      </c>
      <c r="Y3864">
        <v>6.6574549999999996E-2</v>
      </c>
      <c r="Z3864">
        <v>5.9781479999999995E-4</v>
      </c>
      <c r="AA3864">
        <v>0.99778129999999998</v>
      </c>
      <c r="AB3864">
        <v>25</v>
      </c>
      <c r="AC3864">
        <v>-35.548499999999898</v>
      </c>
      <c r="AD3864">
        <v>-1.1050003738430001</v>
      </c>
      <c r="AE3864">
        <v>2.8862000000000001</v>
      </c>
      <c r="AF3864">
        <v>2.3899031475540902</v>
      </c>
      <c r="AG3864">
        <v>-1.1050003738430001</v>
      </c>
      <c r="AH3864">
        <v>35.551031288829101</v>
      </c>
      <c r="AI3864">
        <v>91.776292880914596</v>
      </c>
      <c r="AJ3864">
        <v>86.154101709932604</v>
      </c>
      <c r="AK3864">
        <v>35.648400925990799</v>
      </c>
    </row>
    <row r="3865" spans="1:37" x14ac:dyDescent="0.2">
      <c r="A3865" t="str">
        <f>"20200111160239052"</f>
        <v>20200111160239052</v>
      </c>
      <c r="B3865" t="str">
        <f>"1578729759046680"</f>
        <v>1578729759046680</v>
      </c>
      <c r="C3865" t="s">
        <v>37</v>
      </c>
      <c r="D3865">
        <v>5.4341339999999896</v>
      </c>
      <c r="E3865">
        <v>0.51864500000000002</v>
      </c>
      <c r="F3865" t="s">
        <v>38</v>
      </c>
      <c r="G3865">
        <v>-357.67559999999997</v>
      </c>
      <c r="H3865" s="1">
        <v>-1.104747E-6</v>
      </c>
      <c r="I3865">
        <v>140.08709999999999</v>
      </c>
      <c r="J3865">
        <v>-332.07350000000002</v>
      </c>
      <c r="K3865">
        <v>1.104986</v>
      </c>
      <c r="L3865">
        <v>137.72540000000001</v>
      </c>
      <c r="M3865">
        <v>-0.99980230000000003</v>
      </c>
      <c r="N3865">
        <v>0</v>
      </c>
      <c r="O3865">
        <v>1.3275520000000001E-2</v>
      </c>
      <c r="P3865">
        <v>-0.99866010000000005</v>
      </c>
      <c r="Q3865">
        <v>1.204388E-2</v>
      </c>
      <c r="R3865">
        <v>5.0333549999999998E-2</v>
      </c>
      <c r="S3865">
        <v>-2.9916079999999998</v>
      </c>
      <c r="T3865">
        <v>-0.127870699999999</v>
      </c>
      <c r="U3865">
        <v>0.27362059999999999</v>
      </c>
      <c r="V3865">
        <v>3.7045019999999998E-2</v>
      </c>
      <c r="W3865">
        <v>2.6879719999999999E-2</v>
      </c>
      <c r="X3865">
        <v>0.99895199999999995</v>
      </c>
      <c r="Y3865">
        <v>7.7794340000000003E-2</v>
      </c>
      <c r="Z3865">
        <v>1.0924089999999999E-3</v>
      </c>
      <c r="AA3865">
        <v>0.99696879999999999</v>
      </c>
      <c r="AB3865">
        <v>24</v>
      </c>
      <c r="AC3865">
        <v>-25.602099999999901</v>
      </c>
      <c r="AD3865">
        <v>-1.1049871047469999</v>
      </c>
      <c r="AE3865">
        <v>2.3616999999999799</v>
      </c>
      <c r="AF3865">
        <v>2.0178462956825398</v>
      </c>
      <c r="AG3865">
        <v>-1.1049871047469999</v>
      </c>
      <c r="AH3865">
        <v>25.583944258003701</v>
      </c>
      <c r="AI3865">
        <v>92.465457658464402</v>
      </c>
      <c r="AJ3865">
        <v>85.490326605812299</v>
      </c>
      <c r="AK3865">
        <v>25.687173919512801</v>
      </c>
    </row>
    <row r="3866" spans="1:37" x14ac:dyDescent="0.2">
      <c r="A3866" t="str">
        <f>"20200111160239074"</f>
        <v>20200111160239074</v>
      </c>
      <c r="B3866" t="str">
        <f>"1578729759066200"</f>
        <v>1578729759066200</v>
      </c>
      <c r="C3866" t="s">
        <v>37</v>
      </c>
      <c r="D3866">
        <v>5.5039239999999996</v>
      </c>
      <c r="E3866">
        <v>0.52009759999999905</v>
      </c>
      <c r="F3866" t="s">
        <v>38</v>
      </c>
      <c r="G3866">
        <v>-355.22489999999999</v>
      </c>
      <c r="H3866" s="1">
        <v>-2.117668E-6</v>
      </c>
      <c r="I3866">
        <v>139.9427</v>
      </c>
      <c r="J3866">
        <v>-332.32170000000002</v>
      </c>
      <c r="K3866">
        <v>1.104968</v>
      </c>
      <c r="L3866">
        <v>137.72790000000001</v>
      </c>
      <c r="M3866">
        <v>-0.99980999999999998</v>
      </c>
      <c r="N3866">
        <v>0</v>
      </c>
      <c r="O3866">
        <v>1.2688609999999999E-2</v>
      </c>
      <c r="P3866">
        <v>-0.998708499999999</v>
      </c>
      <c r="Q3866">
        <v>1.2342489999999999E-2</v>
      </c>
      <c r="R3866">
        <v>4.9288390000000001E-2</v>
      </c>
      <c r="S3866">
        <v>-2.9913020000000001</v>
      </c>
      <c r="T3866">
        <v>-0.1427717</v>
      </c>
      <c r="U3866">
        <v>0.286499</v>
      </c>
      <c r="V3866">
        <v>3.6586979999999998E-2</v>
      </c>
      <c r="W3866">
        <v>2.717E-2</v>
      </c>
      <c r="X3866">
        <v>0.99896099999999999</v>
      </c>
      <c r="Y3866">
        <v>8.2622319999999999E-2</v>
      </c>
      <c r="Z3866">
        <v>1.36227299999999E-3</v>
      </c>
      <c r="AA3866">
        <v>0.99657999999999902</v>
      </c>
      <c r="AB3866">
        <v>24</v>
      </c>
      <c r="AC3866">
        <v>-22.903199999999899</v>
      </c>
      <c r="AD3866">
        <v>-1.104970117668</v>
      </c>
      <c r="AE3866">
        <v>2.2147999999999901</v>
      </c>
      <c r="AF3866">
        <v>1.9195535051164201</v>
      </c>
      <c r="AG3866">
        <v>-1.104970117668</v>
      </c>
      <c r="AH3866">
        <v>22.8767070736486</v>
      </c>
      <c r="AI3866">
        <v>92.755631325024595</v>
      </c>
      <c r="AJ3866">
        <v>85.203624240418804</v>
      </c>
      <c r="AK3866">
        <v>22.983676188840398</v>
      </c>
    </row>
    <row r="3867" spans="1:37" x14ac:dyDescent="0.2">
      <c r="A3867" t="str">
        <f>"20200111160239096"</f>
        <v>20200111160239096</v>
      </c>
      <c r="B3867" t="str">
        <f>"1578729759086696"</f>
        <v>1578729759086696</v>
      </c>
      <c r="C3867" t="s">
        <v>37</v>
      </c>
      <c r="D3867">
        <v>5.512581</v>
      </c>
      <c r="E3867">
        <v>0.52134469999999999</v>
      </c>
      <c r="F3867" t="s">
        <v>38</v>
      </c>
      <c r="G3867">
        <v>-358.54649999999998</v>
      </c>
      <c r="H3867" s="1">
        <v>-7.9446479999999998E-7</v>
      </c>
      <c r="I3867">
        <v>140.32509999999999</v>
      </c>
      <c r="J3867">
        <v>-332.54919999999998</v>
      </c>
      <c r="K3867">
        <v>1.104941</v>
      </c>
      <c r="L3867">
        <v>137.7302</v>
      </c>
      <c r="M3867">
        <v>-0.99981640000000005</v>
      </c>
      <c r="N3867">
        <v>0</v>
      </c>
      <c r="O3867">
        <v>1.217351E-2</v>
      </c>
      <c r="P3867">
        <v>-0.9987414</v>
      </c>
      <c r="Q3867">
        <v>1.174773E-2</v>
      </c>
      <c r="R3867">
        <v>4.8760480000000002E-2</v>
      </c>
      <c r="S3867">
        <v>-2.9908450000000002</v>
      </c>
      <c r="T3867">
        <v>-0.12601780000000001</v>
      </c>
      <c r="U3867">
        <v>0.29620359999999901</v>
      </c>
      <c r="V3867">
        <v>3.657502E-2</v>
      </c>
      <c r="W3867">
        <v>2.656845E-2</v>
      </c>
      <c r="X3867">
        <v>0.99897769999999997</v>
      </c>
      <c r="Y3867">
        <v>8.6366589999999993E-2</v>
      </c>
      <c r="Z3867">
        <v>1.3028510000000001E-3</v>
      </c>
      <c r="AA3867">
        <v>0.9962626</v>
      </c>
      <c r="AB3867">
        <v>24</v>
      </c>
      <c r="AC3867">
        <v>-25.997299999999999</v>
      </c>
      <c r="AD3867">
        <v>-1.1049417944647999</v>
      </c>
      <c r="AE3867">
        <v>2.5948999999999902</v>
      </c>
      <c r="AF3867">
        <v>2.2741270907289599</v>
      </c>
      <c r="AG3867">
        <v>-1.1049417944647999</v>
      </c>
      <c r="AH3867">
        <v>25.980496571266901</v>
      </c>
      <c r="AI3867">
        <v>92.426037560376898</v>
      </c>
      <c r="AJ3867">
        <v>84.997530916573893</v>
      </c>
      <c r="AK3867">
        <v>26.103232606011701</v>
      </c>
    </row>
    <row r="3868" spans="1:37" x14ac:dyDescent="0.2">
      <c r="A3868" t="str">
        <f>"20200111160239119"</f>
        <v>20200111160239119</v>
      </c>
      <c r="B3868" t="str">
        <f>"1578729759115977"</f>
        <v>1578729759115977</v>
      </c>
      <c r="C3868" t="s">
        <v>37</v>
      </c>
      <c r="D3868">
        <v>5.5002969999999998</v>
      </c>
      <c r="E3868">
        <v>0.52313580000000004</v>
      </c>
      <c r="F3868" t="s">
        <v>38</v>
      </c>
      <c r="G3868">
        <v>-359.62959999999998</v>
      </c>
      <c r="H3868" s="1">
        <v>-3.7437529999999899E-7</v>
      </c>
      <c r="I3868">
        <v>140.49250000000001</v>
      </c>
      <c r="J3868">
        <v>-332.79599999999999</v>
      </c>
      <c r="K3868">
        <v>1.1049180000000001</v>
      </c>
      <c r="L3868">
        <v>137.73249999999999</v>
      </c>
      <c r="M3868">
        <v>-0.99982280000000001</v>
      </c>
      <c r="N3868">
        <v>0</v>
      </c>
      <c r="O3868">
        <v>1.164667E-2</v>
      </c>
      <c r="P3868">
        <v>-0.99878319999999998</v>
      </c>
      <c r="Q3868">
        <v>1.087015E-2</v>
      </c>
      <c r="R3868">
        <v>4.810801E-2</v>
      </c>
      <c r="S3868">
        <v>-2.990326</v>
      </c>
      <c r="T3868">
        <v>-0.1220121</v>
      </c>
      <c r="U3868">
        <v>0.30503849999999999</v>
      </c>
      <c r="V3868">
        <v>3.6450980000000001E-2</v>
      </c>
      <c r="W3868">
        <v>2.568279E-2</v>
      </c>
      <c r="X3868">
        <v>0.99900540000000004</v>
      </c>
      <c r="Y3868">
        <v>8.9822750000000007E-2</v>
      </c>
      <c r="Z3868">
        <v>1.3532310000000001E-3</v>
      </c>
      <c r="AA3868">
        <v>0.99595679999999998</v>
      </c>
      <c r="AB3868">
        <v>24</v>
      </c>
      <c r="AC3868">
        <v>-26.833599999999901</v>
      </c>
      <c r="AD3868">
        <v>-1.1049183743752999</v>
      </c>
      <c r="AE3868">
        <v>2.7600000000000202</v>
      </c>
      <c r="AF3868">
        <v>2.4431574420317599</v>
      </c>
      <c r="AG3868">
        <v>-1.1049183743752999</v>
      </c>
      <c r="AH3868">
        <v>26.818931981202201</v>
      </c>
      <c r="AI3868">
        <v>92.349487750490695</v>
      </c>
      <c r="AJ3868">
        <v>84.794822790020504</v>
      </c>
      <c r="AK3868">
        <v>26.952643200861299</v>
      </c>
    </row>
    <row r="3869" spans="1:37" x14ac:dyDescent="0.2">
      <c r="A3869" t="str">
        <f>"20200111160239143"</f>
        <v>20200111160239143</v>
      </c>
      <c r="B3869" t="str">
        <f>"1578729759136472"</f>
        <v>1578729759136472</v>
      </c>
      <c r="C3869" t="s">
        <v>37</v>
      </c>
      <c r="D3869">
        <v>5.5410620000000002</v>
      </c>
      <c r="E3869">
        <v>0.5240146</v>
      </c>
      <c r="F3869" t="s">
        <v>38</v>
      </c>
      <c r="G3869">
        <v>-355.82440000000003</v>
      </c>
      <c r="H3869" s="1">
        <v>-1.9204929999999899E-6</v>
      </c>
      <c r="I3869">
        <v>140.16820000000001</v>
      </c>
      <c r="J3869">
        <v>-333.05270000000002</v>
      </c>
      <c r="K3869">
        <v>1.1048899999999999</v>
      </c>
      <c r="L3869">
        <v>137.73490000000001</v>
      </c>
      <c r="M3869">
        <v>-0.99982859999999996</v>
      </c>
      <c r="N3869">
        <v>0</v>
      </c>
      <c r="O3869">
        <v>1.1137869999999999E-2</v>
      </c>
      <c r="P3869">
        <v>-0.99882510000000002</v>
      </c>
      <c r="Q3869">
        <v>1.0212779999999999E-2</v>
      </c>
      <c r="R3869">
        <v>4.7374020000000003E-2</v>
      </c>
      <c r="S3869">
        <v>-2.9899290000000001</v>
      </c>
      <c r="T3869">
        <v>-0.14345929999999901</v>
      </c>
      <c r="U3869">
        <v>0.31625370000000003</v>
      </c>
      <c r="V3869">
        <v>3.6227120000000002E-2</v>
      </c>
      <c r="W3869">
        <v>2.5016859999999998E-2</v>
      </c>
      <c r="X3869">
        <v>0.99903039999999999</v>
      </c>
      <c r="Y3869">
        <v>9.4008120000000001E-2</v>
      </c>
      <c r="Z3869">
        <v>1.7151529999999901E-3</v>
      </c>
      <c r="AA3869">
        <v>0.99556990000000001</v>
      </c>
      <c r="AB3869">
        <v>24</v>
      </c>
      <c r="AC3869">
        <v>-22.771699999999999</v>
      </c>
      <c r="AD3869">
        <v>-1.1048919204929999</v>
      </c>
      <c r="AE3869">
        <v>2.4333</v>
      </c>
      <c r="AF3869">
        <v>2.1744317402850202</v>
      </c>
      <c r="AG3869">
        <v>-1.1048919204929999</v>
      </c>
      <c r="AH3869">
        <v>22.744450804270699</v>
      </c>
      <c r="AI3869">
        <v>92.768554647181105</v>
      </c>
      <c r="AJ3869">
        <v>84.5389640659848</v>
      </c>
      <c r="AK3869">
        <v>22.874854795976699</v>
      </c>
    </row>
    <row r="3870" spans="1:37" x14ac:dyDescent="0.2">
      <c r="A3870" t="str">
        <f>"20200111160239165"</f>
        <v>20200111160239165</v>
      </c>
      <c r="B3870" t="str">
        <f>"1578729759156487"</f>
        <v>1578729759156487</v>
      </c>
      <c r="C3870" t="s">
        <v>37</v>
      </c>
      <c r="D3870">
        <v>5.5141159999999996</v>
      </c>
      <c r="E3870">
        <v>0.52497380000000005</v>
      </c>
      <c r="F3870" t="s">
        <v>38</v>
      </c>
      <c r="G3870">
        <v>-354.95429999999999</v>
      </c>
      <c r="H3870" s="1">
        <v>-2.2713249999999998E-6</v>
      </c>
      <c r="I3870">
        <v>140.084</v>
      </c>
      <c r="J3870">
        <v>-333.286</v>
      </c>
      <c r="K3870">
        <v>1.1048530000000001</v>
      </c>
      <c r="L3870">
        <v>137.73699999999999</v>
      </c>
      <c r="M3870">
        <v>-0.99983330000000004</v>
      </c>
      <c r="N3870">
        <v>0</v>
      </c>
      <c r="O3870">
        <v>1.0714619999999999E-2</v>
      </c>
      <c r="P3870">
        <v>-0.9988629</v>
      </c>
      <c r="Q3870">
        <v>9.5539470000000001E-3</v>
      </c>
      <c r="R3870">
        <v>4.671144E-2</v>
      </c>
      <c r="S3870">
        <v>-2.989868</v>
      </c>
      <c r="T3870">
        <v>-0.1508331</v>
      </c>
      <c r="U3870">
        <v>0.32069399999999998</v>
      </c>
      <c r="V3870">
        <v>3.5989350000000003E-2</v>
      </c>
      <c r="W3870">
        <v>2.4349490000000001E-2</v>
      </c>
      <c r="X3870">
        <v>0.99905549999999999</v>
      </c>
      <c r="Y3870">
        <v>9.5880679999999996E-2</v>
      </c>
      <c r="Z3870">
        <v>1.8714420000000001E-3</v>
      </c>
      <c r="AA3870">
        <v>0.99539109999999997</v>
      </c>
      <c r="AB3870">
        <v>24</v>
      </c>
      <c r="AC3870">
        <v>-21.668299999999899</v>
      </c>
      <c r="AD3870">
        <v>-1.1048552713249999</v>
      </c>
      <c r="AE3870">
        <v>2.347</v>
      </c>
      <c r="AF3870">
        <v>2.1092519594426999</v>
      </c>
      <c r="AG3870">
        <v>-1.1048552713249999</v>
      </c>
      <c r="AH3870">
        <v>21.6366045950314</v>
      </c>
      <c r="AI3870">
        <v>92.909454129008196</v>
      </c>
      <c r="AJ3870">
        <v>84.432094434428805</v>
      </c>
      <c r="AK3870">
        <v>21.767230126975701</v>
      </c>
    </row>
    <row r="3871" spans="1:37" x14ac:dyDescent="0.2">
      <c r="A3871" t="str">
        <f>"20200111160239186"</f>
        <v>20200111160239186</v>
      </c>
      <c r="B3871" t="str">
        <f>"1578729759176009"</f>
        <v>1578729759176009</v>
      </c>
      <c r="C3871" t="s">
        <v>37</v>
      </c>
      <c r="D3871">
        <v>5.4602430000000002</v>
      </c>
      <c r="E3871">
        <v>0.52581540000000004</v>
      </c>
      <c r="F3871" t="s">
        <v>38</v>
      </c>
      <c r="G3871">
        <v>-353.65300000000002</v>
      </c>
      <c r="H3871" s="1">
        <v>-2.7954450000000001E-6</v>
      </c>
      <c r="I3871">
        <v>139.9556</v>
      </c>
      <c r="J3871">
        <v>-333.5181</v>
      </c>
      <c r="K3871">
        <v>1.1048229999999899</v>
      </c>
      <c r="L3871">
        <v>137.739</v>
      </c>
      <c r="M3871">
        <v>-0.99983750000000005</v>
      </c>
      <c r="N3871">
        <v>0</v>
      </c>
      <c r="O3871">
        <v>1.033188E-2</v>
      </c>
      <c r="P3871">
        <v>-0.9989268</v>
      </c>
      <c r="Q3871">
        <v>9.6507090000000004E-3</v>
      </c>
      <c r="R3871">
        <v>4.5302200000000001E-2</v>
      </c>
      <c r="S3871">
        <v>-2.9897459999999998</v>
      </c>
      <c r="T3871">
        <v>-0.16218679999999999</v>
      </c>
      <c r="U3871">
        <v>0.32568359999999902</v>
      </c>
      <c r="V3871">
        <v>3.4963649999999999E-2</v>
      </c>
      <c r="W3871">
        <v>2.443816E-2</v>
      </c>
      <c r="X3871">
        <v>0.99908969999999897</v>
      </c>
      <c r="Y3871">
        <v>9.7887689999999999E-2</v>
      </c>
      <c r="Z3871">
        <v>2.0869360000000002E-3</v>
      </c>
      <c r="AA3871">
        <v>0.9951953</v>
      </c>
      <c r="AB3871">
        <v>24</v>
      </c>
      <c r="AC3871">
        <v>-20.134899999999998</v>
      </c>
      <c r="AD3871">
        <v>-1.10482579544499</v>
      </c>
      <c r="AE3871">
        <v>2.2166000000000001</v>
      </c>
      <c r="AF3871">
        <v>2.0024706505381502</v>
      </c>
      <c r="AG3871">
        <v>-1.10482579544499</v>
      </c>
      <c r="AH3871">
        <v>20.096944922037601</v>
      </c>
      <c r="AI3871">
        <v>93.131183262909005</v>
      </c>
      <c r="AJ3871">
        <v>84.3097986300955</v>
      </c>
      <c r="AK3871">
        <v>20.226658743943901</v>
      </c>
    </row>
    <row r="3872" spans="1:37" x14ac:dyDescent="0.2">
      <c r="A3872" t="str">
        <f>"20200111160239223"</f>
        <v>20200111160239223</v>
      </c>
      <c r="B3872" t="str">
        <f>"1578729759216024"</f>
        <v>1578729759216024</v>
      </c>
      <c r="C3872" t="s">
        <v>37</v>
      </c>
      <c r="D3872">
        <v>5.4825410000000003</v>
      </c>
      <c r="E3872">
        <v>0.5328794</v>
      </c>
      <c r="F3872" t="s">
        <v>38</v>
      </c>
      <c r="G3872">
        <v>-352.93579999999997</v>
      </c>
      <c r="H3872" s="1">
        <v>-3.0797259999999998E-6</v>
      </c>
      <c r="I3872">
        <v>139.86770000000001</v>
      </c>
      <c r="J3872">
        <v>-333.91059999999999</v>
      </c>
      <c r="K3872">
        <v>1.104773</v>
      </c>
      <c r="L3872">
        <v>137.7423</v>
      </c>
      <c r="M3872">
        <v>-0.99984319999999904</v>
      </c>
      <c r="N3872">
        <v>0</v>
      </c>
      <c r="O3872">
        <v>9.7788130000000008E-3</v>
      </c>
      <c r="P3872">
        <v>-0.99898359999999997</v>
      </c>
      <c r="Q3872">
        <v>1.02571E-2</v>
      </c>
      <c r="R3872">
        <v>4.3895719999999999E-2</v>
      </c>
      <c r="S3872">
        <v>-2.9900509999999998</v>
      </c>
      <c r="T3872">
        <v>-0.170127799999999</v>
      </c>
      <c r="U3872">
        <v>0.3278046</v>
      </c>
      <c r="V3872">
        <v>3.4112429999999999E-2</v>
      </c>
      <c r="W3872">
        <v>2.5030210000000001E-2</v>
      </c>
      <c r="X3872">
        <v>0.99910449999999995</v>
      </c>
      <c r="Y3872">
        <v>9.9109230000000006E-2</v>
      </c>
      <c r="Z3872">
        <v>2.2546150000000002E-3</v>
      </c>
      <c r="AA3872">
        <v>0.99507400000000001</v>
      </c>
      <c r="AB3872">
        <v>24</v>
      </c>
      <c r="AC3872">
        <v>-19.025199999999899</v>
      </c>
      <c r="AD3872">
        <v>-1.104776079726</v>
      </c>
      <c r="AE3872">
        <v>2.1254000000000102</v>
      </c>
      <c r="AF3872">
        <v>1.93279711110188</v>
      </c>
      <c r="AG3872">
        <v>-1.104776079726</v>
      </c>
      <c r="AH3872">
        <v>18.981858075222501</v>
      </c>
      <c r="AI3872">
        <v>93.313856781904207</v>
      </c>
      <c r="AJ3872">
        <v>84.185987555322697</v>
      </c>
      <c r="AK3872">
        <v>19.111964076120199</v>
      </c>
    </row>
    <row r="3873" spans="1:37" x14ac:dyDescent="0.2">
      <c r="A3873" t="str">
        <f>"20200111160239254"</f>
        <v>20200111160239254</v>
      </c>
      <c r="B3873" t="str">
        <f>"1578729759245810"</f>
        <v>1578729759245810</v>
      </c>
      <c r="C3873" t="s">
        <v>37</v>
      </c>
      <c r="D3873">
        <v>5.6825330000000003</v>
      </c>
      <c r="E3873">
        <v>0.53391140000000004</v>
      </c>
      <c r="F3873" t="s">
        <v>79</v>
      </c>
      <c r="G3873">
        <v>-511.92669999999998</v>
      </c>
      <c r="H3873">
        <v>4.4603910000000004</v>
      </c>
      <c r="I3873">
        <v>161.3631</v>
      </c>
      <c r="J3873">
        <v>-334.24970000000002</v>
      </c>
      <c r="K3873">
        <v>1.1047480000000001</v>
      </c>
      <c r="L3873">
        <v>137.74510000000001</v>
      </c>
      <c r="M3873">
        <v>-0.99984719999999905</v>
      </c>
      <c r="N3873">
        <v>0</v>
      </c>
      <c r="O3873">
        <v>9.3807600000000001E-3</v>
      </c>
      <c r="P3873">
        <v>-0.99904099999999996</v>
      </c>
      <c r="Q3873">
        <v>9.5896799999999997E-3</v>
      </c>
      <c r="R3873">
        <v>4.2726790000000001E-2</v>
      </c>
      <c r="S3873">
        <v>-2.985077</v>
      </c>
      <c r="T3873">
        <v>5.6269649999999997E-2</v>
      </c>
      <c r="U3873">
        <v>0.39608759999999998</v>
      </c>
      <c r="V3873">
        <v>3.3343379999999999E-2</v>
      </c>
      <c r="W3873">
        <v>2.4351399999999999E-2</v>
      </c>
      <c r="X3873">
        <v>0.99914720000000001</v>
      </c>
      <c r="Y3873">
        <v>0.1222106</v>
      </c>
      <c r="Z3873">
        <v>-9.7069479999999997E-4</v>
      </c>
      <c r="AA3873">
        <v>0.99250369999999999</v>
      </c>
      <c r="AB3873">
        <v>24</v>
      </c>
      <c r="AC3873">
        <v>-177.676999999999</v>
      </c>
      <c r="AD3873">
        <v>3.3556430000000002</v>
      </c>
      <c r="AE3873">
        <v>23.617999999999899</v>
      </c>
      <c r="AF3873">
        <v>21.942343236737401</v>
      </c>
      <c r="AG3873">
        <v>3.3556430000000002</v>
      </c>
      <c r="AH3873">
        <v>177.82843130657</v>
      </c>
      <c r="AI3873">
        <v>88.927085241148006</v>
      </c>
      <c r="AJ3873">
        <v>82.965799062903699</v>
      </c>
      <c r="AK3873">
        <v>179.20847565787099</v>
      </c>
    </row>
    <row r="3874" spans="1:37" x14ac:dyDescent="0.2">
      <c r="A3874" t="str">
        <f>"20200111160239277"</f>
        <v>20200111160239277</v>
      </c>
      <c r="B3874" t="str">
        <f>"1578729759266306"</f>
        <v>1578729759266306</v>
      </c>
      <c r="C3874" t="s">
        <v>37</v>
      </c>
      <c r="D3874">
        <v>5.3784419999999997</v>
      </c>
      <c r="E3874">
        <v>0.53502340000000004</v>
      </c>
      <c r="F3874" t="s">
        <v>38</v>
      </c>
      <c r="G3874">
        <v>-368.69929999999999</v>
      </c>
      <c r="H3874" s="1">
        <v>-1.239639E-6</v>
      </c>
      <c r="I3874">
        <v>142.24449999999999</v>
      </c>
      <c r="J3874">
        <v>-334.47739999999999</v>
      </c>
      <c r="K3874">
        <v>1.1047260000000001</v>
      </c>
      <c r="L3874">
        <v>137.74700000000001</v>
      </c>
      <c r="M3874">
        <v>-0.9998494</v>
      </c>
      <c r="N3874">
        <v>0</v>
      </c>
      <c r="O3874">
        <v>9.1498980000000001E-3</v>
      </c>
      <c r="P3874">
        <v>-0.99904629999999905</v>
      </c>
      <c r="Q3874">
        <v>9.1508419999999993E-3</v>
      </c>
      <c r="R3874">
        <v>4.2696209999999998E-2</v>
      </c>
      <c r="S3874">
        <v>-2.9871219999999998</v>
      </c>
      <c r="T3874">
        <v>-9.5792890000000006E-2</v>
      </c>
      <c r="U3874">
        <v>0.390152</v>
      </c>
      <c r="V3874">
        <v>3.3544570000000003E-2</v>
      </c>
      <c r="W3874">
        <v>2.390569E-2</v>
      </c>
      <c r="X3874">
        <v>0.99915129999999996</v>
      </c>
      <c r="Y3874">
        <v>0.12037589999999999</v>
      </c>
      <c r="Z3874">
        <v>1.6294E-3</v>
      </c>
      <c r="AA3874">
        <v>0.99272700000000003</v>
      </c>
      <c r="AB3874">
        <v>24</v>
      </c>
      <c r="AC3874">
        <v>-34.221899999999998</v>
      </c>
      <c r="AD3874">
        <v>-1.104727239639</v>
      </c>
      <c r="AE3874">
        <v>4.4974999999999703</v>
      </c>
      <c r="AF3874">
        <v>4.1798689305272001</v>
      </c>
      <c r="AG3874">
        <v>-1.104727239639</v>
      </c>
      <c r="AH3874">
        <v>34.226561943631197</v>
      </c>
      <c r="AI3874">
        <v>91.835064059546298</v>
      </c>
      <c r="AJ3874">
        <v>83.037314141204902</v>
      </c>
      <c r="AK3874">
        <v>34.498540100004398</v>
      </c>
    </row>
    <row r="3875" spans="1:37" x14ac:dyDescent="0.2">
      <c r="A3875" t="str">
        <f>"20200111160239299"</f>
        <v>20200111160239299</v>
      </c>
      <c r="B3875" t="str">
        <f>"1578729759296563"</f>
        <v>1578729759296563</v>
      </c>
      <c r="C3875" t="s">
        <v>37</v>
      </c>
      <c r="D3875">
        <v>5.319782</v>
      </c>
      <c r="E3875">
        <v>0.53605040000000004</v>
      </c>
      <c r="F3875" t="s">
        <v>38</v>
      </c>
      <c r="G3875">
        <v>-358.34070000000003</v>
      </c>
      <c r="H3875" s="1">
        <v>-1.038505E-6</v>
      </c>
      <c r="I3875">
        <v>140.91050000000001</v>
      </c>
      <c r="J3875">
        <v>-334.71980000000002</v>
      </c>
      <c r="K3875">
        <v>1.1047149999999999</v>
      </c>
      <c r="L3875">
        <v>137.74889999999999</v>
      </c>
      <c r="M3875">
        <v>-0.99985139999999995</v>
      </c>
      <c r="N3875">
        <v>0</v>
      </c>
      <c r="O3875">
        <v>8.9282690000000008E-3</v>
      </c>
      <c r="P3875">
        <v>-0.99905239999999995</v>
      </c>
      <c r="Q3875">
        <v>9.2207790000000001E-3</v>
      </c>
      <c r="R3875">
        <v>4.2537480000000003E-2</v>
      </c>
      <c r="S3875">
        <v>-2.987244</v>
      </c>
      <c r="T3875">
        <v>-0.138292</v>
      </c>
      <c r="U3875">
        <v>0.39602659999999901</v>
      </c>
      <c r="V3875">
        <v>3.3608399999999997E-2</v>
      </c>
      <c r="W3875">
        <v>2.3967659999999998E-2</v>
      </c>
      <c r="X3875">
        <v>0.99914769999999897</v>
      </c>
      <c r="Y3875">
        <v>0.12244620000000001</v>
      </c>
      <c r="Z3875">
        <v>2.4091479999999998E-3</v>
      </c>
      <c r="AA3875">
        <v>0.99247220000000003</v>
      </c>
      <c r="AB3875">
        <v>24</v>
      </c>
      <c r="AC3875">
        <v>-23.620899999999999</v>
      </c>
      <c r="AD3875">
        <v>-1.1047160385050001</v>
      </c>
      <c r="AE3875">
        <v>3.1616000000000199</v>
      </c>
      <c r="AF3875">
        <v>2.94423069898806</v>
      </c>
      <c r="AG3875">
        <v>-1.1047160385050001</v>
      </c>
      <c r="AH3875">
        <v>23.597482633028498</v>
      </c>
      <c r="AI3875">
        <v>92.659752047016298</v>
      </c>
      <c r="AJ3875">
        <v>82.888024360905007</v>
      </c>
      <c r="AK3875">
        <v>23.8060933071908</v>
      </c>
    </row>
    <row r="3876" spans="1:37" x14ac:dyDescent="0.2">
      <c r="A3876" t="str">
        <f>"20200111160239321"</f>
        <v>20200111160239321</v>
      </c>
      <c r="B3876" t="str">
        <f>"1578729759316083"</f>
        <v>1578729759316083</v>
      </c>
      <c r="C3876" t="s">
        <v>37</v>
      </c>
      <c r="D3876">
        <v>5.3968169999999898</v>
      </c>
      <c r="E3876">
        <v>0.53639709999999996</v>
      </c>
      <c r="F3876" t="s">
        <v>38</v>
      </c>
      <c r="G3876">
        <v>-354.64530000000002</v>
      </c>
      <c r="H3876" s="1">
        <v>-2.4959149999999999E-6</v>
      </c>
      <c r="I3876">
        <v>140.4297</v>
      </c>
      <c r="J3876">
        <v>-334.9545</v>
      </c>
      <c r="K3876">
        <v>1.1047069999999899</v>
      </c>
      <c r="L3876">
        <v>137.75069999999999</v>
      </c>
      <c r="M3876">
        <v>-0.999853199999999</v>
      </c>
      <c r="N3876">
        <v>0</v>
      </c>
      <c r="O3876">
        <v>8.7317709999999993E-3</v>
      </c>
      <c r="P3876">
        <v>-0.99903699999999995</v>
      </c>
      <c r="Q3876">
        <v>9.8644700000000002E-3</v>
      </c>
      <c r="R3876">
        <v>4.275172E-2</v>
      </c>
      <c r="S3876">
        <v>-2.9872740000000002</v>
      </c>
      <c r="T3876">
        <v>-0.16562189999999999</v>
      </c>
      <c r="U3876">
        <v>0.40193179999999901</v>
      </c>
      <c r="V3876">
        <v>3.401966E-2</v>
      </c>
      <c r="W3876">
        <v>2.4604520000000001E-2</v>
      </c>
      <c r="X3876">
        <v>0.99911830000000001</v>
      </c>
      <c r="Y3876">
        <v>0.124511999999999</v>
      </c>
      <c r="Z3876">
        <v>2.9519920000000001E-3</v>
      </c>
      <c r="AA3876">
        <v>0.99221369999999898</v>
      </c>
      <c r="AB3876">
        <v>24</v>
      </c>
      <c r="AC3876">
        <v>-19.690799999999999</v>
      </c>
      <c r="AD3876">
        <v>-1.1047094959149999</v>
      </c>
      <c r="AE3876">
        <v>2.6789999999999998</v>
      </c>
      <c r="AF3876">
        <v>2.4992202053181898</v>
      </c>
      <c r="AG3876">
        <v>-1.1047094959149999</v>
      </c>
      <c r="AH3876">
        <v>19.6527108959556</v>
      </c>
      <c r="AI3876">
        <v>93.191648860408307</v>
      </c>
      <c r="AJ3876">
        <v>82.7526406278688</v>
      </c>
      <c r="AK3876">
        <v>19.841762277203301</v>
      </c>
    </row>
    <row r="3877" spans="1:37" x14ac:dyDescent="0.2">
      <c r="A3877" t="str">
        <f>"20200111160239343"</f>
        <v>20200111160239343</v>
      </c>
      <c r="B3877" t="str">
        <f>"1578729759336579"</f>
        <v>1578729759336579</v>
      </c>
      <c r="C3877" t="s">
        <v>37</v>
      </c>
      <c r="D3877">
        <v>5.2587739999999998</v>
      </c>
      <c r="E3877">
        <v>0.53679840000000001</v>
      </c>
      <c r="F3877" t="s">
        <v>38</v>
      </c>
      <c r="G3877">
        <v>-354.01069999999999</v>
      </c>
      <c r="H3877" s="1">
        <v>-2.7422319999999998E-6</v>
      </c>
      <c r="I3877">
        <v>140.33240000000001</v>
      </c>
      <c r="J3877">
        <v>-335.19349999999997</v>
      </c>
      <c r="K3877">
        <v>1.1047049999999901</v>
      </c>
      <c r="L3877">
        <v>137.7526</v>
      </c>
      <c r="M3877">
        <v>-0.99985499999999905</v>
      </c>
      <c r="N3877">
        <v>0</v>
      </c>
      <c r="O3877">
        <v>8.5423029999999994E-3</v>
      </c>
      <c r="P3877">
        <v>-0.99903580000000003</v>
      </c>
      <c r="Q3877">
        <v>1.058398E-2</v>
      </c>
      <c r="R3877">
        <v>4.2607930000000002E-2</v>
      </c>
      <c r="S3877">
        <v>-2.9873349999999999</v>
      </c>
      <c r="T3877">
        <v>-0.1731791</v>
      </c>
      <c r="U3877">
        <v>0.40472409999999998</v>
      </c>
      <c r="V3877">
        <v>3.4065360000000003E-2</v>
      </c>
      <c r="W3877">
        <v>2.5317650000000001E-2</v>
      </c>
      <c r="X3877">
        <v>0.99909890000000001</v>
      </c>
      <c r="Y3877">
        <v>0.1255898</v>
      </c>
      <c r="Z3877">
        <v>3.1282150000000002E-3</v>
      </c>
      <c r="AA3877">
        <v>0.9920774</v>
      </c>
      <c r="AB3877">
        <v>24</v>
      </c>
      <c r="AC3877">
        <v>-18.8172</v>
      </c>
      <c r="AD3877">
        <v>-1.10470774223199</v>
      </c>
      <c r="AE3877">
        <v>2.5798000000000001</v>
      </c>
      <c r="AF3877">
        <v>2.4107905622607002</v>
      </c>
      <c r="AG3877">
        <v>-1.10470774223199</v>
      </c>
      <c r="AH3877">
        <v>18.7750377955979</v>
      </c>
      <c r="AI3877">
        <v>93.339995188441605</v>
      </c>
      <c r="AJ3877">
        <v>82.683028662705595</v>
      </c>
      <c r="AK3877">
        <v>18.961390628246701</v>
      </c>
    </row>
    <row r="3878" spans="1:37" x14ac:dyDescent="0.2">
      <c r="A3878" t="str">
        <f>"20200111160239366"</f>
        <v>20200111160239366</v>
      </c>
      <c r="B3878" t="str">
        <f>"1578729759356608"</f>
        <v>1578729759356608</v>
      </c>
      <c r="C3878" t="s">
        <v>37</v>
      </c>
      <c r="D3878">
        <v>5.2804630000000001</v>
      </c>
      <c r="E3878">
        <v>0.5372536</v>
      </c>
      <c r="F3878" t="s">
        <v>38</v>
      </c>
      <c r="G3878">
        <v>-353.77289999999999</v>
      </c>
      <c r="H3878" s="1">
        <v>-2.8313579999999998E-6</v>
      </c>
      <c r="I3878">
        <v>140.28389999999999</v>
      </c>
      <c r="J3878">
        <v>-335.43199999999899</v>
      </c>
      <c r="K3878">
        <v>1.1047020000000001</v>
      </c>
      <c r="L3878">
        <v>137.7544</v>
      </c>
      <c r="M3878">
        <v>-0.99985659999999899</v>
      </c>
      <c r="N3878">
        <v>0</v>
      </c>
      <c r="O3878">
        <v>8.3583089999999995E-3</v>
      </c>
      <c r="P3878">
        <v>-0.99906159999999999</v>
      </c>
      <c r="Q3878">
        <v>1.140291E-2</v>
      </c>
      <c r="R3878">
        <v>4.1787640000000001E-2</v>
      </c>
      <c r="S3878">
        <v>-2.9873959999999999</v>
      </c>
      <c r="T3878">
        <v>-0.17762790000000001</v>
      </c>
      <c r="U3878">
        <v>0.40702820000000001</v>
      </c>
      <c r="V3878">
        <v>3.3429010000000002E-2</v>
      </c>
      <c r="W3878">
        <v>2.6129909999999999E-2</v>
      </c>
      <c r="X3878">
        <v>0.99909939999999997</v>
      </c>
      <c r="Y3878">
        <v>0.12650899999999901</v>
      </c>
      <c r="Z3878">
        <v>3.2462620000000002E-3</v>
      </c>
      <c r="AA3878">
        <v>0.99196019999999896</v>
      </c>
      <c r="AB3878">
        <v>24</v>
      </c>
      <c r="AC3878">
        <v>-18.340900000000001</v>
      </c>
      <c r="AD3878">
        <v>-1.1047048313579999</v>
      </c>
      <c r="AE3878">
        <v>2.5294999999999801</v>
      </c>
      <c r="AF3878">
        <v>2.3676668363478601</v>
      </c>
      <c r="AG3878">
        <v>-1.1047048313579999</v>
      </c>
      <c r="AH3878">
        <v>18.2962663899789</v>
      </c>
      <c r="AI3878">
        <v>93.426745699290905</v>
      </c>
      <c r="AJ3878">
        <v>82.626496313530495</v>
      </c>
      <c r="AK3878">
        <v>18.481871734903901</v>
      </c>
    </row>
    <row r="3879" spans="1:37" x14ac:dyDescent="0.2">
      <c r="A3879" t="str">
        <f>"20200111160239386"</f>
        <v>20200111160239386</v>
      </c>
      <c r="B3879" t="str">
        <f>"1578729759376128"</f>
        <v>1578729759376128</v>
      </c>
      <c r="C3879" t="s">
        <v>37</v>
      </c>
      <c r="D3879">
        <v>5.257231</v>
      </c>
      <c r="E3879">
        <v>0.53759749999999995</v>
      </c>
      <c r="F3879" t="s">
        <v>38</v>
      </c>
      <c r="G3879">
        <v>-353.74189999999999</v>
      </c>
      <c r="H3879" s="1">
        <v>-2.8366320000000001E-6</v>
      </c>
      <c r="I3879">
        <v>140.25370000000001</v>
      </c>
      <c r="J3879">
        <v>-335.64909999999998</v>
      </c>
      <c r="K3879">
        <v>1.1047020000000001</v>
      </c>
      <c r="L3879">
        <v>137.756</v>
      </c>
      <c r="M3879">
        <v>-0.99985809999999997</v>
      </c>
      <c r="N3879">
        <v>0</v>
      </c>
      <c r="O3879">
        <v>8.1921310000000001E-3</v>
      </c>
      <c r="P3879">
        <v>-0.99908859999999999</v>
      </c>
      <c r="Q3879">
        <v>1.1466560000000001E-2</v>
      </c>
      <c r="R3879">
        <v>4.1118740000000001E-2</v>
      </c>
      <c r="S3879">
        <v>-2.987762</v>
      </c>
      <c r="T3879">
        <v>-0.1802636</v>
      </c>
      <c r="U3879">
        <v>0.4078522</v>
      </c>
      <c r="V3879">
        <v>3.2925990000000002E-2</v>
      </c>
      <c r="W3879">
        <v>2.6188070000000001E-2</v>
      </c>
      <c r="X3879">
        <v>0.99911459999999996</v>
      </c>
      <c r="Y3879">
        <v>0.126919</v>
      </c>
      <c r="Z3879">
        <v>3.3161570000000001E-3</v>
      </c>
      <c r="AA3879">
        <v>0.99190750000000005</v>
      </c>
      <c r="AB3879">
        <v>24</v>
      </c>
      <c r="AC3879">
        <v>-18.0928</v>
      </c>
      <c r="AD3879">
        <v>-1.104704836632</v>
      </c>
      <c r="AE3879">
        <v>2.4977</v>
      </c>
      <c r="AF3879">
        <v>2.3408180498003501</v>
      </c>
      <c r="AG3879">
        <v>-1.104704836632</v>
      </c>
      <c r="AH3879">
        <v>18.0466360012176</v>
      </c>
      <c r="AI3879">
        <v>93.473897453655397</v>
      </c>
      <c r="AJ3879">
        <v>82.609462789519398</v>
      </c>
      <c r="AK3879">
        <v>18.2313157199033</v>
      </c>
    </row>
    <row r="3880" spans="1:37" x14ac:dyDescent="0.2">
      <c r="A3880" t="str">
        <f>"20200111160239409"</f>
        <v>20200111160239409</v>
      </c>
      <c r="B3880" t="str">
        <f>"1578729759406384"</f>
        <v>1578729759406384</v>
      </c>
      <c r="C3880" t="s">
        <v>37</v>
      </c>
      <c r="D3880">
        <v>5.2081569999999999</v>
      </c>
      <c r="E3880">
        <v>0.53815979999999997</v>
      </c>
      <c r="F3880" t="s">
        <v>38</v>
      </c>
      <c r="G3880">
        <v>-353.54570000000001</v>
      </c>
      <c r="H3880" s="1">
        <v>-2.9070010000000001E-6</v>
      </c>
      <c r="I3880">
        <v>140.20189999999999</v>
      </c>
      <c r="J3880">
        <v>-335.88479999999998</v>
      </c>
      <c r="K3880">
        <v>1.1047</v>
      </c>
      <c r="L3880">
        <v>137.7577</v>
      </c>
      <c r="M3880">
        <v>-0.99985959999999996</v>
      </c>
      <c r="N3880">
        <v>0</v>
      </c>
      <c r="O3880">
        <v>8.0111990000000001E-3</v>
      </c>
      <c r="P3880">
        <v>-0.99910319999999997</v>
      </c>
      <c r="Q3880">
        <v>1.2183370000000001E-2</v>
      </c>
      <c r="R3880">
        <v>4.0552690000000002E-2</v>
      </c>
      <c r="S3880">
        <v>-2.9880369999999998</v>
      </c>
      <c r="T3880">
        <v>-0.18444340000000001</v>
      </c>
      <c r="U3880">
        <v>0.40838619999999998</v>
      </c>
      <c r="V3880">
        <v>3.2540430000000002E-2</v>
      </c>
      <c r="W3880">
        <v>2.689973E-2</v>
      </c>
      <c r="X3880">
        <v>0.99910840000000001</v>
      </c>
      <c r="Y3880">
        <v>0.12724949999999999</v>
      </c>
      <c r="Z3880">
        <v>3.4138039999999999E-3</v>
      </c>
      <c r="AA3880">
        <v>0.99186489999999905</v>
      </c>
      <c r="AB3880">
        <v>24</v>
      </c>
      <c r="AC3880">
        <v>-17.660900000000002</v>
      </c>
      <c r="AD3880">
        <v>-1.1047029070009999</v>
      </c>
      <c r="AE3880">
        <v>2.4441999999999902</v>
      </c>
      <c r="AF3880">
        <v>2.2938151275376599</v>
      </c>
      <c r="AG3880">
        <v>-1.1047029070009999</v>
      </c>
      <c r="AH3880">
        <v>17.612301417318701</v>
      </c>
      <c r="AI3880">
        <v>93.5591024833993</v>
      </c>
      <c r="AJ3880">
        <v>82.5796010460231</v>
      </c>
      <c r="AK3880">
        <v>17.7953678682556</v>
      </c>
    </row>
    <row r="3881" spans="1:37" x14ac:dyDescent="0.2">
      <c r="A3881" t="str">
        <f>"20200111160239432"</f>
        <v>20200111160239432</v>
      </c>
      <c r="B3881" t="str">
        <f>"1578729759425903"</f>
        <v>1578729759425903</v>
      </c>
      <c r="C3881" t="s">
        <v>37</v>
      </c>
      <c r="D3881">
        <v>5.2737869999999996</v>
      </c>
      <c r="E3881">
        <v>0.53846050000000001</v>
      </c>
      <c r="F3881" t="s">
        <v>38</v>
      </c>
      <c r="G3881">
        <v>-353.53129999999999</v>
      </c>
      <c r="H3881" s="1">
        <v>-2.9085979999999999E-6</v>
      </c>
      <c r="I3881">
        <v>140.18459999999999</v>
      </c>
      <c r="J3881">
        <v>-336.13060000000002</v>
      </c>
      <c r="K3881">
        <v>1.1047129999999901</v>
      </c>
      <c r="L3881">
        <v>137.7595</v>
      </c>
      <c r="M3881">
        <v>-0.99986119999999901</v>
      </c>
      <c r="N3881">
        <v>0</v>
      </c>
      <c r="O3881">
        <v>7.8202329999999994E-3</v>
      </c>
      <c r="P3881">
        <v>-0.99909899999999996</v>
      </c>
      <c r="Q3881">
        <v>1.288777E-2</v>
      </c>
      <c r="R3881">
        <v>4.0436229999999997E-2</v>
      </c>
      <c r="S3881">
        <v>-2.9882810000000002</v>
      </c>
      <c r="T3881">
        <v>-0.18707299999999999</v>
      </c>
      <c r="U3881">
        <v>0.41099550000000001</v>
      </c>
      <c r="V3881">
        <v>3.2614490000000003E-2</v>
      </c>
      <c r="W3881">
        <v>2.7597569999999998E-2</v>
      </c>
      <c r="X3881">
        <v>0.9990869</v>
      </c>
      <c r="Y3881">
        <v>0.12826940000000001</v>
      </c>
      <c r="Z3881">
        <v>3.5055279999999999E-3</v>
      </c>
      <c r="AA3881">
        <v>0.99173310000000003</v>
      </c>
      <c r="AB3881">
        <v>24</v>
      </c>
      <c r="AC3881">
        <v>-17.400699999999901</v>
      </c>
      <c r="AD3881">
        <v>-1.1047159085979901</v>
      </c>
      <c r="AE3881">
        <v>2.42509999999998</v>
      </c>
      <c r="AF3881">
        <v>2.2799192590141999</v>
      </c>
      <c r="AG3881">
        <v>-1.1047159085979901</v>
      </c>
      <c r="AH3881">
        <v>17.350534396037201</v>
      </c>
      <c r="AI3881">
        <v>93.612160403830501</v>
      </c>
      <c r="AJ3881">
        <v>82.514029380632095</v>
      </c>
      <c r="AK3881">
        <v>17.534522317257601</v>
      </c>
    </row>
    <row r="3882" spans="1:37" x14ac:dyDescent="0.2">
      <c r="A3882" t="str">
        <f>"20200111160239454"</f>
        <v>20200111160239454</v>
      </c>
      <c r="B3882" t="str">
        <f>"1578729759445931"</f>
        <v>1578729759445931</v>
      </c>
      <c r="C3882" t="s">
        <v>37</v>
      </c>
      <c r="D3882">
        <v>5.2452909999999999</v>
      </c>
      <c r="E3882">
        <v>0.53877600000000003</v>
      </c>
      <c r="F3882" t="s">
        <v>38</v>
      </c>
      <c r="G3882">
        <v>-353.685</v>
      </c>
      <c r="H3882" s="1">
        <v>-2.842497E-6</v>
      </c>
      <c r="I3882">
        <v>140.1841</v>
      </c>
      <c r="J3882">
        <v>-336.36180000000002</v>
      </c>
      <c r="K3882">
        <v>1.1047199999999999</v>
      </c>
      <c r="L3882">
        <v>137.761</v>
      </c>
      <c r="M3882">
        <v>-0.99986280000000005</v>
      </c>
      <c r="N3882">
        <v>0</v>
      </c>
      <c r="O3882">
        <v>7.6377290000000002E-3</v>
      </c>
      <c r="P3882">
        <v>-0.99911740000000004</v>
      </c>
      <c r="Q3882">
        <v>1.300192E-2</v>
      </c>
      <c r="R3882">
        <v>3.9947089999999998E-2</v>
      </c>
      <c r="S3882">
        <v>-2.9884339999999998</v>
      </c>
      <c r="T3882">
        <v>-0.18806589999999901</v>
      </c>
      <c r="U3882">
        <v>0.4127808</v>
      </c>
      <c r="V3882">
        <v>3.230748E-2</v>
      </c>
      <c r="W3882">
        <v>2.7706720000000001E-2</v>
      </c>
      <c r="X3882">
        <v>0.99909389999999998</v>
      </c>
      <c r="Y3882">
        <v>0.12902079999999999</v>
      </c>
      <c r="Z3882">
        <v>3.5587009999999901E-3</v>
      </c>
      <c r="AA3882">
        <v>0.9916355</v>
      </c>
      <c r="AB3882">
        <v>24</v>
      </c>
      <c r="AC3882">
        <v>-17.3231999999999</v>
      </c>
      <c r="AD3882">
        <v>-1.1047228424969999</v>
      </c>
      <c r="AE3882">
        <v>2.4230999999999998</v>
      </c>
      <c r="AF3882">
        <v>2.2816043867083802</v>
      </c>
      <c r="AG3882">
        <v>-1.1047228424969999</v>
      </c>
      <c r="AH3882">
        <v>17.272308895655001</v>
      </c>
      <c r="AI3882">
        <v>93.628174215374401</v>
      </c>
      <c r="AJ3882">
        <v>82.475018749546507</v>
      </c>
      <c r="AK3882">
        <v>17.457341885954602</v>
      </c>
    </row>
    <row r="3883" spans="1:37" x14ac:dyDescent="0.2">
      <c r="A3883" t="str">
        <f>"20200111160239477"</f>
        <v>20200111160239477</v>
      </c>
      <c r="B3883" t="str">
        <f>"1578729759466428"</f>
        <v>1578729759466428</v>
      </c>
      <c r="C3883" t="s">
        <v>37</v>
      </c>
      <c r="D3883">
        <v>5.2364730000000002</v>
      </c>
      <c r="E3883">
        <v>0.53889259999999894</v>
      </c>
      <c r="F3883" t="s">
        <v>38</v>
      </c>
      <c r="G3883">
        <v>-353.71370000000002</v>
      </c>
      <c r="H3883" s="1">
        <v>-2.8245790000000001E-6</v>
      </c>
      <c r="I3883">
        <v>140.16309999999999</v>
      </c>
      <c r="J3883">
        <v>-336.59179999999998</v>
      </c>
      <c r="K3883">
        <v>1.1047229999999999</v>
      </c>
      <c r="L3883">
        <v>137.76259999999999</v>
      </c>
      <c r="M3883">
        <v>-0.99986419999999998</v>
      </c>
      <c r="N3883">
        <v>0</v>
      </c>
      <c r="O3883">
        <v>7.4531469999999898E-3</v>
      </c>
      <c r="P3883">
        <v>-0.99911919999999899</v>
      </c>
      <c r="Q3883">
        <v>1.3015219999999999E-2</v>
      </c>
      <c r="R3883">
        <v>3.9894520000000003E-2</v>
      </c>
      <c r="S3883">
        <v>-2.9886169999999899</v>
      </c>
      <c r="T3883">
        <v>-0.19027230000000001</v>
      </c>
      <c r="U3883">
        <v>0.41372680000000001</v>
      </c>
      <c r="V3883">
        <v>3.2439299999999997E-2</v>
      </c>
      <c r="W3883">
        <v>2.7714349999999999E-2</v>
      </c>
      <c r="X3883">
        <v>0.99908940000000002</v>
      </c>
      <c r="Y3883">
        <v>0.1294968</v>
      </c>
      <c r="Z3883">
        <v>3.6268239999999998E-3</v>
      </c>
      <c r="AA3883">
        <v>0.99157320000000004</v>
      </c>
      <c r="AB3883">
        <v>23</v>
      </c>
      <c r="AC3883">
        <v>-17.1219</v>
      </c>
      <c r="AD3883">
        <v>-1.1047258245789999</v>
      </c>
      <c r="AE3883">
        <v>2.4004999999999899</v>
      </c>
      <c r="AF3883">
        <v>2.2635659444986</v>
      </c>
      <c r="AG3883">
        <v>-1.1047258245789999</v>
      </c>
      <c r="AH3883">
        <v>17.0696267613177</v>
      </c>
      <c r="AI3883">
        <v>93.670903674570397</v>
      </c>
      <c r="AJ3883">
        <v>82.446203425362199</v>
      </c>
      <c r="AK3883">
        <v>17.254457618345398</v>
      </c>
    </row>
    <row r="3884" spans="1:37" x14ac:dyDescent="0.2">
      <c r="A3884" t="str">
        <f>"20200111160239498"</f>
        <v>20200111160239498</v>
      </c>
      <c r="B3884" t="str">
        <f>"1578729759496683"</f>
        <v>1578729759496683</v>
      </c>
      <c r="C3884" t="s">
        <v>37</v>
      </c>
      <c r="D3884">
        <v>5.2094230000000001</v>
      </c>
      <c r="E3884">
        <v>0.53931359999999995</v>
      </c>
      <c r="F3884" t="s">
        <v>38</v>
      </c>
      <c r="G3884">
        <v>-353.67</v>
      </c>
      <c r="H3884" s="1">
        <v>-2.83422399999999E-6</v>
      </c>
      <c r="I3884">
        <v>140.12880000000001</v>
      </c>
      <c r="J3884">
        <v>-336.81880000000001</v>
      </c>
      <c r="K3884">
        <v>1.1047199999999999</v>
      </c>
      <c r="L3884">
        <v>137.76410000000001</v>
      </c>
      <c r="M3884">
        <v>-0.99986569999999997</v>
      </c>
      <c r="N3884">
        <v>0</v>
      </c>
      <c r="O3884">
        <v>7.26845599999999E-3</v>
      </c>
      <c r="P3884">
        <v>-0.99912429999999997</v>
      </c>
      <c r="Q3884">
        <v>1.367379E-2</v>
      </c>
      <c r="R3884">
        <v>3.9538709999999998E-2</v>
      </c>
      <c r="S3884">
        <v>-2.9886169999999899</v>
      </c>
      <c r="T3884">
        <v>-0.19332299999999999</v>
      </c>
      <c r="U3884">
        <v>0.41409299999999999</v>
      </c>
      <c r="V3884">
        <v>3.2267589999999999E-2</v>
      </c>
      <c r="W3884">
        <v>2.8367360000000001E-2</v>
      </c>
      <c r="X3884">
        <v>0.99907659999999998</v>
      </c>
      <c r="Y3884">
        <v>0.1297903</v>
      </c>
      <c r="Z3884">
        <v>3.7061389999999998E-3</v>
      </c>
      <c r="AA3884">
        <v>0.99153449999999999</v>
      </c>
      <c r="AB3884">
        <v>23</v>
      </c>
      <c r="AC3884">
        <v>-16.851199999999999</v>
      </c>
      <c r="AD3884">
        <v>-1.1047228342240001</v>
      </c>
      <c r="AE3884">
        <v>2.3646999999999898</v>
      </c>
      <c r="AF3884">
        <v>2.2327316053562898</v>
      </c>
      <c r="AG3884">
        <v>-1.1047228342240001</v>
      </c>
      <c r="AH3884">
        <v>16.797147886205298</v>
      </c>
      <c r="AI3884">
        <v>93.730122155404999</v>
      </c>
      <c r="AJ3884">
        <v>82.428443109298996</v>
      </c>
      <c r="AK3884">
        <v>16.980862171075501</v>
      </c>
    </row>
    <row r="3885" spans="1:37" x14ac:dyDescent="0.2">
      <c r="A3885" t="str">
        <f>"20200111160239521"</f>
        <v>20200111160239521</v>
      </c>
      <c r="B3885" t="str">
        <f>"1578729759516203"</f>
        <v>1578729759516203</v>
      </c>
      <c r="C3885" t="s">
        <v>37</v>
      </c>
      <c r="D3885">
        <v>5.42239</v>
      </c>
      <c r="E3885">
        <v>0.5397189</v>
      </c>
      <c r="F3885" t="s">
        <v>38</v>
      </c>
      <c r="G3885">
        <v>-353.69929999999999</v>
      </c>
      <c r="H3885" s="1">
        <v>-2.8178949999999998E-6</v>
      </c>
      <c r="I3885">
        <v>140.1146</v>
      </c>
      <c r="J3885">
        <v>-337.0573</v>
      </c>
      <c r="K3885">
        <v>1.1047229999999999</v>
      </c>
      <c r="L3885">
        <v>137.76560000000001</v>
      </c>
      <c r="M3885">
        <v>-0.99986710000000001</v>
      </c>
      <c r="N3885">
        <v>0</v>
      </c>
      <c r="O3885">
        <v>7.0726299999999999E-3</v>
      </c>
      <c r="P3885">
        <v>-0.99912690000000004</v>
      </c>
      <c r="Q3885">
        <v>1.354663E-2</v>
      </c>
      <c r="R3885">
        <v>3.9525289999999998E-2</v>
      </c>
      <c r="S3885">
        <v>-2.988861</v>
      </c>
      <c r="T3885">
        <v>-0.19560329999999901</v>
      </c>
      <c r="U3885">
        <v>0.41619869999999998</v>
      </c>
      <c r="V3885">
        <v>3.245E-2</v>
      </c>
      <c r="W3885">
        <v>2.8234370000000002E-2</v>
      </c>
      <c r="X3885">
        <v>0.99907449999999998</v>
      </c>
      <c r="Y3885">
        <v>0.13065070000000001</v>
      </c>
      <c r="Z3885">
        <v>3.7900059999999998E-3</v>
      </c>
      <c r="AA3885">
        <v>0.9914212</v>
      </c>
      <c r="AB3885">
        <v>23</v>
      </c>
      <c r="AC3885">
        <v>-16.6419999999999</v>
      </c>
      <c r="AD3885">
        <v>-1.1047258178949999</v>
      </c>
      <c r="AE3885">
        <v>2.3489999999999802</v>
      </c>
      <c r="AF3885">
        <v>2.2216273620828701</v>
      </c>
      <c r="AG3885">
        <v>-1.1047258178949999</v>
      </c>
      <c r="AH3885">
        <v>16.5865375019157</v>
      </c>
      <c r="AI3885">
        <v>93.776857127239893</v>
      </c>
      <c r="AJ3885">
        <v>82.371117035976894</v>
      </c>
      <c r="AK3885">
        <v>16.7710844482739</v>
      </c>
    </row>
    <row r="3886" spans="1:37" x14ac:dyDescent="0.2">
      <c r="A3886" t="str">
        <f>"20200111160239544"</f>
        <v>20200111160239544</v>
      </c>
      <c r="B3886" t="str">
        <f>"1578729759536701"</f>
        <v>1578729759536701</v>
      </c>
      <c r="C3886" t="s">
        <v>37</v>
      </c>
      <c r="D3886">
        <v>5.3007720000000003</v>
      </c>
      <c r="E3886">
        <v>0.53997910000000005</v>
      </c>
      <c r="F3886" t="s">
        <v>38</v>
      </c>
      <c r="G3886">
        <v>-353.74619999999999</v>
      </c>
      <c r="H3886" s="1">
        <v>-2.7954649999999998E-6</v>
      </c>
      <c r="I3886">
        <v>140.10589999999999</v>
      </c>
      <c r="J3886">
        <v>-337.2944</v>
      </c>
      <c r="K3886">
        <v>1.10473</v>
      </c>
      <c r="L3886">
        <v>137.767</v>
      </c>
      <c r="M3886">
        <v>-0.9998686</v>
      </c>
      <c r="N3886">
        <v>0</v>
      </c>
      <c r="O3886">
        <v>6.8774659999999996E-3</v>
      </c>
      <c r="P3886">
        <v>-0.99912809999999896</v>
      </c>
      <c r="Q3886">
        <v>1.400474E-2</v>
      </c>
      <c r="R3886">
        <v>3.9336349999999999E-2</v>
      </c>
      <c r="S3886">
        <v>-2.98867799999999</v>
      </c>
      <c r="T3886">
        <v>-0.19783709999999999</v>
      </c>
      <c r="U3886">
        <v>0.41912840000000001</v>
      </c>
      <c r="V3886">
        <v>3.2456169999999999E-2</v>
      </c>
      <c r="W3886">
        <v>2.868623E-2</v>
      </c>
      <c r="X3886">
        <v>0.99906139999999999</v>
      </c>
      <c r="Y3886">
        <v>0.13179679999999999</v>
      </c>
      <c r="Z3886">
        <v>3.883718E-3</v>
      </c>
      <c r="AA3886">
        <v>0.99126919999999996</v>
      </c>
      <c r="AB3886">
        <v>23</v>
      </c>
      <c r="AC3886">
        <v>-16.451799999999899</v>
      </c>
      <c r="AD3886">
        <v>-1.1047327954649999</v>
      </c>
      <c r="AE3886">
        <v>2.33889999999999</v>
      </c>
      <c r="AF3886">
        <v>2.2158921012644202</v>
      </c>
      <c r="AG3886">
        <v>-1.1047327954649999</v>
      </c>
      <c r="AH3886">
        <v>16.395036344836299</v>
      </c>
      <c r="AI3886">
        <v>93.820255111764496</v>
      </c>
      <c r="AJ3886">
        <v>82.302758571081299</v>
      </c>
      <c r="AK3886">
        <v>16.580947774549099</v>
      </c>
    </row>
    <row r="3887" spans="1:37" x14ac:dyDescent="0.2">
      <c r="A3887" t="str">
        <f>"20200111160239566"</f>
        <v>20200111160239566</v>
      </c>
      <c r="B3887" t="str">
        <f>"1578729759555751"</f>
        <v>1578729759555751</v>
      </c>
      <c r="C3887" t="s">
        <v>37</v>
      </c>
      <c r="D3887">
        <v>5.3022239999999998</v>
      </c>
      <c r="E3887">
        <v>0.54027569999999903</v>
      </c>
      <c r="F3887" t="s">
        <v>38</v>
      </c>
      <c r="G3887">
        <v>-353.9212</v>
      </c>
      <c r="H3887" s="1">
        <v>-2.7204529999999998E-6</v>
      </c>
      <c r="I3887">
        <v>140.1062</v>
      </c>
      <c r="J3887">
        <v>-337.52210000000002</v>
      </c>
      <c r="K3887">
        <v>1.1047340000000001</v>
      </c>
      <c r="L3887">
        <v>137.76840000000001</v>
      </c>
      <c r="M3887">
        <v>-0.99986989999999998</v>
      </c>
      <c r="N3887">
        <v>0</v>
      </c>
      <c r="O3887">
        <v>6.689815E-3</v>
      </c>
      <c r="P3887">
        <v>-0.99912019999999901</v>
      </c>
      <c r="Q3887">
        <v>1.415931E-2</v>
      </c>
      <c r="R3887">
        <v>3.9476579999999997E-2</v>
      </c>
      <c r="S3887">
        <v>-2.9888309999999998</v>
      </c>
      <c r="T3887">
        <v>-0.19858709999999999</v>
      </c>
      <c r="U3887">
        <v>0.42050169999999998</v>
      </c>
      <c r="V3887">
        <v>3.2783689999999997E-2</v>
      </c>
      <c r="W3887">
        <v>2.883542E-2</v>
      </c>
      <c r="X3887">
        <v>0.9990464</v>
      </c>
      <c r="Y3887">
        <v>0.132418799999999</v>
      </c>
      <c r="Z3887">
        <v>3.9310200000000003E-3</v>
      </c>
      <c r="AA3887">
        <v>0.99118609999999896</v>
      </c>
      <c r="AB3887">
        <v>23</v>
      </c>
      <c r="AC3887">
        <v>-16.399099999999901</v>
      </c>
      <c r="AD3887">
        <v>-1.1047367204530001</v>
      </c>
      <c r="AE3887">
        <v>2.3377999999999801</v>
      </c>
      <c r="AF3887">
        <v>2.2181630819230498</v>
      </c>
      <c r="AG3887">
        <v>-1.1047367204530001</v>
      </c>
      <c r="AH3887">
        <v>16.341690377065301</v>
      </c>
      <c r="AI3887">
        <v>93.832407591860303</v>
      </c>
      <c r="AJ3887">
        <v>82.270115906025197</v>
      </c>
      <c r="AK3887">
        <v>16.528506740156299</v>
      </c>
    </row>
    <row r="3888" spans="1:37" x14ac:dyDescent="0.2">
      <c r="A3888" t="str">
        <f>"20200111160239587"</f>
        <v>20200111160239587</v>
      </c>
      <c r="B3888" t="str">
        <f>"1578729759576246"</f>
        <v>1578729759576246</v>
      </c>
      <c r="C3888" t="s">
        <v>37</v>
      </c>
      <c r="D3888">
        <v>5.3824370000000004</v>
      </c>
      <c r="E3888">
        <v>0.54048219999999902</v>
      </c>
      <c r="F3888" t="s">
        <v>38</v>
      </c>
      <c r="G3888">
        <v>-354.04129999999998</v>
      </c>
      <c r="H3888" s="1">
        <v>-2.6691509999999999E-6</v>
      </c>
      <c r="I3888">
        <v>140.1071</v>
      </c>
      <c r="J3888">
        <v>-337.74529999999999</v>
      </c>
      <c r="K3888">
        <v>1.1047359999999999</v>
      </c>
      <c r="L3888">
        <v>137.7697</v>
      </c>
      <c r="M3888">
        <v>-0.99987130000000002</v>
      </c>
      <c r="N3888">
        <v>0</v>
      </c>
      <c r="O3888">
        <v>6.5060430000000004E-3</v>
      </c>
      <c r="P3888">
        <v>-0.99912659999999998</v>
      </c>
      <c r="Q3888">
        <v>1.4441590000000001E-2</v>
      </c>
      <c r="R3888">
        <v>3.9212669999999998E-2</v>
      </c>
      <c r="S3888">
        <v>-2.9887389999999998</v>
      </c>
      <c r="T3888">
        <v>-0.19987460000000001</v>
      </c>
      <c r="U3888">
        <v>0.4231415</v>
      </c>
      <c r="V3888">
        <v>3.2703400000000001E-2</v>
      </c>
      <c r="W3888">
        <v>2.911234E-2</v>
      </c>
      <c r="X3888">
        <v>0.99904099999999996</v>
      </c>
      <c r="Y3888">
        <v>0.1334572</v>
      </c>
      <c r="Z3888">
        <v>4.0030580000000003E-3</v>
      </c>
      <c r="AA3888">
        <v>0.99104650000000005</v>
      </c>
      <c r="AB3888">
        <v>23</v>
      </c>
      <c r="AC3888">
        <v>-16.2959999999999</v>
      </c>
      <c r="AD3888">
        <v>-1.1047386691509999</v>
      </c>
      <c r="AE3888">
        <v>2.3374000000000001</v>
      </c>
      <c r="AF3888">
        <v>2.2213138127039</v>
      </c>
      <c r="AG3888">
        <v>-1.1047386691509999</v>
      </c>
      <c r="AH3888">
        <v>16.237743490181501</v>
      </c>
      <c r="AI3888">
        <v>93.856327169742798</v>
      </c>
      <c r="AJ3888">
        <v>82.210322938631094</v>
      </c>
      <c r="AK3888">
        <v>16.4261680325802</v>
      </c>
    </row>
    <row r="3889" spans="1:37" x14ac:dyDescent="0.2">
      <c r="A3889" t="str">
        <f>"20200111160239611"</f>
        <v>20200111160239611</v>
      </c>
      <c r="B3889" t="str">
        <f>"1578729759606503"</f>
        <v>1578729759606503</v>
      </c>
      <c r="C3889" t="s">
        <v>37</v>
      </c>
      <c r="D3889">
        <v>5.3232869999999997</v>
      </c>
      <c r="E3889">
        <v>0.5407284</v>
      </c>
      <c r="F3889" t="s">
        <v>38</v>
      </c>
      <c r="G3889">
        <v>-354.16390000000001</v>
      </c>
      <c r="H3889" s="1">
        <v>-2.6138700000000001E-6</v>
      </c>
      <c r="I3889">
        <v>140.09700000000001</v>
      </c>
      <c r="J3889">
        <v>-337.9812</v>
      </c>
      <c r="K3889">
        <v>1.104741</v>
      </c>
      <c r="L3889">
        <v>137.77099999999999</v>
      </c>
      <c r="M3889">
        <v>-0.9998726</v>
      </c>
      <c r="N3889">
        <v>0</v>
      </c>
      <c r="O3889">
        <v>6.3120279999999999E-3</v>
      </c>
      <c r="P3889">
        <v>-0.99911830000000001</v>
      </c>
      <c r="Q3889">
        <v>1.446309E-2</v>
      </c>
      <c r="R3889">
        <v>3.9419199999999897E-2</v>
      </c>
      <c r="S3889">
        <v>-2.9888919999999999</v>
      </c>
      <c r="T3889">
        <v>-0.20110980000000001</v>
      </c>
      <c r="U3889">
        <v>0.42369079999999898</v>
      </c>
      <c r="V3889">
        <v>3.3103970000000003E-2</v>
      </c>
      <c r="W3889">
        <v>2.91276E-2</v>
      </c>
      <c r="X3889">
        <v>0.99902739999999901</v>
      </c>
      <c r="Y3889">
        <v>0.1338164</v>
      </c>
      <c r="Z3889">
        <v>4.0524699999999999E-3</v>
      </c>
      <c r="AA3889">
        <v>0.99099789999999999</v>
      </c>
      <c r="AB3889">
        <v>23</v>
      </c>
      <c r="AC3889">
        <v>-16.182700000000001</v>
      </c>
      <c r="AD3889">
        <v>-1.10474361387</v>
      </c>
      <c r="AE3889">
        <v>2.3259999999999899</v>
      </c>
      <c r="AF3889">
        <v>2.2136892138668598</v>
      </c>
      <c r="AG3889">
        <v>-1.10474361387</v>
      </c>
      <c r="AH3889">
        <v>16.123440552569502</v>
      </c>
      <c r="AI3889">
        <v>93.883340764746094</v>
      </c>
      <c r="AJ3889">
        <v>82.182376707999197</v>
      </c>
      <c r="AK3889">
        <v>16.312149264895201</v>
      </c>
    </row>
    <row r="3890" spans="1:37" x14ac:dyDescent="0.2">
      <c r="A3890" t="str">
        <f>"20200111160239635"</f>
        <v>20200111160239635</v>
      </c>
      <c r="B3890" t="str">
        <f>"1578729759626024"</f>
        <v>1578729759626024</v>
      </c>
      <c r="C3890" t="s">
        <v>37</v>
      </c>
      <c r="D3890">
        <v>5.3732629999999997</v>
      </c>
      <c r="E3890">
        <v>0.54074800000000001</v>
      </c>
      <c r="F3890" t="s">
        <v>42</v>
      </c>
      <c r="G3890">
        <v>-338.90300000000002</v>
      </c>
      <c r="H3890">
        <v>1.041866</v>
      </c>
      <c r="I3890">
        <v>137.90260000000001</v>
      </c>
      <c r="J3890">
        <v>-338.245</v>
      </c>
      <c r="K3890">
        <v>1.1047419999999999</v>
      </c>
      <c r="L3890">
        <v>137.7724</v>
      </c>
      <c r="M3890">
        <v>-0.99987399999999904</v>
      </c>
      <c r="N3890">
        <v>0</v>
      </c>
      <c r="O3890">
        <v>6.0954329999999999E-3</v>
      </c>
      <c r="P3890">
        <v>-0.99911090000000002</v>
      </c>
      <c r="Q3890">
        <v>1.470222E-2</v>
      </c>
      <c r="R3890">
        <v>3.951495E-2</v>
      </c>
      <c r="S3890">
        <v>-2.9887999999999999</v>
      </c>
      <c r="T3890">
        <v>-0.2038625</v>
      </c>
      <c r="U3890">
        <v>0.42608639999999998</v>
      </c>
      <c r="V3890">
        <v>3.341595E-2</v>
      </c>
      <c r="W3890">
        <v>2.9360190000000001E-2</v>
      </c>
      <c r="X3890">
        <v>0.99901019999999896</v>
      </c>
      <c r="Y3890">
        <v>0.13480339999999999</v>
      </c>
      <c r="Z3890">
        <v>4.1558389999999997E-3</v>
      </c>
      <c r="AA3890">
        <v>0.99086369999999901</v>
      </c>
      <c r="AB3890">
        <v>23</v>
      </c>
      <c r="AC3890">
        <v>-0.65800000000001502</v>
      </c>
      <c r="AD3890">
        <v>-6.2876000000000098E-2</v>
      </c>
      <c r="AE3890">
        <v>0.13020000000000201</v>
      </c>
      <c r="AF3890">
        <v>0.12508721931555999</v>
      </c>
      <c r="AG3890">
        <v>-6.2876000000000098E-2</v>
      </c>
      <c r="AH3890">
        <v>0.65304322361431699</v>
      </c>
      <c r="AI3890">
        <v>95.401964804964294</v>
      </c>
      <c r="AJ3890">
        <v>79.156614836450501</v>
      </c>
      <c r="AK3890">
        <v>0.66788146831655504</v>
      </c>
    </row>
    <row r="3891" spans="1:37" x14ac:dyDescent="0.2">
      <c r="A3891" t="str">
        <f>"20200111160239655"</f>
        <v>20200111160239655</v>
      </c>
      <c r="B3891" t="str">
        <f>"1578729759646052"</f>
        <v>1578729759646052</v>
      </c>
      <c r="C3891" t="s">
        <v>37</v>
      </c>
      <c r="D3891">
        <v>5.6729199999999897</v>
      </c>
      <c r="E3891">
        <v>0.54064190000000001</v>
      </c>
      <c r="F3891" t="s">
        <v>42</v>
      </c>
      <c r="G3891">
        <v>-339.11110000000002</v>
      </c>
      <c r="H3891">
        <v>1.0453680000000001</v>
      </c>
      <c r="I3891">
        <v>137.89619999999999</v>
      </c>
      <c r="J3891">
        <v>-338.44490000000002</v>
      </c>
      <c r="K3891">
        <v>1.1047419999999999</v>
      </c>
      <c r="L3891">
        <v>137.77340000000001</v>
      </c>
      <c r="M3891">
        <v>-0.99987499999999996</v>
      </c>
      <c r="N3891">
        <v>0</v>
      </c>
      <c r="O3891">
        <v>5.9312740000000003E-3</v>
      </c>
      <c r="P3891">
        <v>-0.99909669999999895</v>
      </c>
      <c r="Q3891">
        <v>1.541788E-2</v>
      </c>
      <c r="R3891">
        <v>3.9597380000000001E-2</v>
      </c>
      <c r="S3891">
        <v>-2.9888309999999998</v>
      </c>
      <c r="T3891">
        <v>-0.20496109999999901</v>
      </c>
      <c r="U3891">
        <v>0.42630000000000001</v>
      </c>
      <c r="V3891">
        <v>3.3662419999999998E-2</v>
      </c>
      <c r="W3891">
        <v>3.0070369999999999E-2</v>
      </c>
      <c r="X3891">
        <v>0.9989808</v>
      </c>
      <c r="Y3891">
        <v>0.13502999999999901</v>
      </c>
      <c r="Z3891">
        <v>4.1970269999999999E-3</v>
      </c>
      <c r="AA3891">
        <v>0.99083259999999995</v>
      </c>
      <c r="AB3891">
        <v>23</v>
      </c>
      <c r="AC3891">
        <v>-0.66620000000000301</v>
      </c>
      <c r="AD3891">
        <v>-5.9374000000000003E-2</v>
      </c>
      <c r="AE3891">
        <v>0.12279999999998301</v>
      </c>
      <c r="AF3891">
        <v>0.117939989237015</v>
      </c>
      <c r="AG3891">
        <v>-5.9374000000000003E-2</v>
      </c>
      <c r="AH3891">
        <v>0.66183254228111799</v>
      </c>
      <c r="AI3891">
        <v>95.047274072724903</v>
      </c>
      <c r="AJ3891">
        <v>79.895833313268398</v>
      </c>
      <c r="AK3891">
        <v>0.67487586040657499</v>
      </c>
    </row>
    <row r="3892" spans="1:37" x14ac:dyDescent="0.2">
      <c r="A3892" t="str">
        <f>"20200111160239677"</f>
        <v>20200111160239677</v>
      </c>
      <c r="B3892" t="str">
        <f>"1578729759666548"</f>
        <v>1578729759666548</v>
      </c>
      <c r="C3892" t="s">
        <v>37</v>
      </c>
      <c r="D3892">
        <v>5.3550149999999999</v>
      </c>
      <c r="E3892">
        <v>0.54081080000000004</v>
      </c>
      <c r="F3892" t="s">
        <v>42</v>
      </c>
      <c r="G3892">
        <v>-339.31650000000002</v>
      </c>
      <c r="H3892">
        <v>1.0454049999999999</v>
      </c>
      <c r="I3892">
        <v>137.89769999999999</v>
      </c>
      <c r="J3892">
        <v>-338.66390000000001</v>
      </c>
      <c r="K3892">
        <v>1.104738</v>
      </c>
      <c r="L3892">
        <v>137.77449999999999</v>
      </c>
      <c r="M3892">
        <v>-0.99987630000000005</v>
      </c>
      <c r="N3892">
        <v>0</v>
      </c>
      <c r="O3892">
        <v>5.7516850000000003E-3</v>
      </c>
      <c r="P3892">
        <v>-0.99910180000000004</v>
      </c>
      <c r="Q3892">
        <v>1.5141440000000001E-2</v>
      </c>
      <c r="R3892">
        <v>3.9581129999999999E-2</v>
      </c>
      <c r="S3892">
        <v>-2.988953</v>
      </c>
      <c r="T3892">
        <v>-0.20352809999999999</v>
      </c>
      <c r="U3892">
        <v>0.4256897</v>
      </c>
      <c r="V3892">
        <v>3.3825969999999997E-2</v>
      </c>
      <c r="W3892">
        <v>2.9789159999999999E-2</v>
      </c>
      <c r="X3892">
        <v>0.99898369999999903</v>
      </c>
      <c r="Y3892">
        <v>0.13500770000000001</v>
      </c>
      <c r="Z3892">
        <v>4.1790439999999998E-3</v>
      </c>
      <c r="AA3892">
        <v>0.99083569999999999</v>
      </c>
      <c r="AB3892">
        <v>23</v>
      </c>
      <c r="AC3892">
        <v>-0.65260000000000595</v>
      </c>
      <c r="AD3892">
        <v>-5.9332999999999997E-2</v>
      </c>
      <c r="AE3892">
        <v>0.12319999999999701</v>
      </c>
      <c r="AF3892">
        <v>0.118498204410088</v>
      </c>
      <c r="AG3892">
        <v>-5.9332999999999997E-2</v>
      </c>
      <c r="AH3892">
        <v>0.64812481279335399</v>
      </c>
      <c r="AI3892">
        <v>95.145770092166899</v>
      </c>
      <c r="AJ3892">
        <v>79.638913608403499</v>
      </c>
      <c r="AK3892">
        <v>0.66153458133028398</v>
      </c>
    </row>
    <row r="3893" spans="1:37" x14ac:dyDescent="0.2">
      <c r="A3893" t="str">
        <f>"20200111160239699"</f>
        <v>20200111160239699</v>
      </c>
      <c r="B3893" t="str">
        <f>"1578729759695828"</f>
        <v>1578729759695828</v>
      </c>
      <c r="C3893" t="s">
        <v>37</v>
      </c>
      <c r="D3893">
        <v>5.4364379999999999</v>
      </c>
      <c r="E3893">
        <v>0.54100000000000004</v>
      </c>
      <c r="F3893" t="s">
        <v>42</v>
      </c>
      <c r="G3893">
        <v>-339.52140000000003</v>
      </c>
      <c r="H3893">
        <v>1.045561</v>
      </c>
      <c r="I3893">
        <v>137.89709999999999</v>
      </c>
      <c r="J3893">
        <v>-338.8981</v>
      </c>
      <c r="K3893">
        <v>1.104741</v>
      </c>
      <c r="L3893">
        <v>137.7756</v>
      </c>
      <c r="M3893">
        <v>-0.99987739999999903</v>
      </c>
      <c r="N3893">
        <v>0</v>
      </c>
      <c r="O3893">
        <v>5.559586E-3</v>
      </c>
      <c r="P3893">
        <v>-0.99912420000000002</v>
      </c>
      <c r="Q3893">
        <v>1.514861E-2</v>
      </c>
      <c r="R3893">
        <v>3.900787E-2</v>
      </c>
      <c r="S3893">
        <v>-2.9889220000000001</v>
      </c>
      <c r="T3893">
        <v>-0.2063091</v>
      </c>
      <c r="U3893">
        <v>0.42684939999999999</v>
      </c>
      <c r="V3893">
        <v>3.3444500000000002E-2</v>
      </c>
      <c r="W3893">
        <v>2.9790110000000002E-2</v>
      </c>
      <c r="X3893">
        <v>0.99899649999999995</v>
      </c>
      <c r="Y3893">
        <v>0.13556650000000001</v>
      </c>
      <c r="Z3893">
        <v>4.2682809999999996E-3</v>
      </c>
      <c r="AA3893">
        <v>0.9907591</v>
      </c>
      <c r="AB3893">
        <v>23</v>
      </c>
      <c r="AC3893">
        <v>-0.62330000000002805</v>
      </c>
      <c r="AD3893">
        <v>-5.9180000000000003E-2</v>
      </c>
      <c r="AE3893">
        <v>0.121499999999997</v>
      </c>
      <c r="AF3893">
        <v>0.117016199653383</v>
      </c>
      <c r="AG3893">
        <v>-5.9180000000000003E-2</v>
      </c>
      <c r="AH3893">
        <v>0.61859357288277295</v>
      </c>
      <c r="AI3893">
        <v>95.370112835297803</v>
      </c>
      <c r="AJ3893">
        <v>79.288219819054206</v>
      </c>
      <c r="AK3893">
        <v>0.63233936441850203</v>
      </c>
    </row>
    <row r="3894" spans="1:37" x14ac:dyDescent="0.2">
      <c r="A3894" t="str">
        <f>"20200111160239722"</f>
        <v>20200111160239722</v>
      </c>
      <c r="B3894" t="str">
        <f>"1578729759716324"</f>
        <v>1578729759716324</v>
      </c>
      <c r="C3894" t="s">
        <v>37</v>
      </c>
      <c r="D3894">
        <v>5.5173509999999997</v>
      </c>
      <c r="E3894">
        <v>0.54106769999999904</v>
      </c>
      <c r="F3894" t="s">
        <v>42</v>
      </c>
      <c r="G3894">
        <v>-339.72680000000003</v>
      </c>
      <c r="H3894">
        <v>1.046967</v>
      </c>
      <c r="I3894">
        <v>137.89400000000001</v>
      </c>
      <c r="J3894">
        <v>-339.13339999999999</v>
      </c>
      <c r="K3894">
        <v>1.104746</v>
      </c>
      <c r="L3894">
        <v>137.77670000000001</v>
      </c>
      <c r="M3894">
        <v>-0.9998785</v>
      </c>
      <c r="N3894">
        <v>0</v>
      </c>
      <c r="O3894">
        <v>5.3666490000000002E-3</v>
      </c>
      <c r="P3894">
        <v>-0.99913609999999897</v>
      </c>
      <c r="Q3894">
        <v>1.5720609999999999E-2</v>
      </c>
      <c r="R3894">
        <v>3.8469080000000003E-2</v>
      </c>
      <c r="S3894">
        <v>-2.9891359999999998</v>
      </c>
      <c r="T3894">
        <v>-0.2084492</v>
      </c>
      <c r="U3894">
        <v>0.42654419999999998</v>
      </c>
      <c r="V3894">
        <v>3.3098269999999999E-2</v>
      </c>
      <c r="W3894">
        <v>3.0356339999999999E-2</v>
      </c>
      <c r="X3894">
        <v>0.99899099999999996</v>
      </c>
      <c r="Y3894">
        <v>0.1356417</v>
      </c>
      <c r="Z3894">
        <v>4.3281539999999999E-3</v>
      </c>
      <c r="AA3894">
        <v>0.99074850000000003</v>
      </c>
      <c r="AB3894">
        <v>23</v>
      </c>
      <c r="AC3894">
        <v>-0.59340000000003101</v>
      </c>
      <c r="AD3894">
        <v>-5.7778999999999997E-2</v>
      </c>
      <c r="AE3894">
        <v>0.1173</v>
      </c>
      <c r="AF3894">
        <v>0.11308161299998799</v>
      </c>
      <c r="AG3894">
        <v>-5.7778999999999997E-2</v>
      </c>
      <c r="AH3894">
        <v>0.58865002815859602</v>
      </c>
      <c r="AI3894">
        <v>95.505877887436199</v>
      </c>
      <c r="AJ3894">
        <v>79.125766538773206</v>
      </c>
      <c r="AK3894">
        <v>0.60219159716056803</v>
      </c>
    </row>
    <row r="3895" spans="1:37" x14ac:dyDescent="0.2">
      <c r="A3895" t="str">
        <f>"20200111160239745"</f>
        <v>20200111160239745</v>
      </c>
      <c r="B3895" t="str">
        <f>"1578729759735846"</f>
        <v>1578729759735846</v>
      </c>
      <c r="C3895" t="s">
        <v>37</v>
      </c>
      <c r="D3895">
        <v>6.1845699999999999</v>
      </c>
      <c r="E3895">
        <v>0.50043899999999997</v>
      </c>
      <c r="F3895" t="s">
        <v>42</v>
      </c>
      <c r="G3895">
        <v>-339.93849999999998</v>
      </c>
      <c r="H3895">
        <v>1.0486770000000001</v>
      </c>
      <c r="I3895">
        <v>137.89169999999999</v>
      </c>
      <c r="J3895">
        <v>-339.35980000000001</v>
      </c>
      <c r="K3895">
        <v>1.1047499999999999</v>
      </c>
      <c r="L3895">
        <v>137.77770000000001</v>
      </c>
      <c r="M3895">
        <v>-0.99987959999999998</v>
      </c>
      <c r="N3895">
        <v>0</v>
      </c>
      <c r="O3895">
        <v>5.1811009999999996E-3</v>
      </c>
      <c r="P3895">
        <v>-0.99914480000000006</v>
      </c>
      <c r="Q3895">
        <v>1.6469729999999998E-2</v>
      </c>
      <c r="R3895">
        <v>3.7931949999999999E-2</v>
      </c>
      <c r="S3895">
        <v>-2.989471</v>
      </c>
      <c r="T3895">
        <v>-0.20833399999999999</v>
      </c>
      <c r="U3895">
        <v>0.42558289999999999</v>
      </c>
      <c r="V3895">
        <v>3.2746499999999998E-2</v>
      </c>
      <c r="W3895">
        <v>3.109986E-2</v>
      </c>
      <c r="X3895">
        <v>0.99897969999999903</v>
      </c>
      <c r="Y3895">
        <v>0.13549800000000001</v>
      </c>
      <c r="Z3895">
        <v>4.3332570000000001E-3</v>
      </c>
      <c r="AA3895">
        <v>0.99076810000000004</v>
      </c>
      <c r="AB3895">
        <v>23</v>
      </c>
      <c r="AC3895">
        <v>-0.57869999999996902</v>
      </c>
      <c r="AD3895">
        <v>-5.6072999999999797E-2</v>
      </c>
      <c r="AE3895">
        <v>0.113999999999975</v>
      </c>
      <c r="AF3895">
        <v>0.110005629204608</v>
      </c>
      <c r="AG3895">
        <v>-5.6072999999999797E-2</v>
      </c>
      <c r="AH3895">
        <v>0.57409435039437196</v>
      </c>
      <c r="AI3895">
        <v>95.479441200823004</v>
      </c>
      <c r="AJ3895">
        <v>79.152698774792</v>
      </c>
      <c r="AK3895">
        <v>0.58722205590427001</v>
      </c>
    </row>
    <row r="3896" spans="1:37" x14ac:dyDescent="0.2">
      <c r="A3896" t="str">
        <f>"20200111160239766"</f>
        <v>20200111160239766</v>
      </c>
      <c r="B3896" t="str">
        <f>"1578729759755872"</f>
        <v>1578729759755872</v>
      </c>
      <c r="C3896" t="s">
        <v>37</v>
      </c>
      <c r="D3896">
        <v>5.4796610000000001</v>
      </c>
      <c r="E3896">
        <v>0.47823119999999902</v>
      </c>
      <c r="F3896" t="s">
        <v>77</v>
      </c>
      <c r="G3896">
        <v>-406.62509999999997</v>
      </c>
      <c r="H3896" s="1">
        <v>-8.8630609999999999E-6</v>
      </c>
      <c r="I3896">
        <v>140.25020000000001</v>
      </c>
      <c r="J3896">
        <v>-339.5772</v>
      </c>
      <c r="K3896">
        <v>1.1047480000000001</v>
      </c>
      <c r="L3896">
        <v>137.77860000000001</v>
      </c>
      <c r="M3896">
        <v>-0.99988069999999896</v>
      </c>
      <c r="N3896">
        <v>0</v>
      </c>
      <c r="O3896">
        <v>5.002584E-3</v>
      </c>
      <c r="P3896">
        <v>-0.99916729999999998</v>
      </c>
      <c r="Q3896">
        <v>1.551402E-2</v>
      </c>
      <c r="R3896">
        <v>3.774226E-2</v>
      </c>
      <c r="S3896">
        <v>-2.9992369999999999</v>
      </c>
      <c r="T3896">
        <v>-4.9259190000000001E-2</v>
      </c>
      <c r="U3896">
        <v>0.1102448</v>
      </c>
      <c r="V3896">
        <v>3.2735479999999997E-2</v>
      </c>
      <c r="W3896">
        <v>3.013948E-2</v>
      </c>
      <c r="X3896">
        <v>0.999009499999999</v>
      </c>
      <c r="Y3896">
        <v>3.1728989999999999E-2</v>
      </c>
      <c r="Z3896">
        <v>1.7831619999999999E-4</v>
      </c>
      <c r="AA3896">
        <v>0.99949650000000001</v>
      </c>
      <c r="AB3896">
        <v>23</v>
      </c>
      <c r="AC3896">
        <v>-67.047899999999899</v>
      </c>
      <c r="AD3896">
        <v>-1.1047568630609901</v>
      </c>
      <c r="AE3896">
        <v>2.4715999999999898</v>
      </c>
      <c r="AF3896">
        <v>2.1355414897262599</v>
      </c>
      <c r="AG3896">
        <v>-1.1047568630609901</v>
      </c>
      <c r="AH3896">
        <v>67.041249842366994</v>
      </c>
      <c r="AI3896">
        <v>90.943599598467102</v>
      </c>
      <c r="AJ3896">
        <v>88.175509034098994</v>
      </c>
      <c r="AK3896">
        <v>67.084351421232995</v>
      </c>
    </row>
    <row r="3897" spans="1:37" x14ac:dyDescent="0.2">
      <c r="A3897" t="str">
        <f>"20200111160239791"</f>
        <v>20200111160239791</v>
      </c>
      <c r="B3897" t="str">
        <f>"1578729759786129"</f>
        <v>1578729759786129</v>
      </c>
      <c r="C3897" t="s">
        <v>37</v>
      </c>
      <c r="D3897">
        <v>5.4296100000000003</v>
      </c>
      <c r="E3897">
        <v>0.47146929999999998</v>
      </c>
      <c r="F3897" t="s">
        <v>77</v>
      </c>
      <c r="G3897">
        <v>-416.10489999999999</v>
      </c>
      <c r="H3897" s="1">
        <v>-8.5862999999999994E-6</v>
      </c>
      <c r="I3897">
        <v>136.06799999999899</v>
      </c>
      <c r="J3897">
        <v>-339.81799999999998</v>
      </c>
      <c r="K3897">
        <v>1.104743</v>
      </c>
      <c r="L3897">
        <v>137.77950000000001</v>
      </c>
      <c r="M3897">
        <v>-0.99988149999999998</v>
      </c>
      <c r="N3897">
        <v>0</v>
      </c>
      <c r="O3897">
        <v>4.8053540000000004E-3</v>
      </c>
      <c r="P3897">
        <v>-0.99917409999999995</v>
      </c>
      <c r="Q3897">
        <v>1.5013139999999999E-2</v>
      </c>
      <c r="R3897">
        <v>3.7762299999999999E-2</v>
      </c>
      <c r="S3897">
        <v>-3.0057070000000001</v>
      </c>
      <c r="T3897">
        <v>-4.339051E-2</v>
      </c>
      <c r="U3897">
        <v>-6.7184450000000007E-2</v>
      </c>
      <c r="V3897">
        <v>3.2952799999999997E-2</v>
      </c>
      <c r="W3897">
        <v>2.9632349999999998E-2</v>
      </c>
      <c r="X3897">
        <v>0.999017499999999</v>
      </c>
      <c r="Y3897">
        <v>-2.71478E-2</v>
      </c>
      <c r="Z3897">
        <v>-2.652849E-4</v>
      </c>
      <c r="AA3897">
        <v>0.99963139999999995</v>
      </c>
      <c r="AB3897">
        <v>23</v>
      </c>
      <c r="AC3897">
        <v>-76.286899999999903</v>
      </c>
      <c r="AD3897">
        <v>-1.1047515862999999</v>
      </c>
      <c r="AE3897">
        <v>-1.71150000000002</v>
      </c>
      <c r="AF3897">
        <v>-2.0776695077474301</v>
      </c>
      <c r="AG3897">
        <v>-1.1047515862999999</v>
      </c>
      <c r="AH3897">
        <v>76.261808583307896</v>
      </c>
      <c r="AI3897">
        <v>90.829638118986097</v>
      </c>
      <c r="AJ3897">
        <v>91.560574778071697</v>
      </c>
      <c r="AK3897">
        <v>76.298103744771794</v>
      </c>
    </row>
    <row r="3898" spans="1:37" x14ac:dyDescent="0.2">
      <c r="A3898" t="str">
        <f>"20200111160239812"</f>
        <v>20200111160239812</v>
      </c>
      <c r="B3898" t="str">
        <f>"1578729759806624"</f>
        <v>1578729759806624</v>
      </c>
      <c r="C3898" t="s">
        <v>37</v>
      </c>
      <c r="D3898">
        <v>5.6835879999999896</v>
      </c>
      <c r="E3898">
        <v>0.46867330000000001</v>
      </c>
      <c r="F3898" t="s">
        <v>38</v>
      </c>
      <c r="G3898">
        <v>-370.78489999999999</v>
      </c>
      <c r="H3898" s="1">
        <v>-4.4906060000000004E-6</v>
      </c>
      <c r="I3898">
        <v>136.4872</v>
      </c>
      <c r="J3898">
        <v>-340.04599999999999</v>
      </c>
      <c r="K3898">
        <v>1.104746</v>
      </c>
      <c r="L3898">
        <v>137.78039999999999</v>
      </c>
      <c r="M3898">
        <v>-0.99988259999999995</v>
      </c>
      <c r="N3898">
        <v>0</v>
      </c>
      <c r="O3898">
        <v>4.617721E-3</v>
      </c>
      <c r="P3898">
        <v>-0.99918949999999995</v>
      </c>
      <c r="Q3898">
        <v>1.470195E-2</v>
      </c>
      <c r="R3898">
        <v>3.7475410000000001E-2</v>
      </c>
      <c r="S3898">
        <v>-3.0088499999999998</v>
      </c>
      <c r="T3898">
        <v>-0.1073414</v>
      </c>
      <c r="U3898">
        <v>-0.1255646</v>
      </c>
      <c r="V3898">
        <v>3.2853359999999998E-2</v>
      </c>
      <c r="W3898">
        <v>2.931634E-2</v>
      </c>
      <c r="X3898">
        <v>0.99903009999999903</v>
      </c>
      <c r="Y3898">
        <v>-4.6276900000000003E-2</v>
      </c>
      <c r="Z3898">
        <v>-9.8948380000000004E-4</v>
      </c>
      <c r="AA3898">
        <v>0.99892819999999904</v>
      </c>
      <c r="AB3898">
        <v>23</v>
      </c>
      <c r="AC3898">
        <v>-30.738900000000001</v>
      </c>
      <c r="AD3898">
        <v>-1.1047504906059999</v>
      </c>
      <c r="AE3898">
        <v>-1.2931999999999799</v>
      </c>
      <c r="AF3898">
        <v>-1.43329694910955</v>
      </c>
      <c r="AG3898">
        <v>-1.1047504906059999</v>
      </c>
      <c r="AH3898">
        <v>30.693024694599998</v>
      </c>
      <c r="AI3898">
        <v>92.059145795712794</v>
      </c>
      <c r="AJ3898">
        <v>92.673644933764905</v>
      </c>
      <c r="AK3898">
        <v>30.746326263378901</v>
      </c>
    </row>
    <row r="3899" spans="1:37" x14ac:dyDescent="0.2">
      <c r="A3899" t="str">
        <f>"20200111160239835"</f>
        <v>20200111160239835</v>
      </c>
      <c r="B3899" t="str">
        <f>"1578729759826144"</f>
        <v>1578729759826144</v>
      </c>
      <c r="C3899" t="s">
        <v>37</v>
      </c>
      <c r="D3899">
        <v>5.4472690000000004</v>
      </c>
      <c r="E3899">
        <v>0.46742909999999999</v>
      </c>
      <c r="F3899" t="s">
        <v>38</v>
      </c>
      <c r="G3899">
        <v>-364.48050000000001</v>
      </c>
      <c r="H3899" s="1">
        <v>-2.8925829999999998E-6</v>
      </c>
      <c r="I3899">
        <v>136.5583</v>
      </c>
      <c r="J3899">
        <v>-340.28609999999998</v>
      </c>
      <c r="K3899">
        <v>1.1047439999999999</v>
      </c>
      <c r="L3899">
        <v>137.78129999999999</v>
      </c>
      <c r="M3899">
        <v>-0.99988349999999904</v>
      </c>
      <c r="N3899">
        <v>0</v>
      </c>
      <c r="O3899">
        <v>4.4206710000000001E-3</v>
      </c>
      <c r="P3899">
        <v>-0.99919950000000002</v>
      </c>
      <c r="Q3899">
        <v>1.5167709999999999E-2</v>
      </c>
      <c r="R3899">
        <v>3.7023630000000002E-2</v>
      </c>
      <c r="S3899">
        <v>-3.0101009999999899</v>
      </c>
      <c r="T3899">
        <v>-0.13609499999999999</v>
      </c>
      <c r="U3899">
        <v>-0.15054319999999999</v>
      </c>
      <c r="V3899">
        <v>3.2598670000000003E-2</v>
      </c>
      <c r="W3899">
        <v>2.977629E-2</v>
      </c>
      <c r="X3899">
        <v>0.99902489999999999</v>
      </c>
      <c r="Y3899">
        <v>-5.4305520000000003E-2</v>
      </c>
      <c r="Z3899">
        <v>-1.4259299999999999E-3</v>
      </c>
      <c r="AA3899">
        <v>0.99852339999999995</v>
      </c>
      <c r="AB3899">
        <v>23</v>
      </c>
      <c r="AC3899">
        <v>-24.194400000000002</v>
      </c>
      <c r="AD3899">
        <v>-1.104746892583</v>
      </c>
      <c r="AE3899">
        <v>-1.2229999999999801</v>
      </c>
      <c r="AF3899">
        <v>-1.32719486224139</v>
      </c>
      <c r="AG3899">
        <v>-1.104746892583</v>
      </c>
      <c r="AH3899">
        <v>24.138557042273</v>
      </c>
      <c r="AI3899">
        <v>92.616475173966705</v>
      </c>
      <c r="AJ3899">
        <v>93.147088517952696</v>
      </c>
      <c r="AK3899">
        <v>24.200244791780499</v>
      </c>
    </row>
    <row r="3900" spans="1:37" x14ac:dyDescent="0.2">
      <c r="A3900" t="str">
        <f>"20200111160239855"</f>
        <v>20200111160239855</v>
      </c>
      <c r="B3900" t="str">
        <f>"1578729759846171"</f>
        <v>1578729759846171</v>
      </c>
      <c r="C3900" t="s">
        <v>37</v>
      </c>
      <c r="D3900">
        <v>5.4603979999999996</v>
      </c>
      <c r="E3900">
        <v>0.466559</v>
      </c>
      <c r="F3900" t="s">
        <v>38</v>
      </c>
      <c r="G3900">
        <v>-362.176999999999</v>
      </c>
      <c r="H3900" s="1">
        <v>-3.8739920000000003E-6</v>
      </c>
      <c r="I3900">
        <v>136.59649999999999</v>
      </c>
      <c r="J3900">
        <v>-340.48669999999998</v>
      </c>
      <c r="K3900">
        <v>1.1047469999999999</v>
      </c>
      <c r="L3900">
        <v>137.78200000000001</v>
      </c>
      <c r="M3900">
        <v>-0.999884199999999</v>
      </c>
      <c r="N3900">
        <v>0</v>
      </c>
      <c r="O3900">
        <v>4.2556770000000002E-3</v>
      </c>
      <c r="P3900">
        <v>-0.99924219999999897</v>
      </c>
      <c r="Q3900">
        <v>1.4906640000000001E-2</v>
      </c>
      <c r="R3900">
        <v>3.595893E-2</v>
      </c>
      <c r="S3900">
        <v>-3.0107119999999998</v>
      </c>
      <c r="T3900">
        <v>-0.1519392</v>
      </c>
      <c r="U3900">
        <v>-0.162933299999999</v>
      </c>
      <c r="V3900">
        <v>3.1698700000000003E-2</v>
      </c>
      <c r="W3900">
        <v>2.9510330000000001E-2</v>
      </c>
      <c r="X3900">
        <v>0.99906170000000005</v>
      </c>
      <c r="Y3900">
        <v>-5.8208969999999999E-2</v>
      </c>
      <c r="Z3900">
        <v>-1.6812909999999999E-3</v>
      </c>
      <c r="AA3900">
        <v>0.99830300000000005</v>
      </c>
      <c r="AB3900">
        <v>23</v>
      </c>
      <c r="AC3900">
        <v>-21.690299999999901</v>
      </c>
      <c r="AD3900">
        <v>-1.104750873992</v>
      </c>
      <c r="AE3900">
        <v>-1.18550000000001</v>
      </c>
      <c r="AF3900">
        <v>-1.2745095867304199</v>
      </c>
      <c r="AG3900">
        <v>-1.104750873992</v>
      </c>
      <c r="AH3900">
        <v>21.6291155196011</v>
      </c>
      <c r="AI3900">
        <v>92.918902611786095</v>
      </c>
      <c r="AJ3900">
        <v>93.372291256039603</v>
      </c>
      <c r="AK3900">
        <v>21.6947801864989</v>
      </c>
    </row>
    <row r="3901" spans="1:37" x14ac:dyDescent="0.2">
      <c r="A3901" t="str">
        <f>"20200111160239878"</f>
        <v>20200111160239878</v>
      </c>
      <c r="B3901" t="str">
        <f>"1578729759866667"</f>
        <v>1578729759866667</v>
      </c>
      <c r="C3901" t="s">
        <v>37</v>
      </c>
      <c r="D3901">
        <v>5.4590959999999997</v>
      </c>
      <c r="E3901">
        <v>0.4658545</v>
      </c>
      <c r="F3901" t="s">
        <v>38</v>
      </c>
      <c r="G3901">
        <v>-360.71289999999999</v>
      </c>
      <c r="H3901" s="1">
        <v>-4.499161E-6</v>
      </c>
      <c r="I3901">
        <v>136.613</v>
      </c>
      <c r="J3901">
        <v>-340.70710000000003</v>
      </c>
      <c r="K3901">
        <v>1.1047469999999999</v>
      </c>
      <c r="L3901">
        <v>137.78270000000001</v>
      </c>
      <c r="M3901">
        <v>-0.99988519999999903</v>
      </c>
      <c r="N3901">
        <v>0</v>
      </c>
      <c r="O3901">
        <v>4.0744170000000003E-3</v>
      </c>
      <c r="P3901">
        <v>-0.99926780000000004</v>
      </c>
      <c r="Q3901">
        <v>1.495259E-2</v>
      </c>
      <c r="R3901">
        <v>3.5222469999999999E-2</v>
      </c>
      <c r="S3901">
        <v>-3.0109859999999999</v>
      </c>
      <c r="T3901">
        <v>-0.16445989999999999</v>
      </c>
      <c r="U3901">
        <v>-0.1740112</v>
      </c>
      <c r="V3901">
        <v>3.1143270000000001E-2</v>
      </c>
      <c r="W3901">
        <v>2.9550839999999998E-2</v>
      </c>
      <c r="X3901">
        <v>0.99907800000000002</v>
      </c>
      <c r="Y3901">
        <v>-6.1665749999999998E-2</v>
      </c>
      <c r="Z3901">
        <v>-1.9036599999999999E-3</v>
      </c>
      <c r="AA3901">
        <v>0.99809499999999995</v>
      </c>
      <c r="AB3901">
        <v>23</v>
      </c>
      <c r="AC3901">
        <v>-20.005799999999901</v>
      </c>
      <c r="AD3901">
        <v>-1.1047514991609999</v>
      </c>
      <c r="AE3901">
        <v>-1.1697</v>
      </c>
      <c r="AF3901">
        <v>-1.2474199933010399</v>
      </c>
      <c r="AG3901">
        <v>-1.1047514991609999</v>
      </c>
      <c r="AH3901">
        <v>19.940268443987598</v>
      </c>
      <c r="AI3901">
        <v>93.164944147044196</v>
      </c>
      <c r="AJ3901">
        <v>93.579635085233704</v>
      </c>
      <c r="AK3901">
        <v>20.009768567698899</v>
      </c>
    </row>
    <row r="3902" spans="1:37" x14ac:dyDescent="0.2">
      <c r="A3902" t="str">
        <f>"20200111160239901"</f>
        <v>20200111160239901</v>
      </c>
      <c r="B3902" t="str">
        <f>"1578729759895948"</f>
        <v>1578729759895948</v>
      </c>
      <c r="C3902" t="s">
        <v>37</v>
      </c>
      <c r="D3902">
        <v>5.4586649999999999</v>
      </c>
      <c r="E3902">
        <v>0.46535979999999999</v>
      </c>
      <c r="F3902" t="s">
        <v>38</v>
      </c>
      <c r="G3902">
        <v>-359.95929999999998</v>
      </c>
      <c r="H3902" s="1">
        <v>-4.8219130000000001E-6</v>
      </c>
      <c r="I3902">
        <v>136.61609999999999</v>
      </c>
      <c r="J3902">
        <v>-340.93740000000003</v>
      </c>
      <c r="K3902">
        <v>1.1047370000000001</v>
      </c>
      <c r="L3902">
        <v>137.7834</v>
      </c>
      <c r="M3902">
        <v>-0.99988600000000005</v>
      </c>
      <c r="N3902">
        <v>0</v>
      </c>
      <c r="O3902">
        <v>3.8851720000000001E-3</v>
      </c>
      <c r="P3902">
        <v>-0.99930779999999997</v>
      </c>
      <c r="Q3902">
        <v>1.4947899999999899E-2</v>
      </c>
      <c r="R3902">
        <v>3.4070780000000002E-2</v>
      </c>
      <c r="S3902">
        <v>-3.0112610000000002</v>
      </c>
      <c r="T3902">
        <v>-0.17279659999999999</v>
      </c>
      <c r="U3902">
        <v>-0.18244929999999901</v>
      </c>
      <c r="V3902">
        <v>3.018065E-2</v>
      </c>
      <c r="W3902">
        <v>2.9540830000000001E-2</v>
      </c>
      <c r="X3902">
        <v>0.99910779999999999</v>
      </c>
      <c r="Y3902">
        <v>-6.4244460000000003E-2</v>
      </c>
      <c r="Z3902">
        <v>-2.0626749999999999E-3</v>
      </c>
      <c r="AA3902">
        <v>0.99793209999999999</v>
      </c>
      <c r="AB3902">
        <v>23</v>
      </c>
      <c r="AC3902">
        <v>-19.021899999999899</v>
      </c>
      <c r="AD3902">
        <v>-1.1047418219130001</v>
      </c>
      <c r="AE3902">
        <v>-1.16730000000001</v>
      </c>
      <c r="AF3902">
        <v>-1.2370455331785799</v>
      </c>
      <c r="AG3902">
        <v>-1.1047418219130001</v>
      </c>
      <c r="AH3902">
        <v>18.953530719725901</v>
      </c>
      <c r="AI3902">
        <v>93.328750506533197</v>
      </c>
      <c r="AJ3902">
        <v>93.734243706931395</v>
      </c>
      <c r="AK3902">
        <v>19.0259576076432</v>
      </c>
    </row>
    <row r="3903" spans="1:37" x14ac:dyDescent="0.2">
      <c r="A3903" t="str">
        <f>"20200111160239924"</f>
        <v>20200111160239924</v>
      </c>
      <c r="B3903" t="str">
        <f>"1578729759916443"</f>
        <v>1578729759916443</v>
      </c>
      <c r="C3903" t="s">
        <v>37</v>
      </c>
      <c r="D3903">
        <v>5.461875</v>
      </c>
      <c r="E3903">
        <v>0.46523300000000001</v>
      </c>
      <c r="F3903" t="s">
        <v>38</v>
      </c>
      <c r="G3903">
        <v>-359.20319999999998</v>
      </c>
      <c r="H3903" s="1">
        <v>-1.052505E-6</v>
      </c>
      <c r="I3903">
        <v>136.62729999999999</v>
      </c>
      <c r="J3903">
        <v>-341.17099999999999</v>
      </c>
      <c r="K3903">
        <v>1.1047419999999999</v>
      </c>
      <c r="L3903">
        <v>137.7841</v>
      </c>
      <c r="M3903">
        <v>-0.99988679999999996</v>
      </c>
      <c r="N3903">
        <v>0</v>
      </c>
      <c r="O3903">
        <v>3.6932449999999999E-3</v>
      </c>
      <c r="P3903">
        <v>-0.99932989999999999</v>
      </c>
      <c r="Q3903">
        <v>1.4524230000000001E-2</v>
      </c>
      <c r="R3903">
        <v>3.3600949999999997E-2</v>
      </c>
      <c r="S3903">
        <v>-3.0112919999999899</v>
      </c>
      <c r="T3903">
        <v>-0.18212719999999999</v>
      </c>
      <c r="U3903">
        <v>-0.19058229999999901</v>
      </c>
      <c r="V3903">
        <v>2.9902620000000001E-2</v>
      </c>
      <c r="W3903">
        <v>2.9111870000000001E-2</v>
      </c>
      <c r="X3903">
        <v>0.99912880000000004</v>
      </c>
      <c r="Y3903">
        <v>-6.6720520000000005E-2</v>
      </c>
      <c r="Z3903">
        <v>-2.236802E-3</v>
      </c>
      <c r="AA3903">
        <v>0.99776919999999902</v>
      </c>
      <c r="AB3903">
        <v>22</v>
      </c>
      <c r="AC3903">
        <v>-18.0321999999999</v>
      </c>
      <c r="AD3903">
        <v>-1.1047430525049999</v>
      </c>
      <c r="AE3903">
        <v>-1.1568000000000001</v>
      </c>
      <c r="AF3903">
        <v>-1.2188404781957201</v>
      </c>
      <c r="AG3903">
        <v>-1.1047430525049999</v>
      </c>
      <c r="AH3903">
        <v>17.960666884189202</v>
      </c>
      <c r="AI3903">
        <v>93.511716455453296</v>
      </c>
      <c r="AJ3903">
        <v>93.882233907226606</v>
      </c>
      <c r="AK3903">
        <v>18.035841656217698</v>
      </c>
    </row>
    <row r="3904" spans="1:37" x14ac:dyDescent="0.2">
      <c r="A3904" t="str">
        <f>"20200111160239946"</f>
        <v>20200111160239946</v>
      </c>
      <c r="B3904" t="str">
        <f>"1578729759935963"</f>
        <v>1578729759935963</v>
      </c>
      <c r="C3904" t="s">
        <v>37</v>
      </c>
      <c r="D3904">
        <v>5.4209230000000002</v>
      </c>
      <c r="E3904">
        <v>0.4651112</v>
      </c>
      <c r="F3904" t="s">
        <v>38</v>
      </c>
      <c r="G3904">
        <v>-358.85219999999998</v>
      </c>
      <c r="H3904" s="1">
        <v>-1.1661209999999899E-6</v>
      </c>
      <c r="I3904">
        <v>136.64920000000001</v>
      </c>
      <c r="J3904">
        <v>-341.38659999999999</v>
      </c>
      <c r="K3904">
        <v>1.1047469999999999</v>
      </c>
      <c r="L3904">
        <v>137.78469999999999</v>
      </c>
      <c r="M3904">
        <v>-0.99988750000000004</v>
      </c>
      <c r="N3904">
        <v>0</v>
      </c>
      <c r="O3904">
        <v>3.5158020000000002E-3</v>
      </c>
      <c r="P3904">
        <v>-0.99932520000000002</v>
      </c>
      <c r="Q3904">
        <v>1.532523E-2</v>
      </c>
      <c r="R3904">
        <v>3.3387029999999998E-2</v>
      </c>
      <c r="S3904">
        <v>-3.0112000000000001</v>
      </c>
      <c r="T3904">
        <v>-0.18814329999999899</v>
      </c>
      <c r="U3904">
        <v>-0.19326779999999999</v>
      </c>
      <c r="V3904">
        <v>2.9865989999999999E-2</v>
      </c>
      <c r="W3904">
        <v>2.9907360000000001E-2</v>
      </c>
      <c r="X3904">
        <v>0.99910639999999995</v>
      </c>
      <c r="Y3904">
        <v>-6.7421980000000006E-2</v>
      </c>
      <c r="Z3904">
        <v>-2.3213550000000002E-3</v>
      </c>
      <c r="AA3904">
        <v>0.99772190000000005</v>
      </c>
      <c r="AB3904">
        <v>22</v>
      </c>
      <c r="AC3904">
        <v>-17.465599999999899</v>
      </c>
      <c r="AD3904">
        <v>-1.1047481661209999</v>
      </c>
      <c r="AE3904">
        <v>-1.13549999999997</v>
      </c>
      <c r="AF3904">
        <v>-1.1921554616130201</v>
      </c>
      <c r="AG3904">
        <v>-1.1047481661209999</v>
      </c>
      <c r="AH3904">
        <v>17.392207512622001</v>
      </c>
      <c r="AI3904">
        <v>93.626043360248701</v>
      </c>
      <c r="AJ3904">
        <v>93.921227362182293</v>
      </c>
      <c r="AK3904">
        <v>17.467987443243299</v>
      </c>
    </row>
    <row r="3905" spans="1:37" x14ac:dyDescent="0.2">
      <c r="A3905" t="str">
        <f>"20200111160239967"</f>
        <v>20200111160239967</v>
      </c>
      <c r="B3905" t="str">
        <f>"1578729759955992"</f>
        <v>1578729759955992</v>
      </c>
      <c r="C3905" t="s">
        <v>37</v>
      </c>
      <c r="D3905">
        <v>5.4724219999999999</v>
      </c>
      <c r="E3905">
        <v>0.46495730000000002</v>
      </c>
      <c r="F3905" t="s">
        <v>38</v>
      </c>
      <c r="G3905">
        <v>-358.9477</v>
      </c>
      <c r="H3905" s="1">
        <v>-1.134242E-6</v>
      </c>
      <c r="I3905">
        <v>136.64689999999999</v>
      </c>
      <c r="J3905">
        <v>-341.601</v>
      </c>
      <c r="K3905">
        <v>1.104749</v>
      </c>
      <c r="L3905">
        <v>137.7852</v>
      </c>
      <c r="M3905">
        <v>-0.9998882</v>
      </c>
      <c r="N3905">
        <v>0</v>
      </c>
      <c r="O3905">
        <v>3.33949099999999E-3</v>
      </c>
      <c r="P3905">
        <v>-0.99932019999999899</v>
      </c>
      <c r="Q3905">
        <v>1.5685419999999999E-2</v>
      </c>
      <c r="R3905">
        <v>3.3365609999999997E-2</v>
      </c>
      <c r="S3905">
        <v>-3.011444</v>
      </c>
      <c r="T3905">
        <v>-0.1894467</v>
      </c>
      <c r="U3905">
        <v>-0.19509889999999999</v>
      </c>
      <c r="V3905">
        <v>3.0020749999999999E-2</v>
      </c>
      <c r="W3905">
        <v>3.026245E-2</v>
      </c>
      <c r="X3905">
        <v>0.99909099999999995</v>
      </c>
      <c r="Y3905">
        <v>-6.7842659999999999E-2</v>
      </c>
      <c r="Z3905">
        <v>-2.3393070000000001E-3</v>
      </c>
      <c r="AA3905">
        <v>0.99769330000000001</v>
      </c>
      <c r="AB3905">
        <v>22</v>
      </c>
      <c r="AC3905">
        <v>-17.346699999999998</v>
      </c>
      <c r="AD3905">
        <v>-1.1047501342420001</v>
      </c>
      <c r="AE3905">
        <v>-1.1383000000000101</v>
      </c>
      <c r="AF3905">
        <v>-1.1914173240163799</v>
      </c>
      <c r="AG3905">
        <v>-1.1047501342420001</v>
      </c>
      <c r="AH3905">
        <v>17.273043001062501</v>
      </c>
      <c r="AI3905">
        <v>93.650890837873902</v>
      </c>
      <c r="AJ3905">
        <v>93.945757295214605</v>
      </c>
      <c r="AK3905">
        <v>17.349292856356598</v>
      </c>
    </row>
    <row r="3906" spans="1:37" x14ac:dyDescent="0.2">
      <c r="A3906" t="str">
        <f>"20200111160239990"</f>
        <v>20200111160239990</v>
      </c>
      <c r="B3906" t="str">
        <f>"1578729759986248"</f>
        <v>1578729759986248</v>
      </c>
      <c r="C3906" t="s">
        <v>37</v>
      </c>
      <c r="D3906">
        <v>5.576619</v>
      </c>
      <c r="E3906">
        <v>0.46319319999999897</v>
      </c>
      <c r="F3906" t="s">
        <v>38</v>
      </c>
      <c r="G3906">
        <v>-359.01960000000003</v>
      </c>
      <c r="H3906" s="1">
        <v>-1.1097740000000001E-6</v>
      </c>
      <c r="I3906">
        <v>136.64689999999999</v>
      </c>
      <c r="J3906">
        <v>-341.8236</v>
      </c>
      <c r="K3906">
        <v>1.104751</v>
      </c>
      <c r="L3906">
        <v>137.78579999999999</v>
      </c>
      <c r="M3906">
        <v>-0.99988889999999997</v>
      </c>
      <c r="N3906">
        <v>0</v>
      </c>
      <c r="O3906">
        <v>3.157104E-3</v>
      </c>
      <c r="P3906">
        <v>-0.9993088</v>
      </c>
      <c r="Q3906">
        <v>1.5934790000000001E-2</v>
      </c>
      <c r="R3906">
        <v>3.3593650000000003E-2</v>
      </c>
      <c r="S3906">
        <v>-3.0115970000000001</v>
      </c>
      <c r="T3906">
        <v>-0.1910068</v>
      </c>
      <c r="U3906">
        <v>-0.19680790000000001</v>
      </c>
      <c r="V3906">
        <v>3.0431299999999901E-2</v>
      </c>
      <c r="W3906">
        <v>3.0505520000000001E-2</v>
      </c>
      <c r="X3906">
        <v>0.99907119999999905</v>
      </c>
      <c r="Y3906">
        <v>-6.8218490000000007E-2</v>
      </c>
      <c r="Z3906">
        <v>-2.3587180000000001E-3</v>
      </c>
      <c r="AA3906">
        <v>0.99766759999999999</v>
      </c>
      <c r="AB3906">
        <v>22</v>
      </c>
      <c r="AC3906">
        <v>-17.196000000000002</v>
      </c>
      <c r="AD3906">
        <v>-1.1047521097740001</v>
      </c>
      <c r="AE3906">
        <v>-1.1389</v>
      </c>
      <c r="AF3906">
        <v>-1.1883064685223801</v>
      </c>
      <c r="AG3906">
        <v>-1.1047521097740001</v>
      </c>
      <c r="AH3906">
        <v>17.121958025083501</v>
      </c>
      <c r="AI3906">
        <v>93.682916775812402</v>
      </c>
      <c r="AJ3906">
        <v>93.970103484552894</v>
      </c>
      <c r="AK3906">
        <v>17.198662625329401</v>
      </c>
    </row>
    <row r="3907" spans="1:37" x14ac:dyDescent="0.2">
      <c r="A3907" t="str">
        <f>"20200111160240013"</f>
        <v>20200111160240013</v>
      </c>
      <c r="B3907" t="str">
        <f>"1578729760006744"</f>
        <v>1578729760006744</v>
      </c>
      <c r="C3907" t="s">
        <v>37</v>
      </c>
      <c r="D3907">
        <v>5.5699709999999998</v>
      </c>
      <c r="E3907">
        <v>0.46307939999999997</v>
      </c>
      <c r="F3907" t="s">
        <v>38</v>
      </c>
      <c r="G3907">
        <v>-362.24860000000001</v>
      </c>
      <c r="H3907" s="1">
        <v>-3.8829840000000003E-6</v>
      </c>
      <c r="I3907">
        <v>136.37270000000001</v>
      </c>
      <c r="J3907">
        <v>-342.05720000000002</v>
      </c>
      <c r="K3907">
        <v>1.1047530000000001</v>
      </c>
      <c r="L3907">
        <v>137.78630000000001</v>
      </c>
      <c r="M3907">
        <v>-0.99988949999999999</v>
      </c>
      <c r="N3907">
        <v>0</v>
      </c>
      <c r="O3907">
        <v>2.9662550000000001E-3</v>
      </c>
      <c r="P3907">
        <v>-0.99930569999999896</v>
      </c>
      <c r="Q3907">
        <v>1.6380309999999999E-2</v>
      </c>
      <c r="R3907">
        <v>3.3463680000000003E-2</v>
      </c>
      <c r="S3907">
        <v>-3.0117189999999998</v>
      </c>
      <c r="T3907">
        <v>-0.1628995</v>
      </c>
      <c r="U3907">
        <v>-0.20834349999999999</v>
      </c>
      <c r="V3907">
        <v>3.0491839999999999E-2</v>
      </c>
      <c r="W3907">
        <v>3.0945429999999999E-2</v>
      </c>
      <c r="X3907">
        <v>0.9990559</v>
      </c>
      <c r="Y3907">
        <v>-7.1863010000000005E-2</v>
      </c>
      <c r="Z3907">
        <v>-2.0999040000000001E-3</v>
      </c>
      <c r="AA3907">
        <v>0.99741229999999903</v>
      </c>
      <c r="AB3907">
        <v>22</v>
      </c>
      <c r="AC3907">
        <v>-20.191399999999899</v>
      </c>
      <c r="AD3907">
        <v>-1.104756882984</v>
      </c>
      <c r="AE3907">
        <v>-1.4136</v>
      </c>
      <c r="AF3907">
        <v>-1.46911641186386</v>
      </c>
      <c r="AG3907">
        <v>-1.104756882984</v>
      </c>
      <c r="AH3907">
        <v>20.127157892944702</v>
      </c>
      <c r="AI3907">
        <v>93.133428418616106</v>
      </c>
      <c r="AJ3907">
        <v>94.174715522971297</v>
      </c>
      <c r="AK3907">
        <v>20.210919713106399</v>
      </c>
    </row>
    <row r="3908" spans="1:37" x14ac:dyDescent="0.2">
      <c r="A3908" t="str">
        <f>"20200111160240036"</f>
        <v>20200111160240036</v>
      </c>
      <c r="B3908" t="str">
        <f>"1578729760026264"</f>
        <v>1578729760026264</v>
      </c>
      <c r="C3908" t="s">
        <v>37</v>
      </c>
      <c r="D3908">
        <v>5.4685839999999999</v>
      </c>
      <c r="E3908">
        <v>0.46317589999999997</v>
      </c>
      <c r="F3908" t="s">
        <v>38</v>
      </c>
      <c r="G3908">
        <v>-362.34230000000002</v>
      </c>
      <c r="H3908" s="1">
        <v>-3.8426280000000002E-6</v>
      </c>
      <c r="I3908">
        <v>136.37370000000001</v>
      </c>
      <c r="J3908">
        <v>-342.27629999999999</v>
      </c>
      <c r="K3908">
        <v>1.104757</v>
      </c>
      <c r="L3908">
        <v>137.7867</v>
      </c>
      <c r="M3908">
        <v>-0.9998901</v>
      </c>
      <c r="N3908">
        <v>0</v>
      </c>
      <c r="O3908">
        <v>2.7872079999999998E-3</v>
      </c>
      <c r="P3908">
        <v>-0.99928819999999996</v>
      </c>
      <c r="Q3908">
        <v>1.670613E-2</v>
      </c>
      <c r="R3908">
        <v>3.3821909999999997E-2</v>
      </c>
      <c r="S3908">
        <v>-3.0118099999999899</v>
      </c>
      <c r="T3908">
        <v>-0.1640286</v>
      </c>
      <c r="U3908">
        <v>-0.20971679999999901</v>
      </c>
      <c r="V3908">
        <v>3.1029049999999999E-2</v>
      </c>
      <c r="W3908">
        <v>3.126524E-2</v>
      </c>
      <c r="X3908">
        <v>0.99902939999999996</v>
      </c>
      <c r="Y3908">
        <v>-7.2133290000000003E-2</v>
      </c>
      <c r="Z3908">
        <v>-2.1119529999999902E-3</v>
      </c>
      <c r="AA3908">
        <v>0.99739279999999997</v>
      </c>
      <c r="AB3908">
        <v>22</v>
      </c>
      <c r="AC3908">
        <v>-20.065999999999999</v>
      </c>
      <c r="AD3908">
        <v>-1.104760842628</v>
      </c>
      <c r="AE3908">
        <v>-1.41299999999998</v>
      </c>
      <c r="AF3908">
        <v>-1.46451123000259</v>
      </c>
      <c r="AG3908">
        <v>-1.104760842628</v>
      </c>
      <c r="AH3908">
        <v>20.001653394731399</v>
      </c>
      <c r="AI3908">
        <v>93.153009375990393</v>
      </c>
      <c r="AJ3908">
        <v>94.187695934437301</v>
      </c>
      <c r="AK3908">
        <v>20.0856025098869</v>
      </c>
    </row>
    <row r="3909" spans="1:37" x14ac:dyDescent="0.2">
      <c r="A3909" t="str">
        <f>"20200111160240056"</f>
        <v>20200111160240056</v>
      </c>
      <c r="B3909" t="str">
        <f>"1578729760046760"</f>
        <v>1578729760046760</v>
      </c>
      <c r="C3909" t="s">
        <v>37</v>
      </c>
      <c r="D3909">
        <v>5.3719409999999996</v>
      </c>
      <c r="E3909">
        <v>0.46326689999999998</v>
      </c>
      <c r="F3909" t="s">
        <v>38</v>
      </c>
      <c r="G3909">
        <v>-362.30439999999999</v>
      </c>
      <c r="H3909" s="1">
        <v>-3.8536529999999998E-6</v>
      </c>
      <c r="I3909">
        <v>136.40309999999999</v>
      </c>
      <c r="J3909">
        <v>-342.488</v>
      </c>
      <c r="K3909">
        <v>1.104759</v>
      </c>
      <c r="L3909">
        <v>137.78710000000001</v>
      </c>
      <c r="M3909">
        <v>-0.99989059999999896</v>
      </c>
      <c r="N3909">
        <v>0</v>
      </c>
      <c r="O3909">
        <v>2.6153779999999998E-3</v>
      </c>
      <c r="P3909">
        <v>-0.99928019999999995</v>
      </c>
      <c r="Q3909">
        <v>1.6897969999999998E-2</v>
      </c>
      <c r="R3909">
        <v>3.3969680000000002E-2</v>
      </c>
      <c r="S3909">
        <v>-3.0119319999999998</v>
      </c>
      <c r="T3909">
        <v>-0.1661407</v>
      </c>
      <c r="U3909">
        <v>-0.2080688</v>
      </c>
      <c r="V3909">
        <v>3.1348679999999997E-2</v>
      </c>
      <c r="W3909">
        <v>3.145158E-2</v>
      </c>
      <c r="X3909">
        <v>0.9990135</v>
      </c>
      <c r="Y3909">
        <v>-7.1414469999999994E-2</v>
      </c>
      <c r="Z3909">
        <v>-2.109812E-3</v>
      </c>
      <c r="AA3909">
        <v>0.99744449999999996</v>
      </c>
      <c r="AB3909">
        <v>22</v>
      </c>
      <c r="AC3909">
        <v>-19.816399999999899</v>
      </c>
      <c r="AD3909">
        <v>-1.1047628536530001</v>
      </c>
      <c r="AE3909">
        <v>-1.3840000000000101</v>
      </c>
      <c r="AF3909">
        <v>-1.4314008590101801</v>
      </c>
      <c r="AG3909">
        <v>-1.1047628536530001</v>
      </c>
      <c r="AH3909">
        <v>19.751621022113799</v>
      </c>
      <c r="AI3909">
        <v>93.193019552942999</v>
      </c>
      <c r="AJ3909">
        <v>94.144981486056807</v>
      </c>
      <c r="AK3909">
        <v>19.834211413191898</v>
      </c>
    </row>
    <row r="3910" spans="1:37" x14ac:dyDescent="0.2">
      <c r="A3910" t="str">
        <f>"20200111160240078"</f>
        <v>20200111160240078</v>
      </c>
      <c r="B3910" t="str">
        <f>"1578729760076040"</f>
        <v>1578729760076040</v>
      </c>
      <c r="C3910" t="s">
        <v>37</v>
      </c>
      <c r="D3910">
        <v>5.3530480000000003</v>
      </c>
      <c r="E3910">
        <v>0.46357599999999999</v>
      </c>
      <c r="F3910" t="s">
        <v>38</v>
      </c>
      <c r="G3910">
        <v>-362.25670000000002</v>
      </c>
      <c r="H3910" s="1">
        <v>-3.8698199999999902E-6</v>
      </c>
      <c r="I3910">
        <v>136.42740000000001</v>
      </c>
      <c r="J3910">
        <v>-342.70760000000001</v>
      </c>
      <c r="K3910">
        <v>1.104757</v>
      </c>
      <c r="L3910">
        <v>137.78739999999999</v>
      </c>
      <c r="M3910">
        <v>-0.99989110000000003</v>
      </c>
      <c r="N3910">
        <v>0</v>
      </c>
      <c r="O3910">
        <v>2.438548E-3</v>
      </c>
      <c r="P3910">
        <v>-0.99927699999999997</v>
      </c>
      <c r="Q3910">
        <v>1.748603E-2</v>
      </c>
      <c r="R3910">
        <v>3.3757710000000003E-2</v>
      </c>
      <c r="S3910">
        <v>-3.012054</v>
      </c>
      <c r="T3910">
        <v>-0.1683279</v>
      </c>
      <c r="U3910">
        <v>-0.20715329999999901</v>
      </c>
      <c r="V3910">
        <v>3.1313390000000003E-2</v>
      </c>
      <c r="W3910">
        <v>3.2033989999999998E-2</v>
      </c>
      <c r="X3910">
        <v>0.99899609999999905</v>
      </c>
      <c r="Y3910">
        <v>-7.0931610000000006E-2</v>
      </c>
      <c r="Z3910">
        <v>-2.11415E-3</v>
      </c>
      <c r="AA3910">
        <v>0.997479</v>
      </c>
      <c r="AB3910">
        <v>22</v>
      </c>
      <c r="AC3910">
        <v>-19.549099999999999</v>
      </c>
      <c r="AD3910">
        <v>-1.10476086982</v>
      </c>
      <c r="AE3910">
        <v>-1.3599999999999799</v>
      </c>
      <c r="AF3910">
        <v>-1.4032126825837199</v>
      </c>
      <c r="AG3910">
        <v>-1.10476086982</v>
      </c>
      <c r="AH3910">
        <v>19.483800958238799</v>
      </c>
      <c r="AI3910">
        <v>93.236916206734506</v>
      </c>
      <c r="AJ3910">
        <v>94.119298515073396</v>
      </c>
      <c r="AK3910">
        <v>19.565479861028599</v>
      </c>
    </row>
    <row r="3911" spans="1:37" x14ac:dyDescent="0.2">
      <c r="A3911" t="str">
        <f>"20200111160240102"</f>
        <v>20200111160240102</v>
      </c>
      <c r="B3911" t="str">
        <f>"1578729760096536"</f>
        <v>1578729760096536</v>
      </c>
      <c r="C3911" t="s">
        <v>37</v>
      </c>
      <c r="D3911">
        <v>5.3249909999999998</v>
      </c>
      <c r="E3911">
        <v>0.46357619999999999</v>
      </c>
      <c r="F3911" t="s">
        <v>38</v>
      </c>
      <c r="G3911">
        <v>-362.20839999999998</v>
      </c>
      <c r="H3911" s="1">
        <v>-3.885474E-6</v>
      </c>
      <c r="I3911">
        <v>136.45580000000001</v>
      </c>
      <c r="J3911">
        <v>-342.93619999999999</v>
      </c>
      <c r="K3911">
        <v>1.1047559999999901</v>
      </c>
      <c r="L3911">
        <v>137.7878</v>
      </c>
      <c r="M3911">
        <v>-0.99989169999999905</v>
      </c>
      <c r="N3911">
        <v>0</v>
      </c>
      <c r="O3911">
        <v>2.2557670000000001E-3</v>
      </c>
      <c r="P3911">
        <v>-0.99928309999999998</v>
      </c>
      <c r="Q3911">
        <v>1.7673930000000001E-2</v>
      </c>
      <c r="R3911">
        <v>3.3484159999999999E-2</v>
      </c>
      <c r="S3911">
        <v>-3.0121150000000001</v>
      </c>
      <c r="T3911">
        <v>-0.17064260000000001</v>
      </c>
      <c r="U3911">
        <v>-0.2056732</v>
      </c>
      <c r="V3911">
        <v>3.1222799999999998E-2</v>
      </c>
      <c r="W3911">
        <v>3.2216050000000003E-2</v>
      </c>
      <c r="X3911">
        <v>0.99899309999999997</v>
      </c>
      <c r="Y3911">
        <v>-7.0258219999999996E-2</v>
      </c>
      <c r="Z3911">
        <v>-2.1137959999999998E-3</v>
      </c>
      <c r="AA3911">
        <v>0.99752659999999904</v>
      </c>
      <c r="AB3911">
        <v>22</v>
      </c>
      <c r="AC3911">
        <v>-19.272200000000002</v>
      </c>
      <c r="AD3911">
        <v>-1.1047598854739999</v>
      </c>
      <c r="AE3911">
        <v>-1.3319999999999901</v>
      </c>
      <c r="AF3911">
        <v>-1.37099108416876</v>
      </c>
      <c r="AG3911">
        <v>-1.1047598854739999</v>
      </c>
      <c r="AH3911">
        <v>19.206333175898099</v>
      </c>
      <c r="AI3911">
        <v>93.283723320616502</v>
      </c>
      <c r="AJ3911">
        <v>94.082975650731896</v>
      </c>
      <c r="AK3911">
        <v>19.286869756936401</v>
      </c>
    </row>
    <row r="3912" spans="1:37" x14ac:dyDescent="0.2">
      <c r="A3912" t="str">
        <f>"20200111160240124"</f>
        <v>20200111160240124</v>
      </c>
      <c r="B3912" t="str">
        <f>"1578729760116056"</f>
        <v>1578729760116056</v>
      </c>
      <c r="C3912" t="s">
        <v>37</v>
      </c>
      <c r="D3912">
        <v>5.4655149999999999</v>
      </c>
      <c r="E3912">
        <v>0.46349759999999901</v>
      </c>
      <c r="F3912" t="s">
        <v>38</v>
      </c>
      <c r="G3912">
        <v>-362.21069999999997</v>
      </c>
      <c r="H3912" s="1">
        <v>-3.8829009999999999E-6</v>
      </c>
      <c r="I3912">
        <v>136.4649</v>
      </c>
      <c r="J3912">
        <v>-343.16379999999998</v>
      </c>
      <c r="K3912">
        <v>1.1047559999999901</v>
      </c>
      <c r="L3912">
        <v>137.78809999999999</v>
      </c>
      <c r="M3912">
        <v>-0.99989209999999995</v>
      </c>
      <c r="N3912">
        <v>0</v>
      </c>
      <c r="O3912">
        <v>2.0771610000000001E-3</v>
      </c>
      <c r="P3912">
        <v>-0.99928329999999999</v>
      </c>
      <c r="Q3912">
        <v>1.781609E-2</v>
      </c>
      <c r="R3912">
        <v>3.3402279999999999E-2</v>
      </c>
      <c r="S3912">
        <v>-3.012146</v>
      </c>
      <c r="T3912">
        <v>-0.17264889999999999</v>
      </c>
      <c r="U3912">
        <v>-0.2067261</v>
      </c>
      <c r="V3912">
        <v>3.1319520000000003E-2</v>
      </c>
      <c r="W3912">
        <v>3.2352350000000002E-2</v>
      </c>
      <c r="X3912">
        <v>0.99898569999999998</v>
      </c>
      <c r="Y3912">
        <v>-7.0423680000000002E-2</v>
      </c>
      <c r="Z3912">
        <v>-2.133074E-3</v>
      </c>
      <c r="AA3912">
        <v>0.99751489999999998</v>
      </c>
      <c r="AB3912">
        <v>22</v>
      </c>
      <c r="AC3912">
        <v>-19.046899999999901</v>
      </c>
      <c r="AD3912">
        <v>-1.1047598829009999</v>
      </c>
      <c r="AE3912">
        <v>-1.3231999999999799</v>
      </c>
      <c r="AF3912">
        <v>-1.3582173817926699</v>
      </c>
      <c r="AG3912">
        <v>-1.1047598829009999</v>
      </c>
      <c r="AH3912">
        <v>18.980561610487101</v>
      </c>
      <c r="AI3912">
        <v>93.322654304857807</v>
      </c>
      <c r="AJ3912">
        <v>94.093013862791807</v>
      </c>
      <c r="AK3912">
        <v>19.061137634059801</v>
      </c>
    </row>
    <row r="3913" spans="1:37" x14ac:dyDescent="0.2">
      <c r="A3913" t="str">
        <f>"20200111160240146"</f>
        <v>20200111160240146</v>
      </c>
      <c r="B3913" t="str">
        <f>"1578729760136551"</f>
        <v>1578729760136551</v>
      </c>
      <c r="C3913" t="s">
        <v>37</v>
      </c>
      <c r="D3913">
        <v>5.3109039999999998</v>
      </c>
      <c r="E3913">
        <v>0.46349020000000002</v>
      </c>
      <c r="F3913" t="s">
        <v>38</v>
      </c>
      <c r="G3913">
        <v>-362.21050000000002</v>
      </c>
      <c r="H3913" s="1">
        <v>-3.8812509999999997E-6</v>
      </c>
      <c r="I3913">
        <v>136.47450000000001</v>
      </c>
      <c r="J3913">
        <v>-343.36770000000001</v>
      </c>
      <c r="K3913">
        <v>1.104757</v>
      </c>
      <c r="L3913">
        <v>137.78829999999999</v>
      </c>
      <c r="M3913">
        <v>-0.99989249999999996</v>
      </c>
      <c r="N3913">
        <v>0</v>
      </c>
      <c r="O3913">
        <v>1.9206049999999999E-3</v>
      </c>
      <c r="P3913">
        <v>-0.99929049999999997</v>
      </c>
      <c r="Q3913">
        <v>1.7483809999999999E-2</v>
      </c>
      <c r="R3913">
        <v>3.3363610000000002E-2</v>
      </c>
      <c r="S3913">
        <v>-3.0122070000000001</v>
      </c>
      <c r="T3913">
        <v>-0.1747165</v>
      </c>
      <c r="U3913">
        <v>-0.20773320000000001</v>
      </c>
      <c r="V3913">
        <v>3.1437560000000003E-2</v>
      </c>
      <c r="W3913">
        <v>3.2014929999999997E-2</v>
      </c>
      <c r="X3913">
        <v>0.99899289999999996</v>
      </c>
      <c r="Y3913">
        <v>-7.0595190000000002E-2</v>
      </c>
      <c r="Z3913">
        <v>-2.1544089999999999E-3</v>
      </c>
      <c r="AA3913">
        <v>0.99750269999999996</v>
      </c>
      <c r="AB3913">
        <v>22</v>
      </c>
      <c r="AC3913">
        <v>-18.8428</v>
      </c>
      <c r="AD3913">
        <v>-1.1047608812509999</v>
      </c>
      <c r="AE3913">
        <v>-1.3137999999999801</v>
      </c>
      <c r="AF3913">
        <v>-1.34538854587962</v>
      </c>
      <c r="AG3913">
        <v>-1.1047608812509999</v>
      </c>
      <c r="AH3913">
        <v>18.776010955690701</v>
      </c>
      <c r="AI3913">
        <v>93.358749755514097</v>
      </c>
      <c r="AJ3913">
        <v>94.0985043268943</v>
      </c>
      <c r="AK3913">
        <v>18.8565414207469</v>
      </c>
    </row>
    <row r="3914" spans="1:37" x14ac:dyDescent="0.2">
      <c r="A3914" t="str">
        <f>"20200111160240168"</f>
        <v>20200111160240168</v>
      </c>
      <c r="B3914" t="str">
        <f>"1578729760156072"</f>
        <v>1578729760156072</v>
      </c>
      <c r="C3914" t="s">
        <v>37</v>
      </c>
      <c r="D3914">
        <v>5.3038360000000004</v>
      </c>
      <c r="E3914">
        <v>0.4634335</v>
      </c>
      <c r="F3914" t="s">
        <v>38</v>
      </c>
      <c r="G3914">
        <v>-362.04770000000002</v>
      </c>
      <c r="H3914" s="1">
        <v>-3.9469199999999898E-6</v>
      </c>
      <c r="I3914">
        <v>136.4982</v>
      </c>
      <c r="J3914">
        <v>-343.58409999999998</v>
      </c>
      <c r="K3914">
        <v>1.104754</v>
      </c>
      <c r="L3914">
        <v>137.7886</v>
      </c>
      <c r="M3914">
        <v>-0.99989289999999997</v>
      </c>
      <c r="N3914">
        <v>0</v>
      </c>
      <c r="O3914">
        <v>1.7588809999999999E-3</v>
      </c>
      <c r="P3914">
        <v>-0.9992877</v>
      </c>
      <c r="Q3914">
        <v>1.776817E-2</v>
      </c>
      <c r="R3914">
        <v>3.3294810000000001E-2</v>
      </c>
      <c r="S3914">
        <v>-3.0122070000000001</v>
      </c>
      <c r="T3914">
        <v>-0.17814730000000001</v>
      </c>
      <c r="U3914">
        <v>-0.20802309999999999</v>
      </c>
      <c r="V3914">
        <v>3.1530570000000001E-2</v>
      </c>
      <c r="W3914">
        <v>3.2293259999999997E-2</v>
      </c>
      <c r="X3914">
        <v>0.99898089999999995</v>
      </c>
      <c r="Y3914">
        <v>-7.0524989999999996E-2</v>
      </c>
      <c r="Z3914">
        <v>-2.1850149999999998E-3</v>
      </c>
      <c r="AA3914">
        <v>0.99750759999999905</v>
      </c>
      <c r="AB3914">
        <v>22</v>
      </c>
      <c r="AC3914">
        <v>-18.4636</v>
      </c>
      <c r="AD3914">
        <v>-1.10475794692</v>
      </c>
      <c r="AE3914">
        <v>-1.2904</v>
      </c>
      <c r="AF3914">
        <v>-1.31818035963603</v>
      </c>
      <c r="AG3914">
        <v>-1.10475794692</v>
      </c>
      <c r="AH3914">
        <v>18.395762029021601</v>
      </c>
      <c r="AI3914">
        <v>93.428003183524197</v>
      </c>
      <c r="AJ3914">
        <v>94.098623374830694</v>
      </c>
      <c r="AK3914">
        <v>18.475988477215701</v>
      </c>
    </row>
    <row r="3915" spans="1:37" x14ac:dyDescent="0.2">
      <c r="A3915" t="str">
        <f>"20200111160240192"</f>
        <v>20200111160240192</v>
      </c>
      <c r="B3915" t="str">
        <f>"1578729760186329"</f>
        <v>1578729760186329</v>
      </c>
      <c r="C3915" t="s">
        <v>37</v>
      </c>
      <c r="D3915">
        <v>5.2586940000000002</v>
      </c>
      <c r="E3915">
        <v>0.46342739999999999</v>
      </c>
      <c r="F3915" t="s">
        <v>38</v>
      </c>
      <c r="G3915">
        <v>-362.14159999999998</v>
      </c>
      <c r="H3915" s="1">
        <v>-3.9059359999999901E-6</v>
      </c>
      <c r="I3915">
        <v>136.50219999999999</v>
      </c>
      <c r="J3915">
        <v>-343.80630000000002</v>
      </c>
      <c r="K3915">
        <v>1.104754</v>
      </c>
      <c r="L3915">
        <v>137.78880000000001</v>
      </c>
      <c r="M3915">
        <v>-0.99989319999999904</v>
      </c>
      <c r="N3915">
        <v>0</v>
      </c>
      <c r="O3915">
        <v>1.5971079999999901E-3</v>
      </c>
      <c r="P3915">
        <v>-0.99928589999999995</v>
      </c>
      <c r="Q3915">
        <v>1.827898E-2</v>
      </c>
      <c r="R3915">
        <v>3.3073150000000003E-2</v>
      </c>
      <c r="S3915">
        <v>-3.0122990000000001</v>
      </c>
      <c r="T3915">
        <v>-0.17932779999999901</v>
      </c>
      <c r="U3915">
        <v>-0.2088013</v>
      </c>
      <c r="V3915">
        <v>3.1470730000000002E-2</v>
      </c>
      <c r="W3915">
        <v>3.2797949999999999E-2</v>
      </c>
      <c r="X3915">
        <v>0.99896640000000003</v>
      </c>
      <c r="Y3915">
        <v>-7.0616479999999995E-2</v>
      </c>
      <c r="Z3915">
        <v>-2.1924900000000001E-3</v>
      </c>
      <c r="AA3915">
        <v>0.99750110000000003</v>
      </c>
      <c r="AB3915">
        <v>22</v>
      </c>
      <c r="AC3915">
        <v>-18.335299999999901</v>
      </c>
      <c r="AD3915">
        <v>-1.104757905936</v>
      </c>
      <c r="AE3915">
        <v>-1.2866000000000199</v>
      </c>
      <c r="AF3915">
        <v>-1.3111481935518701</v>
      </c>
      <c r="AG3915">
        <v>-1.104757905936</v>
      </c>
      <c r="AH3915">
        <v>18.267228584474001</v>
      </c>
      <c r="AI3915">
        <v>93.452036042527098</v>
      </c>
      <c r="AJ3915">
        <v>94.105420169566401</v>
      </c>
      <c r="AK3915">
        <v>18.347513176820598</v>
      </c>
    </row>
    <row r="3916" spans="1:37" x14ac:dyDescent="0.2">
      <c r="A3916" t="str">
        <f>"20200111160240214"</f>
        <v>20200111160240214</v>
      </c>
      <c r="B3916" t="str">
        <f>"1578729760205850"</f>
        <v>1578729760205850</v>
      </c>
      <c r="C3916" t="s">
        <v>37</v>
      </c>
      <c r="D3916">
        <v>5.3195519999999998</v>
      </c>
      <c r="E3916">
        <v>0.463315799999999</v>
      </c>
      <c r="F3916" t="s">
        <v>38</v>
      </c>
      <c r="G3916">
        <v>-362.16370000000001</v>
      </c>
      <c r="H3916" s="1">
        <v>-3.8949840000000004E-6</v>
      </c>
      <c r="I3916">
        <v>136.5103</v>
      </c>
      <c r="J3916">
        <v>-344.03440000000001</v>
      </c>
      <c r="K3916">
        <v>1.1047480000000001</v>
      </c>
      <c r="L3916">
        <v>137.78890000000001</v>
      </c>
      <c r="M3916">
        <v>-0.9998937</v>
      </c>
      <c r="N3916">
        <v>0</v>
      </c>
      <c r="O3916">
        <v>1.4363519999999999E-3</v>
      </c>
      <c r="P3916">
        <v>-0.99927900000000003</v>
      </c>
      <c r="Q3916">
        <v>1.8904919999999999E-2</v>
      </c>
      <c r="R3916">
        <v>3.2934940000000003E-2</v>
      </c>
      <c r="S3916">
        <v>-3.0123899999999999</v>
      </c>
      <c r="T3916">
        <v>-0.18128739999999999</v>
      </c>
      <c r="U3916">
        <v>-0.20977779999999999</v>
      </c>
      <c r="V3916">
        <v>3.1493529999999999E-2</v>
      </c>
      <c r="W3916">
        <v>3.341798E-2</v>
      </c>
      <c r="X3916">
        <v>0.99894509999999903</v>
      </c>
      <c r="Y3916">
        <v>-7.0773039999999995E-2</v>
      </c>
      <c r="Z3916">
        <v>-2.211359E-3</v>
      </c>
      <c r="AA3916">
        <v>0.99748999999999999</v>
      </c>
      <c r="AB3916">
        <v>22</v>
      </c>
      <c r="AC3916">
        <v>-18.129300000000001</v>
      </c>
      <c r="AD3916">
        <v>-1.1047518949840001</v>
      </c>
      <c r="AE3916">
        <v>-1.27860000000001</v>
      </c>
      <c r="AF3916">
        <v>-1.2998385952838001</v>
      </c>
      <c r="AG3916">
        <v>-1.1047518949840001</v>
      </c>
      <c r="AH3916">
        <v>18.060710538598698</v>
      </c>
      <c r="AI3916">
        <v>93.491344405865306</v>
      </c>
      <c r="AJ3916">
        <v>94.116508909773898</v>
      </c>
      <c r="AK3916">
        <v>18.141094847949802</v>
      </c>
    </row>
    <row r="3917" spans="1:37" x14ac:dyDescent="0.2">
      <c r="A3917" t="str">
        <f>"20200111160240236"</f>
        <v>20200111160240236</v>
      </c>
      <c r="B3917" t="str">
        <f>"1578729760226343"</f>
        <v>1578729760226343</v>
      </c>
      <c r="C3917" t="s">
        <v>37</v>
      </c>
      <c r="D3917">
        <v>5.2475709999999998</v>
      </c>
      <c r="E3917">
        <v>0.46327590000000002</v>
      </c>
      <c r="F3917" t="s">
        <v>38</v>
      </c>
      <c r="G3917">
        <v>-362.40980000000002</v>
      </c>
      <c r="H3917" s="1">
        <v>-3.791178E-6</v>
      </c>
      <c r="I3917">
        <v>136.50049999999999</v>
      </c>
      <c r="J3917">
        <v>-344.24369999999999</v>
      </c>
      <c r="K3917">
        <v>1.1047480000000001</v>
      </c>
      <c r="L3917">
        <v>137.78899999999999</v>
      </c>
      <c r="M3917">
        <v>-0.99989399999999995</v>
      </c>
      <c r="N3917">
        <v>0</v>
      </c>
      <c r="O3917">
        <v>1.2932239999999999E-3</v>
      </c>
      <c r="P3917">
        <v>-0.99928569999999906</v>
      </c>
      <c r="Q3917">
        <v>1.9582929999999998E-2</v>
      </c>
      <c r="R3917">
        <v>3.232811E-2</v>
      </c>
      <c r="S3917">
        <v>-3.0125120000000001</v>
      </c>
      <c r="T3917">
        <v>-0.18111720000000001</v>
      </c>
      <c r="U3917">
        <v>-0.21121219999999999</v>
      </c>
      <c r="V3917">
        <v>3.1029709999999999E-2</v>
      </c>
      <c r="W3917">
        <v>3.4090410000000002E-2</v>
      </c>
      <c r="X3917">
        <v>0.99893699999999996</v>
      </c>
      <c r="Y3917">
        <v>-7.1099999999999997E-2</v>
      </c>
      <c r="Z3917">
        <v>-2.2103800000000001E-3</v>
      </c>
      <c r="AA3917">
        <v>0.99746669999999904</v>
      </c>
      <c r="AB3917">
        <v>22</v>
      </c>
      <c r="AC3917">
        <v>-18.1661</v>
      </c>
      <c r="AD3917">
        <v>-1.104751791178</v>
      </c>
      <c r="AE3917">
        <v>-1.28849999999999</v>
      </c>
      <c r="AF3917">
        <v>-1.30718402731268</v>
      </c>
      <c r="AG3917">
        <v>-1.104751791178</v>
      </c>
      <c r="AH3917">
        <v>18.0978215799006</v>
      </c>
      <c r="AI3917">
        <v>93.484138060642096</v>
      </c>
      <c r="AJ3917">
        <v>94.131231446081102</v>
      </c>
      <c r="AK3917">
        <v>18.1785684953268</v>
      </c>
    </row>
    <row r="3918" spans="1:37" x14ac:dyDescent="0.2">
      <c r="A3918" t="str">
        <f>"20200111160240258"</f>
        <v>20200111160240258</v>
      </c>
      <c r="B3918" t="str">
        <f>"1578729760245864"</f>
        <v>1578729760245864</v>
      </c>
      <c r="C3918" t="s">
        <v>37</v>
      </c>
      <c r="D3918">
        <v>5.2120920000000002</v>
      </c>
      <c r="E3918">
        <v>0.46321019999999902</v>
      </c>
      <c r="F3918" t="s">
        <v>38</v>
      </c>
      <c r="G3918">
        <v>-362.65039999999999</v>
      </c>
      <c r="H3918" s="1">
        <v>-3.6905640000000001E-6</v>
      </c>
      <c r="I3918">
        <v>136.48570000000001</v>
      </c>
      <c r="J3918">
        <v>-344.45499999999998</v>
      </c>
      <c r="K3918">
        <v>1.104752</v>
      </c>
      <c r="L3918">
        <v>137.78909999999999</v>
      </c>
      <c r="M3918">
        <v>-0.99989430000000001</v>
      </c>
      <c r="N3918">
        <v>0</v>
      </c>
      <c r="O3918">
        <v>1.1518100000000001E-3</v>
      </c>
      <c r="P3918">
        <v>-0.99927819999999901</v>
      </c>
      <c r="Q3918">
        <v>2.0556720000000001E-2</v>
      </c>
      <c r="R3918">
        <v>3.1947490000000002E-2</v>
      </c>
      <c r="S3918">
        <v>-3.0126040000000001</v>
      </c>
      <c r="T3918">
        <v>-0.18081410000000001</v>
      </c>
      <c r="U3918">
        <v>-0.21330259999999901</v>
      </c>
      <c r="V3918">
        <v>3.07903E-2</v>
      </c>
      <c r="W3918">
        <v>3.5058289999999999E-2</v>
      </c>
      <c r="X3918">
        <v>0.99891079999999999</v>
      </c>
      <c r="Y3918">
        <v>-7.1645249999999994E-2</v>
      </c>
      <c r="Z3918">
        <v>-2.2144249999999999E-3</v>
      </c>
      <c r="AA3918">
        <v>0.99742770000000003</v>
      </c>
      <c r="AB3918">
        <v>22</v>
      </c>
      <c r="AC3918">
        <v>-18.195399999999999</v>
      </c>
      <c r="AD3918">
        <v>-1.1047556905639999</v>
      </c>
      <c r="AE3918">
        <v>-1.3033999999999799</v>
      </c>
      <c r="AF3918">
        <v>-1.3195194608022001</v>
      </c>
      <c r="AG3918">
        <v>-1.1047556905639999</v>
      </c>
      <c r="AH3918">
        <v>18.127401754352299</v>
      </c>
      <c r="AI3918">
        <v>93.478338070102296</v>
      </c>
      <c r="AJ3918">
        <v>94.1632987666936</v>
      </c>
      <c r="AK3918">
        <v>18.208907466044401</v>
      </c>
    </row>
    <row r="3919" spans="1:37" x14ac:dyDescent="0.2">
      <c r="A3919" t="str">
        <f>"20200111160240281"</f>
        <v>20200111160240281</v>
      </c>
      <c r="B3919" t="str">
        <f>"1578729760276120"</f>
        <v>1578729760276120</v>
      </c>
      <c r="C3919" t="s">
        <v>37</v>
      </c>
      <c r="D3919">
        <v>5.2742639999999996</v>
      </c>
      <c r="E3919">
        <v>0.46312550000000002</v>
      </c>
      <c r="F3919" t="s">
        <v>38</v>
      </c>
      <c r="G3919">
        <v>-363.00959999999998</v>
      </c>
      <c r="H3919" s="1">
        <v>-3.54042199999999E-6</v>
      </c>
      <c r="I3919">
        <v>136.46350000000001</v>
      </c>
      <c r="J3919">
        <v>-344.67559999999997</v>
      </c>
      <c r="K3919">
        <v>1.1047499999999999</v>
      </c>
      <c r="L3919">
        <v>137.78919999999999</v>
      </c>
      <c r="M3919">
        <v>-0.99989439999999996</v>
      </c>
      <c r="N3919">
        <v>0</v>
      </c>
      <c r="O3919">
        <v>1.006984E-3</v>
      </c>
      <c r="P3919">
        <v>-0.99925849999999905</v>
      </c>
      <c r="Q3919">
        <v>2.079454E-2</v>
      </c>
      <c r="R3919">
        <v>3.2405080000000003E-2</v>
      </c>
      <c r="S3919">
        <v>-3.012756</v>
      </c>
      <c r="T3919">
        <v>-0.17938319999999999</v>
      </c>
      <c r="U3919">
        <v>-0.2152405</v>
      </c>
      <c r="V3919">
        <v>3.1392799999999998E-2</v>
      </c>
      <c r="W3919">
        <v>3.5290370000000001E-2</v>
      </c>
      <c r="X3919">
        <v>0.99888390000000005</v>
      </c>
      <c r="Y3919">
        <v>-7.2137039999999999E-2</v>
      </c>
      <c r="Z3919">
        <v>-2.2027750000000001E-3</v>
      </c>
      <c r="AA3919">
        <v>0.99739230000000001</v>
      </c>
      <c r="AB3919">
        <v>22</v>
      </c>
      <c r="AC3919">
        <v>-18.334</v>
      </c>
      <c r="AD3919">
        <v>-1.1047535404219999</v>
      </c>
      <c r="AE3919">
        <v>-1.3256999999999799</v>
      </c>
      <c r="AF3919">
        <v>-1.33932562608658</v>
      </c>
      <c r="AG3919">
        <v>-1.1047535404219999</v>
      </c>
      <c r="AH3919">
        <v>18.266675790136802</v>
      </c>
      <c r="AI3919">
        <v>93.451742754389997</v>
      </c>
      <c r="AJ3919">
        <v>94.1934633547326</v>
      </c>
      <c r="AK3919">
        <v>18.348997736654098</v>
      </c>
    </row>
    <row r="3920" spans="1:37" x14ac:dyDescent="0.2">
      <c r="A3920" t="str">
        <f>"20200111160240303"</f>
        <v>20200111160240303</v>
      </c>
      <c r="B3920" t="str">
        <f>"1578729760296616"</f>
        <v>1578729760296616</v>
      </c>
      <c r="C3920" t="s">
        <v>37</v>
      </c>
      <c r="D3920">
        <v>5.2619099999999897</v>
      </c>
      <c r="E3920">
        <v>0.46269460000000001</v>
      </c>
      <c r="F3920" t="s">
        <v>38</v>
      </c>
      <c r="G3920">
        <v>-363.1884</v>
      </c>
      <c r="H3920" s="1">
        <v>-3.462748E-6</v>
      </c>
      <c r="I3920">
        <v>136.46899999999999</v>
      </c>
      <c r="J3920">
        <v>-344.89550000000003</v>
      </c>
      <c r="K3920">
        <v>1.104743</v>
      </c>
      <c r="L3920">
        <v>137.7893</v>
      </c>
      <c r="M3920">
        <v>-0.99989470000000003</v>
      </c>
      <c r="N3920">
        <v>0</v>
      </c>
      <c r="O3920">
        <v>8.6363599999999998E-4</v>
      </c>
      <c r="P3920">
        <v>-0.99925419999999998</v>
      </c>
      <c r="Q3920">
        <v>2.0375230000000001E-2</v>
      </c>
      <c r="R3920">
        <v>3.2808360000000002E-2</v>
      </c>
      <c r="S3920">
        <v>-3.0129389999999998</v>
      </c>
      <c r="T3920">
        <v>-0.17979879999999901</v>
      </c>
      <c r="U3920">
        <v>-0.21485899999999999</v>
      </c>
      <c r="V3920">
        <v>3.1939710000000003E-2</v>
      </c>
      <c r="W3920">
        <v>3.486529E-2</v>
      </c>
      <c r="X3920">
        <v>0.99888149999999998</v>
      </c>
      <c r="Y3920">
        <v>-7.1864220000000006E-2</v>
      </c>
      <c r="Z3920">
        <v>-2.1910860000000001E-3</v>
      </c>
      <c r="AA3920">
        <v>0.99741199999999997</v>
      </c>
      <c r="AB3920">
        <v>22</v>
      </c>
      <c r="AC3920">
        <v>-18.2928999999999</v>
      </c>
      <c r="AD3920">
        <v>-1.1047464627479999</v>
      </c>
      <c r="AE3920">
        <v>-1.3203</v>
      </c>
      <c r="AF3920">
        <v>-1.33126932310355</v>
      </c>
      <c r="AG3920">
        <v>-1.1047464627479999</v>
      </c>
      <c r="AH3920">
        <v>18.225624698973501</v>
      </c>
      <c r="AI3920">
        <v>93.459545988669305</v>
      </c>
      <c r="AJ3920">
        <v>94.177683506050897</v>
      </c>
      <c r="AK3920">
        <v>18.307543211076201</v>
      </c>
    </row>
    <row r="3921" spans="1:37" x14ac:dyDescent="0.2">
      <c r="A3921" t="str">
        <f>"20200111160240772"</f>
        <v>20200111160240772</v>
      </c>
      <c r="B3921" t="str">
        <f>"1578729760766072"</f>
        <v>1578729760766072</v>
      </c>
      <c r="C3921" t="s">
        <v>37</v>
      </c>
      <c r="D3921">
        <v>5.1470510000000003</v>
      </c>
      <c r="E3921">
        <v>0.40323930000000002</v>
      </c>
      <c r="F3921" t="s">
        <v>38</v>
      </c>
      <c r="G3921">
        <v>-363.34449999999998</v>
      </c>
      <c r="H3921" s="1">
        <v>-3.3973469999999999E-6</v>
      </c>
      <c r="I3921">
        <v>136.46010000000001</v>
      </c>
      <c r="J3921">
        <v>-349.51080000000002</v>
      </c>
      <c r="K3921">
        <v>1.103667</v>
      </c>
      <c r="L3921">
        <v>137.78299999999999</v>
      </c>
      <c r="M3921">
        <v>-0.99997769999999997</v>
      </c>
      <c r="N3921">
        <v>0</v>
      </c>
      <c r="O3921">
        <v>-2.2283139999999999E-3</v>
      </c>
      <c r="P3921">
        <v>-0.99914669999999906</v>
      </c>
      <c r="Q3921">
        <v>2.84488E-2</v>
      </c>
      <c r="R3921">
        <v>2.994571E-2</v>
      </c>
      <c r="S3921">
        <v>-3.0130619999999899</v>
      </c>
      <c r="T3921">
        <v>-0.18042649999999999</v>
      </c>
      <c r="U3921">
        <v>-0.2170715</v>
      </c>
      <c r="V3921">
        <v>3.2165279999999997E-2</v>
      </c>
      <c r="W3921">
        <v>3.4751869999999997E-2</v>
      </c>
      <c r="X3921">
        <v>0.99887819999999905</v>
      </c>
      <c r="Y3921">
        <v>-6.9514599999999996E-2</v>
      </c>
      <c r="Z3921">
        <v>-1.9436289999999899E-3</v>
      </c>
      <c r="AA3921">
        <v>0.99757899999999999</v>
      </c>
      <c r="AB3921">
        <v>23</v>
      </c>
      <c r="AC3921">
        <v>-13.833699999999901</v>
      </c>
      <c r="AD3921">
        <v>-1.1036703973469999</v>
      </c>
      <c r="AE3921">
        <v>-1.32289999999997</v>
      </c>
      <c r="AF3921">
        <v>-1.2839717872821199</v>
      </c>
      <c r="AG3921">
        <v>-1.1036703973469999</v>
      </c>
      <c r="AH3921">
        <v>13.7498878669248</v>
      </c>
      <c r="AI3921">
        <v>94.569361092875894</v>
      </c>
      <c r="AJ3921">
        <v>95.3348395663552</v>
      </c>
      <c r="AK3921">
        <v>13.853739143261</v>
      </c>
    </row>
    <row r="3922" spans="1:37" x14ac:dyDescent="0.2">
      <c r="A3922" t="str">
        <f>"20200111160240799"</f>
        <v>20200111160240799</v>
      </c>
      <c r="B3922" t="str">
        <f>"1578729760796328"</f>
        <v>1578729760796328</v>
      </c>
      <c r="C3922" t="s">
        <v>37</v>
      </c>
      <c r="D3922">
        <v>5.1991990000000001</v>
      </c>
      <c r="E3922">
        <v>0.48183469999999901</v>
      </c>
      <c r="F3922" t="s">
        <v>38</v>
      </c>
      <c r="G3922">
        <v>-385.01170000000002</v>
      </c>
      <c r="H3922">
        <v>3.0667250000000002E-3</v>
      </c>
      <c r="I3922">
        <v>129.61619999999999</v>
      </c>
      <c r="J3922">
        <v>-349.78590000000003</v>
      </c>
      <c r="K3922">
        <v>1.103618</v>
      </c>
      <c r="L3922">
        <v>137.78210000000001</v>
      </c>
      <c r="M3922">
        <v>-0.99998029999999904</v>
      </c>
      <c r="N3922">
        <v>0</v>
      </c>
      <c r="O3922">
        <v>-2.4127200000000001E-3</v>
      </c>
      <c r="P3922">
        <v>-0.99917459999999902</v>
      </c>
      <c r="Q3922">
        <v>2.916941E-2</v>
      </c>
      <c r="R3922">
        <v>2.827824E-2</v>
      </c>
      <c r="S3922">
        <v>-3.026062</v>
      </c>
      <c r="T3922">
        <v>-9.3814250000000002E-2</v>
      </c>
      <c r="U3922">
        <v>-0.6961212</v>
      </c>
      <c r="V3922">
        <v>3.0682020000000001E-2</v>
      </c>
      <c r="W3922">
        <v>3.4970130000000002E-2</v>
      </c>
      <c r="X3922">
        <v>0.99891730000000001</v>
      </c>
      <c r="Y3922">
        <v>-0.2217344</v>
      </c>
      <c r="Z3922">
        <v>-3.3182109999999902E-3</v>
      </c>
      <c r="AA3922">
        <v>0.97510140000000001</v>
      </c>
      <c r="AB3922">
        <v>23</v>
      </c>
      <c r="AC3922">
        <v>-35.2257999999999</v>
      </c>
      <c r="AD3922">
        <v>-1.1005512749999999</v>
      </c>
      <c r="AE3922">
        <v>-8.1659000000000201</v>
      </c>
      <c r="AF3922">
        <v>-8.0734061703083899</v>
      </c>
      <c r="AG3922">
        <v>-1.1005512749999999</v>
      </c>
      <c r="AH3922">
        <v>35.212781157410397</v>
      </c>
      <c r="AI3922">
        <v>91.744911570725904</v>
      </c>
      <c r="AJ3922">
        <v>102.913299324348</v>
      </c>
      <c r="AK3922">
        <v>36.143202087520599</v>
      </c>
    </row>
    <row r="3923" spans="1:37" x14ac:dyDescent="0.2">
      <c r="A3923" t="str">
        <f>"20200111160240821"</f>
        <v>20200111160240821</v>
      </c>
      <c r="B3923" t="str">
        <f>"1578729760816824"</f>
        <v>1578729760816824</v>
      </c>
      <c r="C3923" t="s">
        <v>37</v>
      </c>
      <c r="D3923">
        <v>5.1855699999999896</v>
      </c>
      <c r="E3923">
        <v>0.49292049999999998</v>
      </c>
      <c r="F3923" t="s">
        <v>38</v>
      </c>
      <c r="G3923">
        <v>-368.40219999999999</v>
      </c>
      <c r="H3923" s="1">
        <v>-1.147945E-6</v>
      </c>
      <c r="I3923">
        <v>137.29300000000001</v>
      </c>
      <c r="J3923">
        <v>-350.01389999999998</v>
      </c>
      <c r="K3923">
        <v>1.10358</v>
      </c>
      <c r="L3923">
        <v>137.78139999999999</v>
      </c>
      <c r="M3923">
        <v>-0.99998209999999998</v>
      </c>
      <c r="N3923">
        <v>0</v>
      </c>
      <c r="O3923">
        <v>-2.5650120000000002E-3</v>
      </c>
      <c r="P3923">
        <v>-0.99918340000000005</v>
      </c>
      <c r="Q3923">
        <v>2.9591249999999999E-2</v>
      </c>
      <c r="R3923">
        <v>2.750849E-2</v>
      </c>
      <c r="S3923">
        <v>-3.0099179999999999</v>
      </c>
      <c r="T3923">
        <v>-0.17843589999999901</v>
      </c>
      <c r="U3923">
        <v>-7.9071039999999995E-2</v>
      </c>
      <c r="V3923">
        <v>3.0064259999999999E-2</v>
      </c>
      <c r="W3923">
        <v>3.4999669999999997E-2</v>
      </c>
      <c r="X3923">
        <v>0.99893500000000002</v>
      </c>
      <c r="Y3923">
        <v>-2.365985E-2</v>
      </c>
      <c r="Z3923">
        <v>-5.4867130000000003E-4</v>
      </c>
      <c r="AA3923">
        <v>0.99971989999999999</v>
      </c>
      <c r="AB3923">
        <v>23</v>
      </c>
      <c r="AC3923">
        <v>-18.388300000000001</v>
      </c>
      <c r="AD3923">
        <v>-1.103581147945</v>
      </c>
      <c r="AE3923">
        <v>-0.48839999999998401</v>
      </c>
      <c r="AF3923">
        <v>-0.43964906123372799</v>
      </c>
      <c r="AG3923">
        <v>-1.103581147945</v>
      </c>
      <c r="AH3923">
        <v>18.3235401963077</v>
      </c>
      <c r="AI3923">
        <v>93.445629340645496</v>
      </c>
      <c r="AJ3923">
        <v>91.374472571184697</v>
      </c>
      <c r="AK3923">
        <v>18.362007188018701</v>
      </c>
    </row>
    <row r="3924" spans="1:37" x14ac:dyDescent="0.2">
      <c r="A3924" t="str">
        <f>"20200111160240842"</f>
        <v>20200111160240842</v>
      </c>
      <c r="B3924" t="str">
        <f>"1578729760836344"</f>
        <v>1578729760836344</v>
      </c>
      <c r="C3924" t="s">
        <v>37</v>
      </c>
      <c r="D3924">
        <v>5.1205850000000002</v>
      </c>
      <c r="E3924">
        <v>0.49692900000000001</v>
      </c>
      <c r="F3924" t="s">
        <v>42</v>
      </c>
      <c r="G3924">
        <v>-350.82960000000003</v>
      </c>
      <c r="H3924">
        <v>1.0411280000000001</v>
      </c>
      <c r="I3924">
        <v>137.7825</v>
      </c>
      <c r="J3924">
        <v>-350.23669999999998</v>
      </c>
      <c r="K3924">
        <v>1.1035429999999999</v>
      </c>
      <c r="L3924">
        <v>137.7807</v>
      </c>
      <c r="M3924">
        <v>-0.99998369999999903</v>
      </c>
      <c r="N3924">
        <v>0</v>
      </c>
      <c r="O3924">
        <v>-2.7140009999999902E-3</v>
      </c>
      <c r="P3924">
        <v>-0.99921469999999901</v>
      </c>
      <c r="Q3924">
        <v>2.9082920000000002E-2</v>
      </c>
      <c r="R3924">
        <v>2.6914529999999999E-2</v>
      </c>
      <c r="S3924">
        <v>-3.0091860000000001</v>
      </c>
      <c r="T3924">
        <v>-0.23038499999999901</v>
      </c>
      <c r="U3924">
        <v>3.158569E-3</v>
      </c>
      <c r="V3924">
        <v>2.961925E-2</v>
      </c>
      <c r="W3924">
        <v>3.4128539999999999E-2</v>
      </c>
      <c r="X3924">
        <v>0.99897839999999904</v>
      </c>
      <c r="Y3924">
        <v>3.7447709999999901E-3</v>
      </c>
      <c r="Z3924">
        <v>3.5062569999999999E-4</v>
      </c>
      <c r="AA3924">
        <v>0.99999289999999996</v>
      </c>
      <c r="AB3924">
        <v>24</v>
      </c>
      <c r="AC3924">
        <v>-0.59290000000004195</v>
      </c>
      <c r="AD3924">
        <v>-6.2414999999999797E-2</v>
      </c>
      <c r="AE3924">
        <v>1.8000000000029099E-3</v>
      </c>
      <c r="AF3924">
        <v>3.3717794175712299E-3</v>
      </c>
      <c r="AG3924">
        <v>-6.2414999999999797E-2</v>
      </c>
      <c r="AH3924">
        <v>0.58639461222499401</v>
      </c>
      <c r="AI3924">
        <v>96.075505821420407</v>
      </c>
      <c r="AJ3924">
        <v>89.670551882679803</v>
      </c>
      <c r="AK3924">
        <v>0.58971657799992505</v>
      </c>
    </row>
    <row r="3925" spans="1:37" x14ac:dyDescent="0.2">
      <c r="A3925" t="str">
        <f>"20200111160240863"</f>
        <v>20200111160240863</v>
      </c>
      <c r="B3925" t="str">
        <f>"1578729760856840"</f>
        <v>1578729760856840</v>
      </c>
      <c r="C3925" t="s">
        <v>37</v>
      </c>
      <c r="D3925">
        <v>5.0036209999999999</v>
      </c>
      <c r="E3925">
        <v>0.49926690000000001</v>
      </c>
      <c r="F3925" t="s">
        <v>42</v>
      </c>
      <c r="G3925">
        <v>-351.04</v>
      </c>
      <c r="H3925">
        <v>1.03853</v>
      </c>
      <c r="I3925">
        <v>137.78960000000001</v>
      </c>
      <c r="J3925">
        <v>-350.46499999999997</v>
      </c>
      <c r="K3925">
        <v>1.1035029999999999</v>
      </c>
      <c r="L3925">
        <v>137.7799</v>
      </c>
      <c r="M3925">
        <v>-0.99998500000000001</v>
      </c>
      <c r="N3925">
        <v>0</v>
      </c>
      <c r="O3925">
        <v>-2.8659459999999999E-3</v>
      </c>
      <c r="P3925">
        <v>-0.99922979999999995</v>
      </c>
      <c r="Q3925">
        <v>2.8932510000000002E-2</v>
      </c>
      <c r="R3925">
        <v>2.6511610000000001E-2</v>
      </c>
      <c r="S3925">
        <v>-3.008575</v>
      </c>
      <c r="T3925">
        <v>-0.24356459999999999</v>
      </c>
      <c r="U3925">
        <v>3.2440190000000001E-2</v>
      </c>
      <c r="V3925">
        <v>2.9368089999999999E-2</v>
      </c>
      <c r="W3925">
        <v>3.3627669999999998E-2</v>
      </c>
      <c r="X3925">
        <v>0.99900290000000003</v>
      </c>
      <c r="Y3925">
        <v>1.3593869999999999E-2</v>
      </c>
      <c r="Z3925">
        <v>7.8097880000000005E-4</v>
      </c>
      <c r="AA3925">
        <v>0.99990730000000005</v>
      </c>
      <c r="AB3925">
        <v>24</v>
      </c>
      <c r="AC3925">
        <v>-0.57500000000004503</v>
      </c>
      <c r="AD3925">
        <v>-6.49730000000001E-2</v>
      </c>
      <c r="AE3925">
        <v>9.7000000000093695E-3</v>
      </c>
      <c r="AF3925">
        <v>1.12048715693676E-2</v>
      </c>
      <c r="AG3925">
        <v>-6.49730000000001E-2</v>
      </c>
      <c r="AH3925">
        <v>0.56772309096131401</v>
      </c>
      <c r="AI3925">
        <v>96.527543197684693</v>
      </c>
      <c r="AJ3925">
        <v>88.869328159632701</v>
      </c>
      <c r="AK3925">
        <v>0.571538754492251</v>
      </c>
    </row>
    <row r="3926" spans="1:37" x14ac:dyDescent="0.2">
      <c r="A3926" t="str">
        <f>"20200111160240885"</f>
        <v>20200111160240885</v>
      </c>
      <c r="B3926" t="str">
        <f>"1578729760876359"</f>
        <v>1578729760876359</v>
      </c>
      <c r="C3926" t="s">
        <v>37</v>
      </c>
      <c r="D3926">
        <v>5.0834910000000004</v>
      </c>
      <c r="E3926">
        <v>0.5003573</v>
      </c>
      <c r="F3926" t="s">
        <v>42</v>
      </c>
      <c r="G3926">
        <v>-351.25529999999998</v>
      </c>
      <c r="H3926">
        <v>1.0397149999999999</v>
      </c>
      <c r="I3926">
        <v>137.79339999999999</v>
      </c>
      <c r="J3926">
        <v>-350.71030000000002</v>
      </c>
      <c r="K3926">
        <v>1.1034660000000001</v>
      </c>
      <c r="L3926">
        <v>137.779</v>
      </c>
      <c r="M3926">
        <v>-0.99998609999999899</v>
      </c>
      <c r="N3926">
        <v>0</v>
      </c>
      <c r="O3926">
        <v>-3.0287999999999999E-3</v>
      </c>
      <c r="P3926">
        <v>-0.99923189999999995</v>
      </c>
      <c r="Q3926">
        <v>2.9280520000000001E-2</v>
      </c>
      <c r="R3926">
        <v>2.6050899999999998E-2</v>
      </c>
      <c r="S3926">
        <v>-3.0080259999999899</v>
      </c>
      <c r="T3926">
        <v>-0.2429335</v>
      </c>
      <c r="U3926">
        <v>5.0277710000000003E-2</v>
      </c>
      <c r="V3926">
        <v>2.907013E-2</v>
      </c>
      <c r="W3926">
        <v>3.3625769999999999E-2</v>
      </c>
      <c r="X3926">
        <v>0.9990116</v>
      </c>
      <c r="Y3926">
        <v>1.9666639999999999E-2</v>
      </c>
      <c r="Z3926">
        <v>1.037011E-3</v>
      </c>
      <c r="AA3926">
        <v>0.99980599999999997</v>
      </c>
      <c r="AB3926">
        <v>24</v>
      </c>
      <c r="AC3926">
        <v>-0.54499999999995896</v>
      </c>
      <c r="AD3926">
        <v>-6.3751000000000099E-2</v>
      </c>
      <c r="AE3926">
        <v>1.4399999999994801E-2</v>
      </c>
      <c r="AF3926">
        <v>1.5834138122384701E-2</v>
      </c>
      <c r="AG3926">
        <v>-6.3751000000000099E-2</v>
      </c>
      <c r="AH3926">
        <v>0.53760300053682697</v>
      </c>
      <c r="AI3926">
        <v>96.759864653160605</v>
      </c>
      <c r="AJ3926">
        <v>88.312942665612098</v>
      </c>
      <c r="AK3926">
        <v>0.54160123348943501</v>
      </c>
    </row>
    <row r="3927" spans="1:37" x14ac:dyDescent="0.2">
      <c r="A3927" t="str">
        <f>"20200111160240905"</f>
        <v>20200111160240905</v>
      </c>
      <c r="B3927" t="str">
        <f>"1578729760895880"</f>
        <v>1578729760895880</v>
      </c>
      <c r="C3927" t="s">
        <v>37</v>
      </c>
      <c r="D3927">
        <v>5.2263250000000001</v>
      </c>
      <c r="E3927">
        <v>0.50076330000000002</v>
      </c>
      <c r="F3927" t="s">
        <v>42</v>
      </c>
      <c r="G3927">
        <v>-351.47269999999997</v>
      </c>
      <c r="H3927">
        <v>1.0421389999999999</v>
      </c>
      <c r="I3927">
        <v>137.79399999999899</v>
      </c>
      <c r="J3927">
        <v>-350.92759999999998</v>
      </c>
      <c r="K3927">
        <v>1.1034329999999899</v>
      </c>
      <c r="L3927">
        <v>137.7782</v>
      </c>
      <c r="M3927">
        <v>-0.99998679999999995</v>
      </c>
      <c r="N3927">
        <v>0</v>
      </c>
      <c r="O3927">
        <v>-3.1727859999999999E-3</v>
      </c>
      <c r="P3927">
        <v>-0.9992238</v>
      </c>
      <c r="Q3927">
        <v>2.9635649999999999E-2</v>
      </c>
      <c r="R3927">
        <v>2.5959050000000001E-2</v>
      </c>
      <c r="S3927">
        <v>-3.0079039999999999</v>
      </c>
      <c r="T3927">
        <v>-0.24203449999999899</v>
      </c>
      <c r="U3927">
        <v>5.7952879999999998E-2</v>
      </c>
      <c r="V3927">
        <v>2.9121859999999999E-2</v>
      </c>
      <c r="W3927">
        <v>3.3698199999999998E-2</v>
      </c>
      <c r="X3927">
        <v>0.99900769999999905</v>
      </c>
      <c r="Y3927">
        <v>2.2352940000000002E-2</v>
      </c>
      <c r="Z3927">
        <v>1.1526639999999901E-3</v>
      </c>
      <c r="AA3927">
        <v>0.99974949999999996</v>
      </c>
      <c r="AB3927">
        <v>24</v>
      </c>
      <c r="AC3927">
        <v>-0.54509999999999004</v>
      </c>
      <c r="AD3927">
        <v>-6.1293999999999897E-2</v>
      </c>
      <c r="AE3927">
        <v>1.5799999999984399E-2</v>
      </c>
      <c r="AF3927">
        <v>1.7310727607550098E-2</v>
      </c>
      <c r="AG3927">
        <v>-6.1293999999999897E-2</v>
      </c>
      <c r="AH3927">
        <v>0.53824725502769499</v>
      </c>
      <c r="AI3927">
        <v>96.493358189653406</v>
      </c>
      <c r="AJ3927">
        <v>88.157928594309098</v>
      </c>
      <c r="AK3927">
        <v>0.54200251223693796</v>
      </c>
    </row>
    <row r="3928" spans="1:37" x14ac:dyDescent="0.2">
      <c r="A3928" t="str">
        <f>"20200111160240928"</f>
        <v>20200111160240928</v>
      </c>
      <c r="B3928" t="str">
        <f>"1578729760916376"</f>
        <v>1578729760916376</v>
      </c>
      <c r="C3928" t="s">
        <v>37</v>
      </c>
      <c r="D3928">
        <v>5.1385649999999998</v>
      </c>
      <c r="E3928">
        <v>0.5013879</v>
      </c>
      <c r="F3928" t="s">
        <v>42</v>
      </c>
      <c r="G3928">
        <v>-351.69060000000002</v>
      </c>
      <c r="H3928">
        <v>1.042546</v>
      </c>
      <c r="I3928">
        <v>137.7938</v>
      </c>
      <c r="J3928">
        <v>-351.17290000000003</v>
      </c>
      <c r="K3928">
        <v>1.1033999999999999</v>
      </c>
      <c r="L3928">
        <v>137.7773</v>
      </c>
      <c r="M3928">
        <v>-0.99998739999999997</v>
      </c>
      <c r="N3928">
        <v>0</v>
      </c>
      <c r="O3928">
        <v>-3.334685E-3</v>
      </c>
      <c r="P3928">
        <v>-0.99920679999999995</v>
      </c>
      <c r="Q3928">
        <v>3.019467E-2</v>
      </c>
      <c r="R3928">
        <v>2.5963239999999999E-2</v>
      </c>
      <c r="S3928">
        <v>-3.0078740000000002</v>
      </c>
      <c r="T3928">
        <v>-0.24004130000000001</v>
      </c>
      <c r="U3928">
        <v>6.0958859999999997E-2</v>
      </c>
      <c r="V3928">
        <v>2.9287560000000001E-2</v>
      </c>
      <c r="W3928">
        <v>3.3970800000000002E-2</v>
      </c>
      <c r="X3928">
        <v>0.99899359999999904</v>
      </c>
      <c r="Y3928">
        <v>2.351087E-2</v>
      </c>
      <c r="Z3928">
        <v>1.202226E-3</v>
      </c>
      <c r="AA3928">
        <v>0.99972280000000002</v>
      </c>
      <c r="AB3928">
        <v>24</v>
      </c>
      <c r="AC3928">
        <v>-0.51769999999998995</v>
      </c>
      <c r="AD3928">
        <v>-6.0853999999999901E-2</v>
      </c>
      <c r="AE3928">
        <v>1.6500000000007699E-2</v>
      </c>
      <c r="AF3928">
        <v>1.7978130412152401E-2</v>
      </c>
      <c r="AG3928">
        <v>-6.0853999999999901E-2</v>
      </c>
      <c r="AH3928">
        <v>0.51059424464148495</v>
      </c>
      <c r="AI3928">
        <v>96.792435967668297</v>
      </c>
      <c r="AJ3928">
        <v>87.983436665338601</v>
      </c>
      <c r="AK3928">
        <v>0.51452201619573601</v>
      </c>
    </row>
    <row r="3929" spans="1:37" x14ac:dyDescent="0.2">
      <c r="A3929" t="str">
        <f>"20200111160240951"</f>
        <v>20200111160240951</v>
      </c>
      <c r="B3929" t="str">
        <f>"1578729760946632"</f>
        <v>1578729760946632</v>
      </c>
      <c r="C3929" t="s">
        <v>37</v>
      </c>
      <c r="D3929">
        <v>5.228205</v>
      </c>
      <c r="E3929">
        <v>0.50204070000000001</v>
      </c>
      <c r="F3929" t="s">
        <v>42</v>
      </c>
      <c r="G3929">
        <v>-351.91140000000001</v>
      </c>
      <c r="H3929">
        <v>1.044627</v>
      </c>
      <c r="I3929">
        <v>137.7938</v>
      </c>
      <c r="J3929">
        <v>-351.42500000000001</v>
      </c>
      <c r="K3929">
        <v>1.1033709999999901</v>
      </c>
      <c r="L3929">
        <v>137.77629999999999</v>
      </c>
      <c r="M3929">
        <v>-0.99998770000000003</v>
      </c>
      <c r="N3929">
        <v>0</v>
      </c>
      <c r="O3929">
        <v>-3.5006149999999999E-3</v>
      </c>
      <c r="P3929">
        <v>-0.99919460000000004</v>
      </c>
      <c r="Q3929">
        <v>3.0626099999999899E-2</v>
      </c>
      <c r="R3929">
        <v>2.593086E-2</v>
      </c>
      <c r="S3929">
        <v>-3.0079039999999999</v>
      </c>
      <c r="T3929">
        <v>-0.23949210000000001</v>
      </c>
      <c r="U3929">
        <v>6.5811159999999994E-2</v>
      </c>
      <c r="V3929">
        <v>2.9420990000000001E-2</v>
      </c>
      <c r="W3929">
        <v>3.4146179999999998E-2</v>
      </c>
      <c r="X3929">
        <v>0.99898369999999903</v>
      </c>
      <c r="Y3929">
        <v>2.5282780000000001E-2</v>
      </c>
      <c r="Z3929">
        <v>1.283062E-3</v>
      </c>
      <c r="AA3929">
        <v>0.99967950000000005</v>
      </c>
      <c r="AB3929">
        <v>24</v>
      </c>
      <c r="AC3929">
        <v>-0.486400000000003</v>
      </c>
      <c r="AD3929">
        <v>-5.87439999999999E-2</v>
      </c>
      <c r="AE3929">
        <v>1.7500000000012499E-2</v>
      </c>
      <c r="AF3929">
        <v>1.8926889366383801E-2</v>
      </c>
      <c r="AG3929">
        <v>-5.87439999999999E-2</v>
      </c>
      <c r="AH3929">
        <v>0.479352896869775</v>
      </c>
      <c r="AI3929">
        <v>96.981291665614194</v>
      </c>
      <c r="AJ3929">
        <v>87.738893685833006</v>
      </c>
      <c r="AK3929">
        <v>0.48330971893241698</v>
      </c>
    </row>
    <row r="3930" spans="1:37" x14ac:dyDescent="0.2">
      <c r="A3930" t="str">
        <f>"20200111160240973"</f>
        <v>20200111160240973</v>
      </c>
      <c r="B3930" t="str">
        <f>"1578729760966151"</f>
        <v>1578729760966151</v>
      </c>
      <c r="C3930" t="s">
        <v>37</v>
      </c>
      <c r="D3930">
        <v>5.197419</v>
      </c>
      <c r="E3930">
        <v>0.50241819999999904</v>
      </c>
      <c r="F3930" t="s">
        <v>42</v>
      </c>
      <c r="G3930">
        <v>-352.34699999999998</v>
      </c>
      <c r="H3930">
        <v>1.0297769999999999</v>
      </c>
      <c r="I3930">
        <v>137.79830000000001</v>
      </c>
      <c r="J3930">
        <v>-351.68310000000002</v>
      </c>
      <c r="K3930">
        <v>1.103348</v>
      </c>
      <c r="L3930">
        <v>137.77520000000001</v>
      </c>
      <c r="M3930">
        <v>-0.99998799999999899</v>
      </c>
      <c r="N3930">
        <v>0</v>
      </c>
      <c r="O3930">
        <v>-3.6704440000000001E-3</v>
      </c>
      <c r="P3930">
        <v>-0.99917719999999899</v>
      </c>
      <c r="Q3930">
        <v>3.1024989999999999E-2</v>
      </c>
      <c r="R3930">
        <v>2.6128530000000001E-2</v>
      </c>
      <c r="S3930">
        <v>-3.0079349999999998</v>
      </c>
      <c r="T3930">
        <v>-0.24020549999999999</v>
      </c>
      <c r="U3930">
        <v>7.064819E-2</v>
      </c>
      <c r="V3930">
        <v>2.9788039999999998E-2</v>
      </c>
      <c r="W3930">
        <v>3.4319639999999998E-2</v>
      </c>
      <c r="X3930">
        <v>0.99896689999999999</v>
      </c>
      <c r="Y3930">
        <v>2.7052340000000001E-2</v>
      </c>
      <c r="Z3930">
        <v>1.370909E-3</v>
      </c>
      <c r="AA3930">
        <v>0.99963310000000005</v>
      </c>
      <c r="AB3930">
        <v>25</v>
      </c>
      <c r="AC3930">
        <v>-0.66389999999995497</v>
      </c>
      <c r="AD3930">
        <v>-7.3570999999999998E-2</v>
      </c>
      <c r="AE3930">
        <v>2.3099999999999399E-2</v>
      </c>
      <c r="AF3930">
        <v>2.5227242203475098E-2</v>
      </c>
      <c r="AG3930">
        <v>-7.3570999999999998E-2</v>
      </c>
      <c r="AH3930">
        <v>0.65576747486849696</v>
      </c>
      <c r="AI3930">
        <v>96.396592761623396</v>
      </c>
      <c r="AJ3930">
        <v>87.796929308534203</v>
      </c>
      <c r="AK3930">
        <v>0.66036360202966804</v>
      </c>
    </row>
    <row r="3931" spans="1:37" x14ac:dyDescent="0.2">
      <c r="A3931" t="str">
        <f>"20200111160240995"</f>
        <v>20200111160240995</v>
      </c>
      <c r="B3931" t="str">
        <f>"1578729760986647"</f>
        <v>1578729760986647</v>
      </c>
      <c r="C3931" t="s">
        <v>37</v>
      </c>
      <c r="D3931">
        <v>5.2051850000000002</v>
      </c>
      <c r="E3931">
        <v>0.50273619999999997</v>
      </c>
      <c r="F3931" t="s">
        <v>42</v>
      </c>
      <c r="G3931">
        <v>-352.57229999999998</v>
      </c>
      <c r="H3931">
        <v>1.0327059999999999</v>
      </c>
      <c r="I3931">
        <v>137.7971</v>
      </c>
      <c r="J3931">
        <v>-351.9246</v>
      </c>
      <c r="K3931">
        <v>1.1033309999999901</v>
      </c>
      <c r="L3931">
        <v>137.7741</v>
      </c>
      <c r="M3931">
        <v>-0.99998799999999899</v>
      </c>
      <c r="N3931">
        <v>0</v>
      </c>
      <c r="O3931">
        <v>-3.8292809999999999E-3</v>
      </c>
      <c r="P3931">
        <v>-0.99916990000000006</v>
      </c>
      <c r="Q3931">
        <v>3.0870359999999999E-2</v>
      </c>
      <c r="R3931">
        <v>2.6587610000000001E-2</v>
      </c>
      <c r="S3931">
        <v>-3.007965</v>
      </c>
      <c r="T3931">
        <v>-0.2389886</v>
      </c>
      <c r="U3931">
        <v>7.4172970000000005E-2</v>
      </c>
      <c r="V3931">
        <v>3.0405740000000001E-2</v>
      </c>
      <c r="W3931">
        <v>3.3982230000000002E-2</v>
      </c>
      <c r="X3931">
        <v>0.99895979999999995</v>
      </c>
      <c r="Y3931">
        <v>2.8377880000000001E-2</v>
      </c>
      <c r="Z3931">
        <v>1.4291179999999901E-3</v>
      </c>
      <c r="AA3931">
        <v>0.99959619999999905</v>
      </c>
      <c r="AB3931">
        <v>25</v>
      </c>
      <c r="AC3931">
        <v>-0.64769999999998595</v>
      </c>
      <c r="AD3931">
        <v>-7.0624999999999896E-2</v>
      </c>
      <c r="AE3931">
        <v>2.29999999999961E-2</v>
      </c>
      <c r="AF3931">
        <v>2.5181051377883401E-2</v>
      </c>
      <c r="AG3931">
        <v>-7.0624999999999896E-2</v>
      </c>
      <c r="AH3931">
        <v>0.64000729685473301</v>
      </c>
      <c r="AI3931">
        <v>96.292299401260607</v>
      </c>
      <c r="AJ3931">
        <v>87.746862910245099</v>
      </c>
      <c r="AK3931">
        <v>0.64438444736104405</v>
      </c>
    </row>
    <row r="3932" spans="1:37" x14ac:dyDescent="0.2">
      <c r="A3932" t="str">
        <f>"20200111160241017"</f>
        <v>20200111160241017</v>
      </c>
      <c r="B3932" t="str">
        <f>"1578729761006168"</f>
        <v>1578729761006168</v>
      </c>
      <c r="C3932" t="s">
        <v>37</v>
      </c>
      <c r="D3932">
        <v>5.2222589999999904</v>
      </c>
      <c r="E3932">
        <v>0.50290029999999997</v>
      </c>
      <c r="F3932" t="s">
        <v>42</v>
      </c>
      <c r="G3932">
        <v>-352.79809999999998</v>
      </c>
      <c r="H3932">
        <v>1.033536</v>
      </c>
      <c r="I3932">
        <v>137.797</v>
      </c>
      <c r="J3932">
        <v>-352.17110000000002</v>
      </c>
      <c r="K3932">
        <v>1.103321</v>
      </c>
      <c r="L3932">
        <v>137.773</v>
      </c>
      <c r="M3932">
        <v>-0.99998779999999998</v>
      </c>
      <c r="N3932">
        <v>0</v>
      </c>
      <c r="O3932">
        <v>-3.9910290000000001E-3</v>
      </c>
      <c r="P3932">
        <v>-0.99912710000000005</v>
      </c>
      <c r="Q3932">
        <v>3.1813000000000001E-2</v>
      </c>
      <c r="R3932">
        <v>2.7077859999999999E-2</v>
      </c>
      <c r="S3932">
        <v>-3.0078429999999998</v>
      </c>
      <c r="T3932">
        <v>-0.240414399999999</v>
      </c>
      <c r="U3932">
        <v>7.7835080000000001E-2</v>
      </c>
      <c r="V3932">
        <v>3.105697E-2</v>
      </c>
      <c r="W3932">
        <v>3.4763780000000001E-2</v>
      </c>
      <c r="X3932">
        <v>0.99891289999999999</v>
      </c>
      <c r="Y3932">
        <v>2.9750680000000002E-2</v>
      </c>
      <c r="Z3932">
        <v>1.505326E-3</v>
      </c>
      <c r="AA3932">
        <v>0.99955620000000001</v>
      </c>
      <c r="AB3932">
        <v>25</v>
      </c>
      <c r="AC3932">
        <v>-0.62699999999995204</v>
      </c>
      <c r="AD3932">
        <v>-6.9784999999999903E-2</v>
      </c>
      <c r="AE3932">
        <v>2.4000000000000899E-2</v>
      </c>
      <c r="AF3932">
        <v>2.6178380351626899E-2</v>
      </c>
      <c r="AG3932">
        <v>-6.9784999999999903E-2</v>
      </c>
      <c r="AH3932">
        <v>0.61923951884962403</v>
      </c>
      <c r="AI3932">
        <v>96.424111553202195</v>
      </c>
      <c r="AJ3932">
        <v>87.579259586500896</v>
      </c>
      <c r="AK3932">
        <v>0.62370893494317403</v>
      </c>
    </row>
    <row r="3933" spans="1:37" x14ac:dyDescent="0.2">
      <c r="A3933" t="str">
        <f>"20200111160241040"</f>
        <v>20200111160241040</v>
      </c>
      <c r="B3933" t="str">
        <f>"1578729761036423"</f>
        <v>1578729761036423</v>
      </c>
      <c r="C3933" t="s">
        <v>37</v>
      </c>
      <c r="D3933">
        <v>5.2893339999999904</v>
      </c>
      <c r="E3933">
        <v>0.55632099999999995</v>
      </c>
      <c r="F3933" t="s">
        <v>42</v>
      </c>
      <c r="G3933">
        <v>-353.02600000000001</v>
      </c>
      <c r="H3933">
        <v>1.035528</v>
      </c>
      <c r="I3933">
        <v>137.7962</v>
      </c>
      <c r="J3933">
        <v>-352.42410000000001</v>
      </c>
      <c r="K3933">
        <v>1.1033059999999999</v>
      </c>
      <c r="L3933">
        <v>137.77189999999999</v>
      </c>
      <c r="M3933">
        <v>-0.99998750000000003</v>
      </c>
      <c r="N3933">
        <v>0</v>
      </c>
      <c r="O3933">
        <v>-4.1572279999999998E-3</v>
      </c>
      <c r="P3933">
        <v>-0.99909289999999995</v>
      </c>
      <c r="Q3933">
        <v>3.2595109999999997E-2</v>
      </c>
      <c r="R3933">
        <v>2.740921E-2</v>
      </c>
      <c r="S3933">
        <v>-3.0079959999999999</v>
      </c>
      <c r="T3933">
        <v>-0.23863119999999999</v>
      </c>
      <c r="U3933">
        <v>8.0596920000000002E-2</v>
      </c>
      <c r="V3933">
        <v>3.1554100000000002E-2</v>
      </c>
      <c r="W3933">
        <v>3.5403780000000003E-2</v>
      </c>
      <c r="X3933">
        <v>0.99887479999999995</v>
      </c>
      <c r="Y3933">
        <v>3.083029E-2</v>
      </c>
      <c r="Z3933">
        <v>1.5500139999999999E-3</v>
      </c>
      <c r="AA3933">
        <v>0.99952350000000001</v>
      </c>
      <c r="AB3933">
        <v>25</v>
      </c>
      <c r="AC3933">
        <v>-0.60189999999999999</v>
      </c>
      <c r="AD3933">
        <v>-6.7777999999999894E-2</v>
      </c>
      <c r="AE3933">
        <v>2.4300000000010799E-2</v>
      </c>
      <c r="AF3933">
        <v>2.6466972724281002E-2</v>
      </c>
      <c r="AG3933">
        <v>-6.7777999999999894E-2</v>
      </c>
      <c r="AH3933">
        <v>0.59427052386208801</v>
      </c>
      <c r="AI3933">
        <v>96.500219493936598</v>
      </c>
      <c r="AJ3933">
        <v>87.449908210970193</v>
      </c>
      <c r="AK3933">
        <v>0.59870845447555598</v>
      </c>
    </row>
    <row r="3934" spans="1:37" x14ac:dyDescent="0.2">
      <c r="A3934" t="str">
        <f>"20200111160241062"</f>
        <v>20200111160241062</v>
      </c>
      <c r="B3934" t="str">
        <f>"1578729761056920"</f>
        <v>1578729761056920</v>
      </c>
      <c r="C3934" t="s">
        <v>37</v>
      </c>
      <c r="D3934">
        <v>5.3559999999999999</v>
      </c>
      <c r="E3934">
        <v>0.55813619999999997</v>
      </c>
      <c r="F3934" t="s">
        <v>42</v>
      </c>
      <c r="G3934">
        <v>-353.25060000000002</v>
      </c>
      <c r="H3934">
        <v>1.025307</v>
      </c>
      <c r="I3934">
        <v>137.91139999999999</v>
      </c>
      <c r="J3934">
        <v>-352.69099999999997</v>
      </c>
      <c r="K3934">
        <v>1.103291</v>
      </c>
      <c r="L3934">
        <v>137.7706</v>
      </c>
      <c r="M3934">
        <v>-0.99998709999999902</v>
      </c>
      <c r="N3934">
        <v>0</v>
      </c>
      <c r="O3934">
        <v>-4.3325179999999996E-3</v>
      </c>
      <c r="P3934">
        <v>-0.99903549999999997</v>
      </c>
      <c r="Q3934">
        <v>3.3938969999999999E-2</v>
      </c>
      <c r="R3934">
        <v>2.7861830000000001E-2</v>
      </c>
      <c r="S3934">
        <v>-2.9981080000000002</v>
      </c>
      <c r="T3934">
        <v>-0.28298709999999999</v>
      </c>
      <c r="U3934">
        <v>0.50497440000000005</v>
      </c>
      <c r="V3934">
        <v>3.2181069999999999E-2</v>
      </c>
      <c r="W3934">
        <v>3.661988E-2</v>
      </c>
      <c r="X3934">
        <v>0.99881089999999995</v>
      </c>
      <c r="Y3934">
        <v>0.16961039999999999</v>
      </c>
      <c r="Z3934">
        <v>8.3366350000000002E-3</v>
      </c>
      <c r="AA3934">
        <v>0.98547600000000002</v>
      </c>
      <c r="AB3934">
        <v>25</v>
      </c>
      <c r="AC3934">
        <v>-0.55960000000004495</v>
      </c>
      <c r="AD3934">
        <v>-7.7983999999999998E-2</v>
      </c>
      <c r="AE3934">
        <v>0.14079999999998399</v>
      </c>
      <c r="AF3934">
        <v>0.14065424818087299</v>
      </c>
      <c r="AG3934">
        <v>-7.7983999999999998E-2</v>
      </c>
      <c r="AH3934">
        <v>0.54895852241488996</v>
      </c>
      <c r="AI3934">
        <v>97.835421212600394</v>
      </c>
      <c r="AJ3934">
        <v>75.628824926964</v>
      </c>
      <c r="AK3934">
        <v>0.57203197560911401</v>
      </c>
    </row>
    <row r="3935" spans="1:37" x14ac:dyDescent="0.2">
      <c r="A3935" t="str">
        <f>"20200111160241085"</f>
        <v>20200111160241085</v>
      </c>
      <c r="B3935" t="str">
        <f>"1578729761076440"</f>
        <v>1578729761076440</v>
      </c>
      <c r="C3935" t="s">
        <v>37</v>
      </c>
      <c r="D3935">
        <v>5.2172640000000001</v>
      </c>
      <c r="E3935">
        <v>0.55962089999999998</v>
      </c>
      <c r="F3935" t="s">
        <v>42</v>
      </c>
      <c r="G3935">
        <v>-353.48430000000002</v>
      </c>
      <c r="H3935">
        <v>1.0332079999999999</v>
      </c>
      <c r="I3935">
        <v>137.9091</v>
      </c>
      <c r="J3935">
        <v>-352.95179999999999</v>
      </c>
      <c r="K3935">
        <v>1.10327999999999</v>
      </c>
      <c r="L3935">
        <v>137.76929999999999</v>
      </c>
      <c r="M3935">
        <v>-0.99998659999999995</v>
      </c>
      <c r="N3935">
        <v>0</v>
      </c>
      <c r="O3935">
        <v>-4.5039160000000002E-3</v>
      </c>
      <c r="P3935">
        <v>-0.9990289</v>
      </c>
      <c r="Q3935">
        <v>3.4276760000000003E-2</v>
      </c>
      <c r="R3935">
        <v>2.7686570000000001E-2</v>
      </c>
      <c r="S3935">
        <v>-2.9973450000000001</v>
      </c>
      <c r="T3935">
        <v>-0.26490530000000001</v>
      </c>
      <c r="U3935">
        <v>0.52188109999999999</v>
      </c>
      <c r="V3935">
        <v>3.217681E-2</v>
      </c>
      <c r="W3935">
        <v>3.6853379999999998E-2</v>
      </c>
      <c r="X3935">
        <v>0.99880249999999904</v>
      </c>
      <c r="Y3935">
        <v>0.17528879999999999</v>
      </c>
      <c r="Z3935">
        <v>8.0679250000000001E-3</v>
      </c>
      <c r="AA3935">
        <v>0.98448400000000003</v>
      </c>
      <c r="AB3935">
        <v>26</v>
      </c>
      <c r="AC3935">
        <v>-0.53250000000002695</v>
      </c>
      <c r="AD3935">
        <v>-7.0071999999999898E-2</v>
      </c>
      <c r="AE3935">
        <v>0.139800000000008</v>
      </c>
      <c r="AF3935">
        <v>0.13993012156510701</v>
      </c>
      <c r="AG3935">
        <v>-7.0071999999999898E-2</v>
      </c>
      <c r="AH3935">
        <v>0.52338633181346605</v>
      </c>
      <c r="AI3935">
        <v>97.369679854891899</v>
      </c>
      <c r="AJ3935">
        <v>75.031751622372397</v>
      </c>
      <c r="AK3935">
        <v>0.54628177384421495</v>
      </c>
    </row>
    <row r="3936" spans="1:37" x14ac:dyDescent="0.2">
      <c r="A3936" t="str">
        <f>"20200111160241106"</f>
        <v>20200111160241106</v>
      </c>
      <c r="B3936" t="str">
        <f>"1578729761095960"</f>
        <v>1578729761095960</v>
      </c>
      <c r="C3936" t="s">
        <v>37</v>
      </c>
      <c r="D3936">
        <v>5.2443349999999898</v>
      </c>
      <c r="E3936">
        <v>0.5603302</v>
      </c>
      <c r="F3936" t="s">
        <v>42</v>
      </c>
      <c r="G3936">
        <v>-353.7174</v>
      </c>
      <c r="H3936">
        <v>1.036707</v>
      </c>
      <c r="I3936">
        <v>137.9058</v>
      </c>
      <c r="J3936">
        <v>-353.19450000000001</v>
      </c>
      <c r="K3936">
        <v>1.1032679999999999</v>
      </c>
      <c r="L3936">
        <v>137.768</v>
      </c>
      <c r="M3936">
        <v>-0.99998600000000004</v>
      </c>
      <c r="N3936">
        <v>0</v>
      </c>
      <c r="O3936">
        <v>-4.6628349999999997E-3</v>
      </c>
      <c r="P3936">
        <v>-0.99905169999999999</v>
      </c>
      <c r="Q3936">
        <v>3.4148730000000002E-2</v>
      </c>
      <c r="R3936">
        <v>2.7009910000000002E-2</v>
      </c>
      <c r="S3936">
        <v>-2.9970699999999999</v>
      </c>
      <c r="T3936">
        <v>-0.26066739999999999</v>
      </c>
      <c r="U3936">
        <v>0.53349299999999999</v>
      </c>
      <c r="V3936">
        <v>3.165888E-2</v>
      </c>
      <c r="W3936">
        <v>3.6646570000000003E-2</v>
      </c>
      <c r="X3936">
        <v>0.99882669999999996</v>
      </c>
      <c r="Y3936">
        <v>0.17916599999999999</v>
      </c>
      <c r="Z3936">
        <v>8.1180939999999993E-3</v>
      </c>
      <c r="AA3936">
        <v>0.98378539999999903</v>
      </c>
      <c r="AB3936">
        <v>26</v>
      </c>
      <c r="AC3936">
        <v>-0.52289999999999204</v>
      </c>
      <c r="AD3936">
        <v>-6.6560999999999995E-2</v>
      </c>
      <c r="AE3936">
        <v>0.13779999999999801</v>
      </c>
      <c r="AF3936">
        <v>0.13814368463019999</v>
      </c>
      <c r="AG3936">
        <v>-6.6560999999999995E-2</v>
      </c>
      <c r="AH3936">
        <v>0.51445720974658704</v>
      </c>
      <c r="AI3936">
        <v>97.122450779022202</v>
      </c>
      <c r="AJ3936">
        <v>74.969320491368507</v>
      </c>
      <c r="AK3936">
        <v>0.53682424031004095</v>
      </c>
    </row>
    <row r="3937" spans="1:37" x14ac:dyDescent="0.2">
      <c r="A3937" t="str">
        <f>"20200111160241129"</f>
        <v>20200111160241129</v>
      </c>
      <c r="B3937" t="str">
        <f>"1578729761116459"</f>
        <v>1578729761116459</v>
      </c>
      <c r="C3937" t="s">
        <v>37</v>
      </c>
      <c r="D3937">
        <v>5.3337830000000004</v>
      </c>
      <c r="E3937">
        <v>0.5606835</v>
      </c>
      <c r="F3937" t="s">
        <v>42</v>
      </c>
      <c r="G3937">
        <v>-353.95089999999999</v>
      </c>
      <c r="H3937">
        <v>1.037582</v>
      </c>
      <c r="I3937">
        <v>137.90379999999999</v>
      </c>
      <c r="J3937">
        <v>-353.46190000000001</v>
      </c>
      <c r="K3937">
        <v>1.1032519999999999</v>
      </c>
      <c r="L3937">
        <v>137.76660000000001</v>
      </c>
      <c r="M3937">
        <v>-0.99998529999999997</v>
      </c>
      <c r="N3937">
        <v>0</v>
      </c>
      <c r="O3937">
        <v>-4.8377439999999997E-3</v>
      </c>
      <c r="P3937">
        <v>-0.99907359999999901</v>
      </c>
      <c r="Q3937">
        <v>3.4028040000000002E-2</v>
      </c>
      <c r="R3937">
        <v>2.6340329999999999E-2</v>
      </c>
      <c r="S3937">
        <v>-2.99725299999999</v>
      </c>
      <c r="T3937">
        <v>-0.26033809999999902</v>
      </c>
      <c r="U3937">
        <v>0.53721619999999903</v>
      </c>
      <c r="V3937">
        <v>3.116414E-2</v>
      </c>
      <c r="W3937">
        <v>3.6455969999999997E-2</v>
      </c>
      <c r="X3937">
        <v>0.99884919999999999</v>
      </c>
      <c r="Y3937">
        <v>0.18050820000000001</v>
      </c>
      <c r="Z3937">
        <v>8.1792859999999992E-3</v>
      </c>
      <c r="AA3937">
        <v>0.98353950000000001</v>
      </c>
      <c r="AB3937">
        <v>26</v>
      </c>
      <c r="AC3937">
        <v>-0.48899999999997501</v>
      </c>
      <c r="AD3937">
        <v>-6.5670000000000103E-2</v>
      </c>
      <c r="AE3937">
        <v>0.13719999999997801</v>
      </c>
      <c r="AF3937">
        <v>0.13726907318939499</v>
      </c>
      <c r="AG3937">
        <v>-6.5670000000000103E-2</v>
      </c>
      <c r="AH3937">
        <v>0.48030045149523998</v>
      </c>
      <c r="AI3937">
        <v>97.489343394456995</v>
      </c>
      <c r="AJ3937">
        <v>74.050151550485097</v>
      </c>
      <c r="AK3937">
        <v>0.50382920822517496</v>
      </c>
    </row>
    <row r="3938" spans="1:37" x14ac:dyDescent="0.2">
      <c r="A3938" t="str">
        <f>"20200111160241152"</f>
        <v>20200111160241152</v>
      </c>
      <c r="B3938" t="str">
        <f>"1578729761146713"</f>
        <v>1578729761146713</v>
      </c>
      <c r="C3938" t="s">
        <v>37</v>
      </c>
      <c r="D3938">
        <v>5.1639290000000004</v>
      </c>
      <c r="E3938">
        <v>0.56145880000000004</v>
      </c>
      <c r="F3938" t="s">
        <v>42</v>
      </c>
      <c r="G3938">
        <v>-354.18639999999999</v>
      </c>
      <c r="H3938">
        <v>1.0401959999999999</v>
      </c>
      <c r="I3938">
        <v>137.89699999999999</v>
      </c>
      <c r="J3938">
        <v>-353.72840000000002</v>
      </c>
      <c r="K3938">
        <v>1.1032360000000001</v>
      </c>
      <c r="L3938">
        <v>137.76509999999999</v>
      </c>
      <c r="M3938">
        <v>-0.99998469999999995</v>
      </c>
      <c r="N3938">
        <v>0</v>
      </c>
      <c r="O3938">
        <v>-5.0119639999999998E-3</v>
      </c>
      <c r="P3938">
        <v>-0.99908790000000003</v>
      </c>
      <c r="Q3938">
        <v>3.4046420000000001E-2</v>
      </c>
      <c r="R3938">
        <v>2.5775369999999999E-2</v>
      </c>
      <c r="S3938">
        <v>-2.9974669999999999</v>
      </c>
      <c r="T3938">
        <v>-0.26110889999999998</v>
      </c>
      <c r="U3938">
        <v>0.53784180000000004</v>
      </c>
      <c r="V3938">
        <v>3.0773180000000001E-2</v>
      </c>
      <c r="W3938">
        <v>3.6422599999999999E-2</v>
      </c>
      <c r="X3938">
        <v>0.99886260000000004</v>
      </c>
      <c r="Y3938">
        <v>0.1808604</v>
      </c>
      <c r="Z3938">
        <v>8.2329129999999997E-3</v>
      </c>
      <c r="AA3938">
        <v>0.98347430000000002</v>
      </c>
      <c r="AB3938">
        <v>26</v>
      </c>
      <c r="AC3938">
        <v>-0.45799999999996999</v>
      </c>
      <c r="AD3938">
        <v>-6.3040000000000193E-2</v>
      </c>
      <c r="AE3938">
        <v>0.13190000000002999</v>
      </c>
      <c r="AF3938">
        <v>0.13188656127593501</v>
      </c>
      <c r="AG3938">
        <v>-6.3040000000000193E-2</v>
      </c>
      <c r="AH3938">
        <v>0.44946998850297998</v>
      </c>
      <c r="AI3938">
        <v>97.664816644824199</v>
      </c>
      <c r="AJ3938">
        <v>73.646895166083993</v>
      </c>
      <c r="AK3938">
        <v>0.47264297012656398</v>
      </c>
    </row>
    <row r="3939" spans="1:37" x14ac:dyDescent="0.2">
      <c r="A3939" t="str">
        <f>"20200111160241174"</f>
        <v>20200111160241174</v>
      </c>
      <c r="B3939" t="str">
        <f>"1578729761166231"</f>
        <v>1578729761166231</v>
      </c>
      <c r="C3939" t="s">
        <v>37</v>
      </c>
      <c r="D3939">
        <v>5.3044880000000001</v>
      </c>
      <c r="E3939">
        <v>0.56194919999999904</v>
      </c>
      <c r="F3939" t="s">
        <v>42</v>
      </c>
      <c r="G3939">
        <v>-354.65440000000001</v>
      </c>
      <c r="H3939">
        <v>1.02338</v>
      </c>
      <c r="I3939">
        <v>137.93289999999999</v>
      </c>
      <c r="J3939">
        <v>-353.99790000000002</v>
      </c>
      <c r="K3939">
        <v>1.103235</v>
      </c>
      <c r="L3939">
        <v>137.7636</v>
      </c>
      <c r="M3939">
        <v>-0.99998399999999998</v>
      </c>
      <c r="N3939">
        <v>0</v>
      </c>
      <c r="O3939">
        <v>-5.187873E-3</v>
      </c>
      <c r="P3939">
        <v>-0.99910399999999999</v>
      </c>
      <c r="Q3939">
        <v>3.398818E-2</v>
      </c>
      <c r="R3939">
        <v>2.522665E-2</v>
      </c>
      <c r="S3939">
        <v>-2.9975589999999999</v>
      </c>
      <c r="T3939">
        <v>-0.25852359999999902</v>
      </c>
      <c r="U3939">
        <v>0.5424194</v>
      </c>
      <c r="V3939">
        <v>3.0400139999999999E-2</v>
      </c>
      <c r="W3939">
        <v>3.6326829999999997E-2</v>
      </c>
      <c r="X3939">
        <v>0.99887749999999997</v>
      </c>
      <c r="Y3939">
        <v>0.18248979999999901</v>
      </c>
      <c r="Z3939">
        <v>8.2349569999999993E-3</v>
      </c>
      <c r="AA3939">
        <v>0.98317330000000003</v>
      </c>
      <c r="AB3939">
        <v>26</v>
      </c>
      <c r="AC3939">
        <v>-0.65649999999999398</v>
      </c>
      <c r="AD3939">
        <v>-7.9854999999999995E-2</v>
      </c>
      <c r="AE3939">
        <v>0.16929999999999201</v>
      </c>
      <c r="AF3939">
        <v>0.17034042485162401</v>
      </c>
      <c r="AG3939">
        <v>-7.9854999999999995E-2</v>
      </c>
      <c r="AH3939">
        <v>0.64664194912072204</v>
      </c>
      <c r="AI3939">
        <v>96.809898929705895</v>
      </c>
      <c r="AJ3939">
        <v>75.242227254084398</v>
      </c>
      <c r="AK3939">
        <v>0.67345266480004196</v>
      </c>
    </row>
    <row r="3940" spans="1:37" x14ac:dyDescent="0.2">
      <c r="A3940" t="str">
        <f>"20200111160241196"</f>
        <v>20200111160241196</v>
      </c>
      <c r="B3940" t="str">
        <f>"1578729761186728"</f>
        <v>1578729761186728</v>
      </c>
      <c r="C3940" t="s">
        <v>37</v>
      </c>
      <c r="D3940">
        <v>5.1548530000000001</v>
      </c>
      <c r="E3940">
        <v>0.56252069999999998</v>
      </c>
      <c r="F3940" t="s">
        <v>42</v>
      </c>
      <c r="G3940">
        <v>-354.89429999999999</v>
      </c>
      <c r="H3940">
        <v>1.0265059999999999</v>
      </c>
      <c r="I3940">
        <v>137.92689999999999</v>
      </c>
      <c r="J3940">
        <v>-354.25850000000003</v>
      </c>
      <c r="K3940">
        <v>1.1032280000000001</v>
      </c>
      <c r="L3940">
        <v>137.7621</v>
      </c>
      <c r="M3940">
        <v>-0.99998299999999996</v>
      </c>
      <c r="N3940">
        <v>0</v>
      </c>
      <c r="O3940">
        <v>-5.3574809999999999E-3</v>
      </c>
      <c r="P3940">
        <v>-0.99910489999999996</v>
      </c>
      <c r="Q3940">
        <v>3.4153259999999998E-2</v>
      </c>
      <c r="R3940">
        <v>2.495988E-2</v>
      </c>
      <c r="S3940">
        <v>-2.9976500000000001</v>
      </c>
      <c r="T3940">
        <v>-0.25661999999999902</v>
      </c>
      <c r="U3940">
        <v>0.54502869999999903</v>
      </c>
      <c r="V3940">
        <v>3.030271E-2</v>
      </c>
      <c r="W3940">
        <v>3.646692E-2</v>
      </c>
      <c r="X3940">
        <v>0.99887530000000002</v>
      </c>
      <c r="Y3940">
        <v>0.1834856</v>
      </c>
      <c r="Z3940">
        <v>8.2302480000000008E-3</v>
      </c>
      <c r="AA3940">
        <v>0.98298790000000003</v>
      </c>
      <c r="AB3940">
        <v>27</v>
      </c>
      <c r="AC3940">
        <v>-0.63579999999995995</v>
      </c>
      <c r="AD3940">
        <v>-7.6722000000000096E-2</v>
      </c>
      <c r="AE3940">
        <v>0.16479999999998499</v>
      </c>
      <c r="AF3940">
        <v>0.16593975809306699</v>
      </c>
      <c r="AG3940">
        <v>-7.6722000000000096E-2</v>
      </c>
      <c r="AH3940">
        <v>0.62636154289020796</v>
      </c>
      <c r="AI3940">
        <v>96.752592254509295</v>
      </c>
      <c r="AJ3940">
        <v>75.161709052607705</v>
      </c>
      <c r="AK3940">
        <v>0.65249601608882402</v>
      </c>
    </row>
    <row r="3941" spans="1:37" x14ac:dyDescent="0.2">
      <c r="A3941" t="str">
        <f>"20200111160241217"</f>
        <v>20200111160241217</v>
      </c>
      <c r="B3941" t="str">
        <f>"1578729761206248"</f>
        <v>1578729761206248</v>
      </c>
      <c r="C3941" t="s">
        <v>37</v>
      </c>
      <c r="D3941">
        <v>5.0653459999999999</v>
      </c>
      <c r="E3941">
        <v>0.56295479999999998</v>
      </c>
      <c r="F3941" t="s">
        <v>42</v>
      </c>
      <c r="G3941">
        <v>-355.13589999999999</v>
      </c>
      <c r="H3941">
        <v>1.0286839999999999</v>
      </c>
      <c r="I3941">
        <v>137.923</v>
      </c>
      <c r="J3941">
        <v>-354.52210000000002</v>
      </c>
      <c r="K3941">
        <v>1.1032169999999999</v>
      </c>
      <c r="L3941">
        <v>137.76050000000001</v>
      </c>
      <c r="M3941">
        <v>-0.99998220000000004</v>
      </c>
      <c r="N3941">
        <v>0</v>
      </c>
      <c r="O3941">
        <v>-5.5292479999999996E-3</v>
      </c>
      <c r="P3941">
        <v>-0.99910750000000004</v>
      </c>
      <c r="Q3941">
        <v>3.4039840000000002E-2</v>
      </c>
      <c r="R3941">
        <v>2.5013629999999999E-2</v>
      </c>
      <c r="S3941">
        <v>-2.9976500000000001</v>
      </c>
      <c r="T3941">
        <v>-0.2547586</v>
      </c>
      <c r="U3941">
        <v>0.54884339999999998</v>
      </c>
      <c r="V3941">
        <v>3.0527990000000001E-2</v>
      </c>
      <c r="W3941">
        <v>3.634064E-2</v>
      </c>
      <c r="X3941">
        <v>0.99887309999999996</v>
      </c>
      <c r="Y3941">
        <v>0.18486929999999999</v>
      </c>
      <c r="Z3941">
        <v>8.2425050000000007E-3</v>
      </c>
      <c r="AA3941">
        <v>0.9827285</v>
      </c>
      <c r="AB3941">
        <v>27</v>
      </c>
      <c r="AC3941">
        <v>-0.61379999999996904</v>
      </c>
      <c r="AD3941">
        <v>-7.4533000000000099E-2</v>
      </c>
      <c r="AE3941">
        <v>0.16249999999999401</v>
      </c>
      <c r="AF3941">
        <v>0.16363659895487001</v>
      </c>
      <c r="AG3941">
        <v>-7.4533000000000099E-2</v>
      </c>
      <c r="AH3941">
        <v>0.60456174771969295</v>
      </c>
      <c r="AI3941">
        <v>96.786409284481195</v>
      </c>
      <c r="AJ3941">
        <v>74.854662508539207</v>
      </c>
      <c r="AK3941">
        <v>0.63073529424982</v>
      </c>
    </row>
    <row r="3942" spans="1:37" x14ac:dyDescent="0.2">
      <c r="A3942" t="str">
        <f>"20200111160241241"</f>
        <v>20200111160241241</v>
      </c>
      <c r="B3942" t="str">
        <f>"1578729761236504"</f>
        <v>1578729761236504</v>
      </c>
      <c r="C3942" t="s">
        <v>37</v>
      </c>
      <c r="D3942">
        <v>5.0293960000000002</v>
      </c>
      <c r="E3942">
        <v>0.56326790000000004</v>
      </c>
      <c r="F3942" t="s">
        <v>42</v>
      </c>
      <c r="G3942">
        <v>-355.37849999999997</v>
      </c>
      <c r="H3942">
        <v>1.030535</v>
      </c>
      <c r="I3942">
        <v>137.91849999999999</v>
      </c>
      <c r="J3942">
        <v>-354.79939999999999</v>
      </c>
      <c r="K3942">
        <v>1.10321</v>
      </c>
      <c r="L3942">
        <v>137.75880000000001</v>
      </c>
      <c r="M3942">
        <v>-0.99998120000000001</v>
      </c>
      <c r="N3942">
        <v>0</v>
      </c>
      <c r="O3942">
        <v>-5.7094930000000004E-3</v>
      </c>
      <c r="P3942">
        <v>-0.99913249999999998</v>
      </c>
      <c r="Q3942">
        <v>3.3235220000000003E-2</v>
      </c>
      <c r="R3942">
        <v>2.509834E-2</v>
      </c>
      <c r="S3942">
        <v>-2.9974669999999999</v>
      </c>
      <c r="T3942">
        <v>-0.2544187</v>
      </c>
      <c r="U3942">
        <v>0.55247500000000005</v>
      </c>
      <c r="V3942">
        <v>3.079291E-2</v>
      </c>
      <c r="W3942">
        <v>3.553245E-2</v>
      </c>
      <c r="X3942">
        <v>0.99889399999999995</v>
      </c>
      <c r="Y3942">
        <v>0.18620519999999999</v>
      </c>
      <c r="Z3942">
        <v>8.3024229999999997E-3</v>
      </c>
      <c r="AA3942">
        <v>0.98247580000000001</v>
      </c>
      <c r="AB3942">
        <v>27</v>
      </c>
      <c r="AC3942">
        <v>-0.57909999999998196</v>
      </c>
      <c r="AD3942">
        <v>-7.2675000000000003E-2</v>
      </c>
      <c r="AE3942">
        <v>0.15969999999998599</v>
      </c>
      <c r="AF3942">
        <v>0.16065242130437199</v>
      </c>
      <c r="AG3942">
        <v>-7.2675000000000003E-2</v>
      </c>
      <c r="AH3942">
        <v>0.56983844642778902</v>
      </c>
      <c r="AI3942">
        <v>96.998113123816495</v>
      </c>
      <c r="AJ3942">
        <v>74.255461991160203</v>
      </c>
      <c r="AK3942">
        <v>0.59649535716817903</v>
      </c>
    </row>
    <row r="3943" spans="1:37" x14ac:dyDescent="0.2">
      <c r="A3943" t="str">
        <f>"20200111160241263"</f>
        <v>20200111160241263</v>
      </c>
      <c r="B3943" t="str">
        <f>"1578729761256028"</f>
        <v>1578729761256028</v>
      </c>
      <c r="C3943" t="s">
        <v>37</v>
      </c>
      <c r="D3943">
        <v>5.2946099999999996</v>
      </c>
      <c r="E3943">
        <v>0.56343809999999905</v>
      </c>
      <c r="F3943" t="s">
        <v>42</v>
      </c>
      <c r="G3943">
        <v>-355.62259999999998</v>
      </c>
      <c r="H3943">
        <v>1.032959</v>
      </c>
      <c r="I3943">
        <v>137.9117</v>
      </c>
      <c r="J3943">
        <v>-355.0795</v>
      </c>
      <c r="K3943">
        <v>1.1032010000000001</v>
      </c>
      <c r="L3943">
        <v>137.75700000000001</v>
      </c>
      <c r="M3943">
        <v>-0.99998009999999904</v>
      </c>
      <c r="N3943">
        <v>0</v>
      </c>
      <c r="O3943">
        <v>-5.8914169999999899E-3</v>
      </c>
      <c r="P3943">
        <v>-0.99914899999999995</v>
      </c>
      <c r="Q3943">
        <v>3.2635119999999997E-2</v>
      </c>
      <c r="R3943">
        <v>2.522481E-2</v>
      </c>
      <c r="S3943">
        <v>-2.9971619999999999</v>
      </c>
      <c r="T3943">
        <v>-0.25596979999999903</v>
      </c>
      <c r="U3943">
        <v>0.55525210000000003</v>
      </c>
      <c r="V3943">
        <v>3.1101190000000001E-2</v>
      </c>
      <c r="W3943">
        <v>3.4937250000000003E-2</v>
      </c>
      <c r="X3943">
        <v>0.9989055</v>
      </c>
      <c r="Y3943">
        <v>0.1872694</v>
      </c>
      <c r="Z3943">
        <v>8.4133609999999994E-3</v>
      </c>
      <c r="AA3943">
        <v>0.98227260000000005</v>
      </c>
      <c r="AB3943">
        <v>27</v>
      </c>
      <c r="AC3943">
        <v>-0.54309999999998104</v>
      </c>
      <c r="AD3943">
        <v>-7.0242000000000096E-2</v>
      </c>
      <c r="AE3943">
        <v>0.15469999999999101</v>
      </c>
      <c r="AF3943">
        <v>0.155491155195119</v>
      </c>
      <c r="AG3943">
        <v>-7.0242000000000096E-2</v>
      </c>
      <c r="AH3943">
        <v>0.53391825775170698</v>
      </c>
      <c r="AI3943">
        <v>97.199021033019093</v>
      </c>
      <c r="AJ3943">
        <v>73.7630395491813</v>
      </c>
      <c r="AK3943">
        <v>0.56051774625655804</v>
      </c>
    </row>
    <row r="3944" spans="1:37" x14ac:dyDescent="0.2">
      <c r="A3944" t="str">
        <f>"20200111160241285"</f>
        <v>20200111160241285</v>
      </c>
      <c r="B3944" t="str">
        <f>"1578729761276520"</f>
        <v>1578729761276520</v>
      </c>
      <c r="C3944" t="s">
        <v>37</v>
      </c>
      <c r="D3944">
        <v>5.05558</v>
      </c>
      <c r="E3944">
        <v>0.56387140000000002</v>
      </c>
      <c r="F3944" t="s">
        <v>42</v>
      </c>
      <c r="G3944">
        <v>-355.86810000000003</v>
      </c>
      <c r="H3944">
        <v>1.0357129999999899</v>
      </c>
      <c r="I3944">
        <v>137.90360000000001</v>
      </c>
      <c r="J3944">
        <v>-355.34710000000001</v>
      </c>
      <c r="K3944">
        <v>1.103192</v>
      </c>
      <c r="L3944">
        <v>137.7552</v>
      </c>
      <c r="M3944">
        <v>-0.99997909999999901</v>
      </c>
      <c r="N3944">
        <v>0</v>
      </c>
      <c r="O3944">
        <v>-6.0652450000000004E-3</v>
      </c>
      <c r="P3944">
        <v>-0.99915540000000003</v>
      </c>
      <c r="Q3944">
        <v>3.2208460000000001E-2</v>
      </c>
      <c r="R3944">
        <v>2.5526819999999999E-2</v>
      </c>
      <c r="S3944">
        <v>-2.9968870000000001</v>
      </c>
      <c r="T3944">
        <v>-0.25642769999999998</v>
      </c>
      <c r="U3944">
        <v>0.55694580000000005</v>
      </c>
      <c r="V3944">
        <v>3.1577059999999997E-2</v>
      </c>
      <c r="W3944">
        <v>3.4523610000000003E-2</v>
      </c>
      <c r="X3944">
        <v>0.99890489999999998</v>
      </c>
      <c r="Y3944">
        <v>0.18798719999999999</v>
      </c>
      <c r="Z3944">
        <v>8.47381E-3</v>
      </c>
      <c r="AA3944">
        <v>0.98213490000000003</v>
      </c>
      <c r="AB3944">
        <v>27</v>
      </c>
      <c r="AC3944">
        <v>-0.52100000000001501</v>
      </c>
      <c r="AD3944">
        <v>-6.7478999999999997E-2</v>
      </c>
      <c r="AE3944">
        <v>0.148400000000009</v>
      </c>
      <c r="AF3944">
        <v>0.14924162021646101</v>
      </c>
      <c r="AG3944">
        <v>-6.7478999999999997E-2</v>
      </c>
      <c r="AH3944">
        <v>0.51214384743961805</v>
      </c>
      <c r="AI3944">
        <v>97.209422433418496</v>
      </c>
      <c r="AJ3944">
        <v>73.753577952380496</v>
      </c>
      <c r="AK3944">
        <v>0.53769675200440703</v>
      </c>
    </row>
    <row r="3945" spans="1:37" x14ac:dyDescent="0.2">
      <c r="A3945" t="str">
        <f>"20200111160241307"</f>
        <v>20200111160241307</v>
      </c>
      <c r="B3945" t="str">
        <f>"1578729761296040"</f>
        <v>1578729761296040</v>
      </c>
      <c r="C3945" t="s">
        <v>37</v>
      </c>
      <c r="D3945">
        <v>5.0990440000000001</v>
      </c>
      <c r="E3945">
        <v>0.56416480000000002</v>
      </c>
      <c r="F3945" t="s">
        <v>42</v>
      </c>
      <c r="G3945">
        <v>-356.11489999999998</v>
      </c>
      <c r="H3945">
        <v>1.0374159999999999</v>
      </c>
      <c r="I3945">
        <v>137.89930000000001</v>
      </c>
      <c r="J3945">
        <v>-355.61559999999997</v>
      </c>
      <c r="K3945">
        <v>1.1031879999999901</v>
      </c>
      <c r="L3945">
        <v>137.7534</v>
      </c>
      <c r="M3945">
        <v>-0.99997789999999998</v>
      </c>
      <c r="N3945">
        <v>0</v>
      </c>
      <c r="O3945">
        <v>-6.2393219999999899E-3</v>
      </c>
      <c r="P3945">
        <v>-0.99914799999999904</v>
      </c>
      <c r="Q3945">
        <v>3.2242649999999998E-2</v>
      </c>
      <c r="R3945">
        <v>2.5762480000000001E-2</v>
      </c>
      <c r="S3945">
        <v>-2.9964599999999999</v>
      </c>
      <c r="T3945">
        <v>-0.25671899999999997</v>
      </c>
      <c r="U3945">
        <v>0.56150819999999901</v>
      </c>
      <c r="V3945">
        <v>3.1986140000000003E-2</v>
      </c>
      <c r="W3945">
        <v>3.4578890000000001E-2</v>
      </c>
      <c r="X3945">
        <v>0.99888999999999994</v>
      </c>
      <c r="Y3945">
        <v>0.18962019999999999</v>
      </c>
      <c r="Z3945">
        <v>8.5674059999999996E-3</v>
      </c>
      <c r="AA3945">
        <v>0.98182019999999903</v>
      </c>
      <c r="AB3945">
        <v>27</v>
      </c>
      <c r="AC3945">
        <v>-0.49930000000000502</v>
      </c>
      <c r="AD3945">
        <v>-6.57719999999999E-2</v>
      </c>
      <c r="AE3945">
        <v>0.14590000000001099</v>
      </c>
      <c r="AF3945">
        <v>0.14666764448977401</v>
      </c>
      <c r="AG3945">
        <v>-6.57719999999999E-2</v>
      </c>
      <c r="AH3945">
        <v>0.490537597876611</v>
      </c>
      <c r="AI3945">
        <v>97.320254355196496</v>
      </c>
      <c r="AJ3945">
        <v>73.353667238288494</v>
      </c>
      <c r="AK3945">
        <v>0.51620198455133304</v>
      </c>
    </row>
    <row r="3946" spans="1:37" x14ac:dyDescent="0.2">
      <c r="A3946" t="str">
        <f>"20200111160241330"</f>
        <v>20200111160241330</v>
      </c>
      <c r="B3946" t="str">
        <f>"1578729761326296"</f>
        <v>1578729761326296</v>
      </c>
      <c r="C3946" t="s">
        <v>37</v>
      </c>
      <c r="D3946">
        <v>5.0600699999999996</v>
      </c>
      <c r="E3946">
        <v>0.56445080000000003</v>
      </c>
      <c r="F3946" t="s">
        <v>42</v>
      </c>
      <c r="G3946">
        <v>-356.36349999999999</v>
      </c>
      <c r="H3946">
        <v>1.0396080000000001</v>
      </c>
      <c r="I3946">
        <v>137.8947</v>
      </c>
      <c r="J3946">
        <v>-355.8954</v>
      </c>
      <c r="K3946">
        <v>1.1031899999999999</v>
      </c>
      <c r="L3946">
        <v>137.75149999999999</v>
      </c>
      <c r="M3946">
        <v>-0.9999768</v>
      </c>
      <c r="N3946">
        <v>0</v>
      </c>
      <c r="O3946">
        <v>-6.4211609999999999E-3</v>
      </c>
      <c r="P3946">
        <v>-0.99913560000000001</v>
      </c>
      <c r="Q3946">
        <v>3.2716410000000001E-2</v>
      </c>
      <c r="R3946">
        <v>2.5659459999999999E-2</v>
      </c>
      <c r="S3946">
        <v>-2.996216</v>
      </c>
      <c r="T3946">
        <v>-0.2548223</v>
      </c>
      <c r="U3946">
        <v>0.56478879999999998</v>
      </c>
      <c r="V3946">
        <v>3.2064639999999998E-2</v>
      </c>
      <c r="W3946">
        <v>3.5083549999999998E-2</v>
      </c>
      <c r="X3946">
        <v>0.99886980000000003</v>
      </c>
      <c r="Y3946">
        <v>0.19085669999999999</v>
      </c>
      <c r="Z3946">
        <v>8.5714999999999993E-3</v>
      </c>
      <c r="AA3946">
        <v>0.98158049999999997</v>
      </c>
      <c r="AB3946">
        <v>28</v>
      </c>
      <c r="AC3946">
        <v>-0.46809999999999202</v>
      </c>
      <c r="AD3946">
        <v>-6.3581999999999805E-2</v>
      </c>
      <c r="AE3946">
        <v>0.14320000000000699</v>
      </c>
      <c r="AF3946">
        <v>0.143777150664849</v>
      </c>
      <c r="AG3946">
        <v>-6.3581999999999805E-2</v>
      </c>
      <c r="AH3946">
        <v>0.45942000667390898</v>
      </c>
      <c r="AI3946">
        <v>97.524039890998395</v>
      </c>
      <c r="AJ3946">
        <v>72.622300634488894</v>
      </c>
      <c r="AK3946">
        <v>0.48557314825838199</v>
      </c>
    </row>
    <row r="3947" spans="1:37" x14ac:dyDescent="0.2">
      <c r="A3947" t="str">
        <f>"20200111160241353"</f>
        <v>20200111160241353</v>
      </c>
      <c r="B3947" t="str">
        <f>"1578729761346792"</f>
        <v>1578729761346792</v>
      </c>
      <c r="C3947" t="s">
        <v>37</v>
      </c>
      <c r="D3947">
        <v>5.146738</v>
      </c>
      <c r="E3947">
        <v>0.56487719999999997</v>
      </c>
      <c r="F3947" t="s">
        <v>38</v>
      </c>
      <c r="G3947">
        <v>-369.03339999999997</v>
      </c>
      <c r="H3947" s="1">
        <v>-5.6216600000000001E-7</v>
      </c>
      <c r="I3947">
        <v>140.23699999999999</v>
      </c>
      <c r="J3947">
        <v>-356.19529999999997</v>
      </c>
      <c r="K3947">
        <v>1.1031930000000001</v>
      </c>
      <c r="L3947">
        <v>137.74940000000001</v>
      </c>
      <c r="M3947">
        <v>-0.99997530000000001</v>
      </c>
      <c r="N3947">
        <v>0</v>
      </c>
      <c r="O3947">
        <v>-6.6155369999999899E-3</v>
      </c>
      <c r="P3947">
        <v>-0.99913929999999995</v>
      </c>
      <c r="Q3947">
        <v>3.3119339999999997E-2</v>
      </c>
      <c r="R3947">
        <v>2.4978170000000001E-2</v>
      </c>
      <c r="S3947">
        <v>-2.99624599999999</v>
      </c>
      <c r="T3947">
        <v>-0.25159569999999998</v>
      </c>
      <c r="U3947">
        <v>0.56686400000000003</v>
      </c>
      <c r="V3947">
        <v>3.1577250000000001E-2</v>
      </c>
      <c r="W3947">
        <v>3.5531489999999999E-2</v>
      </c>
      <c r="X3947">
        <v>0.99886949999999997</v>
      </c>
      <c r="Y3947">
        <v>0.19171579999999999</v>
      </c>
      <c r="Z3947">
        <v>8.5145669999999903E-3</v>
      </c>
      <c r="AA3947">
        <v>0.98141350000000005</v>
      </c>
      <c r="AB3947">
        <v>28</v>
      </c>
      <c r="AC3947">
        <v>-12.838099999999899</v>
      </c>
      <c r="AD3947">
        <v>-1.1031935621660001</v>
      </c>
      <c r="AE3947">
        <v>2.48759999999998</v>
      </c>
      <c r="AF3947">
        <v>2.5542978846955702</v>
      </c>
      <c r="AG3947">
        <v>-1.1031935621660001</v>
      </c>
      <c r="AH3947">
        <v>12.7307578727546</v>
      </c>
      <c r="AI3947">
        <v>94.856329581042601</v>
      </c>
      <c r="AJ3947">
        <v>78.654818876577096</v>
      </c>
      <c r="AK3947">
        <v>13.0312574118566</v>
      </c>
    </row>
    <row r="3948" spans="1:37" x14ac:dyDescent="0.2">
      <c r="A3948" t="str">
        <f>"20200111160241375"</f>
        <v>20200111160241375</v>
      </c>
      <c r="B3948" t="str">
        <f>"1578729761366311"</f>
        <v>1578729761366311</v>
      </c>
      <c r="C3948" t="s">
        <v>37</v>
      </c>
      <c r="D3948">
        <v>5.1306949999999896</v>
      </c>
      <c r="E3948">
        <v>0.56498219999999899</v>
      </c>
      <c r="F3948" t="s">
        <v>38</v>
      </c>
      <c r="G3948">
        <v>-369.48230000000001</v>
      </c>
      <c r="H3948" s="1">
        <v>-3.7815640000000001E-7</v>
      </c>
      <c r="I3948">
        <v>140.26929999999999</v>
      </c>
      <c r="J3948">
        <v>-356.46179999999998</v>
      </c>
      <c r="K3948">
        <v>1.1031979999999999</v>
      </c>
      <c r="L3948">
        <v>137.7475</v>
      </c>
      <c r="M3948">
        <v>-0.99997400000000003</v>
      </c>
      <c r="N3948">
        <v>0</v>
      </c>
      <c r="O3948">
        <v>-6.7882219999999896E-3</v>
      </c>
      <c r="P3948">
        <v>-0.99913109999999905</v>
      </c>
      <c r="Q3948">
        <v>3.3785570000000001E-2</v>
      </c>
      <c r="R3948">
        <v>2.4406790000000001E-2</v>
      </c>
      <c r="S3948">
        <v>-2.996613</v>
      </c>
      <c r="T3948">
        <v>-0.24880329999999901</v>
      </c>
      <c r="U3948">
        <v>0.56832890000000003</v>
      </c>
      <c r="V3948">
        <v>3.1177989999999999E-2</v>
      </c>
      <c r="W3948">
        <v>3.6245819999999998E-2</v>
      </c>
      <c r="X3948">
        <v>0.99885639999999998</v>
      </c>
      <c r="Y3948">
        <v>0.19233889999999901</v>
      </c>
      <c r="Z3948">
        <v>8.4587849999999999E-3</v>
      </c>
      <c r="AA3948">
        <v>0.9812921</v>
      </c>
      <c r="AB3948">
        <v>28</v>
      </c>
      <c r="AC3948">
        <v>-13.0205</v>
      </c>
      <c r="AD3948">
        <v>-1.1031983781563901</v>
      </c>
      <c r="AE3948">
        <v>2.5217999999999798</v>
      </c>
      <c r="AF3948">
        <v>2.5921921809328201</v>
      </c>
      <c r="AG3948">
        <v>-1.1031983781563901</v>
      </c>
      <c r="AH3948">
        <v>12.913728119289599</v>
      </c>
      <c r="AI3948">
        <v>94.787780613369193</v>
      </c>
      <c r="AJ3948">
        <v>78.649772629408005</v>
      </c>
      <c r="AK3948">
        <v>13.2174460809715</v>
      </c>
    </row>
    <row r="3949" spans="1:37" x14ac:dyDescent="0.2">
      <c r="A3949" t="str">
        <f>"20200111160241396"</f>
        <v>20200111160241396</v>
      </c>
      <c r="B3949" t="str">
        <f>"1578729761386808"</f>
        <v>1578729761386808</v>
      </c>
      <c r="C3949" t="s">
        <v>37</v>
      </c>
      <c r="D3949">
        <v>5.0872869999999999</v>
      </c>
      <c r="E3949">
        <v>0.565231699999999</v>
      </c>
      <c r="F3949" t="s">
        <v>38</v>
      </c>
      <c r="G3949">
        <v>-369.89260000000002</v>
      </c>
      <c r="H3949" s="1">
        <v>-2.0755889999999999E-7</v>
      </c>
      <c r="I3949">
        <v>140.28960000000001</v>
      </c>
      <c r="J3949">
        <v>-356.7355</v>
      </c>
      <c r="K3949">
        <v>1.1031949999999999</v>
      </c>
      <c r="L3949">
        <v>137.74539999999999</v>
      </c>
      <c r="M3949">
        <v>-0.99997259999999999</v>
      </c>
      <c r="N3949">
        <v>0</v>
      </c>
      <c r="O3949">
        <v>-6.9653329999999998E-3</v>
      </c>
      <c r="P3949">
        <v>-0.99916849999999902</v>
      </c>
      <c r="Q3949">
        <v>3.287462E-2</v>
      </c>
      <c r="R3949">
        <v>2.4118589999999999E-2</v>
      </c>
      <c r="S3949">
        <v>-2.9970699999999999</v>
      </c>
      <c r="T3949">
        <v>-0.2461796</v>
      </c>
      <c r="U3949">
        <v>0.56729130000000005</v>
      </c>
      <c r="V3949">
        <v>3.1067109999999998E-2</v>
      </c>
      <c r="W3949">
        <v>3.5392819999999998E-2</v>
      </c>
      <c r="X3949">
        <v>0.99889050000000001</v>
      </c>
      <c r="Y3949">
        <v>0.19217129999999999</v>
      </c>
      <c r="Z3949">
        <v>8.3764770000000002E-3</v>
      </c>
      <c r="AA3949">
        <v>0.98132569999999997</v>
      </c>
      <c r="AB3949">
        <v>28</v>
      </c>
      <c r="AC3949">
        <v>-13.1571</v>
      </c>
      <c r="AD3949">
        <v>-1.1031952075589</v>
      </c>
      <c r="AE3949">
        <v>2.5442000000000098</v>
      </c>
      <c r="AF3949">
        <v>2.6180395401936201</v>
      </c>
      <c r="AG3949">
        <v>-1.1031952075589</v>
      </c>
      <c r="AH3949">
        <v>13.050614768267399</v>
      </c>
      <c r="AI3949">
        <v>94.737891930745803</v>
      </c>
      <c r="AJ3949">
        <v>78.656652209590007</v>
      </c>
      <c r="AK3949">
        <v>13.356261323054399</v>
      </c>
    </row>
    <row r="3950" spans="1:37" x14ac:dyDescent="0.2">
      <c r="A3950" t="str">
        <f>"20200111160241419"</f>
        <v>20200111160241419</v>
      </c>
      <c r="B3950" t="str">
        <f>"1578729761416088"</f>
        <v>1578729761416088</v>
      </c>
      <c r="C3950" t="s">
        <v>37</v>
      </c>
      <c r="D3950">
        <v>5.0903169999999998</v>
      </c>
      <c r="E3950">
        <v>0.56551099999999999</v>
      </c>
      <c r="F3950" t="s">
        <v>42</v>
      </c>
      <c r="G3950">
        <v>-357.6266</v>
      </c>
      <c r="H3950">
        <v>1.029215</v>
      </c>
      <c r="I3950">
        <v>137.91460000000001</v>
      </c>
      <c r="J3950">
        <v>-357.02140000000003</v>
      </c>
      <c r="K3950">
        <v>1.1031949999999999</v>
      </c>
      <c r="L3950">
        <v>137.7432</v>
      </c>
      <c r="M3950">
        <v>-0.99997119999999995</v>
      </c>
      <c r="N3950">
        <v>0</v>
      </c>
      <c r="O3950">
        <v>-7.1503340000000004E-3</v>
      </c>
      <c r="P3950">
        <v>-0.99917230000000001</v>
      </c>
      <c r="Q3950">
        <v>3.2840290000000001E-2</v>
      </c>
      <c r="R3950">
        <v>2.401008E-2</v>
      </c>
      <c r="S3950">
        <v>-2.9969790000000001</v>
      </c>
      <c r="T3950">
        <v>-0.24883229999999901</v>
      </c>
      <c r="U3950">
        <v>0.56814580000000003</v>
      </c>
      <c r="V3950">
        <v>3.1143400000000002E-2</v>
      </c>
      <c r="W3950">
        <v>3.5430950000000003E-2</v>
      </c>
      <c r="X3950">
        <v>0.99888679999999996</v>
      </c>
      <c r="Y3950">
        <v>0.19261229999999999</v>
      </c>
      <c r="Z3950">
        <v>8.4997939999999998E-3</v>
      </c>
      <c r="AA3950">
        <v>0.981238099999999</v>
      </c>
      <c r="AB3950">
        <v>28</v>
      </c>
      <c r="AC3950">
        <v>-0.60519999999996799</v>
      </c>
      <c r="AD3950">
        <v>-7.3980000000000101E-2</v>
      </c>
      <c r="AE3950">
        <v>0.17140000000000499</v>
      </c>
      <c r="AF3950">
        <v>0.17332536821827199</v>
      </c>
      <c r="AG3950">
        <v>-7.3980000000000101E-2</v>
      </c>
      <c r="AH3950">
        <v>0.59571826151787499</v>
      </c>
      <c r="AI3950">
        <v>96.799936473968003</v>
      </c>
      <c r="AJ3950">
        <v>73.777544204278598</v>
      </c>
      <c r="AK3950">
        <v>0.62481594951943997</v>
      </c>
    </row>
    <row r="3951" spans="1:37" x14ac:dyDescent="0.2">
      <c r="A3951" t="str">
        <f>"20200111160241443"</f>
        <v>20200111160241443</v>
      </c>
      <c r="B3951" t="str">
        <f>"1578729761436584"</f>
        <v>1578729761436584</v>
      </c>
      <c r="C3951" t="s">
        <v>37</v>
      </c>
      <c r="D3951">
        <v>5.2350329999999996</v>
      </c>
      <c r="E3951">
        <v>0.56555290000000003</v>
      </c>
      <c r="F3951" t="s">
        <v>42</v>
      </c>
      <c r="G3951">
        <v>-357.87689999999998</v>
      </c>
      <c r="H3951">
        <v>1.0322309999999999</v>
      </c>
      <c r="I3951">
        <v>137.90629999999999</v>
      </c>
      <c r="J3951">
        <v>-357.32299999999998</v>
      </c>
      <c r="K3951">
        <v>1.103199</v>
      </c>
      <c r="L3951">
        <v>137.74090000000001</v>
      </c>
      <c r="M3951">
        <v>-0.99996949999999996</v>
      </c>
      <c r="N3951">
        <v>0</v>
      </c>
      <c r="O3951">
        <v>-7.3451369999999998E-3</v>
      </c>
      <c r="P3951">
        <v>-0.99917630000000002</v>
      </c>
      <c r="Q3951">
        <v>3.2733539999999998E-2</v>
      </c>
      <c r="R3951">
        <v>2.3992039999999999E-2</v>
      </c>
      <c r="S3951">
        <v>-2.9969480000000002</v>
      </c>
      <c r="T3951">
        <v>-0.2486882</v>
      </c>
      <c r="U3951">
        <v>0.57019039999999999</v>
      </c>
      <c r="V3951">
        <v>3.1319699999999999E-2</v>
      </c>
      <c r="W3951">
        <v>3.5412840000000001E-2</v>
      </c>
      <c r="X3951">
        <v>0.99888189999999999</v>
      </c>
      <c r="Y3951">
        <v>0.1934487</v>
      </c>
      <c r="Z3951">
        <v>8.5447739999999998E-3</v>
      </c>
      <c r="AA3951">
        <v>0.98107319999999998</v>
      </c>
      <c r="AB3951">
        <v>28</v>
      </c>
      <c r="AC3951">
        <v>-0.553899999999941</v>
      </c>
      <c r="AD3951">
        <v>-7.09680000000001E-2</v>
      </c>
      <c r="AE3951">
        <v>0.16539999999997601</v>
      </c>
      <c r="AF3951">
        <v>0.16694780564565101</v>
      </c>
      <c r="AG3951">
        <v>-7.09680000000001E-2</v>
      </c>
      <c r="AH3951">
        <v>0.54446406784941004</v>
      </c>
      <c r="AI3951">
        <v>97.103462115259504</v>
      </c>
      <c r="AJ3951">
        <v>72.953005835033196</v>
      </c>
      <c r="AK3951">
        <v>0.57388949111568999</v>
      </c>
    </row>
    <row r="3952" spans="1:37" x14ac:dyDescent="0.2">
      <c r="A3952" t="str">
        <f>"20200111160241465"</f>
        <v>20200111160241465</v>
      </c>
      <c r="B3952" t="str">
        <f>"1578729761456104"</f>
        <v>1578729761456104</v>
      </c>
      <c r="C3952" t="s">
        <v>37</v>
      </c>
      <c r="D3952">
        <v>5.1969699999999897</v>
      </c>
      <c r="E3952">
        <v>0.56580200000000003</v>
      </c>
      <c r="F3952" t="s">
        <v>42</v>
      </c>
      <c r="G3952">
        <v>-358.13299999999998</v>
      </c>
      <c r="H3952">
        <v>1.0361629999999999</v>
      </c>
      <c r="I3952">
        <v>137.8955</v>
      </c>
      <c r="J3952">
        <v>-357.61779999999999</v>
      </c>
      <c r="K3952">
        <v>1.10321</v>
      </c>
      <c r="L3952">
        <v>137.73849999999999</v>
      </c>
      <c r="M3952">
        <v>-0.99996779999999996</v>
      </c>
      <c r="N3952">
        <v>0</v>
      </c>
      <c r="O3952">
        <v>-7.5353119999999997E-3</v>
      </c>
      <c r="P3952">
        <v>-0.99918890000000005</v>
      </c>
      <c r="Q3952">
        <v>3.2228229999999997E-2</v>
      </c>
      <c r="R3952">
        <v>2.413858E-2</v>
      </c>
      <c r="S3952">
        <v>-2.9968870000000001</v>
      </c>
      <c r="T3952">
        <v>-0.2481102</v>
      </c>
      <c r="U3952">
        <v>0.57089230000000002</v>
      </c>
      <c r="V3952">
        <v>3.1656190000000001E-2</v>
      </c>
      <c r="W3952">
        <v>3.5007299999999998E-2</v>
      </c>
      <c r="X3952">
        <v>0.99888559999999904</v>
      </c>
      <c r="Y3952">
        <v>0.1938618</v>
      </c>
      <c r="Z3952">
        <v>8.5574729999999995E-3</v>
      </c>
      <c r="AA3952">
        <v>0.98099150000000002</v>
      </c>
      <c r="AB3952">
        <v>29</v>
      </c>
      <c r="AC3952">
        <v>-0.51520000000004895</v>
      </c>
      <c r="AD3952">
        <v>-6.7046999999999995E-2</v>
      </c>
      <c r="AE3952">
        <v>0.15700000000000999</v>
      </c>
      <c r="AF3952">
        <v>0.15842271168952601</v>
      </c>
      <c r="AG3952">
        <v>-6.7046999999999995E-2</v>
      </c>
      <c r="AH3952">
        <v>0.50615850845900101</v>
      </c>
      <c r="AI3952">
        <v>97.204834537073097</v>
      </c>
      <c r="AJ3952">
        <v>72.620385262085307</v>
      </c>
      <c r="AK3952">
        <v>0.534592827742295</v>
      </c>
    </row>
    <row r="3953" spans="1:37" x14ac:dyDescent="0.2">
      <c r="A3953" t="str">
        <f>"20200111160241486"</f>
        <v>20200111160241486</v>
      </c>
      <c r="B3953" t="str">
        <f>"1578729761476600"</f>
        <v>1578729761476600</v>
      </c>
      <c r="C3953" t="s">
        <v>37</v>
      </c>
      <c r="D3953">
        <v>5.0549549999999996</v>
      </c>
      <c r="E3953">
        <v>0.56583600000000001</v>
      </c>
      <c r="F3953" t="s">
        <v>42</v>
      </c>
      <c r="G3953">
        <v>-358.39159999999998</v>
      </c>
      <c r="H3953">
        <v>1.0387389999999901</v>
      </c>
      <c r="I3953">
        <v>137.88679999999999</v>
      </c>
      <c r="J3953">
        <v>-357.88850000000002</v>
      </c>
      <c r="K3953">
        <v>1.1032230000000001</v>
      </c>
      <c r="L3953">
        <v>137.7363</v>
      </c>
      <c r="M3953">
        <v>-0.99996620000000003</v>
      </c>
      <c r="N3953">
        <v>0</v>
      </c>
      <c r="O3953">
        <v>-7.7101239999999996E-3</v>
      </c>
      <c r="P3953">
        <v>-0.99922420000000001</v>
      </c>
      <c r="Q3953">
        <v>3.1422440000000003E-2</v>
      </c>
      <c r="R3953">
        <v>2.3741700000000001E-2</v>
      </c>
      <c r="S3953">
        <v>-2.9966430000000002</v>
      </c>
      <c r="T3953">
        <v>-0.249755899999999</v>
      </c>
      <c r="U3953">
        <v>0.57308959999999998</v>
      </c>
      <c r="V3953">
        <v>3.1434379999999998E-2</v>
      </c>
      <c r="W3953">
        <v>3.430772E-2</v>
      </c>
      <c r="X3953">
        <v>0.9989169</v>
      </c>
      <c r="Y3953">
        <v>0.1947296</v>
      </c>
      <c r="Z3953">
        <v>8.6643439999999992E-3</v>
      </c>
      <c r="AA3953">
        <v>0.98081870000000004</v>
      </c>
      <c r="AB3953">
        <v>29</v>
      </c>
      <c r="AC3953">
        <v>-0.50309999999996002</v>
      </c>
      <c r="AD3953">
        <v>-6.4484000000000194E-2</v>
      </c>
      <c r="AE3953">
        <v>0.150499999999993</v>
      </c>
      <c r="AF3953">
        <v>0.15208127046914599</v>
      </c>
      <c r="AG3953">
        <v>-6.4484000000000194E-2</v>
      </c>
      <c r="AH3953">
        <v>0.494468570085146</v>
      </c>
      <c r="AI3953">
        <v>97.105173492301105</v>
      </c>
      <c r="AJ3953">
        <v>72.903929880593694</v>
      </c>
      <c r="AK3953">
        <v>0.52133105210178998</v>
      </c>
    </row>
    <row r="3954" spans="1:37" x14ac:dyDescent="0.2">
      <c r="A3954" t="str">
        <f>"20200111160241508"</f>
        <v>20200111160241508</v>
      </c>
      <c r="B3954" t="str">
        <f>"1578729761496119"</f>
        <v>1578729761496119</v>
      </c>
      <c r="C3954" t="s">
        <v>37</v>
      </c>
      <c r="D3954">
        <v>5.0667939999999998</v>
      </c>
      <c r="E3954">
        <v>0.56601250000000003</v>
      </c>
      <c r="F3954" t="s">
        <v>42</v>
      </c>
      <c r="G3954">
        <v>-358.6506</v>
      </c>
      <c r="H3954">
        <v>1.0393209999999999</v>
      </c>
      <c r="I3954">
        <v>137.88210000000001</v>
      </c>
      <c r="J3954">
        <v>-358.17619999999999</v>
      </c>
      <c r="K3954">
        <v>1.1032409999999999</v>
      </c>
      <c r="L3954">
        <v>137.73390000000001</v>
      </c>
      <c r="M3954">
        <v>-0.99996439999999998</v>
      </c>
      <c r="N3954">
        <v>0</v>
      </c>
      <c r="O3954">
        <v>-7.8955889999999997E-3</v>
      </c>
      <c r="P3954">
        <v>-0.99923809999999902</v>
      </c>
      <c r="Q3954">
        <v>3.1651060000000002E-2</v>
      </c>
      <c r="R3954">
        <v>2.2842729999999999E-2</v>
      </c>
      <c r="S3954">
        <v>-2.996613</v>
      </c>
      <c r="T3954">
        <v>-0.25138529999999998</v>
      </c>
      <c r="U3954">
        <v>0.57226560000000004</v>
      </c>
      <c r="V3954">
        <v>3.0720859999999999E-2</v>
      </c>
      <c r="W3954">
        <v>3.4665139999999997E-2</v>
      </c>
      <c r="X3954">
        <v>0.99892669999999995</v>
      </c>
      <c r="Y3954">
        <v>0.19464389999999901</v>
      </c>
      <c r="Z3954">
        <v>8.7328270000000003E-3</v>
      </c>
      <c r="AA3954">
        <v>0.98083509999999996</v>
      </c>
      <c r="AB3954">
        <v>29</v>
      </c>
      <c r="AC3954">
        <v>-0.47440000000000199</v>
      </c>
      <c r="AD3954">
        <v>-6.3919999999999894E-2</v>
      </c>
      <c r="AE3954">
        <v>0.148200000000002</v>
      </c>
      <c r="AF3954">
        <v>0.14946880282764699</v>
      </c>
      <c r="AG3954">
        <v>-6.3919999999999894E-2</v>
      </c>
      <c r="AH3954">
        <v>0.46551530940470498</v>
      </c>
      <c r="AI3954">
        <v>97.448400047442306</v>
      </c>
      <c r="AJ3954">
        <v>72.199086404270901</v>
      </c>
      <c r="AK3954">
        <v>0.493083352699002</v>
      </c>
    </row>
    <row r="3955" spans="1:37" x14ac:dyDescent="0.2">
      <c r="A3955" t="str">
        <f>"20200111160241532"</f>
        <v>20200111160241532</v>
      </c>
      <c r="B3955" t="str">
        <f>"1578729761526376"</f>
        <v>1578729761526376</v>
      </c>
      <c r="C3955" t="s">
        <v>37</v>
      </c>
      <c r="D3955">
        <v>5.1221969999999999</v>
      </c>
      <c r="E3955">
        <v>0.50627920000000004</v>
      </c>
      <c r="F3955" t="s">
        <v>42</v>
      </c>
      <c r="G3955">
        <v>-358.91160000000002</v>
      </c>
      <c r="H3955">
        <v>1.0417239999999901</v>
      </c>
      <c r="I3955">
        <v>137.8741</v>
      </c>
      <c r="J3955">
        <v>-358.47519999999997</v>
      </c>
      <c r="K3955">
        <v>1.1032549999999901</v>
      </c>
      <c r="L3955">
        <v>137.73140000000001</v>
      </c>
      <c r="M3955">
        <v>-0.99996240000000003</v>
      </c>
      <c r="N3955">
        <v>0</v>
      </c>
      <c r="O3955">
        <v>-8.0887359999999991E-3</v>
      </c>
      <c r="P3955">
        <v>-0.9992472</v>
      </c>
      <c r="Q3955">
        <v>3.1672569999999997E-2</v>
      </c>
      <c r="R3955">
        <v>2.24120999999999E-2</v>
      </c>
      <c r="S3955">
        <v>-2.9971619999999999</v>
      </c>
      <c r="T3955">
        <v>-0.25083509999999998</v>
      </c>
      <c r="U3955">
        <v>0.57084659999999998</v>
      </c>
      <c r="V3955">
        <v>3.048298E-2</v>
      </c>
      <c r="W3955">
        <v>3.4841469999999999E-2</v>
      </c>
      <c r="X3955">
        <v>0.99892780000000003</v>
      </c>
      <c r="Y3955">
        <v>0.19435559999999999</v>
      </c>
      <c r="Z3955">
        <v>8.7166610000000005E-3</v>
      </c>
      <c r="AA3955">
        <v>0.9808924</v>
      </c>
      <c r="AB3955">
        <v>29</v>
      </c>
      <c r="AC3955">
        <v>-0.43640000000004803</v>
      </c>
      <c r="AD3955">
        <v>-6.1531000000000002E-2</v>
      </c>
      <c r="AE3955">
        <v>0.14269999999999</v>
      </c>
      <c r="AF3955">
        <v>0.14364543678182401</v>
      </c>
      <c r="AG3955">
        <v>-6.1531000000000002E-2</v>
      </c>
      <c r="AH3955">
        <v>0.427552714188765</v>
      </c>
      <c r="AI3955">
        <v>97.768384744638894</v>
      </c>
      <c r="AJ3955">
        <v>71.429129611367998</v>
      </c>
      <c r="AK3955">
        <v>0.45521577178237199</v>
      </c>
    </row>
    <row r="3956" spans="1:37" x14ac:dyDescent="0.2">
      <c r="A3956" t="str">
        <f>"20200111160241554"</f>
        <v>20200111160241554</v>
      </c>
      <c r="B3956" t="str">
        <f>"1578729761545898"</f>
        <v>1578729761545898</v>
      </c>
      <c r="C3956" t="s">
        <v>37</v>
      </c>
      <c r="D3956">
        <v>5.2212990000000001</v>
      </c>
      <c r="E3956">
        <v>0.4834388</v>
      </c>
      <c r="F3956" t="s">
        <v>77</v>
      </c>
      <c r="G3956">
        <v>-408.82709999999997</v>
      </c>
      <c r="H3956" s="1">
        <v>-9.9235170000000006E-6</v>
      </c>
      <c r="I3956">
        <v>139.50219999999999</v>
      </c>
      <c r="J3956">
        <v>-358.77370000000002</v>
      </c>
      <c r="K3956">
        <v>1.1032819999999901</v>
      </c>
      <c r="L3956">
        <v>137.7287</v>
      </c>
      <c r="M3956">
        <v>-0.99996019999999897</v>
      </c>
      <c r="N3956">
        <v>0</v>
      </c>
      <c r="O3956">
        <v>-8.2810899999999996E-3</v>
      </c>
      <c r="P3956">
        <v>-0.99925489999999995</v>
      </c>
      <c r="Q3956">
        <v>3.1473910000000001E-2</v>
      </c>
      <c r="R3956">
        <v>2.2345299999999998E-2</v>
      </c>
      <c r="S3956">
        <v>-3.0019840000000002</v>
      </c>
      <c r="T3956">
        <v>-6.5776589999999996E-2</v>
      </c>
      <c r="U3956">
        <v>0.10557560000000001</v>
      </c>
      <c r="V3956">
        <v>3.0608449999999999E-2</v>
      </c>
      <c r="W3956">
        <v>3.4814299999999999E-2</v>
      </c>
      <c r="X3956">
        <v>0.99892499999999995</v>
      </c>
      <c r="Y3956">
        <v>4.3409299999999998E-2</v>
      </c>
      <c r="Z3956">
        <v>6.5674309999999895E-4</v>
      </c>
      <c r="AA3956">
        <v>0.99905719999999998</v>
      </c>
      <c r="AB3956">
        <v>29</v>
      </c>
      <c r="AC3956">
        <v>-50.053399999999897</v>
      </c>
      <c r="AD3956">
        <v>-1.10329192351699</v>
      </c>
      <c r="AE3956">
        <v>1.7734999999999801</v>
      </c>
      <c r="AF3956">
        <v>2.1868769925535401</v>
      </c>
      <c r="AG3956">
        <v>-1.10329192351699</v>
      </c>
      <c r="AH3956">
        <v>50.012728255676599</v>
      </c>
      <c r="AI3956">
        <v>91.262546653244996</v>
      </c>
      <c r="AJ3956">
        <v>87.496256237647899</v>
      </c>
      <c r="AK3956">
        <v>50.072673901292802</v>
      </c>
    </row>
    <row r="3957" spans="1:37" x14ac:dyDescent="0.2">
      <c r="A3957" t="str">
        <f>"20200111160241575"</f>
        <v>20200111160241575</v>
      </c>
      <c r="B3957" t="str">
        <f>"1578729761566392"</f>
        <v>1578729761566392</v>
      </c>
      <c r="C3957" t="s">
        <v>37</v>
      </c>
      <c r="D3957">
        <v>5.1091670000000002</v>
      </c>
      <c r="E3957">
        <v>0.47713529999999998</v>
      </c>
      <c r="F3957" t="s">
        <v>38</v>
      </c>
      <c r="G3957">
        <v>-385.84559999999999</v>
      </c>
      <c r="H3957" s="1">
        <v>-2.229486E-6</v>
      </c>
      <c r="I3957">
        <v>136.995</v>
      </c>
      <c r="J3957">
        <v>-359.05610000000001</v>
      </c>
      <c r="K3957">
        <v>1.103313</v>
      </c>
      <c r="L3957">
        <v>137.72620000000001</v>
      </c>
      <c r="M3957">
        <v>-0.99995809999999996</v>
      </c>
      <c r="N3957">
        <v>0</v>
      </c>
      <c r="O3957">
        <v>-8.4632089999999993E-3</v>
      </c>
      <c r="P3957">
        <v>-0.99922999999999995</v>
      </c>
      <c r="Q3957">
        <v>3.1933089999999997E-2</v>
      </c>
      <c r="R3957">
        <v>2.2798809999999999E-2</v>
      </c>
      <c r="S3957">
        <v>-3.007965</v>
      </c>
      <c r="T3957">
        <v>-0.1225866</v>
      </c>
      <c r="U3957">
        <v>-8.151245E-2</v>
      </c>
      <c r="V3957">
        <v>3.124329E-2</v>
      </c>
      <c r="W3957">
        <v>3.5445249999999998E-2</v>
      </c>
      <c r="X3957">
        <v>0.99888310000000002</v>
      </c>
      <c r="Y3957">
        <v>-1.8619380000000001E-2</v>
      </c>
      <c r="Z3957" s="1">
        <v>-3.448772E-5</v>
      </c>
      <c r="AA3957">
        <v>0.99982669999999996</v>
      </c>
      <c r="AB3957">
        <v>29</v>
      </c>
      <c r="AC3957">
        <v>-26.789499999999901</v>
      </c>
      <c r="AD3957">
        <v>-1.103315229486</v>
      </c>
      <c r="AE3957">
        <v>-0.73120000000000096</v>
      </c>
      <c r="AF3957">
        <v>-0.50359374939430401</v>
      </c>
      <c r="AG3957">
        <v>-1.103315229486</v>
      </c>
      <c r="AH3957">
        <v>26.749391091013099</v>
      </c>
      <c r="AI3957">
        <v>92.361486026756793</v>
      </c>
      <c r="AJ3957">
        <v>91.078543737822997</v>
      </c>
      <c r="AK3957">
        <v>26.776871267943498</v>
      </c>
    </row>
    <row r="3958" spans="1:37" x14ac:dyDescent="0.2">
      <c r="A3958" t="str">
        <f>"20200111160241598"</f>
        <v>20200111160241598</v>
      </c>
      <c r="B3958" t="str">
        <f>"1578729761585912"</f>
        <v>1578729761585912</v>
      </c>
      <c r="C3958" t="s">
        <v>37</v>
      </c>
      <c r="D3958">
        <v>5.072597</v>
      </c>
      <c r="E3958">
        <v>0.4740955</v>
      </c>
      <c r="F3958" t="s">
        <v>38</v>
      </c>
      <c r="G3958">
        <v>-379.41309999999999</v>
      </c>
      <c r="H3958" s="1">
        <v>-9.2891580000000005E-7</v>
      </c>
      <c r="I3958">
        <v>136.82329999999999</v>
      </c>
      <c r="J3958">
        <v>-359.3492</v>
      </c>
      <c r="K3958">
        <v>1.10334</v>
      </c>
      <c r="L3958">
        <v>137.7235</v>
      </c>
      <c r="M3958">
        <v>-0.99995579999999995</v>
      </c>
      <c r="N3958">
        <v>0</v>
      </c>
      <c r="O3958">
        <v>-8.6524040000000007E-3</v>
      </c>
      <c r="P3958">
        <v>-0.99921719999999903</v>
      </c>
      <c r="Q3958">
        <v>3.2358449999999997E-2</v>
      </c>
      <c r="R3958">
        <v>2.2766850000000002E-2</v>
      </c>
      <c r="S3958">
        <v>-3.0105590000000002</v>
      </c>
      <c r="T3958">
        <v>-0.1631678</v>
      </c>
      <c r="U3958">
        <v>-0.13351440000000001</v>
      </c>
      <c r="V3958">
        <v>3.1400009999999999E-2</v>
      </c>
      <c r="W3958">
        <v>3.6056640000000001E-2</v>
      </c>
      <c r="X3958">
        <v>0.99885630000000003</v>
      </c>
      <c r="Y3958">
        <v>-3.5620029999999997E-2</v>
      </c>
      <c r="Z3958">
        <v>-4.9574560000000001E-4</v>
      </c>
      <c r="AA3958">
        <v>0.99936530000000001</v>
      </c>
      <c r="AB3958">
        <v>29</v>
      </c>
      <c r="AC3958">
        <v>-20.063899999999901</v>
      </c>
      <c r="AD3958">
        <v>-1.1033409289158</v>
      </c>
      <c r="AE3958">
        <v>-0.90020000000001199</v>
      </c>
      <c r="AF3958">
        <v>-0.72437800576262801</v>
      </c>
      <c r="AG3958">
        <v>-1.1033409289158</v>
      </c>
      <c r="AH3958">
        <v>20.010546595472601</v>
      </c>
      <c r="AI3958">
        <v>93.153915693427606</v>
      </c>
      <c r="AJ3958">
        <v>92.073191120501704</v>
      </c>
      <c r="AK3958">
        <v>20.054028516740399</v>
      </c>
    </row>
    <row r="3959" spans="1:37" x14ac:dyDescent="0.2">
      <c r="A3959" t="str">
        <f>"20200111160241621"</f>
        <v>20200111160241621</v>
      </c>
      <c r="B3959" t="str">
        <f>"1578729761616168"</f>
        <v>1578729761616168</v>
      </c>
      <c r="C3959" t="s">
        <v>37</v>
      </c>
      <c r="D3959">
        <v>5.1257619999999999</v>
      </c>
      <c r="E3959">
        <v>0.45059259999999901</v>
      </c>
      <c r="F3959" t="s">
        <v>38</v>
      </c>
      <c r="G3959">
        <v>-377.20519999999999</v>
      </c>
      <c r="H3959" s="1">
        <v>-1.692649E-6</v>
      </c>
      <c r="I3959">
        <v>136.77670000000001</v>
      </c>
      <c r="J3959">
        <v>-359.6454</v>
      </c>
      <c r="K3959">
        <v>1.103369</v>
      </c>
      <c r="L3959">
        <v>137.7208</v>
      </c>
      <c r="M3959">
        <v>-0.99995339999999999</v>
      </c>
      <c r="N3959">
        <v>0</v>
      </c>
      <c r="O3959">
        <v>-8.8433109999999995E-3</v>
      </c>
      <c r="P3959">
        <v>-0.99919659999999999</v>
      </c>
      <c r="Q3959">
        <v>3.2669209999999997E-2</v>
      </c>
      <c r="R3959">
        <v>2.3216009999999999E-2</v>
      </c>
      <c r="S3959">
        <v>-3.0120239999999998</v>
      </c>
      <c r="T3959">
        <v>-0.1861167</v>
      </c>
      <c r="U3959">
        <v>-0.15969849999999999</v>
      </c>
      <c r="V3959">
        <v>3.2039310000000001E-2</v>
      </c>
      <c r="W3959">
        <v>3.6565559999999997E-2</v>
      </c>
      <c r="X3959">
        <v>0.99881749999999903</v>
      </c>
      <c r="Y3959">
        <v>-4.4045969999999997E-2</v>
      </c>
      <c r="Z3959">
        <v>-8.1307639999999995E-4</v>
      </c>
      <c r="AA3959">
        <v>0.99902919999999995</v>
      </c>
      <c r="AB3959">
        <v>30</v>
      </c>
      <c r="AC3959">
        <v>-17.5597999999999</v>
      </c>
      <c r="AD3959">
        <v>-1.1033706926489999</v>
      </c>
      <c r="AE3959">
        <v>-0.94409999999999095</v>
      </c>
      <c r="AF3959">
        <v>-0.78568202422059297</v>
      </c>
      <c r="AG3959">
        <v>-1.1033706926489999</v>
      </c>
      <c r="AH3959">
        <v>17.498572920525501</v>
      </c>
      <c r="AI3959">
        <v>93.604380976685903</v>
      </c>
      <c r="AJ3959">
        <v>92.570841061773194</v>
      </c>
      <c r="AK3959">
        <v>17.5509195594855</v>
      </c>
    </row>
    <row r="3960" spans="1:37" x14ac:dyDescent="0.2">
      <c r="A3960" t="str">
        <f>"20200111160241643"</f>
        <v>20200111160241643</v>
      </c>
      <c r="B3960" t="str">
        <f>"1578729761636663"</f>
        <v>1578729761636663</v>
      </c>
      <c r="C3960" t="s">
        <v>37</v>
      </c>
      <c r="D3960">
        <v>5.257574</v>
      </c>
      <c r="E3960">
        <v>0.45263930000000002</v>
      </c>
      <c r="F3960" t="s">
        <v>43</v>
      </c>
      <c r="G3960">
        <v>0</v>
      </c>
      <c r="H3960">
        <v>0</v>
      </c>
      <c r="I3960">
        <v>0</v>
      </c>
      <c r="J3960">
        <v>-359.95800000000003</v>
      </c>
      <c r="K3960">
        <v>1.1033919999999999</v>
      </c>
      <c r="L3960">
        <v>137.71780000000001</v>
      </c>
      <c r="M3960">
        <v>-0.99995069999999997</v>
      </c>
      <c r="N3960">
        <v>0</v>
      </c>
      <c r="O3960">
        <v>-9.0451239999999999E-3</v>
      </c>
      <c r="P3960">
        <v>-0.99918839999999998</v>
      </c>
      <c r="Q3960">
        <v>3.2880029999999998E-2</v>
      </c>
      <c r="R3960">
        <v>2.3272270000000001E-2</v>
      </c>
      <c r="S3960">
        <v>-3.0078740000000002</v>
      </c>
      <c r="T3960">
        <v>6.5706490000000006E-2</v>
      </c>
      <c r="U3960">
        <v>-0.32788089999999998</v>
      </c>
      <c r="V3960">
        <v>3.2296899999999899E-2</v>
      </c>
      <c r="W3960">
        <v>3.6992039999999997E-2</v>
      </c>
      <c r="X3960">
        <v>0.9987935</v>
      </c>
      <c r="Y3960">
        <v>-9.9347950000000004E-2</v>
      </c>
      <c r="Z3960">
        <v>8.8482929999999995E-4</v>
      </c>
      <c r="AA3960">
        <v>0.9950523</v>
      </c>
      <c r="AB3960">
        <v>30</v>
      </c>
      <c r="AC3960">
        <v>-3.0078740000000002</v>
      </c>
      <c r="AD3960">
        <v>6.5706490000000006E-2</v>
      </c>
      <c r="AE3960">
        <v>-0.32788089999999998</v>
      </c>
      <c r="AF3960">
        <v>-0.300518942663278</v>
      </c>
      <c r="AG3960">
        <v>6.5706490000000006E-2</v>
      </c>
      <c r="AH3960">
        <v>3.0092975373248301</v>
      </c>
      <c r="AI3960">
        <v>88.755363223147896</v>
      </c>
      <c r="AJ3960">
        <v>95.702848802460494</v>
      </c>
      <c r="AK3960">
        <v>3.0249794455296399</v>
      </c>
    </row>
    <row r="3961" spans="1:37" x14ac:dyDescent="0.2">
      <c r="A3961" t="str">
        <f>"20200111160241665"</f>
        <v>20200111160241665</v>
      </c>
      <c r="B3961" t="str">
        <f>"1578729761656183"</f>
        <v>1578729761656183</v>
      </c>
      <c r="C3961" t="s">
        <v>37</v>
      </c>
      <c r="D3961">
        <v>5.168183</v>
      </c>
      <c r="E3961">
        <v>0.45530299999999901</v>
      </c>
      <c r="F3961" t="s">
        <v>43</v>
      </c>
      <c r="G3961">
        <v>0</v>
      </c>
      <c r="H3961">
        <v>0</v>
      </c>
      <c r="I3961">
        <v>0</v>
      </c>
      <c r="J3961">
        <v>-360.25290000000001</v>
      </c>
      <c r="K3961">
        <v>1.103413</v>
      </c>
      <c r="L3961">
        <v>137.715</v>
      </c>
      <c r="M3961">
        <v>-0.99994799999999995</v>
      </c>
      <c r="N3961">
        <v>0</v>
      </c>
      <c r="O3961">
        <v>-9.2352519999999994E-3</v>
      </c>
      <c r="P3961">
        <v>-0.99917800000000001</v>
      </c>
      <c r="Q3961">
        <v>3.3209870000000002E-2</v>
      </c>
      <c r="R3961">
        <v>2.3249019999999999E-2</v>
      </c>
      <c r="S3961">
        <v>-3.0098880000000001</v>
      </c>
      <c r="T3961">
        <v>-3.3857819999999999E-3</v>
      </c>
      <c r="U3961">
        <v>-0.31643680000000002</v>
      </c>
      <c r="V3961">
        <v>3.2463199999999998E-2</v>
      </c>
      <c r="W3961">
        <v>3.752573E-2</v>
      </c>
      <c r="X3961">
        <v>0.998768199999999</v>
      </c>
      <c r="Y3961">
        <v>-9.5366950000000006E-2</v>
      </c>
      <c r="Z3961" s="1">
        <v>-4.313229E-5</v>
      </c>
      <c r="AA3961">
        <v>0.99544219999999894</v>
      </c>
      <c r="AB3961">
        <v>30</v>
      </c>
      <c r="AC3961">
        <v>-3.0098880000000001</v>
      </c>
      <c r="AD3961">
        <v>-3.3857819999999999E-3</v>
      </c>
      <c r="AE3961">
        <v>-0.31643680000000002</v>
      </c>
      <c r="AF3961">
        <v>-0.288625609624934</v>
      </c>
      <c r="AG3961">
        <v>-3.3857819999999999E-3</v>
      </c>
      <c r="AH3961">
        <v>3.0126782688183602</v>
      </c>
      <c r="AI3961">
        <v>90.064098036716899</v>
      </c>
      <c r="AJ3961">
        <v>95.472443606827596</v>
      </c>
      <c r="AK3961">
        <v>3.0264742783413001</v>
      </c>
    </row>
    <row r="3962" spans="1:37" x14ac:dyDescent="0.2">
      <c r="A3962" t="str">
        <f>"20200111160241687"</f>
        <v>20200111160241687</v>
      </c>
      <c r="B3962" t="str">
        <f>"1578729761676680"</f>
        <v>1578729761676680</v>
      </c>
      <c r="C3962" t="s">
        <v>37</v>
      </c>
      <c r="D3962">
        <v>5.1364339999999897</v>
      </c>
      <c r="E3962">
        <v>0.45717529999999901</v>
      </c>
      <c r="F3962" t="s">
        <v>77</v>
      </c>
      <c r="G3962">
        <v>-407.95690000000002</v>
      </c>
      <c r="H3962" s="1">
        <v>-6.5026089999999998E-6</v>
      </c>
      <c r="I3962">
        <v>132.96019999999999</v>
      </c>
      <c r="J3962">
        <v>-360.5462</v>
      </c>
      <c r="K3962">
        <v>1.1034329999999899</v>
      </c>
      <c r="L3962">
        <v>137.71209999999999</v>
      </c>
      <c r="M3962">
        <v>-0.99994550000000004</v>
      </c>
      <c r="N3962">
        <v>0</v>
      </c>
      <c r="O3962">
        <v>-9.4245519999999992E-3</v>
      </c>
      <c r="P3962">
        <v>-0.99919080000000005</v>
      </c>
      <c r="Q3962">
        <v>3.2934199999999997E-2</v>
      </c>
      <c r="R3962">
        <v>2.3091359999999998E-2</v>
      </c>
      <c r="S3962">
        <v>-3.0117189999999998</v>
      </c>
      <c r="T3962">
        <v>-6.9662689999999999E-2</v>
      </c>
      <c r="U3962">
        <v>-0.30018620000000001</v>
      </c>
      <c r="V3962">
        <v>3.2494719999999998E-2</v>
      </c>
      <c r="W3962">
        <v>3.7448530000000001E-2</v>
      </c>
      <c r="X3962">
        <v>0.99877009999999899</v>
      </c>
      <c r="Y3962">
        <v>-8.9777399999999993E-2</v>
      </c>
      <c r="Z3962">
        <v>-8.1819469999999997E-4</v>
      </c>
      <c r="AA3962">
        <v>0.99596149999999894</v>
      </c>
      <c r="AB3962">
        <v>30</v>
      </c>
      <c r="AC3962">
        <v>-47.410699999999999</v>
      </c>
      <c r="AD3962">
        <v>-1.10343950260899</v>
      </c>
      <c r="AE3962">
        <v>-4.7519</v>
      </c>
      <c r="AF3962">
        <v>-4.3025524042602799</v>
      </c>
      <c r="AG3962">
        <v>-1.10343950260899</v>
      </c>
      <c r="AH3962">
        <v>47.427943988528398</v>
      </c>
      <c r="AI3962">
        <v>91.327331550233893</v>
      </c>
      <c r="AJ3962">
        <v>95.1835508079416</v>
      </c>
      <c r="AK3962">
        <v>47.635484745159403</v>
      </c>
    </row>
    <row r="3963" spans="1:37" x14ac:dyDescent="0.2">
      <c r="A3963" t="str">
        <f>"20200111160241710"</f>
        <v>20200111160241710</v>
      </c>
      <c r="B3963" t="str">
        <f>"1578729761705959"</f>
        <v>1578729761705959</v>
      </c>
      <c r="C3963" t="s">
        <v>37</v>
      </c>
      <c r="D3963">
        <v>5.1896909999999998</v>
      </c>
      <c r="E3963">
        <v>0.45840199999999998</v>
      </c>
      <c r="F3963" t="s">
        <v>38</v>
      </c>
      <c r="G3963">
        <v>-390.54669999999999</v>
      </c>
      <c r="H3963" s="1">
        <v>-4.8853469999999999E-6</v>
      </c>
      <c r="I3963">
        <v>134.83779999999999</v>
      </c>
      <c r="J3963">
        <v>-360.85239999999999</v>
      </c>
      <c r="K3963">
        <v>1.103451</v>
      </c>
      <c r="L3963">
        <v>137.709</v>
      </c>
      <c r="M3963">
        <v>-0.99994259999999902</v>
      </c>
      <c r="N3963">
        <v>0</v>
      </c>
      <c r="O3963">
        <v>-9.6225779999999997E-3</v>
      </c>
      <c r="P3963">
        <v>-0.99921179999999998</v>
      </c>
      <c r="Q3963">
        <v>3.262731E-2</v>
      </c>
      <c r="R3963">
        <v>2.2609420000000002E-2</v>
      </c>
      <c r="S3963">
        <v>-3.0127259999999998</v>
      </c>
      <c r="T3963">
        <v>-0.1108104</v>
      </c>
      <c r="U3963">
        <v>-0.28863529999999998</v>
      </c>
      <c r="V3963">
        <v>3.221073E-2</v>
      </c>
      <c r="W3963">
        <v>3.7341800000000001E-2</v>
      </c>
      <c r="X3963">
        <v>0.99878330000000004</v>
      </c>
      <c r="Y3963">
        <v>-8.5734450000000004E-2</v>
      </c>
      <c r="Z3963">
        <v>-1.2196030000000001E-3</v>
      </c>
      <c r="AA3963">
        <v>0.99631729999999996</v>
      </c>
      <c r="AB3963">
        <v>30</v>
      </c>
      <c r="AC3963">
        <v>-29.694299999999998</v>
      </c>
      <c r="AD3963">
        <v>-1.103455885347</v>
      </c>
      <c r="AE3963">
        <v>-2.8712000000000102</v>
      </c>
      <c r="AF3963">
        <v>-2.5817959849446099</v>
      </c>
      <c r="AG3963">
        <v>-1.103455885347</v>
      </c>
      <c r="AH3963">
        <v>29.679948282423801</v>
      </c>
      <c r="AI3963">
        <v>92.121187428196393</v>
      </c>
      <c r="AJ3963">
        <v>94.971524329072906</v>
      </c>
      <c r="AK3963">
        <v>29.8124573869068</v>
      </c>
    </row>
    <row r="3964" spans="1:37" x14ac:dyDescent="0.2">
      <c r="A3964" t="str">
        <f>"20200111160241733"</f>
        <v>20200111160241733</v>
      </c>
      <c r="B3964" t="str">
        <f>"1578729761726456"</f>
        <v>1578729761726456</v>
      </c>
      <c r="C3964" t="s">
        <v>37</v>
      </c>
      <c r="D3964">
        <v>5.1680710000000003</v>
      </c>
      <c r="E3964">
        <v>0.45915509999999898</v>
      </c>
      <c r="F3964" t="s">
        <v>38</v>
      </c>
      <c r="G3964">
        <v>-383.35390000000001</v>
      </c>
      <c r="H3964" s="1">
        <v>-3.5465440000000002E-6</v>
      </c>
      <c r="I3964">
        <v>135.59620000000001</v>
      </c>
      <c r="J3964">
        <v>-361.16180000000003</v>
      </c>
      <c r="K3964">
        <v>1.103461</v>
      </c>
      <c r="L3964">
        <v>137.70580000000001</v>
      </c>
      <c r="M3964">
        <v>-0.99993989999999999</v>
      </c>
      <c r="N3964">
        <v>0</v>
      </c>
      <c r="O3964">
        <v>-9.8225090000000001E-3</v>
      </c>
      <c r="P3964">
        <v>-0.99922789999999995</v>
      </c>
      <c r="Q3964">
        <v>3.229104E-2</v>
      </c>
      <c r="R3964">
        <v>2.2392519999999999E-2</v>
      </c>
      <c r="S3964">
        <v>-3.0135800000000001</v>
      </c>
      <c r="T3964">
        <v>-0.147784</v>
      </c>
      <c r="U3964">
        <v>-0.28295900000000002</v>
      </c>
      <c r="V3964">
        <v>3.219379E-2</v>
      </c>
      <c r="W3964">
        <v>3.7196949999999999E-2</v>
      </c>
      <c r="X3964">
        <v>0.99878929999999999</v>
      </c>
      <c r="Y3964">
        <v>-8.3611459999999999E-2</v>
      </c>
      <c r="Z3964">
        <v>-1.5641159999999999E-3</v>
      </c>
      <c r="AA3964">
        <v>0.99649719999999997</v>
      </c>
      <c r="AB3964">
        <v>30</v>
      </c>
      <c r="AC3964">
        <v>-22.1920999999999</v>
      </c>
      <c r="AD3964">
        <v>-1.1034645465440001</v>
      </c>
      <c r="AE3964">
        <v>-2.1095999999999999</v>
      </c>
      <c r="AF3964">
        <v>-1.8868901585625999</v>
      </c>
      <c r="AG3964">
        <v>-1.1034645465440001</v>
      </c>
      <c r="AH3964">
        <v>22.157459545584501</v>
      </c>
      <c r="AI3964">
        <v>92.840769036492901</v>
      </c>
      <c r="AJ3964">
        <v>94.867463992744405</v>
      </c>
      <c r="AK3964">
        <v>22.265017448683398</v>
      </c>
    </row>
    <row r="3965" spans="1:37" x14ac:dyDescent="0.2">
      <c r="A3965" t="str">
        <f>"20200111160241754"</f>
        <v>20200111160241754</v>
      </c>
      <c r="B3965" t="str">
        <f>"1578729761745976"</f>
        <v>1578729761745976</v>
      </c>
      <c r="C3965" t="s">
        <v>37</v>
      </c>
      <c r="D3965">
        <v>5.1984190000000003</v>
      </c>
      <c r="E3965">
        <v>0.45970349999999999</v>
      </c>
      <c r="F3965" t="s">
        <v>38</v>
      </c>
      <c r="G3965">
        <v>-381.4633</v>
      </c>
      <c r="H3965" s="1">
        <v>-4.3166250000000004E-6</v>
      </c>
      <c r="I3965">
        <v>135.82730000000001</v>
      </c>
      <c r="J3965">
        <v>-361.45890000000003</v>
      </c>
      <c r="K3965">
        <v>1.1034740000000001</v>
      </c>
      <c r="L3965">
        <v>137.70269999999999</v>
      </c>
      <c r="M3965">
        <v>-0.99993709999999902</v>
      </c>
      <c r="N3965">
        <v>0</v>
      </c>
      <c r="O3965">
        <v>-1.0014179999999999E-2</v>
      </c>
      <c r="P3965">
        <v>-0.99924389999999996</v>
      </c>
      <c r="Q3965">
        <v>3.2031329999999997E-2</v>
      </c>
      <c r="R3965">
        <v>2.2047319999999999E-2</v>
      </c>
      <c r="S3965">
        <v>-3.0138240000000001</v>
      </c>
      <c r="T3965">
        <v>-0.16381389999999901</v>
      </c>
      <c r="U3965">
        <v>-0.2788544</v>
      </c>
      <c r="V3965">
        <v>3.2040190000000003E-2</v>
      </c>
      <c r="W3965">
        <v>3.7110219999999999E-2</v>
      </c>
      <c r="X3965">
        <v>0.99879739999999995</v>
      </c>
      <c r="Y3965">
        <v>-8.2049819999999996E-2</v>
      </c>
      <c r="Z3965">
        <v>-1.6808000000000001E-3</v>
      </c>
      <c r="AA3965">
        <v>0.99662680000000003</v>
      </c>
      <c r="AB3965">
        <v>30</v>
      </c>
      <c r="AC3965">
        <v>-20.004399999999901</v>
      </c>
      <c r="AD3965">
        <v>-1.103478316625</v>
      </c>
      <c r="AE3965">
        <v>-1.87539999999998</v>
      </c>
      <c r="AF3965">
        <v>-1.6699386855160701</v>
      </c>
      <c r="AG3965">
        <v>-1.103478316625</v>
      </c>
      <c r="AH3965">
        <v>19.961966209146599</v>
      </c>
      <c r="AI3965">
        <v>93.153043971945095</v>
      </c>
      <c r="AJ3965">
        <v>94.782002393507696</v>
      </c>
      <c r="AK3965">
        <v>20.062065061796499</v>
      </c>
    </row>
    <row r="3966" spans="1:37" x14ac:dyDescent="0.2">
      <c r="A3966" t="str">
        <f>"20200111160241777"</f>
        <v>20200111160241777</v>
      </c>
      <c r="B3966" t="str">
        <f>"1578729761766472"</f>
        <v>1578729761766472</v>
      </c>
      <c r="C3966" t="s">
        <v>37</v>
      </c>
      <c r="D3966">
        <v>5.2389789999999996</v>
      </c>
      <c r="E3966">
        <v>0.46009339999999999</v>
      </c>
      <c r="F3966" t="s">
        <v>38</v>
      </c>
      <c r="G3966">
        <v>-380.21100000000001</v>
      </c>
      <c r="H3966" s="1">
        <v>-4.8262609999999998E-6</v>
      </c>
      <c r="I3966">
        <v>135.9828</v>
      </c>
      <c r="J3966">
        <v>-361.75990000000002</v>
      </c>
      <c r="K3966">
        <v>1.1034870000000001</v>
      </c>
      <c r="L3966">
        <v>137.6995</v>
      </c>
      <c r="M3966">
        <v>-0.99993430000000005</v>
      </c>
      <c r="N3966">
        <v>0</v>
      </c>
      <c r="O3966">
        <v>-1.0208470000000001E-2</v>
      </c>
      <c r="P3966">
        <v>-0.99925599999999903</v>
      </c>
      <c r="Q3966">
        <v>3.1829950000000003E-2</v>
      </c>
      <c r="R3966">
        <v>2.1790170000000001E-2</v>
      </c>
      <c r="S3966">
        <v>-3.0140689999999899</v>
      </c>
      <c r="T3966">
        <v>-0.17736540000000001</v>
      </c>
      <c r="U3966">
        <v>-0.27642820000000001</v>
      </c>
      <c r="V3966">
        <v>3.197734E-2</v>
      </c>
      <c r="W3966">
        <v>3.707448E-2</v>
      </c>
      <c r="X3966">
        <v>0.99880079999999904</v>
      </c>
      <c r="Y3966">
        <v>-8.1037189999999995E-2</v>
      </c>
      <c r="Z3966">
        <v>-1.7784299999999999E-3</v>
      </c>
      <c r="AA3966">
        <v>0.99670949999999903</v>
      </c>
      <c r="AB3966">
        <v>30</v>
      </c>
      <c r="AC3966">
        <v>-18.4511</v>
      </c>
      <c r="AD3966">
        <v>-1.1034918262610001</v>
      </c>
      <c r="AE3966">
        <v>-1.7166999999999999</v>
      </c>
      <c r="AF3966">
        <v>-1.52285031082717</v>
      </c>
      <c r="AG3966">
        <v>-1.1034918262610001</v>
      </c>
      <c r="AH3966">
        <v>18.4024069569769</v>
      </c>
      <c r="AI3966">
        <v>93.419943749739005</v>
      </c>
      <c r="AJ3966">
        <v>94.730606180318205</v>
      </c>
      <c r="AK3966">
        <v>18.498252595583299</v>
      </c>
    </row>
    <row r="3967" spans="1:37" x14ac:dyDescent="0.2">
      <c r="A3967" t="str">
        <f>"20200111160241799"</f>
        <v>20200111160241799</v>
      </c>
      <c r="B3967" t="str">
        <f>"1578729761796728"</f>
        <v>1578729761796728</v>
      </c>
      <c r="C3967" t="s">
        <v>37</v>
      </c>
      <c r="D3967">
        <v>5.2601940000000003</v>
      </c>
      <c r="E3967">
        <v>0.460704</v>
      </c>
      <c r="F3967" t="s">
        <v>38</v>
      </c>
      <c r="G3967">
        <v>-379.47039999999998</v>
      </c>
      <c r="H3967" s="1">
        <v>-1.10586E-6</v>
      </c>
      <c r="I3967">
        <v>136.08500000000001</v>
      </c>
      <c r="J3967">
        <v>-362.06869999999998</v>
      </c>
      <c r="K3967">
        <v>1.1035029999999999</v>
      </c>
      <c r="L3967">
        <v>137.6961</v>
      </c>
      <c r="M3967">
        <v>-0.99993129999999997</v>
      </c>
      <c r="N3967">
        <v>0</v>
      </c>
      <c r="O3967">
        <v>-1.040777E-2</v>
      </c>
      <c r="P3967">
        <v>-0.99927659999999996</v>
      </c>
      <c r="Q3967">
        <v>3.1416159999999999E-2</v>
      </c>
      <c r="R3967">
        <v>2.1442340000000001E-2</v>
      </c>
      <c r="S3967">
        <v>-3.014221</v>
      </c>
      <c r="T3967">
        <v>-0.1878078</v>
      </c>
      <c r="U3967">
        <v>-0.27476499999999998</v>
      </c>
      <c r="V3967">
        <v>3.1828750000000003E-2</v>
      </c>
      <c r="W3967">
        <v>3.6820499999999999E-2</v>
      </c>
      <c r="X3967">
        <v>0.99881489999999995</v>
      </c>
      <c r="Y3967">
        <v>-8.0275630000000001E-2</v>
      </c>
      <c r="Z3967">
        <v>-1.846861E-3</v>
      </c>
      <c r="AA3967">
        <v>0.99677099999999996</v>
      </c>
      <c r="AB3967">
        <v>30</v>
      </c>
      <c r="AC3967">
        <v>-17.401700000000002</v>
      </c>
      <c r="AD3967">
        <v>-1.1035041058599999</v>
      </c>
      <c r="AE3967">
        <v>-1.61109999999999</v>
      </c>
      <c r="AF3967">
        <v>-1.4242187010831</v>
      </c>
      <c r="AG3967">
        <v>-1.1035041058599999</v>
      </c>
      <c r="AH3967">
        <v>17.3483559184386</v>
      </c>
      <c r="AI3967">
        <v>93.627428691614398</v>
      </c>
      <c r="AJ3967">
        <v>94.693190336908799</v>
      </c>
      <c r="AK3967">
        <v>17.441661999161401</v>
      </c>
    </row>
    <row r="3968" spans="1:37" x14ac:dyDescent="0.2">
      <c r="A3968" t="str">
        <f>"20200111160241826"</f>
        <v>20200111160241826</v>
      </c>
      <c r="B3968" t="str">
        <f>"1578729761816248"</f>
        <v>1578729761816248</v>
      </c>
      <c r="C3968" t="s">
        <v>37</v>
      </c>
      <c r="D3968">
        <v>5.326384</v>
      </c>
      <c r="E3968">
        <v>0.4610979</v>
      </c>
      <c r="F3968" t="s">
        <v>38</v>
      </c>
      <c r="G3968">
        <v>-378.61239999999998</v>
      </c>
      <c r="H3968" s="1">
        <v>-1.3660370000000001E-6</v>
      </c>
      <c r="I3968">
        <v>136.2045</v>
      </c>
      <c r="J3968">
        <v>-362.43630000000002</v>
      </c>
      <c r="K3968">
        <v>1.103513</v>
      </c>
      <c r="L3968">
        <v>137.69210000000001</v>
      </c>
      <c r="M3968">
        <v>-0.99992789999999998</v>
      </c>
      <c r="N3968">
        <v>0</v>
      </c>
      <c r="O3968">
        <v>-1.064503E-2</v>
      </c>
      <c r="P3968">
        <v>-0.99929460000000003</v>
      </c>
      <c r="Q3968">
        <v>3.0934590000000001E-2</v>
      </c>
      <c r="R3968">
        <v>2.130056E-2</v>
      </c>
      <c r="S3968">
        <v>-3.014313</v>
      </c>
      <c r="T3968">
        <v>-0.20106160000000001</v>
      </c>
      <c r="U3968">
        <v>-0.27177429999999902</v>
      </c>
      <c r="V3968">
        <v>3.192416E-2</v>
      </c>
      <c r="W3968">
        <v>3.6514089999999999E-2</v>
      </c>
      <c r="X3968">
        <v>0.99882309999999996</v>
      </c>
      <c r="Y3968">
        <v>-7.9039040000000005E-2</v>
      </c>
      <c r="Z3968">
        <v>-1.9200599999999999E-3</v>
      </c>
      <c r="AA3968">
        <v>0.99686969999999997</v>
      </c>
      <c r="AB3968">
        <v>31</v>
      </c>
      <c r="AC3968">
        <v>-16.176099999999899</v>
      </c>
      <c r="AD3968">
        <v>-1.1035143660369999</v>
      </c>
      <c r="AE3968">
        <v>-1.48760000000001</v>
      </c>
      <c r="AF3968">
        <v>-1.30927596284241</v>
      </c>
      <c r="AG3968">
        <v>-1.1035143660369999</v>
      </c>
      <c r="AH3968">
        <v>16.116644477980302</v>
      </c>
      <c r="AI3968">
        <v>93.904134357055597</v>
      </c>
      <c r="AJ3968">
        <v>94.644367126474094</v>
      </c>
      <c r="AK3968">
        <v>16.207349466601201</v>
      </c>
    </row>
    <row r="3969" spans="1:37" x14ac:dyDescent="0.2">
      <c r="A3969" t="str">
        <f>"20200111160241851"</f>
        <v>20200111160241851</v>
      </c>
      <c r="B3969" t="str">
        <f>"1578729761846503"</f>
        <v>1578729761846503</v>
      </c>
      <c r="C3969" t="s">
        <v>37</v>
      </c>
      <c r="D3969">
        <v>5.2790369999999998</v>
      </c>
      <c r="E3969">
        <v>0.46163650000000001</v>
      </c>
      <c r="F3969" t="s">
        <v>38</v>
      </c>
      <c r="G3969">
        <v>-378.38529999999997</v>
      </c>
      <c r="H3969" s="1">
        <v>-1.426868E-6</v>
      </c>
      <c r="I3969">
        <v>136.2663</v>
      </c>
      <c r="J3969">
        <v>-362.77229999999997</v>
      </c>
      <c r="K3969">
        <v>1.1035250000000001</v>
      </c>
      <c r="L3969">
        <v>137.6883</v>
      </c>
      <c r="M3969">
        <v>-0.999924699999999</v>
      </c>
      <c r="N3969">
        <v>0</v>
      </c>
      <c r="O3969">
        <v>-1.086136E-2</v>
      </c>
      <c r="P3969">
        <v>-0.99931569999999903</v>
      </c>
      <c r="Q3969">
        <v>3.0577670000000001E-2</v>
      </c>
      <c r="R3969">
        <v>2.0817240000000001E-2</v>
      </c>
      <c r="S3969">
        <v>-3.0142820000000001</v>
      </c>
      <c r="T3969">
        <v>-0.2085592</v>
      </c>
      <c r="U3969">
        <v>-0.269455</v>
      </c>
      <c r="V3969">
        <v>3.1657280000000003E-2</v>
      </c>
      <c r="W3969">
        <v>3.6302050000000002E-2</v>
      </c>
      <c r="X3969">
        <v>0.99883929999999999</v>
      </c>
      <c r="Y3969">
        <v>-7.8054719999999994E-2</v>
      </c>
      <c r="Z3969">
        <v>-1.942718E-3</v>
      </c>
      <c r="AA3969">
        <v>0.99694719999999903</v>
      </c>
      <c r="AB3969">
        <v>31</v>
      </c>
      <c r="AC3969">
        <v>-15.613</v>
      </c>
      <c r="AD3969">
        <v>-1.1035264268680001</v>
      </c>
      <c r="AE3969">
        <v>-1.4219999999999899</v>
      </c>
      <c r="AF3969">
        <v>-1.2461607609161001</v>
      </c>
      <c r="AG3969">
        <v>-1.1035264268680001</v>
      </c>
      <c r="AH3969">
        <v>15.5504783502516</v>
      </c>
      <c r="AI3969">
        <v>94.046213384748</v>
      </c>
      <c r="AJ3969">
        <v>94.581691774523307</v>
      </c>
      <c r="AK3969">
        <v>15.639311498224201</v>
      </c>
    </row>
    <row r="3970" spans="1:37" x14ac:dyDescent="0.2">
      <c r="A3970" t="str">
        <f>"20200111160241867"</f>
        <v>20200111160241867</v>
      </c>
      <c r="B3970" t="str">
        <f>"1578729761856773"</f>
        <v>1578729761856773</v>
      </c>
      <c r="C3970" t="s">
        <v>37</v>
      </c>
      <c r="D3970">
        <v>5.1236309999999996</v>
      </c>
      <c r="E3970">
        <v>0.46162359999999902</v>
      </c>
      <c r="F3970" t="s">
        <v>38</v>
      </c>
      <c r="G3970">
        <v>-378.1653</v>
      </c>
      <c r="H3970" s="1">
        <v>-1.4861799999999999E-6</v>
      </c>
      <c r="I3970">
        <v>136.32480000000001</v>
      </c>
      <c r="J3970">
        <v>-363.01199999999898</v>
      </c>
      <c r="K3970">
        <v>1.103534</v>
      </c>
      <c r="L3970">
        <v>137.68549999999999</v>
      </c>
      <c r="M3970">
        <v>-0.99992250000000005</v>
      </c>
      <c r="N3970">
        <v>0</v>
      </c>
      <c r="O3970">
        <v>-1.1015779999999999E-2</v>
      </c>
      <c r="P3970">
        <v>-0.99931709999999996</v>
      </c>
      <c r="Q3970">
        <v>3.082503E-2</v>
      </c>
      <c r="R3970">
        <v>2.0371110000000001E-2</v>
      </c>
      <c r="S3970">
        <v>-3.0141909999999998</v>
      </c>
      <c r="T3970">
        <v>-0.21608840000000001</v>
      </c>
      <c r="U3970">
        <v>-0.26696779999999998</v>
      </c>
      <c r="V3970">
        <v>3.1365079999999997E-2</v>
      </c>
      <c r="W3970">
        <v>3.6644179999999998E-2</v>
      </c>
      <c r="X3970">
        <v>0.99883599999999995</v>
      </c>
      <c r="Y3970">
        <v>-7.7078369999999993E-2</v>
      </c>
      <c r="Z3970">
        <v>-1.9668929999999999E-3</v>
      </c>
      <c r="AA3970">
        <v>0.99702309999999905</v>
      </c>
      <c r="AB3970">
        <v>31</v>
      </c>
      <c r="AC3970">
        <v>-15.1533</v>
      </c>
      <c r="AD3970">
        <v>-1.10353548617999</v>
      </c>
      <c r="AE3970">
        <v>-1.36069999999998</v>
      </c>
      <c r="AF3970">
        <v>-1.18744204613098</v>
      </c>
      <c r="AG3970">
        <v>-1.10353548617999</v>
      </c>
      <c r="AH3970">
        <v>15.0879916544339</v>
      </c>
      <c r="AI3970">
        <v>94.170314311237604</v>
      </c>
      <c r="AJ3970">
        <v>94.499967355729297</v>
      </c>
      <c r="AK3970">
        <v>15.1748245903023</v>
      </c>
    </row>
    <row r="3971" spans="1:37" x14ac:dyDescent="0.2">
      <c r="A3971" t="str">
        <f>"20200111160241892"</f>
        <v>20200111160241892</v>
      </c>
      <c r="B3971" t="str">
        <f>"1578729761886055"</f>
        <v>1578729761886055</v>
      </c>
      <c r="C3971" t="s">
        <v>37</v>
      </c>
      <c r="D3971">
        <v>5.2290289999999997</v>
      </c>
      <c r="E3971">
        <v>0.46197589999999999</v>
      </c>
      <c r="F3971" t="s">
        <v>38</v>
      </c>
      <c r="G3971">
        <v>-378.6635</v>
      </c>
      <c r="H3971" s="1">
        <v>-1.3252709999999899E-6</v>
      </c>
      <c r="I3971">
        <v>136.29239999999999</v>
      </c>
      <c r="J3971">
        <v>-363.34339999999997</v>
      </c>
      <c r="K3971">
        <v>1.103545</v>
      </c>
      <c r="L3971">
        <v>137.6816</v>
      </c>
      <c r="M3971">
        <v>-0.99991939999999901</v>
      </c>
      <c r="N3971">
        <v>0</v>
      </c>
      <c r="O3971">
        <v>-1.122919E-2</v>
      </c>
      <c r="P3971">
        <v>-0.99932119999999902</v>
      </c>
      <c r="Q3971">
        <v>3.0695480000000001E-2</v>
      </c>
      <c r="R3971">
        <v>2.0365270000000001E-2</v>
      </c>
      <c r="S3971">
        <v>-3.0140689999999899</v>
      </c>
      <c r="T3971">
        <v>-0.21251289999999901</v>
      </c>
      <c r="U3971">
        <v>-0.26826479999999903</v>
      </c>
      <c r="V3971">
        <v>3.1572610000000001E-2</v>
      </c>
      <c r="W3971">
        <v>3.6636080000000001E-2</v>
      </c>
      <c r="X3971">
        <v>0.99882979999999999</v>
      </c>
      <c r="Y3971">
        <v>-7.7300279999999999E-2</v>
      </c>
      <c r="Z3971">
        <v>-1.927273E-3</v>
      </c>
      <c r="AA3971">
        <v>0.99700599999999995</v>
      </c>
      <c r="AB3971">
        <v>31</v>
      </c>
      <c r="AC3971">
        <v>-15.3201</v>
      </c>
      <c r="AD3971">
        <v>-1.1035463252710001</v>
      </c>
      <c r="AE3971">
        <v>-1.38920000000001</v>
      </c>
      <c r="AF3971">
        <v>-1.2108456088599799</v>
      </c>
      <c r="AG3971">
        <v>-1.1035463252710001</v>
      </c>
      <c r="AH3971">
        <v>15.2562196621837</v>
      </c>
      <c r="AI3971">
        <v>94.124313769885305</v>
      </c>
      <c r="AJ3971">
        <v>94.537901355647506</v>
      </c>
      <c r="AK3971">
        <v>15.3439303948277</v>
      </c>
    </row>
    <row r="3972" spans="1:37" x14ac:dyDescent="0.2">
      <c r="A3972" t="str">
        <f>"20200111160241911"</f>
        <v>20200111160241911</v>
      </c>
      <c r="B3972" t="str">
        <f>"1578729761906550"</f>
        <v>1578729761906550</v>
      </c>
      <c r="C3972" t="s">
        <v>37</v>
      </c>
      <c r="D3972">
        <v>5.306743</v>
      </c>
      <c r="E3972">
        <v>0.4622214</v>
      </c>
      <c r="F3972" t="s">
        <v>38</v>
      </c>
      <c r="G3972">
        <v>-378.58980000000003</v>
      </c>
      <c r="H3972" s="1">
        <v>-1.338684E-6</v>
      </c>
      <c r="I3972">
        <v>136.33629999999999</v>
      </c>
      <c r="J3972">
        <v>-363.6123</v>
      </c>
      <c r="K3972">
        <v>1.1035489999999999</v>
      </c>
      <c r="L3972">
        <v>137.67850000000001</v>
      </c>
      <c r="M3972">
        <v>-0.9999169</v>
      </c>
      <c r="N3972">
        <v>0</v>
      </c>
      <c r="O3972">
        <v>-1.140246E-2</v>
      </c>
      <c r="P3972">
        <v>-0.99934020000000001</v>
      </c>
      <c r="Q3972">
        <v>3.01734E-2</v>
      </c>
      <c r="R3972">
        <v>2.0227459999999999E-2</v>
      </c>
      <c r="S3972">
        <v>-3.01416</v>
      </c>
      <c r="T3972">
        <v>-0.21816830000000001</v>
      </c>
      <c r="U3972">
        <v>-0.26596069999999999</v>
      </c>
      <c r="V3972">
        <v>3.1608320000000002E-2</v>
      </c>
      <c r="W3972">
        <v>3.6206740000000001E-2</v>
      </c>
      <c r="X3972">
        <v>0.99884430000000002</v>
      </c>
      <c r="Y3972">
        <v>-7.6362739999999998E-2</v>
      </c>
      <c r="Z3972">
        <v>-1.9321189999999999E-3</v>
      </c>
      <c r="AA3972">
        <v>0.99707819999999903</v>
      </c>
      <c r="AB3972">
        <v>31</v>
      </c>
      <c r="AC3972">
        <v>-14.977499999999999</v>
      </c>
      <c r="AD3972">
        <v>-1.103550338684</v>
      </c>
      <c r="AE3972">
        <v>-1.3422000000000101</v>
      </c>
      <c r="AF3972">
        <v>-1.1650548193266701</v>
      </c>
      <c r="AG3972">
        <v>-1.103550338684</v>
      </c>
      <c r="AH3972">
        <v>14.911523843701101</v>
      </c>
      <c r="AI3972">
        <v>94.219733301365594</v>
      </c>
      <c r="AJ3972">
        <v>94.467510488625294</v>
      </c>
      <c r="AK3972">
        <v>14.997623792565101</v>
      </c>
    </row>
    <row r="3973" spans="1:37" x14ac:dyDescent="0.2">
      <c r="A3973" t="str">
        <f>"20200111160241934"</f>
        <v>20200111160241934</v>
      </c>
      <c r="B3973" t="str">
        <f>"1578729761926070"</f>
        <v>1578729761926070</v>
      </c>
      <c r="C3973" t="s">
        <v>37</v>
      </c>
      <c r="D3973">
        <v>5.2637809999999998</v>
      </c>
      <c r="E3973">
        <v>0.46243809999999902</v>
      </c>
      <c r="F3973" t="s">
        <v>38</v>
      </c>
      <c r="G3973">
        <v>-378.60849999999999</v>
      </c>
      <c r="H3973" s="1">
        <v>-1.32526E-6</v>
      </c>
      <c r="I3973">
        <v>136.36279999999999</v>
      </c>
      <c r="J3973">
        <v>-363.94240000000002</v>
      </c>
      <c r="K3973">
        <v>1.1035600000000001</v>
      </c>
      <c r="L3973">
        <v>137.67449999999999</v>
      </c>
      <c r="M3973">
        <v>-0.99991379999999996</v>
      </c>
      <c r="N3973">
        <v>0</v>
      </c>
      <c r="O3973">
        <v>-1.161476E-2</v>
      </c>
      <c r="P3973">
        <v>-0.99935039999999997</v>
      </c>
      <c r="Q3973">
        <v>2.9707299999999999E-2</v>
      </c>
      <c r="R3973">
        <v>2.0400970000000001E-2</v>
      </c>
      <c r="S3973">
        <v>-3.0140380000000002</v>
      </c>
      <c r="T3973">
        <v>-0.22180059999999999</v>
      </c>
      <c r="U3973">
        <v>-0.26441959999999998</v>
      </c>
      <c r="V3973">
        <v>3.1993870000000001E-2</v>
      </c>
      <c r="W3973">
        <v>3.5848869999999998E-2</v>
      </c>
      <c r="X3973">
        <v>0.99884499999999998</v>
      </c>
      <c r="Y3973">
        <v>-7.5645450000000003E-2</v>
      </c>
      <c r="Z3973">
        <v>-1.92244799999999E-3</v>
      </c>
      <c r="AA3973">
        <v>0.99713289999999999</v>
      </c>
      <c r="AB3973">
        <v>31</v>
      </c>
      <c r="AC3973">
        <v>-14.666099999999901</v>
      </c>
      <c r="AD3973">
        <v>-1.1035613252600001</v>
      </c>
      <c r="AE3973">
        <v>-1.3117000000000001</v>
      </c>
      <c r="AF3973">
        <v>-1.1348904266326501</v>
      </c>
      <c r="AG3973">
        <v>-1.1035613252600001</v>
      </c>
      <c r="AH3973">
        <v>14.598347300521</v>
      </c>
      <c r="AI3973">
        <v>94.310093698754002</v>
      </c>
      <c r="AJ3973">
        <v>94.445291509407099</v>
      </c>
      <c r="AK3973">
        <v>14.6839220845693</v>
      </c>
    </row>
    <row r="3974" spans="1:37" x14ac:dyDescent="0.2">
      <c r="A3974" t="str">
        <f>"20200111160241955"</f>
        <v>20200111160241955</v>
      </c>
      <c r="B3974" t="str">
        <f>"1578729761946566"</f>
        <v>1578729761946566</v>
      </c>
      <c r="C3974" t="s">
        <v>37</v>
      </c>
      <c r="D3974">
        <v>5.2558259999999999</v>
      </c>
      <c r="E3974">
        <v>0.46254859999999998</v>
      </c>
      <c r="F3974" t="s">
        <v>38</v>
      </c>
      <c r="G3974">
        <v>-378.67020000000002</v>
      </c>
      <c r="H3974" s="1">
        <v>-1.2965579999999999E-6</v>
      </c>
      <c r="I3974">
        <v>136.39169999999999</v>
      </c>
      <c r="J3974">
        <v>-364.22829999999999</v>
      </c>
      <c r="K3974">
        <v>1.103566</v>
      </c>
      <c r="L3974">
        <v>137.67099999999999</v>
      </c>
      <c r="M3974">
        <v>-0.99991099999999999</v>
      </c>
      <c r="N3974">
        <v>0</v>
      </c>
      <c r="O3974">
        <v>-1.179852E-2</v>
      </c>
      <c r="P3974">
        <v>-0.99935680000000005</v>
      </c>
      <c r="Q3974">
        <v>2.9414639999999999E-2</v>
      </c>
      <c r="R3974">
        <v>2.05153E-2</v>
      </c>
      <c r="S3974">
        <v>-3.014008</v>
      </c>
      <c r="T3974">
        <v>-0.22584129999999999</v>
      </c>
      <c r="U3974">
        <v>-0.26249689999999998</v>
      </c>
      <c r="V3974">
        <v>3.2291979999999998E-2</v>
      </c>
      <c r="W3974">
        <v>3.5644439999999999E-2</v>
      </c>
      <c r="X3974">
        <v>0.99884269999999997</v>
      </c>
      <c r="Y3974">
        <v>-7.4828279999999997E-2</v>
      </c>
      <c r="Z3974">
        <v>-1.9132120000000001E-3</v>
      </c>
      <c r="AA3974">
        <v>0.99719460000000004</v>
      </c>
      <c r="AB3974">
        <v>31</v>
      </c>
      <c r="AC3974">
        <v>-14.4419</v>
      </c>
      <c r="AD3974">
        <v>-1.1035672965579999</v>
      </c>
      <c r="AE3974">
        <v>-1.2793000000000001</v>
      </c>
      <c r="AF3974">
        <v>-1.1024274893429999</v>
      </c>
      <c r="AG3974">
        <v>-1.1035672965579999</v>
      </c>
      <c r="AH3974">
        <v>14.372717958533499</v>
      </c>
      <c r="AI3974">
        <v>94.377865633399907</v>
      </c>
      <c r="AJ3974">
        <v>94.386157568073301</v>
      </c>
      <c r="AK3974">
        <v>14.4571168862551</v>
      </c>
    </row>
    <row r="3975" spans="1:37" x14ac:dyDescent="0.2">
      <c r="A3975" t="str">
        <f>"20200111160241978"</f>
        <v>20200111160241978</v>
      </c>
      <c r="B3975" t="str">
        <f>"1578729761966594"</f>
        <v>1578729761966594</v>
      </c>
      <c r="C3975" t="s">
        <v>37</v>
      </c>
      <c r="D3975">
        <v>5.1690899999999997</v>
      </c>
      <c r="E3975">
        <v>0.46265410000000001</v>
      </c>
      <c r="F3975" t="s">
        <v>38</v>
      </c>
      <c r="G3975">
        <v>-379.03480000000002</v>
      </c>
      <c r="H3975" s="1">
        <v>-1.173222E-6</v>
      </c>
      <c r="I3975">
        <v>136.38890000000001</v>
      </c>
      <c r="J3975">
        <v>-364.541</v>
      </c>
      <c r="K3975">
        <v>1.103572</v>
      </c>
      <c r="L3975">
        <v>137.6671</v>
      </c>
      <c r="M3975">
        <v>-0.99990809999999997</v>
      </c>
      <c r="N3975">
        <v>0</v>
      </c>
      <c r="O3975">
        <v>-1.199921E-2</v>
      </c>
      <c r="P3975">
        <v>-0.99936759999999902</v>
      </c>
      <c r="Q3975">
        <v>2.9227650000000001E-2</v>
      </c>
      <c r="R3975">
        <v>2.0258620000000001E-2</v>
      </c>
      <c r="S3975">
        <v>-3.013855</v>
      </c>
      <c r="T3975">
        <v>-0.224632</v>
      </c>
      <c r="U3975">
        <v>-0.26094060000000002</v>
      </c>
      <c r="V3975">
        <v>3.2236000000000001E-2</v>
      </c>
      <c r="W3975">
        <v>3.5548650000000001E-2</v>
      </c>
      <c r="X3975">
        <v>0.99884789999999901</v>
      </c>
      <c r="Y3975">
        <v>-7.4125709999999997E-2</v>
      </c>
      <c r="Z3975">
        <v>-1.86212799999999E-3</v>
      </c>
      <c r="AA3975">
        <v>0.9972472</v>
      </c>
      <c r="AB3975">
        <v>31</v>
      </c>
      <c r="AC3975">
        <v>-14.4938</v>
      </c>
      <c r="AD3975">
        <v>-1.103573173222</v>
      </c>
      <c r="AE3975">
        <v>-1.27819999999999</v>
      </c>
      <c r="AF3975">
        <v>-1.0978745992210699</v>
      </c>
      <c r="AG3975">
        <v>-1.103573173222</v>
      </c>
      <c r="AH3975">
        <v>14.4251105970613</v>
      </c>
      <c r="AI3975">
        <v>94.362245787928103</v>
      </c>
      <c r="AJ3975">
        <v>94.352309418072494</v>
      </c>
      <c r="AK3975">
        <v>14.508859986977599</v>
      </c>
    </row>
    <row r="3976" spans="1:37" x14ac:dyDescent="0.2">
      <c r="A3976" t="str">
        <f>"20200111160242000"</f>
        <v>20200111160242000</v>
      </c>
      <c r="B3976" t="str">
        <f>"1578729761996850"</f>
        <v>1578729761996850</v>
      </c>
      <c r="C3976" t="s">
        <v>37</v>
      </c>
      <c r="D3976">
        <v>5.2557159999999996</v>
      </c>
      <c r="E3976">
        <v>0.46292179999999999</v>
      </c>
      <c r="F3976" t="s">
        <v>38</v>
      </c>
      <c r="G3976">
        <v>-379.17290000000003</v>
      </c>
      <c r="H3976" s="1">
        <v>-1.123457E-6</v>
      </c>
      <c r="I3976">
        <v>136.39940000000001</v>
      </c>
      <c r="J3976">
        <v>-364.85509999999999</v>
      </c>
      <c r="K3976">
        <v>1.103583</v>
      </c>
      <c r="L3976">
        <v>137.66309999999999</v>
      </c>
      <c r="M3976">
        <v>-0.99990499999999904</v>
      </c>
      <c r="N3976">
        <v>0</v>
      </c>
      <c r="O3976">
        <v>-1.220074E-2</v>
      </c>
      <c r="P3976">
        <v>-0.99938379999999905</v>
      </c>
      <c r="Q3976">
        <v>2.8923850000000001E-2</v>
      </c>
      <c r="R3976">
        <v>1.988506E-2</v>
      </c>
      <c r="S3976">
        <v>-3.013855</v>
      </c>
      <c r="T3976">
        <v>-0.2273126</v>
      </c>
      <c r="U3976">
        <v>-0.26110839999999902</v>
      </c>
      <c r="V3976">
        <v>3.2063840000000003E-2</v>
      </c>
      <c r="W3976">
        <v>3.5335159999999997E-2</v>
      </c>
      <c r="X3976">
        <v>0.998861</v>
      </c>
      <c r="Y3976">
        <v>-7.3976730000000004E-2</v>
      </c>
      <c r="Z3976">
        <v>-1.8635379999999899E-3</v>
      </c>
      <c r="AA3976">
        <v>0.99725819999999998</v>
      </c>
      <c r="AB3976">
        <v>31</v>
      </c>
      <c r="AC3976">
        <v>-14.3178</v>
      </c>
      <c r="AD3976">
        <v>-1.1035841234570001</v>
      </c>
      <c r="AE3976">
        <v>-1.2636999999999701</v>
      </c>
      <c r="AF3976">
        <v>-1.08253299106179</v>
      </c>
      <c r="AG3976">
        <v>-1.1035841234570001</v>
      </c>
      <c r="AH3976">
        <v>14.248158888320299</v>
      </c>
      <c r="AI3976">
        <v>94.416296070392505</v>
      </c>
      <c r="AJ3976">
        <v>94.344816609005605</v>
      </c>
      <c r="AK3976">
        <v>14.331776139094</v>
      </c>
    </row>
    <row r="3977" spans="1:37" x14ac:dyDescent="0.2">
      <c r="A3977" t="str">
        <f>"20200111160242024"</f>
        <v>20200111160242024</v>
      </c>
      <c r="B3977" t="str">
        <f>"1578729762016370"</f>
        <v>1578729762016370</v>
      </c>
      <c r="C3977" t="s">
        <v>37</v>
      </c>
      <c r="D3977">
        <v>5.2285069999999996</v>
      </c>
      <c r="E3977">
        <v>0.4629279</v>
      </c>
      <c r="F3977" t="s">
        <v>38</v>
      </c>
      <c r="G3977">
        <v>-379.23390000000001</v>
      </c>
      <c r="H3977" s="1">
        <v>-1.0967100000000001E-6</v>
      </c>
      <c r="I3977">
        <v>136.42179999999999</v>
      </c>
      <c r="J3977">
        <v>-365.18950000000001</v>
      </c>
      <c r="K3977">
        <v>1.103596</v>
      </c>
      <c r="L3977">
        <v>137.65880000000001</v>
      </c>
      <c r="M3977">
        <v>-0.99990179999999995</v>
      </c>
      <c r="N3977">
        <v>0</v>
      </c>
      <c r="O3977">
        <v>-1.2414939999999999E-2</v>
      </c>
      <c r="P3977">
        <v>-0.99938479999999996</v>
      </c>
      <c r="Q3977">
        <v>2.925266E-2</v>
      </c>
      <c r="R3977">
        <v>1.934727E-2</v>
      </c>
      <c r="S3977">
        <v>-3.0137330000000002</v>
      </c>
      <c r="T3977">
        <v>-0.23130700000000001</v>
      </c>
      <c r="U3977">
        <v>-0.26014710000000002</v>
      </c>
      <c r="V3977">
        <v>3.1739940000000001E-2</v>
      </c>
      <c r="W3977">
        <v>3.5761189999999998E-2</v>
      </c>
      <c r="X3977">
        <v>0.99885619999999997</v>
      </c>
      <c r="Y3977">
        <v>-7.3446800000000007E-2</v>
      </c>
      <c r="Z3977">
        <v>-1.8596419999999999E-3</v>
      </c>
      <c r="AA3977">
        <v>0.9972974</v>
      </c>
      <c r="AB3977">
        <v>31</v>
      </c>
      <c r="AC3977">
        <v>-14.0443999999999</v>
      </c>
      <c r="AD3977">
        <v>-1.1035970967099999</v>
      </c>
      <c r="AE3977">
        <v>-1.2370000000000201</v>
      </c>
      <c r="AF3977">
        <v>-1.0560698949298599</v>
      </c>
      <c r="AG3977">
        <v>-1.1035970967099999</v>
      </c>
      <c r="AH3977">
        <v>13.9730601297814</v>
      </c>
      <c r="AI3977">
        <v>94.503076273439902</v>
      </c>
      <c r="AJ3977">
        <v>94.322140527885793</v>
      </c>
      <c r="AK3977">
        <v>14.0563017741271</v>
      </c>
    </row>
    <row r="3978" spans="1:37" x14ac:dyDescent="0.2">
      <c r="A3978" t="str">
        <f>"20200111160242044"</f>
        <v>20200111160242044</v>
      </c>
      <c r="B3978" t="str">
        <f>"1578729762035890"</f>
        <v>1578729762035890</v>
      </c>
      <c r="C3978" t="s">
        <v>37</v>
      </c>
      <c r="D3978">
        <v>5.1874500000000001</v>
      </c>
      <c r="E3978">
        <v>0.46305239999999998</v>
      </c>
      <c r="F3978" t="s">
        <v>38</v>
      </c>
      <c r="G3978">
        <v>-379.86450000000002</v>
      </c>
      <c r="H3978" s="1">
        <v>-8.9190200000000004E-7</v>
      </c>
      <c r="I3978">
        <v>136.38509999999999</v>
      </c>
      <c r="J3978">
        <v>-365.48500000000001</v>
      </c>
      <c r="K3978">
        <v>1.103604</v>
      </c>
      <c r="L3978">
        <v>137.655</v>
      </c>
      <c r="M3978">
        <v>-0.99989889999999904</v>
      </c>
      <c r="N3978">
        <v>0</v>
      </c>
      <c r="O3978">
        <v>-1.260445E-2</v>
      </c>
      <c r="P3978">
        <v>-0.99941080000000004</v>
      </c>
      <c r="Q3978">
        <v>2.857119E-2</v>
      </c>
      <c r="R3978">
        <v>1.9022029999999999E-2</v>
      </c>
      <c r="S3978">
        <v>-3.01355</v>
      </c>
      <c r="T3978">
        <v>-0.2266271</v>
      </c>
      <c r="U3978">
        <v>-0.26155089999999998</v>
      </c>
      <c r="V3978">
        <v>3.1604640000000003E-2</v>
      </c>
      <c r="W3978">
        <v>3.5172189999999999E-2</v>
      </c>
      <c r="X3978">
        <v>0.99888140000000003</v>
      </c>
      <c r="Y3978">
        <v>-7.3730920000000005E-2</v>
      </c>
      <c r="Z3978">
        <v>-1.818645E-3</v>
      </c>
      <c r="AA3978">
        <v>0.99727649999999901</v>
      </c>
      <c r="AB3978">
        <v>31</v>
      </c>
      <c r="AC3978">
        <v>-14.3795</v>
      </c>
      <c r="AD3978">
        <v>-1.1036048919020001</v>
      </c>
      <c r="AE3978">
        <v>-1.2699</v>
      </c>
      <c r="AF3978">
        <v>-1.08222417584161</v>
      </c>
      <c r="AG3978">
        <v>-1.1036048919020001</v>
      </c>
      <c r="AH3978">
        <v>14.310721857284401</v>
      </c>
      <c r="AI3978">
        <v>94.397264181163195</v>
      </c>
      <c r="AJ3978">
        <v>94.324665025261694</v>
      </c>
      <c r="AK3978">
        <v>14.3939540433046</v>
      </c>
    </row>
    <row r="3979" spans="1:37" x14ac:dyDescent="0.2">
      <c r="A3979" t="str">
        <f>"20200111160242068"</f>
        <v>20200111160242068</v>
      </c>
      <c r="B3979" t="str">
        <f>"1578729762055919"</f>
        <v>1578729762055919</v>
      </c>
      <c r="C3979" t="s">
        <v>37</v>
      </c>
      <c r="D3979">
        <v>5.1892329999999998</v>
      </c>
      <c r="E3979">
        <v>0.46318909999999902</v>
      </c>
      <c r="F3979" t="s">
        <v>38</v>
      </c>
      <c r="G3979">
        <v>-380.31310000000002</v>
      </c>
      <c r="H3979" s="1">
        <v>-4.7140890000000002E-6</v>
      </c>
      <c r="I3979">
        <v>136.3682</v>
      </c>
      <c r="J3979">
        <v>-365.82040000000001</v>
      </c>
      <c r="K3979">
        <v>1.103613</v>
      </c>
      <c r="L3979">
        <v>137.65049999999999</v>
      </c>
      <c r="M3979">
        <v>-0.99989550000000005</v>
      </c>
      <c r="N3979">
        <v>0</v>
      </c>
      <c r="O3979">
        <v>-1.2819789999999999E-2</v>
      </c>
      <c r="P3979">
        <v>-0.99943510000000002</v>
      </c>
      <c r="Q3979">
        <v>2.7607690000000001E-2</v>
      </c>
      <c r="R3979">
        <v>1.9174819999999999E-2</v>
      </c>
      <c r="S3979">
        <v>-3.0131839999999999</v>
      </c>
      <c r="T3979">
        <v>-0.22426299999999999</v>
      </c>
      <c r="U3979">
        <v>-0.26145940000000001</v>
      </c>
      <c r="V3979">
        <v>3.1972960000000002E-2</v>
      </c>
      <c r="W3979">
        <v>3.4323930000000002E-2</v>
      </c>
      <c r="X3979">
        <v>0.99889919999999999</v>
      </c>
      <c r="Y3979">
        <v>-7.3501239999999995E-2</v>
      </c>
      <c r="Z3979">
        <v>-1.775455E-3</v>
      </c>
      <c r="AA3979">
        <v>0.99729349999999894</v>
      </c>
      <c r="AB3979">
        <v>32</v>
      </c>
      <c r="AC3979">
        <v>-14.492699999999999</v>
      </c>
      <c r="AD3979">
        <v>-1.103617714089</v>
      </c>
      <c r="AE3979">
        <v>-1.28229999999999</v>
      </c>
      <c r="AF3979">
        <v>-1.09012478103656</v>
      </c>
      <c r="AG3979">
        <v>-1.103617714089</v>
      </c>
      <c r="AH3979">
        <v>14.424950400638201</v>
      </c>
      <c r="AI3979">
        <v>94.362645208932193</v>
      </c>
      <c r="AJ3979">
        <v>94.321751397553001</v>
      </c>
      <c r="AK3979">
        <v>14.5081197319967</v>
      </c>
    </row>
    <row r="3980" spans="1:37" x14ac:dyDescent="0.2">
      <c r="A3980" t="str">
        <f>"20200111160242093"</f>
        <v>20200111160242093</v>
      </c>
      <c r="B3980" t="str">
        <f>"1578729762086172"</f>
        <v>1578729762086172</v>
      </c>
      <c r="C3980" t="s">
        <v>37</v>
      </c>
      <c r="D3980">
        <v>5.1716839999999999</v>
      </c>
      <c r="E3980">
        <v>0.46333180000000002</v>
      </c>
      <c r="F3980" t="s">
        <v>38</v>
      </c>
      <c r="G3980">
        <v>-380.48649999999998</v>
      </c>
      <c r="H3980" s="1">
        <v>-4.6366230000000002E-6</v>
      </c>
      <c r="I3980">
        <v>136.38560000000001</v>
      </c>
      <c r="J3980">
        <v>-366.16469999999998</v>
      </c>
      <c r="K3980">
        <v>1.103634</v>
      </c>
      <c r="L3980">
        <v>137.64590000000001</v>
      </c>
      <c r="M3980">
        <v>-0.99989150000000004</v>
      </c>
      <c r="N3980">
        <v>0</v>
      </c>
      <c r="O3980">
        <v>-1.3040009999999999E-2</v>
      </c>
      <c r="P3980">
        <v>-0.99944619999999995</v>
      </c>
      <c r="Q3980">
        <v>2.7344159999999999E-2</v>
      </c>
      <c r="R3980">
        <v>1.8965639999999999E-2</v>
      </c>
      <c r="S3980">
        <v>-3.0129389999999998</v>
      </c>
      <c r="T3980">
        <v>-0.2267236</v>
      </c>
      <c r="U3980">
        <v>-0.25985720000000001</v>
      </c>
      <c r="V3980">
        <v>3.1984070000000003E-2</v>
      </c>
      <c r="W3980">
        <v>3.4203360000000002E-2</v>
      </c>
      <c r="X3980">
        <v>0.99890299999999999</v>
      </c>
      <c r="Y3980">
        <v>-7.2761129999999993E-2</v>
      </c>
      <c r="Z3980">
        <v>-1.750796E-3</v>
      </c>
      <c r="AA3980">
        <v>0.99734780000000001</v>
      </c>
      <c r="AB3980">
        <v>32</v>
      </c>
      <c r="AC3980">
        <v>-14.3217999999999</v>
      </c>
      <c r="AD3980">
        <v>-1.103638636623</v>
      </c>
      <c r="AE3980">
        <v>-1.2603</v>
      </c>
      <c r="AF3980">
        <v>-1.0671437663513601</v>
      </c>
      <c r="AG3980">
        <v>-1.103638636623</v>
      </c>
      <c r="AH3980">
        <v>14.2530292588284</v>
      </c>
      <c r="AI3980">
        <v>94.415374841700995</v>
      </c>
      <c r="AJ3980">
        <v>94.281824283074201</v>
      </c>
      <c r="AK3980">
        <v>14.3354684998897</v>
      </c>
    </row>
    <row r="3981" spans="1:37" x14ac:dyDescent="0.2">
      <c r="A3981" t="str">
        <f>"20200111160242113"</f>
        <v>20200111160242113</v>
      </c>
      <c r="B3981" t="str">
        <f>"1578729762106669"</f>
        <v>1578729762106669</v>
      </c>
      <c r="C3981" t="s">
        <v>37</v>
      </c>
      <c r="D3981">
        <v>5.2956490000000001</v>
      </c>
      <c r="E3981">
        <v>0.4633429</v>
      </c>
      <c r="F3981" t="s">
        <v>38</v>
      </c>
      <c r="G3981">
        <v>-380.63940000000002</v>
      </c>
      <c r="H3981" s="1">
        <v>-4.568541E-6</v>
      </c>
      <c r="I3981">
        <v>136.39949999999999</v>
      </c>
      <c r="J3981">
        <v>-366.45359999999999</v>
      </c>
      <c r="K3981">
        <v>1.1036600000000001</v>
      </c>
      <c r="L3981">
        <v>137.642</v>
      </c>
      <c r="M3981">
        <v>-0.99988809999999995</v>
      </c>
      <c r="N3981">
        <v>0</v>
      </c>
      <c r="O3981">
        <v>-1.322483E-2</v>
      </c>
      <c r="P3981">
        <v>-0.99945349999999999</v>
      </c>
      <c r="Q3981">
        <v>2.7019439999999999E-2</v>
      </c>
      <c r="R3981">
        <v>1.9046279999999999E-2</v>
      </c>
      <c r="S3981">
        <v>-3.0129090000000001</v>
      </c>
      <c r="T3981">
        <v>-0.22972289999999901</v>
      </c>
      <c r="U3981">
        <v>-0.2594147</v>
      </c>
      <c r="V3981">
        <v>3.224954E-2</v>
      </c>
      <c r="W3981">
        <v>3.4024649999999997E-2</v>
      </c>
      <c r="X3981">
        <v>0.99890049999999997</v>
      </c>
      <c r="Y3981">
        <v>-7.2429240000000006E-2</v>
      </c>
      <c r="Z3981">
        <v>-1.747265E-3</v>
      </c>
      <c r="AA3981">
        <v>0.99737199999999904</v>
      </c>
      <c r="AB3981">
        <v>32</v>
      </c>
      <c r="AC3981">
        <v>-14.1858</v>
      </c>
      <c r="AD3981">
        <v>-1.103664568541</v>
      </c>
      <c r="AE3981">
        <v>-1.2424999999999999</v>
      </c>
      <c r="AF3981">
        <v>-1.0484838600585</v>
      </c>
      <c r="AG3981">
        <v>-1.103664568541</v>
      </c>
      <c r="AH3981">
        <v>14.1161975920988</v>
      </c>
      <c r="AI3981">
        <v>94.458303046733107</v>
      </c>
      <c r="AJ3981">
        <v>94.2478572703764</v>
      </c>
      <c r="AK3981">
        <v>14.1980431167056</v>
      </c>
    </row>
    <row r="3982" spans="1:37" x14ac:dyDescent="0.2">
      <c r="A3982" t="str">
        <f>"20200111160242136"</f>
        <v>20200111160242136</v>
      </c>
      <c r="B3982" t="str">
        <f>"1578729762126188"</f>
        <v>1578729762126188</v>
      </c>
      <c r="C3982" t="s">
        <v>37</v>
      </c>
      <c r="D3982">
        <v>5.2092049999999999</v>
      </c>
      <c r="E3982">
        <v>0.46338049999999997</v>
      </c>
      <c r="F3982" t="s">
        <v>38</v>
      </c>
      <c r="G3982">
        <v>-380.875</v>
      </c>
      <c r="H3982" s="1">
        <v>-4.4668740000000001E-6</v>
      </c>
      <c r="I3982">
        <v>136.40289999999999</v>
      </c>
      <c r="J3982">
        <v>-366.79689999999999</v>
      </c>
      <c r="K3982">
        <v>1.103693</v>
      </c>
      <c r="L3982">
        <v>137.63720000000001</v>
      </c>
      <c r="M3982">
        <v>-0.99988369999999904</v>
      </c>
      <c r="N3982">
        <v>0</v>
      </c>
      <c r="O3982">
        <v>-1.34441E-2</v>
      </c>
      <c r="P3982">
        <v>-0.99947540000000001</v>
      </c>
      <c r="Q3982">
        <v>2.6371510000000001E-2</v>
      </c>
      <c r="R3982">
        <v>1.880192E-2</v>
      </c>
      <c r="S3982">
        <v>-3.01287799999999</v>
      </c>
      <c r="T3982">
        <v>-0.2305759</v>
      </c>
      <c r="U3982">
        <v>-0.25885010000000003</v>
      </c>
      <c r="V3982">
        <v>3.222469E-2</v>
      </c>
      <c r="W3982">
        <v>3.3580020000000002E-2</v>
      </c>
      <c r="X3982">
        <v>0.99891640000000004</v>
      </c>
      <c r="Y3982">
        <v>-7.2026359999999998E-2</v>
      </c>
      <c r="Z3982">
        <v>-1.721679E-3</v>
      </c>
      <c r="AA3982">
        <v>0.99740119999999899</v>
      </c>
      <c r="AB3982">
        <v>32</v>
      </c>
      <c r="AC3982">
        <v>-14.078099999999999</v>
      </c>
      <c r="AD3982">
        <v>-1.1036974668740001</v>
      </c>
      <c r="AE3982">
        <v>-1.2343000000000099</v>
      </c>
      <c r="AF3982">
        <v>-1.0385814398856901</v>
      </c>
      <c r="AG3982">
        <v>-1.1036974668740001</v>
      </c>
      <c r="AH3982">
        <v>14.007981955814699</v>
      </c>
      <c r="AI3982">
        <v>94.492781568730905</v>
      </c>
      <c r="AJ3982">
        <v>94.240272088811494</v>
      </c>
      <c r="AK3982">
        <v>14.0897252627611</v>
      </c>
    </row>
    <row r="3983" spans="1:37" x14ac:dyDescent="0.2">
      <c r="A3983" t="str">
        <f>"20200111160242158"</f>
        <v>20200111160242158</v>
      </c>
      <c r="B3983" t="str">
        <f>"1578729762146684"</f>
        <v>1578729762146684</v>
      </c>
      <c r="C3983" t="s">
        <v>37</v>
      </c>
      <c r="D3983">
        <v>5.2211550000000004</v>
      </c>
      <c r="E3983">
        <v>0.4635108</v>
      </c>
      <c r="F3983" t="s">
        <v>38</v>
      </c>
      <c r="G3983">
        <v>-381.0609</v>
      </c>
      <c r="H3983" s="1">
        <v>-4.3861259999999997E-6</v>
      </c>
      <c r="I3983">
        <v>136.40870000000001</v>
      </c>
      <c r="J3983">
        <v>-367.09699999999998</v>
      </c>
      <c r="K3983">
        <v>1.103729</v>
      </c>
      <c r="L3983">
        <v>137.63290000000001</v>
      </c>
      <c r="M3983">
        <v>-0.99987959999999998</v>
      </c>
      <c r="N3983">
        <v>0</v>
      </c>
      <c r="O3983">
        <v>-1.363545E-2</v>
      </c>
      <c r="P3983">
        <v>-0.9994902</v>
      </c>
      <c r="Q3983">
        <v>2.643473E-2</v>
      </c>
      <c r="R3983">
        <v>1.7914280000000001E-2</v>
      </c>
      <c r="S3983">
        <v>-3.0126040000000001</v>
      </c>
      <c r="T3983">
        <v>-0.2331066</v>
      </c>
      <c r="U3983">
        <v>-0.25944519999999999</v>
      </c>
      <c r="V3983">
        <v>3.1528380000000002E-2</v>
      </c>
      <c r="W3983">
        <v>3.3864520000000002E-2</v>
      </c>
      <c r="X3983">
        <v>0.99892899999999996</v>
      </c>
      <c r="Y3983">
        <v>-7.2035600000000005E-2</v>
      </c>
      <c r="Z3983">
        <v>-1.726266E-3</v>
      </c>
      <c r="AA3983">
        <v>0.99740059999999997</v>
      </c>
      <c r="AB3983">
        <v>32</v>
      </c>
      <c r="AC3983">
        <v>-13.963900000000001</v>
      </c>
      <c r="AD3983">
        <v>-1.1037333861259999</v>
      </c>
      <c r="AE3983">
        <v>-1.22419999999999</v>
      </c>
      <c r="AF3983">
        <v>-1.0273076215041499</v>
      </c>
      <c r="AG3983">
        <v>-1.1037333861259999</v>
      </c>
      <c r="AH3983">
        <v>13.8931575310061</v>
      </c>
      <c r="AI3983">
        <v>94.529972499364902</v>
      </c>
      <c r="AJ3983">
        <v>94.228949811536395</v>
      </c>
      <c r="AK3983">
        <v>13.974742019736899</v>
      </c>
    </row>
    <row r="3984" spans="1:37" x14ac:dyDescent="0.2">
      <c r="A3984" t="str">
        <f>"20200111160242191"</f>
        <v>20200111160242191</v>
      </c>
      <c r="B3984" t="str">
        <f>"1578729762186231"</f>
        <v>1578729762186231</v>
      </c>
      <c r="C3984" t="s">
        <v>37</v>
      </c>
      <c r="D3984">
        <v>5.2500770000000001</v>
      </c>
      <c r="E3984">
        <v>0.4635224</v>
      </c>
      <c r="F3984" t="s">
        <v>38</v>
      </c>
      <c r="G3984">
        <v>-381.3415</v>
      </c>
      <c r="H3984" s="1">
        <v>-4.26761999999999E-6</v>
      </c>
      <c r="I3984">
        <v>136.398</v>
      </c>
      <c r="J3984">
        <v>-367.55549999999999</v>
      </c>
      <c r="K3984">
        <v>1.103817</v>
      </c>
      <c r="L3984">
        <v>137.62639999999999</v>
      </c>
      <c r="M3984">
        <v>-0.99987209999999904</v>
      </c>
      <c r="N3984">
        <v>0</v>
      </c>
      <c r="O3984">
        <v>-1.392727E-2</v>
      </c>
      <c r="P3984">
        <v>-0.99950130000000004</v>
      </c>
      <c r="Q3984">
        <v>2.6472539999999999E-2</v>
      </c>
      <c r="R3984">
        <v>1.7216180000000001E-2</v>
      </c>
      <c r="S3984">
        <v>-3.0124209999999998</v>
      </c>
      <c r="T3984">
        <v>-0.23341719999999999</v>
      </c>
      <c r="U3984">
        <v>-0.2611542</v>
      </c>
      <c r="V3984">
        <v>3.1121759999999998E-2</v>
      </c>
      <c r="W3984">
        <v>3.4349190000000002E-2</v>
      </c>
      <c r="X3984">
        <v>0.99892519999999996</v>
      </c>
      <c r="Y3984">
        <v>-7.2310840000000001E-2</v>
      </c>
      <c r="Z3984">
        <v>-1.7167179999999899E-3</v>
      </c>
      <c r="AA3984">
        <v>0.99738069999999901</v>
      </c>
      <c r="AB3984">
        <v>32</v>
      </c>
      <c r="AC3984">
        <v>-13.786</v>
      </c>
      <c r="AD3984">
        <v>-1.1038212676200001</v>
      </c>
      <c r="AE3984">
        <v>-1.2283999999999899</v>
      </c>
      <c r="AF3984">
        <v>-1.02972408528064</v>
      </c>
      <c r="AG3984">
        <v>-1.1038212676200001</v>
      </c>
      <c r="AH3984">
        <v>13.7145412437297</v>
      </c>
      <c r="AI3984">
        <v>94.588697957083596</v>
      </c>
      <c r="AJ3984">
        <v>94.293862246168104</v>
      </c>
      <c r="AK3984">
        <v>13.797369119097301</v>
      </c>
    </row>
    <row r="3985" spans="1:37" x14ac:dyDescent="0.2">
      <c r="A3985" t="str">
        <f>"20200111160242213"</f>
        <v>20200111160242213</v>
      </c>
      <c r="B3985" t="str">
        <f>"1578729762206727"</f>
        <v>1578729762206727</v>
      </c>
      <c r="C3985" t="s">
        <v>37</v>
      </c>
      <c r="D3985">
        <v>5.2031359999999998</v>
      </c>
      <c r="E3985">
        <v>0.46350929999999901</v>
      </c>
      <c r="F3985" t="s">
        <v>38</v>
      </c>
      <c r="G3985">
        <v>-381.75</v>
      </c>
      <c r="H3985" s="1">
        <v>-4.0945499999999996E-6</v>
      </c>
      <c r="I3985">
        <v>136.38570000000001</v>
      </c>
      <c r="J3985">
        <v>-367.88619999999997</v>
      </c>
      <c r="K3985">
        <v>1.1039019999999999</v>
      </c>
      <c r="L3985">
        <v>137.6216</v>
      </c>
      <c r="M3985">
        <v>-0.99986559999999902</v>
      </c>
      <c r="N3985">
        <v>0</v>
      </c>
      <c r="O3985">
        <v>-1.414085E-2</v>
      </c>
      <c r="P3985">
        <v>-0.99952319999999995</v>
      </c>
      <c r="Q3985">
        <v>2.5899510000000001E-2</v>
      </c>
      <c r="R3985">
        <v>1.6817749999999999E-2</v>
      </c>
      <c r="S3985">
        <v>-3.0122070000000001</v>
      </c>
      <c r="T3985">
        <v>-0.23424120000000001</v>
      </c>
      <c r="U3985">
        <v>-0.26327509999999998</v>
      </c>
      <c r="V3985">
        <v>3.09368E-2</v>
      </c>
      <c r="W3985">
        <v>3.4206699999999902E-2</v>
      </c>
      <c r="X3985">
        <v>0.99893580000000004</v>
      </c>
      <c r="Y3985">
        <v>-7.2798769999999999E-2</v>
      </c>
      <c r="Z3985">
        <v>-1.7251879999999999E-3</v>
      </c>
      <c r="AA3985">
        <v>0.99734509999999899</v>
      </c>
      <c r="AB3985">
        <v>32</v>
      </c>
      <c r="AC3985">
        <v>-13.863799999999999</v>
      </c>
      <c r="AD3985">
        <v>-1.1039060945499899</v>
      </c>
      <c r="AE3985">
        <v>-1.23589999999998</v>
      </c>
      <c r="AF3985">
        <v>-1.03322460269034</v>
      </c>
      <c r="AG3985">
        <v>-1.1039060945499899</v>
      </c>
      <c r="AH3985">
        <v>13.793129928648501</v>
      </c>
      <c r="AI3985">
        <v>94.563071899198803</v>
      </c>
      <c r="AJ3985">
        <v>94.283948023910796</v>
      </c>
      <c r="AK3985">
        <v>13.8757556541533</v>
      </c>
    </row>
    <row r="3986" spans="1:37" x14ac:dyDescent="0.2">
      <c r="A3986" t="str">
        <f>"20200111160242235"</f>
        <v>20200111160242235</v>
      </c>
      <c r="B3986" t="str">
        <f>"1578729762226246"</f>
        <v>1578729762226246</v>
      </c>
      <c r="C3986" t="s">
        <v>37</v>
      </c>
      <c r="D3986">
        <v>5.166283</v>
      </c>
      <c r="E3986">
        <v>0.46349209999999902</v>
      </c>
      <c r="F3986" t="s">
        <v>38</v>
      </c>
      <c r="G3986">
        <v>-381.9667</v>
      </c>
      <c r="H3986" s="1">
        <v>-4.0018289999999997E-6</v>
      </c>
      <c r="I3986">
        <v>136.3844</v>
      </c>
      <c r="J3986">
        <v>-368.19420000000002</v>
      </c>
      <c r="K3986">
        <v>1.1039909999999999</v>
      </c>
      <c r="L3986">
        <v>137.61699999999999</v>
      </c>
      <c r="M3986">
        <v>-0.99985900000000005</v>
      </c>
      <c r="N3986">
        <v>0</v>
      </c>
      <c r="O3986">
        <v>-1.4326230000000001E-2</v>
      </c>
      <c r="P3986">
        <v>-0.99949840000000001</v>
      </c>
      <c r="Q3986">
        <v>2.6604969999999999E-2</v>
      </c>
      <c r="R3986">
        <v>1.7184990000000001E-2</v>
      </c>
      <c r="S3986">
        <v>-3.0119929999999999</v>
      </c>
      <c r="T3986">
        <v>-0.23614070000000001</v>
      </c>
      <c r="U3986">
        <v>-0.26463320000000001</v>
      </c>
      <c r="V3986">
        <v>3.1488120000000001E-2</v>
      </c>
      <c r="W3986">
        <v>3.5362329999999997E-2</v>
      </c>
      <c r="X3986">
        <v>0.99887839999999894</v>
      </c>
      <c r="Y3986">
        <v>-7.3063069999999994E-2</v>
      </c>
      <c r="Z3986">
        <v>-1.7350670000000001E-3</v>
      </c>
      <c r="AA3986">
        <v>0.99732579999999904</v>
      </c>
      <c r="AB3986">
        <v>32</v>
      </c>
      <c r="AC3986">
        <v>-13.7724999999999</v>
      </c>
      <c r="AD3986">
        <v>-1.1039950018289999</v>
      </c>
      <c r="AE3986">
        <v>-1.2326000000000099</v>
      </c>
      <c r="AF3986">
        <v>-1.0286011354537701</v>
      </c>
      <c r="AG3986">
        <v>-1.1039950018289999</v>
      </c>
      <c r="AH3986">
        <v>13.701406495394099</v>
      </c>
      <c r="AI3986">
        <v>94.593801299377901</v>
      </c>
      <c r="AJ3986">
        <v>94.293293564096402</v>
      </c>
      <c r="AK3986">
        <v>13.7842433674086</v>
      </c>
    </row>
    <row r="3987" spans="1:37" x14ac:dyDescent="0.2">
      <c r="A3987" t="str">
        <f>"20200111160242256"</f>
        <v>20200111160242256</v>
      </c>
      <c r="B3987" t="str">
        <f>"1578729762246743"</f>
        <v>1578729762246743</v>
      </c>
      <c r="C3987" t="s">
        <v>37</v>
      </c>
      <c r="D3987">
        <v>5.2039150000000003</v>
      </c>
      <c r="E3987">
        <v>0.46346670000000001</v>
      </c>
      <c r="F3987" t="s">
        <v>38</v>
      </c>
      <c r="G3987">
        <v>-382.37740000000002</v>
      </c>
      <c r="H3987" s="1">
        <v>-3.8272280000000003E-6</v>
      </c>
      <c r="I3987">
        <v>136.37540000000001</v>
      </c>
      <c r="J3987">
        <v>-368.50409999999999</v>
      </c>
      <c r="K3987">
        <v>1.1040749999999999</v>
      </c>
      <c r="L3987">
        <v>137.6123</v>
      </c>
      <c r="M3987">
        <v>-0.99985179999999996</v>
      </c>
      <c r="N3987">
        <v>0</v>
      </c>
      <c r="O3987">
        <v>-1.4515490000000001E-2</v>
      </c>
      <c r="P3987">
        <v>-0.99948689999999996</v>
      </c>
      <c r="Q3987">
        <v>2.687496E-2</v>
      </c>
      <c r="R3987">
        <v>1.7432619999999999E-2</v>
      </c>
      <c r="S3987">
        <v>-3.0122990000000001</v>
      </c>
      <c r="T3987">
        <v>-0.2344724</v>
      </c>
      <c r="U3987">
        <v>-0.26368709999999901</v>
      </c>
      <c r="V3987">
        <v>3.1924550000000003E-2</v>
      </c>
      <c r="W3987">
        <v>3.6140980000000003E-2</v>
      </c>
      <c r="X3987">
        <v>0.99883659999999996</v>
      </c>
      <c r="Y3987">
        <v>-7.2559189999999996E-2</v>
      </c>
      <c r="Z3987">
        <v>-1.6884700000000001E-3</v>
      </c>
      <c r="AA3987">
        <v>0.99736270000000005</v>
      </c>
      <c r="AB3987">
        <v>32</v>
      </c>
      <c r="AC3987">
        <v>-13.8733</v>
      </c>
      <c r="AD3987">
        <v>-1.104078827228</v>
      </c>
      <c r="AE3987">
        <v>-1.2368999999999899</v>
      </c>
      <c r="AF3987">
        <v>-1.02891808650677</v>
      </c>
      <c r="AG3987">
        <v>-1.104078827228</v>
      </c>
      <c r="AH3987">
        <v>13.8030616002283</v>
      </c>
      <c r="AI3987">
        <v>94.560636457815093</v>
      </c>
      <c r="AJ3987">
        <v>94.263100144140097</v>
      </c>
      <c r="AK3987">
        <v>13.8853221793796</v>
      </c>
    </row>
    <row r="3988" spans="1:37" x14ac:dyDescent="0.2">
      <c r="A3988" t="str">
        <f>"20200111160242748"</f>
        <v>20200111160242748</v>
      </c>
      <c r="B3988" t="str">
        <f>"1578729762736695"</f>
        <v>1578729762736695</v>
      </c>
      <c r="C3988" t="s">
        <v>37</v>
      </c>
      <c r="D3988">
        <v>4.9869940000000001</v>
      </c>
      <c r="E3988">
        <v>0.41885859999999903</v>
      </c>
      <c r="F3988" t="s">
        <v>38</v>
      </c>
      <c r="G3988">
        <v>-382.75069999999999</v>
      </c>
      <c r="H3988" s="1">
        <v>-3.6683789999999999E-6</v>
      </c>
      <c r="I3988">
        <v>136.3682</v>
      </c>
      <c r="J3988">
        <v>-375.34530000000001</v>
      </c>
      <c r="K3988">
        <v>1.1046020000000001</v>
      </c>
      <c r="L3988">
        <v>137.49469999999999</v>
      </c>
      <c r="M3988">
        <v>-0.99971109999999896</v>
      </c>
      <c r="N3988">
        <v>0</v>
      </c>
      <c r="O3988">
        <v>-1.8596419999999999E-2</v>
      </c>
      <c r="P3988">
        <v>-0.99976739999999997</v>
      </c>
      <c r="Q3988">
        <v>1.7794049999999999E-2</v>
      </c>
      <c r="R3988">
        <v>1.219494E-2</v>
      </c>
      <c r="S3988">
        <v>-3.012451</v>
      </c>
      <c r="T3988">
        <v>-0.23345920000000001</v>
      </c>
      <c r="U3988">
        <v>-0.2630615</v>
      </c>
      <c r="V3988">
        <v>3.0777619999999999E-2</v>
      </c>
      <c r="W3988">
        <v>3.3021950000000001E-2</v>
      </c>
      <c r="X3988">
        <v>0.9989806</v>
      </c>
      <c r="Y3988">
        <v>-6.8302710000000003E-2</v>
      </c>
      <c r="Z3988">
        <v>-1.2015839999999999E-3</v>
      </c>
      <c r="AA3988">
        <v>0.99766390000000005</v>
      </c>
      <c r="AB3988">
        <v>31</v>
      </c>
      <c r="AC3988">
        <v>-7.4053999999999798</v>
      </c>
      <c r="AD3988">
        <v>-1.104605668379</v>
      </c>
      <c r="AE3988">
        <v>-1.1264999999999901</v>
      </c>
      <c r="AF3988">
        <v>-0.96753508900743801</v>
      </c>
      <c r="AG3988">
        <v>-1.104605668379</v>
      </c>
      <c r="AH3988">
        <v>7.2670402472309501</v>
      </c>
      <c r="AI3988">
        <v>98.568449443108605</v>
      </c>
      <c r="AJ3988">
        <v>97.583769859217199</v>
      </c>
      <c r="AK3988">
        <v>7.41391608975648</v>
      </c>
    </row>
    <row r="3989" spans="1:37" x14ac:dyDescent="0.2">
      <c r="A3989" t="str">
        <f>"20200111160242771"</f>
        <v>20200111160242771</v>
      </c>
      <c r="B3989" t="str">
        <f>"1578729762765975"</f>
        <v>1578729762765975</v>
      </c>
      <c r="C3989" t="s">
        <v>37</v>
      </c>
      <c r="D3989">
        <v>4.9537509999999996</v>
      </c>
      <c r="E3989">
        <v>0.4657848</v>
      </c>
      <c r="F3989" t="s">
        <v>38</v>
      </c>
      <c r="G3989">
        <v>-394.96159999999998</v>
      </c>
      <c r="H3989" s="1">
        <v>-3.3553379999999899E-6</v>
      </c>
      <c r="I3989">
        <v>133.3973</v>
      </c>
      <c r="J3989">
        <v>-375.65929999999997</v>
      </c>
      <c r="K3989">
        <v>1.104603</v>
      </c>
      <c r="L3989">
        <v>137.48869999999999</v>
      </c>
      <c r="M3989">
        <v>-0.99970749999999997</v>
      </c>
      <c r="N3989">
        <v>0</v>
      </c>
      <c r="O3989">
        <v>-1.875901E-2</v>
      </c>
      <c r="P3989">
        <v>-0.99978230000000001</v>
      </c>
      <c r="Q3989">
        <v>1.6872459999999999E-2</v>
      </c>
      <c r="R3989">
        <v>1.228721E-2</v>
      </c>
      <c r="S3989">
        <v>-3.0113829999999999</v>
      </c>
      <c r="T3989">
        <v>-0.16957339999999901</v>
      </c>
      <c r="U3989">
        <v>-0.62899780000000005</v>
      </c>
      <c r="V3989">
        <v>3.103297E-2</v>
      </c>
      <c r="W3989">
        <v>3.2134549999999998E-2</v>
      </c>
      <c r="X3989">
        <v>0.99900169999999999</v>
      </c>
      <c r="Y3989">
        <v>-0.18580669999999999</v>
      </c>
      <c r="Z3989">
        <v>-4.1278209999999899E-3</v>
      </c>
      <c r="AA3989">
        <v>0.98257759999999905</v>
      </c>
      <c r="AB3989">
        <v>31</v>
      </c>
      <c r="AC3989">
        <v>-19.302299999999999</v>
      </c>
      <c r="AD3989">
        <v>-1.1046063553379999</v>
      </c>
      <c r="AE3989">
        <v>-4.0913999999999904</v>
      </c>
      <c r="AF3989">
        <v>-3.7168965988143601</v>
      </c>
      <c r="AG3989">
        <v>-1.1046063553379999</v>
      </c>
      <c r="AH3989">
        <v>19.315127050221498</v>
      </c>
      <c r="AI3989">
        <v>93.214258449660903</v>
      </c>
      <c r="AJ3989">
        <v>100.89253269959499</v>
      </c>
      <c r="AK3989">
        <v>19.700497671194199</v>
      </c>
    </row>
    <row r="3990" spans="1:37" x14ac:dyDescent="0.2">
      <c r="A3990" t="str">
        <f>"20200111160242795"</f>
        <v>20200111160242795</v>
      </c>
      <c r="B3990" t="str">
        <f>"1578729762786471"</f>
        <v>1578729762786471</v>
      </c>
      <c r="C3990" t="s">
        <v>37</v>
      </c>
      <c r="D3990">
        <v>5.0371899999999998</v>
      </c>
      <c r="E3990">
        <v>0.46656909999999902</v>
      </c>
      <c r="F3990" t="s">
        <v>38</v>
      </c>
      <c r="G3990">
        <v>-389.21589999999998</v>
      </c>
      <c r="H3990" s="1">
        <v>-1.1290159999999999E-6</v>
      </c>
      <c r="I3990">
        <v>136.32329999999999</v>
      </c>
      <c r="J3990">
        <v>-375.97289999999998</v>
      </c>
      <c r="K3990">
        <v>1.104609</v>
      </c>
      <c r="L3990">
        <v>137.48259999999999</v>
      </c>
      <c r="M3990">
        <v>-0.99970409999999899</v>
      </c>
      <c r="N3990">
        <v>0</v>
      </c>
      <c r="O3990">
        <v>-1.8920960000000001E-2</v>
      </c>
      <c r="P3990">
        <v>-0.99978449999999996</v>
      </c>
      <c r="Q3990">
        <v>1.6762699999999998E-2</v>
      </c>
      <c r="R3990">
        <v>1.2241E-2</v>
      </c>
      <c r="S3990">
        <v>-3.0079349999999998</v>
      </c>
      <c r="T3990">
        <v>-0.2450899</v>
      </c>
      <c r="U3990">
        <v>-0.25854490000000002</v>
      </c>
      <c r="V3990">
        <v>3.1148840000000001E-2</v>
      </c>
      <c r="W3990">
        <v>3.205305E-2</v>
      </c>
      <c r="X3990">
        <v>0.99900069999999996</v>
      </c>
      <c r="Y3990">
        <v>-6.661272E-2</v>
      </c>
      <c r="Z3990">
        <v>-1.168257E-3</v>
      </c>
      <c r="AA3990">
        <v>0.99777819999999995</v>
      </c>
      <c r="AB3990">
        <v>30</v>
      </c>
      <c r="AC3990">
        <v>-13.242999999999901</v>
      </c>
      <c r="AD3990">
        <v>-1.104610129016</v>
      </c>
      <c r="AE3990">
        <v>-1.1593</v>
      </c>
      <c r="AF3990">
        <v>-0.90226321611470195</v>
      </c>
      <c r="AG3990">
        <v>-1.104610129016</v>
      </c>
      <c r="AH3990">
        <v>13.1716233830356</v>
      </c>
      <c r="AI3990">
        <v>94.782615808768895</v>
      </c>
      <c r="AJ3990">
        <v>93.918669837903394</v>
      </c>
      <c r="AK3990">
        <v>13.2486189843624</v>
      </c>
    </row>
    <row r="3991" spans="1:37" x14ac:dyDescent="0.2">
      <c r="A3991" t="str">
        <f>"20200111160242816"</f>
        <v>20200111160242816</v>
      </c>
      <c r="B3991" t="str">
        <f>"1578729762805991"</f>
        <v>1578729762805991</v>
      </c>
      <c r="C3991" t="s">
        <v>37</v>
      </c>
      <c r="D3991">
        <v>4.9113499999999997</v>
      </c>
      <c r="E3991">
        <v>0.46797479999999902</v>
      </c>
      <c r="F3991" t="s">
        <v>38</v>
      </c>
      <c r="G3991">
        <v>-389.66969999999998</v>
      </c>
      <c r="H3991" s="1">
        <v>-9.7141510000000007E-7</v>
      </c>
      <c r="I3991">
        <v>136.33529999999999</v>
      </c>
      <c r="J3991">
        <v>-376.2715</v>
      </c>
      <c r="K3991">
        <v>1.1046119999999999</v>
      </c>
      <c r="L3991">
        <v>137.4768</v>
      </c>
      <c r="M3991">
        <v>-0.9997009</v>
      </c>
      <c r="N3991">
        <v>0</v>
      </c>
      <c r="O3991">
        <v>-1.9074649999999999E-2</v>
      </c>
      <c r="P3991">
        <v>-0.99979079999999998</v>
      </c>
      <c r="Q3991">
        <v>1.6742989999999999E-2</v>
      </c>
      <c r="R3991">
        <v>1.175238E-2</v>
      </c>
      <c r="S3991">
        <v>-3.0078130000000001</v>
      </c>
      <c r="T3991">
        <v>-0.2425735</v>
      </c>
      <c r="U3991">
        <v>-0.25193789999999999</v>
      </c>
      <c r="V3991">
        <v>3.0814169999999998E-2</v>
      </c>
      <c r="W3991">
        <v>3.205591E-2</v>
      </c>
      <c r="X3991">
        <v>0.99901099999999998</v>
      </c>
      <c r="Y3991">
        <v>-6.4297629999999995E-2</v>
      </c>
      <c r="Z3991">
        <v>-1.0510579999999999E-3</v>
      </c>
      <c r="AA3991">
        <v>0.99793019999999999</v>
      </c>
      <c r="AB3991">
        <v>30</v>
      </c>
      <c r="AC3991">
        <v>-13.3981999999999</v>
      </c>
      <c r="AD3991">
        <v>-1.1046129714151001</v>
      </c>
      <c r="AE3991">
        <v>-1.1415</v>
      </c>
      <c r="AF3991">
        <v>-0.87975958145037603</v>
      </c>
      <c r="AG3991">
        <v>-1.1046129714151001</v>
      </c>
      <c r="AH3991">
        <v>13.3276010706349</v>
      </c>
      <c r="AI3991">
        <v>94.727694955623605</v>
      </c>
      <c r="AJ3991">
        <v>93.776635295948495</v>
      </c>
      <c r="AK3991">
        <v>13.4022049318671</v>
      </c>
    </row>
    <row r="3992" spans="1:37" x14ac:dyDescent="0.2">
      <c r="A3992" t="str">
        <f>"20200111160242838"</f>
        <v>20200111160242838</v>
      </c>
      <c r="B3992" t="str">
        <f>"1578729762826487"</f>
        <v>1578729762826487</v>
      </c>
      <c r="C3992" t="s">
        <v>37</v>
      </c>
      <c r="D3992">
        <v>4.9697649999999998</v>
      </c>
      <c r="E3992">
        <v>0.46864229999999901</v>
      </c>
      <c r="F3992" t="s">
        <v>38</v>
      </c>
      <c r="G3992">
        <v>-389.75920000000002</v>
      </c>
      <c r="H3992" s="1">
        <v>-9.2649170000000001E-7</v>
      </c>
      <c r="I3992">
        <v>136.3896</v>
      </c>
      <c r="J3992">
        <v>-376.56020000000001</v>
      </c>
      <c r="K3992">
        <v>1.104619</v>
      </c>
      <c r="L3992">
        <v>137.47110000000001</v>
      </c>
      <c r="M3992">
        <v>-0.99969769999999902</v>
      </c>
      <c r="N3992">
        <v>0</v>
      </c>
      <c r="O3992">
        <v>-1.9223049999999998E-2</v>
      </c>
      <c r="P3992">
        <v>-0.99979110000000004</v>
      </c>
      <c r="Q3992">
        <v>1.7550320000000001E-2</v>
      </c>
      <c r="R3992">
        <v>1.047111E-2</v>
      </c>
      <c r="S3992">
        <v>-3.0075989999999999</v>
      </c>
      <c r="T3992">
        <v>-0.2463176</v>
      </c>
      <c r="U3992">
        <v>-0.24240110000000001</v>
      </c>
      <c r="V3992">
        <v>2.9681289999999999E-2</v>
      </c>
      <c r="W3992">
        <v>3.2880399999999997E-2</v>
      </c>
      <c r="X3992">
        <v>0.99901849999999903</v>
      </c>
      <c r="Y3992">
        <v>-6.101873E-2</v>
      </c>
      <c r="Z3992">
        <v>-9.214914E-4</v>
      </c>
      <c r="AA3992">
        <v>0.99813619999999903</v>
      </c>
      <c r="AB3992">
        <v>30</v>
      </c>
      <c r="AC3992">
        <v>-13.199</v>
      </c>
      <c r="AD3992">
        <v>-1.1046199264917</v>
      </c>
      <c r="AE3992">
        <v>-1.0814999999999999</v>
      </c>
      <c r="AF3992">
        <v>-0.82182760023061896</v>
      </c>
      <c r="AG3992">
        <v>-1.1046199264917</v>
      </c>
      <c r="AH3992">
        <v>13.1260315966892</v>
      </c>
      <c r="AI3992">
        <v>94.801029459778704</v>
      </c>
      <c r="AJ3992">
        <v>93.582641745286097</v>
      </c>
      <c r="AK3992">
        <v>13.1980411904111</v>
      </c>
    </row>
    <row r="3993" spans="1:37" x14ac:dyDescent="0.2">
      <c r="A3993" t="str">
        <f>"20200111160242860"</f>
        <v>20200111160242860</v>
      </c>
      <c r="B3993" t="str">
        <f>"1578729762856745"</f>
        <v>1578729762856745</v>
      </c>
      <c r="C3993" t="s">
        <v>37</v>
      </c>
      <c r="D3993">
        <v>4.9335579999999997</v>
      </c>
      <c r="E3993">
        <v>0.46935290000000002</v>
      </c>
      <c r="F3993" t="s">
        <v>38</v>
      </c>
      <c r="G3993">
        <v>-390.16390000000001</v>
      </c>
      <c r="H3993" s="1">
        <v>-4.7757459999999999E-6</v>
      </c>
      <c r="I3993">
        <v>136.38130000000001</v>
      </c>
      <c r="J3993">
        <v>-376.85820000000001</v>
      </c>
      <c r="K3993">
        <v>1.1046279999999999</v>
      </c>
      <c r="L3993">
        <v>137.46520000000001</v>
      </c>
      <c r="M3993">
        <v>-0.99969459999999999</v>
      </c>
      <c r="N3993">
        <v>0</v>
      </c>
      <c r="O3993">
        <v>-1.9375730000000001E-2</v>
      </c>
      <c r="P3993">
        <v>-0.99981059999999999</v>
      </c>
      <c r="Q3993">
        <v>1.7242739999999999E-2</v>
      </c>
      <c r="R3993">
        <v>9.0432009999999903E-3</v>
      </c>
      <c r="S3993">
        <v>-3.0074459999999998</v>
      </c>
      <c r="T3993">
        <v>-0.24420449999999999</v>
      </c>
      <c r="U3993">
        <v>-0.2409058</v>
      </c>
      <c r="V3993">
        <v>2.8406879999999999E-2</v>
      </c>
      <c r="W3993">
        <v>3.2588260000000001E-2</v>
      </c>
      <c r="X3993">
        <v>0.99906510000000004</v>
      </c>
      <c r="Y3993">
        <v>-6.0382169999999999E-2</v>
      </c>
      <c r="Z3993">
        <v>-8.7556069999999997E-4</v>
      </c>
      <c r="AA3993">
        <v>0.99817500000000003</v>
      </c>
      <c r="AB3993">
        <v>30</v>
      </c>
      <c r="AC3993">
        <v>-13.3057</v>
      </c>
      <c r="AD3993">
        <v>-1.1046327757459999</v>
      </c>
      <c r="AE3993">
        <v>-1.0839000000000001</v>
      </c>
      <c r="AF3993">
        <v>-0.82024244910092603</v>
      </c>
      <c r="AG3993">
        <v>-1.1046327757459999</v>
      </c>
      <c r="AH3993">
        <v>13.2335975348107</v>
      </c>
      <c r="AI3993">
        <v>94.762425800071895</v>
      </c>
      <c r="AJ3993">
        <v>93.546759371413103</v>
      </c>
      <c r="AK3993">
        <v>13.304928220697301</v>
      </c>
    </row>
    <row r="3994" spans="1:37" x14ac:dyDescent="0.2">
      <c r="A3994" t="str">
        <f>"20200111160242883"</f>
        <v>20200111160242883</v>
      </c>
      <c r="B3994" t="str">
        <f>"1578729762876262"</f>
        <v>1578729762876262</v>
      </c>
      <c r="C3994" t="s">
        <v>37</v>
      </c>
      <c r="D3994">
        <v>5.3033960000000002</v>
      </c>
      <c r="E3994">
        <v>0.47003889999999998</v>
      </c>
      <c r="F3994" t="s">
        <v>38</v>
      </c>
      <c r="G3994">
        <v>-392.19080000000002</v>
      </c>
      <c r="H3994" s="1">
        <v>-3.9286820000000001E-6</v>
      </c>
      <c r="I3994">
        <v>136.25470000000001</v>
      </c>
      <c r="J3994">
        <v>-377.17149999999998</v>
      </c>
      <c r="K3994">
        <v>1.104638</v>
      </c>
      <c r="L3994">
        <v>137.4589</v>
      </c>
      <c r="M3994">
        <v>-0.99969110000000005</v>
      </c>
      <c r="N3994">
        <v>0</v>
      </c>
      <c r="O3994">
        <v>-1.9534329999999999E-2</v>
      </c>
      <c r="P3994">
        <v>-0.999816699999999</v>
      </c>
      <c r="Q3994">
        <v>1.7255920000000001E-2</v>
      </c>
      <c r="R3994">
        <v>8.2932539999999999E-3</v>
      </c>
      <c r="S3994">
        <v>-3.0064389999999999</v>
      </c>
      <c r="T3994">
        <v>-0.21659800000000001</v>
      </c>
      <c r="U3994">
        <v>-0.2373352</v>
      </c>
      <c r="V3994">
        <v>2.781583E-2</v>
      </c>
      <c r="W3994">
        <v>3.261352E-2</v>
      </c>
      <c r="X3994">
        <v>0.99908090000000005</v>
      </c>
      <c r="Y3994">
        <v>-5.9104499999999997E-2</v>
      </c>
      <c r="Z3994">
        <v>-7.1985979999999897E-4</v>
      </c>
      <c r="AA3994">
        <v>0.99825160000000002</v>
      </c>
      <c r="AB3994">
        <v>30</v>
      </c>
      <c r="AC3994">
        <v>-15.019299999999999</v>
      </c>
      <c r="AD3994">
        <v>-1.104641928682</v>
      </c>
      <c r="AE3994">
        <v>-1.20419999999998</v>
      </c>
      <c r="AF3994">
        <v>-0.90567575341788797</v>
      </c>
      <c r="AG3994">
        <v>-1.104641928682</v>
      </c>
      <c r="AH3994">
        <v>14.959555119983801</v>
      </c>
      <c r="AI3994">
        <v>94.215473903883705</v>
      </c>
      <c r="AJ3994">
        <v>93.464550780265895</v>
      </c>
      <c r="AK3994">
        <v>15.0276003323473</v>
      </c>
    </row>
    <row r="3995" spans="1:37" x14ac:dyDescent="0.2">
      <c r="A3995" t="str">
        <f>"20200111160242906"</f>
        <v>20200111160242906</v>
      </c>
      <c r="B3995" t="str">
        <f>"1578729762896759"</f>
        <v>1578729762896759</v>
      </c>
      <c r="C3995" t="s">
        <v>37</v>
      </c>
      <c r="D3995">
        <v>4.9972219999999998</v>
      </c>
      <c r="E3995">
        <v>0.47027449999999998</v>
      </c>
      <c r="F3995" t="s">
        <v>38</v>
      </c>
      <c r="G3995">
        <v>-392.86900000000003</v>
      </c>
      <c r="H3995" s="1">
        <v>-3.6406560000000002E-6</v>
      </c>
      <c r="I3995">
        <v>136.23830000000001</v>
      </c>
      <c r="J3995">
        <v>-377.47570000000002</v>
      </c>
      <c r="K3995">
        <v>1.1046530000000001</v>
      </c>
      <c r="L3995">
        <v>137.4528</v>
      </c>
      <c r="M3995">
        <v>-0.99968809999999997</v>
      </c>
      <c r="N3995">
        <v>0</v>
      </c>
      <c r="O3995">
        <v>-1.9684790000000001E-2</v>
      </c>
      <c r="P3995">
        <v>-0.99980480000000005</v>
      </c>
      <c r="Q3995">
        <v>1.8066780000000001E-2</v>
      </c>
      <c r="R3995">
        <v>8.0153240000000008E-3</v>
      </c>
      <c r="S3995">
        <v>-3.0061650000000002</v>
      </c>
      <c r="T3995">
        <v>-0.2115455</v>
      </c>
      <c r="U3995">
        <v>-0.2337494</v>
      </c>
      <c r="V3995">
        <v>2.7688259999999999E-2</v>
      </c>
      <c r="W3995">
        <v>3.3434190000000003E-2</v>
      </c>
      <c r="X3995">
        <v>0.99905730000000004</v>
      </c>
      <c r="Y3995">
        <v>-5.7786179999999999E-2</v>
      </c>
      <c r="Z3995">
        <v>-6.4638930000000003E-4</v>
      </c>
      <c r="AA3995">
        <v>0.99832869999999996</v>
      </c>
      <c r="AB3995">
        <v>30</v>
      </c>
      <c r="AC3995">
        <v>-15.3933</v>
      </c>
      <c r="AD3995">
        <v>-1.1046566406560001</v>
      </c>
      <c r="AE3995">
        <v>-1.2144999999999799</v>
      </c>
      <c r="AF3995">
        <v>-0.906575138926772</v>
      </c>
      <c r="AG3995">
        <v>-1.1046566406560001</v>
      </c>
      <c r="AH3995">
        <v>15.3357390698696</v>
      </c>
      <c r="AI3995">
        <v>94.112831126118607</v>
      </c>
      <c r="AJ3995">
        <v>93.383113712439098</v>
      </c>
      <c r="AK3995">
        <v>15.402176391516599</v>
      </c>
    </row>
    <row r="3996" spans="1:37" x14ac:dyDescent="0.2">
      <c r="A3996" t="str">
        <f>"20200111160242927"</f>
        <v>20200111160242927</v>
      </c>
      <c r="B3996" t="str">
        <f>"1578729762916279"</f>
        <v>1578729762916279</v>
      </c>
      <c r="C3996" t="s">
        <v>37</v>
      </c>
      <c r="D3996">
        <v>4.9815189999999996</v>
      </c>
      <c r="E3996">
        <v>0.47046260000000001</v>
      </c>
      <c r="F3996" t="s">
        <v>38</v>
      </c>
      <c r="G3996">
        <v>-393.1223</v>
      </c>
      <c r="H3996" s="1">
        <v>-3.5315209999999999E-6</v>
      </c>
      <c r="I3996">
        <v>136.24090000000001</v>
      </c>
      <c r="J3996">
        <v>-377.76159999999999</v>
      </c>
      <c r="K3996">
        <v>1.104665</v>
      </c>
      <c r="L3996">
        <v>137.447</v>
      </c>
      <c r="M3996">
        <v>-0.9996855</v>
      </c>
      <c r="N3996">
        <v>0</v>
      </c>
      <c r="O3996">
        <v>-1.9821729999999999E-2</v>
      </c>
      <c r="P3996">
        <v>-0.99977879999999997</v>
      </c>
      <c r="Q3996">
        <v>1.944968E-2</v>
      </c>
      <c r="R3996">
        <v>8.0292209999999996E-3</v>
      </c>
      <c r="S3996">
        <v>-3.0062869999999999</v>
      </c>
      <c r="T3996">
        <v>-0.2122453</v>
      </c>
      <c r="U3996">
        <v>-0.23283389999999901</v>
      </c>
      <c r="V3996">
        <v>2.7838370000000001E-2</v>
      </c>
      <c r="W3996">
        <v>3.482288E-2</v>
      </c>
      <c r="X3996">
        <v>0.999005699999999</v>
      </c>
      <c r="Y3996">
        <v>-5.7344890000000003E-2</v>
      </c>
      <c r="Z3996">
        <v>-6.2332900000000005E-4</v>
      </c>
      <c r="AA3996">
        <v>0.99835429999999903</v>
      </c>
      <c r="AB3996">
        <v>30</v>
      </c>
      <c r="AC3996">
        <v>-15.3607</v>
      </c>
      <c r="AD3996">
        <v>-1.1046685315210001</v>
      </c>
      <c r="AE3996">
        <v>-1.20609999999999</v>
      </c>
      <c r="AF3996">
        <v>-0.89674204381779898</v>
      </c>
      <c r="AG3996">
        <v>-1.1046685315210001</v>
      </c>
      <c r="AH3996">
        <v>15.3029323811616</v>
      </c>
      <c r="AI3996">
        <v>94.121786418788503</v>
      </c>
      <c r="AJ3996">
        <v>93.353660824363004</v>
      </c>
      <c r="AK3996">
        <v>15.3689354972974</v>
      </c>
    </row>
    <row r="3997" spans="1:37" x14ac:dyDescent="0.2">
      <c r="A3997" t="str">
        <f>"20200111160242949"</f>
        <v>20200111160242949</v>
      </c>
      <c r="B3997" t="str">
        <f>"1578729762946535"</f>
        <v>1578729762946535</v>
      </c>
      <c r="C3997" t="s">
        <v>37</v>
      </c>
      <c r="D3997">
        <v>5.1455419999999998</v>
      </c>
      <c r="E3997">
        <v>0.47067799999999999</v>
      </c>
      <c r="F3997" t="s">
        <v>38</v>
      </c>
      <c r="G3997">
        <v>-393.47579999999999</v>
      </c>
      <c r="H3997" s="1">
        <v>-3.3804699999999899E-6</v>
      </c>
      <c r="I3997">
        <v>136.23759999999999</v>
      </c>
      <c r="J3997">
        <v>-378.0582</v>
      </c>
      <c r="K3997">
        <v>1.1046750000000001</v>
      </c>
      <c r="L3997">
        <v>137.441</v>
      </c>
      <c r="M3997">
        <v>-0.99968250000000003</v>
      </c>
      <c r="N3997">
        <v>0</v>
      </c>
      <c r="O3997">
        <v>-1.9959000000000001E-2</v>
      </c>
      <c r="P3997">
        <v>-0.99975959999999997</v>
      </c>
      <c r="Q3997">
        <v>1.9974550000000001E-2</v>
      </c>
      <c r="R3997">
        <v>9.0480909999999994E-3</v>
      </c>
      <c r="S3997">
        <v>-3.0066220000000001</v>
      </c>
      <c r="T3997">
        <v>-0.2113583</v>
      </c>
      <c r="U3997">
        <v>-0.23138429999999999</v>
      </c>
      <c r="V3997">
        <v>2.899409E-2</v>
      </c>
      <c r="W3997">
        <v>3.5351849999999997E-2</v>
      </c>
      <c r="X3997">
        <v>0.99895419999999902</v>
      </c>
      <c r="Y3997">
        <v>-5.6723370000000002E-2</v>
      </c>
      <c r="Z3997">
        <v>-5.8926479999999999E-4</v>
      </c>
      <c r="AA3997">
        <v>0.99838979999999999</v>
      </c>
      <c r="AB3997">
        <v>30</v>
      </c>
      <c r="AC3997">
        <v>-15.417599999999901</v>
      </c>
      <c r="AD3997">
        <v>-1.10467838047</v>
      </c>
      <c r="AE3997">
        <v>-1.20340000000001</v>
      </c>
      <c r="AF3997">
        <v>-0.89085816191883205</v>
      </c>
      <c r="AG3997">
        <v>-1.10467838047</v>
      </c>
      <c r="AH3997">
        <v>15.360171184646999</v>
      </c>
      <c r="AI3997">
        <v>94.106658955128196</v>
      </c>
      <c r="AJ3997">
        <v>93.319318252612803</v>
      </c>
      <c r="AK3997">
        <v>15.425589175477</v>
      </c>
    </row>
    <row r="3998" spans="1:37" x14ac:dyDescent="0.2">
      <c r="A3998" t="str">
        <f>"20200111160242972"</f>
        <v>20200111160242972</v>
      </c>
      <c r="B3998" t="str">
        <f>"1578729762967031"</f>
        <v>1578729762967031</v>
      </c>
      <c r="C3998" t="s">
        <v>37</v>
      </c>
      <c r="D3998">
        <v>5.0803539999999998</v>
      </c>
      <c r="E3998">
        <v>0.47092440000000002</v>
      </c>
      <c r="F3998" t="s">
        <v>38</v>
      </c>
      <c r="G3998">
        <v>-393.75229999999999</v>
      </c>
      <c r="H3998" s="1">
        <v>-3.2585409999999999E-6</v>
      </c>
      <c r="I3998">
        <v>136.2561</v>
      </c>
      <c r="J3998">
        <v>-378.36590000000001</v>
      </c>
      <c r="K3998">
        <v>1.104671</v>
      </c>
      <c r="L3998">
        <v>137.43469999999999</v>
      </c>
      <c r="M3998">
        <v>-0.99967980000000001</v>
      </c>
      <c r="N3998">
        <v>0</v>
      </c>
      <c r="O3998">
        <v>-2.00958E-2</v>
      </c>
      <c r="P3998">
        <v>-0.99974859999999899</v>
      </c>
      <c r="Q3998">
        <v>1.9990580000000001E-2</v>
      </c>
      <c r="R3998">
        <v>1.017211E-2</v>
      </c>
      <c r="S3998">
        <v>-3.0070189999999899</v>
      </c>
      <c r="T3998">
        <v>-0.21165900000000001</v>
      </c>
      <c r="U3998">
        <v>-0.22700500000000001</v>
      </c>
      <c r="V3998">
        <v>3.0254909999999999E-2</v>
      </c>
      <c r="W3998">
        <v>3.5371380000000001E-2</v>
      </c>
      <c r="X3998">
        <v>0.99891609999999997</v>
      </c>
      <c r="Y3998">
        <v>-5.5135000000000003E-2</v>
      </c>
      <c r="Z3998">
        <v>-5.2469810000000002E-4</v>
      </c>
      <c r="AA3998">
        <v>0.9984788</v>
      </c>
      <c r="AB3998">
        <v>30</v>
      </c>
      <c r="AC3998">
        <v>-15.386399999999901</v>
      </c>
      <c r="AD3998">
        <v>-1.1046742585410001</v>
      </c>
      <c r="AE3998">
        <v>-1.1785999999999801</v>
      </c>
      <c r="AF3998">
        <v>-0.86469221913225403</v>
      </c>
      <c r="AG3998">
        <v>-1.1046742585410001</v>
      </c>
      <c r="AH3998">
        <v>15.328428912864499</v>
      </c>
      <c r="AI3998">
        <v>94.115489664333097</v>
      </c>
      <c r="AJ3998">
        <v>93.228691142854402</v>
      </c>
      <c r="AK3998">
        <v>15.3924894279013</v>
      </c>
    </row>
    <row r="3999" spans="1:37" x14ac:dyDescent="0.2">
      <c r="A3999" t="str">
        <f>"20200111160242994"</f>
        <v>20200111160242994</v>
      </c>
      <c r="B3999" t="str">
        <f>"1578729762986551"</f>
        <v>1578729762986551</v>
      </c>
      <c r="C3999" t="s">
        <v>37</v>
      </c>
      <c r="D3999">
        <v>5.1565180000000002</v>
      </c>
      <c r="E3999">
        <v>0.47116750000000002</v>
      </c>
      <c r="F3999" t="s">
        <v>38</v>
      </c>
      <c r="G3999">
        <v>-393.94290000000001</v>
      </c>
      <c r="H3999" s="1">
        <v>-3.1715570000000001E-6</v>
      </c>
      <c r="I3999">
        <v>136.28569999999999</v>
      </c>
      <c r="J3999">
        <v>-378.65789999999998</v>
      </c>
      <c r="K3999">
        <v>1.1046769999999999</v>
      </c>
      <c r="L3999">
        <v>137.42869999999999</v>
      </c>
      <c r="M3999">
        <v>-0.99967719999999904</v>
      </c>
      <c r="N3999">
        <v>0</v>
      </c>
      <c r="O3999">
        <v>-2.0221019999999999E-2</v>
      </c>
      <c r="P3999">
        <v>-0.99973819999999902</v>
      </c>
      <c r="Q3999">
        <v>1.9679099999999901E-2</v>
      </c>
      <c r="R3999">
        <v>1.1671569999999999E-2</v>
      </c>
      <c r="S3999">
        <v>-3.007263</v>
      </c>
      <c r="T3999">
        <v>-0.21326679999999901</v>
      </c>
      <c r="U3999">
        <v>-0.22181699999999999</v>
      </c>
      <c r="V3999">
        <v>3.1879299999999999E-2</v>
      </c>
      <c r="W3999">
        <v>3.5060670000000002E-2</v>
      </c>
      <c r="X3999">
        <v>0.9988766</v>
      </c>
      <c r="Y3999">
        <v>-5.3294349999999997E-2</v>
      </c>
      <c r="Z3999">
        <v>-4.5470879999999898E-4</v>
      </c>
      <c r="AA3999">
        <v>0.99857870000000004</v>
      </c>
      <c r="AB3999">
        <v>30</v>
      </c>
      <c r="AC3999">
        <v>-15.285</v>
      </c>
      <c r="AD3999">
        <v>-1.104680171557</v>
      </c>
      <c r="AE3999">
        <v>-1.143</v>
      </c>
      <c r="AF3999">
        <v>-0.82934358410777398</v>
      </c>
      <c r="AG3999">
        <v>-1.104680171557</v>
      </c>
      <c r="AH3999">
        <v>15.225902653694501</v>
      </c>
      <c r="AI3999">
        <v>94.143571068849795</v>
      </c>
      <c r="AJ3999">
        <v>93.117777519677702</v>
      </c>
      <c r="AK3999">
        <v>15.2884348669742</v>
      </c>
    </row>
    <row r="4000" spans="1:37" x14ac:dyDescent="0.2">
      <c r="A4000" t="str">
        <f>"20200111160243015"</f>
        <v>20200111160243015</v>
      </c>
      <c r="B4000" t="str">
        <f>"1578729763006071"</f>
        <v>1578729763006071</v>
      </c>
      <c r="C4000" t="s">
        <v>37</v>
      </c>
      <c r="D4000">
        <v>5.1000360000000002</v>
      </c>
      <c r="E4000">
        <v>0.47107139999999997</v>
      </c>
      <c r="F4000" t="s">
        <v>38</v>
      </c>
      <c r="G4000">
        <v>-393.9169</v>
      </c>
      <c r="H4000" s="1">
        <v>-3.1740279999999999E-6</v>
      </c>
      <c r="I4000">
        <v>136.33459999999999</v>
      </c>
      <c r="J4000">
        <v>-378.94709999999998</v>
      </c>
      <c r="K4000">
        <v>1.104687</v>
      </c>
      <c r="L4000">
        <v>137.42269999999999</v>
      </c>
      <c r="M4000">
        <v>-0.99967459999999997</v>
      </c>
      <c r="N4000">
        <v>0</v>
      </c>
      <c r="O4000">
        <v>-2.034124E-2</v>
      </c>
      <c r="P4000">
        <v>-0.99971739999999998</v>
      </c>
      <c r="Q4000">
        <v>1.9735050000000001E-2</v>
      </c>
      <c r="R4000">
        <v>1.325367E-2</v>
      </c>
      <c r="S4000">
        <v>-3.0075989999999999</v>
      </c>
      <c r="T4000">
        <v>-0.21773609999999999</v>
      </c>
      <c r="U4000">
        <v>-0.2156372</v>
      </c>
      <c r="V4000">
        <v>3.3581180000000002E-2</v>
      </c>
      <c r="W4000">
        <v>3.5116910000000001E-2</v>
      </c>
      <c r="X4000">
        <v>0.99881889999999995</v>
      </c>
      <c r="Y4000">
        <v>-5.1127400000000003E-2</v>
      </c>
      <c r="Z4000">
        <v>-3.77275E-4</v>
      </c>
      <c r="AA4000">
        <v>0.99869209999999997</v>
      </c>
      <c r="AB4000">
        <v>30</v>
      </c>
      <c r="AC4000">
        <v>-14.969799999999999</v>
      </c>
      <c r="AD4000">
        <v>-1.104690174028</v>
      </c>
      <c r="AE4000">
        <v>-1.0880999999999901</v>
      </c>
      <c r="AF4000">
        <v>-0.77911396349266004</v>
      </c>
      <c r="AG4000">
        <v>-1.104690174028</v>
      </c>
      <c r="AH4000">
        <v>14.9080804892304</v>
      </c>
      <c r="AI4000">
        <v>94.232123038936095</v>
      </c>
      <c r="AJ4000">
        <v>92.991623750457904</v>
      </c>
      <c r="AK4000">
        <v>14.969242560065499</v>
      </c>
    </row>
    <row r="4001" spans="1:37" x14ac:dyDescent="0.2">
      <c r="A4001" t="str">
        <f>"20200111160243038"</f>
        <v>20200111160243038</v>
      </c>
      <c r="B4001" t="str">
        <f>"1578729763026568"</f>
        <v>1578729763026568</v>
      </c>
      <c r="C4001" t="s">
        <v>37</v>
      </c>
      <c r="D4001">
        <v>5.210216</v>
      </c>
      <c r="E4001">
        <v>0.47073140000000002</v>
      </c>
      <c r="F4001" t="s">
        <v>38</v>
      </c>
      <c r="G4001">
        <v>-394.44240000000002</v>
      </c>
      <c r="H4001" s="1">
        <v>-2.9489080000000001E-6</v>
      </c>
      <c r="I4001">
        <v>136.3329</v>
      </c>
      <c r="J4001">
        <v>-379.24149999999997</v>
      </c>
      <c r="K4001">
        <v>1.104689</v>
      </c>
      <c r="L4001">
        <v>137.41659999999999</v>
      </c>
      <c r="M4001">
        <v>-0.99967240000000002</v>
      </c>
      <c r="N4001">
        <v>0</v>
      </c>
      <c r="O4001">
        <v>-2.0461219999999999E-2</v>
      </c>
      <c r="P4001">
        <v>-0.99970519999999996</v>
      </c>
      <c r="Q4001">
        <v>1.937877E-2</v>
      </c>
      <c r="R4001">
        <v>1.4646609999999999E-2</v>
      </c>
      <c r="S4001">
        <v>-3.0079039999999999</v>
      </c>
      <c r="T4001">
        <v>-0.2144411</v>
      </c>
      <c r="U4001">
        <v>-0.21153259999999999</v>
      </c>
      <c r="V4001">
        <v>3.5093920000000001E-2</v>
      </c>
      <c r="W4001">
        <v>3.4759499999999999E-2</v>
      </c>
      <c r="X4001">
        <v>0.99877939999999998</v>
      </c>
      <c r="Y4001">
        <v>-4.9650699999999902E-2</v>
      </c>
      <c r="Z4001">
        <v>-3.105184E-4</v>
      </c>
      <c r="AA4001">
        <v>0.99876659999999995</v>
      </c>
      <c r="AB4001">
        <v>30</v>
      </c>
      <c r="AC4001">
        <v>-15.200900000000001</v>
      </c>
      <c r="AD4001">
        <v>-1.104691948908</v>
      </c>
      <c r="AE4001">
        <v>-1.0836999999999899</v>
      </c>
      <c r="AF4001">
        <v>-0.76836983838719897</v>
      </c>
      <c r="AG4001">
        <v>-1.104691948908</v>
      </c>
      <c r="AH4001">
        <v>15.1403364941562</v>
      </c>
      <c r="AI4001">
        <v>94.167760958453897</v>
      </c>
      <c r="AJ4001">
        <v>92.905259837565694</v>
      </c>
      <c r="AK4001">
        <v>15.2000172916613</v>
      </c>
    </row>
    <row r="4002" spans="1:37" x14ac:dyDescent="0.2">
      <c r="A4002" t="str">
        <f>"20200111160243060"</f>
        <v>20200111160243060</v>
      </c>
      <c r="B4002" t="str">
        <f>"1578729763056823"</f>
        <v>1578729763056823</v>
      </c>
      <c r="C4002" t="s">
        <v>37</v>
      </c>
      <c r="D4002">
        <v>5.2285519999999996</v>
      </c>
      <c r="E4002">
        <v>0.47010099999999999</v>
      </c>
      <c r="F4002" t="s">
        <v>38</v>
      </c>
      <c r="G4002">
        <v>-394.78199999999998</v>
      </c>
      <c r="H4002" s="1">
        <v>-2.803603E-6</v>
      </c>
      <c r="I4002">
        <v>136.3305</v>
      </c>
      <c r="J4002">
        <v>-379.541</v>
      </c>
      <c r="K4002">
        <v>1.1046959999999999</v>
      </c>
      <c r="L4002">
        <v>137.41030000000001</v>
      </c>
      <c r="M4002">
        <v>-0.99966980000000005</v>
      </c>
      <c r="N4002">
        <v>0</v>
      </c>
      <c r="O4002">
        <v>-2.058134E-2</v>
      </c>
      <c r="P4002">
        <v>-0.99969330000000001</v>
      </c>
      <c r="Q4002">
        <v>1.9432970000000001E-2</v>
      </c>
      <c r="R4002">
        <v>1.53537E-2</v>
      </c>
      <c r="S4002">
        <v>-3.0081180000000001</v>
      </c>
      <c r="T4002">
        <v>-0.2138313</v>
      </c>
      <c r="U4002">
        <v>-0.21020510000000001</v>
      </c>
      <c r="V4002">
        <v>3.5920769999999998E-2</v>
      </c>
      <c r="W4002">
        <v>3.4812389999999999E-2</v>
      </c>
      <c r="X4002">
        <v>0.99874810000000003</v>
      </c>
      <c r="Y4002">
        <v>-4.9089260000000003E-2</v>
      </c>
      <c r="Z4002">
        <v>-2.8119970000000001E-4</v>
      </c>
      <c r="AA4002">
        <v>0.99879439999999997</v>
      </c>
      <c r="AB4002">
        <v>30</v>
      </c>
      <c r="AC4002">
        <v>-15.2409999999999</v>
      </c>
      <c r="AD4002">
        <v>-1.1046988036030001</v>
      </c>
      <c r="AE4002">
        <v>-1.0798000000000001</v>
      </c>
      <c r="AF4002">
        <v>-0.761871279407482</v>
      </c>
      <c r="AG4002">
        <v>-1.1046988036030001</v>
      </c>
      <c r="AH4002">
        <v>15.180641874625801</v>
      </c>
      <c r="AI4002">
        <v>94.156877242056495</v>
      </c>
      <c r="AJ4002">
        <v>92.873094245266302</v>
      </c>
      <c r="AK4002">
        <v>15.239839074567399</v>
      </c>
    </row>
    <row r="4003" spans="1:37" x14ac:dyDescent="0.2">
      <c r="A4003" t="str">
        <f>"20200111160243085"</f>
        <v>20200111160243085</v>
      </c>
      <c r="B4003" t="str">
        <f>"1578729763076343"</f>
        <v>1578729763076343</v>
      </c>
      <c r="C4003" t="s">
        <v>37</v>
      </c>
      <c r="D4003">
        <v>5.0947079999999998</v>
      </c>
      <c r="E4003">
        <v>0.46990140000000002</v>
      </c>
      <c r="F4003" t="s">
        <v>38</v>
      </c>
      <c r="G4003">
        <v>-395.16739999999999</v>
      </c>
      <c r="H4003" s="1">
        <v>-2.643018E-6</v>
      </c>
      <c r="I4003">
        <v>136.3038</v>
      </c>
      <c r="J4003">
        <v>-379.86340000000001</v>
      </c>
      <c r="K4003">
        <v>1.1047069999999899</v>
      </c>
      <c r="L4003">
        <v>137.40350000000001</v>
      </c>
      <c r="M4003">
        <v>-0.99966719999999898</v>
      </c>
      <c r="N4003">
        <v>0</v>
      </c>
      <c r="O4003">
        <v>-2.0709559999999998E-2</v>
      </c>
      <c r="P4003">
        <v>-0.99968389999999996</v>
      </c>
      <c r="Q4003">
        <v>1.981463E-2</v>
      </c>
      <c r="R4003">
        <v>1.547743E-2</v>
      </c>
      <c r="S4003">
        <v>-3.008362</v>
      </c>
      <c r="T4003">
        <v>-0.212675</v>
      </c>
      <c r="U4003">
        <v>-0.2130127</v>
      </c>
      <c r="V4003">
        <v>3.6172469999999998E-2</v>
      </c>
      <c r="W4003">
        <v>3.519125E-2</v>
      </c>
      <c r="X4003">
        <v>0.9987258</v>
      </c>
      <c r="Y4003">
        <v>-4.9882179999999998E-2</v>
      </c>
      <c r="Z4003">
        <v>-2.985738E-4</v>
      </c>
      <c r="AA4003">
        <v>0.99875499999999995</v>
      </c>
      <c r="AB4003">
        <v>30</v>
      </c>
      <c r="AC4003">
        <v>-15.303999999999901</v>
      </c>
      <c r="AD4003">
        <v>-1.1047096430179999</v>
      </c>
      <c r="AE4003">
        <v>-1.0997000000000099</v>
      </c>
      <c r="AF4003">
        <v>-0.77845213494256305</v>
      </c>
      <c r="AG4003">
        <v>-1.1047096430179999</v>
      </c>
      <c r="AH4003">
        <v>15.244469488153101</v>
      </c>
      <c r="AI4003">
        <v>94.139390977839398</v>
      </c>
      <c r="AJ4003">
        <v>92.923244691628099</v>
      </c>
      <c r="AK4003">
        <v>15.304254999737999</v>
      </c>
    </row>
    <row r="4004" spans="1:37" x14ac:dyDescent="0.2">
      <c r="A4004" t="str">
        <f>"20200111160243106"</f>
        <v>20200111160243106</v>
      </c>
      <c r="B4004" t="str">
        <f>"1578729763096839"</f>
        <v>1578729763096839</v>
      </c>
      <c r="C4004" t="s">
        <v>37</v>
      </c>
      <c r="D4004">
        <v>5.1414589999999896</v>
      </c>
      <c r="E4004">
        <v>0.46968019999999999</v>
      </c>
      <c r="F4004" t="s">
        <v>38</v>
      </c>
      <c r="G4004">
        <v>-395.4076</v>
      </c>
      <c r="H4004" s="1">
        <v>-2.5414430000000001E-6</v>
      </c>
      <c r="I4004">
        <v>136.29560000000001</v>
      </c>
      <c r="J4004">
        <v>-380.13819999999998</v>
      </c>
      <c r="K4004">
        <v>1.104714</v>
      </c>
      <c r="L4004">
        <v>137.39769999999999</v>
      </c>
      <c r="M4004">
        <v>-0.99966499999999903</v>
      </c>
      <c r="N4004">
        <v>0</v>
      </c>
      <c r="O4004">
        <v>-2.0818840000000002E-2</v>
      </c>
      <c r="P4004">
        <v>-0.99967739999999905</v>
      </c>
      <c r="Q4004">
        <v>2.0128360000000001E-2</v>
      </c>
      <c r="R4004">
        <v>1.54936E-2</v>
      </c>
      <c r="S4004">
        <v>-3.0085139999999999</v>
      </c>
      <c r="T4004">
        <v>-0.21381239999999899</v>
      </c>
      <c r="U4004">
        <v>-0.21441650000000001</v>
      </c>
      <c r="V4004">
        <v>3.629756E-2</v>
      </c>
      <c r="W4004">
        <v>3.550242E-2</v>
      </c>
      <c r="X4004">
        <v>0.99871019999999899</v>
      </c>
      <c r="Y4004">
        <v>-5.023176E-2</v>
      </c>
      <c r="Z4004">
        <v>-3.0479569999999998E-4</v>
      </c>
      <c r="AA4004">
        <v>0.99873749999999994</v>
      </c>
      <c r="AB4004">
        <v>30</v>
      </c>
      <c r="AC4004">
        <v>-15.269399999999999</v>
      </c>
      <c r="AD4004">
        <v>-1.104716541443</v>
      </c>
      <c r="AE4004">
        <v>-1.1020999999999701</v>
      </c>
      <c r="AF4004">
        <v>-0.77987137485062297</v>
      </c>
      <c r="AG4004">
        <v>-1.104716541443</v>
      </c>
      <c r="AH4004">
        <v>15.2098368522729</v>
      </c>
      <c r="AI4004">
        <v>94.148765047797795</v>
      </c>
      <c r="AJ4004">
        <v>92.935221617772996</v>
      </c>
      <c r="AK4004">
        <v>15.2698308789262</v>
      </c>
    </row>
    <row r="4005" spans="1:37" x14ac:dyDescent="0.2">
      <c r="A4005" t="str">
        <f>"20200111160243129"</f>
        <v>20200111160243129</v>
      </c>
      <c r="B4005" t="str">
        <f>"1578729763116360"</f>
        <v>1578729763116360</v>
      </c>
      <c r="C4005" t="s">
        <v>37</v>
      </c>
      <c r="D4005">
        <v>5.165216</v>
      </c>
      <c r="E4005">
        <v>0.46952269999999902</v>
      </c>
      <c r="F4005" t="s">
        <v>38</v>
      </c>
      <c r="G4005">
        <v>-395.70679999999999</v>
      </c>
      <c r="H4005" s="1">
        <v>-2.4159480000000001E-6</v>
      </c>
      <c r="I4005">
        <v>136.27950000000001</v>
      </c>
      <c r="J4005">
        <v>-380.43790000000001</v>
      </c>
      <c r="K4005">
        <v>1.104716</v>
      </c>
      <c r="L4005">
        <v>137.3914</v>
      </c>
      <c r="M4005">
        <v>-0.99966250000000001</v>
      </c>
      <c r="N4005">
        <v>0</v>
      </c>
      <c r="O4005">
        <v>-2.0937890000000001E-2</v>
      </c>
      <c r="P4005">
        <v>-0.99968210000000002</v>
      </c>
      <c r="Q4005">
        <v>1.9659369999999999E-2</v>
      </c>
      <c r="R4005">
        <v>1.578307E-2</v>
      </c>
      <c r="S4005">
        <v>-3.008575</v>
      </c>
      <c r="T4005">
        <v>-0.21348259999999999</v>
      </c>
      <c r="U4005">
        <v>-0.21607970000000001</v>
      </c>
      <c r="V4005">
        <v>3.6706250000000003E-2</v>
      </c>
      <c r="W4005">
        <v>3.5030659999999998E-2</v>
      </c>
      <c r="X4005">
        <v>0.99871189999999999</v>
      </c>
      <c r="Y4005">
        <v>-5.0660150000000001E-2</v>
      </c>
      <c r="Z4005">
        <v>-3.1105459999999999E-4</v>
      </c>
      <c r="AA4005">
        <v>0.99871589999999999</v>
      </c>
      <c r="AB4005">
        <v>30</v>
      </c>
      <c r="AC4005">
        <v>-15.268899999999901</v>
      </c>
      <c r="AD4005">
        <v>-1.1047184159479999</v>
      </c>
      <c r="AE4005">
        <v>-1.1118999999999899</v>
      </c>
      <c r="AF4005">
        <v>-0.78781763529215099</v>
      </c>
      <c r="AG4005">
        <v>-1.1047184159479999</v>
      </c>
      <c r="AH4005">
        <v>15.2096383647599</v>
      </c>
      <c r="AI4005">
        <v>94.148714853823094</v>
      </c>
      <c r="AJ4005">
        <v>92.965114684803893</v>
      </c>
      <c r="AK4005">
        <v>15.2700412112014</v>
      </c>
    </row>
    <row r="4006" spans="1:37" x14ac:dyDescent="0.2">
      <c r="A4006" t="str">
        <f>"20200111160243151"</f>
        <v>20200111160243151</v>
      </c>
      <c r="B4006" t="str">
        <f>"1578729763146615"</f>
        <v>1578729763146615</v>
      </c>
      <c r="C4006" t="s">
        <v>37</v>
      </c>
      <c r="D4006">
        <v>5.1591110000000002</v>
      </c>
      <c r="E4006">
        <v>0.46935470000000001</v>
      </c>
      <c r="F4006" t="s">
        <v>38</v>
      </c>
      <c r="G4006">
        <v>-395.81699999999898</v>
      </c>
      <c r="H4006" s="1">
        <v>-2.3678680000000002E-6</v>
      </c>
      <c r="I4006">
        <v>136.28399999999999</v>
      </c>
      <c r="J4006">
        <v>-380.72980000000001</v>
      </c>
      <c r="K4006">
        <v>1.1047260000000001</v>
      </c>
      <c r="L4006">
        <v>137.38509999999999</v>
      </c>
      <c r="M4006">
        <v>-0.99966010000000005</v>
      </c>
      <c r="N4006">
        <v>0</v>
      </c>
      <c r="O4006">
        <v>-2.1054659999999999E-2</v>
      </c>
      <c r="P4006">
        <v>-0.99969490000000005</v>
      </c>
      <c r="Q4006">
        <v>1.8871099999999998E-2</v>
      </c>
      <c r="R4006">
        <v>1.59393E-2</v>
      </c>
      <c r="S4006">
        <v>-3.008667</v>
      </c>
      <c r="T4006">
        <v>-0.2161206</v>
      </c>
      <c r="U4006">
        <v>-0.21662899999999999</v>
      </c>
      <c r="V4006">
        <v>3.6979749999999999E-2</v>
      </c>
      <c r="W4006">
        <v>3.4238629999999999E-2</v>
      </c>
      <c r="X4006">
        <v>0.99872929999999904</v>
      </c>
      <c r="Y4006">
        <v>-5.0721049999999997E-2</v>
      </c>
      <c r="Z4006">
        <v>-3.0869650000000002E-4</v>
      </c>
      <c r="AA4006">
        <v>0.99871279999999996</v>
      </c>
      <c r="AB4006">
        <v>29</v>
      </c>
      <c r="AC4006">
        <v>-15.0871999999999</v>
      </c>
      <c r="AD4006">
        <v>-1.104728367868</v>
      </c>
      <c r="AE4006">
        <v>-1.1011</v>
      </c>
      <c r="AF4006">
        <v>-0.77900784679441704</v>
      </c>
      <c r="AG4006">
        <v>-1.104728367868</v>
      </c>
      <c r="AH4006">
        <v>15.026899567545801</v>
      </c>
      <c r="AI4006">
        <v>94.199015340429696</v>
      </c>
      <c r="AJ4006">
        <v>92.967607643006801</v>
      </c>
      <c r="AK4006">
        <v>15.087577294093601</v>
      </c>
    </row>
    <row r="4007" spans="1:37" x14ac:dyDescent="0.2">
      <c r="A4007" t="str">
        <f>"20200111160243173"</f>
        <v>20200111160243173</v>
      </c>
      <c r="B4007" t="str">
        <f>"1578729763166135"</f>
        <v>1578729763166135</v>
      </c>
      <c r="C4007" t="s">
        <v>37</v>
      </c>
      <c r="D4007">
        <v>5.1748070000000004</v>
      </c>
      <c r="E4007">
        <v>0.46934439999999999</v>
      </c>
      <c r="F4007" t="s">
        <v>38</v>
      </c>
      <c r="G4007">
        <v>-395.88199999999898</v>
      </c>
      <c r="H4007" s="1">
        <v>-2.3390110000000001E-6</v>
      </c>
      <c r="I4007">
        <v>136.2894</v>
      </c>
      <c r="J4007">
        <v>-381.02870000000001</v>
      </c>
      <c r="K4007">
        <v>1.1047359999999999</v>
      </c>
      <c r="L4007">
        <v>137.37870000000001</v>
      </c>
      <c r="M4007">
        <v>-0.99965769999999998</v>
      </c>
      <c r="N4007">
        <v>0</v>
      </c>
      <c r="O4007">
        <v>-2.1174410000000001E-2</v>
      </c>
      <c r="P4007">
        <v>-0.99968609999999902</v>
      </c>
      <c r="Q4007">
        <v>1.9151669999999999E-2</v>
      </c>
      <c r="R4007">
        <v>1.6159860000000002E-2</v>
      </c>
      <c r="S4007">
        <v>-3.0085139999999999</v>
      </c>
      <c r="T4007">
        <v>-0.2193475</v>
      </c>
      <c r="U4007">
        <v>-0.21752929999999901</v>
      </c>
      <c r="V4007">
        <v>3.7319659999999998E-2</v>
      </c>
      <c r="W4007">
        <v>3.4514549999999998E-2</v>
      </c>
      <c r="X4007">
        <v>0.99870720000000002</v>
      </c>
      <c r="Y4007">
        <v>-5.0899890000000003E-2</v>
      </c>
      <c r="Z4007">
        <v>-3.1110559999999998E-4</v>
      </c>
      <c r="AA4007">
        <v>0.99870369999999997</v>
      </c>
      <c r="AB4007">
        <v>29</v>
      </c>
      <c r="AC4007">
        <v>-14.8532999999999</v>
      </c>
      <c r="AD4007">
        <v>-1.1047383390109999</v>
      </c>
      <c r="AE4007">
        <v>-1.0892999999999999</v>
      </c>
      <c r="AF4007">
        <v>-0.77027046433990198</v>
      </c>
      <c r="AG4007">
        <v>-1.1047383390109999</v>
      </c>
      <c r="AH4007">
        <v>14.7916491360208</v>
      </c>
      <c r="AI4007">
        <v>94.265539932230496</v>
      </c>
      <c r="AJ4007">
        <v>92.9809670277848</v>
      </c>
      <c r="AK4007">
        <v>14.8528329805818</v>
      </c>
    </row>
    <row r="4008" spans="1:37" x14ac:dyDescent="0.2">
      <c r="A4008" t="str">
        <f>"20200111160243195"</f>
        <v>20200111160243195</v>
      </c>
      <c r="B4008" t="str">
        <f>"1578729763186631"</f>
        <v>1578729763186631</v>
      </c>
      <c r="C4008" t="s">
        <v>37</v>
      </c>
      <c r="D4008">
        <v>5.2140300000000002</v>
      </c>
      <c r="E4008">
        <v>0.469234599999999</v>
      </c>
      <c r="F4008" t="s">
        <v>38</v>
      </c>
      <c r="G4008">
        <v>-396.14620000000002</v>
      </c>
      <c r="H4008" s="1">
        <v>-2.2262169999999998E-6</v>
      </c>
      <c r="I4008">
        <v>136.28649999999999</v>
      </c>
      <c r="J4008">
        <v>-381.3125</v>
      </c>
      <c r="K4008">
        <v>1.1047559999999901</v>
      </c>
      <c r="L4008">
        <v>137.3725</v>
      </c>
      <c r="M4008">
        <v>-0.99965530000000002</v>
      </c>
      <c r="N4008">
        <v>0</v>
      </c>
      <c r="O4008">
        <v>-2.12882E-2</v>
      </c>
      <c r="P4008">
        <v>-0.9996891</v>
      </c>
      <c r="Q4008">
        <v>1.9026769999999998E-2</v>
      </c>
      <c r="R4008">
        <v>1.611605E-2</v>
      </c>
      <c r="S4008">
        <v>-3.008667</v>
      </c>
      <c r="T4008">
        <v>-0.2198647</v>
      </c>
      <c r="U4008">
        <v>-0.21734619999999999</v>
      </c>
      <c r="V4008">
        <v>3.7389829999999999E-2</v>
      </c>
      <c r="W4008">
        <v>3.4385409999999998E-2</v>
      </c>
      <c r="X4008">
        <v>0.99870899999999996</v>
      </c>
      <c r="Y4008">
        <v>-5.0722499999999997E-2</v>
      </c>
      <c r="Z4008">
        <v>-2.9706729999999997E-4</v>
      </c>
      <c r="AA4008">
        <v>0.99871270000000001</v>
      </c>
      <c r="AB4008">
        <v>29</v>
      </c>
      <c r="AC4008">
        <v>-14.8337</v>
      </c>
      <c r="AD4008">
        <v>-1.1047582262169999</v>
      </c>
      <c r="AE4008">
        <v>-1.0860000000000101</v>
      </c>
      <c r="AF4008">
        <v>-0.76570925271740597</v>
      </c>
      <c r="AG4008">
        <v>-1.1047582262169999</v>
      </c>
      <c r="AH4008">
        <v>14.7719603581077</v>
      </c>
      <c r="AI4008">
        <v>94.271333607872904</v>
      </c>
      <c r="AJ4008">
        <v>92.967289210876103</v>
      </c>
      <c r="AK4008">
        <v>14.832990737528201</v>
      </c>
    </row>
    <row r="4009" spans="1:37" x14ac:dyDescent="0.2">
      <c r="A4009" t="str">
        <f>"20200111160245562"</f>
        <v>20200111160245562</v>
      </c>
      <c r="B4009" t="str">
        <f>"1578729765556267"</f>
        <v>1578729765556267</v>
      </c>
      <c r="C4009" t="s">
        <v>37</v>
      </c>
      <c r="D4009">
        <v>5.4088599999999998</v>
      </c>
      <c r="E4009">
        <v>0.41937659999999999</v>
      </c>
      <c r="F4009" t="s">
        <v>38</v>
      </c>
      <c r="G4009">
        <v>-396.33420000000001</v>
      </c>
      <c r="H4009" s="1">
        <v>-2.1462899999999998E-6</v>
      </c>
      <c r="I4009">
        <v>136.28229999999999</v>
      </c>
      <c r="J4009">
        <v>-407.65159999999997</v>
      </c>
      <c r="K4009">
        <v>1.106581</v>
      </c>
      <c r="L4009">
        <v>134.65280000000001</v>
      </c>
      <c r="M4009">
        <v>-0.96253099999999903</v>
      </c>
      <c r="N4009">
        <v>0</v>
      </c>
      <c r="O4009">
        <v>-0.27039249999999998</v>
      </c>
      <c r="P4009">
        <v>-0.92582960000000003</v>
      </c>
      <c r="Q4009">
        <v>-1.920009E-2</v>
      </c>
      <c r="R4009">
        <v>-0.37745380000000001</v>
      </c>
      <c r="S4009">
        <v>-3.008667</v>
      </c>
      <c r="T4009">
        <v>-0.221271299999999</v>
      </c>
      <c r="U4009">
        <v>-0.218338</v>
      </c>
      <c r="V4009">
        <v>-0.1130005</v>
      </c>
      <c r="W4009">
        <v>8.7243710000000003E-4</v>
      </c>
      <c r="X4009">
        <v>0.99359449999999905</v>
      </c>
      <c r="Y4009">
        <v>0.19881740000000001</v>
      </c>
      <c r="Z4009">
        <v>2.6892030000000001E-2</v>
      </c>
      <c r="AA4009">
        <v>0.97966749999999903</v>
      </c>
      <c r="AB4009">
        <v>19</v>
      </c>
      <c r="AC4009">
        <v>11.3173999999999</v>
      </c>
      <c r="AD4009">
        <v>-1.10658314629</v>
      </c>
      <c r="AE4009">
        <v>1.62949999999997</v>
      </c>
      <c r="AF4009">
        <v>-1.4781658387871399</v>
      </c>
      <c r="AG4009">
        <v>-1.10658314629</v>
      </c>
      <c r="AH4009">
        <v>-11.231151722464899</v>
      </c>
      <c r="AI4009">
        <v>95.579270761152102</v>
      </c>
      <c r="AJ4009">
        <v>-97.497776838870493</v>
      </c>
      <c r="AK4009">
        <v>11.381927320082299</v>
      </c>
    </row>
    <row r="4010" spans="1:37" x14ac:dyDescent="0.2">
      <c r="A4010" t="str">
        <f>"20200111160245585"</f>
        <v>20200111160245585</v>
      </c>
      <c r="B4010" t="str">
        <f>"1578729765576763"</f>
        <v>1578729765576763</v>
      </c>
      <c r="C4010" t="s">
        <v>37</v>
      </c>
      <c r="D4010">
        <v>5.4254489999999898</v>
      </c>
      <c r="E4010">
        <v>0.42142069999999998</v>
      </c>
      <c r="F4010" t="s">
        <v>77</v>
      </c>
      <c r="G4010">
        <v>-415.4271</v>
      </c>
      <c r="H4010" s="1">
        <v>-5.8490350000000001E-6</v>
      </c>
      <c r="I4010">
        <v>129.34209999999999</v>
      </c>
      <c r="J4010">
        <v>-407.8365</v>
      </c>
      <c r="K4010">
        <v>1.106582</v>
      </c>
      <c r="L4010">
        <v>134.5976</v>
      </c>
      <c r="M4010">
        <v>-0.9618331</v>
      </c>
      <c r="N4010">
        <v>0</v>
      </c>
      <c r="O4010">
        <v>-0.272864099999999</v>
      </c>
      <c r="P4010">
        <v>-0.92526849999999905</v>
      </c>
      <c r="Q4010">
        <v>-1.8259899999999999E-2</v>
      </c>
      <c r="R4010">
        <v>-0.37887329999999902</v>
      </c>
      <c r="S4010">
        <v>-2.5286869999999899</v>
      </c>
      <c r="T4010">
        <v>-0.35987599999999997</v>
      </c>
      <c r="U4010">
        <v>-1.727112</v>
      </c>
      <c r="V4010">
        <v>-0.111969899999999</v>
      </c>
      <c r="W4010">
        <v>1.825157E-3</v>
      </c>
      <c r="X4010">
        <v>0.99370990000000003</v>
      </c>
      <c r="Y4010">
        <v>-0.31689850000000003</v>
      </c>
      <c r="Z4010">
        <v>1.363701E-2</v>
      </c>
      <c r="AA4010">
        <v>0.94836139999999902</v>
      </c>
      <c r="AB4010">
        <v>19</v>
      </c>
      <c r="AC4010">
        <v>-7.5905999999999896</v>
      </c>
      <c r="AD4010">
        <v>-1.1065878490349901</v>
      </c>
      <c r="AE4010">
        <v>-5.2555000000000103</v>
      </c>
      <c r="AF4010">
        <v>-2.9420754161965799</v>
      </c>
      <c r="AG4010">
        <v>-1.1065878490349901</v>
      </c>
      <c r="AH4010">
        <v>8.6130360603036191</v>
      </c>
      <c r="AI4010">
        <v>96.932049393811695</v>
      </c>
      <c r="AJ4010">
        <v>108.859346748991</v>
      </c>
      <c r="AK4010">
        <v>9.1686822716413694</v>
      </c>
    </row>
    <row r="4011" spans="1:37" x14ac:dyDescent="0.2">
      <c r="A4011" t="str">
        <f>"20200111160245607"</f>
        <v>20200111160245607</v>
      </c>
      <c r="B4011" t="str">
        <f>"1578729765596283"</f>
        <v>1578729765596283</v>
      </c>
      <c r="C4011" t="s">
        <v>37</v>
      </c>
      <c r="D4011">
        <v>5.3979619999999997</v>
      </c>
      <c r="E4011">
        <v>0.42313339999999999</v>
      </c>
      <c r="F4011" t="s">
        <v>77</v>
      </c>
      <c r="G4011">
        <v>-415.3519</v>
      </c>
      <c r="H4011" s="1">
        <v>-5.9357849999999998E-6</v>
      </c>
      <c r="I4011">
        <v>129.50380000000001</v>
      </c>
      <c r="J4011">
        <v>-408.0104</v>
      </c>
      <c r="K4011">
        <v>1.1065929999999999</v>
      </c>
      <c r="L4011">
        <v>134.54519999999999</v>
      </c>
      <c r="M4011">
        <v>-0.96116259999999998</v>
      </c>
      <c r="N4011">
        <v>0</v>
      </c>
      <c r="O4011">
        <v>-0.27521679999999998</v>
      </c>
      <c r="P4011">
        <v>-0.92474129999999999</v>
      </c>
      <c r="Q4011">
        <v>-1.7802660000000001E-2</v>
      </c>
      <c r="R4011">
        <v>-0.38017979999999901</v>
      </c>
      <c r="S4011">
        <v>-2.5321660000000001</v>
      </c>
      <c r="T4011">
        <v>-0.37284229999999902</v>
      </c>
      <c r="U4011">
        <v>-1.7162630000000001</v>
      </c>
      <c r="V4011">
        <v>-0.1109414</v>
      </c>
      <c r="W4011">
        <v>2.2905489999999998E-3</v>
      </c>
      <c r="X4011">
        <v>0.99382429999999999</v>
      </c>
      <c r="Y4011">
        <v>-0.31121779999999999</v>
      </c>
      <c r="Z4011">
        <v>1.4796480000000001E-2</v>
      </c>
      <c r="AA4011">
        <v>0.95022340000000005</v>
      </c>
      <c r="AB4011">
        <v>19</v>
      </c>
      <c r="AC4011">
        <v>-7.3414999999999901</v>
      </c>
      <c r="AD4011">
        <v>-1.1065989357849999</v>
      </c>
      <c r="AE4011">
        <v>-5.0413999999999799</v>
      </c>
      <c r="AF4011">
        <v>-2.7827334029741002</v>
      </c>
      <c r="AG4011">
        <v>-1.1065989357849999</v>
      </c>
      <c r="AH4011">
        <v>8.3172220763826203</v>
      </c>
      <c r="AI4011">
        <v>97.191259049730306</v>
      </c>
      <c r="AJ4011">
        <v>108.49894571981299</v>
      </c>
      <c r="AK4011">
        <v>8.8399292680753199</v>
      </c>
    </row>
    <row r="4012" spans="1:37" x14ac:dyDescent="0.2">
      <c r="A4012" t="str">
        <f>"20200111160245632"</f>
        <v>20200111160245632</v>
      </c>
      <c r="B4012" t="str">
        <f>"1578729765626540"</f>
        <v>1578729765626540</v>
      </c>
      <c r="C4012" t="s">
        <v>37</v>
      </c>
      <c r="D4012">
        <v>5.4080379999999897</v>
      </c>
      <c r="E4012">
        <v>0.42473139999999998</v>
      </c>
      <c r="F4012" t="s">
        <v>77</v>
      </c>
      <c r="G4012">
        <v>-415.45650000000001</v>
      </c>
      <c r="H4012" s="1">
        <v>-5.9435230000000004E-6</v>
      </c>
      <c r="I4012">
        <v>129.5309</v>
      </c>
      <c r="J4012">
        <v>-408.19630000000001</v>
      </c>
      <c r="K4012">
        <v>1.1066119999999999</v>
      </c>
      <c r="L4012">
        <v>134.48849999999999</v>
      </c>
      <c r="M4012">
        <v>-0.9604241</v>
      </c>
      <c r="N4012">
        <v>0</v>
      </c>
      <c r="O4012">
        <v>-0.27778259999999899</v>
      </c>
      <c r="P4012">
        <v>-0.92428729999999903</v>
      </c>
      <c r="Q4012">
        <v>-1.776577E-2</v>
      </c>
      <c r="R4012">
        <v>-0.38128459999999997</v>
      </c>
      <c r="S4012">
        <v>-2.5350950000000001</v>
      </c>
      <c r="T4012">
        <v>-0.37675120000000001</v>
      </c>
      <c r="U4012">
        <v>-1.7071689999999999</v>
      </c>
      <c r="V4012">
        <v>-0.10947460000000001</v>
      </c>
      <c r="W4012">
        <v>2.3329869999999999E-3</v>
      </c>
      <c r="X4012">
        <v>0.99398679999999995</v>
      </c>
      <c r="Y4012">
        <v>-0.3058729</v>
      </c>
      <c r="Z4012">
        <v>1.5632340000000002E-2</v>
      </c>
      <c r="AA4012">
        <v>0.95194400000000001</v>
      </c>
      <c r="AB4012">
        <v>19</v>
      </c>
      <c r="AC4012">
        <v>-7.2601999999999904</v>
      </c>
      <c r="AD4012">
        <v>-1.1066179435229999</v>
      </c>
      <c r="AE4012">
        <v>-4.9575999999999798</v>
      </c>
      <c r="AF4012">
        <v>-2.7024025791458102</v>
      </c>
      <c r="AG4012">
        <v>-1.1066179435229999</v>
      </c>
      <c r="AH4012">
        <v>8.2215034998105896</v>
      </c>
      <c r="AI4012">
        <v>97.286858549718303</v>
      </c>
      <c r="AJ4012">
        <v>108.195658892531</v>
      </c>
      <c r="AK4012">
        <v>8.7247179192280395</v>
      </c>
    </row>
    <row r="4013" spans="1:37" x14ac:dyDescent="0.2">
      <c r="A4013" t="str">
        <f>"20200111160245654"</f>
        <v>20200111160245654</v>
      </c>
      <c r="B4013" t="str">
        <f>"1578729765647036"</f>
        <v>1578729765647036</v>
      </c>
      <c r="C4013" t="s">
        <v>37</v>
      </c>
      <c r="D4013">
        <v>5.4025369999999997</v>
      </c>
      <c r="E4013">
        <v>0.42473929999999999</v>
      </c>
      <c r="F4013" t="s">
        <v>77</v>
      </c>
      <c r="G4013">
        <v>-415.45960000000002</v>
      </c>
      <c r="H4013" s="1">
        <v>-5.9914720000000002E-6</v>
      </c>
      <c r="I4013">
        <v>129.6276</v>
      </c>
      <c r="J4013">
        <v>-408.37310000000002</v>
      </c>
      <c r="K4013">
        <v>1.106635</v>
      </c>
      <c r="L4013">
        <v>134.4341</v>
      </c>
      <c r="M4013">
        <v>-0.95969579999999999</v>
      </c>
      <c r="N4013">
        <v>0</v>
      </c>
      <c r="O4013">
        <v>-0.28028819999999999</v>
      </c>
      <c r="P4013">
        <v>-0.92404779999999997</v>
      </c>
      <c r="Q4013">
        <v>-1.701051E-2</v>
      </c>
      <c r="R4013">
        <v>-0.38189869999999998</v>
      </c>
      <c r="S4013">
        <v>-2.5377200000000002</v>
      </c>
      <c r="T4013">
        <v>-0.38663940000000002</v>
      </c>
      <c r="U4013">
        <v>-1.698364</v>
      </c>
      <c r="V4013">
        <v>-0.10753989999999999</v>
      </c>
      <c r="W4013">
        <v>3.091632E-3</v>
      </c>
      <c r="X4013">
        <v>0.99419590000000002</v>
      </c>
      <c r="Y4013">
        <v>-0.30069420000000002</v>
      </c>
      <c r="Z4013">
        <v>1.672044E-2</v>
      </c>
      <c r="AA4013">
        <v>0.95357409999999998</v>
      </c>
      <c r="AB4013">
        <v>18</v>
      </c>
      <c r="AC4013">
        <v>-7.0865</v>
      </c>
      <c r="AD4013">
        <v>-1.1066409914719999</v>
      </c>
      <c r="AE4013">
        <v>-4.8064999999999998</v>
      </c>
      <c r="AF4013">
        <v>-2.5839123531101</v>
      </c>
      <c r="AG4013">
        <v>-1.1066409914719999</v>
      </c>
      <c r="AH4013">
        <v>8.0159241006737307</v>
      </c>
      <c r="AI4013">
        <v>97.485632078347393</v>
      </c>
      <c r="AJ4013">
        <v>107.866591763494</v>
      </c>
      <c r="AK4013">
        <v>8.4944862422822904</v>
      </c>
    </row>
    <row r="4014" spans="1:37" x14ac:dyDescent="0.2">
      <c r="A4014" t="str">
        <f>"20200111160245680"</f>
        <v>20200111160245680</v>
      </c>
      <c r="B4014" t="str">
        <f>"1578729765676315"</f>
        <v>1578729765676315</v>
      </c>
      <c r="C4014" t="s">
        <v>37</v>
      </c>
      <c r="D4014">
        <v>5.416385</v>
      </c>
      <c r="E4014">
        <v>0.42523299999999897</v>
      </c>
      <c r="F4014" t="s">
        <v>77</v>
      </c>
      <c r="G4014">
        <v>-415.68060000000003</v>
      </c>
      <c r="H4014" s="1">
        <v>-5.9331029999999999E-6</v>
      </c>
      <c r="I4014">
        <v>129.5359</v>
      </c>
      <c r="J4014">
        <v>-408.56369999999998</v>
      </c>
      <c r="K4014">
        <v>1.106673</v>
      </c>
      <c r="L4014">
        <v>134.37469999999999</v>
      </c>
      <c r="M4014">
        <v>-0.95888139999999999</v>
      </c>
      <c r="N4014">
        <v>0</v>
      </c>
      <c r="O4014">
        <v>-0.28306229999999999</v>
      </c>
      <c r="P4014">
        <v>-0.92359950000000002</v>
      </c>
      <c r="Q4014">
        <v>-1.478433E-2</v>
      </c>
      <c r="R4014">
        <v>-0.38307429999999998</v>
      </c>
      <c r="S4014">
        <v>-2.5367739999999999</v>
      </c>
      <c r="T4014">
        <v>-0.38416549999999999</v>
      </c>
      <c r="U4014">
        <v>-1.7003630000000001</v>
      </c>
      <c r="V4014">
        <v>-0.10592650000000001</v>
      </c>
      <c r="W4014">
        <v>5.3155809999999998E-3</v>
      </c>
      <c r="X4014">
        <v>0.99435969999999996</v>
      </c>
      <c r="Y4014">
        <v>-0.29865639999999999</v>
      </c>
      <c r="Z4014">
        <v>1.7107020000000001E-2</v>
      </c>
      <c r="AA4014">
        <v>0.95420740000000004</v>
      </c>
      <c r="AB4014">
        <v>18</v>
      </c>
      <c r="AC4014">
        <v>-7.1169000000000402</v>
      </c>
      <c r="AD4014">
        <v>-1.106678933103</v>
      </c>
      <c r="AE4014">
        <v>-4.8387999999999902</v>
      </c>
      <c r="AF4014">
        <v>-2.5831482559749102</v>
      </c>
      <c r="AG4014">
        <v>-1.106678933103</v>
      </c>
      <c r="AH4014">
        <v>8.0623547785681708</v>
      </c>
      <c r="AI4014">
        <v>97.447443839451495</v>
      </c>
      <c r="AJ4014">
        <v>107.765263945264</v>
      </c>
      <c r="AK4014">
        <v>8.5380886472805706</v>
      </c>
    </row>
    <row r="4015" spans="1:37" x14ac:dyDescent="0.2">
      <c r="A4015" t="str">
        <f>"20200111160245698"</f>
        <v>20200111160245698</v>
      </c>
      <c r="B4015" t="str">
        <f>"1578729765687051"</f>
        <v>1578729765687051</v>
      </c>
      <c r="C4015" t="s">
        <v>37</v>
      </c>
      <c r="D4015">
        <v>5.4013039999999997</v>
      </c>
      <c r="E4015">
        <v>0.42534079999999902</v>
      </c>
      <c r="F4015" t="s">
        <v>77</v>
      </c>
      <c r="G4015">
        <v>-415.87849999999997</v>
      </c>
      <c r="H4015" s="1">
        <v>-5.8880359999999902E-6</v>
      </c>
      <c r="I4015">
        <v>129.47</v>
      </c>
      <c r="J4015">
        <v>-408.70949999999999</v>
      </c>
      <c r="K4015">
        <v>1.1067100000000001</v>
      </c>
      <c r="L4015">
        <v>134.3288</v>
      </c>
      <c r="M4015">
        <v>-0.95823259999999899</v>
      </c>
      <c r="N4015">
        <v>0</v>
      </c>
      <c r="O4015">
        <v>-0.28525109999999998</v>
      </c>
      <c r="P4015">
        <v>-0.92310599999999998</v>
      </c>
      <c r="Q4015">
        <v>-1.270745E-2</v>
      </c>
      <c r="R4015">
        <v>-0.38433620000000002</v>
      </c>
      <c r="S4015">
        <v>-2.536591</v>
      </c>
      <c r="T4015">
        <v>-0.38376779999999999</v>
      </c>
      <c r="U4015">
        <v>-1.7008209999999999</v>
      </c>
      <c r="V4015">
        <v>-0.105012799999999</v>
      </c>
      <c r="W4015">
        <v>7.3873960000000001E-3</v>
      </c>
      <c r="X4015">
        <v>0.99444339999999998</v>
      </c>
      <c r="Y4015">
        <v>-0.29665799999999998</v>
      </c>
      <c r="Z4015">
        <v>1.750353E-2</v>
      </c>
      <c r="AA4015">
        <v>0.95482339999999999</v>
      </c>
      <c r="AB4015">
        <v>18</v>
      </c>
      <c r="AC4015">
        <v>-7.1689999999999801</v>
      </c>
      <c r="AD4015">
        <v>-1.106715888036</v>
      </c>
      <c r="AE4015">
        <v>-4.8587999999999996</v>
      </c>
      <c r="AF4015">
        <v>-2.5694859102156302</v>
      </c>
      <c r="AG4015">
        <v>-1.106715888036</v>
      </c>
      <c r="AH4015">
        <v>8.1246123268167807</v>
      </c>
      <c r="AI4015">
        <v>97.399997649564398</v>
      </c>
      <c r="AJ4015">
        <v>107.550054029311</v>
      </c>
      <c r="AK4015">
        <v>8.5928111442467507</v>
      </c>
    </row>
    <row r="4016" spans="1:37" x14ac:dyDescent="0.2">
      <c r="A4016" t="str">
        <f>"20200111160245719"</f>
        <v>20200111160245719</v>
      </c>
      <c r="B4016" t="str">
        <f>"1578729765716332"</f>
        <v>1578729765716332</v>
      </c>
      <c r="C4016" t="s">
        <v>37</v>
      </c>
      <c r="D4016">
        <v>5.4193639999999998</v>
      </c>
      <c r="E4016">
        <v>0.4248786</v>
      </c>
      <c r="F4016" t="s">
        <v>77</v>
      </c>
      <c r="G4016">
        <v>-416.101</v>
      </c>
      <c r="H4016" s="1">
        <v>-5.8201980000000001E-6</v>
      </c>
      <c r="I4016">
        <v>129.3622</v>
      </c>
      <c r="J4016">
        <v>-408.86610000000002</v>
      </c>
      <c r="K4016">
        <v>1.1067450000000001</v>
      </c>
      <c r="L4016">
        <v>134.279</v>
      </c>
      <c r="M4016">
        <v>-0.95750429999999997</v>
      </c>
      <c r="N4016">
        <v>0</v>
      </c>
      <c r="O4016">
        <v>-0.28768670000000002</v>
      </c>
      <c r="P4016">
        <v>-0.92235619999999996</v>
      </c>
      <c r="Q4016">
        <v>-1.120936E-2</v>
      </c>
      <c r="R4016">
        <v>-0.38617829999999997</v>
      </c>
      <c r="S4016">
        <v>-2.5353699999999999</v>
      </c>
      <c r="T4016">
        <v>-0.37961549999999999</v>
      </c>
      <c r="U4016">
        <v>-1.7035830000000001</v>
      </c>
      <c r="V4016">
        <v>-0.10446999999999999</v>
      </c>
      <c r="W4016">
        <v>8.8741250000000001E-3</v>
      </c>
      <c r="X4016">
        <v>0.99448840000000005</v>
      </c>
      <c r="Y4016">
        <v>-0.2951896</v>
      </c>
      <c r="Z4016">
        <v>1.7721000000000001E-2</v>
      </c>
      <c r="AA4016">
        <v>0.95527430000000002</v>
      </c>
      <c r="AB4016">
        <v>18</v>
      </c>
      <c r="AC4016">
        <v>-7.2348999999999801</v>
      </c>
      <c r="AD4016">
        <v>-1.1067508201980001</v>
      </c>
      <c r="AE4016">
        <v>-4.9167999999999896</v>
      </c>
      <c r="AF4016">
        <v>-2.58563644153711</v>
      </c>
      <c r="AG4016">
        <v>-1.1067508201980001</v>
      </c>
      <c r="AH4016">
        <v>8.2122458934675393</v>
      </c>
      <c r="AI4016">
        <v>97.325049184436594</v>
      </c>
      <c r="AJ4016">
        <v>107.476677111657</v>
      </c>
      <c r="AK4016">
        <v>8.6805181758111694</v>
      </c>
    </row>
    <row r="4017" spans="1:37" x14ac:dyDescent="0.2">
      <c r="A4017" t="str">
        <f>"20200111160245741"</f>
        <v>20200111160245741</v>
      </c>
      <c r="B4017" t="str">
        <f>"1578729765736830"</f>
        <v>1578729765736830</v>
      </c>
      <c r="C4017" t="s">
        <v>37</v>
      </c>
      <c r="D4017">
        <v>5.3190210000000002</v>
      </c>
      <c r="E4017">
        <v>0.4249867</v>
      </c>
      <c r="F4017" t="s">
        <v>77</v>
      </c>
      <c r="G4017">
        <v>-416.20319999999998</v>
      </c>
      <c r="H4017" s="1">
        <v>-5.79001999999999E-6</v>
      </c>
      <c r="I4017">
        <v>129.31469999999999</v>
      </c>
      <c r="J4017">
        <v>-409.03280000000001</v>
      </c>
      <c r="K4017">
        <v>1.106797</v>
      </c>
      <c r="L4017">
        <v>134.2253</v>
      </c>
      <c r="M4017">
        <v>-0.95668589999999998</v>
      </c>
      <c r="N4017">
        <v>0</v>
      </c>
      <c r="O4017">
        <v>-0.29039769999999998</v>
      </c>
      <c r="P4017">
        <v>-0.92138129999999996</v>
      </c>
      <c r="Q4017">
        <v>-1.088135E-2</v>
      </c>
      <c r="R4017">
        <v>-0.38850790000000002</v>
      </c>
      <c r="S4017">
        <v>-2.5309140000000001</v>
      </c>
      <c r="T4017">
        <v>-0.38177339999999998</v>
      </c>
      <c r="U4017">
        <v>-1.712448</v>
      </c>
      <c r="V4017">
        <v>-0.1041672</v>
      </c>
      <c r="W4017">
        <v>9.1807199999999999E-3</v>
      </c>
      <c r="X4017">
        <v>0.9945174</v>
      </c>
      <c r="Y4017">
        <v>-0.2955758</v>
      </c>
      <c r="Z4017">
        <v>1.8141600000000001E-2</v>
      </c>
      <c r="AA4017">
        <v>0.95514699999999997</v>
      </c>
      <c r="AB4017">
        <v>18</v>
      </c>
      <c r="AC4017">
        <v>-7.1703999999999697</v>
      </c>
      <c r="AD4017">
        <v>-1.1068027900199999</v>
      </c>
      <c r="AE4017">
        <v>-4.9106000000000103</v>
      </c>
      <c r="AF4017">
        <v>-2.57443007891368</v>
      </c>
      <c r="AG4017">
        <v>-1.1068027900199999</v>
      </c>
      <c r="AH4017">
        <v>8.1553207273282595</v>
      </c>
      <c r="AI4017">
        <v>97.374237789325406</v>
      </c>
      <c r="AJ4017">
        <v>107.519599018701</v>
      </c>
      <c r="AK4017">
        <v>8.6233380319225308</v>
      </c>
    </row>
    <row r="4018" spans="1:37" x14ac:dyDescent="0.2">
      <c r="A4018" t="str">
        <f>"20200111160245764"</f>
        <v>20200111160245764</v>
      </c>
      <c r="B4018" t="str">
        <f>"1578729765756347"</f>
        <v>1578729765756347</v>
      </c>
      <c r="C4018" t="s">
        <v>37</v>
      </c>
      <c r="D4018">
        <v>5.3251559999999998</v>
      </c>
      <c r="E4018">
        <v>0.4251122</v>
      </c>
      <c r="F4018" t="s">
        <v>77</v>
      </c>
      <c r="G4018">
        <v>-416.31380000000001</v>
      </c>
      <c r="H4018" s="1">
        <v>-5.7625519999999899E-6</v>
      </c>
      <c r="I4018">
        <v>129.27330000000001</v>
      </c>
      <c r="J4018">
        <v>-409.1979</v>
      </c>
      <c r="K4018">
        <v>1.1068519999999999</v>
      </c>
      <c r="L4018">
        <v>134.17150000000001</v>
      </c>
      <c r="M4018">
        <v>-0.95582590000000001</v>
      </c>
      <c r="N4018">
        <v>0</v>
      </c>
      <c r="O4018">
        <v>-0.29321729999999901</v>
      </c>
      <c r="P4018">
        <v>-0.92002729999999999</v>
      </c>
      <c r="Q4018">
        <v>-1.1186939999999999E-2</v>
      </c>
      <c r="R4018">
        <v>-0.39169540000000003</v>
      </c>
      <c r="S4018">
        <v>-2.5268250000000001</v>
      </c>
      <c r="T4018">
        <v>-0.3841136</v>
      </c>
      <c r="U4018">
        <v>-1.71856699999999</v>
      </c>
      <c r="V4018">
        <v>-0.104679199999999</v>
      </c>
      <c r="W4018">
        <v>8.8388419999999995E-3</v>
      </c>
      <c r="X4018">
        <v>0.99446679999999998</v>
      </c>
      <c r="Y4018">
        <v>-0.29508200000000001</v>
      </c>
      <c r="Z4018">
        <v>1.8652330000000002E-2</v>
      </c>
      <c r="AA4018">
        <v>0.95528979999999997</v>
      </c>
      <c r="AB4018">
        <v>18</v>
      </c>
      <c r="AC4018">
        <v>-7.1159000000000097</v>
      </c>
      <c r="AD4018">
        <v>-1.106857762552</v>
      </c>
      <c r="AE4018">
        <v>-4.8982000000000001</v>
      </c>
      <c r="AF4018">
        <v>-2.55394056578261</v>
      </c>
      <c r="AG4018">
        <v>-1.106857762552</v>
      </c>
      <c r="AH4018">
        <v>8.1064516529807005</v>
      </c>
      <c r="AI4018">
        <v>97.419877702941903</v>
      </c>
      <c r="AJ4018">
        <v>107.487052588114</v>
      </c>
      <c r="AK4018">
        <v>8.5710153962167794</v>
      </c>
    </row>
    <row r="4019" spans="1:37" x14ac:dyDescent="0.2">
      <c r="A4019" t="str">
        <f>"20200111160245790"</f>
        <v>20200111160245790</v>
      </c>
      <c r="B4019" t="str">
        <f>"1578729765786603"</f>
        <v>1578729765786603</v>
      </c>
      <c r="C4019" t="s">
        <v>37</v>
      </c>
      <c r="D4019">
        <v>5.2985100000000003</v>
      </c>
      <c r="E4019">
        <v>0.42513809999999902</v>
      </c>
      <c r="F4019" t="s">
        <v>77</v>
      </c>
      <c r="G4019">
        <v>-416.38119999999998</v>
      </c>
      <c r="H4019" s="1">
        <v>-5.7473860000000003E-6</v>
      </c>
      <c r="I4019">
        <v>129.25129999999999</v>
      </c>
      <c r="J4019">
        <v>-409.38189999999997</v>
      </c>
      <c r="K4019">
        <v>1.1069249999999999</v>
      </c>
      <c r="L4019">
        <v>134.11060000000001</v>
      </c>
      <c r="M4019">
        <v>-0.95480200000000004</v>
      </c>
      <c r="N4019">
        <v>0</v>
      </c>
      <c r="O4019">
        <v>-0.29653609999999903</v>
      </c>
      <c r="P4019">
        <v>-0.91800110000000001</v>
      </c>
      <c r="Q4019">
        <v>-1.19519E-2</v>
      </c>
      <c r="R4019">
        <v>-0.39639780000000002</v>
      </c>
      <c r="S4019">
        <v>-2.520905</v>
      </c>
      <c r="T4019">
        <v>-0.38844479999999998</v>
      </c>
      <c r="U4019">
        <v>-1.726715</v>
      </c>
      <c r="V4019">
        <v>-0.1063143</v>
      </c>
      <c r="W4019">
        <v>8.0158499999999997E-3</v>
      </c>
      <c r="X4019">
        <v>0.99430019999999997</v>
      </c>
      <c r="Y4019">
        <v>-0.29493409999999998</v>
      </c>
      <c r="Z4019">
        <v>1.93118E-2</v>
      </c>
      <c r="AA4019">
        <v>0.95532240000000002</v>
      </c>
      <c r="AB4019">
        <v>18</v>
      </c>
      <c r="AC4019">
        <v>-6.9992999999999999</v>
      </c>
      <c r="AD4019">
        <v>-1.1069307473859999</v>
      </c>
      <c r="AE4019">
        <v>-4.8593000000000099</v>
      </c>
      <c r="AF4019">
        <v>-2.5220976355086999</v>
      </c>
      <c r="AG4019">
        <v>-1.1069307473859999</v>
      </c>
      <c r="AH4019">
        <v>7.9907508229653104</v>
      </c>
      <c r="AI4019">
        <v>97.525349635465005</v>
      </c>
      <c r="AJ4019">
        <v>107.517109103556</v>
      </c>
      <c r="AK4019">
        <v>8.4521222706056403</v>
      </c>
    </row>
    <row r="4020" spans="1:37" x14ac:dyDescent="0.2">
      <c r="A4020" t="str">
        <f>"20200111160245812"</f>
        <v>20200111160245812</v>
      </c>
      <c r="B4020" t="str">
        <f>"1578729765807099"</f>
        <v>1578729765807099</v>
      </c>
      <c r="C4020" t="s">
        <v>37</v>
      </c>
      <c r="D4020">
        <v>5.8209460000000002</v>
      </c>
      <c r="E4020">
        <v>0.4251452</v>
      </c>
      <c r="F4020" t="s">
        <v>77</v>
      </c>
      <c r="G4020">
        <v>-416.39780000000002</v>
      </c>
      <c r="H4020" s="1">
        <v>-5.7482679999999996E-6</v>
      </c>
      <c r="I4020">
        <v>129.25489999999999</v>
      </c>
      <c r="J4020">
        <v>-409.54610000000002</v>
      </c>
      <c r="K4020">
        <v>1.1069990000000001</v>
      </c>
      <c r="L4020">
        <v>134.05539999999999</v>
      </c>
      <c r="M4020">
        <v>-0.95381369999999899</v>
      </c>
      <c r="N4020">
        <v>0</v>
      </c>
      <c r="O4020">
        <v>-0.29970159999999901</v>
      </c>
      <c r="P4020">
        <v>-0.91575039999999996</v>
      </c>
      <c r="Q4020">
        <v>-1.239644E-2</v>
      </c>
      <c r="R4020">
        <v>-0.40155669999999999</v>
      </c>
      <c r="S4020">
        <v>-2.5120849999999999</v>
      </c>
      <c r="T4020">
        <v>-0.396341099999999</v>
      </c>
      <c r="U4020">
        <v>-1.7386169999999901</v>
      </c>
      <c r="V4020">
        <v>-0.1086121</v>
      </c>
      <c r="W4020">
        <v>7.5046959999999999E-3</v>
      </c>
      <c r="X4020">
        <v>0.99405589999999999</v>
      </c>
      <c r="Y4020">
        <v>-0.29640420000000001</v>
      </c>
      <c r="Z4020">
        <v>2.0035219999999999E-2</v>
      </c>
      <c r="AA4020">
        <v>0.95485239999999905</v>
      </c>
      <c r="AB4020">
        <v>17</v>
      </c>
      <c r="AC4020">
        <v>-6.8516999999999904</v>
      </c>
      <c r="AD4020">
        <v>-1.1070047482680001</v>
      </c>
      <c r="AE4020">
        <v>-4.8005000000000004</v>
      </c>
      <c r="AF4020">
        <v>-2.48238182848515</v>
      </c>
      <c r="AG4020">
        <v>-1.1070047482680001</v>
      </c>
      <c r="AH4020">
        <v>7.8383897245320604</v>
      </c>
      <c r="AI4020">
        <v>97.668080782211902</v>
      </c>
      <c r="AJ4020">
        <v>107.57275408872199</v>
      </c>
      <c r="AK4020">
        <v>8.2962661799589696</v>
      </c>
    </row>
    <row r="4021" spans="1:37" x14ac:dyDescent="0.2">
      <c r="A4021" t="str">
        <f>"20200111160245834"</f>
        <v>20200111160245834</v>
      </c>
      <c r="B4021" t="str">
        <f>"1578729765826620"</f>
        <v>1578729765826620</v>
      </c>
      <c r="C4021" t="s">
        <v>37</v>
      </c>
      <c r="D4021">
        <v>5.3668050000000003</v>
      </c>
      <c r="E4021">
        <v>0.41849389999999997</v>
      </c>
      <c r="F4021" t="s">
        <v>77</v>
      </c>
      <c r="G4021">
        <v>-416.47919999999999</v>
      </c>
      <c r="H4021" s="1">
        <v>-5.7152919999999898E-6</v>
      </c>
      <c r="I4021">
        <v>129.1994</v>
      </c>
      <c r="J4021">
        <v>-409.69979999999998</v>
      </c>
      <c r="K4021">
        <v>1.1070629999999999</v>
      </c>
      <c r="L4021">
        <v>134.00290000000001</v>
      </c>
      <c r="M4021">
        <v>-0.952833499999999</v>
      </c>
      <c r="N4021">
        <v>0</v>
      </c>
      <c r="O4021">
        <v>-0.30280600000000002</v>
      </c>
      <c r="P4021">
        <v>-0.91345270000000001</v>
      </c>
      <c r="Q4021">
        <v>-1.312896E-2</v>
      </c>
      <c r="R4021">
        <v>-0.40673309999999901</v>
      </c>
      <c r="S4021">
        <v>-2.5021360000000001</v>
      </c>
      <c r="T4021">
        <v>-0.39951340000000002</v>
      </c>
      <c r="U4021">
        <v>-1.752502</v>
      </c>
      <c r="V4021">
        <v>-0.1110018</v>
      </c>
      <c r="W4021">
        <v>6.7055369999999897E-3</v>
      </c>
      <c r="X4021">
        <v>0.99379759999999995</v>
      </c>
      <c r="Y4021">
        <v>-0.29863790000000001</v>
      </c>
      <c r="Z4021">
        <v>2.0470559999999999E-2</v>
      </c>
      <c r="AA4021">
        <v>0.95414690000000002</v>
      </c>
      <c r="AB4021">
        <v>17</v>
      </c>
      <c r="AC4021">
        <v>-6.7794000000000096</v>
      </c>
      <c r="AD4021">
        <v>-1.107068715292</v>
      </c>
      <c r="AE4021">
        <v>-4.8035000000000103</v>
      </c>
      <c r="AF4021">
        <v>-2.4805796996508298</v>
      </c>
      <c r="AG4021">
        <v>-1.107068715292</v>
      </c>
      <c r="AH4021">
        <v>7.7777351222171403</v>
      </c>
      <c r="AI4021">
        <v>97.722671230426798</v>
      </c>
      <c r="AJ4021">
        <v>107.689220641258</v>
      </c>
      <c r="AK4021">
        <v>8.2384489085062693</v>
      </c>
    </row>
    <row r="4022" spans="1:37" x14ac:dyDescent="0.2">
      <c r="A4022" t="str">
        <f>"20200111160245857"</f>
        <v>20200111160245857</v>
      </c>
      <c r="B4022" t="str">
        <f>"1578729765846139"</f>
        <v>1578729765846139</v>
      </c>
      <c r="C4022" t="s">
        <v>37</v>
      </c>
      <c r="D4022">
        <v>5.1884769999999998</v>
      </c>
      <c r="E4022">
        <v>0.42721999999999999</v>
      </c>
      <c r="F4022" t="s">
        <v>38</v>
      </c>
      <c r="G4022">
        <v>-431.43889999999999</v>
      </c>
      <c r="H4022">
        <v>7.9985870000000001E-2</v>
      </c>
      <c r="I4022">
        <v>118.0628</v>
      </c>
      <c r="J4022">
        <v>-409.86880000000002</v>
      </c>
      <c r="K4022">
        <v>1.107113</v>
      </c>
      <c r="L4022">
        <v>133.9444</v>
      </c>
      <c r="M4022">
        <v>-0.95168969999999897</v>
      </c>
      <c r="N4022">
        <v>0</v>
      </c>
      <c r="O4022">
        <v>-0.3063845</v>
      </c>
      <c r="P4022">
        <v>-0.91084779999999999</v>
      </c>
      <c r="Q4022">
        <v>-1.3467089999999999E-2</v>
      </c>
      <c r="R4022">
        <v>-0.41252290000000003</v>
      </c>
      <c r="S4022">
        <v>-2.4745789999999999</v>
      </c>
      <c r="T4022">
        <v>-0.1169133</v>
      </c>
      <c r="U4022">
        <v>-1.814484</v>
      </c>
      <c r="V4022">
        <v>-0.11357539999999899</v>
      </c>
      <c r="W4022">
        <v>6.2940339999999996E-3</v>
      </c>
      <c r="X4022">
        <v>0.99350949999999905</v>
      </c>
      <c r="Y4022">
        <v>-0.31572670000000003</v>
      </c>
      <c r="Z4022">
        <v>5.7980530000000001E-3</v>
      </c>
      <c r="AA4022">
        <v>0.94883249999999997</v>
      </c>
      <c r="AB4022">
        <v>17</v>
      </c>
      <c r="AC4022">
        <v>-21.570099999999901</v>
      </c>
      <c r="AD4022">
        <v>-1.02712713</v>
      </c>
      <c r="AE4022">
        <v>-15.881600000000001</v>
      </c>
      <c r="AF4022">
        <v>-8.4948866573180606</v>
      </c>
      <c r="AG4022">
        <v>-1.02712713</v>
      </c>
      <c r="AH4022">
        <v>25.361900511835699</v>
      </c>
      <c r="AI4022">
        <v>92.199187837539597</v>
      </c>
      <c r="AJ4022">
        <v>108.518107313203</v>
      </c>
      <c r="AK4022">
        <v>26.766473190058399</v>
      </c>
    </row>
    <row r="4023" spans="1:37" x14ac:dyDescent="0.2">
      <c r="A4023" t="str">
        <f>"20200111160245879"</f>
        <v>20200111160245879</v>
      </c>
      <c r="B4023" t="str">
        <f>"1578729765866635"</f>
        <v>1578729765866635</v>
      </c>
      <c r="C4023" t="s">
        <v>37</v>
      </c>
      <c r="D4023">
        <v>5.0578440000000002</v>
      </c>
      <c r="E4023">
        <v>0.41948259999999998</v>
      </c>
      <c r="F4023" t="s">
        <v>77</v>
      </c>
      <c r="G4023">
        <v>-417.16879999999998</v>
      </c>
      <c r="H4023" s="1">
        <v>-5.451E-6</v>
      </c>
      <c r="I4023">
        <v>128.7593</v>
      </c>
      <c r="J4023">
        <v>-410.0138</v>
      </c>
      <c r="K4023">
        <v>1.107154</v>
      </c>
      <c r="L4023">
        <v>133.89349999999999</v>
      </c>
      <c r="M4023">
        <v>-0.95065049999999995</v>
      </c>
      <c r="N4023">
        <v>0</v>
      </c>
      <c r="O4023">
        <v>-0.3095967</v>
      </c>
      <c r="P4023">
        <v>-0.90878440000000005</v>
      </c>
      <c r="Q4023">
        <v>-1.329726E-2</v>
      </c>
      <c r="R4023">
        <v>-0.41705419999999999</v>
      </c>
      <c r="S4023">
        <v>-2.4877929999999999</v>
      </c>
      <c r="T4023">
        <v>-0.37729590000000002</v>
      </c>
      <c r="U4023">
        <v>-1.7670439999999901</v>
      </c>
      <c r="V4023">
        <v>-0.1151688</v>
      </c>
      <c r="W4023">
        <v>6.4056119999999998E-3</v>
      </c>
      <c r="X4023">
        <v>0.99332529999999997</v>
      </c>
      <c r="Y4023">
        <v>-0.29817899999999897</v>
      </c>
      <c r="Z4023">
        <v>2.026845E-2</v>
      </c>
      <c r="AA4023">
        <v>0.95429470000000005</v>
      </c>
      <c r="AB4023">
        <v>17</v>
      </c>
      <c r="AC4023">
        <v>-7.1549999999999701</v>
      </c>
      <c r="AD4023">
        <v>-1.107159451</v>
      </c>
      <c r="AE4023">
        <v>-5.1341999999999901</v>
      </c>
      <c r="AF4023">
        <v>-2.6247308005452399</v>
      </c>
      <c r="AG4023">
        <v>-1.107159451</v>
      </c>
      <c r="AH4023">
        <v>8.26257477165192</v>
      </c>
      <c r="AI4023">
        <v>97.277744142329993</v>
      </c>
      <c r="AJ4023">
        <v>107.623230873496</v>
      </c>
      <c r="AK4023">
        <v>8.7398601637788396</v>
      </c>
    </row>
    <row r="4024" spans="1:37" x14ac:dyDescent="0.2">
      <c r="A4024" t="str">
        <f>"20200111160246569"</f>
        <v>20200111160246569</v>
      </c>
      <c r="B4024" t="str">
        <f>"1578729766557299"</f>
        <v>1578729766557299</v>
      </c>
      <c r="C4024" t="s">
        <v>37</v>
      </c>
      <c r="D4024">
        <v>5.529687</v>
      </c>
      <c r="E4024">
        <v>0.292352099999999</v>
      </c>
      <c r="F4024" t="s">
        <v>77</v>
      </c>
      <c r="G4024">
        <v>-417.23910000000001</v>
      </c>
      <c r="H4024" s="1">
        <v>-5.3087329999999999E-6</v>
      </c>
      <c r="I4024">
        <v>128.4881</v>
      </c>
      <c r="J4024">
        <v>-414.36439999999999</v>
      </c>
      <c r="K4024">
        <v>1.107003</v>
      </c>
      <c r="L4024">
        <v>131.9769</v>
      </c>
      <c r="M4024">
        <v>-0.89733869999999905</v>
      </c>
      <c r="N4024">
        <v>0</v>
      </c>
      <c r="O4024">
        <v>-0.4411139</v>
      </c>
      <c r="P4024">
        <v>-0.77716859999999999</v>
      </c>
      <c r="Q4024">
        <v>-4.0005890000000002E-2</v>
      </c>
      <c r="R4024">
        <v>-0.62801960000000001</v>
      </c>
      <c r="S4024">
        <v>-2.4533390000000002</v>
      </c>
      <c r="T4024">
        <v>-0.37593290000000001</v>
      </c>
      <c r="U4024">
        <v>-1.835388</v>
      </c>
      <c r="V4024">
        <v>-0.22059319999999999</v>
      </c>
      <c r="W4024">
        <v>-2.7429680000000001E-2</v>
      </c>
      <c r="X4024">
        <v>0.97498009999999902</v>
      </c>
      <c r="Y4024">
        <v>-0.18594649999999999</v>
      </c>
      <c r="Z4024">
        <v>4.36034E-2</v>
      </c>
      <c r="AA4024">
        <v>0.98159189999999996</v>
      </c>
      <c r="AB4024">
        <v>15</v>
      </c>
      <c r="AC4024">
        <v>-2.87470000000001</v>
      </c>
      <c r="AD4024">
        <v>-1.107008308733</v>
      </c>
      <c r="AE4024">
        <v>-3.4887999999999901</v>
      </c>
      <c r="AF4024">
        <v>-1.7573685885341199</v>
      </c>
      <c r="AG4024">
        <v>-1.107008308733</v>
      </c>
      <c r="AH4024">
        <v>3.8859252419423602</v>
      </c>
      <c r="AI4024">
        <v>104.550971227226</v>
      </c>
      <c r="AJ4024">
        <v>114.334358116277</v>
      </c>
      <c r="AK4024">
        <v>4.4061578203163698</v>
      </c>
    </row>
    <row r="4025" spans="1:37" x14ac:dyDescent="0.2">
      <c r="A4025" t="str">
        <f>"20200111160247084"</f>
        <v>20200111160247084</v>
      </c>
      <c r="B4025" t="str">
        <f>"1578729767076530"</f>
        <v>1578729767076530</v>
      </c>
      <c r="C4025" t="s">
        <v>37</v>
      </c>
      <c r="D4025">
        <v>7.3725779999999999</v>
      </c>
      <c r="E4025">
        <v>0.28843740000000001</v>
      </c>
      <c r="F4025" t="s">
        <v>77</v>
      </c>
      <c r="G4025">
        <v>-418.05079999999998</v>
      </c>
      <c r="H4025" s="1">
        <v>-2.3088619999999998E-6</v>
      </c>
      <c r="I4025">
        <v>122.831</v>
      </c>
      <c r="J4025">
        <v>-417.12799999999999</v>
      </c>
      <c r="K4025">
        <v>1.1073219999999999</v>
      </c>
      <c r="L4025">
        <v>130.1789</v>
      </c>
      <c r="M4025">
        <v>-0.82343719999999998</v>
      </c>
      <c r="N4025">
        <v>0</v>
      </c>
      <c r="O4025">
        <v>-0.56723109999999999</v>
      </c>
      <c r="P4025">
        <v>-0.66688899999999995</v>
      </c>
      <c r="Q4025">
        <v>-3.7261540000000003E-2</v>
      </c>
      <c r="R4025">
        <v>-0.74422480000000002</v>
      </c>
      <c r="S4025">
        <v>-1.278076</v>
      </c>
      <c r="T4025">
        <v>-0.383799</v>
      </c>
      <c r="U4025">
        <v>-3.17089799999999</v>
      </c>
      <c r="V4025">
        <v>-0.234402</v>
      </c>
      <c r="W4025">
        <v>-2.509991E-2</v>
      </c>
      <c r="X4025">
        <v>0.971815599999999</v>
      </c>
      <c r="Y4025">
        <v>-0.5514696</v>
      </c>
      <c r="Z4025">
        <v>3.5743199999999899E-2</v>
      </c>
      <c r="AA4025">
        <v>0.83342890000000003</v>
      </c>
      <c r="AB4025">
        <v>14</v>
      </c>
      <c r="AC4025">
        <v>-0.922799999999938</v>
      </c>
      <c r="AD4025">
        <v>-1.107324308862</v>
      </c>
      <c r="AE4025">
        <v>-7.3478999999999903</v>
      </c>
      <c r="AF4025">
        <v>-5.4067635499047197</v>
      </c>
      <c r="AG4025">
        <v>-1.107324308862</v>
      </c>
      <c r="AH4025">
        <v>4.8205420603368401</v>
      </c>
      <c r="AI4025">
        <v>98.691400983137996</v>
      </c>
      <c r="AJ4025">
        <v>138.28056150827899</v>
      </c>
      <c r="AK4025">
        <v>7.3278158386419401</v>
      </c>
    </row>
    <row r="4026" spans="1:37" x14ac:dyDescent="0.2">
      <c r="A4026" t="str">
        <f>"20200111160247440"</f>
        <v>20200111160247440</v>
      </c>
      <c r="B4026" t="str">
        <f>"1578729767436674"</f>
        <v>1578729767436674</v>
      </c>
      <c r="C4026" t="s">
        <v>37</v>
      </c>
      <c r="D4026">
        <v>5.4782359999999999</v>
      </c>
      <c r="E4026">
        <v>0.29422599999999999</v>
      </c>
      <c r="F4026" t="s">
        <v>38</v>
      </c>
      <c r="G4026">
        <v>-419.57010000000002</v>
      </c>
      <c r="H4026" s="1">
        <v>-4.0668139999999997E-6</v>
      </c>
      <c r="I4026">
        <v>118.9349</v>
      </c>
      <c r="J4026">
        <v>-418.7525</v>
      </c>
      <c r="K4026">
        <v>1.107256</v>
      </c>
      <c r="L4026">
        <v>128.74639999999999</v>
      </c>
      <c r="M4026">
        <v>-0.75103149999999996</v>
      </c>
      <c r="N4026">
        <v>0</v>
      </c>
      <c r="O4026">
        <v>-0.6601146</v>
      </c>
      <c r="P4026">
        <v>-0.57690989999999998</v>
      </c>
      <c r="Q4026">
        <v>-3.7167260000000001E-2</v>
      </c>
      <c r="R4026">
        <v>-0.81596179999999996</v>
      </c>
      <c r="S4026">
        <v>-0.72985840000000002</v>
      </c>
      <c r="T4026">
        <v>-0.33093820000000002</v>
      </c>
      <c r="U4026">
        <v>-3.36042799999999</v>
      </c>
      <c r="V4026">
        <v>-0.23184779999999999</v>
      </c>
      <c r="W4026">
        <v>-2.4955370000000001E-2</v>
      </c>
      <c r="X4026">
        <v>0.97243189999999902</v>
      </c>
      <c r="Y4026">
        <v>-0.59367060000000005</v>
      </c>
      <c r="Z4026">
        <v>3.9623060000000002E-2</v>
      </c>
      <c r="AA4026">
        <v>0.803732</v>
      </c>
      <c r="AB4026">
        <v>14</v>
      </c>
      <c r="AC4026">
        <v>-0.81760000000002697</v>
      </c>
      <c r="AD4026">
        <v>-1.107260066814</v>
      </c>
      <c r="AE4026">
        <v>-9.8114999999999899</v>
      </c>
      <c r="AF4026">
        <v>-6.7444166089150404</v>
      </c>
      <c r="AG4026">
        <v>-1.107260066814</v>
      </c>
      <c r="AH4026">
        <v>7.0028954742317202</v>
      </c>
      <c r="AI4026">
        <v>96.497190375401999</v>
      </c>
      <c r="AJ4026">
        <v>133.92284374037899</v>
      </c>
      <c r="AK4026">
        <v>9.7853832461066794</v>
      </c>
    </row>
    <row r="4027" spans="1:37" x14ac:dyDescent="0.2">
      <c r="A4027" t="str">
        <f>"20200111160247464"</f>
        <v>20200111160247464</v>
      </c>
      <c r="B4027" t="str">
        <f>"1578729767457171"</f>
        <v>1578729767457171</v>
      </c>
      <c r="C4027" t="s">
        <v>37</v>
      </c>
      <c r="D4027">
        <v>5.5483029999999998</v>
      </c>
      <c r="E4027">
        <v>0.29847180000000001</v>
      </c>
      <c r="F4027" t="s">
        <v>38</v>
      </c>
      <c r="G4027">
        <v>-420.14409999999998</v>
      </c>
      <c r="H4027" s="1">
        <v>-2.8414139999999898E-6</v>
      </c>
      <c r="I4027">
        <v>116.12309999999999</v>
      </c>
      <c r="J4027">
        <v>-418.85419999999999</v>
      </c>
      <c r="K4027">
        <v>1.1072090000000001</v>
      </c>
      <c r="L4027">
        <v>128.64400000000001</v>
      </c>
      <c r="M4027">
        <v>-0.74567249999999996</v>
      </c>
      <c r="N4027">
        <v>0</v>
      </c>
      <c r="O4027">
        <v>-0.66616229999999999</v>
      </c>
      <c r="P4027">
        <v>-0.5690113</v>
      </c>
      <c r="Q4027">
        <v>-4.0292790000000002E-2</v>
      </c>
      <c r="R4027">
        <v>-0.82134209999999996</v>
      </c>
      <c r="S4027">
        <v>-0.37463379999999902</v>
      </c>
      <c r="T4027">
        <v>-0.29807929999999999</v>
      </c>
      <c r="U4027">
        <v>-3.3982389999999998</v>
      </c>
      <c r="V4027">
        <v>-0.233240999999999</v>
      </c>
      <c r="W4027">
        <v>-2.8087529999999999E-2</v>
      </c>
      <c r="X4027">
        <v>0.97201319999999902</v>
      </c>
      <c r="Y4027">
        <v>-0.66787849999999904</v>
      </c>
      <c r="Z4027">
        <v>3.310072E-2</v>
      </c>
      <c r="AA4027">
        <v>0.74353389999999997</v>
      </c>
      <c r="AB4027">
        <v>14</v>
      </c>
      <c r="AC4027">
        <v>-1.2898999999999801</v>
      </c>
      <c r="AD4027">
        <v>-1.107211841414</v>
      </c>
      <c r="AE4027">
        <v>-12.520899999999999</v>
      </c>
      <c r="AF4027">
        <v>-8.4129612251439703</v>
      </c>
      <c r="AG4027">
        <v>-1.107211841414</v>
      </c>
      <c r="AH4027">
        <v>9.23229073882497</v>
      </c>
      <c r="AI4027">
        <v>95.065696098784997</v>
      </c>
      <c r="AJ4027">
        <v>132.34147017713599</v>
      </c>
      <c r="AK4027">
        <v>12.5394986711485</v>
      </c>
    </row>
    <row r="4028" spans="1:37" x14ac:dyDescent="0.2">
      <c r="A4028" t="str">
        <f>"20200111160247509"</f>
        <v>20200111160247509</v>
      </c>
      <c r="B4028" t="str">
        <f>"1578729767506946"</f>
        <v>1578729767506946</v>
      </c>
      <c r="C4028" t="s">
        <v>37</v>
      </c>
      <c r="D4028">
        <v>5.5112170000000003</v>
      </c>
      <c r="E4028">
        <v>0.30349759999999998</v>
      </c>
      <c r="F4028" t="s">
        <v>38</v>
      </c>
      <c r="G4028">
        <v>-420.12959999999998</v>
      </c>
      <c r="H4028" s="1">
        <v>-3.18631899999999E-6</v>
      </c>
      <c r="I4028">
        <v>116.9361</v>
      </c>
      <c r="J4028">
        <v>-419.03680000000003</v>
      </c>
      <c r="K4028">
        <v>1.1071409999999999</v>
      </c>
      <c r="L4028">
        <v>128.4562</v>
      </c>
      <c r="M4028">
        <v>-0.73584079999999996</v>
      </c>
      <c r="N4028">
        <v>0</v>
      </c>
      <c r="O4028">
        <v>-0.67700729999999998</v>
      </c>
      <c r="P4028">
        <v>-0.55442199999999997</v>
      </c>
      <c r="Q4028">
        <v>-4.4847360000000003E-2</v>
      </c>
      <c r="R4028">
        <v>-0.83102670000000001</v>
      </c>
      <c r="S4028">
        <v>-0.36837769999999997</v>
      </c>
      <c r="T4028">
        <v>-0.31980459999999999</v>
      </c>
      <c r="U4028">
        <v>-3.3816830000000002</v>
      </c>
      <c r="V4028">
        <v>-0.2359715</v>
      </c>
      <c r="W4028">
        <v>-3.2660099999999997E-2</v>
      </c>
      <c r="X4028">
        <v>0.97121100000000005</v>
      </c>
      <c r="Y4028">
        <v>-0.6578695</v>
      </c>
      <c r="Z4028">
        <v>3.7570760000000002E-2</v>
      </c>
      <c r="AA4028">
        <v>0.75219419999999904</v>
      </c>
      <c r="AB4028">
        <v>14</v>
      </c>
      <c r="AC4028">
        <v>-1.09279999999995</v>
      </c>
      <c r="AD4028">
        <v>-1.1071441863189999</v>
      </c>
      <c r="AE4028">
        <v>-11.520099999999999</v>
      </c>
      <c r="AF4028">
        <v>-7.6677083507995398</v>
      </c>
      <c r="AG4028">
        <v>-1.1071441863189999</v>
      </c>
      <c r="AH4028">
        <v>8.5261294512851595</v>
      </c>
      <c r="AI4028">
        <v>95.514912125690202</v>
      </c>
      <c r="AJ4028">
        <v>131.965641138558</v>
      </c>
      <c r="AK4028">
        <v>11.5201737409768</v>
      </c>
    </row>
    <row r="4029" spans="1:37" x14ac:dyDescent="0.2">
      <c r="A4029" t="str">
        <f>"20200111160247531"</f>
        <v>20200111160247531</v>
      </c>
      <c r="B4029" t="str">
        <f>"1578729767526466"</f>
        <v>1578729767526466</v>
      </c>
      <c r="C4029" t="s">
        <v>37</v>
      </c>
      <c r="D4029">
        <v>5.4923250000000001</v>
      </c>
      <c r="E4029">
        <v>0.3053958</v>
      </c>
      <c r="F4029" t="s">
        <v>38</v>
      </c>
      <c r="G4029">
        <v>-420.20760000000001</v>
      </c>
      <c r="H4029" s="1">
        <v>-3.2108179999999999E-6</v>
      </c>
      <c r="I4029">
        <v>116.9449</v>
      </c>
      <c r="J4029">
        <v>-419.125</v>
      </c>
      <c r="K4029">
        <v>1.1071070000000001</v>
      </c>
      <c r="L4029">
        <v>128.36340000000001</v>
      </c>
      <c r="M4029">
        <v>-0.73097979999999996</v>
      </c>
      <c r="N4029">
        <v>0</v>
      </c>
      <c r="O4029">
        <v>-0.682253199999999</v>
      </c>
      <c r="P4029">
        <v>-0.54727139999999996</v>
      </c>
      <c r="Q4029">
        <v>-4.7495389999999998E-2</v>
      </c>
      <c r="R4029">
        <v>-0.83560709999999905</v>
      </c>
      <c r="S4029">
        <v>-0.3421631</v>
      </c>
      <c r="T4029">
        <v>-0.32357049999999998</v>
      </c>
      <c r="U4029">
        <v>-3.3642729999999998</v>
      </c>
      <c r="V4029">
        <v>-0.23723449999999999</v>
      </c>
      <c r="W4029">
        <v>-3.5318580000000002E-2</v>
      </c>
      <c r="X4029">
        <v>0.97081019999999896</v>
      </c>
      <c r="Y4029">
        <v>-0.65785559999999998</v>
      </c>
      <c r="Z4029">
        <v>3.8908329999999998E-2</v>
      </c>
      <c r="AA4029">
        <v>0.75213839999999998</v>
      </c>
      <c r="AB4029">
        <v>14</v>
      </c>
      <c r="AC4029">
        <v>-1.08260000000001</v>
      </c>
      <c r="AD4029">
        <v>-1.107110210818</v>
      </c>
      <c r="AE4029">
        <v>-11.4185</v>
      </c>
      <c r="AF4029">
        <v>-7.5386056884466797</v>
      </c>
      <c r="AG4029">
        <v>-1.107110210818</v>
      </c>
      <c r="AH4029">
        <v>8.5032959480006607</v>
      </c>
      <c r="AI4029">
        <v>95.5644260659503</v>
      </c>
      <c r="AJ4029">
        <v>131.55862513188001</v>
      </c>
      <c r="AK4029">
        <v>11.4176315724436</v>
      </c>
    </row>
    <row r="4030" spans="1:37" x14ac:dyDescent="0.2">
      <c r="A4030" t="str">
        <f>"20200111160247576"</f>
        <v>20200111160247576</v>
      </c>
      <c r="B4030" t="str">
        <f>"1578729767566482"</f>
        <v>1578729767566482</v>
      </c>
      <c r="C4030" t="s">
        <v>37</v>
      </c>
      <c r="D4030">
        <v>7.4603710000000003</v>
      </c>
      <c r="E4030">
        <v>0.30626229999999999</v>
      </c>
      <c r="F4030" t="s">
        <v>38</v>
      </c>
      <c r="G4030">
        <v>-420.20870000000002</v>
      </c>
      <c r="H4030" s="1">
        <v>-3.3148110000000001E-6</v>
      </c>
      <c r="I4030">
        <v>117.1866</v>
      </c>
      <c r="J4030">
        <v>-419.30540000000002</v>
      </c>
      <c r="K4030">
        <v>1.1070549999999999</v>
      </c>
      <c r="L4030">
        <v>128.1694</v>
      </c>
      <c r="M4030">
        <v>-0.7208135</v>
      </c>
      <c r="N4030">
        <v>0</v>
      </c>
      <c r="O4030">
        <v>-0.69298549999999903</v>
      </c>
      <c r="P4030">
        <v>-0.53389929999999997</v>
      </c>
      <c r="Q4030">
        <v>-5.2159419999999998E-2</v>
      </c>
      <c r="R4030">
        <v>-0.84393770000000001</v>
      </c>
      <c r="S4030">
        <v>-0.32559199999999999</v>
      </c>
      <c r="T4030">
        <v>-0.33262779999999997</v>
      </c>
      <c r="U4030">
        <v>-3.3580320000000001</v>
      </c>
      <c r="V4030">
        <v>-0.2381105</v>
      </c>
      <c r="W4030">
        <v>-3.9989740000000003E-2</v>
      </c>
      <c r="X4030">
        <v>0.97041449999999996</v>
      </c>
      <c r="Y4030">
        <v>-0.65023619999999904</v>
      </c>
      <c r="Z4030">
        <v>4.1915099999999997E-2</v>
      </c>
      <c r="AA4030">
        <v>0.758575</v>
      </c>
      <c r="AB4030">
        <v>13</v>
      </c>
      <c r="AC4030">
        <v>-0.90330000000000099</v>
      </c>
      <c r="AD4030">
        <v>-1.10705831481099</v>
      </c>
      <c r="AE4030">
        <v>-10.9827999999999</v>
      </c>
      <c r="AF4030">
        <v>-7.2184519643787297</v>
      </c>
      <c r="AG4030">
        <v>-1.10705831481099</v>
      </c>
      <c r="AH4030">
        <v>8.1802967600745706</v>
      </c>
      <c r="AI4030">
        <v>95.794194932747402</v>
      </c>
      <c r="AJ4030">
        <v>131.42580418064199</v>
      </c>
      <c r="AK4030">
        <v>10.965805121254</v>
      </c>
    </row>
    <row r="4031" spans="1:37" x14ac:dyDescent="0.2">
      <c r="A4031" t="str">
        <f>"20200111160247712"</f>
        <v>20200111160247712</v>
      </c>
      <c r="B4031" t="str">
        <f>"1578729767707026"</f>
        <v>1578729767707026</v>
      </c>
      <c r="C4031" t="s">
        <v>37</v>
      </c>
      <c r="D4031">
        <v>5.5131040000000002</v>
      </c>
      <c r="E4031">
        <v>0.30398540000000002</v>
      </c>
      <c r="F4031" t="s">
        <v>38</v>
      </c>
      <c r="G4031">
        <v>-420.19819999999999</v>
      </c>
      <c r="H4031" s="1">
        <v>-3.3832870000000001E-6</v>
      </c>
      <c r="I4031">
        <v>117.3527</v>
      </c>
      <c r="J4031">
        <v>-419.8263</v>
      </c>
      <c r="K4031">
        <v>1.1069629999999999</v>
      </c>
      <c r="L4031">
        <v>127.5752</v>
      </c>
      <c r="M4031">
        <v>-0.68953779999999998</v>
      </c>
      <c r="N4031">
        <v>0</v>
      </c>
      <c r="O4031">
        <v>-0.72411300000000001</v>
      </c>
      <c r="P4031">
        <v>-0.50553359999999903</v>
      </c>
      <c r="Q4031">
        <v>-5.4900839999999999E-2</v>
      </c>
      <c r="R4031">
        <v>-0.8610584</v>
      </c>
      <c r="S4031">
        <v>-0.27719120000000003</v>
      </c>
      <c r="T4031">
        <v>-0.34370519999999999</v>
      </c>
      <c r="U4031">
        <v>-3.358215</v>
      </c>
      <c r="V4031">
        <v>-0.227432</v>
      </c>
      <c r="W4031">
        <v>-4.2622420000000001E-2</v>
      </c>
      <c r="X4031">
        <v>0.97286079999999997</v>
      </c>
      <c r="Y4031">
        <v>-0.62735439999999998</v>
      </c>
      <c r="Z4031">
        <v>4.8859880000000001E-2</v>
      </c>
      <c r="AA4031">
        <v>0.77719959999999999</v>
      </c>
      <c r="AB4031">
        <v>13</v>
      </c>
      <c r="AC4031">
        <v>-0.37189999999998202</v>
      </c>
      <c r="AD4031">
        <v>-1.10696638328699</v>
      </c>
      <c r="AE4031">
        <v>-10.222499999999901</v>
      </c>
      <c r="AF4031">
        <v>-6.7016927245501599</v>
      </c>
      <c r="AG4031">
        <v>-1.10696638328699</v>
      </c>
      <c r="AH4031">
        <v>7.5707838811125399</v>
      </c>
      <c r="AI4031">
        <v>96.248025109341498</v>
      </c>
      <c r="AJ4031">
        <v>131.51540181972101</v>
      </c>
      <c r="AK4031">
        <v>10.1712746754047</v>
      </c>
    </row>
    <row r="4032" spans="1:37" x14ac:dyDescent="0.2">
      <c r="A4032" t="str">
        <f>"20200111160247732"</f>
        <v>20200111160247732</v>
      </c>
      <c r="B4032" t="str">
        <f>"1578729767726547"</f>
        <v>1578729767726547</v>
      </c>
      <c r="C4032" t="s">
        <v>37</v>
      </c>
      <c r="D4032">
        <v>5.512219</v>
      </c>
      <c r="E4032">
        <v>0.30310290000000001</v>
      </c>
      <c r="F4032" t="s">
        <v>38</v>
      </c>
      <c r="G4032">
        <v>-420.3784</v>
      </c>
      <c r="H4032" s="1">
        <v>-2.5668199999999998E-6</v>
      </c>
      <c r="I4032">
        <v>115.3377</v>
      </c>
      <c r="J4032">
        <v>-419.89839999999998</v>
      </c>
      <c r="K4032">
        <v>1.1069469999999999</v>
      </c>
      <c r="L4032">
        <v>127.48860000000001</v>
      </c>
      <c r="M4032">
        <v>-0.68496230000000002</v>
      </c>
      <c r="N4032">
        <v>0</v>
      </c>
      <c r="O4032">
        <v>-0.72844279999999995</v>
      </c>
      <c r="P4032">
        <v>-0.50103909999999996</v>
      </c>
      <c r="Q4032">
        <v>-5.4477310000000001E-2</v>
      </c>
      <c r="R4032">
        <v>-0.86370829999999998</v>
      </c>
      <c r="S4032">
        <v>-0.15228269999999999</v>
      </c>
      <c r="T4032">
        <v>-0.30531160000000002</v>
      </c>
      <c r="U4032">
        <v>-3.375229</v>
      </c>
      <c r="V4032">
        <v>-0.2263965</v>
      </c>
      <c r="W4032">
        <v>-4.2187839999999997E-2</v>
      </c>
      <c r="X4032">
        <v>0.97312119999999902</v>
      </c>
      <c r="Y4032">
        <v>-0.65115699999999999</v>
      </c>
      <c r="Z4032">
        <v>4.2778650000000001E-2</v>
      </c>
      <c r="AA4032">
        <v>0.75773639999999998</v>
      </c>
      <c r="AB4032">
        <v>13</v>
      </c>
      <c r="AC4032">
        <v>-0.48000000000001802</v>
      </c>
      <c r="AD4032">
        <v>-1.10694956682</v>
      </c>
      <c r="AE4032">
        <v>-12.1509</v>
      </c>
      <c r="AF4032">
        <v>-7.9085118364081497</v>
      </c>
      <c r="AG4032">
        <v>-1.10694956682</v>
      </c>
      <c r="AH4032">
        <v>9.1054744066507496</v>
      </c>
      <c r="AI4032">
        <v>95.244114893105504</v>
      </c>
      <c r="AJ4032">
        <v>130.97577584127001</v>
      </c>
      <c r="AK4032">
        <v>12.111133761141501</v>
      </c>
    </row>
    <row r="4033" spans="1:37" x14ac:dyDescent="0.2">
      <c r="A4033" t="str">
        <f>"20200111160247754"</f>
        <v>20200111160247754</v>
      </c>
      <c r="B4033" t="str">
        <f>"1578729767747043"</f>
        <v>1578729767747043</v>
      </c>
      <c r="C4033" t="s">
        <v>37</v>
      </c>
      <c r="D4033">
        <v>5.4583969999999997</v>
      </c>
      <c r="E4033">
        <v>0.30278240000000001</v>
      </c>
      <c r="F4033" t="s">
        <v>38</v>
      </c>
      <c r="G4033">
        <v>-420.39599999999899</v>
      </c>
      <c r="H4033" s="1">
        <v>-2.246661E-6</v>
      </c>
      <c r="I4033">
        <v>114.5805</v>
      </c>
      <c r="J4033">
        <v>-419.9828</v>
      </c>
      <c r="K4033">
        <v>1.1069329999999999</v>
      </c>
      <c r="L4033">
        <v>127.38590000000001</v>
      </c>
      <c r="M4033">
        <v>-0.67953059999999998</v>
      </c>
      <c r="N4033">
        <v>0</v>
      </c>
      <c r="O4033">
        <v>-0.73351230000000001</v>
      </c>
      <c r="P4033">
        <v>-0.49519289999999999</v>
      </c>
      <c r="Q4033">
        <v>-5.4377499999999898E-2</v>
      </c>
      <c r="R4033">
        <v>-0.86707959999999995</v>
      </c>
      <c r="S4033">
        <v>-0.13027949999999999</v>
      </c>
      <c r="T4033">
        <v>-0.28981580000000001</v>
      </c>
      <c r="U4033">
        <v>-3.3795470000000001</v>
      </c>
      <c r="V4033">
        <v>-0.22574549999999999</v>
      </c>
      <c r="W4033">
        <v>-4.2080729999999997E-2</v>
      </c>
      <c r="X4033">
        <v>0.97327699999999995</v>
      </c>
      <c r="Y4033">
        <v>-0.65052779999999999</v>
      </c>
      <c r="Z4033">
        <v>4.1211350000000001E-2</v>
      </c>
      <c r="AA4033">
        <v>0.75836349999999997</v>
      </c>
      <c r="AB4033">
        <v>13</v>
      </c>
      <c r="AC4033">
        <v>-0.41319999999995999</v>
      </c>
      <c r="AD4033">
        <v>-1.1069352466609901</v>
      </c>
      <c r="AE4033">
        <v>-12.805400000000001</v>
      </c>
      <c r="AF4033">
        <v>-8.3371712990899098</v>
      </c>
      <c r="AG4033">
        <v>-1.1069352466609901</v>
      </c>
      <c r="AH4033">
        <v>9.6029753464489804</v>
      </c>
      <c r="AI4033">
        <v>94.974647320526998</v>
      </c>
      <c r="AJ4033">
        <v>130.96406659957299</v>
      </c>
      <c r="AK4033">
        <v>12.765220970088</v>
      </c>
    </row>
    <row r="4034" spans="1:37" x14ac:dyDescent="0.2">
      <c r="A4034" t="str">
        <f>"20200111160247781"</f>
        <v>20200111160247781</v>
      </c>
      <c r="B4034" t="str">
        <f>"1578729767776322"</f>
        <v>1578729767776322</v>
      </c>
      <c r="C4034" t="s">
        <v>37</v>
      </c>
      <c r="D4034">
        <v>5.5557460000000001</v>
      </c>
      <c r="E4034">
        <v>0.30283840000000001</v>
      </c>
      <c r="F4034" t="s">
        <v>38</v>
      </c>
      <c r="G4034">
        <v>-420.39789999999999</v>
      </c>
      <c r="H4034" s="1">
        <v>-2.0329850000000001E-6</v>
      </c>
      <c r="I4034">
        <v>114.0812</v>
      </c>
      <c r="J4034">
        <v>-420.07350000000002</v>
      </c>
      <c r="K4034">
        <v>1.1069119999999999</v>
      </c>
      <c r="L4034">
        <v>127.2736</v>
      </c>
      <c r="M4034">
        <v>-0.67358600000000002</v>
      </c>
      <c r="N4034">
        <v>0</v>
      </c>
      <c r="O4034">
        <v>-0.73897519999999906</v>
      </c>
      <c r="P4034">
        <v>-0.48837209999999998</v>
      </c>
      <c r="Q4034">
        <v>-5.4312680000000002E-2</v>
      </c>
      <c r="R4034">
        <v>-0.87094349999999998</v>
      </c>
      <c r="S4034">
        <v>-0.10552980000000001</v>
      </c>
      <c r="T4034">
        <v>-0.28137909999999999</v>
      </c>
      <c r="U4034">
        <v>-3.3820039999999998</v>
      </c>
      <c r="V4034">
        <v>-0.22553129999999999</v>
      </c>
      <c r="W4034">
        <v>-4.2012849999999997E-2</v>
      </c>
      <c r="X4034">
        <v>0.97332960000000002</v>
      </c>
      <c r="Y4034">
        <v>-0.64998440000000002</v>
      </c>
      <c r="Z4034">
        <v>4.0656829999999998E-2</v>
      </c>
      <c r="AA4034">
        <v>0.75885919999999996</v>
      </c>
      <c r="AB4034">
        <v>13</v>
      </c>
      <c r="AC4034">
        <v>-0.32439999999996799</v>
      </c>
      <c r="AD4034">
        <v>-1.106914032985</v>
      </c>
      <c r="AE4034">
        <v>-13.192399999999999</v>
      </c>
      <c r="AF4034">
        <v>-8.5869300933958392</v>
      </c>
      <c r="AG4034">
        <v>-1.106914032985</v>
      </c>
      <c r="AH4034">
        <v>9.8987064361299808</v>
      </c>
      <c r="AI4034">
        <v>94.828326642363294</v>
      </c>
      <c r="AJ4034">
        <v>130.940985282648</v>
      </c>
      <c r="AK4034">
        <v>13.150856101941301</v>
      </c>
    </row>
    <row r="4035" spans="1:37" x14ac:dyDescent="0.2">
      <c r="A4035" t="str">
        <f>"20200111160247803"</f>
        <v>20200111160247803</v>
      </c>
      <c r="B4035" t="str">
        <f>"1578729767796819"</f>
        <v>1578729767796819</v>
      </c>
      <c r="C4035" t="s">
        <v>37</v>
      </c>
      <c r="D4035">
        <v>5.551412</v>
      </c>
      <c r="E4035">
        <v>0.30323820000000001</v>
      </c>
      <c r="F4035" t="s">
        <v>38</v>
      </c>
      <c r="G4035">
        <v>-420.40089999999998</v>
      </c>
      <c r="H4035" s="1">
        <v>-1.7791080000000001E-6</v>
      </c>
      <c r="I4035">
        <v>113.4876</v>
      </c>
      <c r="J4035">
        <v>-420.15679999999998</v>
      </c>
      <c r="K4035">
        <v>1.106897</v>
      </c>
      <c r="L4035">
        <v>127.16889999999999</v>
      </c>
      <c r="M4035">
        <v>-0.66803590000000002</v>
      </c>
      <c r="N4035">
        <v>0</v>
      </c>
      <c r="O4035">
        <v>-0.74399659999999901</v>
      </c>
      <c r="P4035">
        <v>-0.48083389999999998</v>
      </c>
      <c r="Q4035">
        <v>-5.491327E-2</v>
      </c>
      <c r="R4035">
        <v>-0.87509059999999905</v>
      </c>
      <c r="S4035">
        <v>-8.0322270000000001E-2</v>
      </c>
      <c r="T4035">
        <v>-0.27159169999999999</v>
      </c>
      <c r="U4035">
        <v>-3.3825229999999999</v>
      </c>
      <c r="V4035">
        <v>-0.22662109999999999</v>
      </c>
      <c r="W4035">
        <v>-4.262357E-2</v>
      </c>
      <c r="X4035">
        <v>0.97304990000000002</v>
      </c>
      <c r="Y4035">
        <v>-0.64997569999999905</v>
      </c>
      <c r="Z4035">
        <v>3.9817850000000002E-2</v>
      </c>
      <c r="AA4035">
        <v>0.75891109999999995</v>
      </c>
      <c r="AB4035">
        <v>13</v>
      </c>
      <c r="AC4035">
        <v>-0.24410000000000301</v>
      </c>
      <c r="AD4035">
        <v>-1.1068987791080001</v>
      </c>
      <c r="AE4035">
        <v>-13.681299999999901</v>
      </c>
      <c r="AF4035">
        <v>-8.9006299270972509</v>
      </c>
      <c r="AG4035">
        <v>-1.1068987791080001</v>
      </c>
      <c r="AH4035">
        <v>10.275686639696501</v>
      </c>
      <c r="AI4035">
        <v>94.654893011885505</v>
      </c>
      <c r="AJ4035">
        <v>130.898569456454</v>
      </c>
      <c r="AK4035">
        <v>13.639507832893599</v>
      </c>
    </row>
    <row r="4036" spans="1:37" x14ac:dyDescent="0.2">
      <c r="A4036" t="str">
        <f>"20200111160247825"</f>
        <v>20200111160247825</v>
      </c>
      <c r="B4036" t="str">
        <f>"1578729767816339"</f>
        <v>1578729767816339</v>
      </c>
      <c r="C4036" t="s">
        <v>37</v>
      </c>
      <c r="D4036">
        <v>5.514475</v>
      </c>
      <c r="E4036">
        <v>0.3032649</v>
      </c>
      <c r="F4036" t="s">
        <v>38</v>
      </c>
      <c r="G4036">
        <v>-420.3775</v>
      </c>
      <c r="H4036" s="1">
        <v>-1.6974499999999999E-6</v>
      </c>
      <c r="I4036">
        <v>113.31180000000001</v>
      </c>
      <c r="J4036">
        <v>-420.23140000000001</v>
      </c>
      <c r="K4036">
        <v>1.1068830000000001</v>
      </c>
      <c r="L4036">
        <v>127.0737</v>
      </c>
      <c r="M4036">
        <v>-0.66298049999999997</v>
      </c>
      <c r="N4036">
        <v>0</v>
      </c>
      <c r="O4036">
        <v>-0.74850499999999998</v>
      </c>
      <c r="P4036">
        <v>-0.4731996</v>
      </c>
      <c r="Q4036">
        <v>-5.508263E-2</v>
      </c>
      <c r="R4036">
        <v>-0.87923180000000001</v>
      </c>
      <c r="S4036">
        <v>-5.386353E-2</v>
      </c>
      <c r="T4036">
        <v>-0.27012629999999999</v>
      </c>
      <c r="U4036">
        <v>-3.3816830000000002</v>
      </c>
      <c r="V4036">
        <v>-0.22848959999999999</v>
      </c>
      <c r="W4036">
        <v>-4.2810859999999999E-2</v>
      </c>
      <c r="X4036">
        <v>0.97260460000000004</v>
      </c>
      <c r="Y4036">
        <v>-0.65076429999999996</v>
      </c>
      <c r="Z4036">
        <v>4.009617E-2</v>
      </c>
      <c r="AA4036">
        <v>0.75822040000000002</v>
      </c>
      <c r="AB4036">
        <v>13</v>
      </c>
      <c r="AC4036">
        <v>-0.14609999999998899</v>
      </c>
      <c r="AD4036">
        <v>-1.10688469745</v>
      </c>
      <c r="AE4036">
        <v>-13.761899999999899</v>
      </c>
      <c r="AF4036">
        <v>-8.9574626323321702</v>
      </c>
      <c r="AG4036">
        <v>-1.10688469745</v>
      </c>
      <c r="AH4036">
        <v>10.331906135114499</v>
      </c>
      <c r="AI4036">
        <v>94.627819710246897</v>
      </c>
      <c r="AJ4036">
        <v>130.92433826227699</v>
      </c>
      <c r="AK4036">
        <v>13.718950941230601</v>
      </c>
    </row>
    <row r="4037" spans="1:37" x14ac:dyDescent="0.2">
      <c r="A4037" t="str">
        <f>"20200111160247909"</f>
        <v>20200111160247909</v>
      </c>
      <c r="B4037" t="str">
        <f>"1578729767907107"</f>
        <v>1578729767907107</v>
      </c>
      <c r="C4037" t="s">
        <v>37</v>
      </c>
      <c r="D4037">
        <v>5.5317780000000001</v>
      </c>
      <c r="E4037">
        <v>0.30498819999999999</v>
      </c>
      <c r="F4037" t="s">
        <v>38</v>
      </c>
      <c r="G4037">
        <v>-420.33609999999999</v>
      </c>
      <c r="H4037" s="1">
        <v>-1.5842429999999999E-6</v>
      </c>
      <c r="I4037">
        <v>113.0735</v>
      </c>
      <c r="J4037">
        <v>-420.52019999999999</v>
      </c>
      <c r="K4037">
        <v>1.1069009999999999</v>
      </c>
      <c r="L4037">
        <v>126.6919</v>
      </c>
      <c r="M4037">
        <v>-0.64248809999999901</v>
      </c>
      <c r="N4037">
        <v>0</v>
      </c>
      <c r="O4037">
        <v>-0.7661673</v>
      </c>
      <c r="P4037">
        <v>-0.44360299999999903</v>
      </c>
      <c r="Q4037">
        <v>-5.469479E-2</v>
      </c>
      <c r="R4037">
        <v>-0.8945533</v>
      </c>
      <c r="S4037">
        <v>-2.529907E-2</v>
      </c>
      <c r="T4037">
        <v>-0.26736520000000003</v>
      </c>
      <c r="U4037">
        <v>-3.3817140000000001</v>
      </c>
      <c r="V4037">
        <v>-0.23463400000000001</v>
      </c>
      <c r="W4037">
        <v>-4.250375E-2</v>
      </c>
      <c r="X4037">
        <v>0.97115409999999902</v>
      </c>
      <c r="Y4037">
        <v>-0.63654949999999999</v>
      </c>
      <c r="Z4037">
        <v>4.2213479999999998E-2</v>
      </c>
      <c r="AA4037">
        <v>0.77007979999999998</v>
      </c>
      <c r="AB4037">
        <v>13</v>
      </c>
      <c r="AC4037">
        <v>0.18410000000000001</v>
      </c>
      <c r="AD4037">
        <v>-1.10690258424299</v>
      </c>
      <c r="AE4037">
        <v>-13.618399999999999</v>
      </c>
      <c r="AF4037">
        <v>-8.8332404208062894</v>
      </c>
      <c r="AG4037">
        <v>-1.10690258424299</v>
      </c>
      <c r="AH4037">
        <v>10.249008494068599</v>
      </c>
      <c r="AI4037">
        <v>94.676913818934594</v>
      </c>
      <c r="AJ4037">
        <v>130.75683213514799</v>
      </c>
      <c r="AK4037">
        <v>13.575475858114901</v>
      </c>
    </row>
    <row r="4038" spans="1:37" x14ac:dyDescent="0.2">
      <c r="A4038" t="str">
        <f>"20200111160249204"</f>
        <v>20200111160249204</v>
      </c>
      <c r="B4038" t="str">
        <f>"1578729769197021"</f>
        <v>1578729769197021</v>
      </c>
      <c r="C4038" t="s">
        <v>37</v>
      </c>
      <c r="D4038">
        <v>5.084994</v>
      </c>
      <c r="E4038">
        <v>0.40615390000000001</v>
      </c>
      <c r="F4038" t="s">
        <v>38</v>
      </c>
      <c r="G4038">
        <v>-421.10719999999998</v>
      </c>
      <c r="H4038" s="1">
        <v>-3.248737E-7</v>
      </c>
      <c r="I4038">
        <v>109.6597</v>
      </c>
      <c r="J4038">
        <v>-422.96800000000002</v>
      </c>
      <c r="K4038">
        <v>1.107059</v>
      </c>
      <c r="L4038">
        <v>120.5462</v>
      </c>
      <c r="M4038">
        <v>-0.2032581</v>
      </c>
      <c r="N4038">
        <v>0</v>
      </c>
      <c r="O4038">
        <v>-0.97902459999999902</v>
      </c>
      <c r="P4038">
        <v>-9.2016760000000003E-2</v>
      </c>
      <c r="Q4038">
        <v>-3.4099009999999999E-2</v>
      </c>
      <c r="R4038">
        <v>-0.99517359999999899</v>
      </c>
      <c r="S4038">
        <v>0.51336669999999995</v>
      </c>
      <c r="T4038">
        <v>-0.30755769999999999</v>
      </c>
      <c r="U4038">
        <v>-3.0545040000000001</v>
      </c>
      <c r="V4038">
        <v>-0.11207979999999999</v>
      </c>
      <c r="W4038">
        <v>-2.0818039999999999E-2</v>
      </c>
      <c r="X4038">
        <v>0.99348110000000001</v>
      </c>
      <c r="Y4038">
        <v>-0.3619832</v>
      </c>
      <c r="Z4038">
        <v>9.2986219999999994E-2</v>
      </c>
      <c r="AA4038">
        <v>0.92753529999999995</v>
      </c>
      <c r="AB4038">
        <v>11</v>
      </c>
      <c r="AC4038">
        <v>1.86080000000004</v>
      </c>
      <c r="AD4038">
        <v>-1.1070593248737</v>
      </c>
      <c r="AE4038">
        <v>-10.8864999999999</v>
      </c>
      <c r="AF4038">
        <v>-3.9947979060732601</v>
      </c>
      <c r="AG4038">
        <v>-1.1070593248737</v>
      </c>
      <c r="AH4038">
        <v>10.1786708970872</v>
      </c>
      <c r="AI4038">
        <v>95.781178886880099</v>
      </c>
      <c r="AJ4038">
        <v>111.428395628262</v>
      </c>
      <c r="AK4038">
        <v>10.9904200051848</v>
      </c>
    </row>
    <row r="4039" spans="1:37" x14ac:dyDescent="0.2">
      <c r="A4039" t="str">
        <f>"20200111160249226"</f>
        <v>20200111160249226</v>
      </c>
      <c r="B4039" t="str">
        <f>"1578729769216541"</f>
        <v>1578729769216541</v>
      </c>
      <c r="C4039" t="s">
        <v>37</v>
      </c>
      <c r="D4039">
        <v>5.077744</v>
      </c>
      <c r="E4039">
        <v>0.40772649999999999</v>
      </c>
      <c r="F4039" t="s">
        <v>38</v>
      </c>
      <c r="G4039">
        <v>-421.01440000000002</v>
      </c>
      <c r="H4039" s="1">
        <v>-4.4179109999999998E-6</v>
      </c>
      <c r="I4039">
        <v>108.36660000000001</v>
      </c>
      <c r="J4039">
        <v>-422.97890000000001</v>
      </c>
      <c r="K4039">
        <v>1.107048</v>
      </c>
      <c r="L4039">
        <v>120.4469</v>
      </c>
      <c r="M4039">
        <v>-0.19551479999999999</v>
      </c>
      <c r="N4039">
        <v>0</v>
      </c>
      <c r="O4039">
        <v>-0.98060040000000004</v>
      </c>
      <c r="P4039">
        <v>-8.8628199999999893E-2</v>
      </c>
      <c r="Q4039">
        <v>-3.1340159999999999E-2</v>
      </c>
      <c r="R4039">
        <v>-0.99557169999999895</v>
      </c>
      <c r="S4039">
        <v>0.48925779999999902</v>
      </c>
      <c r="T4039">
        <v>-0.27725679999999903</v>
      </c>
      <c r="U4039">
        <v>-3.0503079999999998</v>
      </c>
      <c r="V4039">
        <v>-0.1076462</v>
      </c>
      <c r="W4039">
        <v>-1.8027560000000001E-2</v>
      </c>
      <c r="X4039">
        <v>0.99402579999999996</v>
      </c>
      <c r="Y4039">
        <v>-0.347779</v>
      </c>
      <c r="Z4039">
        <v>8.4526290000000004E-2</v>
      </c>
      <c r="AA4039">
        <v>0.93375859999999899</v>
      </c>
      <c r="AB4039">
        <v>11</v>
      </c>
      <c r="AC4039">
        <v>1.9644999999999799</v>
      </c>
      <c r="AD4039">
        <v>-1.107052417911</v>
      </c>
      <c r="AE4039">
        <v>-12.0802999999999</v>
      </c>
      <c r="AF4039">
        <v>-4.2538848564875398</v>
      </c>
      <c r="AG4039">
        <v>-1.107052417911</v>
      </c>
      <c r="AH4039">
        <v>11.3699603668538</v>
      </c>
      <c r="AI4039">
        <v>95.210560497563307</v>
      </c>
      <c r="AJ4039">
        <v>110.512514780193</v>
      </c>
      <c r="AK4039">
        <v>12.190041024216599</v>
      </c>
    </row>
    <row r="4040" spans="1:37" x14ac:dyDescent="0.2">
      <c r="A4040" t="str">
        <f>"20200111160249248"</f>
        <v>20200111160249248</v>
      </c>
      <c r="B4040" t="str">
        <f>"1578729769237037"</f>
        <v>1578729769237037</v>
      </c>
      <c r="C4040" t="s">
        <v>37</v>
      </c>
      <c r="D4040">
        <v>5.0751780000000002</v>
      </c>
      <c r="E4040">
        <v>0.40848440000000003</v>
      </c>
      <c r="F4040" t="s">
        <v>38</v>
      </c>
      <c r="G4040">
        <v>-420.87979999999999</v>
      </c>
      <c r="H4040" s="1">
        <v>-3.8669129999999999E-6</v>
      </c>
      <c r="I4040">
        <v>107.27679999999999</v>
      </c>
      <c r="J4040">
        <v>-422.98970000000003</v>
      </c>
      <c r="K4040">
        <v>1.1070340000000001</v>
      </c>
      <c r="L4040">
        <v>120.3421</v>
      </c>
      <c r="M4040">
        <v>-0.18735270000000001</v>
      </c>
      <c r="N4040">
        <v>0</v>
      </c>
      <c r="O4040">
        <v>-0.98219259999999997</v>
      </c>
      <c r="P4040">
        <v>-8.4577810000000003E-2</v>
      </c>
      <c r="Q4040">
        <v>-2.750959E-2</v>
      </c>
      <c r="R4040">
        <v>-0.99603709999999901</v>
      </c>
      <c r="S4040">
        <v>0.48590090000000002</v>
      </c>
      <c r="T4040">
        <v>-0.25625249999999999</v>
      </c>
      <c r="U4040">
        <v>-3.0485380000000002</v>
      </c>
      <c r="V4040">
        <v>-0.1034678</v>
      </c>
      <c r="W4040">
        <v>-1.416746E-2</v>
      </c>
      <c r="X4040">
        <v>0.99453189999999903</v>
      </c>
      <c r="Y4040">
        <v>-0.33913509999999902</v>
      </c>
      <c r="Z4040">
        <v>7.8551889999999999E-2</v>
      </c>
      <c r="AA4040">
        <v>0.93745239999999996</v>
      </c>
      <c r="AB4040">
        <v>11</v>
      </c>
      <c r="AC4040">
        <v>2.1099000000000299</v>
      </c>
      <c r="AD4040">
        <v>-1.1070378669130001</v>
      </c>
      <c r="AE4040">
        <v>-13.065300000000001</v>
      </c>
      <c r="AF4040">
        <v>-4.48918158998364</v>
      </c>
      <c r="AG4040">
        <v>-1.1070378669130001</v>
      </c>
      <c r="AH4040">
        <v>12.3521419984034</v>
      </c>
      <c r="AI4040">
        <v>94.814814358589103</v>
      </c>
      <c r="AJ4040">
        <v>109.972837585226</v>
      </c>
      <c r="AK4040">
        <v>13.189150698030099</v>
      </c>
    </row>
    <row r="4041" spans="1:37" x14ac:dyDescent="0.2">
      <c r="A4041" t="str">
        <f>"20200111160249272"</f>
        <v>20200111160249272</v>
      </c>
      <c r="B4041" t="str">
        <f>"1578729769266317"</f>
        <v>1578729769266317</v>
      </c>
      <c r="C4041" t="s">
        <v>37</v>
      </c>
      <c r="D4041">
        <v>5.0623699999999996</v>
      </c>
      <c r="E4041">
        <v>0.40912179999999998</v>
      </c>
      <c r="F4041" t="s">
        <v>38</v>
      </c>
      <c r="G4041">
        <v>-420.69650000000001</v>
      </c>
      <c r="H4041" s="1">
        <v>-3.2793370000000001E-6</v>
      </c>
      <c r="I4041">
        <v>106.1369</v>
      </c>
      <c r="J4041">
        <v>-422.99990000000003</v>
      </c>
      <c r="K4041">
        <v>1.1070180000000001</v>
      </c>
      <c r="L4041">
        <v>120.2333</v>
      </c>
      <c r="M4041">
        <v>-0.17890710000000001</v>
      </c>
      <c r="N4041">
        <v>0</v>
      </c>
      <c r="O4041">
        <v>-0.98376629999999998</v>
      </c>
      <c r="P4041">
        <v>-7.9818639999999996E-2</v>
      </c>
      <c r="Q4041">
        <v>-2.2840989999999999E-2</v>
      </c>
      <c r="R4041">
        <v>-0.99654779999999998</v>
      </c>
      <c r="S4041">
        <v>0.49191279999999998</v>
      </c>
      <c r="T4041">
        <v>-0.2374714</v>
      </c>
      <c r="U4041">
        <v>-3.0471650000000001</v>
      </c>
      <c r="V4041">
        <v>-9.9723820000000005E-2</v>
      </c>
      <c r="W4041">
        <v>-9.4731509999999904E-3</v>
      </c>
      <c r="X4041">
        <v>0.99497009999999897</v>
      </c>
      <c r="Y4041">
        <v>-0.33298719999999998</v>
      </c>
      <c r="Z4041">
        <v>7.3119260000000005E-2</v>
      </c>
      <c r="AA4041">
        <v>0.94009209999999999</v>
      </c>
      <c r="AB4041">
        <v>11</v>
      </c>
      <c r="AC4041">
        <v>2.3034000000000101</v>
      </c>
      <c r="AD4041">
        <v>-1.107021279337</v>
      </c>
      <c r="AE4041">
        <v>-14.096399999999999</v>
      </c>
      <c r="AF4041">
        <v>-4.7598309957922398</v>
      </c>
      <c r="AG4041">
        <v>-1.107021279337</v>
      </c>
      <c r="AH4041">
        <v>13.376437118584899</v>
      </c>
      <c r="AI4041">
        <v>94.458324444585699</v>
      </c>
      <c r="AJ4041">
        <v>109.58743935437199</v>
      </c>
      <c r="AK4041">
        <v>14.2411571583515</v>
      </c>
    </row>
    <row r="4042" spans="1:37" x14ac:dyDescent="0.2">
      <c r="A4042" t="str">
        <f>"20200111160249294"</f>
        <v>20200111160249294</v>
      </c>
      <c r="B4042" t="str">
        <f>"1578729769286813"</f>
        <v>1578729769286813</v>
      </c>
      <c r="C4042" t="s">
        <v>37</v>
      </c>
      <c r="D4042">
        <v>5.7780909999999999</v>
      </c>
      <c r="E4042">
        <v>0.40974079999999902</v>
      </c>
      <c r="F4042" t="s">
        <v>38</v>
      </c>
      <c r="G4042">
        <v>-420.51229999999998</v>
      </c>
      <c r="H4042" s="1">
        <v>-2.74457E-6</v>
      </c>
      <c r="I4042">
        <v>105.1093</v>
      </c>
      <c r="J4042">
        <v>-423.00889999999998</v>
      </c>
      <c r="K4042">
        <v>1.1069959999999901</v>
      </c>
      <c r="L4042">
        <v>120.1284</v>
      </c>
      <c r="M4042">
        <v>-0.1707997</v>
      </c>
      <c r="N4042">
        <v>0</v>
      </c>
      <c r="O4042">
        <v>-0.98520640000000004</v>
      </c>
      <c r="P4042">
        <v>-7.5267050000000002E-2</v>
      </c>
      <c r="Q4042">
        <v>-1.775096E-2</v>
      </c>
      <c r="R4042">
        <v>-0.997005699999999</v>
      </c>
      <c r="S4042">
        <v>0.50091549999999996</v>
      </c>
      <c r="T4042">
        <v>-0.2229122</v>
      </c>
      <c r="U4042">
        <v>-3.0453950000000001</v>
      </c>
      <c r="V4042">
        <v>-9.6121310000000001E-2</v>
      </c>
      <c r="W4042">
        <v>-4.3592930000000002E-3</v>
      </c>
      <c r="X4042">
        <v>0.99536009999999997</v>
      </c>
      <c r="Y4042">
        <v>-0.32806459999999998</v>
      </c>
      <c r="Z4042">
        <v>6.8903729999999996E-2</v>
      </c>
      <c r="AA4042">
        <v>0.94213899999999995</v>
      </c>
      <c r="AB4042">
        <v>11</v>
      </c>
      <c r="AC4042">
        <v>2.4965999999999999</v>
      </c>
      <c r="AD4042">
        <v>-1.10699874456999</v>
      </c>
      <c r="AE4042">
        <v>-15.0190999999999</v>
      </c>
      <c r="AF4042">
        <v>-4.99898892068276</v>
      </c>
      <c r="AG4042">
        <v>-1.10699874456999</v>
      </c>
      <c r="AH4042">
        <v>14.2963244437707</v>
      </c>
      <c r="AI4042">
        <v>94.180471788018096</v>
      </c>
      <c r="AJ4042">
        <v>109.273175839456</v>
      </c>
      <c r="AK4042">
        <v>15.185526959942599</v>
      </c>
    </row>
    <row r="4043" spans="1:37" x14ac:dyDescent="0.2">
      <c r="A4043" t="str">
        <f>"20200111160249316"</f>
        <v>20200111160249316</v>
      </c>
      <c r="B4043" t="str">
        <f>"1578729769306332"</f>
        <v>1578729769306332</v>
      </c>
      <c r="C4043" t="s">
        <v>37</v>
      </c>
      <c r="D4043">
        <v>5.1122699999999996</v>
      </c>
      <c r="E4043">
        <v>0.41090399999999999</v>
      </c>
      <c r="F4043" t="s">
        <v>38</v>
      </c>
      <c r="G4043">
        <v>-420.29129999999998</v>
      </c>
      <c r="H4043" s="1">
        <v>-2.1230950000000001E-6</v>
      </c>
      <c r="I4043">
        <v>103.919</v>
      </c>
      <c r="J4043">
        <v>-423.017</v>
      </c>
      <c r="K4043">
        <v>1.1069789999999999</v>
      </c>
      <c r="L4043">
        <v>120.02549999999999</v>
      </c>
      <c r="M4043">
        <v>-0.16288549999999999</v>
      </c>
      <c r="N4043">
        <v>0</v>
      </c>
      <c r="O4043">
        <v>-0.98654589999999998</v>
      </c>
      <c r="P4043">
        <v>-7.0867529999999998E-2</v>
      </c>
      <c r="Q4043">
        <v>-1.325836E-2</v>
      </c>
      <c r="R4043">
        <v>-0.99739769999999905</v>
      </c>
      <c r="S4043">
        <v>0.51031490000000002</v>
      </c>
      <c r="T4043">
        <v>-0.2078747</v>
      </c>
      <c r="U4043">
        <v>-3.04383899999999</v>
      </c>
      <c r="V4043">
        <v>-9.2558570000000007E-2</v>
      </c>
      <c r="W4043">
        <v>1.5527379999999999E-4</v>
      </c>
      <c r="X4043">
        <v>0.99570720000000001</v>
      </c>
      <c r="Y4043">
        <v>-0.32343929999999999</v>
      </c>
      <c r="Z4043">
        <v>6.4484360000000004E-2</v>
      </c>
      <c r="AA4043">
        <v>0.94404909999999997</v>
      </c>
      <c r="AB4043">
        <v>11</v>
      </c>
      <c r="AC4043">
        <v>2.72570000000001</v>
      </c>
      <c r="AD4043">
        <v>-1.106981123095</v>
      </c>
      <c r="AE4043">
        <v>-16.106499999999901</v>
      </c>
      <c r="AF4043">
        <v>-5.2887760408166402</v>
      </c>
      <c r="AG4043">
        <v>-1.106981123095</v>
      </c>
      <c r="AH4043">
        <v>15.3767225139055</v>
      </c>
      <c r="AI4043">
        <v>93.894488755325995</v>
      </c>
      <c r="AJ4043">
        <v>108.980496539106</v>
      </c>
      <c r="AK4043">
        <v>16.298470924797002</v>
      </c>
    </row>
    <row r="4044" spans="1:37" x14ac:dyDescent="0.2">
      <c r="A4044" t="str">
        <f>"20200111160249337"</f>
        <v>20200111160249337</v>
      </c>
      <c r="B4044" t="str">
        <f>"1578729769326829"</f>
        <v>1578729769326829</v>
      </c>
      <c r="C4044" t="s">
        <v>37</v>
      </c>
      <c r="D4044">
        <v>5.2470679999999996</v>
      </c>
      <c r="E4044">
        <v>0.41221449999999998</v>
      </c>
      <c r="F4044" t="s">
        <v>38</v>
      </c>
      <c r="G4044">
        <v>-420.11169999999998</v>
      </c>
      <c r="H4044" s="1">
        <v>-1.571956E-6</v>
      </c>
      <c r="I4044">
        <v>102.85420000000001</v>
      </c>
      <c r="J4044">
        <v>-423.02409999999998</v>
      </c>
      <c r="K4044">
        <v>1.1069439999999999</v>
      </c>
      <c r="L4044">
        <v>119.9247</v>
      </c>
      <c r="M4044">
        <v>-0.15518779999999999</v>
      </c>
      <c r="N4044">
        <v>0</v>
      </c>
      <c r="O4044">
        <v>-0.98778619999999995</v>
      </c>
      <c r="P4044">
        <v>-6.621175E-2</v>
      </c>
      <c r="Q4044">
        <v>-1.0678979999999999E-2</v>
      </c>
      <c r="R4044">
        <v>-0.99774839999999998</v>
      </c>
      <c r="S4044">
        <v>0.51464840000000001</v>
      </c>
      <c r="T4044">
        <v>-0.19609499999999999</v>
      </c>
      <c r="U4044">
        <v>-3.0417939999999999</v>
      </c>
      <c r="V4044">
        <v>-8.9460269999999995E-2</v>
      </c>
      <c r="W4044">
        <v>2.750695E-3</v>
      </c>
      <c r="X4044">
        <v>0.99598659999999894</v>
      </c>
      <c r="Y4044">
        <v>-0.31750509999999998</v>
      </c>
      <c r="Z4044">
        <v>6.10623E-2</v>
      </c>
      <c r="AA4044">
        <v>0.94628849999999998</v>
      </c>
      <c r="AB4044">
        <v>11</v>
      </c>
      <c r="AC4044">
        <v>2.9123999999999901</v>
      </c>
      <c r="AD4044">
        <v>-1.106945571956</v>
      </c>
      <c r="AE4044">
        <v>-17.0704999999999</v>
      </c>
      <c r="AF4044">
        <v>-5.5040117640225201</v>
      </c>
      <c r="AG4044">
        <v>-1.106945571956</v>
      </c>
      <c r="AH4044">
        <v>16.344851795108401</v>
      </c>
      <c r="AI4044">
        <v>93.672381943506196</v>
      </c>
      <c r="AJ4044">
        <v>108.610583777728</v>
      </c>
      <c r="AK4044">
        <v>17.282177357087502</v>
      </c>
    </row>
    <row r="4045" spans="1:37" x14ac:dyDescent="0.2">
      <c r="A4045" t="str">
        <f>"20200111160249360"</f>
        <v>20200111160249360</v>
      </c>
      <c r="B4045" t="str">
        <f>"1578729769357085"</f>
        <v>1578729769357085</v>
      </c>
      <c r="C4045" t="s">
        <v>37</v>
      </c>
      <c r="D4045">
        <v>5.2853120000000002</v>
      </c>
      <c r="E4045">
        <v>0.42671359999999903</v>
      </c>
      <c r="F4045" t="s">
        <v>38</v>
      </c>
      <c r="G4045">
        <v>-419.93209999999999</v>
      </c>
      <c r="H4045" s="1">
        <v>-1.033102E-6</v>
      </c>
      <c r="I4045">
        <v>101.79130000000001</v>
      </c>
      <c r="J4045">
        <v>-423.03089999999997</v>
      </c>
      <c r="K4045">
        <v>1.1068959999999901</v>
      </c>
      <c r="L4045">
        <v>119.8184</v>
      </c>
      <c r="M4045">
        <v>-0.14715999999999901</v>
      </c>
      <c r="N4045">
        <v>0</v>
      </c>
      <c r="O4045">
        <v>-0.98901439999999996</v>
      </c>
      <c r="P4045">
        <v>-6.1245559999999998E-2</v>
      </c>
      <c r="Q4045">
        <v>-9.4051039999999992E-3</v>
      </c>
      <c r="R4045">
        <v>-0.99807860000000004</v>
      </c>
      <c r="S4045">
        <v>0.51821899999999999</v>
      </c>
      <c r="T4045">
        <v>-0.18552589999999999</v>
      </c>
      <c r="U4045">
        <v>-3.0391849999999998</v>
      </c>
      <c r="V4045">
        <v>-8.6335880000000004E-2</v>
      </c>
      <c r="W4045">
        <v>4.0391029999999996E-3</v>
      </c>
      <c r="X4045">
        <v>0.99625789999999903</v>
      </c>
      <c r="Y4045">
        <v>-0.31104389999999998</v>
      </c>
      <c r="Z4045">
        <v>5.800342E-2</v>
      </c>
      <c r="AA4045">
        <v>0.94862389999999996</v>
      </c>
      <c r="AB4045">
        <v>11</v>
      </c>
      <c r="AC4045">
        <v>3.0987999999999798</v>
      </c>
      <c r="AD4045">
        <v>-1.1068970331019901</v>
      </c>
      <c r="AE4045">
        <v>-18.027099999999901</v>
      </c>
      <c r="AF4045">
        <v>-5.6973183759883099</v>
      </c>
      <c r="AG4045">
        <v>-1.1068970331019901</v>
      </c>
      <c r="AH4045">
        <v>17.311337668415199</v>
      </c>
      <c r="AI4045">
        <v>93.475640848248801</v>
      </c>
      <c r="AJ4045">
        <v>108.21684466583</v>
      </c>
      <c r="AK4045">
        <v>18.258342465545802</v>
      </c>
    </row>
    <row r="4046" spans="1:37" x14ac:dyDescent="0.2">
      <c r="A4046" t="str">
        <f>"20200111160249383"</f>
        <v>20200111160249383</v>
      </c>
      <c r="B4046" t="str">
        <f>"1578729769376604"</f>
        <v>1578729769376604</v>
      </c>
      <c r="C4046" t="s">
        <v>37</v>
      </c>
      <c r="D4046">
        <v>5.4752489999999998</v>
      </c>
      <c r="E4046">
        <v>0.4297222</v>
      </c>
      <c r="F4046" t="s">
        <v>38</v>
      </c>
      <c r="G4046">
        <v>-420.7509</v>
      </c>
      <c r="H4046" s="1">
        <v>-1.972446E-6</v>
      </c>
      <c r="I4046">
        <v>103.3416</v>
      </c>
      <c r="J4046">
        <v>-423.03710000000001</v>
      </c>
      <c r="K4046">
        <v>1.1068209999999901</v>
      </c>
      <c r="L4046">
        <v>119.70950000000001</v>
      </c>
      <c r="M4046">
        <v>-0.1390537</v>
      </c>
      <c r="N4046">
        <v>0</v>
      </c>
      <c r="O4046">
        <v>-0.99018700000000004</v>
      </c>
      <c r="P4046">
        <v>-5.5907289999999998E-2</v>
      </c>
      <c r="Q4046">
        <v>-8.13414199999999E-3</v>
      </c>
      <c r="R4046">
        <v>-0.99840300000000004</v>
      </c>
      <c r="S4046">
        <v>0.41921999999999998</v>
      </c>
      <c r="T4046">
        <v>-0.20352519999999999</v>
      </c>
      <c r="U4046">
        <v>-3.0295869999999998</v>
      </c>
      <c r="V4046">
        <v>-8.3509429999999996E-2</v>
      </c>
      <c r="W4046">
        <v>5.3203490000000003E-3</v>
      </c>
      <c r="X4046">
        <v>0.99649279999999996</v>
      </c>
      <c r="Y4046">
        <v>-0.2731982</v>
      </c>
      <c r="Z4046">
        <v>6.4467300000000005E-2</v>
      </c>
      <c r="AA4046">
        <v>0.95979509999999901</v>
      </c>
      <c r="AB4046">
        <v>11</v>
      </c>
      <c r="AC4046">
        <v>2.2862</v>
      </c>
      <c r="AD4046">
        <v>-1.1068229724459999</v>
      </c>
      <c r="AE4046">
        <v>-16.367899999999999</v>
      </c>
      <c r="AF4046">
        <v>-4.5199497281483803</v>
      </c>
      <c r="AG4046">
        <v>-1.1068229724459999</v>
      </c>
      <c r="AH4046">
        <v>15.819961658363299</v>
      </c>
      <c r="AI4046">
        <v>93.848592321590303</v>
      </c>
      <c r="AJ4046">
        <v>105.945264251439</v>
      </c>
      <c r="AK4046">
        <v>16.490184641458999</v>
      </c>
    </row>
    <row r="4047" spans="1:37" x14ac:dyDescent="0.2">
      <c r="A4047" t="str">
        <f>"20200111160249404"</f>
        <v>20200111160249404</v>
      </c>
      <c r="B4047" t="str">
        <f>"1578729769397101"</f>
        <v>1578729769397101</v>
      </c>
      <c r="C4047" t="s">
        <v>37</v>
      </c>
      <c r="D4047">
        <v>5.3532989999999998</v>
      </c>
      <c r="E4047">
        <v>0.43133159999999998</v>
      </c>
      <c r="F4047" t="s">
        <v>38</v>
      </c>
      <c r="G4047">
        <v>-420.40530000000001</v>
      </c>
      <c r="H4047" s="1">
        <v>-3.9987320000000001E-7</v>
      </c>
      <c r="I4047">
        <v>100.2094</v>
      </c>
      <c r="J4047">
        <v>-423.04219999999998</v>
      </c>
      <c r="K4047">
        <v>1.1067370000000001</v>
      </c>
      <c r="L4047">
        <v>119.6105</v>
      </c>
      <c r="M4047">
        <v>-0.13181509999999999</v>
      </c>
      <c r="N4047">
        <v>0</v>
      </c>
      <c r="O4047">
        <v>-0.99117699999999997</v>
      </c>
      <c r="P4047">
        <v>-5.1281790000000001E-2</v>
      </c>
      <c r="Q4047">
        <v>-6.5070589999999999E-3</v>
      </c>
      <c r="R4047">
        <v>-0.99866339999999998</v>
      </c>
      <c r="S4047">
        <v>0.40844730000000001</v>
      </c>
      <c r="T4047">
        <v>-0.1717707</v>
      </c>
      <c r="U4047">
        <v>-3.02627599999999</v>
      </c>
      <c r="V4047">
        <v>-8.0852160000000006E-2</v>
      </c>
      <c r="W4047">
        <v>6.9549159999999898E-3</v>
      </c>
      <c r="X4047">
        <v>0.99670179999999997</v>
      </c>
      <c r="Y4047">
        <v>-0.2630247</v>
      </c>
      <c r="Z4047">
        <v>5.4679730000000003E-2</v>
      </c>
      <c r="AA4047">
        <v>0.96323840000000005</v>
      </c>
      <c r="AB4047">
        <v>11</v>
      </c>
      <c r="AC4047">
        <v>2.6368999999999598</v>
      </c>
      <c r="AD4047">
        <v>-1.1067373998732</v>
      </c>
      <c r="AE4047">
        <v>-19.4011</v>
      </c>
      <c r="AF4047">
        <v>-5.1550205679154804</v>
      </c>
      <c r="AG4047">
        <v>-1.1067373998732</v>
      </c>
      <c r="AH4047">
        <v>18.824017674076298</v>
      </c>
      <c r="AI4047">
        <v>93.245537910073196</v>
      </c>
      <c r="AJ4047">
        <v>105.31515501928099</v>
      </c>
      <c r="AK4047">
        <v>19.5484717080862</v>
      </c>
    </row>
    <row r="4048" spans="1:37" x14ac:dyDescent="0.2">
      <c r="A4048" t="str">
        <f>"20200111160249427"</f>
        <v>20200111160249427</v>
      </c>
      <c r="B4048" t="str">
        <f>"1578729769416621"</f>
        <v>1578729769416621</v>
      </c>
      <c r="C4048" t="s">
        <v>37</v>
      </c>
      <c r="D4048">
        <v>5.3567629999999999</v>
      </c>
      <c r="E4048">
        <v>0.4330331</v>
      </c>
      <c r="F4048" t="s">
        <v>38</v>
      </c>
      <c r="G4048">
        <v>-420.73309999999998</v>
      </c>
      <c r="H4048" s="1">
        <v>-1.652381E-6</v>
      </c>
      <c r="I4048">
        <v>102.6746</v>
      </c>
      <c r="J4048">
        <v>-423.04689999999999</v>
      </c>
      <c r="K4048">
        <v>1.1066320000000001</v>
      </c>
      <c r="L4048">
        <v>119.5076</v>
      </c>
      <c r="M4048">
        <v>-0.124459999999999</v>
      </c>
      <c r="N4048">
        <v>0</v>
      </c>
      <c r="O4048">
        <v>-0.99212769999999995</v>
      </c>
      <c r="P4048">
        <v>-4.6563090000000001E-2</v>
      </c>
      <c r="Q4048">
        <v>-5.6447009999999898E-3</v>
      </c>
      <c r="R4048">
        <v>-0.998899599999999</v>
      </c>
      <c r="S4048">
        <v>0.41229250000000001</v>
      </c>
      <c r="T4048">
        <v>-0.1976086</v>
      </c>
      <c r="U4048">
        <v>-3.023911</v>
      </c>
      <c r="V4048">
        <v>-7.8170870000000003E-2</v>
      </c>
      <c r="W4048">
        <v>7.8217819999999993E-3</v>
      </c>
      <c r="X4048">
        <v>0.9969093</v>
      </c>
      <c r="Y4048">
        <v>-0.25709929999999998</v>
      </c>
      <c r="Z4048">
        <v>6.306022E-2</v>
      </c>
      <c r="AA4048">
        <v>0.9643254</v>
      </c>
      <c r="AB4048">
        <v>11</v>
      </c>
      <c r="AC4048">
        <v>2.3138000000000098</v>
      </c>
      <c r="AD4048">
        <v>-1.1066336523810001</v>
      </c>
      <c r="AE4048">
        <v>-16.832999999999998</v>
      </c>
      <c r="AF4048">
        <v>-4.3724950677627703</v>
      </c>
      <c r="AG4048">
        <v>-1.1066336523810001</v>
      </c>
      <c r="AH4048">
        <v>16.344756552742101</v>
      </c>
      <c r="AI4048">
        <v>93.742144957032707</v>
      </c>
      <c r="AJ4048">
        <v>104.97687657965901</v>
      </c>
      <c r="AK4048">
        <v>16.955660350649801</v>
      </c>
    </row>
    <row r="4049" spans="1:37" x14ac:dyDescent="0.2">
      <c r="A4049" t="str">
        <f>"20200111160249451"</f>
        <v>20200111160249451</v>
      </c>
      <c r="B4049" t="str">
        <f>"1578729769446880"</f>
        <v>1578729769446880</v>
      </c>
      <c r="C4049" t="s">
        <v>37</v>
      </c>
      <c r="D4049">
        <v>5.4774469999999997</v>
      </c>
      <c r="E4049">
        <v>0.43517899999999998</v>
      </c>
      <c r="F4049" t="s">
        <v>38</v>
      </c>
      <c r="G4049">
        <v>-420.9427</v>
      </c>
      <c r="H4049" s="1">
        <v>-2.4305740000000002E-6</v>
      </c>
      <c r="I4049">
        <v>104.2028</v>
      </c>
      <c r="J4049">
        <v>-423.05099999999999</v>
      </c>
      <c r="K4049">
        <v>1.106509</v>
      </c>
      <c r="L4049">
        <v>119.4034</v>
      </c>
      <c r="M4049">
        <v>-0.11721239999999999</v>
      </c>
      <c r="N4049">
        <v>0</v>
      </c>
      <c r="O4049">
        <v>-0.99301070000000002</v>
      </c>
      <c r="P4049">
        <v>-4.2446709999999999E-2</v>
      </c>
      <c r="Q4049">
        <v>-3.5505709999999898E-3</v>
      </c>
      <c r="R4049">
        <v>-0.99909269999999994</v>
      </c>
      <c r="S4049">
        <v>0.41540529999999998</v>
      </c>
      <c r="T4049">
        <v>-0.218469</v>
      </c>
      <c r="U4049">
        <v>-3.021423</v>
      </c>
      <c r="V4049">
        <v>-7.5006970000000006E-2</v>
      </c>
      <c r="W4049">
        <v>9.9197829999999997E-3</v>
      </c>
      <c r="X4049">
        <v>0.99713369999999901</v>
      </c>
      <c r="Y4049">
        <v>-0.25105719999999998</v>
      </c>
      <c r="Z4049">
        <v>6.9888519999999996E-2</v>
      </c>
      <c r="AA4049">
        <v>0.96544589999999997</v>
      </c>
      <c r="AB4049">
        <v>11</v>
      </c>
      <c r="AC4049">
        <v>2.1082999999999799</v>
      </c>
      <c r="AD4049">
        <v>-1.106511430574</v>
      </c>
      <c r="AE4049">
        <v>-15.2006</v>
      </c>
      <c r="AF4049">
        <v>-3.85558842832374</v>
      </c>
      <c r="AG4049">
        <v>-1.106511430574</v>
      </c>
      <c r="AH4049">
        <v>14.771859624356299</v>
      </c>
      <c r="AI4049">
        <v>94.145466765835593</v>
      </c>
      <c r="AJ4049">
        <v>104.62835415763701</v>
      </c>
      <c r="AK4049">
        <v>15.306788246928299</v>
      </c>
    </row>
    <row r="4050" spans="1:37" x14ac:dyDescent="0.2">
      <c r="A4050" t="str">
        <f>"20200111160249474"</f>
        <v>20200111160249474</v>
      </c>
      <c r="B4050" t="str">
        <f>"1578729769467374"</f>
        <v>1578729769467374</v>
      </c>
      <c r="C4050" t="s">
        <v>37</v>
      </c>
      <c r="D4050">
        <v>5.4538519999999897</v>
      </c>
      <c r="E4050">
        <v>0.4365792</v>
      </c>
      <c r="F4050" t="s">
        <v>38</v>
      </c>
      <c r="G4050">
        <v>-421.10989999999998</v>
      </c>
      <c r="H4050" s="1">
        <v>-2.9291149999999998E-6</v>
      </c>
      <c r="I4050">
        <v>105.1634</v>
      </c>
      <c r="J4050">
        <v>-423.05489999999998</v>
      </c>
      <c r="K4050">
        <v>1.1063670000000001</v>
      </c>
      <c r="L4050">
        <v>119.2924</v>
      </c>
      <c r="M4050">
        <v>-0.1097621</v>
      </c>
      <c r="N4050">
        <v>0</v>
      </c>
      <c r="O4050">
        <v>-0.99386229999999998</v>
      </c>
      <c r="P4050">
        <v>-3.8018740000000002E-2</v>
      </c>
      <c r="Q4050">
        <v>-2.2309500000000002E-3</v>
      </c>
      <c r="R4050">
        <v>-0.99927440000000001</v>
      </c>
      <c r="S4050">
        <v>0.41159059999999997</v>
      </c>
      <c r="T4050">
        <v>-0.23462069999999999</v>
      </c>
      <c r="U4050">
        <v>-3.0193939999999899</v>
      </c>
      <c r="V4050">
        <v>-7.1949289999999999E-2</v>
      </c>
      <c r="W4050">
        <v>1.123673E-2</v>
      </c>
      <c r="X4050">
        <v>0.99734500000000004</v>
      </c>
      <c r="Y4050">
        <v>-0.2426267</v>
      </c>
      <c r="Z4050">
        <v>7.5263479999999994E-2</v>
      </c>
      <c r="AA4050">
        <v>0.96719580000000005</v>
      </c>
      <c r="AB4050">
        <v>11</v>
      </c>
      <c r="AC4050">
        <v>1.9449999999999901</v>
      </c>
      <c r="AD4050">
        <v>-1.106369929115</v>
      </c>
      <c r="AE4050">
        <v>-14.129</v>
      </c>
      <c r="AF4050">
        <v>-3.46338060501976</v>
      </c>
      <c r="AG4050">
        <v>-1.106369929115</v>
      </c>
      <c r="AH4050">
        <v>13.7473806107472</v>
      </c>
      <c r="AI4050">
        <v>94.462326231150897</v>
      </c>
      <c r="AJ4050">
        <v>104.14028399804999</v>
      </c>
      <c r="AK4050">
        <v>14.2200398484683</v>
      </c>
    </row>
    <row r="4051" spans="1:37" x14ac:dyDescent="0.2">
      <c r="A4051" t="str">
        <f>"20200111160249495"</f>
        <v>20200111160249495</v>
      </c>
      <c r="B4051" t="str">
        <f>"1578729769486893"</f>
        <v>1578729769486893</v>
      </c>
      <c r="C4051" t="s">
        <v>37</v>
      </c>
      <c r="D4051">
        <v>5.5088210000000002</v>
      </c>
      <c r="E4051">
        <v>0.4378744</v>
      </c>
      <c r="F4051" t="s">
        <v>38</v>
      </c>
      <c r="G4051">
        <v>-420.93549999999999</v>
      </c>
      <c r="H4051" s="1">
        <v>-2.2265869999999998E-6</v>
      </c>
      <c r="I4051">
        <v>103.7754</v>
      </c>
      <c r="J4051">
        <v>-423.05810000000002</v>
      </c>
      <c r="K4051">
        <v>1.1062590000000001</v>
      </c>
      <c r="L4051">
        <v>119.1914</v>
      </c>
      <c r="M4051">
        <v>-0.1031683</v>
      </c>
      <c r="N4051">
        <v>0</v>
      </c>
      <c r="O4051">
        <v>-0.99456889999999998</v>
      </c>
      <c r="P4051">
        <v>-3.4704640000000002E-2</v>
      </c>
      <c r="Q4051">
        <v>-1.4402929999999901E-3</v>
      </c>
      <c r="R4051">
        <v>-0.99939690000000003</v>
      </c>
      <c r="S4051">
        <v>0.4121399</v>
      </c>
      <c r="T4051">
        <v>-0.21513869999999999</v>
      </c>
      <c r="U4051">
        <v>-3.0173649999999999</v>
      </c>
      <c r="V4051">
        <v>-6.8642110000000006E-2</v>
      </c>
      <c r="W4051">
        <v>1.2022990000000001E-2</v>
      </c>
      <c r="X4051">
        <v>0.99756889999999998</v>
      </c>
      <c r="Y4051">
        <v>-0.23650929999999901</v>
      </c>
      <c r="Z4051">
        <v>6.9220219999999999E-2</v>
      </c>
      <c r="AA4051">
        <v>0.96916039999999903</v>
      </c>
      <c r="AB4051">
        <v>11</v>
      </c>
      <c r="AC4051">
        <v>2.12260000000003</v>
      </c>
      <c r="AD4051">
        <v>-1.106261226587</v>
      </c>
      <c r="AE4051">
        <v>-15.415999999999899</v>
      </c>
      <c r="AF4051">
        <v>-3.68325000436645</v>
      </c>
      <c r="AG4051">
        <v>-1.106261226587</v>
      </c>
      <c r="AH4051">
        <v>15.0387153291357</v>
      </c>
      <c r="AI4051">
        <v>94.086790566718193</v>
      </c>
      <c r="AJ4051">
        <v>103.76186092704501</v>
      </c>
      <c r="AK4051">
        <v>15.5226641800593</v>
      </c>
    </row>
    <row r="4052" spans="1:37" x14ac:dyDescent="0.2">
      <c r="A4052" t="str">
        <f>"20200111160249518"</f>
        <v>20200111160249518</v>
      </c>
      <c r="B4052" t="str">
        <f>"1578729769506414"</f>
        <v>1578729769506414</v>
      </c>
      <c r="C4052" t="s">
        <v>37</v>
      </c>
      <c r="D4052">
        <v>5.445843</v>
      </c>
      <c r="E4052">
        <v>0.43933349999999999</v>
      </c>
      <c r="F4052" t="s">
        <v>38</v>
      </c>
      <c r="G4052">
        <v>-420.90730000000002</v>
      </c>
      <c r="H4052" s="1">
        <v>-2.0562060000000001E-6</v>
      </c>
      <c r="I4052">
        <v>103.4308</v>
      </c>
      <c r="J4052">
        <v>-423.06079999999997</v>
      </c>
      <c r="K4052">
        <v>1.106168</v>
      </c>
      <c r="L4052">
        <v>119.0902</v>
      </c>
      <c r="M4052">
        <v>-9.6757570000000001E-2</v>
      </c>
      <c r="N4052">
        <v>0</v>
      </c>
      <c r="O4052">
        <v>-0.99521360000000003</v>
      </c>
      <c r="P4052">
        <v>-3.1177960000000001E-2</v>
      </c>
      <c r="Q4052">
        <v>-9.2298279999999998E-4</v>
      </c>
      <c r="R4052">
        <v>-0.9995136</v>
      </c>
      <c r="S4052">
        <v>0.41156009999999998</v>
      </c>
      <c r="T4052">
        <v>-0.21168319999999999</v>
      </c>
      <c r="U4052">
        <v>-3.0157929999999999</v>
      </c>
      <c r="V4052">
        <v>-6.5732639999999995E-2</v>
      </c>
      <c r="W4052">
        <v>1.2530299999999999E-2</v>
      </c>
      <c r="X4052">
        <v>0.99775859999999905</v>
      </c>
      <c r="Y4052">
        <v>-0.23013839999999999</v>
      </c>
      <c r="Z4052">
        <v>6.8270559999999994E-2</v>
      </c>
      <c r="AA4052">
        <v>0.97076019999999896</v>
      </c>
      <c r="AB4052">
        <v>11</v>
      </c>
      <c r="AC4052">
        <v>2.15349999999995</v>
      </c>
      <c r="AD4052">
        <v>-1.106170056206</v>
      </c>
      <c r="AE4052">
        <v>-15.6593999999999</v>
      </c>
      <c r="AF4052">
        <v>-3.64087121856174</v>
      </c>
      <c r="AG4052">
        <v>-1.106170056206</v>
      </c>
      <c r="AH4052">
        <v>15.3025835568722</v>
      </c>
      <c r="AI4052">
        <v>94.022613869462802</v>
      </c>
      <c r="AJ4052">
        <v>103.38328102035101</v>
      </c>
      <c r="AK4052">
        <v>15.768595972326001</v>
      </c>
    </row>
    <row r="4053" spans="1:37" x14ac:dyDescent="0.2">
      <c r="A4053" t="str">
        <f>"20200111160249539"</f>
        <v>20200111160249539</v>
      </c>
      <c r="B4053" t="str">
        <f>"1578729769536669"</f>
        <v>1578729769536669</v>
      </c>
      <c r="C4053" t="s">
        <v>37</v>
      </c>
      <c r="D4053">
        <v>5.4773779999999999</v>
      </c>
      <c r="E4053">
        <v>0.44037549999999998</v>
      </c>
      <c r="F4053" t="s">
        <v>38</v>
      </c>
      <c r="G4053">
        <v>-421.0419</v>
      </c>
      <c r="H4053" s="1">
        <v>-2.4984999999999999E-6</v>
      </c>
      <c r="I4053">
        <v>104.2906</v>
      </c>
      <c r="J4053">
        <v>-423.06319999999999</v>
      </c>
      <c r="K4053">
        <v>1.10608</v>
      </c>
      <c r="L4053">
        <v>118.9896</v>
      </c>
      <c r="M4053">
        <v>-9.0596209999999996E-2</v>
      </c>
      <c r="N4053">
        <v>0</v>
      </c>
      <c r="O4053">
        <v>-0.99579379999999995</v>
      </c>
      <c r="P4053">
        <v>-2.6988089999999999E-2</v>
      </c>
      <c r="Q4053">
        <v>-2.4887689999999899E-4</v>
      </c>
      <c r="R4053">
        <v>-0.99963570000000002</v>
      </c>
      <c r="S4053">
        <v>0.41116329999999901</v>
      </c>
      <c r="T4053">
        <v>-0.22528179999999901</v>
      </c>
      <c r="U4053">
        <v>-3.0140689999999899</v>
      </c>
      <c r="V4053">
        <v>-6.3739450000000003E-2</v>
      </c>
      <c r="W4053">
        <v>1.318924E-2</v>
      </c>
      <c r="X4053">
        <v>0.99787939999999997</v>
      </c>
      <c r="Y4053">
        <v>-0.22401699999999999</v>
      </c>
      <c r="Z4053">
        <v>7.2792140000000005E-2</v>
      </c>
      <c r="AA4053">
        <v>0.97186299999999903</v>
      </c>
      <c r="AB4053">
        <v>11</v>
      </c>
      <c r="AC4053">
        <v>2.0212999999999899</v>
      </c>
      <c r="AD4053">
        <v>-1.1060824985</v>
      </c>
      <c r="AE4053">
        <v>-14.6989999999999</v>
      </c>
      <c r="AF4053">
        <v>-3.3262992700127501</v>
      </c>
      <c r="AG4053">
        <v>-1.1060824985</v>
      </c>
      <c r="AH4053">
        <v>14.375513816351701</v>
      </c>
      <c r="AI4053">
        <v>94.286963945578606</v>
      </c>
      <c r="AJ4053">
        <v>103.028188844292</v>
      </c>
      <c r="AK4053">
        <v>14.79672540839</v>
      </c>
    </row>
    <row r="4054" spans="1:37" x14ac:dyDescent="0.2">
      <c r="A4054" t="str">
        <f>"20200111160249562"</f>
        <v>20200111160249562</v>
      </c>
      <c r="B4054" t="str">
        <f>"1578729769557165"</f>
        <v>1578729769557165</v>
      </c>
      <c r="C4054" t="s">
        <v>37</v>
      </c>
      <c r="D4054">
        <v>5.5057739999999997</v>
      </c>
      <c r="E4054">
        <v>0.44162600000000002</v>
      </c>
      <c r="F4054" t="s">
        <v>38</v>
      </c>
      <c r="G4054">
        <v>-421.10590000000002</v>
      </c>
      <c r="H4054" s="1">
        <v>-2.7606529999999999E-6</v>
      </c>
      <c r="I4054">
        <v>104.8092</v>
      </c>
      <c r="J4054">
        <v>-423.06509999999997</v>
      </c>
      <c r="K4054">
        <v>1.105998</v>
      </c>
      <c r="L4054">
        <v>118.8857</v>
      </c>
      <c r="M4054">
        <v>-8.4467689999999998E-2</v>
      </c>
      <c r="N4054">
        <v>0</v>
      </c>
      <c r="O4054">
        <v>-0.99633289999999997</v>
      </c>
      <c r="P4054">
        <v>-2.3451199999999998E-2</v>
      </c>
      <c r="Q4054">
        <v>3.7745900000000002E-4</v>
      </c>
      <c r="R4054">
        <v>-0.99972499999999997</v>
      </c>
      <c r="S4054">
        <v>0.41577150000000002</v>
      </c>
      <c r="T4054">
        <v>-0.23496069999999999</v>
      </c>
      <c r="U4054">
        <v>-3.012283</v>
      </c>
      <c r="V4054">
        <v>-6.112882E-2</v>
      </c>
      <c r="W4054">
        <v>1.3802389999999999E-2</v>
      </c>
      <c r="X4054">
        <v>0.99803449999999905</v>
      </c>
      <c r="Y4054">
        <v>-0.2195222</v>
      </c>
      <c r="Z4054">
        <v>7.6039910000000002E-2</v>
      </c>
      <c r="AA4054">
        <v>0.972639699999999</v>
      </c>
      <c r="AB4054">
        <v>11</v>
      </c>
      <c r="AC4054">
        <v>1.9591999999999501</v>
      </c>
      <c r="AD4054">
        <v>-1.106000760653</v>
      </c>
      <c r="AE4054">
        <v>-14.0764999999999</v>
      </c>
      <c r="AF4054">
        <v>-3.1224075198313099</v>
      </c>
      <c r="AG4054">
        <v>-1.106000760653</v>
      </c>
      <c r="AH4054">
        <v>13.777244232392601</v>
      </c>
      <c r="AI4054">
        <v>94.476661452700597</v>
      </c>
      <c r="AJ4054">
        <v>102.769523863662</v>
      </c>
      <c r="AK4054">
        <v>14.1698667968849</v>
      </c>
    </row>
    <row r="4055" spans="1:37" x14ac:dyDescent="0.2">
      <c r="A4055" t="str">
        <f>"20200111160249585"</f>
        <v>20200111160249585</v>
      </c>
      <c r="B4055" t="str">
        <f>"1578729769576684"</f>
        <v>1578729769576684</v>
      </c>
      <c r="C4055" t="s">
        <v>37</v>
      </c>
      <c r="D4055">
        <v>5.4841550000000003</v>
      </c>
      <c r="E4055">
        <v>0.44259910000000002</v>
      </c>
      <c r="F4055" t="s">
        <v>38</v>
      </c>
      <c r="G4055">
        <v>-421.17520000000002</v>
      </c>
      <c r="H4055" s="1">
        <v>-2.980013E-6</v>
      </c>
      <c r="I4055">
        <v>105.2343</v>
      </c>
      <c r="J4055">
        <v>-423.06689999999998</v>
      </c>
      <c r="K4055">
        <v>1.1059019999999999</v>
      </c>
      <c r="L4055">
        <v>118.7775</v>
      </c>
      <c r="M4055">
        <v>-7.8349899999999903E-2</v>
      </c>
      <c r="N4055">
        <v>0</v>
      </c>
      <c r="O4055">
        <v>-0.99683319999999997</v>
      </c>
      <c r="P4055">
        <v>-2.0762449999999998E-2</v>
      </c>
      <c r="Q4055">
        <v>1.51224E-3</v>
      </c>
      <c r="R4055">
        <v>-0.999783599999999</v>
      </c>
      <c r="S4055">
        <v>0.41680909999999899</v>
      </c>
      <c r="T4055">
        <v>-0.24391839999999901</v>
      </c>
      <c r="U4055">
        <v>-3.0106959999999998</v>
      </c>
      <c r="V4055">
        <v>-5.768583E-2</v>
      </c>
      <c r="W4055">
        <v>1.4925229999999999E-2</v>
      </c>
      <c r="X4055">
        <v>0.99822319999999998</v>
      </c>
      <c r="Y4055">
        <v>-0.21389639999999999</v>
      </c>
      <c r="Z4055">
        <v>7.9070189999999999E-2</v>
      </c>
      <c r="AA4055">
        <v>0.97365100000000004</v>
      </c>
      <c r="AB4055">
        <v>11</v>
      </c>
      <c r="AC4055">
        <v>1.89169999999995</v>
      </c>
      <c r="AD4055">
        <v>-1.1059049800130001</v>
      </c>
      <c r="AE4055">
        <v>-13.543200000000001</v>
      </c>
      <c r="AF4055">
        <v>-2.9279403732190898</v>
      </c>
      <c r="AG4055">
        <v>-1.1059049800130001</v>
      </c>
      <c r="AH4055">
        <v>13.266563163076</v>
      </c>
      <c r="AI4055">
        <v>94.653696548543607</v>
      </c>
      <c r="AJ4055">
        <v>102.445709084462</v>
      </c>
      <c r="AK4055">
        <v>13.630757822433401</v>
      </c>
    </row>
    <row r="4056" spans="1:37" x14ac:dyDescent="0.2">
      <c r="A4056" t="str">
        <f>"20200111160249605"</f>
        <v>20200111160249605</v>
      </c>
      <c r="B4056" t="str">
        <f>"1578729769597181"</f>
        <v>1578729769597181</v>
      </c>
      <c r="C4056" t="s">
        <v>37</v>
      </c>
      <c r="D4056">
        <v>5.5163449999999896</v>
      </c>
      <c r="E4056">
        <v>0.44353169999999997</v>
      </c>
      <c r="F4056" t="s">
        <v>38</v>
      </c>
      <c r="G4056">
        <v>-421.20170000000002</v>
      </c>
      <c r="H4056" s="1">
        <v>-3.049149E-6</v>
      </c>
      <c r="I4056">
        <v>105.3656</v>
      </c>
      <c r="J4056">
        <v>-423.06810000000002</v>
      </c>
      <c r="K4056">
        <v>1.1057980000000001</v>
      </c>
      <c r="L4056">
        <v>118.6836</v>
      </c>
      <c r="M4056">
        <v>-7.3275430000000003E-2</v>
      </c>
      <c r="N4056">
        <v>0</v>
      </c>
      <c r="O4056">
        <v>-0.99721959999999998</v>
      </c>
      <c r="P4056">
        <v>-2.061781E-2</v>
      </c>
      <c r="Q4056">
        <v>2.2539040000000002E-3</v>
      </c>
      <c r="R4056">
        <v>-0.99978489999999998</v>
      </c>
      <c r="S4056">
        <v>0.41854859999999999</v>
      </c>
      <c r="T4056">
        <v>-0.2481708</v>
      </c>
      <c r="U4056">
        <v>-3.0097049999999999</v>
      </c>
      <c r="V4056">
        <v>-5.2746149999999999E-2</v>
      </c>
      <c r="W4056">
        <v>1.5664239999999999E-2</v>
      </c>
      <c r="X4056">
        <v>0.99848510000000001</v>
      </c>
      <c r="Y4056">
        <v>-0.20950269999999999</v>
      </c>
      <c r="Z4056">
        <v>8.0548830000000002E-2</v>
      </c>
      <c r="AA4056">
        <v>0.97448469999999998</v>
      </c>
      <c r="AB4056">
        <v>11</v>
      </c>
      <c r="AC4056">
        <v>1.8663999999999901</v>
      </c>
      <c r="AD4056">
        <v>-1.105801049149</v>
      </c>
      <c r="AE4056">
        <v>-13.3179999999999</v>
      </c>
      <c r="AF4056">
        <v>-2.8182982552300802</v>
      </c>
      <c r="AG4056">
        <v>-1.105801049149</v>
      </c>
      <c r="AH4056">
        <v>13.0571343440114</v>
      </c>
      <c r="AI4056">
        <v>94.732325925666899</v>
      </c>
      <c r="AJ4056">
        <v>102.18006868621799</v>
      </c>
      <c r="AK4056">
        <v>13.403520369413901</v>
      </c>
    </row>
    <row r="4057" spans="1:37" x14ac:dyDescent="0.2">
      <c r="A4057" t="str">
        <f>"20200111160249628"</f>
        <v>20200111160249628</v>
      </c>
      <c r="B4057" t="str">
        <f>"1578729769616700"</f>
        <v>1578729769616700</v>
      </c>
      <c r="C4057" t="s">
        <v>37</v>
      </c>
      <c r="D4057">
        <v>5.6392629999999997</v>
      </c>
      <c r="E4057">
        <v>0.44443490000000002</v>
      </c>
      <c r="F4057" t="s">
        <v>38</v>
      </c>
      <c r="G4057">
        <v>-421.2534</v>
      </c>
      <c r="H4057" s="1">
        <v>-3.0901569999999999E-6</v>
      </c>
      <c r="I4057">
        <v>105.4233</v>
      </c>
      <c r="J4057">
        <v>-423.06920000000002</v>
      </c>
      <c r="K4057">
        <v>1.105666</v>
      </c>
      <c r="L4057">
        <v>118.5819</v>
      </c>
      <c r="M4057">
        <v>-6.8036650000000004E-2</v>
      </c>
      <c r="N4057">
        <v>0</v>
      </c>
      <c r="O4057">
        <v>-0.99759120000000001</v>
      </c>
      <c r="P4057">
        <v>-2.0068639999999999E-2</v>
      </c>
      <c r="Q4057">
        <v>2.4025840000000001E-3</v>
      </c>
      <c r="R4057">
        <v>-0.99979569999999995</v>
      </c>
      <c r="S4057">
        <v>0.41189579999999998</v>
      </c>
      <c r="T4057">
        <v>-0.25098599999999999</v>
      </c>
      <c r="U4057">
        <v>-3.0097200000000002</v>
      </c>
      <c r="V4057">
        <v>-4.8044320000000001E-2</v>
      </c>
      <c r="W4057">
        <v>1.5806319999999999E-2</v>
      </c>
      <c r="X4057">
        <v>0.998720099999999</v>
      </c>
      <c r="Y4057">
        <v>-0.2022362</v>
      </c>
      <c r="Z4057">
        <v>8.1577520000000001E-2</v>
      </c>
      <c r="AA4057">
        <v>0.97593319999999995</v>
      </c>
      <c r="AB4057">
        <v>10</v>
      </c>
      <c r="AC4057">
        <v>1.8158000000000201</v>
      </c>
      <c r="AD4057">
        <v>-1.1056690901570001</v>
      </c>
      <c r="AE4057">
        <v>-13.1586</v>
      </c>
      <c r="AF4057">
        <v>-2.6883146353287399</v>
      </c>
      <c r="AG4057">
        <v>-1.1056690901570001</v>
      </c>
      <c r="AH4057">
        <v>12.9150693904006</v>
      </c>
      <c r="AI4057">
        <v>94.791006936206202</v>
      </c>
      <c r="AJ4057">
        <v>101.758403878477</v>
      </c>
      <c r="AK4057">
        <v>13.238147796210599</v>
      </c>
    </row>
    <row r="4058" spans="1:37" x14ac:dyDescent="0.2">
      <c r="A4058" t="str">
        <f>"20200111160249652"</f>
        <v>20200111160249652</v>
      </c>
      <c r="B4058" t="str">
        <f>"1578729769646957"</f>
        <v>1578729769646957</v>
      </c>
      <c r="C4058" t="s">
        <v>37</v>
      </c>
      <c r="D4058">
        <v>5.5584020000000001</v>
      </c>
      <c r="E4058">
        <v>0.4641652</v>
      </c>
      <c r="F4058" t="s">
        <v>38</v>
      </c>
      <c r="G4058">
        <v>-421.30489999999998</v>
      </c>
      <c r="H4058" s="1">
        <v>-3.1595960000000001E-6</v>
      </c>
      <c r="I4058">
        <v>105.5412</v>
      </c>
      <c r="J4058">
        <v>-423.07029999999997</v>
      </c>
      <c r="K4058">
        <v>1.1055159999999999</v>
      </c>
      <c r="L4058">
        <v>118.4734</v>
      </c>
      <c r="M4058">
        <v>-6.2801270000000006E-2</v>
      </c>
      <c r="N4058">
        <v>0</v>
      </c>
      <c r="O4058">
        <v>-0.99793489999999996</v>
      </c>
      <c r="P4058">
        <v>-1.9267079999999999E-2</v>
      </c>
      <c r="Q4058">
        <v>1.93347599999999E-4</v>
      </c>
      <c r="R4058">
        <v>-0.99981469999999995</v>
      </c>
      <c r="S4058">
        <v>0.40716550000000001</v>
      </c>
      <c r="T4058">
        <v>-0.25515520000000003</v>
      </c>
      <c r="U4058">
        <v>-3.0093990000000002</v>
      </c>
      <c r="V4058">
        <v>-4.3593510000000002E-2</v>
      </c>
      <c r="W4058">
        <v>1.358641E-2</v>
      </c>
      <c r="X4058">
        <v>0.99895699999999998</v>
      </c>
      <c r="Y4058">
        <v>-0.19558539999999999</v>
      </c>
      <c r="Z4058">
        <v>8.3040649999999994E-2</v>
      </c>
      <c r="AA4058">
        <v>0.97716460000000005</v>
      </c>
      <c r="AB4058">
        <v>10</v>
      </c>
      <c r="AC4058">
        <v>1.7653999999999901</v>
      </c>
      <c r="AD4058">
        <v>-1.1055191595959999</v>
      </c>
      <c r="AE4058">
        <v>-12.9321999999999</v>
      </c>
      <c r="AF4058">
        <v>-2.5558113232299999</v>
      </c>
      <c r="AG4058">
        <v>-1.1055191595959999</v>
      </c>
      <c r="AH4058">
        <v>12.7046437154545</v>
      </c>
      <c r="AI4058">
        <v>94.875974636499805</v>
      </c>
      <c r="AJ4058">
        <v>101.374454355702</v>
      </c>
      <c r="AK4058">
        <v>13.006241427438701</v>
      </c>
    </row>
    <row r="4059" spans="1:37" x14ac:dyDescent="0.2">
      <c r="A4059" t="str">
        <f>"20200111160249675"</f>
        <v>20200111160249675</v>
      </c>
      <c r="B4059" t="str">
        <f>"1578729769666476"</f>
        <v>1578729769666476</v>
      </c>
      <c r="C4059" t="s">
        <v>37</v>
      </c>
      <c r="D4059">
        <v>5.5432519999999998</v>
      </c>
      <c r="E4059">
        <v>0.4647674</v>
      </c>
      <c r="F4059" t="s">
        <v>38</v>
      </c>
      <c r="G4059">
        <v>-421.92840000000001</v>
      </c>
      <c r="H4059" s="1">
        <v>-2.9449669999999999E-6</v>
      </c>
      <c r="I4059">
        <v>104.7362</v>
      </c>
      <c r="J4059">
        <v>-423.07119999999998</v>
      </c>
      <c r="K4059">
        <v>1.105378</v>
      </c>
      <c r="L4059">
        <v>118.3685</v>
      </c>
      <c r="M4059">
        <v>-5.8085869999999998E-2</v>
      </c>
      <c r="N4059">
        <v>0</v>
      </c>
      <c r="O4059">
        <v>-0.99822099999999903</v>
      </c>
      <c r="P4059">
        <v>-1.8951220000000001E-2</v>
      </c>
      <c r="Q4059">
        <v>-1.5730479999999901E-3</v>
      </c>
      <c r="R4059">
        <v>-0.99981929999999997</v>
      </c>
      <c r="S4059">
        <v>0.24981689999999901</v>
      </c>
      <c r="T4059">
        <v>-0.24186529999999901</v>
      </c>
      <c r="U4059">
        <v>-3.005417</v>
      </c>
      <c r="V4059">
        <v>-3.9181649999999998E-2</v>
      </c>
      <c r="W4059">
        <v>1.180699E-2</v>
      </c>
      <c r="X4059">
        <v>0.99916229999999995</v>
      </c>
      <c r="Y4059">
        <v>-0.1403247</v>
      </c>
      <c r="Z4059">
        <v>7.9480629999999997E-2</v>
      </c>
      <c r="AA4059">
        <v>0.98691019999999896</v>
      </c>
      <c r="AB4059">
        <v>10</v>
      </c>
      <c r="AC4059">
        <v>1.1427999999999601</v>
      </c>
      <c r="AD4059">
        <v>-1.105380944967</v>
      </c>
      <c r="AE4059">
        <v>-13.632300000000001</v>
      </c>
      <c r="AF4059">
        <v>-1.9202485254142101</v>
      </c>
      <c r="AG4059">
        <v>-1.105380944967</v>
      </c>
      <c r="AH4059">
        <v>13.455044875135499</v>
      </c>
      <c r="AI4059">
        <v>94.649607202757593</v>
      </c>
      <c r="AJ4059">
        <v>98.122170121917705</v>
      </c>
      <c r="AK4059">
        <v>13.636255131991399</v>
      </c>
    </row>
    <row r="4060" spans="1:37" x14ac:dyDescent="0.2">
      <c r="A4060" t="str">
        <f>"20200111160249695"</f>
        <v>20200111160249695</v>
      </c>
      <c r="B4060" t="str">
        <f>"1578729769686973"</f>
        <v>1578729769686973</v>
      </c>
      <c r="C4060" t="s">
        <v>37</v>
      </c>
      <c r="D4060">
        <v>5.4654540000000003</v>
      </c>
      <c r="E4060">
        <v>0.4656959</v>
      </c>
      <c r="F4060" t="s">
        <v>38</v>
      </c>
      <c r="G4060">
        <v>-422.04539999999997</v>
      </c>
      <c r="H4060" s="1">
        <v>-3.5463400000000001E-6</v>
      </c>
      <c r="I4060">
        <v>105.9425</v>
      </c>
      <c r="J4060">
        <v>-423.0718</v>
      </c>
      <c r="K4060">
        <v>1.1052839999999999</v>
      </c>
      <c r="L4060">
        <v>118.2727</v>
      </c>
      <c r="M4060">
        <v>-5.4035989999999999E-2</v>
      </c>
      <c r="N4060">
        <v>0</v>
      </c>
      <c r="O4060">
        <v>-0.99844889999999997</v>
      </c>
      <c r="P4060">
        <v>-1.87352E-2</v>
      </c>
      <c r="Q4060">
        <v>4.0266249999999998E-4</v>
      </c>
      <c r="R4060">
        <v>-0.99982459999999995</v>
      </c>
      <c r="S4060">
        <v>0.24804689999999999</v>
      </c>
      <c r="T4060">
        <v>-0.2673005</v>
      </c>
      <c r="U4060">
        <v>-3.0048219999999999</v>
      </c>
      <c r="V4060">
        <v>-3.534325E-2</v>
      </c>
      <c r="W4060">
        <v>1.3768539999999999E-2</v>
      </c>
      <c r="X4060">
        <v>0.99928039999999996</v>
      </c>
      <c r="Y4060">
        <v>-0.13568769999999999</v>
      </c>
      <c r="Z4060">
        <v>8.7854810000000005E-2</v>
      </c>
      <c r="AA4060">
        <v>0.98684869999999902</v>
      </c>
      <c r="AB4060">
        <v>10</v>
      </c>
      <c r="AC4060">
        <v>1.02640000000002</v>
      </c>
      <c r="AD4060">
        <v>-1.10528754634</v>
      </c>
      <c r="AE4060">
        <v>-12.3302</v>
      </c>
      <c r="AF4060">
        <v>-1.6778451891397601</v>
      </c>
      <c r="AG4060">
        <v>-1.10528754634</v>
      </c>
      <c r="AH4060">
        <v>12.1596785484268</v>
      </c>
      <c r="AI4060">
        <v>95.145298963646198</v>
      </c>
      <c r="AJ4060">
        <v>97.856310302016695</v>
      </c>
      <c r="AK4060">
        <v>12.324553032052901</v>
      </c>
    </row>
    <row r="4061" spans="1:37" x14ac:dyDescent="0.2">
      <c r="A4061" t="str">
        <f>"20200111160249740"</f>
        <v>20200111160249740</v>
      </c>
      <c r="B4061" t="str">
        <f>"1578729769736749"</f>
        <v>1578729769736749</v>
      </c>
      <c r="C4061" t="s">
        <v>37</v>
      </c>
      <c r="D4061">
        <v>5.4599500000000001</v>
      </c>
      <c r="E4061">
        <v>0.46601920000000002</v>
      </c>
      <c r="F4061" t="s">
        <v>38</v>
      </c>
      <c r="G4061">
        <v>-422.06799999999998</v>
      </c>
      <c r="H4061" s="1">
        <v>-3.506138E-6</v>
      </c>
      <c r="I4061">
        <v>105.8447</v>
      </c>
      <c r="J4061">
        <v>-423.07330000000002</v>
      </c>
      <c r="K4061">
        <v>1.105113</v>
      </c>
      <c r="L4061">
        <v>118.06910000000001</v>
      </c>
      <c r="M4061">
        <v>-4.6346850000000002E-2</v>
      </c>
      <c r="N4061">
        <v>0</v>
      </c>
      <c r="O4061">
        <v>-0.99883599999999995</v>
      </c>
      <c r="P4061">
        <v>-1.346061E-2</v>
      </c>
      <c r="Q4061">
        <v>1.358673E-2</v>
      </c>
      <c r="R4061">
        <v>-0.99981710000000001</v>
      </c>
      <c r="S4061">
        <v>0.2427368</v>
      </c>
      <c r="T4061">
        <v>-0.26726709999999998</v>
      </c>
      <c r="U4061">
        <v>-3.0051730000000001</v>
      </c>
      <c r="V4061">
        <v>-3.2921850000000003E-2</v>
      </c>
      <c r="W4061">
        <v>2.6910219999999999E-2</v>
      </c>
      <c r="X4061">
        <v>0.99909559999999997</v>
      </c>
      <c r="Y4061">
        <v>-0.1263117</v>
      </c>
      <c r="Z4061">
        <v>8.7946150000000001E-2</v>
      </c>
      <c r="AA4061">
        <v>0.98808439999999997</v>
      </c>
      <c r="AB4061">
        <v>10</v>
      </c>
      <c r="AC4061">
        <v>1.0052999999999701</v>
      </c>
      <c r="AD4061">
        <v>-1.1051165061379999</v>
      </c>
      <c r="AE4061">
        <v>-12.224399999999999</v>
      </c>
      <c r="AF4061">
        <v>-1.55818366604846</v>
      </c>
      <c r="AG4061">
        <v>-1.1051165061379999</v>
      </c>
      <c r="AH4061">
        <v>12.0667106336595</v>
      </c>
      <c r="AI4061">
        <v>95.189920574995497</v>
      </c>
      <c r="AJ4061">
        <v>97.357931316209601</v>
      </c>
      <c r="AK4061">
        <v>12.2169850759404</v>
      </c>
    </row>
    <row r="4062" spans="1:37" x14ac:dyDescent="0.2">
      <c r="A4062" t="str">
        <f>"20200111160249763"</f>
        <v>20200111160249763</v>
      </c>
      <c r="B4062" t="str">
        <f>"1578729769756268"</f>
        <v>1578729769756268</v>
      </c>
      <c r="C4062" t="s">
        <v>37</v>
      </c>
      <c r="D4062">
        <v>5.432042</v>
      </c>
      <c r="E4062">
        <v>0.46624679999999902</v>
      </c>
      <c r="F4062" t="s">
        <v>38</v>
      </c>
      <c r="G4062">
        <v>-421.88299999999998</v>
      </c>
      <c r="H4062" s="1">
        <v>-2.5976279999999998E-6</v>
      </c>
      <c r="I4062">
        <v>104.027</v>
      </c>
      <c r="J4062">
        <v>-423.07400000000001</v>
      </c>
      <c r="K4062">
        <v>1.1049869999999999</v>
      </c>
      <c r="L4062">
        <v>117.9653</v>
      </c>
      <c r="M4062">
        <v>-4.2977700000000001E-2</v>
      </c>
      <c r="N4062">
        <v>0</v>
      </c>
      <c r="O4062">
        <v>-0.99898699999999996</v>
      </c>
      <c r="P4062">
        <v>-9.9347689999999995E-3</v>
      </c>
      <c r="Q4062">
        <v>1.5921270000000001E-2</v>
      </c>
      <c r="R4062">
        <v>-0.99982380000000004</v>
      </c>
      <c r="S4062">
        <v>0.25491329999999901</v>
      </c>
      <c r="T4062">
        <v>-0.236666399999999</v>
      </c>
      <c r="U4062">
        <v>-3.0072019999999999</v>
      </c>
      <c r="V4062">
        <v>-3.3066909999999998E-2</v>
      </c>
      <c r="W4062">
        <v>2.922578E-2</v>
      </c>
      <c r="X4062">
        <v>0.99902579999999996</v>
      </c>
      <c r="Y4062">
        <v>-0.12695719999999999</v>
      </c>
      <c r="Z4062">
        <v>7.7892110000000001E-2</v>
      </c>
      <c r="AA4062">
        <v>0.98884509999999903</v>
      </c>
      <c r="AB4062">
        <v>10</v>
      </c>
      <c r="AC4062">
        <v>1.1909999999999701</v>
      </c>
      <c r="AD4062">
        <v>-1.104989597628</v>
      </c>
      <c r="AE4062">
        <v>-13.9382999999999</v>
      </c>
      <c r="AF4062">
        <v>-1.7778958593133101</v>
      </c>
      <c r="AG4062">
        <v>-1.104989597628</v>
      </c>
      <c r="AH4062">
        <v>13.7881991643027</v>
      </c>
      <c r="AI4062">
        <v>94.544441752719095</v>
      </c>
      <c r="AJ4062">
        <v>97.3473656805903</v>
      </c>
      <c r="AK4062">
        <v>13.9461948893562</v>
      </c>
    </row>
    <row r="4063" spans="1:37" x14ac:dyDescent="0.2">
      <c r="A4063" t="str">
        <f>"20200111160249786"</f>
        <v>20200111160249786</v>
      </c>
      <c r="B4063" t="str">
        <f>"1578729769776765"</f>
        <v>1578729769776765</v>
      </c>
      <c r="C4063" t="s">
        <v>37</v>
      </c>
      <c r="D4063">
        <v>5.3452400000000004</v>
      </c>
      <c r="E4063">
        <v>0.46631030000000001</v>
      </c>
      <c r="F4063" t="s">
        <v>38</v>
      </c>
      <c r="G4063">
        <v>-421.83890000000002</v>
      </c>
      <c r="H4063" s="1">
        <v>-2.4771099999999998E-6</v>
      </c>
      <c r="I4063">
        <v>103.7968</v>
      </c>
      <c r="J4063">
        <v>-423.07490000000001</v>
      </c>
      <c r="K4063">
        <v>1.1048180000000001</v>
      </c>
      <c r="L4063">
        <v>117.86069999999999</v>
      </c>
      <c r="M4063">
        <v>-3.9992760000000002E-2</v>
      </c>
      <c r="N4063">
        <v>0</v>
      </c>
      <c r="O4063">
        <v>-0.99911139999999998</v>
      </c>
      <c r="P4063">
        <v>-7.9213449999999998E-3</v>
      </c>
      <c r="Q4063">
        <v>1.333668E-2</v>
      </c>
      <c r="R4063">
        <v>-0.99987979999999999</v>
      </c>
      <c r="S4063">
        <v>0.2621155</v>
      </c>
      <c r="T4063">
        <v>-0.23450219999999999</v>
      </c>
      <c r="U4063">
        <v>-3.0068509999999899</v>
      </c>
      <c r="V4063">
        <v>-3.2083140000000003E-2</v>
      </c>
      <c r="W4063">
        <v>2.6627560000000002E-2</v>
      </c>
      <c r="X4063">
        <v>0.99913039999999997</v>
      </c>
      <c r="Y4063">
        <v>-0.12635919999999901</v>
      </c>
      <c r="Z4063">
        <v>7.7202599999999996E-2</v>
      </c>
      <c r="AA4063">
        <v>0.98897579999999996</v>
      </c>
      <c r="AB4063">
        <v>10</v>
      </c>
      <c r="AC4063">
        <v>1.23599999999999</v>
      </c>
      <c r="AD4063">
        <v>-1.1048204771100001</v>
      </c>
      <c r="AE4063">
        <v>-14.063899999999901</v>
      </c>
      <c r="AF4063">
        <v>-1.7865740857901999</v>
      </c>
      <c r="AG4063">
        <v>-1.1048204771100001</v>
      </c>
      <c r="AH4063">
        <v>13.9179782689265</v>
      </c>
      <c r="AI4063">
        <v>94.501884010175203</v>
      </c>
      <c r="AJ4063">
        <v>97.314742068658902</v>
      </c>
      <c r="AK4063">
        <v>14.0756028057405</v>
      </c>
    </row>
    <row r="4064" spans="1:37" x14ac:dyDescent="0.2">
      <c r="A4064" t="str">
        <f>"20200111160249808"</f>
        <v>20200111160249808</v>
      </c>
      <c r="B4064" t="str">
        <f>"1578729769796286"</f>
        <v>1578729769796286</v>
      </c>
      <c r="C4064" t="s">
        <v>37</v>
      </c>
      <c r="D4064">
        <v>5.3559710000000003</v>
      </c>
      <c r="E4064">
        <v>0.466325299999999</v>
      </c>
      <c r="F4064" t="s">
        <v>38</v>
      </c>
      <c r="G4064">
        <v>-421.8657</v>
      </c>
      <c r="H4064" s="1">
        <v>-2.7132139999999899E-6</v>
      </c>
      <c r="I4064">
        <v>104.2812</v>
      </c>
      <c r="J4064">
        <v>-423.07580000000002</v>
      </c>
      <c r="K4064">
        <v>1.104622</v>
      </c>
      <c r="L4064">
        <v>117.7641</v>
      </c>
      <c r="M4064">
        <v>-3.7622620000000002E-2</v>
      </c>
      <c r="N4064">
        <v>0</v>
      </c>
      <c r="O4064">
        <v>-0.99920379999999998</v>
      </c>
      <c r="P4064">
        <v>-6.3967929999999996E-3</v>
      </c>
      <c r="Q4064">
        <v>7.8574349999999994E-3</v>
      </c>
      <c r="R4064">
        <v>-0.99994879999999997</v>
      </c>
      <c r="S4064">
        <v>0.26763920000000002</v>
      </c>
      <c r="T4064">
        <v>-0.2445435</v>
      </c>
      <c r="U4064">
        <v>-3.005722</v>
      </c>
      <c r="V4064">
        <v>-3.1229179999999999E-2</v>
      </c>
      <c r="W4064">
        <v>2.113978E-2</v>
      </c>
      <c r="X4064">
        <v>0.99928869999999903</v>
      </c>
      <c r="Y4064">
        <v>-0.1258185</v>
      </c>
      <c r="Z4064">
        <v>8.0524620000000005E-2</v>
      </c>
      <c r="AA4064">
        <v>0.98877979999999999</v>
      </c>
      <c r="AB4064">
        <v>10</v>
      </c>
      <c r="AC4064">
        <v>1.2101000000000099</v>
      </c>
      <c r="AD4064">
        <v>-1.1046247132139999</v>
      </c>
      <c r="AE4064">
        <v>-13.482900000000001</v>
      </c>
      <c r="AF4064">
        <v>-1.70519576331842</v>
      </c>
      <c r="AG4064">
        <v>-1.1046247132139999</v>
      </c>
      <c r="AH4064">
        <v>13.339003330415199</v>
      </c>
      <c r="AI4064">
        <v>94.695914075266003</v>
      </c>
      <c r="AJ4064">
        <v>97.284912763156896</v>
      </c>
      <c r="AK4064">
        <v>13.492846185928</v>
      </c>
    </row>
    <row r="4065" spans="1:37" x14ac:dyDescent="0.2">
      <c r="A4065" t="str">
        <f>"20200111160249831"</f>
        <v>20200111160249831</v>
      </c>
      <c r="B4065" t="str">
        <f>"1578729769826541"</f>
        <v>1578729769826541</v>
      </c>
      <c r="C4065" t="s">
        <v>37</v>
      </c>
      <c r="D4065">
        <v>5.2954800000000004</v>
      </c>
      <c r="E4065">
        <v>0.46635709999999903</v>
      </c>
      <c r="F4065" t="s">
        <v>38</v>
      </c>
      <c r="G4065">
        <v>-421.93360000000001</v>
      </c>
      <c r="H4065" s="1">
        <v>-3.1554400000000001E-6</v>
      </c>
      <c r="I4065">
        <v>105.1785</v>
      </c>
      <c r="J4065">
        <v>-423.0772</v>
      </c>
      <c r="K4065">
        <v>1.104414</v>
      </c>
      <c r="L4065">
        <v>117.6589</v>
      </c>
      <c r="M4065">
        <v>-3.5485679999999999E-2</v>
      </c>
      <c r="N4065">
        <v>0</v>
      </c>
      <c r="O4065">
        <v>-0.99928229999999996</v>
      </c>
      <c r="P4065">
        <v>-4.2689219999999996E-3</v>
      </c>
      <c r="Q4065">
        <v>3.823103E-3</v>
      </c>
      <c r="R4065">
        <v>-0.99998379999999998</v>
      </c>
      <c r="S4065">
        <v>0.272644</v>
      </c>
      <c r="T4065">
        <v>-0.2636559</v>
      </c>
      <c r="U4065">
        <v>-3.0039669999999998</v>
      </c>
      <c r="V4065">
        <v>-3.1211579999999999E-2</v>
      </c>
      <c r="W4065">
        <v>1.7098370000000002E-2</v>
      </c>
      <c r="X4065">
        <v>0.99936650000000005</v>
      </c>
      <c r="Y4065">
        <v>-0.12533419999999901</v>
      </c>
      <c r="Z4065">
        <v>8.6828489999999994E-2</v>
      </c>
      <c r="AA4065">
        <v>0.98830769999999901</v>
      </c>
      <c r="AB4065">
        <v>10</v>
      </c>
      <c r="AC4065">
        <v>1.14359999999999</v>
      </c>
      <c r="AD4065">
        <v>-1.10441715544</v>
      </c>
      <c r="AE4065">
        <v>-12.480399999999999</v>
      </c>
      <c r="AF4065">
        <v>-1.5735741668532801</v>
      </c>
      <c r="AG4065">
        <v>-1.10441715544</v>
      </c>
      <c r="AH4065">
        <v>12.336154981530299</v>
      </c>
      <c r="AI4065">
        <v>95.0749684944943</v>
      </c>
      <c r="AJ4065">
        <v>97.2692734377367</v>
      </c>
      <c r="AK4065">
        <v>12.485054771211599</v>
      </c>
    </row>
    <row r="4066" spans="1:37" x14ac:dyDescent="0.2">
      <c r="A4066" t="str">
        <f>"20200111160249852"</f>
        <v>20200111160249852</v>
      </c>
      <c r="B4066" t="str">
        <f>"1578729769847037"</f>
        <v>1578729769847037</v>
      </c>
      <c r="C4066" t="s">
        <v>37</v>
      </c>
      <c r="D4066">
        <v>5.3748040000000001</v>
      </c>
      <c r="E4066">
        <v>0.46635649999999901</v>
      </c>
      <c r="F4066" t="s">
        <v>38</v>
      </c>
      <c r="G4066">
        <v>-421.97629999999998</v>
      </c>
      <c r="H4066" s="1">
        <v>-3.4624509999999898E-6</v>
      </c>
      <c r="I4066">
        <v>105.8039</v>
      </c>
      <c r="J4066">
        <v>-423.07889999999998</v>
      </c>
      <c r="K4066">
        <v>1.104231</v>
      </c>
      <c r="L4066">
        <v>117.5583</v>
      </c>
      <c r="M4066">
        <v>-3.3884039999999997E-2</v>
      </c>
      <c r="N4066">
        <v>0</v>
      </c>
      <c r="O4066">
        <v>-0.99933799999999995</v>
      </c>
      <c r="P4066">
        <v>-2.396811E-3</v>
      </c>
      <c r="Q4066">
        <v>9.1075379999999999E-4</v>
      </c>
      <c r="R4066">
        <v>-0.99999680000000002</v>
      </c>
      <c r="S4066">
        <v>0.27880859999999902</v>
      </c>
      <c r="T4066">
        <v>-0.27969739999999998</v>
      </c>
      <c r="U4066">
        <v>-3.0023040000000001</v>
      </c>
      <c r="V4066">
        <v>-3.1477480000000002E-2</v>
      </c>
      <c r="W4066">
        <v>1.4181920000000001E-2</v>
      </c>
      <c r="X4066">
        <v>0.99940379999999995</v>
      </c>
      <c r="Y4066">
        <v>-0.12576180000000001</v>
      </c>
      <c r="Z4066">
        <v>9.2114429999999997E-2</v>
      </c>
      <c r="AA4066">
        <v>0.98777469999999901</v>
      </c>
      <c r="AB4066">
        <v>10</v>
      </c>
      <c r="AC4066">
        <v>1.10259999999999</v>
      </c>
      <c r="AD4066">
        <v>-1.1042344624510001</v>
      </c>
      <c r="AE4066">
        <v>-11.7544</v>
      </c>
      <c r="AF4066">
        <v>-1.4872772964619501</v>
      </c>
      <c r="AG4066">
        <v>-1.1042344624510001</v>
      </c>
      <c r="AH4066">
        <v>11.6087301822173</v>
      </c>
      <c r="AI4066">
        <v>95.389893147369904</v>
      </c>
      <c r="AJ4066">
        <v>97.300799582370502</v>
      </c>
      <c r="AK4066">
        <v>11.755592028824299</v>
      </c>
    </row>
    <row r="4067" spans="1:37" x14ac:dyDescent="0.2">
      <c r="A4067" t="str">
        <f>"20200111160249896"</f>
        <v>20200111160249896</v>
      </c>
      <c r="B4067" t="str">
        <f>"1578729769887052"</f>
        <v>1578729769887052</v>
      </c>
      <c r="C4067" t="s">
        <v>37</v>
      </c>
      <c r="D4067">
        <v>5.1507759999999996</v>
      </c>
      <c r="E4067">
        <v>0.44081189999999998</v>
      </c>
      <c r="F4067" t="s">
        <v>38</v>
      </c>
      <c r="G4067">
        <v>-421.99579999999997</v>
      </c>
      <c r="H4067" s="1">
        <v>-3.60559E-6</v>
      </c>
      <c r="I4067">
        <v>106.09569999999999</v>
      </c>
      <c r="J4067">
        <v>-423.0831</v>
      </c>
      <c r="K4067">
        <v>1.104036</v>
      </c>
      <c r="L4067">
        <v>117.357999999999</v>
      </c>
      <c r="M4067">
        <v>-3.1707829999999999E-2</v>
      </c>
      <c r="N4067">
        <v>0</v>
      </c>
      <c r="O4067">
        <v>-0.99940969999999996</v>
      </c>
      <c r="P4067">
        <v>8.3752519999999995E-4</v>
      </c>
      <c r="Q4067">
        <v>-5.7618649999999997E-3</v>
      </c>
      <c r="R4067">
        <v>-0.99998310000000001</v>
      </c>
      <c r="S4067">
        <v>0.28353879999999998</v>
      </c>
      <c r="T4067">
        <v>-0.28909400000000002</v>
      </c>
      <c r="U4067">
        <v>-3.0009610000000002</v>
      </c>
      <c r="V4067">
        <v>-3.2536830000000003E-2</v>
      </c>
      <c r="W4067">
        <v>7.5013569999999898E-3</v>
      </c>
      <c r="X4067">
        <v>0.99944239999999995</v>
      </c>
      <c r="Y4067">
        <v>-0.1251582</v>
      </c>
      <c r="Z4067">
        <v>9.5230179999999998E-2</v>
      </c>
      <c r="AA4067">
        <v>0.98755590000000004</v>
      </c>
      <c r="AB4067">
        <v>10</v>
      </c>
      <c r="AC4067">
        <v>1.0873000000000199</v>
      </c>
      <c r="AD4067">
        <v>-1.1040396055899999</v>
      </c>
      <c r="AE4067">
        <v>-11.2622999999999</v>
      </c>
      <c r="AF4067">
        <v>-1.4302698030310801</v>
      </c>
      <c r="AG4067">
        <v>-1.1040396055899999</v>
      </c>
      <c r="AH4067">
        <v>11.116317870777101</v>
      </c>
      <c r="AI4067">
        <v>95.625772883839701</v>
      </c>
      <c r="AJ4067">
        <v>97.331623693573505</v>
      </c>
      <c r="AK4067">
        <v>11.262197750187701</v>
      </c>
    </row>
    <row r="4068" spans="1:37" x14ac:dyDescent="0.2">
      <c r="A4068" t="str">
        <f>"20200111160249920"</f>
        <v>20200111160249920</v>
      </c>
      <c r="B4068" t="str">
        <f>"1578729769917309"</f>
        <v>1578729769917309</v>
      </c>
      <c r="C4068" t="s">
        <v>37</v>
      </c>
      <c r="D4068">
        <v>5.2096650000000002</v>
      </c>
      <c r="E4068">
        <v>0.43646179999999901</v>
      </c>
      <c r="F4068" t="s">
        <v>38</v>
      </c>
      <c r="G4068">
        <v>-419.71519999999998</v>
      </c>
      <c r="H4068" s="1">
        <v>-3.03688E-6</v>
      </c>
      <c r="I4068">
        <v>96.594059999999999</v>
      </c>
      <c r="J4068">
        <v>-423.0856</v>
      </c>
      <c r="K4068">
        <v>1.104004</v>
      </c>
      <c r="L4068">
        <v>117.25749999999999</v>
      </c>
      <c r="M4068">
        <v>-3.10865E-2</v>
      </c>
      <c r="N4068">
        <v>0</v>
      </c>
      <c r="O4068">
        <v>-0.99942960000000003</v>
      </c>
      <c r="P4068">
        <v>3.221925E-3</v>
      </c>
      <c r="Q4068">
        <v>-7.9078350000000002E-3</v>
      </c>
      <c r="R4068">
        <v>-0.99996399999999996</v>
      </c>
      <c r="S4068">
        <v>0.48638919999999902</v>
      </c>
      <c r="T4068">
        <v>-0.15944529999999901</v>
      </c>
      <c r="U4068">
        <v>-2.9987339999999998</v>
      </c>
      <c r="V4068">
        <v>-3.4300560000000001E-2</v>
      </c>
      <c r="W4068">
        <v>5.3542049999999999E-3</v>
      </c>
      <c r="X4068">
        <v>0.99939719999999999</v>
      </c>
      <c r="Y4068">
        <v>-0.19049759999999999</v>
      </c>
      <c r="Z4068">
        <v>5.2230779999999997E-2</v>
      </c>
      <c r="AA4068">
        <v>0.98029719999999998</v>
      </c>
      <c r="AB4068">
        <v>10</v>
      </c>
      <c r="AC4068">
        <v>3.3704000000000098</v>
      </c>
      <c r="AD4068">
        <v>-1.1040070368799999</v>
      </c>
      <c r="AE4068">
        <v>-20.663439999999898</v>
      </c>
      <c r="AF4068">
        <v>-4.0000582710198804</v>
      </c>
      <c r="AG4068">
        <v>-1.1040070368799999</v>
      </c>
      <c r="AH4068">
        <v>20.491689758408999</v>
      </c>
      <c r="AI4068">
        <v>93.026856749976801</v>
      </c>
      <c r="AJ4068">
        <v>101.04546460396401</v>
      </c>
      <c r="AK4068">
        <v>20.907621740980499</v>
      </c>
    </row>
    <row r="4069" spans="1:37" x14ac:dyDescent="0.2">
      <c r="A4069" t="str">
        <f>"20200111160249941"</f>
        <v>20200111160249941</v>
      </c>
      <c r="B4069" t="str">
        <f>"1578729769936829"</f>
        <v>1578729769936829</v>
      </c>
      <c r="C4069" t="s">
        <v>37</v>
      </c>
      <c r="D4069">
        <v>5.1077440000000003</v>
      </c>
      <c r="E4069">
        <v>0.43443679999999901</v>
      </c>
      <c r="F4069" t="s">
        <v>38</v>
      </c>
      <c r="G4069">
        <v>-418.71559999999999</v>
      </c>
      <c r="H4069" s="1">
        <v>-1.396475E-6</v>
      </c>
      <c r="I4069">
        <v>92.356899999999996</v>
      </c>
      <c r="J4069">
        <v>-423.0883</v>
      </c>
      <c r="K4069">
        <v>1.1039779999999999</v>
      </c>
      <c r="L4069">
        <v>117.1574</v>
      </c>
      <c r="M4069">
        <v>-3.0759459999999999E-2</v>
      </c>
      <c r="N4069">
        <v>0</v>
      </c>
      <c r="O4069">
        <v>-0.99943939999999998</v>
      </c>
      <c r="P4069">
        <v>5.9940490000000004E-3</v>
      </c>
      <c r="Q4069">
        <v>-9.7736200000000002E-3</v>
      </c>
      <c r="R4069">
        <v>-0.99993430000000005</v>
      </c>
      <c r="S4069">
        <v>0.52603149999999999</v>
      </c>
      <c r="T4069">
        <v>-0.13289319999999999</v>
      </c>
      <c r="U4069">
        <v>-2.9973749999999999</v>
      </c>
      <c r="V4069">
        <v>-3.6745939999999998E-2</v>
      </c>
      <c r="W4069">
        <v>3.48979E-3</v>
      </c>
      <c r="X4069">
        <v>0.9993185</v>
      </c>
      <c r="Y4069">
        <v>-0.20290910000000001</v>
      </c>
      <c r="Z4069">
        <v>4.3469269999999997E-2</v>
      </c>
      <c r="AA4069">
        <v>0.97823230000000005</v>
      </c>
      <c r="AB4069">
        <v>10</v>
      </c>
      <c r="AC4069">
        <v>4.3727</v>
      </c>
      <c r="AD4069">
        <v>-1.103979396475</v>
      </c>
      <c r="AE4069">
        <v>-24.8005</v>
      </c>
      <c r="AF4069">
        <v>-5.1237005205619699</v>
      </c>
      <c r="AG4069">
        <v>-1.103979396475</v>
      </c>
      <c r="AH4069">
        <v>24.606959710582998</v>
      </c>
      <c r="AI4069">
        <v>92.514955413573603</v>
      </c>
      <c r="AJ4069">
        <v>101.762153243208</v>
      </c>
      <c r="AK4069">
        <v>25.1589654741705</v>
      </c>
    </row>
    <row r="4070" spans="1:37" x14ac:dyDescent="0.2">
      <c r="A4070" t="str">
        <f>"20200111160249965"</f>
        <v>20200111160249965</v>
      </c>
      <c r="B4070" t="str">
        <f>"1578729769957324"</f>
        <v>1578729769957324</v>
      </c>
      <c r="C4070" t="s">
        <v>37</v>
      </c>
      <c r="D4070">
        <v>5.0392939999999999</v>
      </c>
      <c r="E4070">
        <v>0.43326930000000002</v>
      </c>
      <c r="F4070" t="s">
        <v>38</v>
      </c>
      <c r="G4070">
        <v>-418.49680000000001</v>
      </c>
      <c r="H4070" s="1">
        <v>-1.3538079999999899E-6</v>
      </c>
      <c r="I4070">
        <v>92.166969999999907</v>
      </c>
      <c r="J4070">
        <v>-423.09140000000002</v>
      </c>
      <c r="K4070">
        <v>1.103955</v>
      </c>
      <c r="L4070">
        <v>117.0527</v>
      </c>
      <c r="M4070">
        <v>-3.0686020000000001E-2</v>
      </c>
      <c r="N4070">
        <v>0</v>
      </c>
      <c r="O4070">
        <v>-0.99944169999999999</v>
      </c>
      <c r="P4070">
        <v>9.0733299999999992E-3</v>
      </c>
      <c r="Q4070">
        <v>-1.0653070000000001E-2</v>
      </c>
      <c r="R4070">
        <v>-0.99990199999999996</v>
      </c>
      <c r="S4070">
        <v>0.55038450000000005</v>
      </c>
      <c r="T4070">
        <v>-0.13233410000000001</v>
      </c>
      <c r="U4070">
        <v>-2.9956049999999999</v>
      </c>
      <c r="V4070">
        <v>-3.9750279999999999E-2</v>
      </c>
      <c r="W4070">
        <v>2.6157509999999999E-3</v>
      </c>
      <c r="X4070">
        <v>0.99920620000000004</v>
      </c>
      <c r="Y4070">
        <v>-0.21063490000000001</v>
      </c>
      <c r="Z4070">
        <v>4.3245470000000001E-2</v>
      </c>
      <c r="AA4070">
        <v>0.97660780000000003</v>
      </c>
      <c r="AB4070">
        <v>10</v>
      </c>
      <c r="AC4070">
        <v>4.5946000000000096</v>
      </c>
      <c r="AD4070">
        <v>-1.1039563538079999</v>
      </c>
      <c r="AE4070">
        <v>-24.885729999999999</v>
      </c>
      <c r="AF4070">
        <v>-5.3459730564276402</v>
      </c>
      <c r="AG4070">
        <v>-1.1039563538079999</v>
      </c>
      <c r="AH4070">
        <v>24.686028027614601</v>
      </c>
      <c r="AI4070">
        <v>92.502619893596702</v>
      </c>
      <c r="AJ4070">
        <v>102.219211490502</v>
      </c>
      <c r="AK4070">
        <v>25.282367913851299</v>
      </c>
    </row>
    <row r="4071" spans="1:37" x14ac:dyDescent="0.2">
      <c r="A4071" t="str">
        <f>"20200111160249986"</f>
        <v>20200111160249986</v>
      </c>
      <c r="B4071" t="str">
        <f>"1578729769976844"</f>
        <v>1578729769976844</v>
      </c>
      <c r="C4071" t="s">
        <v>37</v>
      </c>
      <c r="D4071">
        <v>5.2098360000000001</v>
      </c>
      <c r="E4071">
        <v>0.43298009999999898</v>
      </c>
      <c r="F4071" t="s">
        <v>38</v>
      </c>
      <c r="G4071">
        <v>-418.27609999999999</v>
      </c>
      <c r="H4071" s="1">
        <v>-1.196986E-6</v>
      </c>
      <c r="I4071">
        <v>91.710149999999999</v>
      </c>
      <c r="J4071">
        <v>-423.09460000000001</v>
      </c>
      <c r="K4071">
        <v>1.1039239999999999</v>
      </c>
      <c r="L4071">
        <v>116.9556</v>
      </c>
      <c r="M4071">
        <v>-3.0831850000000001E-2</v>
      </c>
      <c r="N4071">
        <v>0</v>
      </c>
      <c r="O4071">
        <v>-0.99943729999999997</v>
      </c>
      <c r="P4071">
        <v>1.2440680000000001E-2</v>
      </c>
      <c r="Q4071">
        <v>-9.4970550000000008E-3</v>
      </c>
      <c r="R4071">
        <v>-0.99987789999999999</v>
      </c>
      <c r="S4071">
        <v>0.56884769999999996</v>
      </c>
      <c r="T4071">
        <v>-0.13041220000000001</v>
      </c>
      <c r="U4071">
        <v>-2.9937589999999998</v>
      </c>
      <c r="V4071">
        <v>-4.325946E-2</v>
      </c>
      <c r="W4071">
        <v>3.7806579999999901E-3</v>
      </c>
      <c r="X4071">
        <v>0.99905669999999902</v>
      </c>
      <c r="Y4071">
        <v>-0.21670519999999999</v>
      </c>
      <c r="Z4071">
        <v>4.2591579999999997E-2</v>
      </c>
      <c r="AA4071">
        <v>0.97530749999999999</v>
      </c>
      <c r="AB4071">
        <v>10</v>
      </c>
      <c r="AC4071">
        <v>4.8185000000000198</v>
      </c>
      <c r="AD4071">
        <v>-1.103925196986</v>
      </c>
      <c r="AE4071">
        <v>-25.245450000000002</v>
      </c>
      <c r="AF4071">
        <v>-5.5843381037020601</v>
      </c>
      <c r="AG4071">
        <v>-1.103925196986</v>
      </c>
      <c r="AH4071">
        <v>25.0386757344173</v>
      </c>
      <c r="AI4071">
        <v>92.464006493056004</v>
      </c>
      <c r="AJ4071">
        <v>102.572822146592</v>
      </c>
      <c r="AK4071">
        <v>25.6775926720223</v>
      </c>
    </row>
    <row r="4072" spans="1:37" x14ac:dyDescent="0.2">
      <c r="A4072" t="str">
        <f>"20200111160250009"</f>
        <v>20200111160250009</v>
      </c>
      <c r="B4072" t="str">
        <f>"1578729769997340"</f>
        <v>1578729769997340</v>
      </c>
      <c r="C4072" t="s">
        <v>37</v>
      </c>
      <c r="D4072">
        <v>5.1143140000000002</v>
      </c>
      <c r="E4072">
        <v>0.43271979999999999</v>
      </c>
      <c r="F4072" t="s">
        <v>38</v>
      </c>
      <c r="G4072">
        <v>-417.68880000000001</v>
      </c>
      <c r="H4072" s="1">
        <v>-4.4785359999999997E-6</v>
      </c>
      <c r="I4072">
        <v>89.116699999999994</v>
      </c>
      <c r="J4072">
        <v>-423.09809999999999</v>
      </c>
      <c r="K4072">
        <v>1.1039060000000001</v>
      </c>
      <c r="L4072">
        <v>116.85639999999999</v>
      </c>
      <c r="M4072">
        <v>-3.1167770000000001E-2</v>
      </c>
      <c r="N4072">
        <v>0</v>
      </c>
      <c r="O4072">
        <v>-0.9994267</v>
      </c>
      <c r="P4072">
        <v>1.5915680000000001E-2</v>
      </c>
      <c r="Q4072">
        <v>-6.14841E-3</v>
      </c>
      <c r="R4072">
        <v>-0.99985440000000003</v>
      </c>
      <c r="S4072">
        <v>0.58099369999999995</v>
      </c>
      <c r="T4072">
        <v>-0.1186454</v>
      </c>
      <c r="U4072">
        <v>-2.9920040000000001</v>
      </c>
      <c r="V4072">
        <v>-4.7061279999999997E-2</v>
      </c>
      <c r="W4072">
        <v>7.1399250000000001E-3</v>
      </c>
      <c r="X4072">
        <v>0.99886649999999999</v>
      </c>
      <c r="Y4072">
        <v>-0.22098429999999999</v>
      </c>
      <c r="Z4072">
        <v>3.8743E-2</v>
      </c>
      <c r="AA4072">
        <v>0.97450749999999997</v>
      </c>
      <c r="AB4072">
        <v>10</v>
      </c>
      <c r="AC4072">
        <v>5.4092999999999698</v>
      </c>
      <c r="AD4072">
        <v>-1.1039104785360001</v>
      </c>
      <c r="AE4072">
        <v>-27.739699999999999</v>
      </c>
      <c r="AF4072">
        <v>-6.2617783992075804</v>
      </c>
      <c r="AG4072">
        <v>-1.1039104785360001</v>
      </c>
      <c r="AH4072">
        <v>27.5156308925541</v>
      </c>
      <c r="AI4072">
        <v>92.2402234501793</v>
      </c>
      <c r="AJ4072">
        <v>102.820552549417</v>
      </c>
      <c r="AK4072">
        <v>28.240722910022701</v>
      </c>
    </row>
    <row r="4073" spans="1:37" x14ac:dyDescent="0.2">
      <c r="A4073" t="str">
        <f>"20200111160250032"</f>
        <v>20200111160250032</v>
      </c>
      <c r="B4073" t="str">
        <f>"1578729770026621"</f>
        <v>1578729770026621</v>
      </c>
      <c r="C4073" t="s">
        <v>37</v>
      </c>
      <c r="D4073">
        <v>5.1356640000000002</v>
      </c>
      <c r="E4073">
        <v>0.43312519999999999</v>
      </c>
      <c r="F4073" t="s">
        <v>38</v>
      </c>
      <c r="G4073">
        <v>-416.48520000000002</v>
      </c>
      <c r="H4073" s="1">
        <v>-2.2859349999999999E-6</v>
      </c>
      <c r="I4073">
        <v>83.508030000000005</v>
      </c>
      <c r="J4073">
        <v>-423.10199999999998</v>
      </c>
      <c r="K4073">
        <v>1.1039030000000001</v>
      </c>
      <c r="L4073">
        <v>116.75360000000001</v>
      </c>
      <c r="M4073">
        <v>-3.1709969999999997E-2</v>
      </c>
      <c r="N4073">
        <v>0</v>
      </c>
      <c r="O4073">
        <v>-0.99940969999999996</v>
      </c>
      <c r="P4073">
        <v>1.948886E-2</v>
      </c>
      <c r="Q4073">
        <v>-2.7314689999999998E-3</v>
      </c>
      <c r="R4073">
        <v>-0.99980650000000004</v>
      </c>
      <c r="S4073">
        <v>0.59298709999999999</v>
      </c>
      <c r="T4073">
        <v>-9.8988889999999996E-2</v>
      </c>
      <c r="U4073">
        <v>-2.9903869999999899</v>
      </c>
      <c r="V4073">
        <v>-5.1166419999999997E-2</v>
      </c>
      <c r="W4073">
        <v>1.056729E-2</v>
      </c>
      <c r="X4073">
        <v>0.99863419999999903</v>
      </c>
      <c r="Y4073">
        <v>-0.2254177</v>
      </c>
      <c r="Z4073">
        <v>3.2319170000000001E-2</v>
      </c>
      <c r="AA4073">
        <v>0.97372599999999998</v>
      </c>
      <c r="AB4073">
        <v>10</v>
      </c>
      <c r="AC4073">
        <v>6.6167999999999498</v>
      </c>
      <c r="AD4073">
        <v>-1.103905285935</v>
      </c>
      <c r="AE4073">
        <v>-33.245570000000001</v>
      </c>
      <c r="AF4073">
        <v>-7.6596567241286699</v>
      </c>
      <c r="AG4073">
        <v>-1.103905285935</v>
      </c>
      <c r="AH4073">
        <v>32.984030736414297</v>
      </c>
      <c r="AI4073">
        <v>91.867203037129002</v>
      </c>
      <c r="AJ4073">
        <v>103.073685008027</v>
      </c>
      <c r="AK4073">
        <v>33.879717112640201</v>
      </c>
    </row>
    <row r="4074" spans="1:37" x14ac:dyDescent="0.2">
      <c r="A4074" t="str">
        <f>"20200111160250054"</f>
        <v>20200111160250054</v>
      </c>
      <c r="B4074" t="str">
        <f>"1578729770047117"</f>
        <v>1578729770047117</v>
      </c>
      <c r="C4074" t="s">
        <v>37</v>
      </c>
      <c r="D4074">
        <v>5.2804159999999998</v>
      </c>
      <c r="E4074">
        <v>0.43410379999999898</v>
      </c>
      <c r="F4074" t="s">
        <v>38</v>
      </c>
      <c r="G4074">
        <v>-415.01499999999999</v>
      </c>
      <c r="H4074" s="1">
        <v>-3.8463699999999997E-6</v>
      </c>
      <c r="I4074">
        <v>76.537549999999996</v>
      </c>
      <c r="J4074">
        <v>-423.10629999999998</v>
      </c>
      <c r="K4074">
        <v>1.103926</v>
      </c>
      <c r="L4074">
        <v>116.6482</v>
      </c>
      <c r="M4074">
        <v>-3.2429599999999899E-2</v>
      </c>
      <c r="N4074">
        <v>0</v>
      </c>
      <c r="O4074">
        <v>-0.99938660000000001</v>
      </c>
      <c r="P4074">
        <v>2.207307E-2</v>
      </c>
      <c r="Q4074">
        <v>8.909632E-4</v>
      </c>
      <c r="R4074">
        <v>-0.99975619999999998</v>
      </c>
      <c r="S4074">
        <v>0.60098269999999998</v>
      </c>
      <c r="T4074">
        <v>-8.2036970000000001E-2</v>
      </c>
      <c r="U4074">
        <v>-2.9886629999999998</v>
      </c>
      <c r="V4074">
        <v>-5.4460799999999997E-2</v>
      </c>
      <c r="W4074">
        <v>1.419574E-2</v>
      </c>
      <c r="X4074">
        <v>0.99841499999999905</v>
      </c>
      <c r="Y4074">
        <v>-0.22876250000000001</v>
      </c>
      <c r="Z4074">
        <v>2.6785659999999999E-2</v>
      </c>
      <c r="AA4074">
        <v>0.97311369999999897</v>
      </c>
      <c r="AB4074">
        <v>10</v>
      </c>
      <c r="AC4074">
        <v>8.0912999999999897</v>
      </c>
      <c r="AD4074">
        <v>-1.10392984637</v>
      </c>
      <c r="AE4074">
        <v>-40.11065</v>
      </c>
      <c r="AF4074">
        <v>-9.3811013925530897</v>
      </c>
      <c r="AG4074">
        <v>-1.10392984637</v>
      </c>
      <c r="AH4074">
        <v>39.798161414640497</v>
      </c>
      <c r="AI4074">
        <v>91.5465132266213</v>
      </c>
      <c r="AJ4074">
        <v>103.26347359005899</v>
      </c>
      <c r="AK4074">
        <v>40.9037574854542</v>
      </c>
    </row>
    <row r="4075" spans="1:37" x14ac:dyDescent="0.2">
      <c r="A4075" t="str">
        <f>"20200111160250077"</f>
        <v>20200111160250077</v>
      </c>
      <c r="B4075" t="str">
        <f>"1578729770066637"</f>
        <v>1578729770066637</v>
      </c>
      <c r="C4075" t="s">
        <v>37</v>
      </c>
      <c r="D4075">
        <v>5.2443059999999999</v>
      </c>
      <c r="E4075">
        <v>0.43476389999999998</v>
      </c>
      <c r="F4075" t="s">
        <v>38</v>
      </c>
      <c r="G4075">
        <v>-413.85109999999997</v>
      </c>
      <c r="H4075" s="1">
        <v>-1.9760549999999998E-6</v>
      </c>
      <c r="I4075">
        <v>70.647109999999998</v>
      </c>
      <c r="J4075">
        <v>-423.11040000000003</v>
      </c>
      <c r="K4075">
        <v>1.103972</v>
      </c>
      <c r="L4075">
        <v>116.5523</v>
      </c>
      <c r="M4075">
        <v>-3.3176850000000001E-2</v>
      </c>
      <c r="N4075">
        <v>0</v>
      </c>
      <c r="O4075">
        <v>-0.99936219999999998</v>
      </c>
      <c r="P4075">
        <v>2.3975590000000001E-2</v>
      </c>
      <c r="Q4075">
        <v>2.7971809999999902E-3</v>
      </c>
      <c r="R4075">
        <v>-0.99970899999999996</v>
      </c>
      <c r="S4075">
        <v>0.601074199999999</v>
      </c>
      <c r="T4075">
        <v>-7.1693660000000006E-2</v>
      </c>
      <c r="U4075">
        <v>-2.9875029999999998</v>
      </c>
      <c r="V4075">
        <v>-5.7105019999999999E-2</v>
      </c>
      <c r="W4075">
        <v>1.6103349999999999E-2</v>
      </c>
      <c r="X4075">
        <v>0.99823830000000002</v>
      </c>
      <c r="Y4075">
        <v>-0.2296086</v>
      </c>
      <c r="Z4075">
        <v>2.341613E-2</v>
      </c>
      <c r="AA4075">
        <v>0.97300129999999996</v>
      </c>
      <c r="AB4075">
        <v>10</v>
      </c>
      <c r="AC4075">
        <v>9.2593000000000494</v>
      </c>
      <c r="AD4075">
        <v>-1.103973976055</v>
      </c>
      <c r="AE4075">
        <v>-45.905189999999997</v>
      </c>
      <c r="AF4075">
        <v>-10.7713382214429</v>
      </c>
      <c r="AG4075">
        <v>-1.103973976055</v>
      </c>
      <c r="AH4075">
        <v>45.5473807338551</v>
      </c>
      <c r="AI4075">
        <v>91.351203713026507</v>
      </c>
      <c r="AJ4075">
        <v>103.305234341512</v>
      </c>
      <c r="AK4075">
        <v>46.816710449745102</v>
      </c>
    </row>
    <row r="4076" spans="1:37" x14ac:dyDescent="0.2">
      <c r="A4076" t="str">
        <f>"20200111160250098"</f>
        <v>20200111160250098</v>
      </c>
      <c r="B4076" t="str">
        <f>"1578729770087133"</f>
        <v>1578729770087133</v>
      </c>
      <c r="C4076" t="s">
        <v>37</v>
      </c>
      <c r="D4076">
        <v>5.4319689999999996</v>
      </c>
      <c r="E4076">
        <v>0.45047140000000002</v>
      </c>
      <c r="F4076" t="s">
        <v>38</v>
      </c>
      <c r="G4076">
        <v>-413.05650000000003</v>
      </c>
      <c r="H4076" s="1">
        <v>-4.2329300000000001E-6</v>
      </c>
      <c r="I4076">
        <v>66.628780000000006</v>
      </c>
      <c r="J4076">
        <v>-423.11470000000003</v>
      </c>
      <c r="K4076">
        <v>1.1040270000000001</v>
      </c>
      <c r="L4076">
        <v>116.4558</v>
      </c>
      <c r="M4076">
        <v>-3.3985389999999997E-2</v>
      </c>
      <c r="N4076">
        <v>0</v>
      </c>
      <c r="O4076">
        <v>-0.99933479999999997</v>
      </c>
      <c r="P4076">
        <v>2.3781630000000002E-2</v>
      </c>
      <c r="Q4076">
        <v>3.3439189999999999E-3</v>
      </c>
      <c r="R4076">
        <v>-0.99971180000000004</v>
      </c>
      <c r="S4076">
        <v>0.60147090000000003</v>
      </c>
      <c r="T4076">
        <v>-6.6044450000000005E-2</v>
      </c>
      <c r="U4076">
        <v>-2.9866329999999999</v>
      </c>
      <c r="V4076">
        <v>-5.7719960000000001E-2</v>
      </c>
      <c r="W4076">
        <v>1.6646399999999999E-2</v>
      </c>
      <c r="X4076">
        <v>0.99819400000000003</v>
      </c>
      <c r="Y4076">
        <v>-0.23058319999999999</v>
      </c>
      <c r="Z4076">
        <v>2.1574409999999999E-2</v>
      </c>
      <c r="AA4076">
        <v>0.97281340000000005</v>
      </c>
      <c r="AB4076">
        <v>10</v>
      </c>
      <c r="AC4076">
        <v>10.058199999999999</v>
      </c>
      <c r="AD4076">
        <v>-1.1040312329299999</v>
      </c>
      <c r="AE4076">
        <v>-49.827019999999898</v>
      </c>
      <c r="AF4076">
        <v>-11.7403893043992</v>
      </c>
      <c r="AG4076">
        <v>-1.1040312329299999</v>
      </c>
      <c r="AH4076">
        <v>49.433050909479903</v>
      </c>
      <c r="AI4076">
        <v>91.244808881446801</v>
      </c>
      <c r="AJ4076">
        <v>103.360262017138</v>
      </c>
      <c r="AK4076">
        <v>50.820095909013901</v>
      </c>
    </row>
    <row r="4077" spans="1:37" x14ac:dyDescent="0.2">
      <c r="A4077" t="str">
        <f>"20200111160250121"</f>
        <v>20200111160250121</v>
      </c>
      <c r="B4077" t="str">
        <f>"1578729770116412"</f>
        <v>1578729770116412</v>
      </c>
      <c r="C4077" t="s">
        <v>37</v>
      </c>
      <c r="D4077">
        <v>5.3120669999999999</v>
      </c>
      <c r="E4077">
        <v>0.45261220000000002</v>
      </c>
      <c r="F4077" t="s">
        <v>38</v>
      </c>
      <c r="G4077">
        <v>-418.43009999999998</v>
      </c>
      <c r="H4077" s="1">
        <v>-3.5778699999999899E-6</v>
      </c>
      <c r="I4077">
        <v>87.323750000000004</v>
      </c>
      <c r="J4077">
        <v>-423.11930000000001</v>
      </c>
      <c r="K4077">
        <v>1.1040939999999999</v>
      </c>
      <c r="L4077">
        <v>116.3562</v>
      </c>
      <c r="M4077">
        <v>-3.4847780000000002E-2</v>
      </c>
      <c r="N4077">
        <v>0</v>
      </c>
      <c r="O4077">
        <v>-0.99930540000000001</v>
      </c>
      <c r="P4077">
        <v>1.993116E-2</v>
      </c>
      <c r="Q4077">
        <v>2.7022420000000001E-3</v>
      </c>
      <c r="R4077">
        <v>-0.99979799999999996</v>
      </c>
      <c r="S4077">
        <v>0.48077389999999998</v>
      </c>
      <c r="T4077">
        <v>-0.1133062</v>
      </c>
      <c r="U4077">
        <v>-2.9898069999999999</v>
      </c>
      <c r="V4077">
        <v>-5.474068E-2</v>
      </c>
      <c r="W4077">
        <v>1.5994649999999999E-2</v>
      </c>
      <c r="X4077">
        <v>0.9983725</v>
      </c>
      <c r="Y4077">
        <v>-0.19296669999999999</v>
      </c>
      <c r="Z4077">
        <v>3.7240969999999998E-2</v>
      </c>
      <c r="AA4077">
        <v>0.98049830000000004</v>
      </c>
      <c r="AB4077">
        <v>10</v>
      </c>
      <c r="AC4077">
        <v>4.68920000000002</v>
      </c>
      <c r="AD4077">
        <v>-1.10409757787</v>
      </c>
      <c r="AE4077">
        <v>-29.032450000000001</v>
      </c>
      <c r="AF4077">
        <v>-5.6901358580438002</v>
      </c>
      <c r="AG4077">
        <v>-1.10409757787</v>
      </c>
      <c r="AH4077">
        <v>28.8107824541196</v>
      </c>
      <c r="AI4077">
        <v>92.153086325616002</v>
      </c>
      <c r="AJ4077">
        <v>101.172148355277</v>
      </c>
      <c r="AK4077">
        <v>29.388056471346701</v>
      </c>
    </row>
    <row r="4078" spans="1:37" x14ac:dyDescent="0.2">
      <c r="A4078" t="str">
        <f>"20200111160250143"</f>
        <v>20200111160250143</v>
      </c>
      <c r="B4078" t="str">
        <f>"1578729770136910"</f>
        <v>1578729770136910</v>
      </c>
      <c r="C4078" t="s">
        <v>37</v>
      </c>
      <c r="D4078">
        <v>5.3267449999999998</v>
      </c>
      <c r="E4078">
        <v>0.45329390000000003</v>
      </c>
      <c r="F4078" t="s">
        <v>38</v>
      </c>
      <c r="G4078">
        <v>-419.44639999999998</v>
      </c>
      <c r="H4078" s="1">
        <v>-1.202604E-6</v>
      </c>
      <c r="I4078">
        <v>92.207149999999999</v>
      </c>
      <c r="J4078">
        <v>-423.12400000000002</v>
      </c>
      <c r="K4078">
        <v>1.104169</v>
      </c>
      <c r="L4078">
        <v>116.2547</v>
      </c>
      <c r="M4078">
        <v>-3.5722869999999997E-2</v>
      </c>
      <c r="N4078">
        <v>0</v>
      </c>
      <c r="O4078">
        <v>-0.99927410000000005</v>
      </c>
      <c r="P4078">
        <v>1.506272E-2</v>
      </c>
      <c r="Q4078">
        <v>1.8066569999999999E-3</v>
      </c>
      <c r="R4078">
        <v>-0.99988509999999997</v>
      </c>
      <c r="S4078">
        <v>0.455047599999999</v>
      </c>
      <c r="T4078">
        <v>-0.1367902</v>
      </c>
      <c r="U4078">
        <v>-2.9919129999999998</v>
      </c>
      <c r="V4078">
        <v>-5.0756820000000001E-2</v>
      </c>
      <c r="W4078">
        <v>1.5087339999999999E-2</v>
      </c>
      <c r="X4078">
        <v>0.99859709999999902</v>
      </c>
      <c r="Y4078">
        <v>-0.1854346</v>
      </c>
      <c r="Z4078">
        <v>4.497433E-2</v>
      </c>
      <c r="AA4078">
        <v>0.98162689999999997</v>
      </c>
      <c r="AB4078">
        <v>10</v>
      </c>
      <c r="AC4078">
        <v>3.6776000000000399</v>
      </c>
      <c r="AD4078">
        <v>-1.1041702026039999</v>
      </c>
      <c r="AE4078">
        <v>-24.047550000000001</v>
      </c>
      <c r="AF4078">
        <v>-4.52505294508238</v>
      </c>
      <c r="AG4078">
        <v>-1.1041702026039999</v>
      </c>
      <c r="AH4078">
        <v>23.851675607679301</v>
      </c>
      <c r="AI4078">
        <v>92.604127868494999</v>
      </c>
      <c r="AJ4078">
        <v>100.74228082759301</v>
      </c>
      <c r="AK4078">
        <v>24.3022164685874</v>
      </c>
    </row>
    <row r="4079" spans="1:37" x14ac:dyDescent="0.2">
      <c r="A4079" t="str">
        <f>"20200111160250165"</f>
        <v>20200111160250165</v>
      </c>
      <c r="B4079" t="str">
        <f>"1578729770156428"</f>
        <v>1578729770156428</v>
      </c>
      <c r="C4079" t="s">
        <v>37</v>
      </c>
      <c r="D4079">
        <v>5.321332</v>
      </c>
      <c r="E4079">
        <v>0.45343999999999901</v>
      </c>
      <c r="F4079" t="s">
        <v>38</v>
      </c>
      <c r="G4079">
        <v>-419.87860000000001</v>
      </c>
      <c r="H4079" s="1">
        <v>-1.8929539999999999E-6</v>
      </c>
      <c r="I4079">
        <v>93.995099999999994</v>
      </c>
      <c r="J4079">
        <v>-423.1284</v>
      </c>
      <c r="K4079">
        <v>1.1042319999999901</v>
      </c>
      <c r="L4079">
        <v>116.15989999999999</v>
      </c>
      <c r="M4079">
        <v>-3.6499730000000001E-2</v>
      </c>
      <c r="N4079">
        <v>0</v>
      </c>
      <c r="O4079">
        <v>-0.99924609999999903</v>
      </c>
      <c r="P4079">
        <v>8.8685069999999994E-3</v>
      </c>
      <c r="Q4079">
        <v>3.9317429999999998E-4</v>
      </c>
      <c r="R4079">
        <v>-0.99996049999999903</v>
      </c>
      <c r="S4079">
        <v>0.43652340000000001</v>
      </c>
      <c r="T4079">
        <v>-0.14851779999999901</v>
      </c>
      <c r="U4079">
        <v>-2.994049</v>
      </c>
      <c r="V4079">
        <v>-4.535061E-2</v>
      </c>
      <c r="W4079">
        <v>1.366174E-2</v>
      </c>
      <c r="X4079">
        <v>0.99887769999999998</v>
      </c>
      <c r="Y4079">
        <v>-0.18012400000000001</v>
      </c>
      <c r="Z4079">
        <v>4.8831140000000002E-2</v>
      </c>
      <c r="AA4079">
        <v>0.9824311</v>
      </c>
      <c r="AB4079">
        <v>10</v>
      </c>
      <c r="AC4079">
        <v>3.2497999999999898</v>
      </c>
      <c r="AD4079">
        <v>-1.1042338929539901</v>
      </c>
      <c r="AE4079">
        <v>-22.1648</v>
      </c>
      <c r="AF4079">
        <v>-4.0468813602548996</v>
      </c>
      <c r="AG4079">
        <v>-1.1042338929539901</v>
      </c>
      <c r="AH4079">
        <v>21.9780004681832</v>
      </c>
      <c r="AI4079">
        <v>92.828799189223503</v>
      </c>
      <c r="AJ4079">
        <v>100.433194777713</v>
      </c>
      <c r="AK4079">
        <v>22.374742139604301</v>
      </c>
    </row>
    <row r="4080" spans="1:37" x14ac:dyDescent="0.2">
      <c r="A4080" t="str">
        <f>"20200111160250187"</f>
        <v>20200111160250187</v>
      </c>
      <c r="B4080" t="str">
        <f>"1578729770176925"</f>
        <v>1578729770176925</v>
      </c>
      <c r="C4080" t="s">
        <v>37</v>
      </c>
      <c r="D4080">
        <v>5.343191</v>
      </c>
      <c r="E4080">
        <v>0.4536425</v>
      </c>
      <c r="F4080" t="s">
        <v>38</v>
      </c>
      <c r="G4080">
        <v>-420.23930000000001</v>
      </c>
      <c r="H4080" s="1">
        <v>-2.565467E-6</v>
      </c>
      <c r="I4080">
        <v>95.420839999999998</v>
      </c>
      <c r="J4080">
        <v>-423.13279999999997</v>
      </c>
      <c r="K4080">
        <v>1.104312</v>
      </c>
      <c r="L4080">
        <v>116.0637</v>
      </c>
      <c r="M4080">
        <v>-3.7214360000000002E-2</v>
      </c>
      <c r="N4080">
        <v>0</v>
      </c>
      <c r="O4080">
        <v>-0.99921990000000005</v>
      </c>
      <c r="P4080">
        <v>3.418908E-3</v>
      </c>
      <c r="Q4080">
        <v>-1.537439E-3</v>
      </c>
      <c r="R4080">
        <v>-0.99999319999999903</v>
      </c>
      <c r="S4080">
        <v>0.4174194</v>
      </c>
      <c r="T4080">
        <v>-0.15954460000000001</v>
      </c>
      <c r="U4080">
        <v>-2.9964750000000002</v>
      </c>
      <c r="V4080">
        <v>-4.0624769999999998E-2</v>
      </c>
      <c r="W4080">
        <v>1.171926E-2</v>
      </c>
      <c r="X4080">
        <v>0.99910580000000004</v>
      </c>
      <c r="Y4080">
        <v>-0.174546799999999</v>
      </c>
      <c r="Z4080">
        <v>5.2452770000000003E-2</v>
      </c>
      <c r="AA4080">
        <v>0.98325079999999998</v>
      </c>
      <c r="AB4080">
        <v>10</v>
      </c>
      <c r="AC4080">
        <v>2.89349999999996</v>
      </c>
      <c r="AD4080">
        <v>-1.1043145654669999</v>
      </c>
      <c r="AE4080">
        <v>-20.642859999999999</v>
      </c>
      <c r="AF4080">
        <v>-3.64953013605118</v>
      </c>
      <c r="AG4080">
        <v>-1.1043145654669999</v>
      </c>
      <c r="AH4080">
        <v>20.4634344576187</v>
      </c>
      <c r="AI4080">
        <v>93.041092756693999</v>
      </c>
      <c r="AJ4080">
        <v>100.112041461111</v>
      </c>
      <c r="AK4080">
        <v>20.815636686748299</v>
      </c>
    </row>
    <row r="4081" spans="1:37" x14ac:dyDescent="0.2">
      <c r="A4081" t="str">
        <f>"20200111160250210"</f>
        <v>20200111160250210</v>
      </c>
      <c r="B4081" t="str">
        <f>"1578729770206716"</f>
        <v>1578729770206716</v>
      </c>
      <c r="C4081" t="s">
        <v>37</v>
      </c>
      <c r="D4081">
        <v>5.4081199999999896</v>
      </c>
      <c r="E4081">
        <v>0.46333409999999903</v>
      </c>
      <c r="F4081" t="s">
        <v>38</v>
      </c>
      <c r="G4081">
        <v>-420.57619999999997</v>
      </c>
      <c r="H4081" s="1">
        <v>-3.28307599999999E-6</v>
      </c>
      <c r="I4081">
        <v>96.884659999999997</v>
      </c>
      <c r="J4081">
        <v>-423.13729999999998</v>
      </c>
      <c r="K4081">
        <v>1.1044049999999901</v>
      </c>
      <c r="L4081">
        <v>115.96639999999999</v>
      </c>
      <c r="M4081">
        <v>-3.7831299999999998E-2</v>
      </c>
      <c r="N4081">
        <v>0</v>
      </c>
      <c r="O4081">
        <v>-0.99919669999999905</v>
      </c>
      <c r="P4081">
        <v>-9.7777509999999999E-4</v>
      </c>
      <c r="Q4081">
        <v>-4.2111620000000001E-3</v>
      </c>
      <c r="R4081">
        <v>-0.99999079999999996</v>
      </c>
      <c r="S4081">
        <v>0.39968870000000001</v>
      </c>
      <c r="T4081">
        <v>-0.17264370000000001</v>
      </c>
      <c r="U4081">
        <v>-2.998367</v>
      </c>
      <c r="V4081">
        <v>-3.6852830000000003E-2</v>
      </c>
      <c r="W4081">
        <v>9.033859E-3</v>
      </c>
      <c r="X4081">
        <v>0.9992799</v>
      </c>
      <c r="Y4081">
        <v>-0.16932800000000001</v>
      </c>
      <c r="Z4081">
        <v>5.6756899999999999E-2</v>
      </c>
      <c r="AA4081">
        <v>0.98392420000000003</v>
      </c>
      <c r="AB4081">
        <v>10</v>
      </c>
      <c r="AC4081">
        <v>2.5611000000000099</v>
      </c>
      <c r="AD4081">
        <v>-1.10440828307599</v>
      </c>
      <c r="AE4081">
        <v>-19.08174</v>
      </c>
      <c r="AF4081">
        <v>-3.2704547838323301</v>
      </c>
      <c r="AG4081">
        <v>-1.10440828307599</v>
      </c>
      <c r="AH4081">
        <v>18.908958534926299</v>
      </c>
      <c r="AI4081">
        <v>93.2938611756407</v>
      </c>
      <c r="AJ4081">
        <v>99.812682341889698</v>
      </c>
      <c r="AK4081">
        <v>19.221454290047401</v>
      </c>
    </row>
    <row r="4082" spans="1:37" x14ac:dyDescent="0.2">
      <c r="A4082" t="str">
        <f>"20200111160250233"</f>
        <v>20200111160250233</v>
      </c>
      <c r="B4082" t="str">
        <f>"1578729770227211"</f>
        <v>1578729770227211</v>
      </c>
      <c r="C4082" t="s">
        <v>37</v>
      </c>
      <c r="D4082">
        <v>5.3790209999999998</v>
      </c>
      <c r="E4082">
        <v>0.46303159999999999</v>
      </c>
      <c r="F4082" t="s">
        <v>38</v>
      </c>
      <c r="G4082">
        <v>-421.97059999999999</v>
      </c>
      <c r="H4082" s="1">
        <v>-3.11815099999999E-6</v>
      </c>
      <c r="I4082">
        <v>105.0788</v>
      </c>
      <c r="J4082">
        <v>-423.142</v>
      </c>
      <c r="K4082">
        <v>1.104511</v>
      </c>
      <c r="L4082">
        <v>115.8622</v>
      </c>
      <c r="M4082">
        <v>-3.83369E-2</v>
      </c>
      <c r="N4082">
        <v>0</v>
      </c>
      <c r="O4082">
        <v>-0.9991776</v>
      </c>
      <c r="P4082">
        <v>-4.4855399999999997E-3</v>
      </c>
      <c r="Q4082">
        <v>-4.3861739999999996E-3</v>
      </c>
      <c r="R4082">
        <v>-0.99998089999999995</v>
      </c>
      <c r="S4082">
        <v>0.32138059999999902</v>
      </c>
      <c r="T4082">
        <v>-0.30421720000000002</v>
      </c>
      <c r="U4082">
        <v>-2.999069</v>
      </c>
      <c r="V4082">
        <v>-3.3855099999999999E-2</v>
      </c>
      <c r="W4082">
        <v>8.8469459999999996E-3</v>
      </c>
      <c r="X4082">
        <v>0.99938760000000004</v>
      </c>
      <c r="Y4082">
        <v>-0.144058299999999</v>
      </c>
      <c r="Z4082">
        <v>9.9997950000000002E-2</v>
      </c>
      <c r="AA4082">
        <v>0.98450369999999998</v>
      </c>
      <c r="AB4082">
        <v>10</v>
      </c>
      <c r="AC4082">
        <v>1.1714</v>
      </c>
      <c r="AD4082">
        <v>-1.1045141181510001</v>
      </c>
      <c r="AE4082">
        <v>-10.7834</v>
      </c>
      <c r="AF4082">
        <v>-1.5677212238787299</v>
      </c>
      <c r="AG4082">
        <v>-1.1045141181510001</v>
      </c>
      <c r="AH4082">
        <v>10.6204365185145</v>
      </c>
      <c r="AI4082">
        <v>95.8741547976812</v>
      </c>
      <c r="AJ4082">
        <v>98.396998996068803</v>
      </c>
      <c r="AK4082">
        <v>10.7921903762299</v>
      </c>
    </row>
    <row r="4083" spans="1:37" x14ac:dyDescent="0.2">
      <c r="A4083" t="str">
        <f>"20200111160250254"</f>
        <v>20200111160250254</v>
      </c>
      <c r="B4083" t="str">
        <f>"1578729770246730"</f>
        <v>1578729770246730</v>
      </c>
      <c r="C4083" t="s">
        <v>37</v>
      </c>
      <c r="D4083">
        <v>5.4785529999999998</v>
      </c>
      <c r="E4083">
        <v>0.46314359999999999</v>
      </c>
      <c r="F4083" t="s">
        <v>38</v>
      </c>
      <c r="G4083">
        <v>-422.0274</v>
      </c>
      <c r="H4083" s="1">
        <v>-3.1834689999999999E-6</v>
      </c>
      <c r="I4083">
        <v>105.185</v>
      </c>
      <c r="J4083">
        <v>-423.14599999999899</v>
      </c>
      <c r="K4083">
        <v>1.1046049999999901</v>
      </c>
      <c r="L4083">
        <v>115.7687</v>
      </c>
      <c r="M4083">
        <v>-3.8678869999999997E-2</v>
      </c>
      <c r="N4083">
        <v>0</v>
      </c>
      <c r="O4083">
        <v>-0.99916419999999995</v>
      </c>
      <c r="P4083">
        <v>-6.1425859999999898E-3</v>
      </c>
      <c r="Q4083">
        <v>-3.437613E-3</v>
      </c>
      <c r="R4083">
        <v>-0.99997530000000001</v>
      </c>
      <c r="S4083">
        <v>0.31317139999999999</v>
      </c>
      <c r="T4083">
        <v>-0.31034719999999999</v>
      </c>
      <c r="U4083">
        <v>-3.000092</v>
      </c>
      <c r="V4083">
        <v>-3.2542849999999998E-2</v>
      </c>
      <c r="W4083">
        <v>9.7862739999999993E-3</v>
      </c>
      <c r="X4083">
        <v>0.99942240000000004</v>
      </c>
      <c r="Y4083">
        <v>-0.14167579999999999</v>
      </c>
      <c r="Z4083">
        <v>0.1019878</v>
      </c>
      <c r="AA4083">
        <v>0.9846454</v>
      </c>
      <c r="AB4083">
        <v>10</v>
      </c>
      <c r="AC4083">
        <v>1.1185999999999501</v>
      </c>
      <c r="AD4083">
        <v>-1.10460818346899</v>
      </c>
      <c r="AE4083">
        <v>-10.583699999999901</v>
      </c>
      <c r="AF4083">
        <v>-1.51088808331447</v>
      </c>
      <c r="AG4083">
        <v>-1.10460818346899</v>
      </c>
      <c r="AH4083">
        <v>10.420256429864899</v>
      </c>
      <c r="AI4083">
        <v>95.988924958835696</v>
      </c>
      <c r="AJ4083">
        <v>98.250122817047099</v>
      </c>
      <c r="AK4083">
        <v>10.587005530528</v>
      </c>
    </row>
    <row r="4084" spans="1:37" x14ac:dyDescent="0.2">
      <c r="A4084" t="str">
        <f>"20200111160250276"</f>
        <v>20200111160250276</v>
      </c>
      <c r="B4084" t="str">
        <f>"1578729770267226"</f>
        <v>1578729770267226</v>
      </c>
      <c r="C4084" t="s">
        <v>37</v>
      </c>
      <c r="D4084">
        <v>5.4162309999999998</v>
      </c>
      <c r="E4084">
        <v>0.46244359999999901</v>
      </c>
      <c r="F4084" t="s">
        <v>38</v>
      </c>
      <c r="G4084">
        <v>-422.04489999999998</v>
      </c>
      <c r="H4084" s="1">
        <v>-3.0991129999999998E-6</v>
      </c>
      <c r="I4084">
        <v>104.9967</v>
      </c>
      <c r="J4084">
        <v>-423.15</v>
      </c>
      <c r="K4084">
        <v>1.1046989999999901</v>
      </c>
      <c r="L4084">
        <v>115.6758</v>
      </c>
      <c r="M4084">
        <v>-3.8901390000000001E-2</v>
      </c>
      <c r="N4084">
        <v>0</v>
      </c>
      <c r="O4084">
        <v>-0.99915569999999898</v>
      </c>
      <c r="P4084">
        <v>-6.7014669999999896E-3</v>
      </c>
      <c r="Q4084">
        <v>-2.5741940000000001E-3</v>
      </c>
      <c r="R4084">
        <v>-0.99997459999999905</v>
      </c>
      <c r="S4084">
        <v>0.3067627</v>
      </c>
      <c r="T4084">
        <v>-0.30772440000000001</v>
      </c>
      <c r="U4084">
        <v>-3.0008849999999998</v>
      </c>
      <c r="V4084">
        <v>-3.2208979999999998E-2</v>
      </c>
      <c r="W4084">
        <v>1.06412E-2</v>
      </c>
      <c r="X4084">
        <v>0.99942450000000005</v>
      </c>
      <c r="Y4084">
        <v>-0.13979749999999999</v>
      </c>
      <c r="Z4084">
        <v>0.1011317</v>
      </c>
      <c r="AA4084">
        <v>0.98500200000000004</v>
      </c>
      <c r="AB4084">
        <v>10</v>
      </c>
      <c r="AC4084">
        <v>1.10509999999999</v>
      </c>
      <c r="AD4084">
        <v>-1.1047020991130001</v>
      </c>
      <c r="AE4084">
        <v>-10.679099999999901</v>
      </c>
      <c r="AF4084">
        <v>-1.5038098058177101</v>
      </c>
      <c r="AG4084">
        <v>-1.1047020991130001</v>
      </c>
      <c r="AH4084">
        <v>10.516675683704101</v>
      </c>
      <c r="AI4084">
        <v>95.936576478981706</v>
      </c>
      <c r="AJ4084">
        <v>98.137724161212006</v>
      </c>
      <c r="AK4084">
        <v>10.680930581933</v>
      </c>
    </row>
    <row r="4085" spans="1:37" x14ac:dyDescent="0.2">
      <c r="A4085" t="str">
        <f>"20200111160250299"</f>
        <v>20200111160250299</v>
      </c>
      <c r="B4085" t="str">
        <f>"1578729770297015"</f>
        <v>1578729770297015</v>
      </c>
      <c r="C4085" t="s">
        <v>37</v>
      </c>
      <c r="D4085">
        <v>5.4300889999999997</v>
      </c>
      <c r="E4085">
        <v>0.46147719999999998</v>
      </c>
      <c r="F4085" t="s">
        <v>38</v>
      </c>
      <c r="G4085">
        <v>-422.03050000000002</v>
      </c>
      <c r="H4085" s="1">
        <v>-3.0136599999999998E-6</v>
      </c>
      <c r="I4085">
        <v>104.824</v>
      </c>
      <c r="J4085">
        <v>-423.154</v>
      </c>
      <c r="K4085">
        <v>1.1047910000000001</v>
      </c>
      <c r="L4085">
        <v>115.5763</v>
      </c>
      <c r="M4085">
        <v>-3.899615E-2</v>
      </c>
      <c r="N4085">
        <v>0</v>
      </c>
      <c r="O4085">
        <v>-0.99915200000000004</v>
      </c>
      <c r="P4085">
        <v>-6.0935980000000004E-3</v>
      </c>
      <c r="Q4085">
        <v>-9.8438949999999996E-4</v>
      </c>
      <c r="R4085">
        <v>-0.99998089999999995</v>
      </c>
      <c r="S4085">
        <v>0.30960079999999901</v>
      </c>
      <c r="T4085">
        <v>-0.30553530000000001</v>
      </c>
      <c r="U4085">
        <v>-3.0013730000000001</v>
      </c>
      <c r="V4085">
        <v>-3.291417E-2</v>
      </c>
      <c r="W4085">
        <v>1.221847E-2</v>
      </c>
      <c r="X4085">
        <v>0.99938349999999898</v>
      </c>
      <c r="Y4085">
        <v>-0.1408045</v>
      </c>
      <c r="Z4085">
        <v>0.10039099999999999</v>
      </c>
      <c r="AA4085">
        <v>0.98493439999999999</v>
      </c>
      <c r="AB4085">
        <v>10</v>
      </c>
      <c r="AC4085">
        <v>1.12349999999997</v>
      </c>
      <c r="AD4085">
        <v>-1.1047940136600001</v>
      </c>
      <c r="AE4085">
        <v>-10.7523</v>
      </c>
      <c r="AF4085">
        <v>-1.52604302950337</v>
      </c>
      <c r="AG4085">
        <v>-1.1047940136600001</v>
      </c>
      <c r="AH4085">
        <v>10.5897108477328</v>
      </c>
      <c r="AI4085">
        <v>95.895492848702403</v>
      </c>
      <c r="AJ4085">
        <v>98.200224658380804</v>
      </c>
      <c r="AK4085">
        <v>10.755991492145499</v>
      </c>
    </row>
    <row r="4086" spans="1:37" x14ac:dyDescent="0.2">
      <c r="A4086" t="str">
        <f>"20200111160250321"</f>
        <v>20200111160250321</v>
      </c>
      <c r="B4086" t="str">
        <f>"1578729770316535"</f>
        <v>1578729770316535</v>
      </c>
      <c r="C4086" t="s">
        <v>37</v>
      </c>
      <c r="D4086">
        <v>5.5041679999999999</v>
      </c>
      <c r="E4086">
        <v>0.46100580000000002</v>
      </c>
      <c r="F4086" t="s">
        <v>38</v>
      </c>
      <c r="G4086">
        <v>-421.98230000000001</v>
      </c>
      <c r="H4086" s="1">
        <v>-2.8652990000000001E-6</v>
      </c>
      <c r="I4086">
        <v>104.5373</v>
      </c>
      <c r="J4086">
        <v>-423.15769999999998</v>
      </c>
      <c r="K4086">
        <v>1.104862</v>
      </c>
      <c r="L4086">
        <v>115.48050000000001</v>
      </c>
      <c r="M4086">
        <v>-3.8944550000000001E-2</v>
      </c>
      <c r="N4086">
        <v>0</v>
      </c>
      <c r="O4086">
        <v>-0.99915429999999905</v>
      </c>
      <c r="P4086">
        <v>-4.4758940000000002E-3</v>
      </c>
      <c r="Q4086" s="1">
        <v>-1.730987E-5</v>
      </c>
      <c r="R4086">
        <v>-0.99999009999999999</v>
      </c>
      <c r="S4086">
        <v>0.31860349999999998</v>
      </c>
      <c r="T4086">
        <v>-0.3004116</v>
      </c>
      <c r="U4086">
        <v>-3.0016940000000001</v>
      </c>
      <c r="V4086">
        <v>-3.4481539999999998E-2</v>
      </c>
      <c r="W4086">
        <v>1.31673E-2</v>
      </c>
      <c r="X4086">
        <v>0.99931859999999995</v>
      </c>
      <c r="Y4086">
        <v>-0.14368210000000001</v>
      </c>
      <c r="Z4086">
        <v>9.8678420000000003E-2</v>
      </c>
      <c r="AA4086">
        <v>0.98469189999999995</v>
      </c>
      <c r="AB4086">
        <v>10</v>
      </c>
      <c r="AC4086">
        <v>1.17539999999996</v>
      </c>
      <c r="AD4086">
        <v>-1.1048648652990001</v>
      </c>
      <c r="AE4086">
        <v>-10.943199999999999</v>
      </c>
      <c r="AF4086">
        <v>-1.5847530660786999</v>
      </c>
      <c r="AG4086">
        <v>-1.1048648652990001</v>
      </c>
      <c r="AH4086">
        <v>10.7804782766827</v>
      </c>
      <c r="AI4086">
        <v>95.789878727529398</v>
      </c>
      <c r="AJ4086">
        <v>98.362705503627296</v>
      </c>
      <c r="AK4086">
        <v>10.952208933591701</v>
      </c>
    </row>
    <row r="4087" spans="1:37" x14ac:dyDescent="0.2">
      <c r="A4087" t="str">
        <f>"20200111160250344"</f>
        <v>20200111160250344</v>
      </c>
      <c r="B4087" t="str">
        <f>"1578729770337030"</f>
        <v>1578729770337030</v>
      </c>
      <c r="C4087" t="s">
        <v>37</v>
      </c>
      <c r="D4087">
        <v>5.6398380000000001</v>
      </c>
      <c r="E4087">
        <v>0.45234439999999998</v>
      </c>
      <c r="F4087" t="s">
        <v>38</v>
      </c>
      <c r="G4087">
        <v>-421.945999999999</v>
      </c>
      <c r="H4087" s="1">
        <v>-2.766459E-6</v>
      </c>
      <c r="I4087">
        <v>104.34869999999999</v>
      </c>
      <c r="J4087">
        <v>-423.16140000000001</v>
      </c>
      <c r="K4087">
        <v>1.1049149999999901</v>
      </c>
      <c r="L4087">
        <v>115.3815</v>
      </c>
      <c r="M4087">
        <v>-3.8740410000000003E-2</v>
      </c>
      <c r="N4087">
        <v>0</v>
      </c>
      <c r="O4087">
        <v>-0.99916249999999995</v>
      </c>
      <c r="P4087">
        <v>-6.6748719999999999E-4</v>
      </c>
      <c r="Q4087">
        <v>-9.5006110000000002E-4</v>
      </c>
      <c r="R4087">
        <v>-0.99999959999999899</v>
      </c>
      <c r="S4087">
        <v>0.32672119999999999</v>
      </c>
      <c r="T4087">
        <v>-0.29790630000000001</v>
      </c>
      <c r="U4087">
        <v>-3.0014799999999999</v>
      </c>
      <c r="V4087">
        <v>-3.8084680000000003E-2</v>
      </c>
      <c r="W4087">
        <v>1.220941E-2</v>
      </c>
      <c r="X4087">
        <v>0.99919990000000003</v>
      </c>
      <c r="Y4087">
        <v>-0.14612849999999999</v>
      </c>
      <c r="Z4087">
        <v>9.7839910000000002E-2</v>
      </c>
      <c r="AA4087">
        <v>0.9844155</v>
      </c>
      <c r="AB4087">
        <v>10</v>
      </c>
      <c r="AC4087">
        <v>1.21540000000004</v>
      </c>
      <c r="AD4087">
        <v>-1.104917766459</v>
      </c>
      <c r="AE4087">
        <v>-11.0328</v>
      </c>
      <c r="AF4087">
        <v>-1.62582865377356</v>
      </c>
      <c r="AG4087">
        <v>-1.104917766459</v>
      </c>
      <c r="AH4087">
        <v>10.869714239492099</v>
      </c>
      <c r="AI4087">
        <v>95.740809723919199</v>
      </c>
      <c r="AJ4087">
        <v>98.506903607451505</v>
      </c>
      <c r="AK4087">
        <v>11.0460332124381</v>
      </c>
    </row>
    <row r="4088" spans="1:37" x14ac:dyDescent="0.2">
      <c r="A4088" t="str">
        <f>"20200111160250365"</f>
        <v>20200111160250365</v>
      </c>
      <c r="B4088" t="str">
        <f>"1578729770356550"</f>
        <v>1578729770356550</v>
      </c>
      <c r="C4088" t="s">
        <v>37</v>
      </c>
      <c r="D4088">
        <v>5.4945469999999998</v>
      </c>
      <c r="E4088">
        <v>0.455337299999999</v>
      </c>
      <c r="F4088" t="s">
        <v>38</v>
      </c>
      <c r="G4088">
        <v>-419.03590000000003</v>
      </c>
      <c r="H4088" s="1">
        <v>-1.8631880000000001E-6</v>
      </c>
      <c r="I4088">
        <v>83.577280000000002</v>
      </c>
      <c r="J4088">
        <v>-423.16460000000001</v>
      </c>
      <c r="K4088">
        <v>1.1049789999999999</v>
      </c>
      <c r="L4088">
        <v>115.29</v>
      </c>
      <c r="M4088">
        <v>-3.8406830000000003E-2</v>
      </c>
      <c r="N4088">
        <v>0</v>
      </c>
      <c r="O4088">
        <v>-0.999175499999999</v>
      </c>
      <c r="P4088">
        <v>4.0443299999999996E-3</v>
      </c>
      <c r="Q4088">
        <v>-1.3366910000000001E-3</v>
      </c>
      <c r="R4088">
        <v>-0.99999119999999997</v>
      </c>
      <c r="S4088">
        <v>0.38916020000000001</v>
      </c>
      <c r="T4088">
        <v>-0.104228399999999</v>
      </c>
      <c r="U4088">
        <v>-3.0001370000000001</v>
      </c>
      <c r="V4088">
        <v>-4.246076E-2</v>
      </c>
      <c r="W4088">
        <v>1.1796030000000001E-2</v>
      </c>
      <c r="X4088">
        <v>0.99902849999999999</v>
      </c>
      <c r="Y4088">
        <v>-0.1665566</v>
      </c>
      <c r="Z4088">
        <v>3.4295800000000001E-2</v>
      </c>
      <c r="AA4088">
        <v>0.98543530000000001</v>
      </c>
      <c r="AB4088">
        <v>10</v>
      </c>
      <c r="AC4088">
        <v>4.1286999999999798</v>
      </c>
      <c r="AD4088">
        <v>-1.104980863188</v>
      </c>
      <c r="AE4088">
        <v>-31.712720000000001</v>
      </c>
      <c r="AF4088">
        <v>-5.3373718925603004</v>
      </c>
      <c r="AG4088">
        <v>-1.104980863188</v>
      </c>
      <c r="AH4088">
        <v>31.4931363212044</v>
      </c>
      <c r="AI4088">
        <v>91.981249621638796</v>
      </c>
      <c r="AJ4088">
        <v>99.618935820572702</v>
      </c>
      <c r="AK4088">
        <v>31.961322825776001</v>
      </c>
    </row>
    <row r="4089" spans="1:37" x14ac:dyDescent="0.2">
      <c r="A4089" t="str">
        <f>"20200111160250387"</f>
        <v>20200111160250387</v>
      </c>
      <c r="B4089" t="str">
        <f>"1578729770377046"</f>
        <v>1578729770377046</v>
      </c>
      <c r="C4089" t="s">
        <v>37</v>
      </c>
      <c r="D4089">
        <v>5.4954960000000002</v>
      </c>
      <c r="E4089">
        <v>0.45636109999999902</v>
      </c>
      <c r="F4089" t="s">
        <v>38</v>
      </c>
      <c r="G4089">
        <v>-421.09109999999998</v>
      </c>
      <c r="H4089" s="1">
        <v>-4.3908700000000002E-6</v>
      </c>
      <c r="I4089">
        <v>99.320819999999998</v>
      </c>
      <c r="J4089">
        <v>-423.16759999999999</v>
      </c>
      <c r="K4089">
        <v>1.105046</v>
      </c>
      <c r="L4089">
        <v>115.19580000000001</v>
      </c>
      <c r="M4089">
        <v>-3.79158E-2</v>
      </c>
      <c r="N4089">
        <v>0</v>
      </c>
      <c r="O4089">
        <v>-0.99919429999999998</v>
      </c>
      <c r="P4089">
        <v>8.4282090000000007E-3</v>
      </c>
      <c r="Q4089">
        <v>-1.6802329999999999E-3</v>
      </c>
      <c r="R4089">
        <v>-0.99996319999999905</v>
      </c>
      <c r="S4089">
        <v>0.38928220000000002</v>
      </c>
      <c r="T4089">
        <v>-0.2074578</v>
      </c>
      <c r="U4089">
        <v>-2.9981689999999999</v>
      </c>
      <c r="V4089">
        <v>-4.6350699999999898E-2</v>
      </c>
      <c r="W4089">
        <v>1.142603E-2</v>
      </c>
      <c r="X4089">
        <v>0.99885990000000002</v>
      </c>
      <c r="Y4089">
        <v>-0.16596949999999999</v>
      </c>
      <c r="Z4089">
        <v>6.8191570000000007E-2</v>
      </c>
      <c r="AA4089">
        <v>0.98377029999999999</v>
      </c>
      <c r="AB4089">
        <v>10</v>
      </c>
      <c r="AC4089">
        <v>2.07650000000001</v>
      </c>
      <c r="AD4089">
        <v>-1.10505039087</v>
      </c>
      <c r="AE4089">
        <v>-15.874980000000001</v>
      </c>
      <c r="AF4089">
        <v>-2.6642787151881002</v>
      </c>
      <c r="AG4089">
        <v>-1.10505039087</v>
      </c>
      <c r="AH4089">
        <v>15.7099818796266</v>
      </c>
      <c r="AI4089">
        <v>93.967134571033995</v>
      </c>
      <c r="AJ4089">
        <v>99.625293471368593</v>
      </c>
      <c r="AK4089">
        <v>15.972571743359399</v>
      </c>
    </row>
    <row r="4090" spans="1:37" x14ac:dyDescent="0.2">
      <c r="A4090" t="str">
        <f>"20200111160250411"</f>
        <v>20200111160250411</v>
      </c>
      <c r="B4090" t="str">
        <f>"1578729770407303"</f>
        <v>1578729770407303</v>
      </c>
      <c r="C4090" t="s">
        <v>37</v>
      </c>
      <c r="D4090">
        <v>5.4931919999999996</v>
      </c>
      <c r="E4090">
        <v>0.45709379999999999</v>
      </c>
      <c r="F4090" t="s">
        <v>38</v>
      </c>
      <c r="G4090">
        <v>-421.35660000000001</v>
      </c>
      <c r="H4090" s="1">
        <v>-1.283913E-6</v>
      </c>
      <c r="I4090">
        <v>101.5441</v>
      </c>
      <c r="J4090">
        <v>-423.1705</v>
      </c>
      <c r="K4090">
        <v>1.1051059999999999</v>
      </c>
      <c r="L4090">
        <v>115.098</v>
      </c>
      <c r="M4090">
        <v>-3.7233679999999998E-2</v>
      </c>
      <c r="N4090">
        <v>0</v>
      </c>
      <c r="O4090">
        <v>-0.99922</v>
      </c>
      <c r="P4090">
        <v>1.14714E-2</v>
      </c>
      <c r="Q4090">
        <v>-2.000014E-3</v>
      </c>
      <c r="R4090">
        <v>-0.9999323</v>
      </c>
      <c r="S4090">
        <v>0.3974915</v>
      </c>
      <c r="T4090">
        <v>-0.2425435</v>
      </c>
      <c r="U4090">
        <v>-2.9963679999999999</v>
      </c>
      <c r="V4090">
        <v>-4.871031E-2</v>
      </c>
      <c r="W4090">
        <v>1.108225E-2</v>
      </c>
      <c r="X4090">
        <v>0.99875149999999902</v>
      </c>
      <c r="Y4090">
        <v>-0.16790869999999999</v>
      </c>
      <c r="Z4090">
        <v>7.9678219999999994E-2</v>
      </c>
      <c r="AA4090">
        <v>0.98257729999999999</v>
      </c>
      <c r="AB4090">
        <v>10</v>
      </c>
      <c r="AC4090">
        <v>1.8138999999999801</v>
      </c>
      <c r="AD4090">
        <v>-1.1051072839129901</v>
      </c>
      <c r="AE4090">
        <v>-13.553900000000001</v>
      </c>
      <c r="AF4090">
        <v>-2.3023111541881001</v>
      </c>
      <c r="AG4090">
        <v>-1.1051072839129901</v>
      </c>
      <c r="AH4090">
        <v>13.3895107672229</v>
      </c>
      <c r="AI4090">
        <v>94.650290543891302</v>
      </c>
      <c r="AJ4090">
        <v>99.756535504433501</v>
      </c>
      <c r="AK4090">
        <v>13.630880285045199</v>
      </c>
    </row>
    <row r="4091" spans="1:37" x14ac:dyDescent="0.2">
      <c r="A4091" t="str">
        <f>"20200111160250433"</f>
        <v>20200111160250433</v>
      </c>
      <c r="B4091" t="str">
        <f>"1578729770426822"</f>
        <v>1578729770426822</v>
      </c>
      <c r="C4091" t="s">
        <v>37</v>
      </c>
      <c r="D4091">
        <v>5.5906260000000003</v>
      </c>
      <c r="E4091">
        <v>0.45767759999999902</v>
      </c>
      <c r="F4091" t="s">
        <v>38</v>
      </c>
      <c r="G4091">
        <v>-421.36869999999999</v>
      </c>
      <c r="H4091" s="1">
        <v>-1.3363399999999899E-6</v>
      </c>
      <c r="I4091">
        <v>101.6482</v>
      </c>
      <c r="J4091">
        <v>-423.17320000000001</v>
      </c>
      <c r="K4091">
        <v>1.1051569999999999</v>
      </c>
      <c r="L4091">
        <v>115.0001</v>
      </c>
      <c r="M4091">
        <v>-3.6374530000000002E-2</v>
      </c>
      <c r="N4091">
        <v>0</v>
      </c>
      <c r="O4091">
        <v>-0.99925189999999997</v>
      </c>
      <c r="P4091">
        <v>1.28226E-2</v>
      </c>
      <c r="Q4091">
        <v>-1.215785E-3</v>
      </c>
      <c r="R4091">
        <v>-0.99991719999999895</v>
      </c>
      <c r="S4091">
        <v>0.40124509999999902</v>
      </c>
      <c r="T4091">
        <v>-0.24609299999999901</v>
      </c>
      <c r="U4091">
        <v>-2.9951020000000002</v>
      </c>
      <c r="V4091">
        <v>-4.9203730000000001E-2</v>
      </c>
      <c r="W4091">
        <v>1.184752E-2</v>
      </c>
      <c r="X4091">
        <v>0.99871849999999995</v>
      </c>
      <c r="Y4091">
        <v>-0.16831260000000001</v>
      </c>
      <c r="Z4091">
        <v>8.0864679999999994E-2</v>
      </c>
      <c r="AA4091">
        <v>0.98241119999999904</v>
      </c>
      <c r="AB4091">
        <v>10</v>
      </c>
      <c r="AC4091">
        <v>1.80450000000001</v>
      </c>
      <c r="AD4091">
        <v>-1.1051583363399999</v>
      </c>
      <c r="AE4091">
        <v>-13.351900000000001</v>
      </c>
      <c r="AF4091">
        <v>-2.2737184768405299</v>
      </c>
      <c r="AG4091">
        <v>-1.1051583363399999</v>
      </c>
      <c r="AH4091">
        <v>13.1886823477242</v>
      </c>
      <c r="AI4091">
        <v>94.7206475925516</v>
      </c>
      <c r="AJ4091">
        <v>99.781595850070005</v>
      </c>
      <c r="AK4091">
        <v>13.428794165131899</v>
      </c>
    </row>
    <row r="4092" spans="1:37" x14ac:dyDescent="0.2">
      <c r="A4092" t="str">
        <f>"20200111160250455"</f>
        <v>20200111160250455</v>
      </c>
      <c r="B4092" t="str">
        <f>"1578729770447319"</f>
        <v>1578729770447319</v>
      </c>
      <c r="C4092" t="s">
        <v>37</v>
      </c>
      <c r="D4092">
        <v>5.5218239999999996</v>
      </c>
      <c r="E4092">
        <v>0.45820159999999999</v>
      </c>
      <c r="F4092" t="s">
        <v>38</v>
      </c>
      <c r="G4092">
        <v>-421.4418</v>
      </c>
      <c r="H4092" s="1">
        <v>-1.5638369999999999E-6</v>
      </c>
      <c r="I4092">
        <v>102.0883</v>
      </c>
      <c r="J4092">
        <v>-423.17540000000002</v>
      </c>
      <c r="K4092">
        <v>1.1051899999999999</v>
      </c>
      <c r="L4092">
        <v>114.90770000000001</v>
      </c>
      <c r="M4092">
        <v>-3.5440230000000003E-2</v>
      </c>
      <c r="N4092">
        <v>0</v>
      </c>
      <c r="O4092">
        <v>-0.99928539999999999</v>
      </c>
      <c r="P4092">
        <v>1.311124E-2</v>
      </c>
      <c r="Q4092">
        <v>-8.6335130000000004E-4</v>
      </c>
      <c r="R4092">
        <v>-0.99991350000000001</v>
      </c>
      <c r="S4092">
        <v>0.40158080000000002</v>
      </c>
      <c r="T4092">
        <v>-0.25633449999999902</v>
      </c>
      <c r="U4092">
        <v>-2.9947970000000002</v>
      </c>
      <c r="V4092">
        <v>-4.8559669999999999E-2</v>
      </c>
      <c r="W4092">
        <v>1.2187959999999999E-2</v>
      </c>
      <c r="X4092">
        <v>0.99874589999999996</v>
      </c>
      <c r="Y4092">
        <v>-0.16747519999999999</v>
      </c>
      <c r="Z4092">
        <v>8.4224320000000005E-2</v>
      </c>
      <c r="AA4092">
        <v>0.98227199999999903</v>
      </c>
      <c r="AB4092">
        <v>10</v>
      </c>
      <c r="AC4092">
        <v>1.73360000000002</v>
      </c>
      <c r="AD4092">
        <v>-1.10519156383699</v>
      </c>
      <c r="AE4092">
        <v>-12.8194</v>
      </c>
      <c r="AF4092">
        <v>-2.1710259458782599</v>
      </c>
      <c r="AG4092">
        <v>-1.10519156383699</v>
      </c>
      <c r="AH4092">
        <v>12.6575125259423</v>
      </c>
      <c r="AI4092">
        <v>94.918661685292093</v>
      </c>
      <c r="AJ4092">
        <v>99.732708716181406</v>
      </c>
      <c r="AK4092">
        <v>12.8898186719146</v>
      </c>
    </row>
    <row r="4093" spans="1:37" x14ac:dyDescent="0.2">
      <c r="A4093" t="str">
        <f>"20200111160250478"</f>
        <v>20200111160250478</v>
      </c>
      <c r="B4093" t="str">
        <f>"1578729770466839"</f>
        <v>1578729770466839</v>
      </c>
      <c r="C4093" t="s">
        <v>37</v>
      </c>
      <c r="D4093">
        <v>5.8732689999999996</v>
      </c>
      <c r="E4093">
        <v>0.45938519999999999</v>
      </c>
      <c r="F4093" t="s">
        <v>38</v>
      </c>
      <c r="G4093">
        <v>-421.51319999999998</v>
      </c>
      <c r="H4093" s="1">
        <v>-1.72888E-6</v>
      </c>
      <c r="I4093">
        <v>102.3973</v>
      </c>
      <c r="J4093">
        <v>-423.17739999999998</v>
      </c>
      <c r="K4093">
        <v>1.1052029999999999</v>
      </c>
      <c r="L4093">
        <v>114.8138</v>
      </c>
      <c r="M4093">
        <v>-3.4383230000000001E-2</v>
      </c>
      <c r="N4093">
        <v>0</v>
      </c>
      <c r="O4093">
        <v>-0.9993225</v>
      </c>
      <c r="P4093">
        <v>1.1643570000000001E-2</v>
      </c>
      <c r="Q4093">
        <v>-1.688499E-3</v>
      </c>
      <c r="R4093">
        <v>-0.99993099999999902</v>
      </c>
      <c r="S4093">
        <v>0.39791870000000001</v>
      </c>
      <c r="T4093">
        <v>-0.26456750000000001</v>
      </c>
      <c r="U4093">
        <v>-2.994812</v>
      </c>
      <c r="V4093">
        <v>-4.603637E-2</v>
      </c>
      <c r="W4093">
        <v>1.135832E-2</v>
      </c>
      <c r="X4093">
        <v>0.99887519999999996</v>
      </c>
      <c r="Y4093">
        <v>-0.1652206</v>
      </c>
      <c r="Z4093">
        <v>8.6937029999999998E-2</v>
      </c>
      <c r="AA4093">
        <v>0.98241749999999906</v>
      </c>
      <c r="AB4093">
        <v>10</v>
      </c>
      <c r="AC4093">
        <v>1.6641999999999899</v>
      </c>
      <c r="AD4093">
        <v>-1.10520472888</v>
      </c>
      <c r="AE4093">
        <v>-12.416499999999999</v>
      </c>
      <c r="AF4093">
        <v>-2.07402954256633</v>
      </c>
      <c r="AG4093">
        <v>-1.10520472888</v>
      </c>
      <c r="AH4093">
        <v>12.256537357976301</v>
      </c>
      <c r="AI4093">
        <v>95.080734898519296</v>
      </c>
      <c r="AJ4093">
        <v>99.604505642767194</v>
      </c>
      <c r="AK4093">
        <v>12.479815064480899</v>
      </c>
    </row>
    <row r="4094" spans="1:37" x14ac:dyDescent="0.2">
      <c r="A4094" t="str">
        <f>"20200111160250500"</f>
        <v>20200111160250500</v>
      </c>
      <c r="B4094" t="str">
        <f>"1578729770497094"</f>
        <v>1578729770497094</v>
      </c>
      <c r="C4094" t="s">
        <v>37</v>
      </c>
      <c r="D4094">
        <v>6.0200690000000003</v>
      </c>
      <c r="E4094">
        <v>0.45968629999999999</v>
      </c>
      <c r="F4094" t="s">
        <v>38</v>
      </c>
      <c r="G4094">
        <v>-421.63119999999998</v>
      </c>
      <c r="H4094" s="1">
        <v>-1.9275210000000001E-6</v>
      </c>
      <c r="I4094">
        <v>102.75109999999999</v>
      </c>
      <c r="J4094">
        <v>-423.17930000000001</v>
      </c>
      <c r="K4094">
        <v>1.1051979999999999</v>
      </c>
      <c r="L4094">
        <v>114.7204</v>
      </c>
      <c r="M4094">
        <v>-3.3234989999999999E-2</v>
      </c>
      <c r="N4094">
        <v>0</v>
      </c>
      <c r="O4094">
        <v>-0.99936159999999996</v>
      </c>
      <c r="P4094">
        <v>1.050538E-2</v>
      </c>
      <c r="Q4094">
        <v>-4.6006879999999899E-3</v>
      </c>
      <c r="R4094">
        <v>-0.9999344</v>
      </c>
      <c r="S4094">
        <v>0.3839417</v>
      </c>
      <c r="T4094">
        <v>-0.27443190000000001</v>
      </c>
      <c r="U4094">
        <v>-2.995285</v>
      </c>
      <c r="V4094">
        <v>-4.3746989999999999E-2</v>
      </c>
      <c r="W4094">
        <v>8.4426039999999994E-3</v>
      </c>
      <c r="X4094">
        <v>0.99900699999999998</v>
      </c>
      <c r="Y4094">
        <v>-0.15952</v>
      </c>
      <c r="Z4094">
        <v>9.0213009999999996E-2</v>
      </c>
      <c r="AA4094">
        <v>0.9830641</v>
      </c>
      <c r="AB4094">
        <v>9</v>
      </c>
      <c r="AC4094">
        <v>1.54810000000003</v>
      </c>
      <c r="AD4094">
        <v>-1.1051999275209901</v>
      </c>
      <c r="AE4094">
        <v>-11.9693</v>
      </c>
      <c r="AF4094">
        <v>-1.92890317883222</v>
      </c>
      <c r="AG4094">
        <v>-1.1051999275209901</v>
      </c>
      <c r="AH4094">
        <v>11.8121777589975</v>
      </c>
      <c r="AI4094">
        <v>95.275808404417802</v>
      </c>
      <c r="AJ4094">
        <v>99.274417731870798</v>
      </c>
      <c r="AK4094">
        <v>12.0195539752212</v>
      </c>
    </row>
    <row r="4095" spans="1:37" x14ac:dyDescent="0.2">
      <c r="A4095" t="str">
        <f>"20200111160250523"</f>
        <v>20200111160250523</v>
      </c>
      <c r="B4095" t="str">
        <f>"1578729770516614"</f>
        <v>1578729770516614</v>
      </c>
      <c r="C4095" t="s">
        <v>37</v>
      </c>
      <c r="D4095">
        <v>5.5706579999999999</v>
      </c>
      <c r="E4095">
        <v>0.46001579999999898</v>
      </c>
      <c r="F4095" t="s">
        <v>38</v>
      </c>
      <c r="G4095">
        <v>-421.70729999999998</v>
      </c>
      <c r="H4095" s="1">
        <v>-2.082369E-6</v>
      </c>
      <c r="I4095">
        <v>103.03579999999999</v>
      </c>
      <c r="J4095">
        <v>-423.18090000000001</v>
      </c>
      <c r="K4095">
        <v>1.1051799999999901</v>
      </c>
      <c r="L4095">
        <v>114.6237</v>
      </c>
      <c r="M4095">
        <v>-3.1957399999999997E-2</v>
      </c>
      <c r="N4095">
        <v>0</v>
      </c>
      <c r="O4095">
        <v>-0.99940359999999995</v>
      </c>
      <c r="P4095">
        <v>1.0168750000000001E-2</v>
      </c>
      <c r="Q4095">
        <v>-8.6132020000000004E-3</v>
      </c>
      <c r="R4095">
        <v>-0.99991180000000002</v>
      </c>
      <c r="S4095">
        <v>0.37728879999999998</v>
      </c>
      <c r="T4095">
        <v>-0.28328130000000001</v>
      </c>
      <c r="U4095">
        <v>-2.9949490000000001</v>
      </c>
      <c r="V4095">
        <v>-4.2126950000000003E-2</v>
      </c>
      <c r="W4095">
        <v>4.4272449999999998E-3</v>
      </c>
      <c r="X4095">
        <v>0.9991025</v>
      </c>
      <c r="Y4095">
        <v>-0.15608820000000001</v>
      </c>
      <c r="Z4095">
        <v>9.3151579999999998E-2</v>
      </c>
      <c r="AA4095">
        <v>0.98334089999999996</v>
      </c>
      <c r="AB4095">
        <v>9</v>
      </c>
      <c r="AC4095">
        <v>1.47360000000003</v>
      </c>
      <c r="AD4095">
        <v>-1.10518208236899</v>
      </c>
      <c r="AE4095">
        <v>-11.587899999999999</v>
      </c>
      <c r="AF4095">
        <v>-1.8268452253407299</v>
      </c>
      <c r="AG4095">
        <v>-1.10518208236899</v>
      </c>
      <c r="AH4095">
        <v>11.4325464507899</v>
      </c>
      <c r="AI4095">
        <v>95.452861989177407</v>
      </c>
      <c r="AJ4095">
        <v>99.078733525957006</v>
      </c>
      <c r="AK4095">
        <v>11.6302153575077</v>
      </c>
    </row>
    <row r="4096" spans="1:37" x14ac:dyDescent="0.2">
      <c r="A4096" t="str">
        <f>"20200111160250544"</f>
        <v>20200111160250544</v>
      </c>
      <c r="B4096" t="str">
        <f>"1578729770537110"</f>
        <v>1578729770537110</v>
      </c>
      <c r="C4096" t="s">
        <v>37</v>
      </c>
      <c r="D4096">
        <v>5.5738560000000001</v>
      </c>
      <c r="E4096">
        <v>0.46025199999999999</v>
      </c>
      <c r="F4096" t="s">
        <v>38</v>
      </c>
      <c r="G4096">
        <v>-421.80869999999999</v>
      </c>
      <c r="H4096" s="1">
        <v>-2.38671699999999E-6</v>
      </c>
      <c r="I4096">
        <v>103.62260000000001</v>
      </c>
      <c r="J4096">
        <v>-423.1823</v>
      </c>
      <c r="K4096">
        <v>1.105164</v>
      </c>
      <c r="L4096">
        <v>114.5322</v>
      </c>
      <c r="M4096">
        <v>-3.0674969999999999E-2</v>
      </c>
      <c r="N4096">
        <v>0</v>
      </c>
      <c r="O4096">
        <v>-0.99944379999999999</v>
      </c>
      <c r="P4096">
        <v>1.0667680000000001E-2</v>
      </c>
      <c r="Q4096">
        <v>-1.260962E-2</v>
      </c>
      <c r="R4096">
        <v>-0.99986399999999998</v>
      </c>
      <c r="S4096">
        <v>0.37344359999999999</v>
      </c>
      <c r="T4096">
        <v>-0.30076770000000003</v>
      </c>
      <c r="U4096">
        <v>-2.993881</v>
      </c>
      <c r="V4096">
        <v>-4.1336499999999998E-2</v>
      </c>
      <c r="W4096">
        <v>4.2707109999999998E-4</v>
      </c>
      <c r="X4096">
        <v>0.99914519999999996</v>
      </c>
      <c r="Y4096">
        <v>-0.15355170000000001</v>
      </c>
      <c r="Z4096">
        <v>9.8914520000000006E-2</v>
      </c>
      <c r="AA4096">
        <v>0.98317739999999998</v>
      </c>
      <c r="AB4096">
        <v>9</v>
      </c>
      <c r="AC4096">
        <v>1.3736000000000099</v>
      </c>
      <c r="AD4096">
        <v>-1.1051663867170001</v>
      </c>
      <c r="AE4096">
        <v>-10.9095999999999</v>
      </c>
      <c r="AF4096">
        <v>-1.69055580389684</v>
      </c>
      <c r="AG4096">
        <v>-1.1051663867170001</v>
      </c>
      <c r="AH4096">
        <v>10.7536927540649</v>
      </c>
      <c r="AI4096">
        <v>95.797033981255794</v>
      </c>
      <c r="AJ4096">
        <v>98.934176755279594</v>
      </c>
      <c r="AK4096">
        <v>10.9417219630754</v>
      </c>
    </row>
    <row r="4097" spans="1:37" x14ac:dyDescent="0.2">
      <c r="A4097" t="str">
        <f>"20200111160250567"</f>
        <v>20200111160250567</v>
      </c>
      <c r="B4097" t="str">
        <f>"1578729770556630"</f>
        <v>1578729770556630</v>
      </c>
      <c r="C4097" t="s">
        <v>37</v>
      </c>
      <c r="D4097">
        <v>5.5544359999999999</v>
      </c>
      <c r="E4097">
        <v>0.46044620000000003</v>
      </c>
      <c r="F4097" t="s">
        <v>38</v>
      </c>
      <c r="G4097">
        <v>-421.88720000000001</v>
      </c>
      <c r="H4097" s="1">
        <v>-2.6412919999999998E-6</v>
      </c>
      <c r="I4097">
        <v>104.1169</v>
      </c>
      <c r="J4097">
        <v>-423.18349999999998</v>
      </c>
      <c r="K4097">
        <v>1.105159</v>
      </c>
      <c r="L4097">
        <v>114.4406</v>
      </c>
      <c r="M4097">
        <v>-2.933378E-2</v>
      </c>
      <c r="N4097">
        <v>0</v>
      </c>
      <c r="O4097">
        <v>-0.99948409999999999</v>
      </c>
      <c r="P4097">
        <v>1.3042059999999999E-2</v>
      </c>
      <c r="Q4097">
        <v>-1.4920320000000001E-2</v>
      </c>
      <c r="R4097">
        <v>-0.99980389999999997</v>
      </c>
      <c r="S4097">
        <v>0.37210079999999901</v>
      </c>
      <c r="T4097">
        <v>-0.31753049999999999</v>
      </c>
      <c r="U4097">
        <v>-2.9924469999999999</v>
      </c>
      <c r="V4097">
        <v>-4.2364539999999999E-2</v>
      </c>
      <c r="W4097">
        <v>-1.890177E-3</v>
      </c>
      <c r="X4097">
        <v>0.9991004</v>
      </c>
      <c r="Y4097">
        <v>-0.1517792</v>
      </c>
      <c r="Z4097">
        <v>0.1044407</v>
      </c>
      <c r="AA4097">
        <v>0.98288109999999995</v>
      </c>
      <c r="AB4097">
        <v>9</v>
      </c>
      <c r="AC4097">
        <v>1.29629999999997</v>
      </c>
      <c r="AD4097">
        <v>-1.105161641292</v>
      </c>
      <c r="AE4097">
        <v>-10.323700000000001</v>
      </c>
      <c r="AF4097">
        <v>-1.5807668756228801</v>
      </c>
      <c r="AG4097">
        <v>-1.105161641292</v>
      </c>
      <c r="AH4097">
        <v>10.1665290409489</v>
      </c>
      <c r="AI4097">
        <v>96.130929982026004</v>
      </c>
      <c r="AJ4097">
        <v>98.838000147902903</v>
      </c>
      <c r="AK4097">
        <v>10.347875091481701</v>
      </c>
    </row>
    <row r="4098" spans="1:37" x14ac:dyDescent="0.2">
      <c r="A4098" t="str">
        <f>"20200111160250588"</f>
        <v>20200111160250588</v>
      </c>
      <c r="B4098" t="str">
        <f>"1578729770577126"</f>
        <v>1578729770577126</v>
      </c>
      <c r="C4098" t="s">
        <v>37</v>
      </c>
      <c r="D4098">
        <v>5.6115579999999996</v>
      </c>
      <c r="E4098">
        <v>0.46057239999999999</v>
      </c>
      <c r="F4098" t="s">
        <v>38</v>
      </c>
      <c r="G4098">
        <v>-421.90550000000002</v>
      </c>
      <c r="H4098" s="1">
        <v>-2.731454E-6</v>
      </c>
      <c r="I4098">
        <v>104.2974</v>
      </c>
      <c r="J4098">
        <v>-423.18450000000001</v>
      </c>
      <c r="K4098">
        <v>1.105154</v>
      </c>
      <c r="L4098">
        <v>114.3494</v>
      </c>
      <c r="M4098">
        <v>-2.7944900000000002E-2</v>
      </c>
      <c r="N4098">
        <v>0</v>
      </c>
      <c r="O4098">
        <v>-0.99952379999999996</v>
      </c>
      <c r="P4098">
        <v>1.6717920000000001E-2</v>
      </c>
      <c r="Q4098">
        <v>-1.6185330000000001E-2</v>
      </c>
      <c r="R4098">
        <v>-0.99972950000000005</v>
      </c>
      <c r="S4098">
        <v>0.37683109999999997</v>
      </c>
      <c r="T4098">
        <v>-0.3258684</v>
      </c>
      <c r="U4098">
        <v>-2.9908139999999999</v>
      </c>
      <c r="V4098">
        <v>-4.4646749999999999E-2</v>
      </c>
      <c r="W4098">
        <v>-3.1636909999999902E-3</v>
      </c>
      <c r="X4098">
        <v>0.99899780000000005</v>
      </c>
      <c r="Y4098">
        <v>-0.1519654</v>
      </c>
      <c r="Z4098">
        <v>0.1072036</v>
      </c>
      <c r="AA4098">
        <v>0.98255479999999995</v>
      </c>
      <c r="AB4098">
        <v>9</v>
      </c>
      <c r="AC4098">
        <v>1.2789999999999899</v>
      </c>
      <c r="AD4098">
        <v>-1.1051567314540001</v>
      </c>
      <c r="AE4098">
        <v>-10.052</v>
      </c>
      <c r="AF4098">
        <v>-1.5410951328217199</v>
      </c>
      <c r="AG4098">
        <v>-1.1051567314540001</v>
      </c>
      <c r="AH4098">
        <v>9.8946314665278496</v>
      </c>
      <c r="AI4098">
        <v>96.297790073520204</v>
      </c>
      <c r="AJ4098">
        <v>98.852727387423499</v>
      </c>
      <c r="AK4098">
        <v>10.074724684470899</v>
      </c>
    </row>
    <row r="4099" spans="1:37" x14ac:dyDescent="0.2">
      <c r="A4099" t="str">
        <f>"20200111160250614"</f>
        <v>20200111160250614</v>
      </c>
      <c r="B4099" t="str">
        <f>"1578729770606407"</f>
        <v>1578729770606407</v>
      </c>
      <c r="C4099" t="s">
        <v>37</v>
      </c>
      <c r="D4099">
        <v>5.58066</v>
      </c>
      <c r="E4099">
        <v>0.46095429999999998</v>
      </c>
      <c r="F4099" t="s">
        <v>38</v>
      </c>
      <c r="G4099">
        <v>-421.89210000000003</v>
      </c>
      <c r="H4099" s="1">
        <v>-2.7555749999999999E-6</v>
      </c>
      <c r="I4099">
        <v>104.35590000000001</v>
      </c>
      <c r="J4099">
        <v>-423.18529999999998</v>
      </c>
      <c r="K4099">
        <v>1.1051489999999999</v>
      </c>
      <c r="L4099">
        <v>114.2478</v>
      </c>
      <c r="M4099">
        <v>-2.6325339999999999E-2</v>
      </c>
      <c r="N4099">
        <v>0</v>
      </c>
      <c r="O4099">
        <v>-0.99956789999999995</v>
      </c>
      <c r="P4099">
        <v>2.003104E-2</v>
      </c>
      <c r="Q4099">
        <v>-1.5829220000000001E-2</v>
      </c>
      <c r="R4099">
        <v>-0.99967439999999996</v>
      </c>
      <c r="S4099">
        <v>0.38653559999999998</v>
      </c>
      <c r="T4099">
        <v>-0.3305477</v>
      </c>
      <c r="U4099">
        <v>-2.988998</v>
      </c>
      <c r="V4099">
        <v>-4.6339239999999997E-2</v>
      </c>
      <c r="W4099">
        <v>-2.8150639999999999E-3</v>
      </c>
      <c r="X4099">
        <v>0.99892179999999997</v>
      </c>
      <c r="Y4099">
        <v>-0.1535552</v>
      </c>
      <c r="Z4099">
        <v>0.1087612</v>
      </c>
      <c r="AA4099">
        <v>0.98213639999999902</v>
      </c>
      <c r="AB4099">
        <v>9</v>
      </c>
      <c r="AC4099">
        <v>1.2931999999999499</v>
      </c>
      <c r="AD4099">
        <v>-1.1051517555749999</v>
      </c>
      <c r="AE4099">
        <v>-9.8918999999999908</v>
      </c>
      <c r="AF4099">
        <v>-1.53435167256248</v>
      </c>
      <c r="AG4099">
        <v>-1.1051517555749999</v>
      </c>
      <c r="AH4099">
        <v>9.73495443636563</v>
      </c>
      <c r="AI4099">
        <v>96.398403213001799</v>
      </c>
      <c r="AJ4099">
        <v>98.956854996419494</v>
      </c>
      <c r="AK4099">
        <v>9.9169013979196503</v>
      </c>
    </row>
    <row r="4100" spans="1:37" x14ac:dyDescent="0.2">
      <c r="A4100" t="str">
        <f>"20200111160250634"</f>
        <v>20200111160250634</v>
      </c>
      <c r="B4100" t="str">
        <f>"1578729770626902"</f>
        <v>1578729770626902</v>
      </c>
      <c r="C4100" t="s">
        <v>37</v>
      </c>
      <c r="D4100">
        <v>5.6285629999999998</v>
      </c>
      <c r="E4100">
        <v>0.47661439999999999</v>
      </c>
      <c r="F4100" t="s">
        <v>38</v>
      </c>
      <c r="G4100">
        <v>-421.86320000000001</v>
      </c>
      <c r="H4100" s="1">
        <v>-2.6790469999999999E-6</v>
      </c>
      <c r="I4100">
        <v>104.2103</v>
      </c>
      <c r="J4100">
        <v>-423.1859</v>
      </c>
      <c r="K4100">
        <v>1.1051569999999999</v>
      </c>
      <c r="L4100">
        <v>114.16</v>
      </c>
      <c r="M4100">
        <v>-2.4870199999999999E-2</v>
      </c>
      <c r="N4100">
        <v>0</v>
      </c>
      <c r="O4100">
        <v>-0.99960509999999902</v>
      </c>
      <c r="P4100">
        <v>2.1835299999999998E-2</v>
      </c>
      <c r="Q4100">
        <v>-1.357876E-2</v>
      </c>
      <c r="R4100">
        <v>-0.99966959999999905</v>
      </c>
      <c r="S4100">
        <v>0.39355469999999998</v>
      </c>
      <c r="T4100">
        <v>-0.32897320000000002</v>
      </c>
      <c r="U4100">
        <v>-2.9878689999999999</v>
      </c>
      <c r="V4100">
        <v>-4.6692369999999997E-2</v>
      </c>
      <c r="W4100">
        <v>-5.6861839999999895E-4</v>
      </c>
      <c r="X4100">
        <v>0.99890919999999905</v>
      </c>
      <c r="Y4100">
        <v>-0.15443970000000001</v>
      </c>
      <c r="Z4100">
        <v>0.1082718</v>
      </c>
      <c r="AA4100">
        <v>0.98205169999999997</v>
      </c>
      <c r="AB4100">
        <v>9</v>
      </c>
      <c r="AC4100">
        <v>1.32269999999999</v>
      </c>
      <c r="AD4100">
        <v>-1.105159679047</v>
      </c>
      <c r="AE4100">
        <v>-9.9496999999999893</v>
      </c>
      <c r="AF4100">
        <v>-1.5509602029902601</v>
      </c>
      <c r="AG4100">
        <v>-1.105159679047</v>
      </c>
      <c r="AH4100">
        <v>9.7949755578959703</v>
      </c>
      <c r="AI4100">
        <v>96.358853390245898</v>
      </c>
      <c r="AJ4100">
        <v>98.997651710881698</v>
      </c>
      <c r="AK4100">
        <v>9.9783967473352302</v>
      </c>
    </row>
    <row r="4101" spans="1:37" x14ac:dyDescent="0.2">
      <c r="A4101" t="str">
        <f>"20200111160250656"</f>
        <v>20200111160250656</v>
      </c>
      <c r="B4101" t="str">
        <f>"1578729770646422"</f>
        <v>1578729770646422</v>
      </c>
      <c r="C4101" t="s">
        <v>37</v>
      </c>
      <c r="D4101">
        <v>5.6159840000000001</v>
      </c>
      <c r="E4101">
        <v>0.47499940000000002</v>
      </c>
      <c r="F4101" t="s">
        <v>38</v>
      </c>
      <c r="G4101">
        <v>-421.8535</v>
      </c>
      <c r="H4101" s="1">
        <v>-4.4942119999999996E-6</v>
      </c>
      <c r="I4101">
        <v>99.227099999999993</v>
      </c>
      <c r="J4101">
        <v>-423.18619999999999</v>
      </c>
      <c r="K4101">
        <v>1.1051599999999999</v>
      </c>
      <c r="L4101">
        <v>114.0714</v>
      </c>
      <c r="M4101">
        <v>-2.3355609999999999E-2</v>
      </c>
      <c r="N4101">
        <v>0</v>
      </c>
      <c r="O4101">
        <v>-0.99964179999999903</v>
      </c>
      <c r="P4101">
        <v>2.2152439999999999E-2</v>
      </c>
      <c r="Q4101">
        <v>-1.0425439999999999E-2</v>
      </c>
      <c r="R4101">
        <v>-0.99970059999999905</v>
      </c>
      <c r="S4101">
        <v>0.26696779999999998</v>
      </c>
      <c r="T4101">
        <v>-0.22144529999999901</v>
      </c>
      <c r="U4101">
        <v>-2.9921570000000002</v>
      </c>
      <c r="V4101">
        <v>-4.5500449999999998E-2</v>
      </c>
      <c r="W4101">
        <v>2.583803E-3</v>
      </c>
      <c r="X4101">
        <v>0.99896099999999999</v>
      </c>
      <c r="Y4101">
        <v>-0.11187039999999999</v>
      </c>
      <c r="Z4101">
        <v>7.3399800000000001E-2</v>
      </c>
      <c r="AA4101">
        <v>0.99100829999999995</v>
      </c>
      <c r="AB4101">
        <v>9</v>
      </c>
      <c r="AC4101">
        <v>1.33269999999998</v>
      </c>
      <c r="AD4101">
        <v>-1.105164494212</v>
      </c>
      <c r="AE4101">
        <v>-14.8443</v>
      </c>
      <c r="AF4101">
        <v>-1.6698817724543999</v>
      </c>
      <c r="AG4101">
        <v>-1.105164494212</v>
      </c>
      <c r="AH4101">
        <v>14.7281380497718</v>
      </c>
      <c r="AI4101">
        <v>94.264078651238805</v>
      </c>
      <c r="AJ4101">
        <v>96.468593029501704</v>
      </c>
      <c r="AK4101">
        <v>14.863645047779499</v>
      </c>
    </row>
    <row r="4102" spans="1:37" x14ac:dyDescent="0.2">
      <c r="A4102" t="str">
        <f>"20200111160250678"</f>
        <v>20200111160250678</v>
      </c>
      <c r="B4102" t="str">
        <f>"1578729770666919"</f>
        <v>1578729770666919</v>
      </c>
      <c r="C4102" t="s">
        <v>37</v>
      </c>
      <c r="D4102">
        <v>5.8767860000000001</v>
      </c>
      <c r="E4102">
        <v>0.47584189999999998</v>
      </c>
      <c r="F4102" t="s">
        <v>38</v>
      </c>
      <c r="G4102">
        <v>-421.86270000000002</v>
      </c>
      <c r="H4102" s="1">
        <v>-7.1915940000000004E-7</v>
      </c>
      <c r="I4102">
        <v>100.0645</v>
      </c>
      <c r="J4102">
        <v>-423.18639999999999</v>
      </c>
      <c r="K4102">
        <v>1.1051679999999999</v>
      </c>
      <c r="L4102">
        <v>113.98009999999999</v>
      </c>
      <c r="M4102">
        <v>-2.174309E-2</v>
      </c>
      <c r="N4102">
        <v>0</v>
      </c>
      <c r="O4102">
        <v>-0.99967799999999996</v>
      </c>
      <c r="P4102">
        <v>2.0944089999999999E-2</v>
      </c>
      <c r="Q4102">
        <v>-7.2806399999999997E-3</v>
      </c>
      <c r="R4102">
        <v>-0.99975400000000003</v>
      </c>
      <c r="S4102">
        <v>0.28271479999999999</v>
      </c>
      <c r="T4102">
        <v>-0.2360852</v>
      </c>
      <c r="U4102">
        <v>-2.9921720000000001</v>
      </c>
      <c r="V4102">
        <v>-4.2686439999999999E-2</v>
      </c>
      <c r="W4102">
        <v>5.7313769999999898E-3</v>
      </c>
      <c r="X4102">
        <v>0.99907209999999902</v>
      </c>
      <c r="Y4102">
        <v>-0.1154039</v>
      </c>
      <c r="Z4102">
        <v>7.8192670000000006E-2</v>
      </c>
      <c r="AA4102">
        <v>0.99023629999999996</v>
      </c>
      <c r="AB4102">
        <v>9</v>
      </c>
      <c r="AC4102">
        <v>1.3236999999999699</v>
      </c>
      <c r="AD4102">
        <v>-1.1051687191594</v>
      </c>
      <c r="AE4102">
        <v>-13.9155999999999</v>
      </c>
      <c r="AF4102">
        <v>-1.6158803716466801</v>
      </c>
      <c r="AG4102">
        <v>-1.1051687191594</v>
      </c>
      <c r="AH4102">
        <v>13.797280706816901</v>
      </c>
      <c r="AI4102">
        <v>94.548684200834003</v>
      </c>
      <c r="AJ4102">
        <v>96.679814912008894</v>
      </c>
      <c r="AK4102">
        <v>13.9354735181831</v>
      </c>
    </row>
    <row r="4103" spans="1:37" x14ac:dyDescent="0.2">
      <c r="A4103" t="str">
        <f>"20200111160250701"</f>
        <v>20200111160250701</v>
      </c>
      <c r="B4103" t="str">
        <f>"1578729770697175"</f>
        <v>1578729770697175</v>
      </c>
      <c r="C4103" t="s">
        <v>37</v>
      </c>
      <c r="D4103">
        <v>5.5949099999999996</v>
      </c>
      <c r="E4103">
        <v>0.4750257</v>
      </c>
      <c r="F4103" t="s">
        <v>38</v>
      </c>
      <c r="G4103">
        <v>-421.90339999999998</v>
      </c>
      <c r="H4103" s="1">
        <v>-6.7037430000000002E-7</v>
      </c>
      <c r="I4103">
        <v>99.938400000000001</v>
      </c>
      <c r="J4103">
        <v>-423.18639999999999</v>
      </c>
      <c r="K4103">
        <v>1.1051599999999999</v>
      </c>
      <c r="L4103">
        <v>113.8862</v>
      </c>
      <c r="M4103">
        <v>-2.0026599999999999E-2</v>
      </c>
      <c r="N4103">
        <v>0</v>
      </c>
      <c r="O4103">
        <v>-0.99971399999999999</v>
      </c>
      <c r="P4103">
        <v>1.8653960000000001E-2</v>
      </c>
      <c r="Q4103">
        <v>-7.4433769999999897E-3</v>
      </c>
      <c r="R4103">
        <v>-0.99979830000000003</v>
      </c>
      <c r="S4103">
        <v>0.27349849999999998</v>
      </c>
      <c r="T4103">
        <v>-0.23559099999999999</v>
      </c>
      <c r="U4103">
        <v>-2.99330099999999</v>
      </c>
      <c r="V4103">
        <v>-3.8681569999999998E-2</v>
      </c>
      <c r="W4103">
        <v>5.5730689999999999E-3</v>
      </c>
      <c r="X4103">
        <v>0.99923600000000001</v>
      </c>
      <c r="Y4103">
        <v>-0.1106404</v>
      </c>
      <c r="Z4103">
        <v>7.8037339999999997E-2</v>
      </c>
      <c r="AA4103">
        <v>0.99079200000000001</v>
      </c>
      <c r="AB4103">
        <v>9</v>
      </c>
      <c r="AC4103">
        <v>1.2830000000000099</v>
      </c>
      <c r="AD4103">
        <v>-1.1051606703743</v>
      </c>
      <c r="AE4103">
        <v>-13.947800000000001</v>
      </c>
      <c r="AF4103">
        <v>-1.5524287471692799</v>
      </c>
      <c r="AG4103">
        <v>-1.1051606703743</v>
      </c>
      <c r="AH4103">
        <v>13.8331862611657</v>
      </c>
      <c r="AI4103">
        <v>94.539395681282301</v>
      </c>
      <c r="AJ4103">
        <v>96.4032244632633</v>
      </c>
      <c r="AK4103">
        <v>13.963826741208299</v>
      </c>
    </row>
    <row r="4104" spans="1:37" x14ac:dyDescent="0.2">
      <c r="A4104" t="str">
        <f>"20200111160250724"</f>
        <v>20200111160250724</v>
      </c>
      <c r="B4104" t="str">
        <f>"1578729770716694"</f>
        <v>1578729770716694</v>
      </c>
      <c r="C4104" t="s">
        <v>37</v>
      </c>
      <c r="D4104">
        <v>5.7180999999999997</v>
      </c>
      <c r="E4104">
        <v>0.47540169999999998</v>
      </c>
      <c r="F4104" t="s">
        <v>38</v>
      </c>
      <c r="G4104">
        <v>-421.94420000000002</v>
      </c>
      <c r="H4104" s="1">
        <v>-8.4027639999999997E-7</v>
      </c>
      <c r="I4104">
        <v>100.2749</v>
      </c>
      <c r="J4104">
        <v>-423.18619999999999</v>
      </c>
      <c r="K4104">
        <v>1.1051530000000001</v>
      </c>
      <c r="L4104">
        <v>113.792</v>
      </c>
      <c r="M4104">
        <v>-1.8248549999999999E-2</v>
      </c>
      <c r="N4104">
        <v>0</v>
      </c>
      <c r="O4104">
        <v>-0.99974810000000003</v>
      </c>
      <c r="P4104">
        <v>1.6231079999999998E-2</v>
      </c>
      <c r="Q4104">
        <v>-9.1823029999999993E-3</v>
      </c>
      <c r="R4104">
        <v>-0.999826199999999</v>
      </c>
      <c r="S4104">
        <v>0.27322390000000002</v>
      </c>
      <c r="T4104">
        <v>-0.24307219999999999</v>
      </c>
      <c r="U4104">
        <v>-2.99369799999999</v>
      </c>
      <c r="V4104">
        <v>-3.4480459999999998E-2</v>
      </c>
      <c r="W4104">
        <v>3.8383549999999999E-3</v>
      </c>
      <c r="X4104">
        <v>0.99939800000000001</v>
      </c>
      <c r="Y4104">
        <v>-0.1087528</v>
      </c>
      <c r="Z4104">
        <v>8.0501790000000004E-2</v>
      </c>
      <c r="AA4104">
        <v>0.99080380000000001</v>
      </c>
      <c r="AB4104">
        <v>9</v>
      </c>
      <c r="AC4104">
        <v>1.24199999999996</v>
      </c>
      <c r="AD4104">
        <v>-1.1051538402763901</v>
      </c>
      <c r="AE4104">
        <v>-13.517099999999999</v>
      </c>
      <c r="AF4104">
        <v>-1.4786799822326999</v>
      </c>
      <c r="AG4104">
        <v>-1.1051538402763901</v>
      </c>
      <c r="AH4104">
        <v>13.4033356714968</v>
      </c>
      <c r="AI4104">
        <v>94.685284928134706</v>
      </c>
      <c r="AJ4104">
        <v>96.295514633380805</v>
      </c>
      <c r="AK4104">
        <v>13.5298657282086</v>
      </c>
    </row>
    <row r="4105" spans="1:37" x14ac:dyDescent="0.2">
      <c r="A4105" t="str">
        <f>"20200111160250745"</f>
        <v>20200111160250745</v>
      </c>
      <c r="B4105" t="str">
        <f>"1578729770737190"</f>
        <v>1578729770737190</v>
      </c>
      <c r="C4105" t="s">
        <v>37</v>
      </c>
      <c r="D4105">
        <v>5.635491</v>
      </c>
      <c r="E4105">
        <v>0.4749794</v>
      </c>
      <c r="F4105" t="s">
        <v>38</v>
      </c>
      <c r="G4105">
        <v>-422.03309999999999</v>
      </c>
      <c r="H4105" s="1">
        <v>-1.0503849999999999E-6</v>
      </c>
      <c r="I4105">
        <v>100.66930000000001</v>
      </c>
      <c r="J4105">
        <v>-423.1857</v>
      </c>
      <c r="K4105">
        <v>1.1051489999999999</v>
      </c>
      <c r="L4105">
        <v>113.70229999999999</v>
      </c>
      <c r="M4105">
        <v>-1.6504910000000001E-2</v>
      </c>
      <c r="N4105">
        <v>0</v>
      </c>
      <c r="O4105">
        <v>-0.99977839999999996</v>
      </c>
      <c r="P4105">
        <v>1.4616399999999899E-2</v>
      </c>
      <c r="Q4105">
        <v>-1.1315820000000001E-2</v>
      </c>
      <c r="R4105">
        <v>-0.99982939999999998</v>
      </c>
      <c r="S4105">
        <v>0.2630615</v>
      </c>
      <c r="T4105">
        <v>-0.252139</v>
      </c>
      <c r="U4105">
        <v>-2.9939269999999998</v>
      </c>
      <c r="V4105">
        <v>-3.1120299999999899E-2</v>
      </c>
      <c r="W4105">
        <v>1.7083319999999999E-3</v>
      </c>
      <c r="X4105">
        <v>0.99951420000000002</v>
      </c>
      <c r="Y4105">
        <v>-0.10365290000000001</v>
      </c>
      <c r="Z4105">
        <v>8.3516750000000001E-2</v>
      </c>
      <c r="AA4105">
        <v>0.99110089999999995</v>
      </c>
      <c r="AB4105">
        <v>9</v>
      </c>
      <c r="AC4105">
        <v>1.1526000000000001</v>
      </c>
      <c r="AD4105">
        <v>-1.105150050385</v>
      </c>
      <c r="AE4105">
        <v>-13.0329999999999</v>
      </c>
      <c r="AF4105">
        <v>-1.3578818715680001</v>
      </c>
      <c r="AG4105">
        <v>-1.105150050385</v>
      </c>
      <c r="AH4105">
        <v>12.9200199126621</v>
      </c>
      <c r="AI4105">
        <v>94.862402655306298</v>
      </c>
      <c r="AJ4105">
        <v>95.999706383552095</v>
      </c>
      <c r="AK4105">
        <v>13.038102406201</v>
      </c>
    </row>
    <row r="4106" spans="1:37" x14ac:dyDescent="0.2">
      <c r="A4106" t="str">
        <f>"20200111160250768"</f>
        <v>20200111160250768</v>
      </c>
      <c r="B4106" t="str">
        <f>"1578729770756711"</f>
        <v>1578729770756711</v>
      </c>
      <c r="C4106" t="s">
        <v>37</v>
      </c>
      <c r="D4106">
        <v>5.7765149999999998</v>
      </c>
      <c r="E4106">
        <v>0.47509119999999999</v>
      </c>
      <c r="F4106" t="s">
        <v>38</v>
      </c>
      <c r="G4106">
        <v>-422.09190000000001</v>
      </c>
      <c r="H4106" s="1">
        <v>-1.3087459999999899E-6</v>
      </c>
      <c r="I4106">
        <v>101.1828</v>
      </c>
      <c r="J4106">
        <v>-423.18509999999998</v>
      </c>
      <c r="K4106">
        <v>1.105148</v>
      </c>
      <c r="L4106">
        <v>113.61360000000001</v>
      </c>
      <c r="M4106">
        <v>-1.4742399999999999E-2</v>
      </c>
      <c r="N4106">
        <v>0</v>
      </c>
      <c r="O4106">
        <v>-0.99980599999999997</v>
      </c>
      <c r="P4106">
        <v>1.5094649999999999E-2</v>
      </c>
      <c r="Q4106">
        <v>-1.3078360000000001E-2</v>
      </c>
      <c r="R4106">
        <v>-0.99980100000000005</v>
      </c>
      <c r="S4106">
        <v>0.26156620000000003</v>
      </c>
      <c r="T4106">
        <v>-0.26426679999999902</v>
      </c>
      <c r="U4106">
        <v>-2.99369799999999</v>
      </c>
      <c r="V4106">
        <v>-2.9833479999999999E-2</v>
      </c>
      <c r="W4106" s="1">
        <v>-5.435059E-5</v>
      </c>
      <c r="X4106">
        <v>0.99955490000000002</v>
      </c>
      <c r="Y4106">
        <v>-0.10138469999999999</v>
      </c>
      <c r="Z4106">
        <v>8.7526049999999994E-2</v>
      </c>
      <c r="AA4106">
        <v>0.99098960000000003</v>
      </c>
      <c r="AB4106">
        <v>9</v>
      </c>
      <c r="AC4106">
        <v>1.09319999999996</v>
      </c>
      <c r="AD4106">
        <v>-1.105149308746</v>
      </c>
      <c r="AE4106">
        <v>-12.4308</v>
      </c>
      <c r="AF4106">
        <v>-1.26642371910903</v>
      </c>
      <c r="AG4106">
        <v>-1.105149308746</v>
      </c>
      <c r="AH4106">
        <v>12.316727509124201</v>
      </c>
      <c r="AI4106">
        <v>95.1005290002377</v>
      </c>
      <c r="AJ4106">
        <v>95.870604344619494</v>
      </c>
      <c r="AK4106">
        <v>12.4308873603199</v>
      </c>
    </row>
    <row r="4107" spans="1:37" x14ac:dyDescent="0.2">
      <c r="A4107" t="str">
        <f>"20200111160250791"</f>
        <v>20200111160250791</v>
      </c>
      <c r="B4107" t="str">
        <f>"1578729770786966"</f>
        <v>1578729770786966</v>
      </c>
      <c r="C4107" t="s">
        <v>37</v>
      </c>
      <c r="D4107">
        <v>5.62324</v>
      </c>
      <c r="E4107">
        <v>0.47532669999999999</v>
      </c>
      <c r="F4107" t="s">
        <v>38</v>
      </c>
      <c r="G4107">
        <v>-422.12150000000003</v>
      </c>
      <c r="H4107" s="1">
        <v>-1.4375030000000001E-6</v>
      </c>
      <c r="I4107">
        <v>101.4385</v>
      </c>
      <c r="J4107">
        <v>-423.1841</v>
      </c>
      <c r="K4107">
        <v>1.1051409999999999</v>
      </c>
      <c r="L4107">
        <v>113.5198</v>
      </c>
      <c r="M4107">
        <v>-1.285089E-2</v>
      </c>
      <c r="N4107">
        <v>0</v>
      </c>
      <c r="O4107">
        <v>-0.99983199999999905</v>
      </c>
      <c r="P4107">
        <v>1.7794359999999999E-2</v>
      </c>
      <c r="Q4107">
        <v>-1.4103360000000001E-2</v>
      </c>
      <c r="R4107">
        <v>-0.99974189999999996</v>
      </c>
      <c r="S4107">
        <v>0.2614746</v>
      </c>
      <c r="T4107">
        <v>-0.2716885</v>
      </c>
      <c r="U4107">
        <v>-2.9931030000000001</v>
      </c>
      <c r="V4107">
        <v>-3.0640379999999998E-2</v>
      </c>
      <c r="W4107">
        <v>-1.0828299999999999E-3</v>
      </c>
      <c r="X4107">
        <v>0.99952989999999997</v>
      </c>
      <c r="Y4107">
        <v>-9.9470349999999999E-2</v>
      </c>
      <c r="Z4107">
        <v>8.9994439999999995E-2</v>
      </c>
      <c r="AA4107">
        <v>0.99096249999999997</v>
      </c>
      <c r="AB4107">
        <v>9</v>
      </c>
      <c r="AC4107">
        <v>1.06259999999997</v>
      </c>
      <c r="AD4107">
        <v>-1.1051424375029999</v>
      </c>
      <c r="AE4107">
        <v>-12.081300000000001</v>
      </c>
      <c r="AF4107">
        <v>-1.2077523591427</v>
      </c>
      <c r="AG4107">
        <v>-1.1051424375029999</v>
      </c>
      <c r="AH4107">
        <v>11.967275127215499</v>
      </c>
      <c r="AI4107">
        <v>95.249615291131406</v>
      </c>
      <c r="AJ4107">
        <v>95.762849454737506</v>
      </c>
      <c r="AK4107">
        <v>12.0787283907974</v>
      </c>
    </row>
    <row r="4108" spans="1:37" x14ac:dyDescent="0.2">
      <c r="A4108" t="str">
        <f>"20200111160250814"</f>
        <v>20200111160250814</v>
      </c>
      <c r="B4108" t="str">
        <f>"1578729770806486"</f>
        <v>1578729770806486</v>
      </c>
      <c r="C4108" t="s">
        <v>37</v>
      </c>
      <c r="D4108">
        <v>5.8096680000000003</v>
      </c>
      <c r="E4108">
        <v>0.47498679999999899</v>
      </c>
      <c r="F4108" t="s">
        <v>38</v>
      </c>
      <c r="G4108">
        <v>-422.12479999999999</v>
      </c>
      <c r="H4108" s="1">
        <v>-1.531996E-6</v>
      </c>
      <c r="I4108">
        <v>101.6365</v>
      </c>
      <c r="J4108">
        <v>-423.18299999999999</v>
      </c>
      <c r="K4108">
        <v>1.1051309999999901</v>
      </c>
      <c r="L4108">
        <v>113.4272</v>
      </c>
      <c r="M4108">
        <v>-1.096574E-2</v>
      </c>
      <c r="N4108">
        <v>0</v>
      </c>
      <c r="O4108">
        <v>-0.99985480000000004</v>
      </c>
      <c r="P4108">
        <v>2.155168E-2</v>
      </c>
      <c r="Q4108">
        <v>-1.3590730000000001E-2</v>
      </c>
      <c r="R4108">
        <v>-0.999675599999999</v>
      </c>
      <c r="S4108">
        <v>0.26672360000000001</v>
      </c>
      <c r="T4108">
        <v>-0.27826519999999999</v>
      </c>
      <c r="U4108">
        <v>-2.992111</v>
      </c>
      <c r="V4108">
        <v>-3.2512480000000003E-2</v>
      </c>
      <c r="W4108">
        <v>-5.7501890000000004E-4</v>
      </c>
      <c r="X4108">
        <v>0.9994712</v>
      </c>
      <c r="Y4108">
        <v>-9.933003E-2</v>
      </c>
      <c r="Z4108">
        <v>9.2181440000000003E-2</v>
      </c>
      <c r="AA4108">
        <v>0.99077549999999903</v>
      </c>
      <c r="AB4108">
        <v>9</v>
      </c>
      <c r="AC4108">
        <v>1.05820000000005</v>
      </c>
      <c r="AD4108">
        <v>-1.1051325319959999</v>
      </c>
      <c r="AE4108">
        <v>-11.790699999999999</v>
      </c>
      <c r="AF4108">
        <v>-1.17718202070342</v>
      </c>
      <c r="AG4108">
        <v>-1.1051325319959999</v>
      </c>
      <c r="AH4108">
        <v>11.676624707710999</v>
      </c>
      <c r="AI4108">
        <v>95.379538149509401</v>
      </c>
      <c r="AJ4108">
        <v>95.756838182239804</v>
      </c>
      <c r="AK4108">
        <v>11.787732605886101</v>
      </c>
    </row>
    <row r="4109" spans="1:37" x14ac:dyDescent="0.2">
      <c r="A4109" t="str">
        <f>"20200111160250835"</f>
        <v>20200111160250835</v>
      </c>
      <c r="B4109" t="str">
        <f>"1578729770826982"</f>
        <v>1578729770826982</v>
      </c>
      <c r="C4109" t="s">
        <v>37</v>
      </c>
      <c r="D4109">
        <v>5.5684329999999997</v>
      </c>
      <c r="E4109">
        <v>0.47479569999999999</v>
      </c>
      <c r="F4109" t="s">
        <v>38</v>
      </c>
      <c r="G4109">
        <v>-422.07029999999997</v>
      </c>
      <c r="H4109" s="1">
        <v>-1.4849660000000001E-6</v>
      </c>
      <c r="I4109">
        <v>101.5677</v>
      </c>
      <c r="J4109">
        <v>-423.18180000000001</v>
      </c>
      <c r="K4109">
        <v>1.1051169999999999</v>
      </c>
      <c r="L4109">
        <v>113.33880000000001</v>
      </c>
      <c r="M4109">
        <v>-9.1623780000000005E-3</v>
      </c>
      <c r="N4109">
        <v>0</v>
      </c>
      <c r="O4109">
        <v>-0.99987300000000001</v>
      </c>
      <c r="P4109">
        <v>2.583065E-2</v>
      </c>
      <c r="Q4109">
        <v>-1.1721209999999999E-2</v>
      </c>
      <c r="R4109">
        <v>-0.99959809999999905</v>
      </c>
      <c r="S4109">
        <v>0.28063959999999999</v>
      </c>
      <c r="T4109">
        <v>-0.27872929999999901</v>
      </c>
      <c r="U4109">
        <v>-2.9911189999999999</v>
      </c>
      <c r="V4109">
        <v>-3.4990599999999997E-2</v>
      </c>
      <c r="W4109">
        <v>1.2891929999999999E-3</v>
      </c>
      <c r="X4109">
        <v>0.99938680000000002</v>
      </c>
      <c r="Y4109">
        <v>-0.102134</v>
      </c>
      <c r="Z4109">
        <v>9.2334100000000002E-2</v>
      </c>
      <c r="AA4109">
        <v>0.99047619999999903</v>
      </c>
      <c r="AB4109">
        <v>9</v>
      </c>
      <c r="AC4109">
        <v>1.1115000000000299</v>
      </c>
      <c r="AD4109">
        <v>-1.1051184849659901</v>
      </c>
      <c r="AE4109">
        <v>-11.771100000000001</v>
      </c>
      <c r="AF4109">
        <v>-1.20875371720451</v>
      </c>
      <c r="AG4109">
        <v>-1.1051184849659901</v>
      </c>
      <c r="AH4109">
        <v>11.658568008589601</v>
      </c>
      <c r="AI4109">
        <v>95.386200779058598</v>
      </c>
      <c r="AJ4109">
        <v>95.919244880748593</v>
      </c>
      <c r="AK4109">
        <v>11.7730446540212</v>
      </c>
    </row>
    <row r="4110" spans="1:37" x14ac:dyDescent="0.2">
      <c r="A4110" t="str">
        <f>"20200111160250857"</f>
        <v>20200111160250857</v>
      </c>
      <c r="B4110" t="str">
        <f>"1578729770846503"</f>
        <v>1578729770846503</v>
      </c>
      <c r="C4110" t="s">
        <v>37</v>
      </c>
      <c r="D4110">
        <v>5.6081320000000003</v>
      </c>
      <c r="E4110">
        <v>0.47500629999999999</v>
      </c>
      <c r="F4110" t="s">
        <v>38</v>
      </c>
      <c r="G4110">
        <v>-421.98829999999998</v>
      </c>
      <c r="H4110" s="1">
        <v>-1.30685E-6</v>
      </c>
      <c r="I4110">
        <v>101.2371</v>
      </c>
      <c r="J4110">
        <v>-423.18049999999999</v>
      </c>
      <c r="K4110">
        <v>1.1051010000000001</v>
      </c>
      <c r="L4110">
        <v>113.25230000000001</v>
      </c>
      <c r="M4110">
        <v>-7.4019419999999999E-3</v>
      </c>
      <c r="N4110">
        <v>0</v>
      </c>
      <c r="O4110">
        <v>-0.99988729999999904</v>
      </c>
      <c r="P4110">
        <v>3.031468E-2</v>
      </c>
      <c r="Q4110">
        <v>-9.774072E-3</v>
      </c>
      <c r="R4110">
        <v>-0.99949249999999901</v>
      </c>
      <c r="S4110">
        <v>0.29492190000000001</v>
      </c>
      <c r="T4110">
        <v>-0.2730783</v>
      </c>
      <c r="U4110">
        <v>-2.9903719999999998</v>
      </c>
      <c r="V4110">
        <v>-3.7716609999999998E-2</v>
      </c>
      <c r="W4110">
        <v>3.23039099999999E-3</v>
      </c>
      <c r="X4110">
        <v>0.99928329999999999</v>
      </c>
      <c r="Y4110">
        <v>-0.1051093</v>
      </c>
      <c r="Z4110">
        <v>9.0467480000000003E-2</v>
      </c>
      <c r="AA4110">
        <v>0.99033709999999997</v>
      </c>
      <c r="AB4110">
        <v>9</v>
      </c>
      <c r="AC4110">
        <v>1.1922000000000099</v>
      </c>
      <c r="AD4110">
        <v>-1.1051023068500001</v>
      </c>
      <c r="AE4110">
        <v>-12.0152</v>
      </c>
      <c r="AF4110">
        <v>-1.27046803590026</v>
      </c>
      <c r="AG4110">
        <v>-1.1051023068500001</v>
      </c>
      <c r="AH4110">
        <v>11.906306421992801</v>
      </c>
      <c r="AI4110">
        <v>95.2730393585597</v>
      </c>
      <c r="AJ4110">
        <v>96.090726463860094</v>
      </c>
      <c r="AK4110">
        <v>12.024785767457001</v>
      </c>
    </row>
    <row r="4111" spans="1:37" x14ac:dyDescent="0.2">
      <c r="A4111" t="str">
        <f>"20200111160250880"</f>
        <v>20200111160250880</v>
      </c>
      <c r="B4111" t="str">
        <f>"1578729770876759"</f>
        <v>1578729770876759</v>
      </c>
      <c r="C4111" t="s">
        <v>37</v>
      </c>
      <c r="D4111">
        <v>5.6465239999999897</v>
      </c>
      <c r="E4111">
        <v>0.47532010000000002</v>
      </c>
      <c r="F4111" t="s">
        <v>38</v>
      </c>
      <c r="G4111">
        <v>-421.90730000000002</v>
      </c>
      <c r="H4111" s="1">
        <v>-1.1097989999999999E-6</v>
      </c>
      <c r="I4111">
        <v>100.86579999999999</v>
      </c>
      <c r="J4111">
        <v>-423.17899999999997</v>
      </c>
      <c r="K4111">
        <v>1.1050789999999999</v>
      </c>
      <c r="L4111">
        <v>113.16070000000001</v>
      </c>
      <c r="M4111">
        <v>-5.548608E-3</v>
      </c>
      <c r="N4111">
        <v>0</v>
      </c>
      <c r="O4111">
        <v>-0.999899599999999</v>
      </c>
      <c r="P4111">
        <v>3.401361E-2</v>
      </c>
      <c r="Q4111">
        <v>-9.0272589999999993E-3</v>
      </c>
      <c r="R4111">
        <v>-0.99938079999999996</v>
      </c>
      <c r="S4111">
        <v>0.30728149999999999</v>
      </c>
      <c r="T4111">
        <v>-0.26672449999999998</v>
      </c>
      <c r="U4111">
        <v>-2.9895779999999998</v>
      </c>
      <c r="V4111">
        <v>-3.9563330000000001E-2</v>
      </c>
      <c r="W4111">
        <v>3.9723450000000004E-3</v>
      </c>
      <c r="X4111">
        <v>0.99920919999999902</v>
      </c>
      <c r="Y4111">
        <v>-0.1073638</v>
      </c>
      <c r="Z4111">
        <v>8.8375229999999999E-2</v>
      </c>
      <c r="AA4111">
        <v>0.99028419999999895</v>
      </c>
      <c r="AB4111">
        <v>9</v>
      </c>
      <c r="AC4111">
        <v>1.2717000000000001</v>
      </c>
      <c r="AD4111">
        <v>-1.105080109799</v>
      </c>
      <c r="AE4111">
        <v>-12.2949</v>
      </c>
      <c r="AF4111">
        <v>-1.32928070998207</v>
      </c>
      <c r="AG4111">
        <v>-1.105080109799</v>
      </c>
      <c r="AH4111">
        <v>12.190216167559999</v>
      </c>
      <c r="AI4111">
        <v>95.149518116157296</v>
      </c>
      <c r="AJ4111">
        <v>96.223223031489297</v>
      </c>
      <c r="AK4111">
        <v>12.3121711922327</v>
      </c>
    </row>
    <row r="4112" spans="1:37" x14ac:dyDescent="0.2">
      <c r="A4112" t="str">
        <f>"20200111160250904"</f>
        <v>20200111160250904</v>
      </c>
      <c r="B4112" t="str">
        <f>"1578729770897255"</f>
        <v>1578729770897255</v>
      </c>
      <c r="C4112" t="s">
        <v>37</v>
      </c>
      <c r="D4112">
        <v>5.6528739999999997</v>
      </c>
      <c r="E4112">
        <v>0.47529870000000002</v>
      </c>
      <c r="F4112" t="s">
        <v>38</v>
      </c>
      <c r="G4112">
        <v>-421.86189999999999</v>
      </c>
      <c r="H4112" s="1">
        <v>-1.0267170000000001E-6</v>
      </c>
      <c r="I4112">
        <v>100.71559999999999</v>
      </c>
      <c r="J4112">
        <v>-423.17720000000003</v>
      </c>
      <c r="K4112">
        <v>1.1050489999999999</v>
      </c>
      <c r="L4112">
        <v>113.0665</v>
      </c>
      <c r="M4112">
        <v>-3.655658E-3</v>
      </c>
      <c r="N4112">
        <v>0</v>
      </c>
      <c r="O4112">
        <v>-0.99990829999999997</v>
      </c>
      <c r="P4112">
        <v>3.6653579999999998E-2</v>
      </c>
      <c r="Q4112">
        <v>-9.4186099999999991E-3</v>
      </c>
      <c r="R4112">
        <v>-0.9992839</v>
      </c>
      <c r="S4112">
        <v>0.31628420000000002</v>
      </c>
      <c r="T4112">
        <v>-0.26538539999999999</v>
      </c>
      <c r="U4112">
        <v>-2.9887079999999999</v>
      </c>
      <c r="V4112">
        <v>-4.0310949999999998E-2</v>
      </c>
      <c r="W4112">
        <v>3.5784800000000002E-3</v>
      </c>
      <c r="X4112">
        <v>0.99918079999999998</v>
      </c>
      <c r="Y4112">
        <v>-0.108465899999999</v>
      </c>
      <c r="Z4112">
        <v>8.7942560000000003E-2</v>
      </c>
      <c r="AA4112">
        <v>0.99020259999999904</v>
      </c>
      <c r="AB4112">
        <v>9</v>
      </c>
      <c r="AC4112">
        <v>1.3153000000000299</v>
      </c>
      <c r="AD4112">
        <v>-1.105050026717</v>
      </c>
      <c r="AE4112">
        <v>-12.350899999999999</v>
      </c>
      <c r="AF4112">
        <v>-1.3497619037811599</v>
      </c>
      <c r="AG4112">
        <v>-1.105050026717</v>
      </c>
      <c r="AH4112">
        <v>12.2490534583187</v>
      </c>
      <c r="AI4112">
        <v>95.124142131466996</v>
      </c>
      <c r="AJ4112">
        <v>96.288233182341699</v>
      </c>
      <c r="AK4112">
        <v>12.3726433466417</v>
      </c>
    </row>
    <row r="4113" spans="1:37" x14ac:dyDescent="0.2">
      <c r="A4113" t="str">
        <f>"20200111160250927"</f>
        <v>20200111160250927</v>
      </c>
      <c r="B4113" t="str">
        <f>"1578729770916775"</f>
        <v>1578729770916775</v>
      </c>
      <c r="C4113" t="s">
        <v>37</v>
      </c>
      <c r="D4113">
        <v>5.5847069999999999</v>
      </c>
      <c r="E4113">
        <v>0.4755877</v>
      </c>
      <c r="F4113" t="s">
        <v>38</v>
      </c>
      <c r="G4113">
        <v>-421.83670000000001</v>
      </c>
      <c r="H4113" s="1">
        <v>-1.028516E-6</v>
      </c>
      <c r="I4113">
        <v>100.7336</v>
      </c>
      <c r="J4113">
        <v>-423.17529999999999</v>
      </c>
      <c r="K4113">
        <v>1.105027</v>
      </c>
      <c r="L4113">
        <v>112.9751</v>
      </c>
      <c r="M4113">
        <v>-1.832691E-3</v>
      </c>
      <c r="N4113">
        <v>0</v>
      </c>
      <c r="O4113">
        <v>-0.9999133</v>
      </c>
      <c r="P4113">
        <v>3.8311810000000002E-2</v>
      </c>
      <c r="Q4113">
        <v>-1.0299579999999999E-2</v>
      </c>
      <c r="R4113">
        <v>-0.99921280000000001</v>
      </c>
      <c r="S4113">
        <v>0.32473750000000001</v>
      </c>
      <c r="T4113">
        <v>-0.26770379999999999</v>
      </c>
      <c r="U4113">
        <v>-2.987717</v>
      </c>
      <c r="V4113">
        <v>-4.0145729999999998E-2</v>
      </c>
      <c r="W4113">
        <v>2.695383E-3</v>
      </c>
      <c r="X4113">
        <v>0.99919020000000003</v>
      </c>
      <c r="Y4113">
        <v>-0.109450299999999</v>
      </c>
      <c r="Z4113">
        <v>8.8716439999999994E-2</v>
      </c>
      <c r="AA4113">
        <v>0.9900253</v>
      </c>
      <c r="AB4113">
        <v>9</v>
      </c>
      <c r="AC4113">
        <v>1.33859999999998</v>
      </c>
      <c r="AD4113">
        <v>-1.1050280285159999</v>
      </c>
      <c r="AE4113">
        <v>-12.2415</v>
      </c>
      <c r="AF4113">
        <v>-1.35016275099476</v>
      </c>
      <c r="AG4113">
        <v>-1.1050280285159999</v>
      </c>
      <c r="AH4113">
        <v>12.1412619888481</v>
      </c>
      <c r="AI4113">
        <v>95.168718503107698</v>
      </c>
      <c r="AJ4113">
        <v>96.3454762119093</v>
      </c>
      <c r="AK4113">
        <v>12.265980151615601</v>
      </c>
    </row>
    <row r="4114" spans="1:37" x14ac:dyDescent="0.2">
      <c r="A4114" t="str">
        <f>"20200111160250947"</f>
        <v>20200111160250947</v>
      </c>
      <c r="B4114" t="str">
        <f>"1578729770937272"</f>
        <v>1578729770937272</v>
      </c>
      <c r="C4114" t="s">
        <v>37</v>
      </c>
      <c r="D4114">
        <v>5.6023160000000001</v>
      </c>
      <c r="E4114">
        <v>0.47596620000000001</v>
      </c>
      <c r="F4114" t="s">
        <v>38</v>
      </c>
      <c r="G4114">
        <v>-421.84309999999999</v>
      </c>
      <c r="H4114" s="1">
        <v>-1.071008E-6</v>
      </c>
      <c r="I4114">
        <v>100.8199</v>
      </c>
      <c r="J4114">
        <v>-423.17349999999999</v>
      </c>
      <c r="K4114">
        <v>1.1050120000000001</v>
      </c>
      <c r="L4114">
        <v>112.89279999999999</v>
      </c>
      <c r="M4114">
        <v>-2.0042519999999999E-4</v>
      </c>
      <c r="N4114">
        <v>0</v>
      </c>
      <c r="O4114">
        <v>-0.99991509999999995</v>
      </c>
      <c r="P4114">
        <v>3.9427909999999997E-2</v>
      </c>
      <c r="Q4114">
        <v>-9.5690540000000004E-3</v>
      </c>
      <c r="R4114">
        <v>-0.99917679999999998</v>
      </c>
      <c r="S4114">
        <v>0.32736209999999999</v>
      </c>
      <c r="T4114">
        <v>-0.271547599999999</v>
      </c>
      <c r="U4114">
        <v>-2.987015</v>
      </c>
      <c r="V4114">
        <v>-3.9631550000000001E-2</v>
      </c>
      <c r="W4114">
        <v>3.423986E-3</v>
      </c>
      <c r="X4114">
        <v>0.99920849999999894</v>
      </c>
      <c r="Y4114">
        <v>-0.1086999</v>
      </c>
      <c r="Z4114">
        <v>9.0000520000000001E-2</v>
      </c>
      <c r="AA4114">
        <v>0.98999199999999998</v>
      </c>
      <c r="AB4114">
        <v>9</v>
      </c>
      <c r="AC4114">
        <v>1.33039999999999</v>
      </c>
      <c r="AD4114">
        <v>-1.1050130710079999</v>
      </c>
      <c r="AE4114">
        <v>-12.072899999999899</v>
      </c>
      <c r="AF4114">
        <v>-1.3218787867733801</v>
      </c>
      <c r="AG4114">
        <v>-1.1050130710079999</v>
      </c>
      <c r="AH4114">
        <v>11.973528963630701</v>
      </c>
      <c r="AI4114">
        <v>95.241113202366094</v>
      </c>
      <c r="AJ4114">
        <v>96.299947441597993</v>
      </c>
      <c r="AK4114">
        <v>12.0968513778142</v>
      </c>
    </row>
    <row r="4115" spans="1:37" x14ac:dyDescent="0.2">
      <c r="A4115" t="str">
        <f>"20200111160250969"</f>
        <v>20200111160250969</v>
      </c>
      <c r="B4115" t="str">
        <f>"1578729770966550"</f>
        <v>1578729770966550</v>
      </c>
      <c r="C4115" t="s">
        <v>37</v>
      </c>
      <c r="D4115">
        <v>5.6347620000000003</v>
      </c>
      <c r="E4115">
        <v>0.47630299999999998</v>
      </c>
      <c r="F4115" t="s">
        <v>38</v>
      </c>
      <c r="G4115">
        <v>-421.83420000000001</v>
      </c>
      <c r="H4115" s="1">
        <v>-1.008256E-6</v>
      </c>
      <c r="I4115">
        <v>100.6921</v>
      </c>
      <c r="J4115">
        <v>-423.17149999999998</v>
      </c>
      <c r="K4115">
        <v>1.1050009999999999</v>
      </c>
      <c r="L4115">
        <v>112.8058</v>
      </c>
      <c r="M4115">
        <v>1.5164359999999999E-3</v>
      </c>
      <c r="N4115">
        <v>0</v>
      </c>
      <c r="O4115">
        <v>-0.99991390000000002</v>
      </c>
      <c r="P4115">
        <v>4.0143949999999998E-2</v>
      </c>
      <c r="Q4115">
        <v>-9.0956679999999995E-3</v>
      </c>
      <c r="R4115">
        <v>-0.99915279999999995</v>
      </c>
      <c r="S4115">
        <v>0.32788089999999998</v>
      </c>
      <c r="T4115">
        <v>-0.27052809999999999</v>
      </c>
      <c r="U4115">
        <v>-2.9869539999999999</v>
      </c>
      <c r="V4115">
        <v>-3.8632800000000002E-2</v>
      </c>
      <c r="W4115">
        <v>3.8955750000000001E-3</v>
      </c>
      <c r="X4115">
        <v>0.99924590000000002</v>
      </c>
      <c r="Y4115">
        <v>-0.10716829999999999</v>
      </c>
      <c r="Z4115">
        <v>8.967369E-2</v>
      </c>
      <c r="AA4115">
        <v>0.99018869999999903</v>
      </c>
      <c r="AB4115">
        <v>9</v>
      </c>
      <c r="AC4115">
        <v>1.33729999999997</v>
      </c>
      <c r="AD4115">
        <v>-1.1050020082559999</v>
      </c>
      <c r="AE4115">
        <v>-12.1137</v>
      </c>
      <c r="AF4115">
        <v>-1.30817308133402</v>
      </c>
      <c r="AG4115">
        <v>-1.1050020082559999</v>
      </c>
      <c r="AH4115">
        <v>12.0169259766207</v>
      </c>
      <c r="AI4115">
        <v>95.223104714149699</v>
      </c>
      <c r="AJ4115">
        <v>96.212803789226697</v>
      </c>
      <c r="AK4115">
        <v>12.138321802315099</v>
      </c>
    </row>
    <row r="4116" spans="1:37" x14ac:dyDescent="0.2">
      <c r="A4116" t="str">
        <f>"20200111160250992"</f>
        <v>20200111160250992</v>
      </c>
      <c r="B4116" t="str">
        <f>"1578729770987046"</f>
        <v>1578729770987046</v>
      </c>
      <c r="C4116" t="s">
        <v>37</v>
      </c>
      <c r="D4116">
        <v>5.7817439999999998</v>
      </c>
      <c r="E4116">
        <v>0.47624329999999998</v>
      </c>
      <c r="F4116" t="s">
        <v>38</v>
      </c>
      <c r="G4116">
        <v>-421.83089999999999</v>
      </c>
      <c r="H4116" s="1">
        <v>-9.5201369999999999E-7</v>
      </c>
      <c r="I4116">
        <v>100.575</v>
      </c>
      <c r="J4116">
        <v>-423.16919999999999</v>
      </c>
      <c r="K4116">
        <v>1.104994</v>
      </c>
      <c r="L4116">
        <v>112.7149</v>
      </c>
      <c r="M4116">
        <v>3.3040659999999901E-3</v>
      </c>
      <c r="N4116">
        <v>0</v>
      </c>
      <c r="O4116">
        <v>-0.99990979999999996</v>
      </c>
      <c r="P4116">
        <v>4.0346279999999998E-2</v>
      </c>
      <c r="Q4116">
        <v>-9.8345569999999903E-3</v>
      </c>
      <c r="R4116">
        <v>-0.99913759999999996</v>
      </c>
      <c r="S4116">
        <v>0.32739259999999998</v>
      </c>
      <c r="T4116">
        <v>-0.26985979999999998</v>
      </c>
      <c r="U4116">
        <v>-2.9869539999999999</v>
      </c>
      <c r="V4116">
        <v>-3.7047610000000002E-2</v>
      </c>
      <c r="W4116">
        <v>3.156482E-3</v>
      </c>
      <c r="X4116">
        <v>0.99930849999999904</v>
      </c>
      <c r="Y4116">
        <v>-0.10523289999999901</v>
      </c>
      <c r="Z4116">
        <v>8.946345E-2</v>
      </c>
      <c r="AA4116">
        <v>0.99041520000000005</v>
      </c>
      <c r="AB4116">
        <v>9</v>
      </c>
      <c r="AC4116">
        <v>1.3383</v>
      </c>
      <c r="AD4116">
        <v>-1.1049949520136999</v>
      </c>
      <c r="AE4116">
        <v>-12.1398999999999</v>
      </c>
      <c r="AF4116">
        <v>-1.2876383226119299</v>
      </c>
      <c r="AG4116">
        <v>-1.1049949520136999</v>
      </c>
      <c r="AH4116">
        <v>12.045656420392501</v>
      </c>
      <c r="AI4116">
        <v>95.211768129331503</v>
      </c>
      <c r="AJ4116">
        <v>96.101547287348694</v>
      </c>
      <c r="AK4116">
        <v>12.1645741763523</v>
      </c>
    </row>
    <row r="4117" spans="1:37" x14ac:dyDescent="0.2">
      <c r="A4117" t="str">
        <f>"20200111160251014"</f>
        <v>20200111160251014</v>
      </c>
      <c r="B4117" t="str">
        <f>"1578729771006566"</f>
        <v>1578729771006566</v>
      </c>
      <c r="C4117" t="s">
        <v>37</v>
      </c>
      <c r="D4117">
        <v>5.6695669999999998</v>
      </c>
      <c r="E4117">
        <v>0.47963069999999902</v>
      </c>
      <c r="F4117" t="s">
        <v>38</v>
      </c>
      <c r="G4117">
        <v>-421.81880000000001</v>
      </c>
      <c r="H4117" s="1">
        <v>-8.7616689999999997E-7</v>
      </c>
      <c r="I4117">
        <v>100.4213</v>
      </c>
      <c r="J4117">
        <v>-423.16680000000002</v>
      </c>
      <c r="K4117">
        <v>1.1049819999999999</v>
      </c>
      <c r="L4117">
        <v>112.625</v>
      </c>
      <c r="M4117">
        <v>5.0671370000000002E-3</v>
      </c>
      <c r="N4117">
        <v>0</v>
      </c>
      <c r="O4117">
        <v>-0.99990239999999997</v>
      </c>
      <c r="P4117">
        <v>4.1033239999999999E-2</v>
      </c>
      <c r="Q4117">
        <v>-1.1385279999999999E-2</v>
      </c>
      <c r="R4117">
        <v>-0.99909319999999902</v>
      </c>
      <c r="S4117">
        <v>0.32806399999999902</v>
      </c>
      <c r="T4117">
        <v>-0.26845780000000002</v>
      </c>
      <c r="U4117">
        <v>-2.98671</v>
      </c>
      <c r="V4117">
        <v>-3.597177E-2</v>
      </c>
      <c r="W4117">
        <v>1.6043819999999999E-3</v>
      </c>
      <c r="X4117">
        <v>0.99935149999999995</v>
      </c>
      <c r="Y4117">
        <v>-0.1037125</v>
      </c>
      <c r="Z4117">
        <v>8.9014609999999994E-2</v>
      </c>
      <c r="AA4117">
        <v>0.99061599999999905</v>
      </c>
      <c r="AB4117">
        <v>9</v>
      </c>
      <c r="AC4117">
        <v>1.3480000000000101</v>
      </c>
      <c r="AD4117">
        <v>-1.1049828761668901</v>
      </c>
      <c r="AE4117">
        <v>-12.2036999999999</v>
      </c>
      <c r="AF4117">
        <v>-1.27580616484147</v>
      </c>
      <c r="AG4117">
        <v>-1.1049828761668901</v>
      </c>
      <c r="AH4117">
        <v>12.1122703562932</v>
      </c>
      <c r="AI4117">
        <v>95.184051644861796</v>
      </c>
      <c r="AJ4117">
        <v>96.012890708212595</v>
      </c>
      <c r="AK4117">
        <v>12.229299313975799</v>
      </c>
    </row>
    <row r="4118" spans="1:37" x14ac:dyDescent="0.2">
      <c r="A4118" t="str">
        <f>"20200111160251035"</f>
        <v>20200111160251035</v>
      </c>
      <c r="B4118" t="str">
        <f>"1578729771027062"</f>
        <v>1578729771027062</v>
      </c>
      <c r="C4118" t="s">
        <v>37</v>
      </c>
      <c r="D4118">
        <v>5.6156370000000004</v>
      </c>
      <c r="E4118">
        <v>0.48281039999999997</v>
      </c>
      <c r="F4118" t="s">
        <v>38</v>
      </c>
      <c r="G4118">
        <v>-420.4495</v>
      </c>
      <c r="H4118" s="1">
        <v>-2.3677459999999998E-6</v>
      </c>
      <c r="I4118">
        <v>84.829569999999904</v>
      </c>
      <c r="J4118">
        <v>-423.1644</v>
      </c>
      <c r="K4118">
        <v>1.104965</v>
      </c>
      <c r="L4118">
        <v>112.5398</v>
      </c>
      <c r="M4118">
        <v>6.7348340000000003E-3</v>
      </c>
      <c r="N4118">
        <v>0</v>
      </c>
      <c r="O4118">
        <v>-0.99989240000000001</v>
      </c>
      <c r="P4118">
        <v>4.1998870000000001E-2</v>
      </c>
      <c r="Q4118">
        <v>-1.347771E-2</v>
      </c>
      <c r="R4118">
        <v>-0.99902669999999905</v>
      </c>
      <c r="S4118">
        <v>0.2922363</v>
      </c>
      <c r="T4118">
        <v>-0.118839899999999</v>
      </c>
      <c r="U4118">
        <v>-2.9893649999999998</v>
      </c>
      <c r="V4118">
        <v>-3.5268439999999998E-2</v>
      </c>
      <c r="W4118">
        <v>-4.8997940000000001E-4</v>
      </c>
      <c r="X4118">
        <v>0.99937770000000004</v>
      </c>
      <c r="Y4118">
        <v>-9.0513129999999997E-2</v>
      </c>
      <c r="Z4118">
        <v>3.9545869999999997E-2</v>
      </c>
      <c r="AA4118">
        <v>0.99510980000000004</v>
      </c>
      <c r="AB4118">
        <v>9</v>
      </c>
      <c r="AC4118">
        <v>2.7149000000000001</v>
      </c>
      <c r="AD4118">
        <v>-1.1049673677459999</v>
      </c>
      <c r="AE4118">
        <v>-27.710229999999999</v>
      </c>
      <c r="AF4118">
        <v>-2.5242232169294598</v>
      </c>
      <c r="AG4118">
        <v>-1.1049673677459999</v>
      </c>
      <c r="AH4118">
        <v>27.684285737839399</v>
      </c>
      <c r="AI4118">
        <v>92.276210326052706</v>
      </c>
      <c r="AJ4118">
        <v>95.209761762300303</v>
      </c>
      <c r="AK4118">
        <v>27.821077127728302</v>
      </c>
    </row>
    <row r="4119" spans="1:37" x14ac:dyDescent="0.2">
      <c r="A4119" t="str">
        <f>"20200111160251058"</f>
        <v>20200111160251058</v>
      </c>
      <c r="B4119" t="str">
        <f>"1578729771046583"</f>
        <v>1578729771046583</v>
      </c>
      <c r="C4119" t="s">
        <v>37</v>
      </c>
      <c r="D4119">
        <v>5.6442160000000001</v>
      </c>
      <c r="E4119">
        <v>0.48309079999999899</v>
      </c>
      <c r="F4119" t="s">
        <v>38</v>
      </c>
      <c r="G4119">
        <v>-420.99169999999998</v>
      </c>
      <c r="H4119" s="1">
        <v>-4.0969819999999998E-6</v>
      </c>
      <c r="I4119">
        <v>88.524209999999997</v>
      </c>
      <c r="J4119">
        <v>-423.1617</v>
      </c>
      <c r="K4119">
        <v>1.1049530000000001</v>
      </c>
      <c r="L4119">
        <v>112.4525</v>
      </c>
      <c r="M4119">
        <v>8.4380410000000003E-3</v>
      </c>
      <c r="N4119">
        <v>0</v>
      </c>
      <c r="O4119">
        <v>-0.99987969999999904</v>
      </c>
      <c r="P4119">
        <v>4.3051390000000002E-2</v>
      </c>
      <c r="Q4119">
        <v>-1.4916999999999901E-2</v>
      </c>
      <c r="R4119">
        <v>-0.9989614</v>
      </c>
      <c r="S4119">
        <v>0.27047729999999998</v>
      </c>
      <c r="T4119">
        <v>-0.13755699999999901</v>
      </c>
      <c r="U4119">
        <v>-2.9896849999999899</v>
      </c>
      <c r="V4119">
        <v>-3.46179E-2</v>
      </c>
      <c r="W4119">
        <v>-1.9311510000000001E-3</v>
      </c>
      <c r="X4119">
        <v>0.99939880000000003</v>
      </c>
      <c r="Y4119">
        <v>-8.1600060000000002E-2</v>
      </c>
      <c r="Z4119">
        <v>4.578952E-2</v>
      </c>
      <c r="AA4119">
        <v>0.99561270000000002</v>
      </c>
      <c r="AB4119">
        <v>9</v>
      </c>
      <c r="AC4119">
        <v>2.1700000000000101</v>
      </c>
      <c r="AD4119">
        <v>-1.104957096982</v>
      </c>
      <c r="AE4119">
        <v>-23.928290000000001</v>
      </c>
      <c r="AF4119">
        <v>-1.9638442081672101</v>
      </c>
      <c r="AG4119">
        <v>-1.104957096982</v>
      </c>
      <c r="AH4119">
        <v>23.8952117147217</v>
      </c>
      <c r="AI4119">
        <v>92.638688881482395</v>
      </c>
      <c r="AJ4119">
        <v>94.698333274762007</v>
      </c>
      <c r="AK4119">
        <v>24.001224076107</v>
      </c>
    </row>
    <row r="4120" spans="1:37" x14ac:dyDescent="0.2">
      <c r="A4120" t="str">
        <f>"20200111160251082"</f>
        <v>20200111160251082</v>
      </c>
      <c r="B4120" t="str">
        <f>"1578729771076839"</f>
        <v>1578729771076839</v>
      </c>
      <c r="C4120" t="s">
        <v>37</v>
      </c>
      <c r="D4120">
        <v>5.8195189999999997</v>
      </c>
      <c r="E4120">
        <v>0.4818036</v>
      </c>
      <c r="F4120" t="s">
        <v>38</v>
      </c>
      <c r="G4120">
        <v>-421.25420000000003</v>
      </c>
      <c r="H4120" s="1">
        <v>-1.1654150000000001E-6</v>
      </c>
      <c r="I4120">
        <v>91.527850000000001</v>
      </c>
      <c r="J4120">
        <v>-423.15879999999999</v>
      </c>
      <c r="K4120">
        <v>1.1049469999999999</v>
      </c>
      <c r="L4120">
        <v>112.3574</v>
      </c>
      <c r="M4120">
        <v>1.029249E-2</v>
      </c>
      <c r="N4120">
        <v>0</v>
      </c>
      <c r="O4120">
        <v>-0.99986260000000005</v>
      </c>
      <c r="P4120">
        <v>4.4551559999999997E-2</v>
      </c>
      <c r="Q4120">
        <v>-1.5919880000000001E-2</v>
      </c>
      <c r="R4120">
        <v>-0.9988804</v>
      </c>
      <c r="S4120">
        <v>0.2724915</v>
      </c>
      <c r="T4120">
        <v>-0.15784010000000001</v>
      </c>
      <c r="U4120">
        <v>-2.9890439999999998</v>
      </c>
      <c r="V4120">
        <v>-3.426469E-2</v>
      </c>
      <c r="W4120">
        <v>-2.936443E-3</v>
      </c>
      <c r="X4120">
        <v>0.99940849999999903</v>
      </c>
      <c r="Y4120">
        <v>-8.0405939999999995E-2</v>
      </c>
      <c r="Z4120">
        <v>5.2534600000000001E-2</v>
      </c>
      <c r="AA4120">
        <v>0.99537679999999995</v>
      </c>
      <c r="AB4120">
        <v>9</v>
      </c>
      <c r="AC4120">
        <v>1.9045999999999601</v>
      </c>
      <c r="AD4120">
        <v>-1.104948165415</v>
      </c>
      <c r="AE4120">
        <v>-20.829550000000001</v>
      </c>
      <c r="AF4120">
        <v>-1.6853896993208699</v>
      </c>
      <c r="AG4120">
        <v>-1.104948165415</v>
      </c>
      <c r="AH4120">
        <v>20.790033155137401</v>
      </c>
      <c r="AI4120">
        <v>93.032363087178197</v>
      </c>
      <c r="AJ4120">
        <v>94.634673083725303</v>
      </c>
      <c r="AK4120">
        <v>20.887482554835099</v>
      </c>
    </row>
    <row r="4121" spans="1:37" x14ac:dyDescent="0.2">
      <c r="A4121" t="str">
        <f>"20200111160251104"</f>
        <v>20200111160251104</v>
      </c>
      <c r="B4121" t="str">
        <f>"1578729771096867"</f>
        <v>1578729771096867</v>
      </c>
      <c r="C4121" t="s">
        <v>37</v>
      </c>
      <c r="D4121">
        <v>5.8147859999999998</v>
      </c>
      <c r="E4121">
        <v>0.483133599999999</v>
      </c>
      <c r="F4121" t="s">
        <v>38</v>
      </c>
      <c r="G4121">
        <v>-421.476</v>
      </c>
      <c r="H4121" s="1">
        <v>-2.7112599999999999E-6</v>
      </c>
      <c r="I4121">
        <v>94.993679999999998</v>
      </c>
      <c r="J4121">
        <v>-423.15589999999997</v>
      </c>
      <c r="K4121">
        <v>1.1049389999999999</v>
      </c>
      <c r="L4121">
        <v>112.27119999999999</v>
      </c>
      <c r="M4121">
        <v>1.1966259999999999E-2</v>
      </c>
      <c r="N4121">
        <v>0</v>
      </c>
      <c r="O4121">
        <v>-0.9998437</v>
      </c>
      <c r="P4121">
        <v>4.6176719999999997E-2</v>
      </c>
      <c r="Q4121">
        <v>-1.566271E-2</v>
      </c>
      <c r="R4121">
        <v>-0.99881070000000005</v>
      </c>
      <c r="S4121">
        <v>0.28952030000000001</v>
      </c>
      <c r="T4121">
        <v>-0.19010650000000001</v>
      </c>
      <c r="U4121">
        <v>-2.9874269999999998</v>
      </c>
      <c r="V4121">
        <v>-3.421801E-2</v>
      </c>
      <c r="W4121">
        <v>-2.681643E-3</v>
      </c>
      <c r="X4121">
        <v>0.99941080000000004</v>
      </c>
      <c r="Y4121">
        <v>-8.4349569999999999E-2</v>
      </c>
      <c r="Z4121">
        <v>6.3239610000000002E-2</v>
      </c>
      <c r="AA4121">
        <v>0.99442739999999996</v>
      </c>
      <c r="AB4121">
        <v>9</v>
      </c>
      <c r="AC4121">
        <v>1.67989999999997</v>
      </c>
      <c r="AD4121">
        <v>-1.10494171126</v>
      </c>
      <c r="AE4121">
        <v>-17.2775199999999</v>
      </c>
      <c r="AF4121">
        <v>-1.46707086858115</v>
      </c>
      <c r="AG4121">
        <v>-1.10494171126</v>
      </c>
      <c r="AH4121">
        <v>17.226590845041802</v>
      </c>
      <c r="AI4121">
        <v>93.656816573673694</v>
      </c>
      <c r="AJ4121">
        <v>94.867743968332206</v>
      </c>
      <c r="AK4121">
        <v>17.3242207692352</v>
      </c>
    </row>
    <row r="4122" spans="1:37" x14ac:dyDescent="0.2">
      <c r="A4122" t="str">
        <f>"20200111160251128"</f>
        <v>20200111160251128</v>
      </c>
      <c r="B4122" t="str">
        <f>"1578729771116388"</f>
        <v>1578729771116388</v>
      </c>
      <c r="C4122" t="s">
        <v>37</v>
      </c>
      <c r="D4122">
        <v>5.6808870000000002</v>
      </c>
      <c r="E4122">
        <v>0.48349910000000001</v>
      </c>
      <c r="F4122" t="s">
        <v>38</v>
      </c>
      <c r="G4122">
        <v>-421.46230000000003</v>
      </c>
      <c r="H4122" s="1">
        <v>-2.4529799999999999E-6</v>
      </c>
      <c r="I4122">
        <v>94.400080000000003</v>
      </c>
      <c r="J4122">
        <v>-423.15269999999998</v>
      </c>
      <c r="K4122">
        <v>1.1049359999999999</v>
      </c>
      <c r="L4122">
        <v>112.182</v>
      </c>
      <c r="M4122">
        <v>1.369363E-2</v>
      </c>
      <c r="N4122">
        <v>0</v>
      </c>
      <c r="O4122">
        <v>-0.99982150000000003</v>
      </c>
      <c r="P4122">
        <v>4.7923279999999999E-2</v>
      </c>
      <c r="Q4122">
        <v>-1.5786390000000001E-2</v>
      </c>
      <c r="R4122">
        <v>-0.99872659999999902</v>
      </c>
      <c r="S4122">
        <v>0.28311160000000002</v>
      </c>
      <c r="T4122">
        <v>-0.18471779999999999</v>
      </c>
      <c r="U4122">
        <v>-2.9875949999999998</v>
      </c>
      <c r="V4122">
        <v>-3.4238959999999999E-2</v>
      </c>
      <c r="W4122">
        <v>-2.8078729999999998E-3</v>
      </c>
      <c r="X4122">
        <v>0.99940969999999996</v>
      </c>
      <c r="Y4122">
        <v>-8.0518850000000003E-2</v>
      </c>
      <c r="Z4122">
        <v>6.1464449999999997E-2</v>
      </c>
      <c r="AA4122">
        <v>0.99485619999999997</v>
      </c>
      <c r="AB4122">
        <v>9</v>
      </c>
      <c r="AC4122">
        <v>1.6903999999999499</v>
      </c>
      <c r="AD4122">
        <v>-1.1049384529799999</v>
      </c>
      <c r="AE4122">
        <v>-17.78192</v>
      </c>
      <c r="AF4122">
        <v>-1.4412069047426901</v>
      </c>
      <c r="AG4122">
        <v>-1.1049384529799999</v>
      </c>
      <c r="AH4122">
        <v>17.735535517333201</v>
      </c>
      <c r="AI4122">
        <v>93.5532842946306</v>
      </c>
      <c r="AJ4122">
        <v>94.645703111170107</v>
      </c>
      <c r="AK4122">
        <v>17.828269305059798</v>
      </c>
    </row>
    <row r="4123" spans="1:37" x14ac:dyDescent="0.2">
      <c r="A4123" t="str">
        <f>"20200111160251148"</f>
        <v>20200111160251148</v>
      </c>
      <c r="B4123" t="str">
        <f>"1578729771136884"</f>
        <v>1578729771136884</v>
      </c>
      <c r="C4123" t="s">
        <v>37</v>
      </c>
      <c r="D4123">
        <v>5.7259929999999999</v>
      </c>
      <c r="E4123">
        <v>0.48408220000000002</v>
      </c>
      <c r="F4123" t="s">
        <v>38</v>
      </c>
      <c r="G4123">
        <v>-421.4975</v>
      </c>
      <c r="H4123" s="1">
        <v>-2.6873710000000001E-6</v>
      </c>
      <c r="I4123">
        <v>94.924629999999993</v>
      </c>
      <c r="J4123">
        <v>-423.14980000000003</v>
      </c>
      <c r="K4123">
        <v>1.104932</v>
      </c>
      <c r="L4123">
        <v>112.10250000000001</v>
      </c>
      <c r="M4123">
        <v>1.522924E-2</v>
      </c>
      <c r="N4123">
        <v>0</v>
      </c>
      <c r="O4123">
        <v>-0.99979949999999995</v>
      </c>
      <c r="P4123">
        <v>4.9556240000000001E-2</v>
      </c>
      <c r="Q4123">
        <v>-1.5684119999999999E-2</v>
      </c>
      <c r="R4123">
        <v>-0.998648599999999</v>
      </c>
      <c r="S4123">
        <v>0.286499</v>
      </c>
      <c r="T4123">
        <v>-0.19125229999999999</v>
      </c>
      <c r="U4123">
        <v>-2.9870610000000002</v>
      </c>
      <c r="V4123">
        <v>-3.433858E-2</v>
      </c>
      <c r="W4123">
        <v>-2.7079529999999999E-3</v>
      </c>
      <c r="X4123">
        <v>0.99940659999999903</v>
      </c>
      <c r="Y4123">
        <v>-8.0109699999999895E-2</v>
      </c>
      <c r="Z4123">
        <v>6.3636929999999994E-2</v>
      </c>
      <c r="AA4123">
        <v>0.99475259999999999</v>
      </c>
      <c r="AB4123">
        <v>9</v>
      </c>
      <c r="AC4123">
        <v>1.6523000000000201</v>
      </c>
      <c r="AD4123">
        <v>-1.104934687371</v>
      </c>
      <c r="AE4123">
        <v>-17.177869999999999</v>
      </c>
      <c r="AF4123">
        <v>-1.38480327640698</v>
      </c>
      <c r="AG4123">
        <v>-1.104934687371</v>
      </c>
      <c r="AH4123">
        <v>17.130814489442301</v>
      </c>
      <c r="AI4123">
        <v>93.678490122183604</v>
      </c>
      <c r="AJ4123">
        <v>94.621568431554806</v>
      </c>
      <c r="AK4123">
        <v>17.222176571194201</v>
      </c>
    </row>
    <row r="4124" spans="1:37" x14ac:dyDescent="0.2">
      <c r="A4124" t="str">
        <f>"20200111160251171"</f>
        <v>20200111160251171</v>
      </c>
      <c r="B4124" t="str">
        <f>"1578729771167140"</f>
        <v>1578729771167140</v>
      </c>
      <c r="C4124" t="s">
        <v>37</v>
      </c>
      <c r="D4124">
        <v>5.8039959999999997</v>
      </c>
      <c r="E4124">
        <v>0.48430889999999999</v>
      </c>
      <c r="F4124" t="s">
        <v>38</v>
      </c>
      <c r="G4124">
        <v>-421.60950000000003</v>
      </c>
      <c r="H4124" s="1">
        <v>-3.2279780000000001E-6</v>
      </c>
      <c r="I4124">
        <v>96.115350000000007</v>
      </c>
      <c r="J4124">
        <v>-423.1465</v>
      </c>
      <c r="K4124">
        <v>1.1049309999999899</v>
      </c>
      <c r="L4124">
        <v>112.0162</v>
      </c>
      <c r="M4124">
        <v>1.689001E-2</v>
      </c>
      <c r="N4124">
        <v>0</v>
      </c>
      <c r="O4124">
        <v>-0.99977280000000002</v>
      </c>
      <c r="P4124">
        <v>5.189887E-2</v>
      </c>
      <c r="Q4124">
        <v>-1.5189019999999999E-2</v>
      </c>
      <c r="R4124">
        <v>-0.99853709999999996</v>
      </c>
      <c r="S4124">
        <v>0.28775020000000001</v>
      </c>
      <c r="T4124">
        <v>-0.206411499999999</v>
      </c>
      <c r="U4124">
        <v>-2.986542</v>
      </c>
      <c r="V4124">
        <v>-3.5022940000000002E-2</v>
      </c>
      <c r="W4124">
        <v>-2.216123E-3</v>
      </c>
      <c r="X4124">
        <v>0.99938400000000005</v>
      </c>
      <c r="Y4124">
        <v>-7.8851249999999998E-2</v>
      </c>
      <c r="Z4124">
        <v>6.8669160000000007E-2</v>
      </c>
      <c r="AA4124">
        <v>0.99451849999999997</v>
      </c>
      <c r="AB4124">
        <v>9</v>
      </c>
      <c r="AC4124">
        <v>1.5369999999999699</v>
      </c>
      <c r="AD4124">
        <v>-1.1049342279779999</v>
      </c>
      <c r="AE4124">
        <v>-15.900849999999901</v>
      </c>
      <c r="AF4124">
        <v>-1.2621543184951201</v>
      </c>
      <c r="AG4124">
        <v>-1.1049342279779999</v>
      </c>
      <c r="AH4124">
        <v>15.848722912127499</v>
      </c>
      <c r="AI4124">
        <v>93.975522487475899</v>
      </c>
      <c r="AJ4124">
        <v>94.5532889456493</v>
      </c>
      <c r="AK4124">
        <v>15.9372497977929</v>
      </c>
    </row>
    <row r="4125" spans="1:37" x14ac:dyDescent="0.2">
      <c r="A4125" t="str">
        <f>"20200111160251193"</f>
        <v>20200111160251193</v>
      </c>
      <c r="B4125" t="str">
        <f>"1578729771186659"</f>
        <v>1578729771186659</v>
      </c>
      <c r="C4125" t="s">
        <v>37</v>
      </c>
      <c r="D4125">
        <v>5.6289639999999999</v>
      </c>
      <c r="E4125">
        <v>0.48546929999999999</v>
      </c>
      <c r="F4125" t="s">
        <v>38</v>
      </c>
      <c r="G4125">
        <v>-421.63729999999998</v>
      </c>
      <c r="H4125" s="1">
        <v>-3.4731099999999899E-6</v>
      </c>
      <c r="I4125">
        <v>96.669529999999995</v>
      </c>
      <c r="J4125">
        <v>-423.1429</v>
      </c>
      <c r="K4125">
        <v>1.1049309999999899</v>
      </c>
      <c r="L4125">
        <v>111.925</v>
      </c>
      <c r="M4125">
        <v>1.863793E-2</v>
      </c>
      <c r="N4125">
        <v>0</v>
      </c>
      <c r="O4125">
        <v>-0.99974159999999901</v>
      </c>
      <c r="P4125">
        <v>5.3906309999999999E-2</v>
      </c>
      <c r="Q4125">
        <v>-1.480655E-2</v>
      </c>
      <c r="R4125">
        <v>-0.998436199999999</v>
      </c>
      <c r="S4125">
        <v>0.29364009999999902</v>
      </c>
      <c r="T4125">
        <v>-0.21497769999999999</v>
      </c>
      <c r="U4125">
        <v>-2.9858699999999998</v>
      </c>
      <c r="V4125">
        <v>-3.5285070000000002E-2</v>
      </c>
      <c r="W4125">
        <v>-1.836372E-3</v>
      </c>
      <c r="X4125">
        <v>0.99937559999999903</v>
      </c>
      <c r="Y4125">
        <v>-7.9053540000000005E-2</v>
      </c>
      <c r="Z4125">
        <v>7.1509879999999998E-2</v>
      </c>
      <c r="AA4125">
        <v>0.99430219999999903</v>
      </c>
      <c r="AB4125">
        <v>9</v>
      </c>
      <c r="AC4125">
        <v>1.50560000000001</v>
      </c>
      <c r="AD4125">
        <v>-1.1049344731099999</v>
      </c>
      <c r="AE4125">
        <v>-15.255469999999899</v>
      </c>
      <c r="AF4125">
        <v>-1.21467335328781</v>
      </c>
      <c r="AG4125">
        <v>-1.1049344731099999</v>
      </c>
      <c r="AH4125">
        <v>15.2019045573194</v>
      </c>
      <c r="AI4125">
        <v>94.144011820706396</v>
      </c>
      <c r="AJ4125">
        <v>94.568382291958301</v>
      </c>
      <c r="AK4125">
        <v>15.290330726145299</v>
      </c>
    </row>
    <row r="4126" spans="1:37" x14ac:dyDescent="0.2">
      <c r="A4126" t="str">
        <f>"20200111160251215"</f>
        <v>20200111160251215</v>
      </c>
      <c r="B4126" t="str">
        <f>"1578729771207155"</f>
        <v>1578729771207155</v>
      </c>
      <c r="C4126" t="s">
        <v>37</v>
      </c>
      <c r="D4126">
        <v>5.6161750000000001</v>
      </c>
      <c r="E4126">
        <v>0.51477119999999998</v>
      </c>
      <c r="F4126" t="s">
        <v>38</v>
      </c>
      <c r="G4126">
        <v>-421.6986</v>
      </c>
      <c r="H4126" s="1">
        <v>-3.6770780000000002E-6</v>
      </c>
      <c r="I4126">
        <v>97.106930000000006</v>
      </c>
      <c r="J4126">
        <v>-423.1395</v>
      </c>
      <c r="K4126">
        <v>1.104935</v>
      </c>
      <c r="L4126">
        <v>111.8403</v>
      </c>
      <c r="M4126">
        <v>2.0256529999999998E-2</v>
      </c>
      <c r="N4126">
        <v>0</v>
      </c>
      <c r="O4126">
        <v>-0.99971030000000005</v>
      </c>
      <c r="P4126">
        <v>5.6001059999999998E-2</v>
      </c>
      <c r="Q4126">
        <v>-1.486093E-2</v>
      </c>
      <c r="R4126">
        <v>-0.99832030000000005</v>
      </c>
      <c r="S4126">
        <v>0.29101559999999999</v>
      </c>
      <c r="T4126">
        <v>-0.22263369999999999</v>
      </c>
      <c r="U4126">
        <v>-2.985703</v>
      </c>
      <c r="V4126">
        <v>-3.5763980000000001E-2</v>
      </c>
      <c r="W4126">
        <v>-1.893683E-3</v>
      </c>
      <c r="X4126">
        <v>0.99935849999999904</v>
      </c>
      <c r="Y4126">
        <v>-7.6561069999999995E-2</v>
      </c>
      <c r="Z4126">
        <v>7.4053789999999994E-2</v>
      </c>
      <c r="AA4126">
        <v>0.99431099999999994</v>
      </c>
      <c r="AB4126">
        <v>9</v>
      </c>
      <c r="AC4126">
        <v>1.4408999999999901</v>
      </c>
      <c r="AD4126">
        <v>-1.1049386770780001</v>
      </c>
      <c r="AE4126">
        <v>-14.733369999999899</v>
      </c>
      <c r="AF4126">
        <v>-1.1358044893695201</v>
      </c>
      <c r="AG4126">
        <v>-1.1049386770780001</v>
      </c>
      <c r="AH4126">
        <v>14.677765770184999</v>
      </c>
      <c r="AI4126">
        <v>94.292308395236603</v>
      </c>
      <c r="AJ4126">
        <v>94.424881441832298</v>
      </c>
      <c r="AK4126">
        <v>14.7630535229874</v>
      </c>
    </row>
    <row r="4127" spans="1:37" x14ac:dyDescent="0.2">
      <c r="A4127" t="str">
        <f>"20200111160251326"</f>
        <v>20200111160251326</v>
      </c>
      <c r="B4127" t="str">
        <f>"1578729771316467"</f>
        <v>1578729771316467</v>
      </c>
      <c r="C4127" t="s">
        <v>37</v>
      </c>
      <c r="D4127">
        <v>3.6575949999999899</v>
      </c>
      <c r="E4127">
        <v>0.51692740000000004</v>
      </c>
      <c r="F4127" t="s">
        <v>42</v>
      </c>
      <c r="G4127">
        <v>-423.12220000000002</v>
      </c>
      <c r="H4127">
        <v>1.031825</v>
      </c>
      <c r="I4127">
        <v>111.0684</v>
      </c>
      <c r="J4127">
        <v>-423.12</v>
      </c>
      <c r="K4127">
        <v>1.1048819999999999</v>
      </c>
      <c r="L4127">
        <v>111.4145</v>
      </c>
      <c r="M4127">
        <v>2.8180500000000001E-2</v>
      </c>
      <c r="N4127">
        <v>0</v>
      </c>
      <c r="O4127">
        <v>-0.99951829999999997</v>
      </c>
      <c r="P4127">
        <v>5.4726249999999997E-2</v>
      </c>
      <c r="Q4127">
        <v>-1.125687E-2</v>
      </c>
      <c r="R4127">
        <v>-0.9984381</v>
      </c>
      <c r="S4127">
        <v>6.7901610000000001E-2</v>
      </c>
      <c r="T4127">
        <v>-0.28424270000000001</v>
      </c>
      <c r="U4127">
        <v>-2.9969939999999999</v>
      </c>
      <c r="V4127">
        <v>-2.65665E-2</v>
      </c>
      <c r="W4127">
        <v>1.712147E-3</v>
      </c>
      <c r="X4127">
        <v>0.99964560000000002</v>
      </c>
      <c r="Y4127">
        <v>5.6349719999999898E-3</v>
      </c>
      <c r="Z4127">
        <v>9.4350080000000003E-2</v>
      </c>
      <c r="AA4127">
        <v>0.99552320000000005</v>
      </c>
      <c r="AB4127">
        <v>9</v>
      </c>
      <c r="AC4127">
        <v>-2.2000000000161799E-3</v>
      </c>
      <c r="AD4127">
        <v>-7.30569999999999E-2</v>
      </c>
      <c r="AE4127">
        <v>-0.34610000000000601</v>
      </c>
      <c r="AF4127">
        <v>1.14433552683033E-2</v>
      </c>
      <c r="AG4127">
        <v>-7.30569999999999E-2</v>
      </c>
      <c r="AH4127">
        <v>0.331146087214097</v>
      </c>
      <c r="AI4127">
        <v>102.43403239354799</v>
      </c>
      <c r="AJ4127">
        <v>88.020827714863302</v>
      </c>
      <c r="AK4127">
        <v>0.33930223504422002</v>
      </c>
    </row>
    <row r="4128" spans="1:37" x14ac:dyDescent="0.2">
      <c r="A4128" t="str">
        <f>"20200111160251460"</f>
        <v>20200111160251460</v>
      </c>
      <c r="B4128" t="str">
        <f>"1578729771457012"</f>
        <v>1578729771457012</v>
      </c>
      <c r="C4128" t="s">
        <v>37</v>
      </c>
      <c r="D4128">
        <v>4.2934999999999999</v>
      </c>
      <c r="E4128">
        <v>0.48480479999999998</v>
      </c>
      <c r="F4128" t="s">
        <v>42</v>
      </c>
      <c r="G4128">
        <v>-423.10840000000002</v>
      </c>
      <c r="H4128">
        <v>1.0361229999999999</v>
      </c>
      <c r="I4128">
        <v>110.6831</v>
      </c>
      <c r="J4128">
        <v>-423.09449999999998</v>
      </c>
      <c r="K4128">
        <v>1.104606</v>
      </c>
      <c r="L4128">
        <v>110.90689999999999</v>
      </c>
      <c r="M4128">
        <v>3.586135E-2</v>
      </c>
      <c r="N4128">
        <v>0</v>
      </c>
      <c r="O4128">
        <v>-0.99927339999999998</v>
      </c>
      <c r="P4128">
        <v>5.9978579999999997E-2</v>
      </c>
      <c r="Q4128">
        <v>-9.5363449999999999E-3</v>
      </c>
      <c r="R4128">
        <v>-0.99815419999999999</v>
      </c>
      <c r="S4128">
        <v>4.8248289999999999E-2</v>
      </c>
      <c r="T4128">
        <v>-0.28216529999999901</v>
      </c>
      <c r="U4128">
        <v>-2.9988709999999998</v>
      </c>
      <c r="V4128">
        <v>-2.4142469999999999E-2</v>
      </c>
      <c r="W4128">
        <v>3.3729649999999999E-3</v>
      </c>
      <c r="X4128">
        <v>0.9997028</v>
      </c>
      <c r="Y4128">
        <v>1.9853920000000001E-2</v>
      </c>
      <c r="Z4128">
        <v>9.3571349999999998E-2</v>
      </c>
      <c r="AA4128">
        <v>0.99541460000000004</v>
      </c>
      <c r="AB4128">
        <v>9</v>
      </c>
      <c r="AC4128">
        <v>-1.39000000000351E-2</v>
      </c>
      <c r="AD4128">
        <v>-6.8483000000000002E-2</v>
      </c>
      <c r="AE4128">
        <v>-0.223799999999997</v>
      </c>
      <c r="AF4128">
        <v>2.0047528683228701E-2</v>
      </c>
      <c r="AG4128">
        <v>-6.8483000000000002E-2</v>
      </c>
      <c r="AH4128">
        <v>0.204118044406291</v>
      </c>
      <c r="AI4128">
        <v>108.46417813786999</v>
      </c>
      <c r="AJ4128">
        <v>84.3906641810743</v>
      </c>
      <c r="AK4128">
        <v>0.216231359306539</v>
      </c>
    </row>
    <row r="4129" spans="1:37" x14ac:dyDescent="0.2">
      <c r="A4129" t="str">
        <f>"20200111160251484"</f>
        <v>20200111160251484</v>
      </c>
      <c r="B4129" t="str">
        <f>"1578729771476534"</f>
        <v>1578729771476534</v>
      </c>
      <c r="C4129" t="s">
        <v>37</v>
      </c>
      <c r="D4129">
        <v>5.3588360000000002</v>
      </c>
      <c r="E4129">
        <v>0.4762709</v>
      </c>
      <c r="F4129" t="s">
        <v>64</v>
      </c>
      <c r="G4129">
        <v>-415.108</v>
      </c>
      <c r="H4129" s="1">
        <v>-5.5814189999999999E-6</v>
      </c>
      <c r="I4129">
        <v>31.995190000000001</v>
      </c>
      <c r="J4129">
        <v>-423.09010000000001</v>
      </c>
      <c r="K4129">
        <v>1.1045020000000001</v>
      </c>
      <c r="L4129">
        <v>110.81870000000001</v>
      </c>
      <c r="M4129">
        <v>3.6787250000000001E-2</v>
      </c>
      <c r="N4129">
        <v>0</v>
      </c>
      <c r="O4129">
        <v>-0.99924080000000004</v>
      </c>
      <c r="P4129">
        <v>6.4396599999999998E-2</v>
      </c>
      <c r="Q4129">
        <v>-1.06719E-2</v>
      </c>
      <c r="R4129">
        <v>-0.99786699999999995</v>
      </c>
      <c r="S4129">
        <v>0.3023071</v>
      </c>
      <c r="T4129">
        <v>-4.181182E-2</v>
      </c>
      <c r="U4129">
        <v>-2.98696899999999</v>
      </c>
      <c r="V4129">
        <v>-2.7641349999999999E-2</v>
      </c>
      <c r="W4129">
        <v>2.1465450000000001E-3</v>
      </c>
      <c r="X4129">
        <v>0.99961559999999905</v>
      </c>
      <c r="Y4129">
        <v>-6.4013029999999999E-2</v>
      </c>
      <c r="Z4129">
        <v>1.393257E-2</v>
      </c>
      <c r="AA4129">
        <v>0.99785179999999996</v>
      </c>
      <c r="AB4129">
        <v>8</v>
      </c>
      <c r="AC4129">
        <v>7.9821</v>
      </c>
      <c r="AD4129">
        <v>-1.104507581419</v>
      </c>
      <c r="AE4129">
        <v>-78.823509999999999</v>
      </c>
      <c r="AF4129">
        <v>-5.07577095758342</v>
      </c>
      <c r="AG4129">
        <v>-1.104507581419</v>
      </c>
      <c r="AH4129">
        <v>79.048447394231005</v>
      </c>
      <c r="AI4129">
        <v>90.798870491111401</v>
      </c>
      <c r="AJ4129">
        <v>93.673969083686401</v>
      </c>
      <c r="AK4129">
        <v>79.218939801348995</v>
      </c>
    </row>
    <row r="4130" spans="1:37" x14ac:dyDescent="0.2">
      <c r="A4130" t="str">
        <f>"20200111160251528"</f>
        <v>20200111160251528</v>
      </c>
      <c r="B4130" t="str">
        <f>"1578729771516547"</f>
        <v>1578729771516547</v>
      </c>
      <c r="C4130" t="s">
        <v>37</v>
      </c>
      <c r="D4130">
        <v>6.5576460000000001</v>
      </c>
      <c r="E4130">
        <v>0.48446339999999999</v>
      </c>
      <c r="F4130" t="s">
        <v>83</v>
      </c>
      <c r="G4130">
        <v>-409.04430000000002</v>
      </c>
      <c r="H4130">
        <v>1.484154</v>
      </c>
      <c r="I4130">
        <v>0.58880999999999994</v>
      </c>
      <c r="J4130">
        <v>-423.08240000000001</v>
      </c>
      <c r="K4130">
        <v>1.1042449999999999</v>
      </c>
      <c r="L4130">
        <v>110.652999999999</v>
      </c>
      <c r="M4130">
        <v>3.8053330000000003E-2</v>
      </c>
      <c r="N4130">
        <v>0</v>
      </c>
      <c r="O4130">
        <v>-0.99919919999999995</v>
      </c>
      <c r="P4130">
        <v>7.3399279999999997E-2</v>
      </c>
      <c r="Q4130">
        <v>-1.174126E-2</v>
      </c>
      <c r="R4130">
        <v>-0.99723359999999905</v>
      </c>
      <c r="S4130">
        <v>0.37997439999999999</v>
      </c>
      <c r="T4130">
        <v>1.0269759999999999E-2</v>
      </c>
      <c r="U4130">
        <v>-2.981995</v>
      </c>
      <c r="V4130">
        <v>-3.5395200000000002E-2</v>
      </c>
      <c r="W4130">
        <v>6.344953E-4</v>
      </c>
      <c r="X4130">
        <v>0.99937319999999996</v>
      </c>
      <c r="Y4130">
        <v>-8.8557529999999995E-2</v>
      </c>
      <c r="Z4130">
        <v>-3.4195739999999999E-3</v>
      </c>
      <c r="AA4130">
        <v>0.99606519999999998</v>
      </c>
      <c r="AB4130">
        <v>9</v>
      </c>
      <c r="AC4130">
        <v>14.038099999999901</v>
      </c>
      <c r="AD4130">
        <v>0.379909</v>
      </c>
      <c r="AE4130">
        <v>-110.06419</v>
      </c>
      <c r="AF4130">
        <v>-9.8391862532329597</v>
      </c>
      <c r="AG4130">
        <v>0.379909</v>
      </c>
      <c r="AH4130">
        <v>110.51740102454301</v>
      </c>
      <c r="AI4130">
        <v>89.803819644042605</v>
      </c>
      <c r="AJ4130">
        <v>95.087537915326806</v>
      </c>
      <c r="AK4130">
        <v>110.955170434702</v>
      </c>
    </row>
    <row r="4131" spans="1:37" x14ac:dyDescent="0.2">
      <c r="A4131" t="str">
        <f>"20200111160251552"</f>
        <v>20200111160251552</v>
      </c>
      <c r="B4131" t="str">
        <f>"1578729771546803"</f>
        <v>1578729771546803</v>
      </c>
      <c r="C4131" t="s">
        <v>37</v>
      </c>
      <c r="D4131">
        <v>5.358479</v>
      </c>
      <c r="E4131">
        <v>0.47333229999999998</v>
      </c>
      <c r="F4131" t="s">
        <v>83</v>
      </c>
      <c r="G4131">
        <v>-410.49169999999998</v>
      </c>
      <c r="H4131">
        <v>1.177556</v>
      </c>
      <c r="I4131">
        <v>0.57408909999999902</v>
      </c>
      <c r="J4131">
        <v>-423.07830000000001</v>
      </c>
      <c r="K4131">
        <v>1.1040639999999999</v>
      </c>
      <c r="L4131">
        <v>110.5592</v>
      </c>
      <c r="M4131">
        <v>3.8461309999999999E-2</v>
      </c>
      <c r="N4131">
        <v>0</v>
      </c>
      <c r="O4131">
        <v>-0.99918909999999905</v>
      </c>
      <c r="P4131">
        <v>7.6498769999999994E-2</v>
      </c>
      <c r="Q4131">
        <v>-1.097097E-2</v>
      </c>
      <c r="R4131">
        <v>-0.99700949999999899</v>
      </c>
      <c r="S4131">
        <v>0.34121699999999999</v>
      </c>
      <c r="T4131">
        <v>1.9861459999999998E-3</v>
      </c>
      <c r="U4131">
        <v>-2.983231</v>
      </c>
      <c r="V4131">
        <v>-3.809274E-2</v>
      </c>
      <c r="W4131">
        <v>9.5206890000000001E-4</v>
      </c>
      <c r="X4131">
        <v>0.99927379999999999</v>
      </c>
      <c r="Y4131">
        <v>-7.5338479999999999E-2</v>
      </c>
      <c r="Z4131">
        <v>-6.6192759999999997E-4</v>
      </c>
      <c r="AA4131">
        <v>0.99715779999999998</v>
      </c>
      <c r="AB4131">
        <v>9</v>
      </c>
      <c r="AC4131">
        <v>12.586600000000001</v>
      </c>
      <c r="AD4131">
        <v>7.3492000000000099E-2</v>
      </c>
      <c r="AE4131">
        <v>-109.9851109</v>
      </c>
      <c r="AF4131">
        <v>-8.3468105043294099</v>
      </c>
      <c r="AG4131">
        <v>7.3492000000000099E-2</v>
      </c>
      <c r="AH4131">
        <v>110.38780309214</v>
      </c>
      <c r="AI4131">
        <v>89.961963236017496</v>
      </c>
      <c r="AJ4131">
        <v>94.324107283277101</v>
      </c>
      <c r="AK4131">
        <v>110.702943584072</v>
      </c>
    </row>
    <row r="4132" spans="1:37" x14ac:dyDescent="0.2">
      <c r="A4132" t="str">
        <f>"20200111160251573"</f>
        <v>20200111160251573</v>
      </c>
      <c r="B4132" t="str">
        <f>"1578729771567299"</f>
        <v>1578729771567299</v>
      </c>
      <c r="C4132" t="s">
        <v>37</v>
      </c>
      <c r="D4132">
        <v>5.315258</v>
      </c>
      <c r="E4132">
        <v>0.4660822</v>
      </c>
      <c r="F4132" t="s">
        <v>38</v>
      </c>
      <c r="G4132">
        <v>-412.8716</v>
      </c>
      <c r="H4132" s="1">
        <v>-2.7255049999999999E-6</v>
      </c>
      <c r="I4132">
        <v>42.083539999999999</v>
      </c>
      <c r="J4132">
        <v>-423.07490000000001</v>
      </c>
      <c r="K4132">
        <v>1.1039060000000001</v>
      </c>
      <c r="L4132">
        <v>110.4777</v>
      </c>
      <c r="M4132">
        <v>3.8635139999999998E-2</v>
      </c>
      <c r="N4132">
        <v>0</v>
      </c>
      <c r="O4132">
        <v>-0.99918839999999998</v>
      </c>
      <c r="P4132">
        <v>7.7822409999999995E-2</v>
      </c>
      <c r="Q4132">
        <v>-9.6944519999999992E-3</v>
      </c>
      <c r="R4132">
        <v>-0.99692029999999998</v>
      </c>
      <c r="S4132">
        <v>0.44335940000000001</v>
      </c>
      <c r="T4132">
        <v>-4.795837E-2</v>
      </c>
      <c r="U4132">
        <v>-2.9744419999999998</v>
      </c>
      <c r="V4132">
        <v>-3.9244359999999999E-2</v>
      </c>
      <c r="W4132">
        <v>1.7383729999999899E-3</v>
      </c>
      <c r="X4132">
        <v>0.99922809999999995</v>
      </c>
      <c r="Y4132">
        <v>-0.10908329999999999</v>
      </c>
      <c r="Z4132">
        <v>1.5967080000000002E-2</v>
      </c>
      <c r="AA4132">
        <v>0.99390440000000002</v>
      </c>
      <c r="AB4132">
        <v>9</v>
      </c>
      <c r="AC4132">
        <v>10.2033</v>
      </c>
      <c r="AD4132">
        <v>-1.103908725505</v>
      </c>
      <c r="AE4132">
        <v>-68.394159999999999</v>
      </c>
      <c r="AF4132">
        <v>-7.5511671761556398</v>
      </c>
      <c r="AG4132">
        <v>-1.103908725505</v>
      </c>
      <c r="AH4132">
        <v>68.719808131760004</v>
      </c>
      <c r="AI4132">
        <v>90.914809658600305</v>
      </c>
      <c r="AJ4132">
        <v>96.270698421095503</v>
      </c>
      <c r="AK4132">
        <v>69.142250251654502</v>
      </c>
    </row>
    <row r="4133" spans="1:37" x14ac:dyDescent="0.2">
      <c r="A4133" t="str">
        <f>"20200111160251594"</f>
        <v>20200111160251594</v>
      </c>
      <c r="B4133" t="str">
        <f>"1578729771586819"</f>
        <v>1578729771586819</v>
      </c>
      <c r="C4133" t="s">
        <v>37</v>
      </c>
      <c r="D4133">
        <v>5.2828559999999998</v>
      </c>
      <c r="E4133">
        <v>0.46094160000000001</v>
      </c>
      <c r="F4133" t="s">
        <v>38</v>
      </c>
      <c r="G4133">
        <v>-413.16149999999999</v>
      </c>
      <c r="H4133" s="1">
        <v>-2.7330049999999998E-6</v>
      </c>
      <c r="I4133">
        <v>52.33229</v>
      </c>
      <c r="J4133">
        <v>-423.07150000000001</v>
      </c>
      <c r="K4133">
        <v>1.1037539999999999</v>
      </c>
      <c r="L4133">
        <v>110.38890000000001</v>
      </c>
      <c r="M4133">
        <v>3.8669759999999997E-2</v>
      </c>
      <c r="N4133">
        <v>0</v>
      </c>
      <c r="O4133">
        <v>-0.99919369999999996</v>
      </c>
      <c r="P4133">
        <v>7.7799179999999996E-2</v>
      </c>
      <c r="Q4133">
        <v>-7.7533509999999899E-3</v>
      </c>
      <c r="R4133">
        <v>-0.99693909999999997</v>
      </c>
      <c r="S4133">
        <v>0.50622559999999905</v>
      </c>
      <c r="T4133">
        <v>-5.6370740000000003E-2</v>
      </c>
      <c r="U4133">
        <v>-2.9691770000000002</v>
      </c>
      <c r="V4133">
        <v>-3.9184669999999998E-2</v>
      </c>
      <c r="W4133">
        <v>3.0902019999999998E-3</v>
      </c>
      <c r="X4133">
        <v>0.99922719999999898</v>
      </c>
      <c r="Y4133">
        <v>-0.1297912</v>
      </c>
      <c r="Z4133">
        <v>1.874514E-2</v>
      </c>
      <c r="AA4133">
        <v>0.99136409999999997</v>
      </c>
      <c r="AB4133">
        <v>9</v>
      </c>
      <c r="AC4133">
        <v>9.9100000000000197</v>
      </c>
      <c r="AD4133">
        <v>-1.103756733005</v>
      </c>
      <c r="AE4133">
        <v>-58.056609999999999</v>
      </c>
      <c r="AF4133">
        <v>-7.6547323915147798</v>
      </c>
      <c r="AG4133">
        <v>-1.103756733005</v>
      </c>
      <c r="AH4133">
        <v>58.375918509941698</v>
      </c>
      <c r="AI4133">
        <v>91.074012591252497</v>
      </c>
      <c r="AJ4133">
        <v>97.470472913862295</v>
      </c>
      <c r="AK4133">
        <v>58.886000618064699</v>
      </c>
    </row>
    <row r="4134" spans="1:37" x14ac:dyDescent="0.2">
      <c r="A4134" t="str">
        <f>"20200111160251617"</f>
        <v>20200111160251617</v>
      </c>
      <c r="B4134" t="str">
        <f>"1578729771607315"</f>
        <v>1578729771607315</v>
      </c>
      <c r="C4134" t="s">
        <v>37</v>
      </c>
      <c r="D4134">
        <v>5.3276339999999998</v>
      </c>
      <c r="E4134">
        <v>0.45720949999999999</v>
      </c>
      <c r="F4134" t="s">
        <v>38</v>
      </c>
      <c r="G4134">
        <v>-413.06209999999999</v>
      </c>
      <c r="H4134" s="1">
        <v>-4.0651219999999996E-6</v>
      </c>
      <c r="I4134">
        <v>56.169069999999998</v>
      </c>
      <c r="J4134">
        <v>-423.06819999999999</v>
      </c>
      <c r="K4134">
        <v>1.1036299999999899</v>
      </c>
      <c r="L4134">
        <v>110.3005</v>
      </c>
      <c r="M4134">
        <v>3.8571389999999997E-2</v>
      </c>
      <c r="N4134">
        <v>0</v>
      </c>
      <c r="O4134">
        <v>-0.99920429999999905</v>
      </c>
      <c r="P4134">
        <v>7.7527499999999999E-2</v>
      </c>
      <c r="Q4134">
        <v>-6.1991719999999898E-3</v>
      </c>
      <c r="R4134">
        <v>-0.99697139999999995</v>
      </c>
      <c r="S4134">
        <v>0.54754639999999999</v>
      </c>
      <c r="T4134">
        <v>-6.0379149999999999E-2</v>
      </c>
      <c r="U4134">
        <v>-2.96600299999999</v>
      </c>
      <c r="V4134">
        <v>-3.9009189999999999E-2</v>
      </c>
      <c r="W4134">
        <v>4.018598E-3</v>
      </c>
      <c r="X4134">
        <v>0.99923069999999903</v>
      </c>
      <c r="Y4134">
        <v>-0.14343590000000001</v>
      </c>
      <c r="Z4134">
        <v>2.0055570000000002E-2</v>
      </c>
      <c r="AA4134">
        <v>0.98945640000000001</v>
      </c>
      <c r="AB4134">
        <v>9</v>
      </c>
      <c r="AC4134">
        <v>10.0061</v>
      </c>
      <c r="AD4134">
        <v>-1.10363406512199</v>
      </c>
      <c r="AE4134">
        <v>-54.131430000000002</v>
      </c>
      <c r="AF4134">
        <v>-7.9074428075979304</v>
      </c>
      <c r="AG4134">
        <v>-1.10363406512199</v>
      </c>
      <c r="AH4134">
        <v>54.455225193794597</v>
      </c>
      <c r="AI4134">
        <v>91.148996747926205</v>
      </c>
      <c r="AJ4134">
        <v>98.262170768821505</v>
      </c>
      <c r="AK4134">
        <v>55.037416462003499</v>
      </c>
    </row>
    <row r="4135" spans="1:37" x14ac:dyDescent="0.2">
      <c r="A4135" t="str">
        <f>"20200111160251639"</f>
        <v>20200111160251639</v>
      </c>
      <c r="B4135" t="str">
        <f>"1578729771636595"</f>
        <v>1578729771636595</v>
      </c>
      <c r="C4135" t="s">
        <v>37</v>
      </c>
      <c r="D4135">
        <v>5.2895909999999997</v>
      </c>
      <c r="E4135">
        <v>0.45342759999999999</v>
      </c>
      <c r="F4135" t="s">
        <v>38</v>
      </c>
      <c r="G4135">
        <v>-413.01769999999999</v>
      </c>
      <c r="H4135" s="1">
        <v>-5.108803E-6</v>
      </c>
      <c r="I4135">
        <v>58.654429999999998</v>
      </c>
      <c r="J4135">
        <v>-423.06490000000002</v>
      </c>
      <c r="K4135">
        <v>1.103518</v>
      </c>
      <c r="L4135">
        <v>110.2085</v>
      </c>
      <c r="M4135">
        <v>3.8342149999999998E-2</v>
      </c>
      <c r="N4135">
        <v>0</v>
      </c>
      <c r="O4135">
        <v>-0.99921979999999999</v>
      </c>
      <c r="P4135">
        <v>7.6570940000000004E-2</v>
      </c>
      <c r="Q4135">
        <v>-4.4586959999999998E-3</v>
      </c>
      <c r="R4135">
        <v>-0.99705460000000001</v>
      </c>
      <c r="S4135">
        <v>0.57678219999999902</v>
      </c>
      <c r="T4135">
        <v>-6.3335420000000003E-2</v>
      </c>
      <c r="U4135">
        <v>-2.963867</v>
      </c>
      <c r="V4135">
        <v>-3.8278569999999998E-2</v>
      </c>
      <c r="W4135">
        <v>5.0719199999999997E-3</v>
      </c>
      <c r="X4135">
        <v>0.99925419999999998</v>
      </c>
      <c r="Y4135">
        <v>-0.1532007</v>
      </c>
      <c r="Z4135">
        <v>2.1017629999999999E-2</v>
      </c>
      <c r="AA4135">
        <v>0.9879715</v>
      </c>
      <c r="AB4135">
        <v>9</v>
      </c>
      <c r="AC4135">
        <v>10.0472</v>
      </c>
      <c r="AD4135">
        <v>-1.103523108803</v>
      </c>
      <c r="AE4135">
        <v>-51.554070000000003</v>
      </c>
      <c r="AF4135">
        <v>-8.0594712309013694</v>
      </c>
      <c r="AG4135">
        <v>-1.103523108803</v>
      </c>
      <c r="AH4135">
        <v>51.878505857919201</v>
      </c>
      <c r="AI4135">
        <v>91.204132179118105</v>
      </c>
      <c r="AJ4135">
        <v>98.830471728552297</v>
      </c>
      <c r="AK4135">
        <v>52.512400533812396</v>
      </c>
    </row>
    <row r="4136" spans="1:37" x14ac:dyDescent="0.2">
      <c r="A4136" t="str">
        <f>"20200111160251662"</f>
        <v>20200111160251662</v>
      </c>
      <c r="B4136" t="str">
        <f>"1578729771657091"</f>
        <v>1578729771657091</v>
      </c>
      <c r="C4136" t="s">
        <v>37</v>
      </c>
      <c r="D4136">
        <v>5.3898250000000001</v>
      </c>
      <c r="E4136">
        <v>0.451495799999999</v>
      </c>
      <c r="F4136" t="s">
        <v>38</v>
      </c>
      <c r="G4136">
        <v>-412.96089999999998</v>
      </c>
      <c r="H4136" s="1">
        <v>-2.24093E-6</v>
      </c>
      <c r="I4136">
        <v>60.729430000000001</v>
      </c>
      <c r="J4136">
        <v>-423.0616</v>
      </c>
      <c r="K4136">
        <v>1.1034040000000001</v>
      </c>
      <c r="L4136">
        <v>110.1096</v>
      </c>
      <c r="M4136">
        <v>3.7971730000000002E-2</v>
      </c>
      <c r="N4136">
        <v>0</v>
      </c>
      <c r="O4136">
        <v>-0.99924099999999905</v>
      </c>
      <c r="P4136">
        <v>7.5188539999999998E-2</v>
      </c>
      <c r="Q4136">
        <v>-3.733653E-3</v>
      </c>
      <c r="R4136">
        <v>-0.99716280000000002</v>
      </c>
      <c r="S4136">
        <v>0.60488889999999995</v>
      </c>
      <c r="T4136">
        <v>-6.6063280000000002E-2</v>
      </c>
      <c r="U4136">
        <v>-2.9621119999999999</v>
      </c>
      <c r="V4136">
        <v>-3.7263659999999997E-2</v>
      </c>
      <c r="W4136">
        <v>5.025191E-3</v>
      </c>
      <c r="X4136">
        <v>0.99929290000000004</v>
      </c>
      <c r="Y4136">
        <v>-0.16268189999999999</v>
      </c>
      <c r="Z4136">
        <v>2.189876E-2</v>
      </c>
      <c r="AA4136">
        <v>0.98643549999999902</v>
      </c>
      <c r="AB4136">
        <v>9</v>
      </c>
      <c r="AC4136">
        <v>10.1007</v>
      </c>
      <c r="AD4136">
        <v>-1.1034062409299901</v>
      </c>
      <c r="AE4136">
        <v>-49.3801699999999</v>
      </c>
      <c r="AF4136">
        <v>-8.2143568754077503</v>
      </c>
      <c r="AG4136">
        <v>-1.1034062409299901</v>
      </c>
      <c r="AH4136">
        <v>49.704289649254903</v>
      </c>
      <c r="AI4136">
        <v>91.254710427150997</v>
      </c>
      <c r="AJ4136">
        <v>99.384140129745205</v>
      </c>
      <c r="AK4136">
        <v>50.3905702859782</v>
      </c>
    </row>
    <row r="4137" spans="1:37" x14ac:dyDescent="0.2">
      <c r="A4137" t="str">
        <f>"20200111160251685"</f>
        <v>20200111160251685</v>
      </c>
      <c r="B4137" t="str">
        <f>"1578729771676611"</f>
        <v>1578729771676611</v>
      </c>
      <c r="C4137" t="s">
        <v>37</v>
      </c>
      <c r="D4137">
        <v>5.2472209999999997</v>
      </c>
      <c r="E4137">
        <v>0.4505767</v>
      </c>
      <c r="F4137" t="s">
        <v>38</v>
      </c>
      <c r="G4137">
        <v>-412.95350000000002</v>
      </c>
      <c r="H4137" s="1">
        <v>-2.5209420000000002E-6</v>
      </c>
      <c r="I4137">
        <v>61.546480000000003</v>
      </c>
      <c r="J4137">
        <v>-423.05840000000001</v>
      </c>
      <c r="K4137">
        <v>1.1033040000000001</v>
      </c>
      <c r="L4137">
        <v>110.01130000000001</v>
      </c>
      <c r="M4137">
        <v>3.7504460000000003E-2</v>
      </c>
      <c r="N4137">
        <v>0</v>
      </c>
      <c r="O4137">
        <v>-0.99926510000000002</v>
      </c>
      <c r="P4137">
        <v>7.3307120000000003E-2</v>
      </c>
      <c r="Q4137">
        <v>-2.7019399999999999E-3</v>
      </c>
      <c r="R4137">
        <v>-0.99730599999999903</v>
      </c>
      <c r="S4137">
        <v>0.61648559999999997</v>
      </c>
      <c r="T4137">
        <v>-6.7295789999999994E-2</v>
      </c>
      <c r="U4137">
        <v>-2.9618229999999999</v>
      </c>
      <c r="V4137">
        <v>-3.5845509999999997E-2</v>
      </c>
      <c r="W4137">
        <v>5.2755269999999899E-3</v>
      </c>
      <c r="X4137">
        <v>0.99934339999999999</v>
      </c>
      <c r="Y4137">
        <v>-0.16686400000000001</v>
      </c>
      <c r="Z4137">
        <v>2.2293279999999999E-2</v>
      </c>
      <c r="AA4137">
        <v>0.98572780000000004</v>
      </c>
      <c r="AB4137">
        <v>9</v>
      </c>
      <c r="AC4137">
        <v>10.104899999999899</v>
      </c>
      <c r="AD4137">
        <v>-1.1033065209420001</v>
      </c>
      <c r="AE4137">
        <v>-48.464820000000003</v>
      </c>
      <c r="AF4137">
        <v>-8.2759761507781793</v>
      </c>
      <c r="AG4137">
        <v>-1.1033065209420001</v>
      </c>
      <c r="AH4137">
        <v>48.785481881012402</v>
      </c>
      <c r="AI4137">
        <v>91.277307541019397</v>
      </c>
      <c r="AJ4137">
        <v>99.628005001787699</v>
      </c>
      <c r="AK4137">
        <v>49.494770520631697</v>
      </c>
    </row>
    <row r="4138" spans="1:37" x14ac:dyDescent="0.2">
      <c r="A4138" t="str">
        <f>"20200111160251707"</f>
        <v>20200111160251707</v>
      </c>
      <c r="B4138" t="str">
        <f>"1578729771697108"</f>
        <v>1578729771697108</v>
      </c>
      <c r="C4138" t="s">
        <v>37</v>
      </c>
      <c r="D4138">
        <v>5.2648640000000002</v>
      </c>
      <c r="E4138">
        <v>0.42160579999999998</v>
      </c>
      <c r="F4138" t="s">
        <v>38</v>
      </c>
      <c r="G4138">
        <v>-410.95850000000002</v>
      </c>
      <c r="H4138" s="1">
        <v>-3.1861369999999998E-6</v>
      </c>
      <c r="I4138">
        <v>51.941359999999897</v>
      </c>
      <c r="J4138">
        <v>-423.05549999999999</v>
      </c>
      <c r="K4138">
        <v>1.103216</v>
      </c>
      <c r="L4138">
        <v>109.9182</v>
      </c>
      <c r="M4138">
        <v>3.700034E-2</v>
      </c>
      <c r="N4138">
        <v>0</v>
      </c>
      <c r="O4138">
        <v>-0.99928930000000005</v>
      </c>
      <c r="P4138">
        <v>7.1647760000000005E-2</v>
      </c>
      <c r="Q4138">
        <v>-7.6181739999999995E-4</v>
      </c>
      <c r="R4138">
        <v>-0.99742980000000003</v>
      </c>
      <c r="S4138">
        <v>0.61730959999999901</v>
      </c>
      <c r="T4138">
        <v>-5.6287999999999998E-2</v>
      </c>
      <c r="U4138">
        <v>-2.9625849999999998</v>
      </c>
      <c r="V4138">
        <v>-3.4685859999999999E-2</v>
      </c>
      <c r="W4138">
        <v>6.4780899999999997E-3</v>
      </c>
      <c r="X4138">
        <v>0.99937730000000002</v>
      </c>
      <c r="Y4138">
        <v>-0.16758879999999901</v>
      </c>
      <c r="Z4138">
        <v>1.8642249999999999E-2</v>
      </c>
      <c r="AA4138">
        <v>0.98568069999999897</v>
      </c>
      <c r="AB4138">
        <v>9</v>
      </c>
      <c r="AC4138">
        <v>12.0969999999999</v>
      </c>
      <c r="AD4138">
        <v>-1.103219186137</v>
      </c>
      <c r="AE4138">
        <v>-57.976840000000003</v>
      </c>
      <c r="AF4138">
        <v>-9.9400487367502404</v>
      </c>
      <c r="AG4138">
        <v>-1.103219186137</v>
      </c>
      <c r="AH4138">
        <v>58.364491753923197</v>
      </c>
      <c r="AI4138">
        <v>91.067521510622996</v>
      </c>
      <c r="AJ4138">
        <v>99.665299735527398</v>
      </c>
      <c r="AK4138">
        <v>59.2151632536414</v>
      </c>
    </row>
    <row r="4139" spans="1:37" x14ac:dyDescent="0.2">
      <c r="A4139" t="str">
        <f>"20200111160251729"</f>
        <v>20200111160251729</v>
      </c>
      <c r="B4139" t="str">
        <f>"1578729771727365"</f>
        <v>1578729771727365</v>
      </c>
      <c r="C4139" t="s">
        <v>37</v>
      </c>
      <c r="D4139">
        <v>5.3026879999999998</v>
      </c>
      <c r="E4139">
        <v>0.42777189999999998</v>
      </c>
      <c r="F4139" t="s">
        <v>83</v>
      </c>
      <c r="G4139">
        <v>-392.4008</v>
      </c>
      <c r="H4139">
        <v>7.1326509999999903</v>
      </c>
      <c r="I4139">
        <v>0.75809479999999996</v>
      </c>
      <c r="J4139">
        <v>-423.05259999999998</v>
      </c>
      <c r="K4139">
        <v>1.103135</v>
      </c>
      <c r="L4139">
        <v>109.8207</v>
      </c>
      <c r="M4139">
        <v>3.6436639999999999E-2</v>
      </c>
      <c r="N4139">
        <v>0</v>
      </c>
      <c r="O4139">
        <v>-0.99931510000000001</v>
      </c>
      <c r="P4139">
        <v>6.8927459999999996E-2</v>
      </c>
      <c r="Q4139">
        <v>4.4330509999999999E-4</v>
      </c>
      <c r="R4139">
        <v>-0.9976218</v>
      </c>
      <c r="S4139">
        <v>0.82797240000000005</v>
      </c>
      <c r="T4139">
        <v>0.16285239999999901</v>
      </c>
      <c r="U4139">
        <v>-2.9483799999999998</v>
      </c>
      <c r="V4139">
        <v>-3.2524089999999999E-2</v>
      </c>
      <c r="W4139">
        <v>6.9196309999999999E-3</v>
      </c>
      <c r="X4139">
        <v>0.99944699999999997</v>
      </c>
      <c r="Y4139">
        <v>-0.2347207</v>
      </c>
      <c r="Z4139">
        <v>-5.3297740000000003E-2</v>
      </c>
      <c r="AA4139">
        <v>0.97060059999999904</v>
      </c>
      <c r="AB4139">
        <v>10</v>
      </c>
      <c r="AC4139">
        <v>30.651799999999898</v>
      </c>
      <c r="AD4139">
        <v>6.0295159999999903</v>
      </c>
      <c r="AE4139">
        <v>-109.06260519999999</v>
      </c>
      <c r="AF4139">
        <v>-26.5821888633001</v>
      </c>
      <c r="AG4139">
        <v>6.0295159999999903</v>
      </c>
      <c r="AH4139">
        <v>109.79603630596399</v>
      </c>
      <c r="AI4139">
        <v>86.944814897704205</v>
      </c>
      <c r="AJ4139">
        <v>103.60972726201101</v>
      </c>
      <c r="AK4139">
        <v>113.128853156297</v>
      </c>
    </row>
    <row r="4140" spans="1:37" x14ac:dyDescent="0.2">
      <c r="A4140" t="str">
        <f>"20200111160251751"</f>
        <v>20200111160251751</v>
      </c>
      <c r="B4140" t="str">
        <f>"1578729771746883"</f>
        <v>1578729771746883</v>
      </c>
      <c r="C4140" t="s">
        <v>37</v>
      </c>
      <c r="D4140">
        <v>5.1724430000000003</v>
      </c>
      <c r="E4140">
        <v>0.42905149999999997</v>
      </c>
      <c r="F4140" t="s">
        <v>83</v>
      </c>
      <c r="G4140">
        <v>-394.21850000000001</v>
      </c>
      <c r="H4140">
        <v>2.435673</v>
      </c>
      <c r="I4140">
        <v>0.73959160000000002</v>
      </c>
      <c r="J4140">
        <v>-423.04950000000002</v>
      </c>
      <c r="K4140">
        <v>1.1030599999999999</v>
      </c>
      <c r="L4140">
        <v>109.7158</v>
      </c>
      <c r="M4140">
        <v>3.581968E-2</v>
      </c>
      <c r="N4140">
        <v>0</v>
      </c>
      <c r="O4140">
        <v>-0.99934249999999902</v>
      </c>
      <c r="P4140">
        <v>6.5940529999999997E-2</v>
      </c>
      <c r="Q4140">
        <v>1.717883E-4</v>
      </c>
      <c r="R4140">
        <v>-0.99782399999999905</v>
      </c>
      <c r="S4140">
        <v>0.78063959999999999</v>
      </c>
      <c r="T4140">
        <v>3.6075709999999997E-2</v>
      </c>
      <c r="U4140">
        <v>-2.953201</v>
      </c>
      <c r="V4140">
        <v>-3.0150400000000001E-2</v>
      </c>
      <c r="W4140">
        <v>5.8481999999999996E-3</v>
      </c>
      <c r="X4140">
        <v>0.99952830000000004</v>
      </c>
      <c r="Y4140">
        <v>-0.22074639999999901</v>
      </c>
      <c r="Z4140">
        <v>-1.184903E-2</v>
      </c>
      <c r="AA4140">
        <v>0.97525919999999899</v>
      </c>
      <c r="AB4140">
        <v>10</v>
      </c>
      <c r="AC4140">
        <v>28.831</v>
      </c>
      <c r="AD4140">
        <v>1.3326129999999901</v>
      </c>
      <c r="AE4140">
        <v>-108.9762084</v>
      </c>
      <c r="AF4140">
        <v>-24.9054626174097</v>
      </c>
      <c r="AG4140">
        <v>1.3326129999999901</v>
      </c>
      <c r="AH4140">
        <v>109.923644042796</v>
      </c>
      <c r="AI4140">
        <v>89.322600418227196</v>
      </c>
      <c r="AJ4140">
        <v>102.766005547338</v>
      </c>
      <c r="AK4140">
        <v>112.717635910456</v>
      </c>
    </row>
    <row r="4141" spans="1:37" x14ac:dyDescent="0.2">
      <c r="A4141" t="str">
        <f>"20200111160251774"</f>
        <v>20200111160251774</v>
      </c>
      <c r="B4141" t="str">
        <f>"1578729771766403"</f>
        <v>1578729771766403</v>
      </c>
      <c r="C4141" t="s">
        <v>37</v>
      </c>
      <c r="D4141">
        <v>5.1708480000000003</v>
      </c>
      <c r="E4141">
        <v>0.42950929999999998</v>
      </c>
      <c r="F4141" t="s">
        <v>83</v>
      </c>
      <c r="G4141">
        <v>-395.0376</v>
      </c>
      <c r="H4141">
        <v>1.1182969999999901</v>
      </c>
      <c r="I4141">
        <v>1.3560030000000001</v>
      </c>
      <c r="J4141">
        <v>-423.04640000000001</v>
      </c>
      <c r="K4141">
        <v>1.1029959999999901</v>
      </c>
      <c r="L4141">
        <v>109.6086</v>
      </c>
      <c r="M4141">
        <v>3.5205590000000002E-2</v>
      </c>
      <c r="N4141">
        <v>0</v>
      </c>
      <c r="O4141">
        <v>-0.99936840000000005</v>
      </c>
      <c r="P4141">
        <v>6.3523289999999996E-2</v>
      </c>
      <c r="Q4141">
        <v>-2.87139599999999E-3</v>
      </c>
      <c r="R4141">
        <v>-0.99797639999999999</v>
      </c>
      <c r="S4141">
        <v>0.76416019999999996</v>
      </c>
      <c r="T4141">
        <v>4.1496749999999998E-4</v>
      </c>
      <c r="U4141">
        <v>-2.9560390000000001</v>
      </c>
      <c r="V4141">
        <v>-2.834776E-2</v>
      </c>
      <c r="W4141">
        <v>2.0268589999999898E-3</v>
      </c>
      <c r="X4141">
        <v>0.99959609999999999</v>
      </c>
      <c r="Y4141">
        <v>-0.21604000000000001</v>
      </c>
      <c r="Z4141">
        <v>-1.3635049999999999E-4</v>
      </c>
      <c r="AA4141">
        <v>0.97638449999999999</v>
      </c>
      <c r="AB4141">
        <v>10</v>
      </c>
      <c r="AC4141">
        <v>28.008800000000001</v>
      </c>
      <c r="AD4141">
        <v>1.5301E-2</v>
      </c>
      <c r="AE4141">
        <v>-108.25259699999999</v>
      </c>
      <c r="AF4141">
        <v>-24.180295161078199</v>
      </c>
      <c r="AG4141">
        <v>1.5301E-2</v>
      </c>
      <c r="AH4141">
        <v>109.171564486208</v>
      </c>
      <c r="AI4141">
        <v>89.992159688922797</v>
      </c>
      <c r="AJ4141">
        <v>102.488765182175</v>
      </c>
      <c r="AK4141">
        <v>111.817339445024</v>
      </c>
    </row>
    <row r="4142" spans="1:37" x14ac:dyDescent="0.2">
      <c r="A4142" t="str">
        <f>"20200111160251796"</f>
        <v>20200111160251796</v>
      </c>
      <c r="B4142" t="str">
        <f>"1578729771786899"</f>
        <v>1578729771786899</v>
      </c>
      <c r="C4142" t="s">
        <v>37</v>
      </c>
      <c r="D4142">
        <v>5.2070749999999997</v>
      </c>
      <c r="E4142">
        <v>0.43018699999999999</v>
      </c>
      <c r="F4142" t="s">
        <v>39</v>
      </c>
      <c r="G4142">
        <v>-391.37830000000002</v>
      </c>
      <c r="H4142">
        <v>-0.05</v>
      </c>
      <c r="I4142">
        <v>-14.480379999999901</v>
      </c>
      <c r="J4142">
        <v>-423.04340000000002</v>
      </c>
      <c r="K4142">
        <v>1.10294</v>
      </c>
      <c r="L4142">
        <v>109.50360000000001</v>
      </c>
      <c r="M4142">
        <v>3.4634060000000001E-2</v>
      </c>
      <c r="N4142">
        <v>0</v>
      </c>
      <c r="O4142">
        <v>-0.99939159999999905</v>
      </c>
      <c r="P4142">
        <v>6.1248789999999997E-2</v>
      </c>
      <c r="Q4142">
        <v>-6.2142819999999998E-3</v>
      </c>
      <c r="R4142">
        <v>-0.99810359999999998</v>
      </c>
      <c r="S4142">
        <v>0.75488279999999996</v>
      </c>
      <c r="T4142">
        <v>-2.74843E-2</v>
      </c>
      <c r="U4142">
        <v>-2.9579469999999999</v>
      </c>
      <c r="V4142">
        <v>-2.6645140000000001E-2</v>
      </c>
      <c r="W4142">
        <v>-2.035182E-3</v>
      </c>
      <c r="X4142">
        <v>0.9996429</v>
      </c>
      <c r="Y4142">
        <v>-0.21356230000000001</v>
      </c>
      <c r="Z4142">
        <v>9.0310410000000001E-3</v>
      </c>
      <c r="AA4142">
        <v>0.97688770000000003</v>
      </c>
      <c r="AB4142">
        <v>10</v>
      </c>
      <c r="AC4142">
        <v>31.665099999999899</v>
      </c>
      <c r="AD4142">
        <v>-1.1529400000000001</v>
      </c>
      <c r="AE4142">
        <v>-123.98398</v>
      </c>
      <c r="AF4142">
        <v>-27.3497774284771</v>
      </c>
      <c r="AG4142">
        <v>-1.1529400000000001</v>
      </c>
      <c r="AH4142">
        <v>124.99614918734299</v>
      </c>
      <c r="AI4142">
        <v>90.516257157861205</v>
      </c>
      <c r="AJ4142">
        <v>102.342092419981</v>
      </c>
      <c r="AK4142">
        <v>127.958496817114</v>
      </c>
    </row>
    <row r="4143" spans="1:37" x14ac:dyDescent="0.2">
      <c r="A4143" t="str">
        <f>"20200111160251819"</f>
        <v>20200111160251819</v>
      </c>
      <c r="B4143" t="str">
        <f>"1578729771806420"</f>
        <v>1578729771806420</v>
      </c>
      <c r="C4143" t="s">
        <v>37</v>
      </c>
      <c r="D4143">
        <v>5.4487699999999997</v>
      </c>
      <c r="E4143">
        <v>0.43070629999999999</v>
      </c>
      <c r="F4143" t="s">
        <v>38</v>
      </c>
      <c r="G4143">
        <v>-407.42219999999998</v>
      </c>
      <c r="H4143">
        <v>7.9986260000000003E-2</v>
      </c>
      <c r="I4143">
        <v>47.322759999999903</v>
      </c>
      <c r="J4143">
        <v>-423.0403</v>
      </c>
      <c r="K4143">
        <v>1.102908</v>
      </c>
      <c r="L4143">
        <v>109.3931</v>
      </c>
      <c r="M4143">
        <v>3.4085369999999997E-2</v>
      </c>
      <c r="N4143">
        <v>0</v>
      </c>
      <c r="O4143">
        <v>-0.999412999999999</v>
      </c>
      <c r="P4143">
        <v>5.9421880000000003E-2</v>
      </c>
      <c r="Q4143">
        <v>-9.1463789999999996E-3</v>
      </c>
      <c r="R4143">
        <v>-0.9981911</v>
      </c>
      <c r="S4143">
        <v>0.74356080000000002</v>
      </c>
      <c r="T4143">
        <v>-4.8691869999999998E-2</v>
      </c>
      <c r="U4143">
        <v>-2.9597630000000001</v>
      </c>
      <c r="V4143">
        <v>-2.5367299999999999E-2</v>
      </c>
      <c r="W4143">
        <v>-5.6680239999999998E-3</v>
      </c>
      <c r="X4143">
        <v>0.999662099999999</v>
      </c>
      <c r="Y4143">
        <v>-0.21042089999999999</v>
      </c>
      <c r="Z4143">
        <v>1.6002039999999999E-2</v>
      </c>
      <c r="AA4143">
        <v>0.97747989999999996</v>
      </c>
      <c r="AB4143">
        <v>11</v>
      </c>
      <c r="AC4143">
        <v>15.6181</v>
      </c>
      <c r="AD4143">
        <v>-1.0229217399999999</v>
      </c>
      <c r="AE4143">
        <v>-62.070340000000002</v>
      </c>
      <c r="AF4143">
        <v>-13.489875980514899</v>
      </c>
      <c r="AG4143">
        <v>-1.0229217399999999</v>
      </c>
      <c r="AH4143">
        <v>62.550647199711499</v>
      </c>
      <c r="AI4143">
        <v>90.915850146157695</v>
      </c>
      <c r="AJ4143">
        <v>102.170197738947</v>
      </c>
      <c r="AK4143">
        <v>63.996926394621603</v>
      </c>
    </row>
    <row r="4144" spans="1:37" x14ac:dyDescent="0.2">
      <c r="A4144" t="str">
        <f>"20200111160251841"</f>
        <v>20200111160251841</v>
      </c>
      <c r="B4144" t="str">
        <f>"1578729771836676"</f>
        <v>1578729771836676</v>
      </c>
      <c r="C4144" t="s">
        <v>37</v>
      </c>
      <c r="D4144">
        <v>5.7597139999999998</v>
      </c>
      <c r="E4144">
        <v>0.43070629999999999</v>
      </c>
      <c r="F4144" t="s">
        <v>38</v>
      </c>
      <c r="G4144">
        <v>-410.84410000000003</v>
      </c>
      <c r="H4144" s="1">
        <v>-2.6317819999999999E-6</v>
      </c>
      <c r="I4144">
        <v>60.222929999999998</v>
      </c>
      <c r="J4144">
        <v>-423.03699999999998</v>
      </c>
      <c r="K4144">
        <v>1.102892</v>
      </c>
      <c r="L4144">
        <v>109.28019999999999</v>
      </c>
      <c r="M4144">
        <v>3.3596499999999897E-2</v>
      </c>
      <c r="N4144">
        <v>0</v>
      </c>
      <c r="O4144">
        <v>-0.99943169999999903</v>
      </c>
      <c r="P4144">
        <v>5.8342650000000003E-2</v>
      </c>
      <c r="Q4144">
        <v>-9.6419060000000004E-3</v>
      </c>
      <c r="R4144">
        <v>-0.99825039999999998</v>
      </c>
      <c r="S4144">
        <v>0.73446659999999997</v>
      </c>
      <c r="T4144">
        <v>-6.6418649999999996E-2</v>
      </c>
      <c r="U4144">
        <v>-2.96109</v>
      </c>
      <c r="V4144">
        <v>-2.4775559999999999E-2</v>
      </c>
      <c r="W4144">
        <v>-6.8213700000000002E-3</v>
      </c>
      <c r="X4144">
        <v>0.99966980000000005</v>
      </c>
      <c r="Y4144">
        <v>-0.2079424</v>
      </c>
      <c r="Z4144">
        <v>2.1830200000000001E-2</v>
      </c>
      <c r="AA4144">
        <v>0.97789749999999998</v>
      </c>
      <c r="AB4144">
        <v>11</v>
      </c>
      <c r="AC4144">
        <v>12.1928999999999</v>
      </c>
      <c r="AD4144">
        <v>-1.1028946317820001</v>
      </c>
      <c r="AE4144">
        <v>-49.057269999999903</v>
      </c>
      <c r="AF4144">
        <v>-10.5328441059097</v>
      </c>
      <c r="AG4144">
        <v>-1.1028946317820001</v>
      </c>
      <c r="AH4144">
        <v>49.415693136273902</v>
      </c>
      <c r="AI4144">
        <v>91.250474711079903</v>
      </c>
      <c r="AJ4144">
        <v>102.032404808751</v>
      </c>
      <c r="AK4144">
        <v>50.537786948644701</v>
      </c>
    </row>
    <row r="4145" spans="1:37" x14ac:dyDescent="0.2">
      <c r="A4145" t="str">
        <f>"20200111160251885"</f>
        <v>20200111160251885</v>
      </c>
      <c r="B4145" t="str">
        <f>"1578729771876691"</f>
        <v>1578729771876691</v>
      </c>
      <c r="C4145" t="s">
        <v>37</v>
      </c>
      <c r="D4145">
        <v>5.4965279999999996</v>
      </c>
      <c r="E4145">
        <v>0.60334900000000002</v>
      </c>
      <c r="F4145" t="s">
        <v>38</v>
      </c>
      <c r="G4145">
        <v>-411.36309999999997</v>
      </c>
      <c r="H4145" s="1">
        <v>-3.0932899999999998E-6</v>
      </c>
      <c r="I4145">
        <v>61.984900000000003</v>
      </c>
      <c r="J4145">
        <v>-423.03030000000001</v>
      </c>
      <c r="K4145">
        <v>1.1029249999999999</v>
      </c>
      <c r="L4145">
        <v>109.04799999999901</v>
      </c>
      <c r="M4145">
        <v>3.2861040000000001E-2</v>
      </c>
      <c r="N4145">
        <v>0</v>
      </c>
      <c r="O4145">
        <v>-0.99945879999999998</v>
      </c>
      <c r="P4145">
        <v>5.7036469999999999E-2</v>
      </c>
      <c r="Q4145">
        <v>-3.6782799999999999E-3</v>
      </c>
      <c r="R4145">
        <v>-0.99836559999999896</v>
      </c>
      <c r="S4145">
        <v>0.73107909999999998</v>
      </c>
      <c r="T4145">
        <v>-6.9068790000000005E-2</v>
      </c>
      <c r="U4145">
        <v>-2.9618679999999999</v>
      </c>
      <c r="V4145">
        <v>-2.4198810000000001E-2</v>
      </c>
      <c r="W4145">
        <v>-2.034456E-3</v>
      </c>
      <c r="X4145">
        <v>0.99970509999999901</v>
      </c>
      <c r="Y4145">
        <v>-0.20754359999999999</v>
      </c>
      <c r="Z4145">
        <v>2.2699879999999999E-2</v>
      </c>
      <c r="AA4145">
        <v>0.97796240000000001</v>
      </c>
      <c r="AB4145">
        <v>11</v>
      </c>
      <c r="AC4145">
        <v>11.667199999999999</v>
      </c>
      <c r="AD4145">
        <v>-1.1029280932899901</v>
      </c>
      <c r="AE4145">
        <v>-47.063099999999899</v>
      </c>
      <c r="AF4145">
        <v>-10.109124210129799</v>
      </c>
      <c r="AG4145">
        <v>-1.1029280932899901</v>
      </c>
      <c r="AH4145">
        <v>47.396556112107</v>
      </c>
      <c r="AI4145">
        <v>91.303730298577605</v>
      </c>
      <c r="AJ4145">
        <v>102.040099506327</v>
      </c>
      <c r="AK4145">
        <v>48.475193387576198</v>
      </c>
    </row>
    <row r="4146" spans="1:37" x14ac:dyDescent="0.2">
      <c r="A4146" t="str">
        <f>"20200111160251907"</f>
        <v>20200111160251907</v>
      </c>
      <c r="B4146" t="str">
        <f>"1578729771897187"</f>
        <v>1578729771897187</v>
      </c>
      <c r="C4146" t="s">
        <v>37</v>
      </c>
      <c r="D4146">
        <v>7.9832210000000003</v>
      </c>
      <c r="E4146">
        <v>0.61604569999999903</v>
      </c>
      <c r="F4146" t="s">
        <v>38</v>
      </c>
      <c r="G4146">
        <v>-428.7296</v>
      </c>
      <c r="H4146" s="1">
        <v>-3.32494E-6</v>
      </c>
      <c r="I4146">
        <v>82.206990000000005</v>
      </c>
      <c r="J4146">
        <v>-423.02679999999998</v>
      </c>
      <c r="K4146">
        <v>1.102948</v>
      </c>
      <c r="L4146">
        <v>108.9307</v>
      </c>
      <c r="M4146">
        <v>3.263419E-2</v>
      </c>
      <c r="N4146">
        <v>0</v>
      </c>
      <c r="O4146">
        <v>-0.99946689999999905</v>
      </c>
      <c r="P4146">
        <v>5.6709929999999999E-2</v>
      </c>
      <c r="Q4146">
        <v>-3.2968050000000001E-4</v>
      </c>
      <c r="R4146">
        <v>-0.99839109999999998</v>
      </c>
      <c r="S4146">
        <v>-0.64578250000000004</v>
      </c>
      <c r="T4146">
        <v>-0.12497229999999999</v>
      </c>
      <c r="U4146">
        <v>-3.0413359999999998</v>
      </c>
      <c r="V4146">
        <v>-2.4098270000000001E-2</v>
      </c>
      <c r="W4146">
        <v>8.0472619999999895E-4</v>
      </c>
      <c r="X4146">
        <v>0.99970919999999897</v>
      </c>
      <c r="Y4146">
        <v>0.2393498</v>
      </c>
      <c r="Z4146">
        <v>3.9982070000000001E-2</v>
      </c>
      <c r="AA4146">
        <v>0.97010980000000002</v>
      </c>
      <c r="AB4146">
        <v>12</v>
      </c>
      <c r="AC4146">
        <v>-5.7028000000000203</v>
      </c>
      <c r="AD4146">
        <v>-1.10295132494</v>
      </c>
      <c r="AE4146">
        <v>-26.723709999999901</v>
      </c>
      <c r="AF4146">
        <v>6.5611799207404404</v>
      </c>
      <c r="AG4146">
        <v>-1.10295132494</v>
      </c>
      <c r="AH4146">
        <v>26.4802275622338</v>
      </c>
      <c r="AI4146">
        <v>92.315168767112397</v>
      </c>
      <c r="AJ4146">
        <v>76.083718632587505</v>
      </c>
      <c r="AK4146">
        <v>27.303260525534402</v>
      </c>
    </row>
    <row r="4147" spans="1:37" x14ac:dyDescent="0.2">
      <c r="A4147" t="str">
        <f>"20200111160251930"</f>
        <v>20200111160251930</v>
      </c>
      <c r="B4147" t="str">
        <f>"1578729771926468"</f>
        <v>1578729771926468</v>
      </c>
      <c r="C4147" t="s">
        <v>37</v>
      </c>
      <c r="D4147">
        <v>5.2665100000000002</v>
      </c>
      <c r="E4147">
        <v>0.6193208</v>
      </c>
      <c r="F4147" t="s">
        <v>38</v>
      </c>
      <c r="G4147">
        <v>-429.55869999999999</v>
      </c>
      <c r="H4147" s="1">
        <v>-3.50457299999999E-6</v>
      </c>
      <c r="I4147">
        <v>82.302639999999997</v>
      </c>
      <c r="J4147">
        <v>-423.02289999999999</v>
      </c>
      <c r="K4147">
        <v>1.1029659999999999</v>
      </c>
      <c r="L4147">
        <v>108.80500000000001</v>
      </c>
      <c r="M4147">
        <v>3.2492E-2</v>
      </c>
      <c r="N4147">
        <v>0</v>
      </c>
      <c r="O4147">
        <v>-0.99947189999999997</v>
      </c>
      <c r="P4147">
        <v>5.6175959999999997E-2</v>
      </c>
      <c r="Q4147">
        <v>2.371017E-3</v>
      </c>
      <c r="R4147">
        <v>-0.99841840000000004</v>
      </c>
      <c r="S4147">
        <v>-0.74749759999999998</v>
      </c>
      <c r="T4147">
        <v>-0.12621879999999999</v>
      </c>
      <c r="U4147">
        <v>-3.0472410000000001</v>
      </c>
      <c r="V4147">
        <v>-2.3705839999999999E-2</v>
      </c>
      <c r="W4147">
        <v>3.0162929999999902E-3</v>
      </c>
      <c r="X4147">
        <v>0.9997144</v>
      </c>
      <c r="Y4147">
        <v>0.26947929999999998</v>
      </c>
      <c r="Z4147">
        <v>3.999494E-2</v>
      </c>
      <c r="AA4147">
        <v>0.96217529999999996</v>
      </c>
      <c r="AB4147">
        <v>12</v>
      </c>
      <c r="AC4147">
        <v>-6.5357999999999903</v>
      </c>
      <c r="AD4147">
        <v>-1.1029695045729999</v>
      </c>
      <c r="AE4147">
        <v>-26.502359999999999</v>
      </c>
      <c r="AF4147">
        <v>7.3814118990186701</v>
      </c>
      <c r="AG4147">
        <v>-1.1029695045729999</v>
      </c>
      <c r="AH4147">
        <v>26.233173427485301</v>
      </c>
      <c r="AI4147">
        <v>92.317676404489006</v>
      </c>
      <c r="AJ4147">
        <v>74.284618700182193</v>
      </c>
      <c r="AK4147">
        <v>27.274185073573001</v>
      </c>
    </row>
    <row r="4148" spans="1:37" x14ac:dyDescent="0.2">
      <c r="A4148" t="str">
        <f>"20200111160251953"</f>
        <v>20200111160251953</v>
      </c>
      <c r="B4148" t="str">
        <f>"1578729771946963"</f>
        <v>1578729771946963</v>
      </c>
      <c r="C4148" t="s">
        <v>37</v>
      </c>
      <c r="D4148">
        <v>5.3107709999999999</v>
      </c>
      <c r="E4148">
        <v>0.61952600000000002</v>
      </c>
      <c r="F4148" t="s">
        <v>38</v>
      </c>
      <c r="G4148">
        <v>-429.95359999999999</v>
      </c>
      <c r="H4148" s="1">
        <v>-3.311231E-6</v>
      </c>
      <c r="I4148">
        <v>81.528660000000002</v>
      </c>
      <c r="J4148">
        <v>-423.0188</v>
      </c>
      <c r="K4148">
        <v>1.1029789999999999</v>
      </c>
      <c r="L4148">
        <v>108.67319999999999</v>
      </c>
      <c r="M4148">
        <v>3.2439999999999997E-2</v>
      </c>
      <c r="N4148">
        <v>0</v>
      </c>
      <c r="O4148">
        <v>-0.99947379999999997</v>
      </c>
      <c r="P4148">
        <v>5.5514029999999999E-2</v>
      </c>
      <c r="Q4148">
        <v>4.2985180000000003E-3</v>
      </c>
      <c r="R4148">
        <v>-0.99844880000000003</v>
      </c>
      <c r="S4148">
        <v>-0.77462769999999903</v>
      </c>
      <c r="T4148">
        <v>-0.123276199999999</v>
      </c>
      <c r="U4148">
        <v>-3.0486149999999999</v>
      </c>
      <c r="V4148">
        <v>-2.309601E-2</v>
      </c>
      <c r="W4148">
        <v>4.4935230000000001E-3</v>
      </c>
      <c r="X4148">
        <v>0.99972309999999998</v>
      </c>
      <c r="Y4148">
        <v>0.27739000000000003</v>
      </c>
      <c r="Z4148">
        <v>3.8960990000000001E-2</v>
      </c>
      <c r="AA4148">
        <v>0.95996709999999996</v>
      </c>
      <c r="AB4148">
        <v>12</v>
      </c>
      <c r="AC4148">
        <v>-6.9347999999999903</v>
      </c>
      <c r="AD4148">
        <v>-1.102982311231</v>
      </c>
      <c r="AE4148">
        <v>-27.1445399999999</v>
      </c>
      <c r="AF4148">
        <v>7.7996299773410298</v>
      </c>
      <c r="AG4148">
        <v>-1.102982311231</v>
      </c>
      <c r="AH4148">
        <v>26.863651655176501</v>
      </c>
      <c r="AI4148">
        <v>92.258015190751195</v>
      </c>
      <c r="AJ4148">
        <v>73.809799796116593</v>
      </c>
      <c r="AK4148">
        <v>27.994759831314699</v>
      </c>
    </row>
    <row r="4149" spans="1:37" x14ac:dyDescent="0.2">
      <c r="A4149" t="str">
        <f>"20200111160251976"</f>
        <v>20200111160251976</v>
      </c>
      <c r="B4149" t="str">
        <f>"1578729771966484"</f>
        <v>1578729771966484</v>
      </c>
      <c r="C4149" t="s">
        <v>37</v>
      </c>
      <c r="D4149">
        <v>5.9592549999999997</v>
      </c>
      <c r="E4149">
        <v>0.61941919999999995</v>
      </c>
      <c r="F4149" t="s">
        <v>38</v>
      </c>
      <c r="G4149">
        <v>-429.65309999999999</v>
      </c>
      <c r="H4149" s="1">
        <v>-3.645353E-6</v>
      </c>
      <c r="I4149">
        <v>82.667150000000007</v>
      </c>
      <c r="J4149">
        <v>-423.0145</v>
      </c>
      <c r="K4149">
        <v>1.1029850000000001</v>
      </c>
      <c r="L4149">
        <v>108.5403</v>
      </c>
      <c r="M4149">
        <v>3.2454450000000003E-2</v>
      </c>
      <c r="N4149">
        <v>0</v>
      </c>
      <c r="O4149">
        <v>-0.99947319999999995</v>
      </c>
      <c r="P4149">
        <v>5.4979279999999998E-2</v>
      </c>
      <c r="Q4149">
        <v>6.3392509999999997E-3</v>
      </c>
      <c r="R4149">
        <v>-0.99846749999999995</v>
      </c>
      <c r="S4149">
        <v>-0.77767940000000002</v>
      </c>
      <c r="T4149">
        <v>-0.1292925</v>
      </c>
      <c r="U4149">
        <v>-3.0484469999999999</v>
      </c>
      <c r="V4149">
        <v>-2.254712E-2</v>
      </c>
      <c r="W4149">
        <v>6.1290529999999998E-3</v>
      </c>
      <c r="X4149">
        <v>0.99972700000000003</v>
      </c>
      <c r="Y4149">
        <v>0.27830009999999999</v>
      </c>
      <c r="Z4149">
        <v>4.0850860000000003E-2</v>
      </c>
      <c r="AA4149">
        <v>0.95962510000000001</v>
      </c>
      <c r="AB4149">
        <v>13</v>
      </c>
      <c r="AC4149">
        <v>-6.6385999999999896</v>
      </c>
      <c r="AD4149">
        <v>-1.102988645353</v>
      </c>
      <c r="AE4149">
        <v>-25.8731499999999</v>
      </c>
      <c r="AF4149">
        <v>7.4620780546574599</v>
      </c>
      <c r="AG4149">
        <v>-1.102988645353</v>
      </c>
      <c r="AH4149">
        <v>25.600416660924999</v>
      </c>
      <c r="AI4149">
        <v>92.368600661444503</v>
      </c>
      <c r="AJ4149">
        <v>73.749510971218697</v>
      </c>
      <c r="AK4149">
        <v>26.6885841898469</v>
      </c>
    </row>
    <row r="4150" spans="1:37" x14ac:dyDescent="0.2">
      <c r="A4150" t="str">
        <f>"20200111160251996"</f>
        <v>20200111160251996</v>
      </c>
      <c r="B4150" t="str">
        <f>"1578729771986979"</f>
        <v>1578729771986979</v>
      </c>
      <c r="C4150" t="s">
        <v>37</v>
      </c>
      <c r="D4150">
        <v>5.2101189999999997</v>
      </c>
      <c r="E4150">
        <v>0.63211879999999998</v>
      </c>
      <c r="F4150" t="s">
        <v>38</v>
      </c>
      <c r="G4150">
        <v>-429.68990000000002</v>
      </c>
      <c r="H4150" s="1">
        <v>-3.558258E-6</v>
      </c>
      <c r="I4150">
        <v>82.392030000000005</v>
      </c>
      <c r="J4150">
        <v>-423.01060000000001</v>
      </c>
      <c r="K4150">
        <v>1.102981</v>
      </c>
      <c r="L4150">
        <v>108.42100000000001</v>
      </c>
      <c r="M4150">
        <v>3.2511669999999999E-2</v>
      </c>
      <c r="N4150">
        <v>0</v>
      </c>
      <c r="O4150">
        <v>-0.9994712</v>
      </c>
      <c r="P4150">
        <v>5.5178039999999998E-2</v>
      </c>
      <c r="Q4150">
        <v>8.1729319999999904E-3</v>
      </c>
      <c r="R4150">
        <v>-0.99844310000000003</v>
      </c>
      <c r="S4150">
        <v>-0.77819819999999995</v>
      </c>
      <c r="T4150">
        <v>-0.12858219999999901</v>
      </c>
      <c r="U4150">
        <v>-3.0482640000000001</v>
      </c>
      <c r="V4150">
        <v>-2.2690370000000001E-2</v>
      </c>
      <c r="W4150">
        <v>7.636299E-3</v>
      </c>
      <c r="X4150">
        <v>0.99971339999999997</v>
      </c>
      <c r="Y4150">
        <v>0.27852450000000001</v>
      </c>
      <c r="Z4150">
        <v>4.0626900000000001E-2</v>
      </c>
      <c r="AA4150">
        <v>0.95956949999999996</v>
      </c>
      <c r="AB4150">
        <v>13</v>
      </c>
      <c r="AC4150">
        <v>-6.6793000000000102</v>
      </c>
      <c r="AD4150">
        <v>-1.102984558258</v>
      </c>
      <c r="AE4150">
        <v>-26.028970000000001</v>
      </c>
      <c r="AF4150">
        <v>7.5093632215619603</v>
      </c>
      <c r="AG4150">
        <v>-1.102984558258</v>
      </c>
      <c r="AH4150">
        <v>25.754665148076398</v>
      </c>
      <c r="AI4150">
        <v>92.354365030858602</v>
      </c>
      <c r="AJ4150">
        <v>73.744744979180595</v>
      </c>
      <c r="AK4150">
        <v>26.849765135260402</v>
      </c>
    </row>
    <row r="4151" spans="1:37" x14ac:dyDescent="0.2">
      <c r="A4151" t="str">
        <f>"20200111160252020"</f>
        <v>20200111160252020</v>
      </c>
      <c r="B4151" t="str">
        <f>"1578729772017235"</f>
        <v>1578729772017235</v>
      </c>
      <c r="C4151" t="s">
        <v>37</v>
      </c>
      <c r="D4151">
        <v>5.334587</v>
      </c>
      <c r="E4151">
        <v>0.62750240000000002</v>
      </c>
      <c r="F4151" t="s">
        <v>84</v>
      </c>
      <c r="G4151">
        <v>-442.325999999999</v>
      </c>
      <c r="H4151">
        <v>2.653823</v>
      </c>
      <c r="I4151">
        <v>42.270309999999903</v>
      </c>
      <c r="J4151">
        <v>-423.0059</v>
      </c>
      <c r="K4151">
        <v>1.1029690000000001</v>
      </c>
      <c r="L4151">
        <v>108.2813</v>
      </c>
      <c r="M4151">
        <v>3.2620789999999997E-2</v>
      </c>
      <c r="N4151">
        <v>0</v>
      </c>
      <c r="O4151">
        <v>-0.99946740000000001</v>
      </c>
      <c r="P4151">
        <v>5.5719360000000002E-2</v>
      </c>
      <c r="Q4151">
        <v>8.6739699999999996E-3</v>
      </c>
      <c r="R4151">
        <v>-0.99840879999999999</v>
      </c>
      <c r="S4151">
        <v>-0.891570999999999</v>
      </c>
      <c r="T4151">
        <v>7.1584460000000003E-2</v>
      </c>
      <c r="U4151">
        <v>-3.053391</v>
      </c>
      <c r="V4151">
        <v>-2.3123660000000001E-2</v>
      </c>
      <c r="W4151">
        <v>7.7965100000000004E-3</v>
      </c>
      <c r="X4151">
        <v>0.99970219999999899</v>
      </c>
      <c r="Y4151">
        <v>0.31138299999999902</v>
      </c>
      <c r="Z4151">
        <v>-2.236964E-2</v>
      </c>
      <c r="AA4151">
        <v>0.95002109999999995</v>
      </c>
      <c r="AB4151">
        <v>13</v>
      </c>
      <c r="AC4151">
        <v>-19.320099999999901</v>
      </c>
      <c r="AD4151">
        <v>1.550854</v>
      </c>
      <c r="AE4151">
        <v>-66.010990000000007</v>
      </c>
      <c r="AF4151">
        <v>21.452242792639101</v>
      </c>
      <c r="AG4151">
        <v>1.550854</v>
      </c>
      <c r="AH4151">
        <v>65.312416228635598</v>
      </c>
      <c r="AI4151">
        <v>88.707658933647295</v>
      </c>
      <c r="AJ4151">
        <v>71.816933304660594</v>
      </c>
      <c r="AK4151">
        <v>68.762748509539705</v>
      </c>
    </row>
    <row r="4152" spans="1:37" x14ac:dyDescent="0.2">
      <c r="A4152" t="str">
        <f>"20200111160252042"</f>
        <v>20200111160252042</v>
      </c>
      <c r="B4152" t="str">
        <f>"1578729772036756"</f>
        <v>1578729772036756</v>
      </c>
      <c r="C4152" t="s">
        <v>37</v>
      </c>
      <c r="D4152">
        <v>5.4124140000000001</v>
      </c>
      <c r="E4152">
        <v>0.62468140000000005</v>
      </c>
      <c r="F4152" t="s">
        <v>39</v>
      </c>
      <c r="G4152">
        <v>-439.2251</v>
      </c>
      <c r="H4152">
        <v>-0.05</v>
      </c>
      <c r="I4152">
        <v>49.658180000000002</v>
      </c>
      <c r="J4152">
        <v>-423.00110000000001</v>
      </c>
      <c r="K4152">
        <v>1.1029409999999999</v>
      </c>
      <c r="L4152">
        <v>108.1422</v>
      </c>
      <c r="M4152">
        <v>3.275981E-2</v>
      </c>
      <c r="N4152">
        <v>0</v>
      </c>
      <c r="O4152">
        <v>-0.99946270000000004</v>
      </c>
      <c r="P4152">
        <v>5.7389129999999997E-2</v>
      </c>
      <c r="Q4152">
        <v>9.4867030000000008E-3</v>
      </c>
      <c r="R4152">
        <v>-0.99830699999999895</v>
      </c>
      <c r="S4152">
        <v>-0.84451290000000001</v>
      </c>
      <c r="T4152">
        <v>-6.003356E-2</v>
      </c>
      <c r="U4152">
        <v>-3.0524290000000001</v>
      </c>
      <c r="V4152">
        <v>-2.465707E-2</v>
      </c>
      <c r="W4152">
        <v>8.3071869999999902E-3</v>
      </c>
      <c r="X4152">
        <v>0.99966139999999903</v>
      </c>
      <c r="Y4152">
        <v>0.29803479999999999</v>
      </c>
      <c r="Z4152">
        <v>1.884711E-2</v>
      </c>
      <c r="AA4152">
        <v>0.95436889999999996</v>
      </c>
      <c r="AB4152">
        <v>13</v>
      </c>
      <c r="AC4152">
        <v>-16.223999999999901</v>
      </c>
      <c r="AD4152">
        <v>-1.152941</v>
      </c>
      <c r="AE4152">
        <v>-58.484020000000001</v>
      </c>
      <c r="AF4152">
        <v>18.124677738093599</v>
      </c>
      <c r="AG4152">
        <v>-1.152941</v>
      </c>
      <c r="AH4152">
        <v>57.9002393839109</v>
      </c>
      <c r="AI4152">
        <v>91.088674320115004</v>
      </c>
      <c r="AJ4152">
        <v>72.618165015481907</v>
      </c>
      <c r="AK4152">
        <v>60.681718307686502</v>
      </c>
    </row>
    <row r="4153" spans="1:37" x14ac:dyDescent="0.2">
      <c r="A4153" t="str">
        <f>"20200111160252065"</f>
        <v>20200111160252065</v>
      </c>
      <c r="B4153" t="str">
        <f>"1578729772057251"</f>
        <v>1578729772057251</v>
      </c>
      <c r="C4153" t="s">
        <v>37</v>
      </c>
      <c r="D4153">
        <v>4.5746120000000001</v>
      </c>
      <c r="E4153">
        <v>0.62292700000000001</v>
      </c>
      <c r="F4153" t="s">
        <v>38</v>
      </c>
      <c r="G4153">
        <v>-431.80399999999997</v>
      </c>
      <c r="H4153">
        <v>7.9986749999999995E-2</v>
      </c>
      <c r="I4153">
        <v>75.144210000000001</v>
      </c>
      <c r="J4153">
        <v>-422.99630000000002</v>
      </c>
      <c r="K4153">
        <v>1.102895</v>
      </c>
      <c r="L4153">
        <v>108.00149999999999</v>
      </c>
      <c r="M4153">
        <v>3.2916769999999998E-2</v>
      </c>
      <c r="N4153">
        <v>0</v>
      </c>
      <c r="O4153">
        <v>-0.99945720000000005</v>
      </c>
      <c r="P4153">
        <v>5.9143630000000003E-2</v>
      </c>
      <c r="Q4153">
        <v>9.3968929999999999E-3</v>
      </c>
      <c r="R4153">
        <v>-0.99820540000000002</v>
      </c>
      <c r="S4153">
        <v>-0.81439209999999995</v>
      </c>
      <c r="T4153">
        <v>-9.4638349999999996E-2</v>
      </c>
      <c r="U4153">
        <v>-3.0527950000000001</v>
      </c>
      <c r="V4153">
        <v>-2.6257309999999999E-2</v>
      </c>
      <c r="W4153">
        <v>7.9462330000000005E-3</v>
      </c>
      <c r="X4153">
        <v>0.999623699999999</v>
      </c>
      <c r="Y4153">
        <v>0.28930539999999999</v>
      </c>
      <c r="Z4153">
        <v>2.97776999999999E-2</v>
      </c>
      <c r="AA4153">
        <v>0.956773599999999</v>
      </c>
      <c r="AB4153">
        <v>14</v>
      </c>
      <c r="AC4153">
        <v>-8.8077000000000094</v>
      </c>
      <c r="AD4153">
        <v>-1.02290825</v>
      </c>
      <c r="AE4153">
        <v>-32.8572899999999</v>
      </c>
      <c r="AF4153">
        <v>9.8755542309200504</v>
      </c>
      <c r="AG4153">
        <v>-1.02290825</v>
      </c>
      <c r="AH4153">
        <v>32.520157847659704</v>
      </c>
      <c r="AI4153">
        <v>91.7239347997034</v>
      </c>
      <c r="AJ4153">
        <v>73.1077831395842</v>
      </c>
      <c r="AK4153">
        <v>34.001964341673897</v>
      </c>
    </row>
    <row r="4154" spans="1:37" x14ac:dyDescent="0.2">
      <c r="A4154" t="str">
        <f>"20200111160252086"</f>
        <v>20200111160252086</v>
      </c>
      <c r="B4154" t="str">
        <f>"1578729772076771"</f>
        <v>1578729772076771</v>
      </c>
      <c r="C4154" t="s">
        <v>37</v>
      </c>
      <c r="D4154">
        <v>5.6280339999999898</v>
      </c>
      <c r="E4154">
        <v>0.62100330000000004</v>
      </c>
      <c r="F4154" t="s">
        <v>38</v>
      </c>
      <c r="G4154">
        <v>-430.31369999999998</v>
      </c>
      <c r="H4154">
        <v>7.9986749999999995E-2</v>
      </c>
      <c r="I4154">
        <v>79.868769999999998</v>
      </c>
      <c r="J4154">
        <v>-422.99160000000001</v>
      </c>
      <c r="K4154">
        <v>1.102854</v>
      </c>
      <c r="L4154">
        <v>107.8644</v>
      </c>
      <c r="M4154">
        <v>3.3076179999999997E-2</v>
      </c>
      <c r="N4154">
        <v>0</v>
      </c>
      <c r="O4154">
        <v>-0.99945149999999905</v>
      </c>
      <c r="P4154">
        <v>6.1269919999999999E-2</v>
      </c>
      <c r="Q4154">
        <v>8.96254199999999E-3</v>
      </c>
      <c r="R4154">
        <v>-0.998081</v>
      </c>
      <c r="S4154">
        <v>-0.79422000000000004</v>
      </c>
      <c r="T4154">
        <v>-0.1110254</v>
      </c>
      <c r="U4154">
        <v>-3.0534970000000001</v>
      </c>
      <c r="V4154">
        <v>-2.82259999999999E-2</v>
      </c>
      <c r="W4154">
        <v>7.2767730000000003E-3</v>
      </c>
      <c r="X4154">
        <v>0.99957510000000005</v>
      </c>
      <c r="Y4154">
        <v>0.2834449</v>
      </c>
      <c r="Z4154">
        <v>3.4979870000000003E-2</v>
      </c>
      <c r="AA4154">
        <v>0.95835040000000005</v>
      </c>
      <c r="AB4154">
        <v>14</v>
      </c>
      <c r="AC4154">
        <v>-7.3220999999999696</v>
      </c>
      <c r="AD4154">
        <v>-1.02286725</v>
      </c>
      <c r="AE4154">
        <v>-27.995629999999998</v>
      </c>
      <c r="AF4154">
        <v>8.2337955237817297</v>
      </c>
      <c r="AG4154">
        <v>-1.02286725</v>
      </c>
      <c r="AH4154">
        <v>27.703509871506601</v>
      </c>
      <c r="AI4154">
        <v>92.0269576392282</v>
      </c>
      <c r="AJ4154">
        <v>73.4474571315113</v>
      </c>
      <c r="AK4154">
        <v>28.919303334265098</v>
      </c>
    </row>
    <row r="4155" spans="1:37" x14ac:dyDescent="0.2">
      <c r="A4155" t="str">
        <f>"20200111160252108"</f>
        <v>20200111160252108</v>
      </c>
      <c r="B4155" t="str">
        <f>"1578729772097268"</f>
        <v>1578729772097268</v>
      </c>
      <c r="C4155" t="s">
        <v>37</v>
      </c>
      <c r="D4155">
        <v>5.5867940000000003</v>
      </c>
      <c r="E4155">
        <v>0.61793019999999999</v>
      </c>
      <c r="F4155" t="s">
        <v>38</v>
      </c>
      <c r="G4155">
        <v>-429.00259999999997</v>
      </c>
      <c r="H4155" s="1">
        <v>-4.0018899999999999E-6</v>
      </c>
      <c r="I4155">
        <v>84.053919999999906</v>
      </c>
      <c r="J4155">
        <v>-422.98660000000001</v>
      </c>
      <c r="K4155">
        <v>1.1028039999999999</v>
      </c>
      <c r="L4155">
        <v>107.7223</v>
      </c>
      <c r="M4155">
        <v>3.3242050000000002E-2</v>
      </c>
      <c r="N4155">
        <v>0</v>
      </c>
      <c r="O4155">
        <v>-0.99944569999999999</v>
      </c>
      <c r="P4155">
        <v>6.3308030000000001E-2</v>
      </c>
      <c r="Q4155">
        <v>8.2346109999999993E-3</v>
      </c>
      <c r="R4155">
        <v>-0.99796019999999896</v>
      </c>
      <c r="S4155">
        <v>-0.77108759999999998</v>
      </c>
      <c r="T4155">
        <v>-0.1414733</v>
      </c>
      <c r="U4155">
        <v>-3.0543819999999999</v>
      </c>
      <c r="V4155">
        <v>-3.0100740000000001E-2</v>
      </c>
      <c r="W4155">
        <v>6.3317039999999996E-3</v>
      </c>
      <c r="X4155">
        <v>0.99952680000000005</v>
      </c>
      <c r="Y4155">
        <v>0.27662429999999999</v>
      </c>
      <c r="Z4155">
        <v>4.4628670000000002E-2</v>
      </c>
      <c r="AA4155">
        <v>0.9599413</v>
      </c>
      <c r="AB4155">
        <v>14</v>
      </c>
      <c r="AC4155">
        <v>-6.01599999999996</v>
      </c>
      <c r="AD4155">
        <v>-1.1028080018899999</v>
      </c>
      <c r="AE4155">
        <v>-23.668379999999999</v>
      </c>
      <c r="AF4155">
        <v>6.7856242014019799</v>
      </c>
      <c r="AG4155">
        <v>-1.1028080018899999</v>
      </c>
      <c r="AH4155">
        <v>23.407580422486301</v>
      </c>
      <c r="AI4155">
        <v>92.590883958215898</v>
      </c>
      <c r="AJ4155">
        <v>73.833653156994004</v>
      </c>
      <c r="AK4155">
        <v>24.396223120123501</v>
      </c>
    </row>
    <row r="4156" spans="1:37" x14ac:dyDescent="0.2">
      <c r="A4156" t="str">
        <f>"20200111160252132"</f>
        <v>20200111160252132</v>
      </c>
      <c r="B4156" t="str">
        <f>"1578729772126548"</f>
        <v>1578729772126548</v>
      </c>
      <c r="C4156" t="s">
        <v>37</v>
      </c>
      <c r="D4156">
        <v>5.6064509999999999</v>
      </c>
      <c r="E4156">
        <v>0.61498369999999902</v>
      </c>
      <c r="F4156" t="s">
        <v>38</v>
      </c>
      <c r="G4156">
        <v>-427.6927</v>
      </c>
      <c r="H4156" s="1">
        <v>-5.1974179999999996E-6</v>
      </c>
      <c r="I4156">
        <v>88.249809999999997</v>
      </c>
      <c r="J4156">
        <v>-422.98110000000003</v>
      </c>
      <c r="K4156">
        <v>1.1027549999999999</v>
      </c>
      <c r="L4156">
        <v>107.5656</v>
      </c>
      <c r="M4156">
        <v>3.3421289999999999E-2</v>
      </c>
      <c r="N4156">
        <v>0</v>
      </c>
      <c r="O4156">
        <v>-0.99943930000000003</v>
      </c>
      <c r="P4156">
        <v>6.5462759999999995E-2</v>
      </c>
      <c r="Q4156">
        <v>7.5480709999999999E-3</v>
      </c>
      <c r="R4156">
        <v>-0.99782660000000001</v>
      </c>
      <c r="S4156">
        <v>-0.73818969999999995</v>
      </c>
      <c r="T4156">
        <v>-0.17298259999999999</v>
      </c>
      <c r="U4156">
        <v>-3.0543819999999999</v>
      </c>
      <c r="V4156">
        <v>-3.2079259999999998E-2</v>
      </c>
      <c r="W4156">
        <v>5.4357419999999899E-3</v>
      </c>
      <c r="X4156">
        <v>0.99947050000000004</v>
      </c>
      <c r="Y4156">
        <v>0.26692090000000002</v>
      </c>
      <c r="Z4156">
        <v>5.4685570000000003E-2</v>
      </c>
      <c r="AA4156">
        <v>0.96216569999999901</v>
      </c>
      <c r="AB4156">
        <v>14</v>
      </c>
      <c r="AC4156">
        <v>-4.7115999999999696</v>
      </c>
      <c r="AD4156">
        <v>-1.1027601974179999</v>
      </c>
      <c r="AE4156">
        <v>-19.31579</v>
      </c>
      <c r="AF4156">
        <v>5.3381058976966198</v>
      </c>
      <c r="AG4156">
        <v>-1.1027601974179999</v>
      </c>
      <c r="AH4156">
        <v>19.088807208095702</v>
      </c>
      <c r="AI4156">
        <v>93.184398443934498</v>
      </c>
      <c r="AJ4156">
        <v>74.376570886741007</v>
      </c>
      <c r="AK4156">
        <v>19.851801310104801</v>
      </c>
    </row>
    <row r="4157" spans="1:37" x14ac:dyDescent="0.2">
      <c r="A4157" t="str">
        <f>"20200111160252154"</f>
        <v>20200111160252154</v>
      </c>
      <c r="B4157" t="str">
        <f>"1578729772147043"</f>
        <v>1578729772147043</v>
      </c>
      <c r="C4157" t="s">
        <v>37</v>
      </c>
      <c r="D4157">
        <v>5.5715849999999998</v>
      </c>
      <c r="E4157">
        <v>0.61403359999999996</v>
      </c>
      <c r="F4157" t="s">
        <v>38</v>
      </c>
      <c r="G4157">
        <v>-426.81270000000001</v>
      </c>
      <c r="H4157" s="1">
        <v>-2.414348E-6</v>
      </c>
      <c r="I4157">
        <v>90.991619999999998</v>
      </c>
      <c r="J4157">
        <v>-422.97570000000002</v>
      </c>
      <c r="K4157">
        <v>1.102708</v>
      </c>
      <c r="L4157">
        <v>107.4119</v>
      </c>
      <c r="M4157">
        <v>3.3591889999999999E-2</v>
      </c>
      <c r="N4157">
        <v>0</v>
      </c>
      <c r="O4157">
        <v>-0.99943329999999997</v>
      </c>
      <c r="P4157">
        <v>6.8040589999999998E-2</v>
      </c>
      <c r="Q4157">
        <v>5.6320229999999999E-3</v>
      </c>
      <c r="R4157">
        <v>-0.99766699999999997</v>
      </c>
      <c r="S4157">
        <v>-0.70611569999999901</v>
      </c>
      <c r="T4157">
        <v>-0.20322689999999999</v>
      </c>
      <c r="U4157">
        <v>-3.0544129999999998</v>
      </c>
      <c r="V4157">
        <v>-3.4489579999999999E-2</v>
      </c>
      <c r="W4157">
        <v>3.3391089999999998E-3</v>
      </c>
      <c r="X4157">
        <v>0.9993995</v>
      </c>
      <c r="Y4157">
        <v>0.25737149999999998</v>
      </c>
      <c r="Z4157">
        <v>6.4368839999999997E-2</v>
      </c>
      <c r="AA4157">
        <v>0.96416619999999997</v>
      </c>
      <c r="AB4157">
        <v>15</v>
      </c>
      <c r="AC4157">
        <v>-3.8369999999999802</v>
      </c>
      <c r="AD4157">
        <v>-1.102710414348</v>
      </c>
      <c r="AE4157">
        <v>-16.420280000000002</v>
      </c>
      <c r="AF4157">
        <v>4.3677460603706697</v>
      </c>
      <c r="AG4157">
        <v>-1.102710414348</v>
      </c>
      <c r="AH4157">
        <v>16.2127890678561</v>
      </c>
      <c r="AI4157">
        <v>93.757412885996899</v>
      </c>
      <c r="AJ4157">
        <v>74.922403190056599</v>
      </c>
      <c r="AK4157">
        <v>16.826993351891101</v>
      </c>
    </row>
    <row r="4158" spans="1:37" x14ac:dyDescent="0.2">
      <c r="A4158" t="str">
        <f>"20200111160252176"</f>
        <v>20200111160252176</v>
      </c>
      <c r="B4158" t="str">
        <f>"1578729772166563"</f>
        <v>1578729772166563</v>
      </c>
      <c r="C4158" t="s">
        <v>37</v>
      </c>
      <c r="D4158">
        <v>5.5702809999999996</v>
      </c>
      <c r="E4158">
        <v>0.6133208</v>
      </c>
      <c r="F4158" t="s">
        <v>38</v>
      </c>
      <c r="G4158">
        <v>-426.37689999999998</v>
      </c>
      <c r="H4158" s="1">
        <v>-2.8785189999999999E-6</v>
      </c>
      <c r="I4158">
        <v>92.343909999999994</v>
      </c>
      <c r="J4158">
        <v>-422.97050000000002</v>
      </c>
      <c r="K4158">
        <v>1.1026659999999999</v>
      </c>
      <c r="L4158">
        <v>107.262</v>
      </c>
      <c r="M4158">
        <v>3.3752119999999997E-2</v>
      </c>
      <c r="N4158">
        <v>0</v>
      </c>
      <c r="O4158">
        <v>-0.99942739999999997</v>
      </c>
      <c r="P4158">
        <v>7.1715180000000003E-2</v>
      </c>
      <c r="Q4158">
        <v>3.7845420000000001E-3</v>
      </c>
      <c r="R4158">
        <v>-0.99741829999999998</v>
      </c>
      <c r="S4158">
        <v>-0.68963619999999903</v>
      </c>
      <c r="T4158">
        <v>-0.2235944</v>
      </c>
      <c r="U4158">
        <v>-3.0552980000000001</v>
      </c>
      <c r="V4158">
        <v>-3.800982E-2</v>
      </c>
      <c r="W4158">
        <v>1.3359229999999999E-3</v>
      </c>
      <c r="X4158">
        <v>0.99927649999999901</v>
      </c>
      <c r="Y4158">
        <v>0.25242229999999999</v>
      </c>
      <c r="Z4158">
        <v>7.0856180000000005E-2</v>
      </c>
      <c r="AA4158">
        <v>0.96501930000000002</v>
      </c>
      <c r="AB4158">
        <v>15</v>
      </c>
      <c r="AC4158">
        <v>-3.4063999999999601</v>
      </c>
      <c r="AD4158">
        <v>-1.102668878519</v>
      </c>
      <c r="AE4158">
        <v>-14.918089999999999</v>
      </c>
      <c r="AF4158">
        <v>3.8877897298969799</v>
      </c>
      <c r="AG4158">
        <v>-1.102668878519</v>
      </c>
      <c r="AH4158">
        <v>14.718189922094901</v>
      </c>
      <c r="AI4158">
        <v>94.142947261504105</v>
      </c>
      <c r="AJ4158">
        <v>75.203361563236797</v>
      </c>
      <c r="AK4158">
        <v>15.2628929833896</v>
      </c>
    </row>
    <row r="4159" spans="1:37" x14ac:dyDescent="0.2">
      <c r="A4159" t="str">
        <f>"20200111160252198"</f>
        <v>20200111160252198</v>
      </c>
      <c r="B4159" t="str">
        <f>"1578729772187060"</f>
        <v>1578729772187060</v>
      </c>
      <c r="C4159" t="s">
        <v>37</v>
      </c>
      <c r="D4159">
        <v>5.5387740000000001</v>
      </c>
      <c r="E4159">
        <v>0.61279649999999997</v>
      </c>
      <c r="F4159" t="s">
        <v>38</v>
      </c>
      <c r="G4159">
        <v>-426.03890000000001</v>
      </c>
      <c r="H4159" s="1">
        <v>-3.202819E-6</v>
      </c>
      <c r="I4159">
        <v>93.309460000000001</v>
      </c>
      <c r="J4159">
        <v>-422.96499999999997</v>
      </c>
      <c r="K4159">
        <v>1.1026290000000001</v>
      </c>
      <c r="L4159">
        <v>107.10590000000001</v>
      </c>
      <c r="M4159">
        <v>3.3913619999999998E-2</v>
      </c>
      <c r="N4159">
        <v>0</v>
      </c>
      <c r="O4159">
        <v>-0.99942160000000002</v>
      </c>
      <c r="P4159">
        <v>7.5717409999999999E-2</v>
      </c>
      <c r="Q4159">
        <v>3.6508399999999998E-3</v>
      </c>
      <c r="R4159">
        <v>-0.99712309999999904</v>
      </c>
      <c r="S4159">
        <v>-0.67230219999999996</v>
      </c>
      <c r="T4159">
        <v>-0.24159739999999999</v>
      </c>
      <c r="U4159">
        <v>-3.0570369999999998</v>
      </c>
      <c r="V4159">
        <v>-4.185817E-2</v>
      </c>
      <c r="W4159">
        <v>1.0593569999999999E-3</v>
      </c>
      <c r="X4159">
        <v>0.99912299999999998</v>
      </c>
      <c r="Y4159">
        <v>0.24715279999999901</v>
      </c>
      <c r="Z4159">
        <v>7.6584310000000003E-2</v>
      </c>
      <c r="AA4159">
        <v>0.96594530000000001</v>
      </c>
      <c r="AB4159">
        <v>15</v>
      </c>
      <c r="AC4159">
        <v>-3.0739000000000298</v>
      </c>
      <c r="AD4159">
        <v>-1.1026322028190001</v>
      </c>
      <c r="AE4159">
        <v>-13.79644</v>
      </c>
      <c r="AF4159">
        <v>3.51860848887639</v>
      </c>
      <c r="AG4159">
        <v>-1.1026322028190001</v>
      </c>
      <c r="AH4159">
        <v>13.6014864483547</v>
      </c>
      <c r="AI4159">
        <v>94.487570242657696</v>
      </c>
      <c r="AJ4159">
        <v>75.495953295833004</v>
      </c>
      <c r="AK4159">
        <v>14.0924390038582</v>
      </c>
    </row>
    <row r="4160" spans="1:37" x14ac:dyDescent="0.2">
      <c r="A4160" t="str">
        <f>"20200111160252221"</f>
        <v>20200111160252221</v>
      </c>
      <c r="B4160" t="str">
        <f>"1578729772217315"</f>
        <v>1578729772217315</v>
      </c>
      <c r="C4160" t="s">
        <v>37</v>
      </c>
      <c r="D4160">
        <v>5.1466449999999897</v>
      </c>
      <c r="E4160">
        <v>0.61196300000000003</v>
      </c>
      <c r="F4160" t="s">
        <v>38</v>
      </c>
      <c r="G4160">
        <v>-425.86160000000001</v>
      </c>
      <c r="H4160" s="1">
        <v>-3.2755229999999998E-6</v>
      </c>
      <c r="I4160">
        <v>93.588909999999998</v>
      </c>
      <c r="J4160">
        <v>-422.95929999999998</v>
      </c>
      <c r="K4160">
        <v>1.102589</v>
      </c>
      <c r="L4160">
        <v>106.9444</v>
      </c>
      <c r="M4160">
        <v>3.4075889999999998E-2</v>
      </c>
      <c r="N4160">
        <v>0</v>
      </c>
      <c r="O4160">
        <v>-0.99941559999999896</v>
      </c>
      <c r="P4160">
        <v>8.0614439999999996E-2</v>
      </c>
      <c r="Q4160">
        <v>3.8483020000000001E-3</v>
      </c>
      <c r="R4160">
        <v>-0.99673840000000002</v>
      </c>
      <c r="S4160">
        <v>-0.65560909999999994</v>
      </c>
      <c r="T4160">
        <v>-0.24956429999999999</v>
      </c>
      <c r="U4160">
        <v>-3.0593720000000002</v>
      </c>
      <c r="V4160">
        <v>-4.6602810000000001E-2</v>
      </c>
      <c r="W4160">
        <v>1.127545E-3</v>
      </c>
      <c r="X4160">
        <v>0.99891289999999999</v>
      </c>
      <c r="Y4160">
        <v>0.24207689999999901</v>
      </c>
      <c r="Z4160">
        <v>7.9130839999999994E-2</v>
      </c>
      <c r="AA4160">
        <v>0.96702489999999997</v>
      </c>
      <c r="AB4160">
        <v>16</v>
      </c>
      <c r="AC4160">
        <v>-2.9023000000000199</v>
      </c>
      <c r="AD4160">
        <v>-1.102592275523</v>
      </c>
      <c r="AE4160">
        <v>-13.35549</v>
      </c>
      <c r="AF4160">
        <v>3.3340174044642201</v>
      </c>
      <c r="AG4160">
        <v>-1.102592275523</v>
      </c>
      <c r="AH4160">
        <v>13.163164489549199</v>
      </c>
      <c r="AI4160">
        <v>94.642196519480294</v>
      </c>
      <c r="AJ4160">
        <v>75.786809025400004</v>
      </c>
      <c r="AK4160">
        <v>13.6235194116</v>
      </c>
    </row>
    <row r="4161" spans="1:37" x14ac:dyDescent="0.2">
      <c r="A4161" t="str">
        <f>"20200111160252243"</f>
        <v>20200111160252243</v>
      </c>
      <c r="B4161" t="str">
        <f>"1578729772236835"</f>
        <v>1578729772236835</v>
      </c>
      <c r="C4161" t="s">
        <v>37</v>
      </c>
      <c r="D4161">
        <v>5.152749</v>
      </c>
      <c r="E4161">
        <v>0.55190119999999998</v>
      </c>
      <c r="F4161" t="s">
        <v>38</v>
      </c>
      <c r="G4161">
        <v>-425.70429999999999</v>
      </c>
      <c r="H4161" s="1">
        <v>-3.2740330000000002E-6</v>
      </c>
      <c r="I4161">
        <v>93.682999999999893</v>
      </c>
      <c r="J4161">
        <v>-422.95339999999999</v>
      </c>
      <c r="K4161">
        <v>1.102557</v>
      </c>
      <c r="L4161">
        <v>106.77889999999999</v>
      </c>
      <c r="M4161">
        <v>3.4238640000000001E-2</v>
      </c>
      <c r="N4161">
        <v>0</v>
      </c>
      <c r="O4161">
        <v>-0.99940969999999996</v>
      </c>
      <c r="P4161">
        <v>8.5336389999999998E-2</v>
      </c>
      <c r="Q4161">
        <v>3.4815530000000001E-3</v>
      </c>
      <c r="R4161">
        <v>-0.99634639999999997</v>
      </c>
      <c r="S4161">
        <v>-0.63381960000000004</v>
      </c>
      <c r="T4161">
        <v>-0.25458769999999997</v>
      </c>
      <c r="U4161">
        <v>-3.0620569999999998</v>
      </c>
      <c r="V4161">
        <v>-5.1172599999999999E-2</v>
      </c>
      <c r="W4161">
        <v>6.4593959999999998E-4</v>
      </c>
      <c r="X4161">
        <v>0.99868959999999996</v>
      </c>
      <c r="Y4161">
        <v>0.2354397</v>
      </c>
      <c r="Z4161">
        <v>8.0768560000000003E-2</v>
      </c>
      <c r="AA4161">
        <v>0.96852700000000003</v>
      </c>
      <c r="AB4161">
        <v>16</v>
      </c>
      <c r="AC4161">
        <v>-2.7509000000000001</v>
      </c>
      <c r="AD4161">
        <v>-1.1025602740330001</v>
      </c>
      <c r="AE4161">
        <v>-13.0959</v>
      </c>
      <c r="AF4161">
        <v>3.17611324991059</v>
      </c>
      <c r="AG4161">
        <v>-1.1025602740330001</v>
      </c>
      <c r="AH4161">
        <v>12.9064173677851</v>
      </c>
      <c r="AI4161">
        <v>94.7419679399828</v>
      </c>
      <c r="AJ4161">
        <v>76.174911223471</v>
      </c>
      <c r="AK4161">
        <v>13.337126519816699</v>
      </c>
    </row>
    <row r="4162" spans="1:37" x14ac:dyDescent="0.2">
      <c r="A4162" t="str">
        <f>"20200111160252287"</f>
        <v>20200111160252287</v>
      </c>
      <c r="B4162" t="str">
        <f>"1578729772276851"</f>
        <v>1578729772276851</v>
      </c>
      <c r="C4162" t="s">
        <v>37</v>
      </c>
      <c r="D4162">
        <v>6.1841220000000003</v>
      </c>
      <c r="E4162">
        <v>0.48835709999999999</v>
      </c>
      <c r="F4162" t="s">
        <v>38</v>
      </c>
      <c r="G4162">
        <v>-425.09620000000001</v>
      </c>
      <c r="H4162" s="1">
        <v>-3.3044169999999999E-6</v>
      </c>
      <c r="I4162">
        <v>64.131</v>
      </c>
      <c r="J4162">
        <v>-422.94199999999898</v>
      </c>
      <c r="K4162">
        <v>1.1024940000000001</v>
      </c>
      <c r="L4162">
        <v>106.45489999999999</v>
      </c>
      <c r="M4162">
        <v>3.4553239999999999E-2</v>
      </c>
      <c r="N4162">
        <v>0</v>
      </c>
      <c r="O4162">
        <v>-0.99939849999999997</v>
      </c>
      <c r="P4162">
        <v>9.2846239999999997E-2</v>
      </c>
      <c r="Q4162">
        <v>1.10183E-3</v>
      </c>
      <c r="R4162">
        <v>-0.99568029999999996</v>
      </c>
      <c r="S4162">
        <v>-0.151947</v>
      </c>
      <c r="T4162">
        <v>-7.8185439999999995E-2</v>
      </c>
      <c r="U4162">
        <v>-3.0242770000000001</v>
      </c>
      <c r="V4162">
        <v>-5.8386199999999999E-2</v>
      </c>
      <c r="W4162">
        <v>-1.913377E-3</v>
      </c>
      <c r="X4162">
        <v>0.99829219999999896</v>
      </c>
      <c r="Y4162">
        <v>8.4642369999999995E-2</v>
      </c>
      <c r="Z4162">
        <v>2.575821E-2</v>
      </c>
      <c r="AA4162">
        <v>0.99607839999999903</v>
      </c>
      <c r="AB4162">
        <v>16</v>
      </c>
      <c r="AC4162">
        <v>-2.1542000000000598</v>
      </c>
      <c r="AD4162">
        <v>-1.1024973044169999</v>
      </c>
      <c r="AE4162">
        <v>-42.323900000000002</v>
      </c>
      <c r="AF4162">
        <v>3.6129026602468501</v>
      </c>
      <c r="AG4162">
        <v>-1.1024973044169999</v>
      </c>
      <c r="AH4162">
        <v>42.195633522086098</v>
      </c>
      <c r="AI4162">
        <v>91.4912430228283</v>
      </c>
      <c r="AJ4162">
        <v>85.106118690805602</v>
      </c>
      <c r="AK4162">
        <v>42.364372464004099</v>
      </c>
    </row>
    <row r="4163" spans="1:37" x14ac:dyDescent="0.2">
      <c r="A4163" t="str">
        <f>"20200111160252335"</f>
        <v>20200111160252335</v>
      </c>
      <c r="B4163" t="str">
        <f>"1578729772326627"</f>
        <v>1578729772326627</v>
      </c>
      <c r="C4163" t="s">
        <v>37</v>
      </c>
      <c r="D4163">
        <v>5.084759</v>
      </c>
      <c r="E4163">
        <v>0.50456800000000002</v>
      </c>
      <c r="F4163" t="s">
        <v>83</v>
      </c>
      <c r="G4163">
        <v>-410.32780000000002</v>
      </c>
      <c r="H4163">
        <v>8.2055289999999896</v>
      </c>
      <c r="I4163">
        <v>1.8728049999999901</v>
      </c>
      <c r="J4163">
        <v>-422.9289</v>
      </c>
      <c r="K4163">
        <v>1.102454</v>
      </c>
      <c r="L4163">
        <v>106.0904</v>
      </c>
      <c r="M4163">
        <v>3.4909790000000003E-2</v>
      </c>
      <c r="N4163">
        <v>0</v>
      </c>
      <c r="O4163">
        <v>-0.99938559999999999</v>
      </c>
      <c r="P4163">
        <v>9.5296190000000003E-2</v>
      </c>
      <c r="Q4163">
        <v>-1.951314E-3</v>
      </c>
      <c r="R4163">
        <v>-0.99544709999999903</v>
      </c>
      <c r="S4163">
        <v>0.35934450000000001</v>
      </c>
      <c r="T4163">
        <v>0.20234559999999999</v>
      </c>
      <c r="U4163">
        <v>-2.979263</v>
      </c>
      <c r="V4163">
        <v>-6.0486560000000002E-2</v>
      </c>
      <c r="W4163">
        <v>-5.1089669999999998E-3</v>
      </c>
      <c r="X4163">
        <v>0.99815599999999904</v>
      </c>
      <c r="Y4163">
        <v>-8.4743760000000001E-2</v>
      </c>
      <c r="Z4163">
        <v>-6.7335420000000007E-2</v>
      </c>
      <c r="AA4163">
        <v>0.99412489999999998</v>
      </c>
      <c r="AB4163">
        <v>17</v>
      </c>
      <c r="AC4163">
        <v>12.601099999999899</v>
      </c>
      <c r="AD4163">
        <v>7.1030749999999898</v>
      </c>
      <c r="AE4163">
        <v>-104.217595</v>
      </c>
      <c r="AF4163">
        <v>-8.9143741095879694</v>
      </c>
      <c r="AG4163">
        <v>7.1030749999999898</v>
      </c>
      <c r="AH4163">
        <v>104.11729053928499</v>
      </c>
      <c r="AI4163">
        <v>86.111405611080201</v>
      </c>
      <c r="AJ4163">
        <v>94.893648618121702</v>
      </c>
      <c r="AK4163">
        <v>104.739342796598</v>
      </c>
    </row>
    <row r="4164" spans="1:37" x14ac:dyDescent="0.2">
      <c r="A4164" t="str">
        <f>"20200111160252354"</f>
        <v>20200111160252354</v>
      </c>
      <c r="B4164" t="str">
        <f>"1578729772347123"</f>
        <v>1578729772347123</v>
      </c>
      <c r="C4164" t="s">
        <v>37</v>
      </c>
      <c r="D4164">
        <v>5.0884429999999998</v>
      </c>
      <c r="E4164">
        <v>0.50699539999999998</v>
      </c>
      <c r="F4164" t="s">
        <v>38</v>
      </c>
      <c r="G4164">
        <v>-417.548</v>
      </c>
      <c r="H4164" s="1">
        <v>-1.5819489999999999E-6</v>
      </c>
      <c r="I4164">
        <v>42.306459999999902</v>
      </c>
      <c r="J4164">
        <v>-422.923</v>
      </c>
      <c r="K4164">
        <v>1.102438</v>
      </c>
      <c r="L4164">
        <v>105.92449999999999</v>
      </c>
      <c r="M4164">
        <v>3.5074050000000002E-2</v>
      </c>
      <c r="N4164">
        <v>0</v>
      </c>
      <c r="O4164">
        <v>-0.99937960000000003</v>
      </c>
      <c r="P4164">
        <v>9.5041529999999999E-2</v>
      </c>
      <c r="Q4164">
        <v>-2.4842939999999902E-3</v>
      </c>
      <c r="R4164">
        <v>-0.99547019999999997</v>
      </c>
      <c r="S4164">
        <v>0.25219730000000001</v>
      </c>
      <c r="T4164">
        <v>-5.167091E-2</v>
      </c>
      <c r="U4164">
        <v>-2.989487</v>
      </c>
      <c r="V4164">
        <v>-6.006657E-2</v>
      </c>
      <c r="W4164">
        <v>-5.6894759999999997E-3</v>
      </c>
      <c r="X4164">
        <v>0.99817819999999902</v>
      </c>
      <c r="Y4164">
        <v>-4.9048509999999997E-2</v>
      </c>
      <c r="Z4164">
        <v>1.7224699999999999E-2</v>
      </c>
      <c r="AA4164">
        <v>0.99864789999999903</v>
      </c>
      <c r="AB4164">
        <v>17</v>
      </c>
      <c r="AC4164">
        <v>5.375</v>
      </c>
      <c r="AD4164">
        <v>-1.102439581949</v>
      </c>
      <c r="AE4164">
        <v>-63.618040000000001</v>
      </c>
      <c r="AF4164">
        <v>-3.1394030238355799</v>
      </c>
      <c r="AG4164">
        <v>-1.102439581949</v>
      </c>
      <c r="AH4164">
        <v>63.748412746930398</v>
      </c>
      <c r="AI4164">
        <v>90.989552573464394</v>
      </c>
      <c r="AJ4164">
        <v>92.819353984511395</v>
      </c>
      <c r="AK4164">
        <v>63.835188980145702</v>
      </c>
    </row>
    <row r="4165" spans="1:37" x14ac:dyDescent="0.2">
      <c r="A4165" t="str">
        <f>"20200111160252376"</f>
        <v>20200111160252376</v>
      </c>
      <c r="B4165" t="str">
        <f>"1578729772366652"</f>
        <v>1578729772366652</v>
      </c>
      <c r="C4165" t="s">
        <v>37</v>
      </c>
      <c r="D4165">
        <v>5.056514</v>
      </c>
      <c r="E4165">
        <v>0.50897230000000004</v>
      </c>
      <c r="F4165" t="s">
        <v>38</v>
      </c>
      <c r="G4165">
        <v>-420.42430000000002</v>
      </c>
      <c r="H4165" s="1">
        <v>-2.0714490000000001E-6</v>
      </c>
      <c r="I4165">
        <v>74.154519999999906</v>
      </c>
      <c r="J4165">
        <v>-422.91669999999999</v>
      </c>
      <c r="K4165">
        <v>1.102428</v>
      </c>
      <c r="L4165">
        <v>105.7522</v>
      </c>
      <c r="M4165">
        <v>3.5245119999999998E-2</v>
      </c>
      <c r="N4165">
        <v>0</v>
      </c>
      <c r="O4165">
        <v>-0.99937339999999997</v>
      </c>
      <c r="P4165">
        <v>9.2798899999999906E-2</v>
      </c>
      <c r="Q4165">
        <v>-3.9942479999999997E-3</v>
      </c>
      <c r="R4165">
        <v>-0.99567689999999998</v>
      </c>
      <c r="S4165">
        <v>0.23522950000000001</v>
      </c>
      <c r="T4165">
        <v>-0.1037872</v>
      </c>
      <c r="U4165">
        <v>-2.9909209999999899</v>
      </c>
      <c r="V4165">
        <v>-5.7646950000000002E-2</v>
      </c>
      <c r="W4165">
        <v>-7.2390909999999996E-3</v>
      </c>
      <c r="X4165">
        <v>0.99831080000000005</v>
      </c>
      <c r="Y4165">
        <v>-4.3173299999999998E-2</v>
      </c>
      <c r="Z4165">
        <v>3.4578100000000001E-2</v>
      </c>
      <c r="AA4165">
        <v>0.998469099999999</v>
      </c>
      <c r="AB4165">
        <v>18</v>
      </c>
      <c r="AC4165">
        <v>2.4923999999999702</v>
      </c>
      <c r="AD4165">
        <v>-1.1024300714489901</v>
      </c>
      <c r="AE4165">
        <v>-31.59768</v>
      </c>
      <c r="AF4165">
        <v>-1.3755174891720301</v>
      </c>
      <c r="AG4165">
        <v>-1.1024300714489901</v>
      </c>
      <c r="AH4165">
        <v>31.627631754375201</v>
      </c>
      <c r="AI4165">
        <v>91.994441071425797</v>
      </c>
      <c r="AJ4165">
        <v>92.490281725890995</v>
      </c>
      <c r="AK4165">
        <v>31.676718435087601</v>
      </c>
    </row>
    <row r="4166" spans="1:37" x14ac:dyDescent="0.2">
      <c r="A4166" t="str">
        <f>"20200111160252398"</f>
        <v>20200111160252398</v>
      </c>
      <c r="B4166" t="str">
        <f>"1578729772387139"</f>
        <v>1578729772387139</v>
      </c>
      <c r="C4166" t="s">
        <v>37</v>
      </c>
      <c r="D4166">
        <v>5.0097740000000002</v>
      </c>
      <c r="E4166">
        <v>0.50972740000000005</v>
      </c>
      <c r="F4166" t="s">
        <v>38</v>
      </c>
      <c r="G4166">
        <v>-421.19740000000002</v>
      </c>
      <c r="H4166" s="1">
        <v>-1.2367839999999999E-6</v>
      </c>
      <c r="I4166">
        <v>81.729399999999998</v>
      </c>
      <c r="J4166">
        <v>-422.91019999999997</v>
      </c>
      <c r="K4166">
        <v>1.1024129999999901</v>
      </c>
      <c r="L4166">
        <v>105.5707</v>
      </c>
      <c r="M4166">
        <v>3.5425829999999998E-2</v>
      </c>
      <c r="N4166">
        <v>0</v>
      </c>
      <c r="O4166">
        <v>-0.99936700000000001</v>
      </c>
      <c r="P4166">
        <v>9.0275629999999996E-2</v>
      </c>
      <c r="Q4166">
        <v>-5.2683929999999997E-3</v>
      </c>
      <c r="R4166">
        <v>-0.99590299999999998</v>
      </c>
      <c r="S4166">
        <v>0.21417240000000001</v>
      </c>
      <c r="T4166">
        <v>-0.13733000000000001</v>
      </c>
      <c r="U4166">
        <v>-2.9925229999999998</v>
      </c>
      <c r="V4166">
        <v>-5.493659E-2</v>
      </c>
      <c r="W4166">
        <v>-8.5449080000000004E-3</v>
      </c>
      <c r="X4166">
        <v>0.99845329999999999</v>
      </c>
      <c r="Y4166">
        <v>-3.5931419999999999E-2</v>
      </c>
      <c r="Z4166">
        <v>4.5726540000000003E-2</v>
      </c>
      <c r="AA4166">
        <v>0.99830759999999996</v>
      </c>
      <c r="AB4166">
        <v>18</v>
      </c>
      <c r="AC4166">
        <v>1.7127999999999499</v>
      </c>
      <c r="AD4166">
        <v>-1.102414236784</v>
      </c>
      <c r="AE4166">
        <v>-23.8413</v>
      </c>
      <c r="AF4166">
        <v>-0.86528198959554803</v>
      </c>
      <c r="AG4166">
        <v>-1.102414236784</v>
      </c>
      <c r="AH4166">
        <v>23.836309609183701</v>
      </c>
      <c r="AI4166">
        <v>92.646266070030507</v>
      </c>
      <c r="AJ4166">
        <v>92.0789814863532</v>
      </c>
      <c r="AK4166">
        <v>23.877472350645601</v>
      </c>
    </row>
    <row r="4167" spans="1:37" x14ac:dyDescent="0.2">
      <c r="A4167" t="str">
        <f>"20200111160252422"</f>
        <v>20200111160252422</v>
      </c>
      <c r="B4167" t="str">
        <f>"1578729772417395"</f>
        <v>1578729772417395</v>
      </c>
      <c r="C4167" t="s">
        <v>37</v>
      </c>
      <c r="D4167">
        <v>4.9843539999999997</v>
      </c>
      <c r="E4167">
        <v>0.51132029999999995</v>
      </c>
      <c r="F4167" t="s">
        <v>38</v>
      </c>
      <c r="G4167">
        <v>-421.43669999999997</v>
      </c>
      <c r="H4167" s="1">
        <v>-2.1331629999999998E-6</v>
      </c>
      <c r="I4167">
        <v>83.670459999999906</v>
      </c>
      <c r="J4167">
        <v>-422.90320000000003</v>
      </c>
      <c r="K4167">
        <v>1.1024</v>
      </c>
      <c r="L4167">
        <v>105.3783</v>
      </c>
      <c r="M4167">
        <v>3.5617330000000003E-2</v>
      </c>
      <c r="N4167">
        <v>0</v>
      </c>
      <c r="O4167">
        <v>-0.99936009999999997</v>
      </c>
      <c r="P4167">
        <v>8.7233870000000005E-2</v>
      </c>
      <c r="Q4167">
        <v>-5.6281309999999998E-3</v>
      </c>
      <c r="R4167">
        <v>-0.9961721</v>
      </c>
      <c r="S4167">
        <v>0.2013855</v>
      </c>
      <c r="T4167">
        <v>-0.1506759</v>
      </c>
      <c r="U4167">
        <v>-2.9932859999999999</v>
      </c>
      <c r="V4167">
        <v>-5.1695810000000002E-2</v>
      </c>
      <c r="W4167">
        <v>-8.9270100000000008E-3</v>
      </c>
      <c r="X4167">
        <v>0.99862299999999904</v>
      </c>
      <c r="Y4167">
        <v>-3.1463020000000001E-2</v>
      </c>
      <c r="Z4167">
        <v>5.015754E-2</v>
      </c>
      <c r="AA4167">
        <v>0.99824559999999996</v>
      </c>
      <c r="AB4167">
        <v>18</v>
      </c>
      <c r="AC4167">
        <v>1.4665000000000501</v>
      </c>
      <c r="AD4167">
        <v>-1.1024021331630001</v>
      </c>
      <c r="AE4167">
        <v>-21.707840000000001</v>
      </c>
      <c r="AF4167">
        <v>-0.69061703211821301</v>
      </c>
      <c r="AG4167">
        <v>-1.1024021331630001</v>
      </c>
      <c r="AH4167">
        <v>21.690613980613399</v>
      </c>
      <c r="AI4167">
        <v>92.908021869349199</v>
      </c>
      <c r="AJ4167">
        <v>91.823649537476697</v>
      </c>
      <c r="AK4167">
        <v>21.729587598577101</v>
      </c>
    </row>
    <row r="4168" spans="1:37" x14ac:dyDescent="0.2">
      <c r="A4168" t="str">
        <f>"20200111160252488"</f>
        <v>20200111160252488</v>
      </c>
      <c r="B4168" t="str">
        <f>"1578729772476932"</f>
        <v>1578729772476932</v>
      </c>
      <c r="C4168" t="s">
        <v>37</v>
      </c>
      <c r="D4168">
        <v>4.9304589999999999</v>
      </c>
      <c r="E4168">
        <v>0.51185219999999998</v>
      </c>
      <c r="F4168" t="s">
        <v>38</v>
      </c>
      <c r="G4168">
        <v>-421.75060000000002</v>
      </c>
      <c r="H4168" s="1">
        <v>-3.3609010000000001E-6</v>
      </c>
      <c r="I4168">
        <v>86.337680000000006</v>
      </c>
      <c r="J4168">
        <v>-422.88199999999898</v>
      </c>
      <c r="K4168">
        <v>1.1023860000000001</v>
      </c>
      <c r="L4168">
        <v>104.8066</v>
      </c>
      <c r="M4168">
        <v>3.6181489999999997E-2</v>
      </c>
      <c r="N4168">
        <v>0</v>
      </c>
      <c r="O4168">
        <v>-0.99934009999999995</v>
      </c>
      <c r="P4168">
        <v>8.1444929999999999E-2</v>
      </c>
      <c r="Q4168">
        <v>-5.5093829999999996E-3</v>
      </c>
      <c r="R4168">
        <v>-0.99666330000000003</v>
      </c>
      <c r="S4168">
        <v>0.1812744</v>
      </c>
      <c r="T4168">
        <v>-0.17338299999999901</v>
      </c>
      <c r="U4168">
        <v>-2.994659</v>
      </c>
      <c r="V4168">
        <v>-4.5328800000000002E-2</v>
      </c>
      <c r="W4168">
        <v>-8.8041449999999993E-3</v>
      </c>
      <c r="X4168">
        <v>0.99893330000000002</v>
      </c>
      <c r="Y4168">
        <v>-2.4166179999999999E-2</v>
      </c>
      <c r="Z4168">
        <v>5.7682890000000001E-2</v>
      </c>
      <c r="AA4168">
        <v>0.9980424</v>
      </c>
      <c r="AB4168">
        <v>19</v>
      </c>
      <c r="AC4168">
        <v>1.13139999999992</v>
      </c>
      <c r="AD4168">
        <v>-1.102389360901</v>
      </c>
      <c r="AE4168">
        <v>-18.468920000000001</v>
      </c>
      <c r="AF4168">
        <v>-0.460787179976129</v>
      </c>
      <c r="AG4168">
        <v>-1.102389360901</v>
      </c>
      <c r="AH4168">
        <v>18.4323384853497</v>
      </c>
      <c r="AI4168">
        <v>93.421565495144094</v>
      </c>
      <c r="AJ4168">
        <v>91.432030071217994</v>
      </c>
      <c r="AK4168">
        <v>18.471022959402202</v>
      </c>
    </row>
    <row r="4169" spans="1:37" x14ac:dyDescent="0.2">
      <c r="A4169" t="str">
        <f>"20200111160252511"</f>
        <v>20200111160252511</v>
      </c>
      <c r="B4169" t="str">
        <f>"1578729772506822"</f>
        <v>1578729772506822</v>
      </c>
      <c r="C4169" t="s">
        <v>37</v>
      </c>
      <c r="D4169">
        <v>4.9974439999999998</v>
      </c>
      <c r="E4169">
        <v>0.51256109999999999</v>
      </c>
      <c r="F4169" t="s">
        <v>38</v>
      </c>
      <c r="G4169">
        <v>-421.90260000000001</v>
      </c>
      <c r="H4169" s="1">
        <v>-3.4861450000000001E-6</v>
      </c>
      <c r="I4169">
        <v>86.535309999999996</v>
      </c>
      <c r="J4169">
        <v>-422.87470000000002</v>
      </c>
      <c r="K4169">
        <v>1.1023849999999999</v>
      </c>
      <c r="L4169">
        <v>104.6092</v>
      </c>
      <c r="M4169">
        <v>3.6375089999999999E-2</v>
      </c>
      <c r="N4169">
        <v>0</v>
      </c>
      <c r="O4169">
        <v>-0.99933300000000003</v>
      </c>
      <c r="P4169">
        <v>8.1550230000000001E-2</v>
      </c>
      <c r="Q4169">
        <v>-5.9119119999999897E-3</v>
      </c>
      <c r="R4169">
        <v>-0.99665159999999997</v>
      </c>
      <c r="S4169">
        <v>0.16058349999999999</v>
      </c>
      <c r="T4169">
        <v>-0.180757</v>
      </c>
      <c r="U4169">
        <v>-2.995911</v>
      </c>
      <c r="V4169">
        <v>-4.5240990000000002E-2</v>
      </c>
      <c r="W4169">
        <v>-9.179095E-3</v>
      </c>
      <c r="X4169">
        <v>0.99893390000000004</v>
      </c>
      <c r="Y4169">
        <v>-1.706864E-2</v>
      </c>
      <c r="Z4169">
        <v>6.0118020000000001E-2</v>
      </c>
      <c r="AA4169">
        <v>0.99804530000000002</v>
      </c>
      <c r="AB4169">
        <v>19</v>
      </c>
      <c r="AC4169">
        <v>0.97210000000001096</v>
      </c>
      <c r="AD4169">
        <v>-1.102388486145</v>
      </c>
      <c r="AE4169">
        <v>-18.073889999999999</v>
      </c>
      <c r="AF4169">
        <v>-0.31285334873809301</v>
      </c>
      <c r="AG4169">
        <v>-1.102388486145</v>
      </c>
      <c r="AH4169">
        <v>18.030405916165702</v>
      </c>
      <c r="AI4169">
        <v>93.4982135055768</v>
      </c>
      <c r="AJ4169">
        <v>90.994064025710202</v>
      </c>
      <c r="AK4169">
        <v>18.066783750681999</v>
      </c>
    </row>
    <row r="4170" spans="1:37" x14ac:dyDescent="0.2">
      <c r="A4170" t="str">
        <f>"20200111160252534"</f>
        <v>20200111160252534</v>
      </c>
      <c r="B4170" t="str">
        <f>"1578729772527318"</f>
        <v>1578729772527318</v>
      </c>
      <c r="C4170" t="s">
        <v>37</v>
      </c>
      <c r="D4170">
        <v>4.9828809999999999</v>
      </c>
      <c r="E4170">
        <v>0.51303240000000006</v>
      </c>
      <c r="F4170" t="s">
        <v>42</v>
      </c>
      <c r="G4170">
        <v>-422.82859999999999</v>
      </c>
      <c r="H4170">
        <v>1.0457019999999999</v>
      </c>
      <c r="I4170">
        <v>103.71810000000001</v>
      </c>
      <c r="J4170">
        <v>-422.86680000000001</v>
      </c>
      <c r="K4170">
        <v>1.1023860000000001</v>
      </c>
      <c r="L4170">
        <v>104.40009999999999</v>
      </c>
      <c r="M4170">
        <v>3.6579590000000002E-2</v>
      </c>
      <c r="N4170">
        <v>0</v>
      </c>
      <c r="O4170">
        <v>-0.99932559999999904</v>
      </c>
      <c r="P4170">
        <v>8.2899669999999995E-2</v>
      </c>
      <c r="Q4170">
        <v>-6.2826139999999997E-3</v>
      </c>
      <c r="R4170">
        <v>-0.99653799999999904</v>
      </c>
      <c r="S4170">
        <v>0.15606689999999901</v>
      </c>
      <c r="T4170">
        <v>-0.19066900000000001</v>
      </c>
      <c r="U4170">
        <v>-2.9961849999999899</v>
      </c>
      <c r="V4170">
        <v>-4.6388770000000003E-2</v>
      </c>
      <c r="W4170">
        <v>-9.5081309999999995E-3</v>
      </c>
      <c r="X4170">
        <v>0.99887819999999905</v>
      </c>
      <c r="Y4170">
        <v>-1.5348229999999999E-2</v>
      </c>
      <c r="Z4170">
        <v>6.3398609999999994E-2</v>
      </c>
      <c r="AA4170">
        <v>0.99787029999999999</v>
      </c>
      <c r="AB4170">
        <v>20</v>
      </c>
      <c r="AC4170">
        <v>3.8200000000017498E-2</v>
      </c>
      <c r="AD4170">
        <v>-5.6683999999999901E-2</v>
      </c>
      <c r="AE4170">
        <v>-0.68199999999998795</v>
      </c>
      <c r="AF4170">
        <v>-1.31365619821635E-2</v>
      </c>
      <c r="AG4170">
        <v>-5.6683999999999901E-2</v>
      </c>
      <c r="AH4170">
        <v>0.67827007471864598</v>
      </c>
      <c r="AI4170">
        <v>94.776297681147497</v>
      </c>
      <c r="AJ4170">
        <v>91.109551337933993</v>
      </c>
      <c r="AK4170">
        <v>0.68076129397575802</v>
      </c>
    </row>
    <row r="4171" spans="1:37" x14ac:dyDescent="0.2">
      <c r="A4171" t="str">
        <f>"20200111160252666"</f>
        <v>20200111160252666</v>
      </c>
      <c r="B4171" t="str">
        <f>"1578729772656756"</f>
        <v>1578729772656756</v>
      </c>
      <c r="C4171" t="s">
        <v>37</v>
      </c>
      <c r="D4171">
        <v>4.9767599999999996</v>
      </c>
      <c r="E4171">
        <v>0.44768580000000002</v>
      </c>
      <c r="F4171" t="s">
        <v>38</v>
      </c>
      <c r="G4171">
        <v>-421.7183</v>
      </c>
      <c r="H4171" s="1">
        <v>-3.799202E-6</v>
      </c>
      <c r="I4171">
        <v>87.379429999999999</v>
      </c>
      <c r="J4171">
        <v>-422.81950000000001</v>
      </c>
      <c r="K4171">
        <v>1.102441</v>
      </c>
      <c r="L4171">
        <v>103.1636</v>
      </c>
      <c r="M4171">
        <v>3.7784989999999997E-2</v>
      </c>
      <c r="N4171">
        <v>0</v>
      </c>
      <c r="O4171">
        <v>-0.99928209999999995</v>
      </c>
      <c r="P4171">
        <v>9.2561950000000004E-2</v>
      </c>
      <c r="Q4171">
        <v>-2.2925340000000002E-3</v>
      </c>
      <c r="R4171">
        <v>-0.99570439999999905</v>
      </c>
      <c r="S4171">
        <v>0.20761109999999999</v>
      </c>
      <c r="T4171">
        <v>-0.20633550000000001</v>
      </c>
      <c r="U4171">
        <v>-2.993042</v>
      </c>
      <c r="V4171">
        <v>-5.4871699999999898E-2</v>
      </c>
      <c r="W4171">
        <v>-5.1286700000000001E-3</v>
      </c>
      <c r="X4171">
        <v>0.99848029999999999</v>
      </c>
      <c r="Y4171">
        <v>-3.1291190000000003E-2</v>
      </c>
      <c r="Z4171">
        <v>6.8602819999999995E-2</v>
      </c>
      <c r="AA4171">
        <v>0.99715319999999996</v>
      </c>
      <c r="AB4171">
        <v>21</v>
      </c>
      <c r="AC4171">
        <v>1.1012</v>
      </c>
      <c r="AD4171">
        <v>-1.1024447992019999</v>
      </c>
      <c r="AE4171">
        <v>-15.78417</v>
      </c>
      <c r="AF4171">
        <v>-0.50157167795578295</v>
      </c>
      <c r="AG4171">
        <v>-1.1024447992019999</v>
      </c>
      <c r="AH4171">
        <v>15.7381036935694</v>
      </c>
      <c r="AI4171">
        <v>94.004963062429297</v>
      </c>
      <c r="AJ4171">
        <v>91.825392508594007</v>
      </c>
      <c r="AK4171">
        <v>15.7846402098039</v>
      </c>
    </row>
    <row r="4172" spans="1:37" x14ac:dyDescent="0.2">
      <c r="A4172" t="str">
        <f>"20200111160252688"</f>
        <v>20200111160252688</v>
      </c>
      <c r="B4172" t="str">
        <f>"1578729772677253"</f>
        <v>1578729772677253</v>
      </c>
      <c r="C4172" t="s">
        <v>37</v>
      </c>
      <c r="D4172">
        <v>4.9092650000000004</v>
      </c>
      <c r="E4172">
        <v>0.44636399999999998</v>
      </c>
      <c r="F4172" t="s">
        <v>38</v>
      </c>
      <c r="G4172">
        <v>-416.84320000000002</v>
      </c>
      <c r="H4172" s="1">
        <v>-4.1774579999999902E-6</v>
      </c>
      <c r="I4172">
        <v>78.065250000000006</v>
      </c>
      <c r="J4172">
        <v>-422.81110000000001</v>
      </c>
      <c r="K4172">
        <v>1.102449</v>
      </c>
      <c r="L4172">
        <v>102.94889999999999</v>
      </c>
      <c r="M4172">
        <v>3.7994E-2</v>
      </c>
      <c r="N4172">
        <v>0</v>
      </c>
      <c r="O4172">
        <v>-0.99927440000000001</v>
      </c>
      <c r="P4172">
        <v>9.2878269999999999E-2</v>
      </c>
      <c r="Q4172">
        <v>-1.6242029999999901E-3</v>
      </c>
      <c r="R4172">
        <v>-0.99567649999999996</v>
      </c>
      <c r="S4172">
        <v>0.70181269999999996</v>
      </c>
      <c r="T4172">
        <v>-0.129464</v>
      </c>
      <c r="U4172">
        <v>-2.9473880000000001</v>
      </c>
      <c r="V4172">
        <v>-5.498045E-2</v>
      </c>
      <c r="W4172">
        <v>-4.3815529999999998E-3</v>
      </c>
      <c r="X4172">
        <v>0.99847779999999997</v>
      </c>
      <c r="Y4172">
        <v>-0.194297</v>
      </c>
      <c r="Z4172">
        <v>4.2819749999999997E-2</v>
      </c>
      <c r="AA4172">
        <v>0.98000769999999904</v>
      </c>
      <c r="AB4172">
        <v>21</v>
      </c>
      <c r="AC4172">
        <v>5.9678999999999798</v>
      </c>
      <c r="AD4172">
        <v>-1.102453177458</v>
      </c>
      <c r="AE4172">
        <v>-24.8836499999999</v>
      </c>
      <c r="AF4172">
        <v>-5.0088611835932602</v>
      </c>
      <c r="AG4172">
        <v>-1.102453177458</v>
      </c>
      <c r="AH4172">
        <v>25.045940238184599</v>
      </c>
      <c r="AI4172">
        <v>92.471498696937104</v>
      </c>
      <c r="AJ4172">
        <v>101.30921348842</v>
      </c>
      <c r="AK4172">
        <v>25.565664782667199</v>
      </c>
    </row>
    <row r="4173" spans="1:37" x14ac:dyDescent="0.2">
      <c r="A4173" t="str">
        <f>"20200111160252712"</f>
        <v>20200111160252712</v>
      </c>
      <c r="B4173" t="str">
        <f>"1578729772707233"</f>
        <v>1578729772707233</v>
      </c>
      <c r="C4173" t="s">
        <v>37</v>
      </c>
      <c r="D4173">
        <v>4.8721259999999997</v>
      </c>
      <c r="E4173">
        <v>0.44680180000000003</v>
      </c>
      <c r="F4173" t="s">
        <v>38</v>
      </c>
      <c r="G4173">
        <v>-416.97649999999999</v>
      </c>
      <c r="H4173" s="1">
        <v>-4.4943770000000001E-6</v>
      </c>
      <c r="I4173">
        <v>78.859089999999995</v>
      </c>
      <c r="J4173">
        <v>-422.80220000000003</v>
      </c>
      <c r="K4173">
        <v>1.10246</v>
      </c>
      <c r="L4173">
        <v>102.7199</v>
      </c>
      <c r="M4173">
        <v>3.8217309999999997E-2</v>
      </c>
      <c r="N4173">
        <v>0</v>
      </c>
      <c r="O4173">
        <v>-0.99926610000000005</v>
      </c>
      <c r="P4173">
        <v>9.2949240000000002E-2</v>
      </c>
      <c r="Q4173">
        <v>-2.1801890000000001E-4</v>
      </c>
      <c r="R4173">
        <v>-0.99567119999999998</v>
      </c>
      <c r="S4173">
        <v>0.71359249999999996</v>
      </c>
      <c r="T4173">
        <v>-0.1348336</v>
      </c>
      <c r="U4173">
        <v>-2.946259</v>
      </c>
      <c r="V4173">
        <v>-5.482886E-2</v>
      </c>
      <c r="W4173">
        <v>-2.890044E-3</v>
      </c>
      <c r="X4173">
        <v>0.99849159999999904</v>
      </c>
      <c r="Y4173">
        <v>-0.19784769999999999</v>
      </c>
      <c r="Z4173">
        <v>4.4571729999999997E-2</v>
      </c>
      <c r="AA4173">
        <v>0.9792189</v>
      </c>
      <c r="AB4173">
        <v>22</v>
      </c>
      <c r="AC4173">
        <v>5.8257000000000403</v>
      </c>
      <c r="AD4173">
        <v>-1.1024644943769999</v>
      </c>
      <c r="AE4173">
        <v>-23.860809999999901</v>
      </c>
      <c r="AF4173">
        <v>-4.8996735709310704</v>
      </c>
      <c r="AG4173">
        <v>-1.1024644943769999</v>
      </c>
      <c r="AH4173">
        <v>24.0176331856416</v>
      </c>
      <c r="AI4173">
        <v>92.57519645296</v>
      </c>
      <c r="AJ4173">
        <v>101.53030536698201</v>
      </c>
      <c r="AK4173">
        <v>24.537093000253201</v>
      </c>
    </row>
    <row r="4174" spans="1:37" x14ac:dyDescent="0.2">
      <c r="A4174" t="str">
        <f>"20200111160252736"</f>
        <v>20200111160252736</v>
      </c>
      <c r="B4174" t="str">
        <f>"1578729772726752"</f>
        <v>1578729772726752</v>
      </c>
      <c r="C4174" t="s">
        <v>37</v>
      </c>
      <c r="D4174">
        <v>4.9047369999999999</v>
      </c>
      <c r="E4174">
        <v>0.4471581</v>
      </c>
      <c r="F4174" t="s">
        <v>38</v>
      </c>
      <c r="G4174">
        <v>-416.88060000000002</v>
      </c>
      <c r="H4174" s="1">
        <v>-4.2121010000000001E-6</v>
      </c>
      <c r="I4174">
        <v>78.161450000000002</v>
      </c>
      <c r="J4174">
        <v>-422.7928</v>
      </c>
      <c r="K4174">
        <v>1.102481</v>
      </c>
      <c r="L4174">
        <v>102.4829</v>
      </c>
      <c r="M4174">
        <v>3.8447759999999997E-2</v>
      </c>
      <c r="N4174">
        <v>0</v>
      </c>
      <c r="O4174">
        <v>-0.99925750000000002</v>
      </c>
      <c r="P4174">
        <v>9.2987539999999994E-2</v>
      </c>
      <c r="Q4174" s="1">
        <v>-3.2481039999999999E-5</v>
      </c>
      <c r="R4174">
        <v>-0.99566779999999999</v>
      </c>
      <c r="S4174">
        <v>0.71051030000000004</v>
      </c>
      <c r="T4174">
        <v>-0.13228110000000001</v>
      </c>
      <c r="U4174">
        <v>-2.9466860000000001</v>
      </c>
      <c r="V4174">
        <v>-5.4636549999999999E-2</v>
      </c>
      <c r="W4174">
        <v>-2.6149849999999998E-3</v>
      </c>
      <c r="X4174">
        <v>0.99850289999999997</v>
      </c>
      <c r="Y4174">
        <v>-0.1966299</v>
      </c>
      <c r="Z4174">
        <v>4.3733590000000003E-2</v>
      </c>
      <c r="AA4174">
        <v>0.97950199999999998</v>
      </c>
      <c r="AB4174">
        <v>22</v>
      </c>
      <c r="AC4174">
        <v>5.9121999999999799</v>
      </c>
      <c r="AD4174">
        <v>-1.102485212101</v>
      </c>
      <c r="AE4174">
        <v>-24.321449999999999</v>
      </c>
      <c r="AF4174">
        <v>-4.9630912799003903</v>
      </c>
      <c r="AG4174">
        <v>-1.102485212101</v>
      </c>
      <c r="AH4174">
        <v>24.483277413794799</v>
      </c>
      <c r="AI4174">
        <v>92.5269661191588</v>
      </c>
      <c r="AJ4174">
        <v>101.45934752130201</v>
      </c>
      <c r="AK4174">
        <v>25.005571811425501</v>
      </c>
    </row>
    <row r="4175" spans="1:37" x14ac:dyDescent="0.2">
      <c r="A4175" t="str">
        <f>"20200111160252757"</f>
        <v>20200111160252757</v>
      </c>
      <c r="B4175" t="str">
        <f>"1578729772747248"</f>
        <v>1578729772747248</v>
      </c>
      <c r="C4175" t="s">
        <v>37</v>
      </c>
      <c r="D4175">
        <v>4.8945360000000004</v>
      </c>
      <c r="E4175">
        <v>0.44753999999999899</v>
      </c>
      <c r="F4175" t="s">
        <v>38</v>
      </c>
      <c r="G4175">
        <v>-416.73910000000001</v>
      </c>
      <c r="H4175" s="1">
        <v>-3.8489729999999901E-6</v>
      </c>
      <c r="I4175">
        <v>77.256479999999996</v>
      </c>
      <c r="J4175">
        <v>-422.78449999999998</v>
      </c>
      <c r="K4175">
        <v>1.1024890000000001</v>
      </c>
      <c r="L4175">
        <v>102.274</v>
      </c>
      <c r="M4175">
        <v>3.8650829999999997E-2</v>
      </c>
      <c r="N4175">
        <v>0</v>
      </c>
      <c r="O4175">
        <v>-0.99924990000000002</v>
      </c>
      <c r="P4175">
        <v>9.3594880000000005E-2</v>
      </c>
      <c r="Q4175">
        <v>-2.355608E-4</v>
      </c>
      <c r="R4175">
        <v>-0.99561060000000001</v>
      </c>
      <c r="S4175">
        <v>0.70721440000000002</v>
      </c>
      <c r="T4175">
        <v>-0.12879549999999901</v>
      </c>
      <c r="U4175">
        <v>-2.9470209999999999</v>
      </c>
      <c r="V4175">
        <v>-5.5043139999999997E-2</v>
      </c>
      <c r="W4175">
        <v>-2.7384329999999902E-3</v>
      </c>
      <c r="X4175">
        <v>0.99848019999999904</v>
      </c>
      <c r="Y4175">
        <v>-0.195381</v>
      </c>
      <c r="Z4175">
        <v>4.2589009999999997E-2</v>
      </c>
      <c r="AA4175">
        <v>0.97980230000000001</v>
      </c>
      <c r="AB4175">
        <v>22</v>
      </c>
      <c r="AC4175">
        <v>6.0453999999999697</v>
      </c>
      <c r="AD4175">
        <v>-1.1024928489729999</v>
      </c>
      <c r="AE4175">
        <v>-25.017519999999902</v>
      </c>
      <c r="AF4175">
        <v>-5.0646388383721597</v>
      </c>
      <c r="AG4175">
        <v>-1.1024928489729999</v>
      </c>
      <c r="AH4175">
        <v>25.186271959492</v>
      </c>
      <c r="AI4175">
        <v>92.457312704164096</v>
      </c>
      <c r="AJ4175">
        <v>101.369820281746</v>
      </c>
      <c r="AK4175">
        <v>25.714088594828301</v>
      </c>
    </row>
    <row r="4176" spans="1:37" x14ac:dyDescent="0.2">
      <c r="A4176" t="str">
        <f>"20200111160252778"</f>
        <v>20200111160252778</v>
      </c>
      <c r="B4176" t="str">
        <f>"1578729772766769"</f>
        <v>1578729772766769</v>
      </c>
      <c r="C4176" t="s">
        <v>37</v>
      </c>
      <c r="D4176">
        <v>5.0278939999999999</v>
      </c>
      <c r="E4176">
        <v>0.44747920000000002</v>
      </c>
      <c r="F4176" t="s">
        <v>38</v>
      </c>
      <c r="G4176">
        <v>-416.8802</v>
      </c>
      <c r="H4176" s="1">
        <v>-3.9879800000000001E-6</v>
      </c>
      <c r="I4176">
        <v>77.638850000000005</v>
      </c>
      <c r="J4176">
        <v>-422.7756</v>
      </c>
      <c r="K4176">
        <v>1.1025020000000001</v>
      </c>
      <c r="L4176">
        <v>102.0496</v>
      </c>
      <c r="M4176">
        <v>3.8868519999999997E-2</v>
      </c>
      <c r="N4176">
        <v>0</v>
      </c>
      <c r="O4176">
        <v>-0.9992415</v>
      </c>
      <c r="P4176">
        <v>9.4045770000000001E-2</v>
      </c>
      <c r="Q4176">
        <v>3.4407779999999998E-4</v>
      </c>
      <c r="R4176">
        <v>-0.99556819999999902</v>
      </c>
      <c r="S4176">
        <v>0.70626829999999996</v>
      </c>
      <c r="T4176">
        <v>-0.1318783</v>
      </c>
      <c r="U4176">
        <v>-2.9468079999999999</v>
      </c>
      <c r="V4176">
        <v>-5.5277470000000002E-2</v>
      </c>
      <c r="W4176">
        <v>-2.073217E-3</v>
      </c>
      <c r="X4176">
        <v>0.99846889999999999</v>
      </c>
      <c r="Y4176">
        <v>-0.19487579999999999</v>
      </c>
      <c r="Z4176">
        <v>4.3612770000000002E-2</v>
      </c>
      <c r="AA4176">
        <v>0.9798578</v>
      </c>
      <c r="AB4176">
        <v>23</v>
      </c>
      <c r="AC4176">
        <v>5.8953999999999898</v>
      </c>
      <c r="AD4176">
        <v>-1.1025059879800001</v>
      </c>
      <c r="AE4176">
        <v>-24.41075</v>
      </c>
      <c r="AF4176">
        <v>-4.9326252855962096</v>
      </c>
      <c r="AG4176">
        <v>-1.1025059879800001</v>
      </c>
      <c r="AH4176">
        <v>24.5740846441504</v>
      </c>
      <c r="AI4176">
        <v>92.518657289201002</v>
      </c>
      <c r="AJ4176">
        <v>101.349851064757</v>
      </c>
      <c r="AK4176">
        <v>25.088482372584899</v>
      </c>
    </row>
    <row r="4177" spans="1:37" x14ac:dyDescent="0.2">
      <c r="A4177" t="str">
        <f>"20200111160252802"</f>
        <v>20200111160252802</v>
      </c>
      <c r="B4177" t="str">
        <f>"1578729772797026"</f>
        <v>1578729772797026</v>
      </c>
      <c r="C4177" t="s">
        <v>37</v>
      </c>
      <c r="D4177">
        <v>4.9141570000000003</v>
      </c>
      <c r="E4177">
        <v>0.4485362</v>
      </c>
      <c r="F4177" t="s">
        <v>38</v>
      </c>
      <c r="G4177">
        <v>-416.86309999999997</v>
      </c>
      <c r="H4177" s="1">
        <v>-3.9015620000000003E-6</v>
      </c>
      <c r="I4177">
        <v>77.430340000000001</v>
      </c>
      <c r="J4177">
        <v>-422.76569999999998</v>
      </c>
      <c r="K4177">
        <v>1.102511</v>
      </c>
      <c r="L4177">
        <v>101.80200000000001</v>
      </c>
      <c r="M4177">
        <v>3.9108110000000001E-2</v>
      </c>
      <c r="N4177">
        <v>0</v>
      </c>
      <c r="O4177">
        <v>-0.99923220000000001</v>
      </c>
      <c r="P4177">
        <v>9.5281199999999996E-2</v>
      </c>
      <c r="Q4177">
        <v>1.7648399999999999E-3</v>
      </c>
      <c r="R4177">
        <v>-0.99544869999999996</v>
      </c>
      <c r="S4177">
        <v>0.70764159999999998</v>
      </c>
      <c r="T4177">
        <v>-0.13195370000000001</v>
      </c>
      <c r="U4177">
        <v>-2.946564</v>
      </c>
      <c r="V4177">
        <v>-5.6277859999999999E-2</v>
      </c>
      <c r="W4177">
        <v>-5.5883660000000004E-4</v>
      </c>
      <c r="X4177">
        <v>0.99841499999999905</v>
      </c>
      <c r="Y4177">
        <v>-0.1950906</v>
      </c>
      <c r="Z4177">
        <v>4.3637269999999999E-2</v>
      </c>
      <c r="AA4177">
        <v>0.97981399999999996</v>
      </c>
      <c r="AB4177">
        <v>23</v>
      </c>
      <c r="AC4177">
        <v>5.9025999999999996</v>
      </c>
      <c r="AD4177">
        <v>-1.1025149015619999</v>
      </c>
      <c r="AE4177">
        <v>-24.371659999999999</v>
      </c>
      <c r="AF4177">
        <v>-4.9354117763192198</v>
      </c>
      <c r="AG4177">
        <v>-1.1025149015619999</v>
      </c>
      <c r="AH4177">
        <v>24.5364251934799</v>
      </c>
      <c r="AI4177">
        <v>92.522333248999203</v>
      </c>
      <c r="AJ4177">
        <v>101.373072021038</v>
      </c>
      <c r="AK4177">
        <v>25.052145412823101</v>
      </c>
    </row>
    <row r="4178" spans="1:37" x14ac:dyDescent="0.2">
      <c r="A4178" t="str">
        <f>"20200111160252824"</f>
        <v>20200111160252824</v>
      </c>
      <c r="B4178" t="str">
        <f>"1578729772816545"</f>
        <v>1578729772816545</v>
      </c>
      <c r="C4178" t="s">
        <v>37</v>
      </c>
      <c r="D4178">
        <v>4.9842779999999998</v>
      </c>
      <c r="E4178">
        <v>0.44926739999999998</v>
      </c>
      <c r="F4178" t="s">
        <v>38</v>
      </c>
      <c r="G4178">
        <v>-416.90600000000001</v>
      </c>
      <c r="H4178" s="1">
        <v>-3.8108309999999998E-6</v>
      </c>
      <c r="I4178">
        <v>77.236590000000007</v>
      </c>
      <c r="J4178">
        <v>-422.75639999999999</v>
      </c>
      <c r="K4178">
        <v>1.102522</v>
      </c>
      <c r="L4178">
        <v>101.5712</v>
      </c>
      <c r="M4178">
        <v>3.93313E-2</v>
      </c>
      <c r="N4178">
        <v>0</v>
      </c>
      <c r="O4178">
        <v>-0.99922389999999905</v>
      </c>
      <c r="P4178">
        <v>9.6067440000000004E-2</v>
      </c>
      <c r="Q4178">
        <v>2.970529E-3</v>
      </c>
      <c r="R4178">
        <v>-0.99537050000000005</v>
      </c>
      <c r="S4178">
        <v>0.70288090000000003</v>
      </c>
      <c r="T4178">
        <v>-0.13224820000000001</v>
      </c>
      <c r="U4178">
        <v>-2.9466549999999998</v>
      </c>
      <c r="V4178">
        <v>-5.6843909999999997E-2</v>
      </c>
      <c r="W4178">
        <v>7.3367750000000002E-4</v>
      </c>
      <c r="X4178">
        <v>0.99838280000000001</v>
      </c>
      <c r="Y4178">
        <v>-0.19336589999999901</v>
      </c>
      <c r="Z4178">
        <v>4.3748229999999999E-2</v>
      </c>
      <c r="AA4178">
        <v>0.98015090000000005</v>
      </c>
      <c r="AB4178">
        <v>23</v>
      </c>
      <c r="AC4178">
        <v>5.8503999999999703</v>
      </c>
      <c r="AD4178">
        <v>-1.1025258108310001</v>
      </c>
      <c r="AE4178">
        <v>-24.334610000000001</v>
      </c>
      <c r="AF4178">
        <v>-4.8792904947597604</v>
      </c>
      <c r="AG4178">
        <v>-1.1025258108310001</v>
      </c>
      <c r="AH4178">
        <v>24.498344439593101</v>
      </c>
      <c r="AI4178">
        <v>92.527234570009895</v>
      </c>
      <c r="AJ4178">
        <v>101.264098039343</v>
      </c>
      <c r="AK4178">
        <v>25.0038380889164</v>
      </c>
    </row>
    <row r="4179" spans="1:37" x14ac:dyDescent="0.2">
      <c r="A4179" t="str">
        <f>"20200111160252846"</f>
        <v>20200111160252846</v>
      </c>
      <c r="B4179" t="str">
        <f>"1578729772837041"</f>
        <v>1578729772837041</v>
      </c>
      <c r="C4179" t="s">
        <v>37</v>
      </c>
      <c r="D4179">
        <v>5.1042019999999999</v>
      </c>
      <c r="E4179">
        <v>0.44970709999999903</v>
      </c>
      <c r="F4179" t="s">
        <v>38</v>
      </c>
      <c r="G4179">
        <v>-416.90879999999999</v>
      </c>
      <c r="H4179" s="1">
        <v>-3.6896120000000001E-6</v>
      </c>
      <c r="I4179">
        <v>76.955190000000002</v>
      </c>
      <c r="J4179">
        <v>-422.74720000000002</v>
      </c>
      <c r="K4179">
        <v>1.1025309999999999</v>
      </c>
      <c r="L4179">
        <v>101.34220000000001</v>
      </c>
      <c r="M4179">
        <v>3.9552749999999998E-2</v>
      </c>
      <c r="N4179">
        <v>0</v>
      </c>
      <c r="O4179">
        <v>-0.99921530000000003</v>
      </c>
      <c r="P4179">
        <v>9.7217230000000002E-2</v>
      </c>
      <c r="Q4179">
        <v>3.6257030000000001E-3</v>
      </c>
      <c r="R4179">
        <v>-0.99525669999999899</v>
      </c>
      <c r="S4179">
        <v>0.70001219999999997</v>
      </c>
      <c r="T4179">
        <v>-0.13198289999999999</v>
      </c>
      <c r="U4179">
        <v>-2.946777</v>
      </c>
      <c r="V4179">
        <v>-5.7776439999999998E-2</v>
      </c>
      <c r="W4179">
        <v>1.472775E-3</v>
      </c>
      <c r="X4179">
        <v>0.9983284</v>
      </c>
      <c r="Y4179">
        <v>-0.19223699999999999</v>
      </c>
      <c r="Z4179">
        <v>4.3668060000000002E-2</v>
      </c>
      <c r="AA4179">
        <v>0.98037649999999998</v>
      </c>
      <c r="AB4179">
        <v>23</v>
      </c>
      <c r="AC4179">
        <v>5.8384000000000302</v>
      </c>
      <c r="AD4179">
        <v>-1.1025346896120001</v>
      </c>
      <c r="AE4179">
        <v>-24.38701</v>
      </c>
      <c r="AF4179">
        <v>-4.8598611399306098</v>
      </c>
      <c r="AG4179">
        <v>-1.1025346896120001</v>
      </c>
      <c r="AH4179">
        <v>24.551390735729001</v>
      </c>
      <c r="AI4179">
        <v>92.522389346851597</v>
      </c>
      <c r="AJ4179">
        <v>101.196754677814</v>
      </c>
      <c r="AK4179">
        <v>25.0520382424194</v>
      </c>
    </row>
    <row r="4180" spans="1:37" x14ac:dyDescent="0.2">
      <c r="A4180" t="str">
        <f>"20200111160252868"</f>
        <v>20200111160252868</v>
      </c>
      <c r="B4180" t="str">
        <f>"1578729772856561"</f>
        <v>1578729772856561</v>
      </c>
      <c r="C4180" t="s">
        <v>37</v>
      </c>
      <c r="D4180">
        <v>4.9907379999999897</v>
      </c>
      <c r="E4180">
        <v>0.44992270000000001</v>
      </c>
      <c r="F4180" t="s">
        <v>38</v>
      </c>
      <c r="G4180">
        <v>-416.91520000000003</v>
      </c>
      <c r="H4180" s="1">
        <v>-3.6114229999999998E-6</v>
      </c>
      <c r="I4180">
        <v>76.775580000000005</v>
      </c>
      <c r="J4180">
        <v>-422.73770000000002</v>
      </c>
      <c r="K4180">
        <v>1.1025419999999999</v>
      </c>
      <c r="L4180">
        <v>101.10890000000001</v>
      </c>
      <c r="M4180">
        <v>3.9777819999999998E-2</v>
      </c>
      <c r="N4180">
        <v>0</v>
      </c>
      <c r="O4180">
        <v>-0.9992065</v>
      </c>
      <c r="P4180">
        <v>9.8628229999999997E-2</v>
      </c>
      <c r="Q4180">
        <v>3.79867099999999E-3</v>
      </c>
      <c r="R4180">
        <v>-0.99511719999999904</v>
      </c>
      <c r="S4180">
        <v>0.6994629</v>
      </c>
      <c r="T4180">
        <v>-0.1322345</v>
      </c>
      <c r="U4180">
        <v>-2.9464419999999998</v>
      </c>
      <c r="V4180">
        <v>-5.8966959999999999E-2</v>
      </c>
      <c r="W4180">
        <v>1.7302660000000001E-3</v>
      </c>
      <c r="X4180">
        <v>0.99825839999999999</v>
      </c>
      <c r="Y4180">
        <v>-0.19186719999999999</v>
      </c>
      <c r="Z4180">
        <v>4.3757890000000001E-2</v>
      </c>
      <c r="AA4180">
        <v>0.98044489999999995</v>
      </c>
      <c r="AB4180">
        <v>23</v>
      </c>
      <c r="AC4180">
        <v>5.82249999999999</v>
      </c>
      <c r="AD4180">
        <v>-1.1025456114229999</v>
      </c>
      <c r="AE4180">
        <v>-24.333320000000001</v>
      </c>
      <c r="AF4180">
        <v>-4.8405638179438197</v>
      </c>
      <c r="AG4180">
        <v>-1.1025456114229999</v>
      </c>
      <c r="AH4180">
        <v>24.498097067930399</v>
      </c>
      <c r="AI4180">
        <v>92.528066089132196</v>
      </c>
      <c r="AJ4180">
        <v>101.177065025586</v>
      </c>
      <c r="AK4180">
        <v>24.996068187829</v>
      </c>
    </row>
    <row r="4181" spans="1:37" x14ac:dyDescent="0.2">
      <c r="A4181" t="str">
        <f>"20200111160252891"</f>
        <v>20200111160252891</v>
      </c>
      <c r="B4181" t="str">
        <f>"1578729772886817"</f>
        <v>1578729772886817</v>
      </c>
      <c r="C4181" t="s">
        <v>37</v>
      </c>
      <c r="D4181">
        <v>5.2256919999999996</v>
      </c>
      <c r="E4181">
        <v>0.45023229999999997</v>
      </c>
      <c r="F4181" t="s">
        <v>38</v>
      </c>
      <c r="G4181">
        <v>-417.0163</v>
      </c>
      <c r="H4181" s="1">
        <v>-3.7350249999999999E-6</v>
      </c>
      <c r="I4181">
        <v>77.10548</v>
      </c>
      <c r="J4181">
        <v>-422.7278</v>
      </c>
      <c r="K4181">
        <v>1.1025479999999901</v>
      </c>
      <c r="L4181">
        <v>100.8689</v>
      </c>
      <c r="M4181">
        <v>4.0009540000000003E-2</v>
      </c>
      <c r="N4181">
        <v>0</v>
      </c>
      <c r="O4181">
        <v>-0.99919740000000001</v>
      </c>
      <c r="P4181">
        <v>9.9405170000000001E-2</v>
      </c>
      <c r="Q4181">
        <v>4.1058309999999999E-3</v>
      </c>
      <c r="R4181">
        <v>-0.99503869999999905</v>
      </c>
      <c r="S4181">
        <v>0.70211789999999996</v>
      </c>
      <c r="T4181">
        <v>-0.13530239999999999</v>
      </c>
      <c r="U4181">
        <v>-2.9456479999999998</v>
      </c>
      <c r="V4181">
        <v>-5.951526E-2</v>
      </c>
      <c r="W4181">
        <v>2.1227030000000001E-3</v>
      </c>
      <c r="X4181">
        <v>0.99822520000000003</v>
      </c>
      <c r="Y4181">
        <v>-0.1925249</v>
      </c>
      <c r="Z4181">
        <v>4.4774630000000003E-2</v>
      </c>
      <c r="AA4181">
        <v>0.98027009999999903</v>
      </c>
      <c r="AB4181">
        <v>24</v>
      </c>
      <c r="AC4181">
        <v>5.7115</v>
      </c>
      <c r="AD4181">
        <v>-1.10255173502499</v>
      </c>
      <c r="AE4181">
        <v>-23.76342</v>
      </c>
      <c r="AF4181">
        <v>-4.7465017679383203</v>
      </c>
      <c r="AG4181">
        <v>-1.10255173502499</v>
      </c>
      <c r="AH4181">
        <v>23.9242187827819</v>
      </c>
      <c r="AI4181">
        <v>92.588242573067404</v>
      </c>
      <c r="AJ4181">
        <v>101.221612346341</v>
      </c>
      <c r="AK4181">
        <v>24.415428395337699</v>
      </c>
    </row>
    <row r="4182" spans="1:37" x14ac:dyDescent="0.2">
      <c r="A4182" t="str">
        <f>"20200111160252913"</f>
        <v>20200111160252913</v>
      </c>
      <c r="B4182" t="str">
        <f>"1578729772907313"</f>
        <v>1578729772907313</v>
      </c>
      <c r="C4182" t="s">
        <v>37</v>
      </c>
      <c r="D4182">
        <v>5.1773680000000004</v>
      </c>
      <c r="E4182">
        <v>0.45014499999999902</v>
      </c>
      <c r="F4182" t="s">
        <v>38</v>
      </c>
      <c r="G4182">
        <v>-417.02420000000001</v>
      </c>
      <c r="H4182" s="1">
        <v>-3.6599709999999999E-6</v>
      </c>
      <c r="I4182">
        <v>76.933819999999997</v>
      </c>
      <c r="J4182">
        <v>-422.71749999999997</v>
      </c>
      <c r="K4182">
        <v>1.102563</v>
      </c>
      <c r="L4182">
        <v>100.6181</v>
      </c>
      <c r="M4182">
        <v>4.0251389999999998E-2</v>
      </c>
      <c r="N4182">
        <v>0</v>
      </c>
      <c r="O4182">
        <v>-0.99918790000000002</v>
      </c>
      <c r="P4182">
        <v>0.1009834</v>
      </c>
      <c r="Q4182">
        <v>4.7757009999999898E-3</v>
      </c>
      <c r="R4182">
        <v>-0.99487680000000001</v>
      </c>
      <c r="S4182">
        <v>0.70187379999999999</v>
      </c>
      <c r="T4182">
        <v>-0.13567789999999999</v>
      </c>
      <c r="U4182">
        <v>-2.9454039999999999</v>
      </c>
      <c r="V4182">
        <v>-6.0857389999999997E-2</v>
      </c>
      <c r="W4182">
        <v>2.8789639999999999E-3</v>
      </c>
      <c r="X4182">
        <v>0.99814230000000004</v>
      </c>
      <c r="Y4182">
        <v>-0.19222739999999999</v>
      </c>
      <c r="Z4182">
        <v>4.4903329999999998E-2</v>
      </c>
      <c r="AA4182">
        <v>0.98032249999999999</v>
      </c>
      <c r="AB4182">
        <v>24</v>
      </c>
      <c r="AC4182">
        <v>5.6932999999999598</v>
      </c>
      <c r="AD4182">
        <v>-1.102566659971</v>
      </c>
      <c r="AE4182">
        <v>-23.684280000000001</v>
      </c>
      <c r="AF4182">
        <v>-4.7256774429939101</v>
      </c>
      <c r="AG4182">
        <v>-1.102566659971</v>
      </c>
      <c r="AH4182">
        <v>23.8453958164278</v>
      </c>
      <c r="AI4182">
        <v>92.596929245189898</v>
      </c>
      <c r="AJ4182">
        <v>101.209622689407</v>
      </c>
      <c r="AK4182">
        <v>24.3341443691167</v>
      </c>
    </row>
    <row r="4183" spans="1:37" x14ac:dyDescent="0.2">
      <c r="A4183" t="str">
        <f>"20200111160252935"</f>
        <v>20200111160252935</v>
      </c>
      <c r="B4183" t="str">
        <f>"1578729772926832"</f>
        <v>1578729772926832</v>
      </c>
      <c r="C4183" t="s">
        <v>37</v>
      </c>
      <c r="D4183">
        <v>5.0739000000000001</v>
      </c>
      <c r="E4183">
        <v>0.45049719999999999</v>
      </c>
      <c r="F4183" t="s">
        <v>38</v>
      </c>
      <c r="G4183">
        <v>-416.9443</v>
      </c>
      <c r="H4183" s="1">
        <v>-3.5226220000000001E-6</v>
      </c>
      <c r="I4183">
        <v>76.580590000000001</v>
      </c>
      <c r="J4183">
        <v>-422.70760000000001</v>
      </c>
      <c r="K4183">
        <v>1.102582</v>
      </c>
      <c r="L4183">
        <v>100.3788</v>
      </c>
      <c r="M4183">
        <v>4.0481759999999999E-2</v>
      </c>
      <c r="N4183">
        <v>0</v>
      </c>
      <c r="O4183">
        <v>-0.99917880000000003</v>
      </c>
      <c r="P4183">
        <v>0.102351</v>
      </c>
      <c r="Q4183">
        <v>5.4688860000000001E-3</v>
      </c>
      <c r="R4183">
        <v>-0.99473330000000004</v>
      </c>
      <c r="S4183">
        <v>0.70715329999999998</v>
      </c>
      <c r="T4183">
        <v>-0.13505229999999999</v>
      </c>
      <c r="U4183">
        <v>-2.9443359999999998</v>
      </c>
      <c r="V4183">
        <v>-6.1999949999999998E-2</v>
      </c>
      <c r="W4183">
        <v>3.6538199999999999E-3</v>
      </c>
      <c r="X4183">
        <v>0.99806949999999905</v>
      </c>
      <c r="Y4183">
        <v>-0.193746</v>
      </c>
      <c r="Z4183">
        <v>4.469592E-2</v>
      </c>
      <c r="AA4183">
        <v>0.98003300000000004</v>
      </c>
      <c r="AB4183">
        <v>24</v>
      </c>
      <c r="AC4183">
        <v>5.7633000000000099</v>
      </c>
      <c r="AD4183">
        <v>-1.102585522622</v>
      </c>
      <c r="AE4183">
        <v>-23.798210000000001</v>
      </c>
      <c r="AF4183">
        <v>-4.7854777505625696</v>
      </c>
      <c r="AG4183">
        <v>-1.102585522622</v>
      </c>
      <c r="AH4183">
        <v>23.9634224193106</v>
      </c>
      <c r="AI4183">
        <v>92.583449915118393</v>
      </c>
      <c r="AJ4183">
        <v>101.293363179949</v>
      </c>
      <c r="AK4183">
        <v>24.461441212286399</v>
      </c>
    </row>
    <row r="4184" spans="1:37" x14ac:dyDescent="0.2">
      <c r="A4184" t="str">
        <f>"20200111160252958"</f>
        <v>20200111160252958</v>
      </c>
      <c r="B4184" t="str">
        <f>"1578729772947329"</f>
        <v>1578729772947329</v>
      </c>
      <c r="C4184" t="s">
        <v>37</v>
      </c>
      <c r="D4184">
        <v>5.0546989999999896</v>
      </c>
      <c r="E4184">
        <v>0.45087329999999998</v>
      </c>
      <c r="F4184" t="s">
        <v>38</v>
      </c>
      <c r="G4184">
        <v>-416.9941</v>
      </c>
      <c r="H4184" s="1">
        <v>-3.5467019999999999E-6</v>
      </c>
      <c r="I4184">
        <v>76.657340000000005</v>
      </c>
      <c r="J4184">
        <v>-422.69740000000002</v>
      </c>
      <c r="K4184">
        <v>1.1025940000000001</v>
      </c>
      <c r="L4184">
        <v>100.133</v>
      </c>
      <c r="M4184">
        <v>4.0718110000000002E-2</v>
      </c>
      <c r="N4184">
        <v>0</v>
      </c>
      <c r="O4184">
        <v>-0.99916930000000004</v>
      </c>
      <c r="P4184">
        <v>0.10358579999999901</v>
      </c>
      <c r="Q4184">
        <v>5.8376950000000004E-3</v>
      </c>
      <c r="R4184">
        <v>-0.99460349999999997</v>
      </c>
      <c r="S4184">
        <v>0.7090149</v>
      </c>
      <c r="T4184">
        <v>-0.13682469999999999</v>
      </c>
      <c r="U4184">
        <v>-2.943695</v>
      </c>
      <c r="V4184">
        <v>-6.3002559999999999E-2</v>
      </c>
      <c r="W4184">
        <v>4.106335E-3</v>
      </c>
      <c r="X4184">
        <v>0.99800489999999997</v>
      </c>
      <c r="Y4184">
        <v>-0.19414200000000001</v>
      </c>
      <c r="Z4184">
        <v>4.5285079999999998E-2</v>
      </c>
      <c r="AA4184">
        <v>0.97992760000000001</v>
      </c>
      <c r="AB4184">
        <v>25</v>
      </c>
      <c r="AC4184">
        <v>5.7033000000000103</v>
      </c>
      <c r="AD4184">
        <v>-1.1025975467019999</v>
      </c>
      <c r="AE4184">
        <v>-23.475659999999898</v>
      </c>
      <c r="AF4184">
        <v>-4.7328257059658698</v>
      </c>
      <c r="AG4184">
        <v>-1.1025975467019999</v>
      </c>
      <c r="AH4184">
        <v>23.6391780214603</v>
      </c>
      <c r="AI4184">
        <v>92.618607715540193</v>
      </c>
      <c r="AJ4184">
        <v>101.321561642983</v>
      </c>
      <c r="AK4184">
        <v>24.1335057139102</v>
      </c>
    </row>
    <row r="4185" spans="1:37" x14ac:dyDescent="0.2">
      <c r="A4185" t="str">
        <f>"20200111160252979"</f>
        <v>20200111160252979</v>
      </c>
      <c r="B4185" t="str">
        <f>"1578729772966849"</f>
        <v>1578729772966849</v>
      </c>
      <c r="C4185" t="s">
        <v>37</v>
      </c>
      <c r="D4185">
        <v>5.1540869999999996</v>
      </c>
      <c r="E4185">
        <v>0.45130559999999997</v>
      </c>
      <c r="F4185" t="s">
        <v>38</v>
      </c>
      <c r="G4185">
        <v>-417.09050000000002</v>
      </c>
      <c r="H4185" s="1">
        <v>-3.622974E-6</v>
      </c>
      <c r="I4185">
        <v>76.874960000000002</v>
      </c>
      <c r="J4185">
        <v>-422.68720000000002</v>
      </c>
      <c r="K4185">
        <v>1.1025989999999899</v>
      </c>
      <c r="L4185">
        <v>99.8887</v>
      </c>
      <c r="M4185">
        <v>4.0952589999999997E-2</v>
      </c>
      <c r="N4185">
        <v>0</v>
      </c>
      <c r="O4185">
        <v>-0.99915980000000004</v>
      </c>
      <c r="P4185">
        <v>0.1048867</v>
      </c>
      <c r="Q4185">
        <v>6.4652529999999998E-3</v>
      </c>
      <c r="R4185">
        <v>-0.99446309999999905</v>
      </c>
      <c r="S4185">
        <v>0.70953369999999905</v>
      </c>
      <c r="T4185">
        <v>-0.13952929999999999</v>
      </c>
      <c r="U4185">
        <v>-2.9432070000000001</v>
      </c>
      <c r="V4185">
        <v>-6.4074489999999998E-2</v>
      </c>
      <c r="W4185">
        <v>4.8168159999999998E-3</v>
      </c>
      <c r="X4185">
        <v>0.99793349999999903</v>
      </c>
      <c r="Y4185">
        <v>-0.19410250000000001</v>
      </c>
      <c r="Z4185">
        <v>4.6184320000000001E-2</v>
      </c>
      <c r="AA4185">
        <v>0.97989349999999997</v>
      </c>
      <c r="AB4185">
        <v>25</v>
      </c>
      <c r="AC4185">
        <v>5.5966999999999896</v>
      </c>
      <c r="AD4185">
        <v>-1.10260262297399</v>
      </c>
      <c r="AE4185">
        <v>-23.013739999999999</v>
      </c>
      <c r="AF4185">
        <v>-4.6394764669753101</v>
      </c>
      <c r="AG4185">
        <v>-1.10260262297399</v>
      </c>
      <c r="AH4185">
        <v>23.1734105026786</v>
      </c>
      <c r="AI4185">
        <v>92.671178650670299</v>
      </c>
      <c r="AJ4185">
        <v>101.321330070529</v>
      </c>
      <c r="AK4185">
        <v>23.658981989034501</v>
      </c>
    </row>
    <row r="4186" spans="1:37" x14ac:dyDescent="0.2">
      <c r="A4186" t="str">
        <f>"20200111160253002"</f>
        <v>20200111160253002</v>
      </c>
      <c r="B4186" t="str">
        <f>"1578729772997105"</f>
        <v>1578729772997105</v>
      </c>
      <c r="C4186" t="s">
        <v>37</v>
      </c>
      <c r="D4186">
        <v>5.128431</v>
      </c>
      <c r="E4186">
        <v>0.45188669999999997</v>
      </c>
      <c r="F4186" t="s">
        <v>38</v>
      </c>
      <c r="G4186">
        <v>-417.13490000000002</v>
      </c>
      <c r="H4186" s="1">
        <v>-3.6155750000000001E-6</v>
      </c>
      <c r="I4186">
        <v>76.876109999999997</v>
      </c>
      <c r="J4186">
        <v>-422.67610000000002</v>
      </c>
      <c r="K4186">
        <v>1.1026129999999901</v>
      </c>
      <c r="L4186">
        <v>99.623440000000002</v>
      </c>
      <c r="M4186">
        <v>4.1206920000000001E-2</v>
      </c>
      <c r="N4186">
        <v>0</v>
      </c>
      <c r="O4186">
        <v>-0.99914950000000002</v>
      </c>
      <c r="P4186">
        <v>0.1058726</v>
      </c>
      <c r="Q4186">
        <v>7.1798469999999996E-3</v>
      </c>
      <c r="R4186">
        <v>-0.99435379999999995</v>
      </c>
      <c r="S4186">
        <v>0.7099915</v>
      </c>
      <c r="T4186">
        <v>-0.14099439999999999</v>
      </c>
      <c r="U4186">
        <v>-2.9427189999999999</v>
      </c>
      <c r="V4186">
        <v>-6.4810820000000005E-2</v>
      </c>
      <c r="W4186">
        <v>5.6236130000000004E-3</v>
      </c>
      <c r="X4186">
        <v>0.99788169999999898</v>
      </c>
      <c r="Y4186">
        <v>-0.19402849999999999</v>
      </c>
      <c r="Z4186">
        <v>4.6674489999999999E-2</v>
      </c>
      <c r="AA4186">
        <v>0.97988489999999995</v>
      </c>
      <c r="AB4186">
        <v>25</v>
      </c>
      <c r="AC4186">
        <v>5.5411999999999999</v>
      </c>
      <c r="AD4186">
        <v>-1.1026166155749999</v>
      </c>
      <c r="AE4186">
        <v>-22.747330000000002</v>
      </c>
      <c r="AF4186">
        <v>-4.5889668880635401</v>
      </c>
      <c r="AG4186">
        <v>-1.1026166155749999</v>
      </c>
      <c r="AH4186">
        <v>22.905541716772099</v>
      </c>
      <c r="AI4186">
        <v>92.702334181971494</v>
      </c>
      <c r="AJ4186">
        <v>101.328832490614</v>
      </c>
      <c r="AK4186">
        <v>23.3867103680589</v>
      </c>
    </row>
    <row r="4187" spans="1:37" x14ac:dyDescent="0.2">
      <c r="A4187" t="str">
        <f>"20200111160253025"</f>
        <v>20200111160253025</v>
      </c>
      <c r="B4187" t="str">
        <f>"1578729773016624"</f>
        <v>1578729773016624</v>
      </c>
      <c r="C4187" t="s">
        <v>37</v>
      </c>
      <c r="D4187">
        <v>5.1144350000000003</v>
      </c>
      <c r="E4187">
        <v>0.45223350000000001</v>
      </c>
      <c r="F4187" t="s">
        <v>38</v>
      </c>
      <c r="G4187">
        <v>-417.26960000000003</v>
      </c>
      <c r="H4187" s="1">
        <v>-3.715819E-6</v>
      </c>
      <c r="I4187">
        <v>77.165459999999996</v>
      </c>
      <c r="J4187">
        <v>-422.66520000000003</v>
      </c>
      <c r="K4187">
        <v>1.102624</v>
      </c>
      <c r="L4187">
        <v>99.366460000000004</v>
      </c>
      <c r="M4187">
        <v>4.1453669999999998E-2</v>
      </c>
      <c r="N4187">
        <v>0</v>
      </c>
      <c r="O4187">
        <v>-0.99913949999999996</v>
      </c>
      <c r="P4187">
        <v>0.10636179999999899</v>
      </c>
      <c r="Q4187">
        <v>7.5364209999999997E-3</v>
      </c>
      <c r="R4187">
        <v>-0.9942993</v>
      </c>
      <c r="S4187">
        <v>0.70840449999999999</v>
      </c>
      <c r="T4187">
        <v>-0.1444753</v>
      </c>
      <c r="U4187">
        <v>-2.9426570000000001</v>
      </c>
      <c r="V4187">
        <v>-6.5054760000000003E-2</v>
      </c>
      <c r="W4187">
        <v>6.071356E-3</v>
      </c>
      <c r="X4187">
        <v>0.99786319999999995</v>
      </c>
      <c r="Y4187">
        <v>-0.19327859999999999</v>
      </c>
      <c r="Z4187">
        <v>4.7830909999999997E-2</v>
      </c>
      <c r="AA4187">
        <v>0.97997730000000005</v>
      </c>
      <c r="AB4187">
        <v>25</v>
      </c>
      <c r="AC4187">
        <v>5.3956</v>
      </c>
      <c r="AD4187">
        <v>-1.1026277158190001</v>
      </c>
      <c r="AE4187">
        <v>-22.201000000000001</v>
      </c>
      <c r="AF4187">
        <v>-4.4602598669863402</v>
      </c>
      <c r="AG4187">
        <v>-1.1026277158190001</v>
      </c>
      <c r="AH4187">
        <v>22.3535204234961</v>
      </c>
      <c r="AI4187">
        <v>92.769424409575606</v>
      </c>
      <c r="AJ4187">
        <v>101.284189526297</v>
      </c>
      <c r="AK4187">
        <v>22.820814649884799</v>
      </c>
    </row>
    <row r="4188" spans="1:37" x14ac:dyDescent="0.2">
      <c r="A4188" t="str">
        <f>"20200111160253046"</f>
        <v>20200111160253046</v>
      </c>
      <c r="B4188" t="str">
        <f>"1578729773037121"</f>
        <v>1578729773037121</v>
      </c>
      <c r="C4188" t="s">
        <v>37</v>
      </c>
      <c r="D4188">
        <v>5.147634</v>
      </c>
      <c r="E4188">
        <v>0.45241399999999998</v>
      </c>
      <c r="F4188" t="s">
        <v>38</v>
      </c>
      <c r="G4188">
        <v>-417.34199999999998</v>
      </c>
      <c r="H4188" s="1">
        <v>-3.7284769999999898E-6</v>
      </c>
      <c r="I4188">
        <v>77.224890000000002</v>
      </c>
      <c r="J4188">
        <v>-422.65480000000002</v>
      </c>
      <c r="K4188">
        <v>1.102638</v>
      </c>
      <c r="L4188">
        <v>99.123050000000006</v>
      </c>
      <c r="M4188">
        <v>4.1687050000000003E-2</v>
      </c>
      <c r="N4188">
        <v>0</v>
      </c>
      <c r="O4188">
        <v>-0.99912969999999901</v>
      </c>
      <c r="P4188">
        <v>0.10676330000000001</v>
      </c>
      <c r="Q4188">
        <v>8.0888409999999994E-3</v>
      </c>
      <c r="R4188">
        <v>-0.99425140000000001</v>
      </c>
      <c r="S4188">
        <v>0.70745849999999999</v>
      </c>
      <c r="T4188">
        <v>-0.1465398</v>
      </c>
      <c r="U4188">
        <v>-2.9426269999999999</v>
      </c>
      <c r="V4188">
        <v>-6.5225770000000002E-2</v>
      </c>
      <c r="W4188">
        <v>6.7165030000000004E-3</v>
      </c>
      <c r="X4188">
        <v>0.99784789999999901</v>
      </c>
      <c r="Y4188">
        <v>-0.19274620000000001</v>
      </c>
      <c r="Z4188">
        <v>4.8516910000000003E-2</v>
      </c>
      <c r="AA4188">
        <v>0.98004849999999999</v>
      </c>
      <c r="AB4188">
        <v>25</v>
      </c>
      <c r="AC4188">
        <v>5.3128000000000304</v>
      </c>
      <c r="AD4188">
        <v>-1.102641728477</v>
      </c>
      <c r="AE4188">
        <v>-21.898160000000001</v>
      </c>
      <c r="AF4188">
        <v>-4.3848116246689104</v>
      </c>
      <c r="AG4188">
        <v>-1.102641728477</v>
      </c>
      <c r="AH4188">
        <v>22.047806029258801</v>
      </c>
      <c r="AI4188">
        <v>92.808151785264997</v>
      </c>
      <c r="AJ4188">
        <v>101.248075971321</v>
      </c>
      <c r="AK4188">
        <v>22.506624413026302</v>
      </c>
    </row>
    <row r="4189" spans="1:37" x14ac:dyDescent="0.2">
      <c r="A4189" t="str">
        <f>"20200111160253069"</f>
        <v>20200111160253069</v>
      </c>
      <c r="B4189" t="str">
        <f>"1578729773056641"</f>
        <v>1578729773056641</v>
      </c>
      <c r="C4189" t="s">
        <v>37</v>
      </c>
      <c r="D4189">
        <v>5.1108079999999996</v>
      </c>
      <c r="E4189">
        <v>0.45271610000000001</v>
      </c>
      <c r="F4189" t="s">
        <v>38</v>
      </c>
      <c r="G4189">
        <v>-417.31189999999998</v>
      </c>
      <c r="H4189" s="1">
        <v>-3.5914040000000001E-6</v>
      </c>
      <c r="I4189">
        <v>76.892930000000007</v>
      </c>
      <c r="J4189">
        <v>-422.6438</v>
      </c>
      <c r="K4189">
        <v>1.102652</v>
      </c>
      <c r="L4189">
        <v>98.864990000000006</v>
      </c>
      <c r="M4189">
        <v>4.1934619999999999E-2</v>
      </c>
      <c r="N4189">
        <v>0</v>
      </c>
      <c r="O4189">
        <v>-0.99911970000000005</v>
      </c>
      <c r="P4189">
        <v>0.106843699999999</v>
      </c>
      <c r="Q4189">
        <v>7.864345E-3</v>
      </c>
      <c r="R4189">
        <v>-0.99424509999999899</v>
      </c>
      <c r="S4189">
        <v>0.70724489999999995</v>
      </c>
      <c r="T4189">
        <v>-0.14595639999999999</v>
      </c>
      <c r="U4189">
        <v>-2.942596</v>
      </c>
      <c r="V4189">
        <v>-6.5058820000000003E-2</v>
      </c>
      <c r="W4189">
        <v>6.603973E-3</v>
      </c>
      <c r="X4189">
        <v>0.99785959999999996</v>
      </c>
      <c r="Y4189">
        <v>-0.19244020000000001</v>
      </c>
      <c r="Z4189">
        <v>4.8325800000000002E-2</v>
      </c>
      <c r="AA4189">
        <v>0.98011800000000004</v>
      </c>
      <c r="AB4189">
        <v>26</v>
      </c>
      <c r="AC4189">
        <v>5.3319000000000099</v>
      </c>
      <c r="AD4189">
        <v>-1.1026555914039999</v>
      </c>
      <c r="AE4189">
        <v>-21.972059999999999</v>
      </c>
      <c r="AF4189">
        <v>-4.3953652117880901</v>
      </c>
      <c r="AG4189">
        <v>-1.1026555914039999</v>
      </c>
      <c r="AH4189">
        <v>22.123704304906401</v>
      </c>
      <c r="AI4189">
        <v>92.798678185762896</v>
      </c>
      <c r="AJ4189">
        <v>101.236763057177</v>
      </c>
      <c r="AK4189">
        <v>22.5830329422154</v>
      </c>
    </row>
    <row r="4190" spans="1:37" x14ac:dyDescent="0.2">
      <c r="A4190" t="str">
        <f>"20200111160253092"</f>
        <v>20200111160253092</v>
      </c>
      <c r="B4190" t="str">
        <f>"1578729773086897"</f>
        <v>1578729773086897</v>
      </c>
      <c r="C4190" t="s">
        <v>37</v>
      </c>
      <c r="D4190">
        <v>5.1182829999999999</v>
      </c>
      <c r="E4190">
        <v>0.45316000000000001</v>
      </c>
      <c r="F4190" t="s">
        <v>38</v>
      </c>
      <c r="G4190">
        <v>-417.4556</v>
      </c>
      <c r="H4190" s="1">
        <v>-3.6993669999999998E-6</v>
      </c>
      <c r="I4190">
        <v>77.203999999999994</v>
      </c>
      <c r="J4190">
        <v>-422.63240000000002</v>
      </c>
      <c r="K4190">
        <v>1.102673</v>
      </c>
      <c r="L4190">
        <v>98.597499999999997</v>
      </c>
      <c r="M4190">
        <v>4.2190310000000002E-2</v>
      </c>
      <c r="N4190">
        <v>0</v>
      </c>
      <c r="O4190">
        <v>-0.99910900000000002</v>
      </c>
      <c r="P4190">
        <v>0.1062821</v>
      </c>
      <c r="Q4190">
        <v>7.7950950000000001E-3</v>
      </c>
      <c r="R4190">
        <v>-0.99430560000000001</v>
      </c>
      <c r="S4190">
        <v>0.7048645</v>
      </c>
      <c r="T4190">
        <v>-0.1498042</v>
      </c>
      <c r="U4190">
        <v>-2.9428099999999899</v>
      </c>
      <c r="V4190">
        <v>-6.4239889999999994E-2</v>
      </c>
      <c r="W4190">
        <v>6.67549599999999E-3</v>
      </c>
      <c r="X4190">
        <v>0.99791219999999903</v>
      </c>
      <c r="Y4190">
        <v>-0.19140860000000001</v>
      </c>
      <c r="Z4190">
        <v>4.9602010000000002E-2</v>
      </c>
      <c r="AA4190">
        <v>0.98025629999999997</v>
      </c>
      <c r="AB4190">
        <v>26</v>
      </c>
      <c r="AC4190">
        <v>5.1768000000000098</v>
      </c>
      <c r="AD4190">
        <v>-1.1026766993670001</v>
      </c>
      <c r="AE4190">
        <v>-21.3935</v>
      </c>
      <c r="AF4190">
        <v>-4.2589030879468401</v>
      </c>
      <c r="AG4190">
        <v>-1.1026766993670001</v>
      </c>
      <c r="AH4190">
        <v>21.5388063083244</v>
      </c>
      <c r="AI4190">
        <v>92.875121789200804</v>
      </c>
      <c r="AJ4190">
        <v>101.18490838622</v>
      </c>
      <c r="AK4190">
        <v>21.983501281719601</v>
      </c>
    </row>
    <row r="4191" spans="1:37" x14ac:dyDescent="0.2">
      <c r="A4191" t="str">
        <f>"20200111160253115"</f>
        <v>20200111160253115</v>
      </c>
      <c r="B4191" t="str">
        <f>"1578729773107393"</f>
        <v>1578729773107393</v>
      </c>
      <c r="C4191" t="s">
        <v>37</v>
      </c>
      <c r="D4191">
        <v>5.123335</v>
      </c>
      <c r="E4191">
        <v>0.45344370000000001</v>
      </c>
      <c r="F4191" t="s">
        <v>38</v>
      </c>
      <c r="G4191">
        <v>-417.59089999999998</v>
      </c>
      <c r="H4191" s="1">
        <v>-3.7538189999999998E-6</v>
      </c>
      <c r="I4191">
        <v>77.38691</v>
      </c>
      <c r="J4191">
        <v>-422.62079999999997</v>
      </c>
      <c r="K4191">
        <v>1.102692</v>
      </c>
      <c r="L4191">
        <v>98.328890000000001</v>
      </c>
      <c r="M4191">
        <v>4.2446449999999997E-2</v>
      </c>
      <c r="N4191">
        <v>0</v>
      </c>
      <c r="O4191">
        <v>-0.99909820000000005</v>
      </c>
      <c r="P4191">
        <v>0.105943699999999</v>
      </c>
      <c r="Q4191">
        <v>7.4214729999999996E-3</v>
      </c>
      <c r="R4191">
        <v>-0.99434439999999902</v>
      </c>
      <c r="S4191">
        <v>0.69964599999999999</v>
      </c>
      <c r="T4191">
        <v>-0.15302939999999901</v>
      </c>
      <c r="U4191">
        <v>-2.9436040000000001</v>
      </c>
      <c r="V4191">
        <v>-6.3644199999999998E-2</v>
      </c>
      <c r="W4191">
        <v>6.4747519999999899E-3</v>
      </c>
      <c r="X4191">
        <v>0.99795159999999905</v>
      </c>
      <c r="Y4191">
        <v>-0.1894401</v>
      </c>
      <c r="Z4191">
        <v>5.0673099999999999E-2</v>
      </c>
      <c r="AA4191">
        <v>0.98058380000000001</v>
      </c>
      <c r="AB4191">
        <v>26</v>
      </c>
      <c r="AC4191">
        <v>5.0298999999999898</v>
      </c>
      <c r="AD4191">
        <v>-1.1026957538190001</v>
      </c>
      <c r="AE4191">
        <v>-20.941980000000001</v>
      </c>
      <c r="AF4191">
        <v>-4.1256389936794902</v>
      </c>
      <c r="AG4191">
        <v>-1.1026957538190001</v>
      </c>
      <c r="AH4191">
        <v>21.081346639028499</v>
      </c>
      <c r="AI4191">
        <v>92.938581686885996</v>
      </c>
      <c r="AJ4191">
        <v>101.072892687902</v>
      </c>
      <c r="AK4191">
        <v>21.509533029485699</v>
      </c>
    </row>
    <row r="4192" spans="1:37" x14ac:dyDescent="0.2">
      <c r="A4192" t="str">
        <f>"20200111160253136"</f>
        <v>20200111160253136</v>
      </c>
      <c r="B4192" t="str">
        <f>"1578729773126914"</f>
        <v>1578729773126914</v>
      </c>
      <c r="C4192" t="s">
        <v>37</v>
      </c>
      <c r="D4192">
        <v>5.1675719999999998</v>
      </c>
      <c r="E4192">
        <v>0.45364929999999898</v>
      </c>
      <c r="F4192" t="s">
        <v>38</v>
      </c>
      <c r="G4192">
        <v>-417.70979999999997</v>
      </c>
      <c r="H4192" s="1">
        <v>-3.8100579999999999E-6</v>
      </c>
      <c r="I4192">
        <v>77.567149999999998</v>
      </c>
      <c r="J4192">
        <v>-422.60930000000002</v>
      </c>
      <c r="K4192">
        <v>1.102724</v>
      </c>
      <c r="L4192">
        <v>98.065309999999997</v>
      </c>
      <c r="M4192">
        <v>4.2697819999999997E-2</v>
      </c>
      <c r="N4192">
        <v>0</v>
      </c>
      <c r="O4192">
        <v>-0.99908779999999997</v>
      </c>
      <c r="P4192">
        <v>0.1056836</v>
      </c>
      <c r="Q4192">
        <v>6.8894569999999999E-3</v>
      </c>
      <c r="R4192">
        <v>-0.99437600000000004</v>
      </c>
      <c r="S4192">
        <v>0.69638059999999902</v>
      </c>
      <c r="T4192">
        <v>-0.15636320000000001</v>
      </c>
      <c r="U4192">
        <v>-2.9440309999999998</v>
      </c>
      <c r="V4192">
        <v>-6.313183E-2</v>
      </c>
      <c r="W4192">
        <v>6.1424030000000003E-3</v>
      </c>
      <c r="X4192">
        <v>0.99798629999999999</v>
      </c>
      <c r="Y4192">
        <v>-0.18811810000000001</v>
      </c>
      <c r="Z4192">
        <v>5.177909E-2</v>
      </c>
      <c r="AA4192">
        <v>0.98078050000000006</v>
      </c>
      <c r="AB4192">
        <v>26</v>
      </c>
      <c r="AC4192">
        <v>4.8995000000000397</v>
      </c>
      <c r="AD4192">
        <v>-1.102727810058</v>
      </c>
      <c r="AE4192">
        <v>-20.498159999999999</v>
      </c>
      <c r="AF4192">
        <v>-4.0088300876052196</v>
      </c>
      <c r="AG4192">
        <v>-1.102727810058</v>
      </c>
      <c r="AH4192">
        <v>20.632180650800599</v>
      </c>
      <c r="AI4192">
        <v>93.003315326398607</v>
      </c>
      <c r="AJ4192">
        <v>100.99555909391199</v>
      </c>
      <c r="AK4192">
        <v>21.046938155029402</v>
      </c>
    </row>
    <row r="4193" spans="1:37" x14ac:dyDescent="0.2">
      <c r="A4193" t="str">
        <f>"20200111160253158"</f>
        <v>20200111160253158</v>
      </c>
      <c r="B4193" t="str">
        <f>"1578729773147409"</f>
        <v>1578729773147409</v>
      </c>
      <c r="C4193" t="s">
        <v>37</v>
      </c>
      <c r="D4193">
        <v>5.2376670000000001</v>
      </c>
      <c r="E4193">
        <v>0.45375909999999903</v>
      </c>
      <c r="F4193" t="s">
        <v>38</v>
      </c>
      <c r="G4193">
        <v>-417.78829999999999</v>
      </c>
      <c r="H4193" s="1">
        <v>-3.8232629999999999E-6</v>
      </c>
      <c r="I4193">
        <v>77.630369999999999</v>
      </c>
      <c r="J4193">
        <v>-422.59809999999999</v>
      </c>
      <c r="K4193">
        <v>1.1027610000000001</v>
      </c>
      <c r="L4193">
        <v>97.809539999999998</v>
      </c>
      <c r="M4193">
        <v>4.2941340000000001E-2</v>
      </c>
      <c r="N4193">
        <v>0</v>
      </c>
      <c r="O4193">
        <v>-0.99907749999999995</v>
      </c>
      <c r="P4193">
        <v>0.1051516</v>
      </c>
      <c r="Q4193">
        <v>6.2857399999999997E-3</v>
      </c>
      <c r="R4193">
        <v>-0.9944366</v>
      </c>
      <c r="S4193">
        <v>0.69461059999999997</v>
      </c>
      <c r="T4193">
        <v>-0.15887989999999999</v>
      </c>
      <c r="U4193">
        <v>-2.9442439999999999</v>
      </c>
      <c r="V4193">
        <v>-6.2354359999999998E-2</v>
      </c>
      <c r="W4193">
        <v>5.7657089999999999E-3</v>
      </c>
      <c r="X4193">
        <v>0.99803739999999996</v>
      </c>
      <c r="Y4193">
        <v>-0.1872943</v>
      </c>
      <c r="Z4193">
        <v>5.261337E-2</v>
      </c>
      <c r="AA4193">
        <v>0.98089380000000004</v>
      </c>
      <c r="AB4193">
        <v>27</v>
      </c>
      <c r="AC4193">
        <v>4.8097999999999903</v>
      </c>
      <c r="AD4193">
        <v>-1.1027648232629901</v>
      </c>
      <c r="AE4193">
        <v>-20.179169999999999</v>
      </c>
      <c r="AF4193">
        <v>-3.9277432152437601</v>
      </c>
      <c r="AG4193">
        <v>-1.1027648232629901</v>
      </c>
      <c r="AH4193">
        <v>20.309702156701899</v>
      </c>
      <c r="AI4193">
        <v>93.051531245567006</v>
      </c>
      <c r="AJ4193">
        <v>100.945450891874</v>
      </c>
      <c r="AK4193">
        <v>20.7153870037289</v>
      </c>
    </row>
    <row r="4194" spans="1:37" x14ac:dyDescent="0.2">
      <c r="A4194" t="str">
        <f>"20200111160253181"</f>
        <v>20200111160253181</v>
      </c>
      <c r="B4194" t="str">
        <f>"1578729773176689"</f>
        <v>1578729773176689</v>
      </c>
      <c r="C4194" t="s">
        <v>37</v>
      </c>
      <c r="D4194">
        <v>5.2141449999999896</v>
      </c>
      <c r="E4194">
        <v>0.45395469999999999</v>
      </c>
      <c r="F4194" t="s">
        <v>38</v>
      </c>
      <c r="G4194">
        <v>-417.88150000000002</v>
      </c>
      <c r="H4194" s="1">
        <v>-3.8566919999999996E-6</v>
      </c>
      <c r="I4194">
        <v>77.746859999999998</v>
      </c>
      <c r="J4194">
        <v>-422.58609999999999</v>
      </c>
      <c r="K4194">
        <v>1.1028069999999901</v>
      </c>
      <c r="L4194">
        <v>97.535129999999995</v>
      </c>
      <c r="M4194">
        <v>4.320276E-2</v>
      </c>
      <c r="N4194">
        <v>0</v>
      </c>
      <c r="O4194">
        <v>-0.99906629999999996</v>
      </c>
      <c r="P4194">
        <v>0.1048067</v>
      </c>
      <c r="Q4194">
        <v>5.5096869999999897E-3</v>
      </c>
      <c r="R4194">
        <v>-0.99447750000000001</v>
      </c>
      <c r="S4194">
        <v>0.69226069999999995</v>
      </c>
      <c r="T4194">
        <v>-0.16185339999999901</v>
      </c>
      <c r="U4194">
        <v>-2.9446110000000001</v>
      </c>
      <c r="V4194">
        <v>-6.1746790000000003E-2</v>
      </c>
      <c r="W4194">
        <v>5.2736190000000002E-3</v>
      </c>
      <c r="X4194">
        <v>0.99807789999999996</v>
      </c>
      <c r="Y4194">
        <v>-0.18625629999999899</v>
      </c>
      <c r="Z4194">
        <v>5.3597980000000003E-2</v>
      </c>
      <c r="AA4194">
        <v>0.98103819999999997</v>
      </c>
      <c r="AB4194">
        <v>27</v>
      </c>
      <c r="AC4194">
        <v>4.7045999999999699</v>
      </c>
      <c r="AD4194">
        <v>-1.1028108566920001</v>
      </c>
      <c r="AE4194">
        <v>-19.788270000000001</v>
      </c>
      <c r="AF4194">
        <v>-3.8340285283280302</v>
      </c>
      <c r="AG4194">
        <v>-1.1028108566920001</v>
      </c>
      <c r="AH4194">
        <v>19.914502664111101</v>
      </c>
      <c r="AI4194">
        <v>93.112601666315797</v>
      </c>
      <c r="AJ4194">
        <v>100.897502560519</v>
      </c>
      <c r="AK4194">
        <v>20.310179292673801</v>
      </c>
    </row>
    <row r="4195" spans="1:37" x14ac:dyDescent="0.2">
      <c r="A4195" t="str">
        <f>"20200111160253204"</f>
        <v>20200111160253204</v>
      </c>
      <c r="B4195" t="str">
        <f>"1578729773197184"</f>
        <v>1578729773197184</v>
      </c>
      <c r="C4195" t="s">
        <v>37</v>
      </c>
      <c r="D4195">
        <v>5.261514</v>
      </c>
      <c r="E4195">
        <v>0.45411030000000002</v>
      </c>
      <c r="F4195" t="s">
        <v>38</v>
      </c>
      <c r="G4195">
        <v>-418.02280000000002</v>
      </c>
      <c r="H4195" s="1">
        <v>-3.9622809999999999E-6</v>
      </c>
      <c r="I4195">
        <v>78.051379999999995</v>
      </c>
      <c r="J4195">
        <v>-422.57389999999998</v>
      </c>
      <c r="K4195">
        <v>1.102868</v>
      </c>
      <c r="L4195">
        <v>97.258539999999996</v>
      </c>
      <c r="M4195">
        <v>4.3467440000000003E-2</v>
      </c>
      <c r="N4195">
        <v>0</v>
      </c>
      <c r="O4195">
        <v>-0.99905480000000002</v>
      </c>
      <c r="P4195">
        <v>0.103894499999999</v>
      </c>
      <c r="Q4195">
        <v>5.2427109999999997E-3</v>
      </c>
      <c r="R4195">
        <v>-0.99457450000000003</v>
      </c>
      <c r="S4195">
        <v>0.6897278</v>
      </c>
      <c r="T4195">
        <v>-0.16668529999999901</v>
      </c>
      <c r="U4195">
        <v>-2.94488499999999</v>
      </c>
      <c r="V4195">
        <v>-6.0566920000000003E-2</v>
      </c>
      <c r="W4195">
        <v>5.3327469999999997E-3</v>
      </c>
      <c r="X4195">
        <v>0.99814990000000003</v>
      </c>
      <c r="Y4195">
        <v>-0.18515589999999901</v>
      </c>
      <c r="Z4195">
        <v>5.5198379999999998E-2</v>
      </c>
      <c r="AA4195">
        <v>0.98115769999999902</v>
      </c>
      <c r="AB4195">
        <v>27</v>
      </c>
      <c r="AC4195">
        <v>4.55109999999996</v>
      </c>
      <c r="AD4195">
        <v>-1.1028719622809999</v>
      </c>
      <c r="AE4195">
        <v>-19.207159999999899</v>
      </c>
      <c r="AF4195">
        <v>-3.7003607226239299</v>
      </c>
      <c r="AG4195">
        <v>-1.1028719622809999</v>
      </c>
      <c r="AH4195">
        <v>19.3264980765905</v>
      </c>
      <c r="AI4195">
        <v>93.207912015517095</v>
      </c>
      <c r="AJ4195">
        <v>100.838995512316</v>
      </c>
      <c r="AK4195">
        <v>19.708437887036599</v>
      </c>
    </row>
    <row r="4196" spans="1:37" x14ac:dyDescent="0.2">
      <c r="A4196" t="str">
        <f>"20200111160253225"</f>
        <v>20200111160253225</v>
      </c>
      <c r="B4196" t="str">
        <f>"1578729773216704"</f>
        <v>1578729773216704</v>
      </c>
      <c r="C4196" t="s">
        <v>37</v>
      </c>
      <c r="D4196">
        <v>6.8920719999999998</v>
      </c>
      <c r="E4196">
        <v>0.45484780000000002</v>
      </c>
      <c r="F4196" t="s">
        <v>38</v>
      </c>
      <c r="G4196">
        <v>-418.08859999999999</v>
      </c>
      <c r="H4196" s="1">
        <v>-3.9287470000000004E-6</v>
      </c>
      <c r="I4196">
        <v>78.000429999999994</v>
      </c>
      <c r="J4196">
        <v>-422.56199999999899</v>
      </c>
      <c r="K4196">
        <v>1.10292099999999</v>
      </c>
      <c r="L4196">
        <v>96.993069999999904</v>
      </c>
      <c r="M4196">
        <v>4.3722480000000001E-2</v>
      </c>
      <c r="N4196">
        <v>0</v>
      </c>
      <c r="O4196">
        <v>-0.99904359999999903</v>
      </c>
      <c r="P4196">
        <v>0.10303089999999999</v>
      </c>
      <c r="Q4196">
        <v>4.6438340000000003E-3</v>
      </c>
      <c r="R4196">
        <v>-0.99466730000000003</v>
      </c>
      <c r="S4196">
        <v>0.68603519999999996</v>
      </c>
      <c r="T4196">
        <v>-0.16868759999999999</v>
      </c>
      <c r="U4196">
        <v>-2.94558699999999</v>
      </c>
      <c r="V4196">
        <v>-5.9445619999999998E-2</v>
      </c>
      <c r="W4196">
        <v>5.0762120000000001E-3</v>
      </c>
      <c r="X4196">
        <v>0.99821870000000001</v>
      </c>
      <c r="Y4196">
        <v>-0.18367820000000001</v>
      </c>
      <c r="Z4196">
        <v>5.586116E-2</v>
      </c>
      <c r="AA4196">
        <v>0.98139789999999905</v>
      </c>
      <c r="AB4196">
        <v>27</v>
      </c>
      <c r="AC4196">
        <v>4.4733999999999696</v>
      </c>
      <c r="AD4196">
        <v>-1.10292492874699</v>
      </c>
      <c r="AE4196">
        <v>-18.992639999999898</v>
      </c>
      <c r="AF4196">
        <v>-3.62712800816767</v>
      </c>
      <c r="AG4196">
        <v>-1.10292492874699</v>
      </c>
      <c r="AH4196">
        <v>19.1090122072452</v>
      </c>
      <c r="AI4196">
        <v>93.2454849788041</v>
      </c>
      <c r="AJ4196">
        <v>100.74759411257899</v>
      </c>
      <c r="AK4196">
        <v>19.481448830175101</v>
      </c>
    </row>
    <row r="4197" spans="1:37" x14ac:dyDescent="0.2">
      <c r="A4197" t="str">
        <f>"20200111160253247"</f>
        <v>20200111160253247</v>
      </c>
      <c r="B4197" t="str">
        <f>"1578729773237202"</f>
        <v>1578729773237202</v>
      </c>
      <c r="C4197" t="s">
        <v>37</v>
      </c>
      <c r="D4197">
        <v>5.1860390000000001</v>
      </c>
      <c r="E4197">
        <v>0.45484780000000002</v>
      </c>
      <c r="F4197" t="s">
        <v>38</v>
      </c>
      <c r="G4197">
        <v>-417.95929999999998</v>
      </c>
      <c r="H4197" s="1">
        <v>-3.5035419999999999E-6</v>
      </c>
      <c r="I4197">
        <v>76.955830000000006</v>
      </c>
      <c r="J4197">
        <v>-422.55009999999999</v>
      </c>
      <c r="K4197">
        <v>1.10297</v>
      </c>
      <c r="L4197">
        <v>96.727360000000004</v>
      </c>
      <c r="M4197">
        <v>4.3978780000000002E-2</v>
      </c>
      <c r="N4197">
        <v>0</v>
      </c>
      <c r="O4197">
        <v>-0.99903220000000004</v>
      </c>
      <c r="P4197">
        <v>0.10269389999999901</v>
      </c>
      <c r="Q4197">
        <v>3.8529279999999998E-3</v>
      </c>
      <c r="R4197">
        <v>-0.99470590000000003</v>
      </c>
      <c r="S4197">
        <v>0.67687989999999998</v>
      </c>
      <c r="T4197">
        <v>-0.16219819999999999</v>
      </c>
      <c r="U4197">
        <v>-2.9467159999999999</v>
      </c>
      <c r="V4197">
        <v>-5.885075E-2</v>
      </c>
      <c r="W4197">
        <v>4.645634E-3</v>
      </c>
      <c r="X4197">
        <v>0.99825599999999903</v>
      </c>
      <c r="Y4197">
        <v>-0.18047369999999999</v>
      </c>
      <c r="Z4197">
        <v>5.3732290000000002E-2</v>
      </c>
      <c r="AA4197">
        <v>0.98211099999999996</v>
      </c>
      <c r="AB4197">
        <v>27</v>
      </c>
      <c r="AC4197">
        <v>4.5907999999999998</v>
      </c>
      <c r="AD4197">
        <v>-1.1029735035420001</v>
      </c>
      <c r="AE4197">
        <v>-19.771529999999998</v>
      </c>
      <c r="AF4197">
        <v>-3.7058872283915298</v>
      </c>
      <c r="AG4197">
        <v>-1.1029735035420001</v>
      </c>
      <c r="AH4197">
        <v>19.895549165929999</v>
      </c>
      <c r="AI4197">
        <v>93.119579538001204</v>
      </c>
      <c r="AJ4197">
        <v>100.55140192641301</v>
      </c>
      <c r="AK4197">
        <v>20.267782989587399</v>
      </c>
    </row>
    <row r="4198" spans="1:37" x14ac:dyDescent="0.2">
      <c r="A4198" t="str">
        <f>"20200111160253270"</f>
        <v>20200111160253270</v>
      </c>
      <c r="B4198" t="str">
        <f>"1578729773267457"</f>
        <v>1578729773267457</v>
      </c>
      <c r="C4198" t="s">
        <v>37</v>
      </c>
      <c r="D4198">
        <v>5.1799569999999999</v>
      </c>
      <c r="E4198">
        <v>0.58403249999999995</v>
      </c>
      <c r="F4198" t="s">
        <v>38</v>
      </c>
      <c r="G4198">
        <v>-418.02069999999998</v>
      </c>
      <c r="H4198" s="1">
        <v>-3.5017970000000002E-6</v>
      </c>
      <c r="I4198">
        <v>76.977149999999995</v>
      </c>
      <c r="J4198">
        <v>-422.53739999999999</v>
      </c>
      <c r="K4198">
        <v>1.1030229999999901</v>
      </c>
      <c r="L4198">
        <v>96.444000000000003</v>
      </c>
      <c r="M4198">
        <v>4.4253140000000003E-2</v>
      </c>
      <c r="N4198">
        <v>0</v>
      </c>
      <c r="O4198">
        <v>-0.99901960000000001</v>
      </c>
      <c r="P4198">
        <v>0.10299560000000001</v>
      </c>
      <c r="Q4198">
        <v>3.3667829999999999E-3</v>
      </c>
      <c r="R4198">
        <v>-0.99467609999999995</v>
      </c>
      <c r="S4198">
        <v>0.67581179999999996</v>
      </c>
      <c r="T4198">
        <v>-0.16456960000000001</v>
      </c>
      <c r="U4198">
        <v>-2.9468380000000001</v>
      </c>
      <c r="V4198">
        <v>-5.8879319999999999E-2</v>
      </c>
      <c r="W4198">
        <v>4.5497899999999997E-3</v>
      </c>
      <c r="X4198">
        <v>0.99825469999999905</v>
      </c>
      <c r="Y4198">
        <v>-0.17984700000000001</v>
      </c>
      <c r="Z4198">
        <v>5.4517679999999999E-2</v>
      </c>
      <c r="AA4198">
        <v>0.98218269999999996</v>
      </c>
      <c r="AB4198">
        <v>27</v>
      </c>
      <c r="AC4198">
        <v>4.5167000000000099</v>
      </c>
      <c r="AD4198">
        <v>-1.10302650179699</v>
      </c>
      <c r="AE4198">
        <v>-19.466850000000001</v>
      </c>
      <c r="AF4198">
        <v>-3.6397167375624102</v>
      </c>
      <c r="AG4198">
        <v>-1.10302650179699</v>
      </c>
      <c r="AH4198">
        <v>19.587981771466598</v>
      </c>
      <c r="AI4198">
        <v>93.168873391057403</v>
      </c>
      <c r="AJ4198">
        <v>100.526294200783</v>
      </c>
      <c r="AK4198">
        <v>19.953777468756801</v>
      </c>
    </row>
    <row r="4199" spans="1:37" x14ac:dyDescent="0.2">
      <c r="A4199" t="str">
        <f>"20200111160253336"</f>
        <v>20200111160253336</v>
      </c>
      <c r="B4199" t="str">
        <f>"1578729773326993"</f>
        <v>1578729773326993</v>
      </c>
      <c r="C4199" t="s">
        <v>37</v>
      </c>
      <c r="D4199">
        <v>5.1054639999999996</v>
      </c>
      <c r="E4199">
        <v>0.58118329999999996</v>
      </c>
      <c r="F4199" t="s">
        <v>42</v>
      </c>
      <c r="G4199">
        <v>-422.64620000000002</v>
      </c>
      <c r="H4199">
        <v>1.031512</v>
      </c>
      <c r="I4199">
        <v>95.487519999999904</v>
      </c>
      <c r="J4199">
        <v>-422.49970000000002</v>
      </c>
      <c r="K4199">
        <v>1.103151</v>
      </c>
      <c r="L4199">
        <v>95.616209999999995</v>
      </c>
      <c r="M4199">
        <v>4.5057800000000002E-2</v>
      </c>
      <c r="N4199">
        <v>0</v>
      </c>
      <c r="O4199">
        <v>-0.99898169999999897</v>
      </c>
      <c r="P4199">
        <v>0.1033645</v>
      </c>
      <c r="Q4199">
        <v>5.8401609999999995E-4</v>
      </c>
      <c r="R4199">
        <v>-0.99464330000000001</v>
      </c>
      <c r="S4199">
        <v>-0.3461304</v>
      </c>
      <c r="T4199">
        <v>-0.22831279999999901</v>
      </c>
      <c r="U4199">
        <v>-3.052673</v>
      </c>
      <c r="V4199">
        <v>-5.844415E-2</v>
      </c>
      <c r="W4199">
        <v>2.8603669999999999E-3</v>
      </c>
      <c r="X4199">
        <v>0.99828660000000002</v>
      </c>
      <c r="Y4199">
        <v>0.1570126</v>
      </c>
      <c r="Z4199">
        <v>7.3771359999999994E-2</v>
      </c>
      <c r="AA4199">
        <v>0.98483750000000003</v>
      </c>
      <c r="AB4199">
        <v>28</v>
      </c>
      <c r="AC4199">
        <v>-0.14650000000000299</v>
      </c>
      <c r="AD4199">
        <v>-7.1638999999999994E-2</v>
      </c>
      <c r="AE4199">
        <v>-0.12869000000000499</v>
      </c>
      <c r="AF4199">
        <v>0.13405574370202</v>
      </c>
      <c r="AG4199">
        <v>-7.1638999999999994E-2</v>
      </c>
      <c r="AH4199">
        <v>0.107454769075017</v>
      </c>
      <c r="AI4199">
        <v>112.634913048439</v>
      </c>
      <c r="AJ4199">
        <v>38.7145401427221</v>
      </c>
      <c r="AK4199">
        <v>0.18614407360286001</v>
      </c>
    </row>
    <row r="4200" spans="1:37" x14ac:dyDescent="0.2">
      <c r="A4200" t="str">
        <f>"20200111160253360"</f>
        <v>20200111160253360</v>
      </c>
      <c r="B4200" t="str">
        <f>"1578729773347489"</f>
        <v>1578729773347489</v>
      </c>
      <c r="C4200" t="s">
        <v>37</v>
      </c>
      <c r="D4200">
        <v>5.1210319999999996</v>
      </c>
      <c r="E4200">
        <v>0.58250869999999999</v>
      </c>
      <c r="F4200" t="s">
        <v>42</v>
      </c>
      <c r="G4200">
        <v>-422.59230000000002</v>
      </c>
      <c r="H4200">
        <v>1.0344789999999999</v>
      </c>
      <c r="I4200">
        <v>94.739599999999996</v>
      </c>
      <c r="J4200">
        <v>-422.48680000000002</v>
      </c>
      <c r="K4200">
        <v>1.103183</v>
      </c>
      <c r="L4200">
        <v>95.335909999999998</v>
      </c>
      <c r="M4200">
        <v>4.533094E-2</v>
      </c>
      <c r="N4200">
        <v>0</v>
      </c>
      <c r="O4200">
        <v>-0.99896849999999904</v>
      </c>
      <c r="P4200">
        <v>0.1036287</v>
      </c>
      <c r="Q4200">
        <v>-4.2546910000000002E-4</v>
      </c>
      <c r="R4200">
        <v>-0.99461619999999995</v>
      </c>
      <c r="S4200">
        <v>-0.32196039999999998</v>
      </c>
      <c r="T4200">
        <v>-0.23894699999999999</v>
      </c>
      <c r="U4200">
        <v>-3.049744</v>
      </c>
      <c r="V4200">
        <v>-5.8436149999999999E-2</v>
      </c>
      <c r="W4200">
        <v>2.1913670000000001E-3</v>
      </c>
      <c r="X4200">
        <v>0.99828879999999998</v>
      </c>
      <c r="Y4200">
        <v>0.14964340000000001</v>
      </c>
      <c r="Z4200">
        <v>7.7336450000000001E-2</v>
      </c>
      <c r="AA4200">
        <v>0.98571089999999995</v>
      </c>
      <c r="AB4200">
        <v>28</v>
      </c>
      <c r="AC4200">
        <v>-0.10550000000000601</v>
      </c>
      <c r="AD4200">
        <v>-6.8703999999999807E-2</v>
      </c>
      <c r="AE4200">
        <v>-0.59631000000000201</v>
      </c>
      <c r="AF4200">
        <v>0.130740094619893</v>
      </c>
      <c r="AG4200">
        <v>-6.8703999999999807E-2</v>
      </c>
      <c r="AH4200">
        <v>0.58340518319032497</v>
      </c>
      <c r="AI4200">
        <v>96.555312994984206</v>
      </c>
      <c r="AJ4200">
        <v>77.368801572381798</v>
      </c>
      <c r="AK4200">
        <v>0.60180962083582101</v>
      </c>
    </row>
    <row r="4201" spans="1:37" x14ac:dyDescent="0.2">
      <c r="A4201" t="str">
        <f>"20200111160253382"</f>
        <v>20200111160253382</v>
      </c>
      <c r="B4201" t="str">
        <f>"1578729773376769"</f>
        <v>1578729773376769</v>
      </c>
      <c r="C4201" t="s">
        <v>37</v>
      </c>
      <c r="D4201">
        <v>5.2622099999999996</v>
      </c>
      <c r="E4201">
        <v>0.58376919999999899</v>
      </c>
      <c r="F4201" t="s">
        <v>42</v>
      </c>
      <c r="G4201">
        <v>-422.57990000000001</v>
      </c>
      <c r="H4201">
        <v>1.0395939999999999</v>
      </c>
      <c r="I4201">
        <v>94.485959999999906</v>
      </c>
      <c r="J4201">
        <v>-422.47320000000002</v>
      </c>
      <c r="K4201">
        <v>1.1032120000000001</v>
      </c>
      <c r="L4201">
        <v>95.042079999999999</v>
      </c>
      <c r="M4201">
        <v>4.56173E-2</v>
      </c>
      <c r="N4201">
        <v>0</v>
      </c>
      <c r="O4201">
        <v>-0.99895449999999997</v>
      </c>
      <c r="P4201">
        <v>0.10371369999999901</v>
      </c>
      <c r="Q4201">
        <v>-1.2228039999999901E-3</v>
      </c>
      <c r="R4201">
        <v>-0.9946064</v>
      </c>
      <c r="S4201">
        <v>-0.3329163</v>
      </c>
      <c r="T4201">
        <v>-0.2283683</v>
      </c>
      <c r="U4201">
        <v>-3.0508120000000001</v>
      </c>
      <c r="V4201">
        <v>-5.823532E-2</v>
      </c>
      <c r="W4201">
        <v>1.735035E-3</v>
      </c>
      <c r="X4201">
        <v>0.99830140000000001</v>
      </c>
      <c r="Y4201">
        <v>0.15341779999999999</v>
      </c>
      <c r="Z4201">
        <v>7.3869409999999996E-2</v>
      </c>
      <c r="AA4201">
        <v>0.98539650000000001</v>
      </c>
      <c r="AB4201">
        <v>28</v>
      </c>
      <c r="AC4201">
        <v>-0.106699999999989</v>
      </c>
      <c r="AD4201">
        <v>-6.3617999999999897E-2</v>
      </c>
      <c r="AE4201">
        <v>-0.55612000000000705</v>
      </c>
      <c r="AF4201">
        <v>0.130312939855557</v>
      </c>
      <c r="AG4201">
        <v>-6.3617999999999897E-2</v>
      </c>
      <c r="AH4201">
        <v>0.54380979630584303</v>
      </c>
      <c r="AI4201">
        <v>96.490350972332195</v>
      </c>
      <c r="AJ4201">
        <v>76.524333346777794</v>
      </c>
      <c r="AK4201">
        <v>0.56281240815746103</v>
      </c>
    </row>
    <row r="4202" spans="1:37" x14ac:dyDescent="0.2">
      <c r="A4202" t="str">
        <f>"20200111160253405"</f>
        <v>20200111160253405</v>
      </c>
      <c r="B4202" t="str">
        <f>"1578729773397264"</f>
        <v>1578729773397264</v>
      </c>
      <c r="C4202" t="s">
        <v>37</v>
      </c>
      <c r="D4202">
        <v>5.1476739999999896</v>
      </c>
      <c r="E4202">
        <v>0.58402189999999998</v>
      </c>
      <c r="F4202" t="s">
        <v>42</v>
      </c>
      <c r="G4202">
        <v>-422.56450000000001</v>
      </c>
      <c r="H4202">
        <v>1.0440430000000001</v>
      </c>
      <c r="I4202">
        <v>94.230710000000002</v>
      </c>
      <c r="J4202">
        <v>-422.46030000000002</v>
      </c>
      <c r="K4202">
        <v>1.1032389999999901</v>
      </c>
      <c r="L4202">
        <v>94.765500000000003</v>
      </c>
      <c r="M4202">
        <v>4.5886780000000002E-2</v>
      </c>
      <c r="N4202">
        <v>0</v>
      </c>
      <c r="O4202">
        <v>-0.99894110000000003</v>
      </c>
      <c r="P4202">
        <v>0.103670899999999</v>
      </c>
      <c r="Q4202">
        <v>-1.8089E-3</v>
      </c>
      <c r="R4202">
        <v>-0.99460999999999999</v>
      </c>
      <c r="S4202">
        <v>-0.342804</v>
      </c>
      <c r="T4202">
        <v>-0.22259970000000001</v>
      </c>
      <c r="U4202">
        <v>-3.0517270000000001</v>
      </c>
      <c r="V4202">
        <v>-5.7922590000000003E-2</v>
      </c>
      <c r="W4202">
        <v>1.453701E-3</v>
      </c>
      <c r="X4202">
        <v>0.99831999999999999</v>
      </c>
      <c r="Y4202">
        <v>0.1568213</v>
      </c>
      <c r="Z4202">
        <v>7.1958560000000005E-2</v>
      </c>
      <c r="AA4202">
        <v>0.98500200000000004</v>
      </c>
      <c r="AB4202">
        <v>28</v>
      </c>
      <c r="AC4202">
        <v>-0.10419999999999099</v>
      </c>
      <c r="AD4202">
        <v>-5.9195999999999797E-2</v>
      </c>
      <c r="AE4202">
        <v>-0.53479000000000099</v>
      </c>
      <c r="AF4202">
        <v>0.12712950629935099</v>
      </c>
      <c r="AG4202">
        <v>-5.9195999999999797E-2</v>
      </c>
      <c r="AH4202">
        <v>0.52326848436256601</v>
      </c>
      <c r="AI4202">
        <v>96.273310451887298</v>
      </c>
      <c r="AJ4202">
        <v>76.344409316003805</v>
      </c>
      <c r="AK4202">
        <v>0.541734237901772</v>
      </c>
    </row>
    <row r="4203" spans="1:37" x14ac:dyDescent="0.2">
      <c r="A4203" t="str">
        <f>"20200111160253426"</f>
        <v>20200111160253426</v>
      </c>
      <c r="B4203" t="str">
        <f>"1578729773416784"</f>
        <v>1578729773416784</v>
      </c>
      <c r="C4203" t="s">
        <v>37</v>
      </c>
      <c r="D4203">
        <v>5.1873969999999998</v>
      </c>
      <c r="E4203">
        <v>0.58417419999999998</v>
      </c>
      <c r="F4203" t="s">
        <v>42</v>
      </c>
      <c r="G4203">
        <v>-422.54969999999997</v>
      </c>
      <c r="H4203">
        <v>1.0455110000000001</v>
      </c>
      <c r="I4203">
        <v>93.976749999999996</v>
      </c>
      <c r="J4203">
        <v>-422.44729999999998</v>
      </c>
      <c r="K4203">
        <v>1.1032660000000001</v>
      </c>
      <c r="L4203">
        <v>94.488680000000002</v>
      </c>
      <c r="M4203">
        <v>4.6156370000000002E-2</v>
      </c>
      <c r="N4203">
        <v>0</v>
      </c>
      <c r="O4203">
        <v>-0.99892780000000003</v>
      </c>
      <c r="P4203">
        <v>0.1037624</v>
      </c>
      <c r="Q4203">
        <v>-2.156781E-3</v>
      </c>
      <c r="R4203">
        <v>-0.99459989999999998</v>
      </c>
      <c r="S4203">
        <v>-0.34463499999999903</v>
      </c>
      <c r="T4203">
        <v>-0.22342609999999999</v>
      </c>
      <c r="U4203">
        <v>-3.051758</v>
      </c>
      <c r="V4203">
        <v>-5.7745039999999997E-2</v>
      </c>
      <c r="W4203">
        <v>1.3955269999999999E-3</v>
      </c>
      <c r="X4203">
        <v>0.99833039999999995</v>
      </c>
      <c r="Y4203">
        <v>0.15766820000000001</v>
      </c>
      <c r="Z4203">
        <v>7.2214920000000002E-2</v>
      </c>
      <c r="AA4203">
        <v>0.9848481</v>
      </c>
      <c r="AB4203">
        <v>28</v>
      </c>
      <c r="AC4203">
        <v>-0.102399999999988</v>
      </c>
      <c r="AD4203">
        <v>-5.7755000000000001E-2</v>
      </c>
      <c r="AE4203">
        <v>-0.51193000000000599</v>
      </c>
      <c r="AF4203">
        <v>0.12439743593733101</v>
      </c>
      <c r="AG4203">
        <v>-5.7755000000000001E-2</v>
      </c>
      <c r="AH4203">
        <v>0.500532298594215</v>
      </c>
      <c r="AI4203">
        <v>96.389397796083301</v>
      </c>
      <c r="AJ4203">
        <v>76.043038805612596</v>
      </c>
      <c r="AK4203">
        <v>0.518982604745853</v>
      </c>
    </row>
    <row r="4204" spans="1:37" x14ac:dyDescent="0.2">
      <c r="A4204" t="str">
        <f>"20200111160253448"</f>
        <v>20200111160253448</v>
      </c>
      <c r="B4204" t="str">
        <f>"1578729773437281"</f>
        <v>1578729773437281</v>
      </c>
      <c r="C4204" t="s">
        <v>37</v>
      </c>
      <c r="D4204">
        <v>5.1955109999999998</v>
      </c>
      <c r="E4204">
        <v>0.58433500000000005</v>
      </c>
      <c r="F4204" t="s">
        <v>42</v>
      </c>
      <c r="G4204">
        <v>-422.53469999999999</v>
      </c>
      <c r="H4204">
        <v>1.047051</v>
      </c>
      <c r="I4204">
        <v>93.721850000000003</v>
      </c>
      <c r="J4204">
        <v>-422.43380000000002</v>
      </c>
      <c r="K4204">
        <v>1.103289</v>
      </c>
      <c r="L4204">
        <v>94.202759999999998</v>
      </c>
      <c r="M4204">
        <v>4.6434629999999998E-2</v>
      </c>
      <c r="N4204">
        <v>0</v>
      </c>
      <c r="O4204">
        <v>-0.99891390000000002</v>
      </c>
      <c r="P4204">
        <v>0.1040364</v>
      </c>
      <c r="Q4204">
        <v>-2.3222029999999901E-3</v>
      </c>
      <c r="R4204">
        <v>-0.99457079999999998</v>
      </c>
      <c r="S4204">
        <v>-0.346466099999999</v>
      </c>
      <c r="T4204">
        <v>-0.2238426</v>
      </c>
      <c r="U4204">
        <v>-3.0519409999999998</v>
      </c>
      <c r="V4204">
        <v>-5.7742170000000002E-2</v>
      </c>
      <c r="W4204">
        <v>1.5142599999999999E-3</v>
      </c>
      <c r="X4204">
        <v>0.99833039999999995</v>
      </c>
      <c r="Y4204">
        <v>0.15851899999999999</v>
      </c>
      <c r="Z4204">
        <v>7.2335720000000006E-2</v>
      </c>
      <c r="AA4204">
        <v>0.98470259999999998</v>
      </c>
      <c r="AB4204">
        <v>28</v>
      </c>
      <c r="AC4204">
        <v>-0.100899999999967</v>
      </c>
      <c r="AD4204">
        <v>-5.6238000000000003E-2</v>
      </c>
      <c r="AE4204">
        <v>-0.48090999999999401</v>
      </c>
      <c r="AF4204">
        <v>0.121530333617429</v>
      </c>
      <c r="AG4204">
        <v>-5.6238000000000003E-2</v>
      </c>
      <c r="AH4204">
        <v>0.46955546647392399</v>
      </c>
      <c r="AI4204">
        <v>96.613797788180406</v>
      </c>
      <c r="AJ4204">
        <v>75.4891314211891</v>
      </c>
      <c r="AK4204">
        <v>0.48827724780979598</v>
      </c>
    </row>
    <row r="4205" spans="1:37" x14ac:dyDescent="0.2">
      <c r="A4205" t="str">
        <f>"20200111160253472"</f>
        <v>20200111160253472</v>
      </c>
      <c r="B4205" t="str">
        <f>"1578729773466560"</f>
        <v>1578729773466560</v>
      </c>
      <c r="C4205" t="s">
        <v>37</v>
      </c>
      <c r="D4205">
        <v>5.1352729999999998</v>
      </c>
      <c r="E4205">
        <v>0.58462789999999998</v>
      </c>
      <c r="F4205" t="s">
        <v>42</v>
      </c>
      <c r="G4205">
        <v>-422.51760000000002</v>
      </c>
      <c r="H4205">
        <v>1.049474</v>
      </c>
      <c r="I4205">
        <v>93.46566</v>
      </c>
      <c r="J4205">
        <v>-422.41980000000001</v>
      </c>
      <c r="K4205">
        <v>1.1033109999999999</v>
      </c>
      <c r="L4205">
        <v>93.908450000000002</v>
      </c>
      <c r="M4205">
        <v>4.6720900000000003E-2</v>
      </c>
      <c r="N4205">
        <v>0</v>
      </c>
      <c r="O4205">
        <v>-0.998899599999999</v>
      </c>
      <c r="P4205">
        <v>0.1040267</v>
      </c>
      <c r="Q4205">
        <v>-2.8354090000000001E-3</v>
      </c>
      <c r="R4205">
        <v>-0.99457099999999898</v>
      </c>
      <c r="S4205">
        <v>-0.34603879999999998</v>
      </c>
      <c r="T4205">
        <v>-0.2229235</v>
      </c>
      <c r="U4205">
        <v>-3.052063</v>
      </c>
      <c r="V4205">
        <v>-5.7446089999999998E-2</v>
      </c>
      <c r="W4205">
        <v>1.277271E-3</v>
      </c>
      <c r="X4205">
        <v>0.99834780000000001</v>
      </c>
      <c r="Y4205">
        <v>0.158664</v>
      </c>
      <c r="Z4205">
        <v>7.2035719999999998E-2</v>
      </c>
      <c r="AA4205">
        <v>0.9847013</v>
      </c>
      <c r="AB4205">
        <v>28</v>
      </c>
      <c r="AC4205">
        <v>-9.7800000000006507E-2</v>
      </c>
      <c r="AD4205">
        <v>-5.38370000000001E-2</v>
      </c>
      <c r="AE4205">
        <v>-0.44279000000000202</v>
      </c>
      <c r="AF4205">
        <v>0.116735477031402</v>
      </c>
      <c r="AG4205">
        <v>-5.38370000000001E-2</v>
      </c>
      <c r="AH4205">
        <v>0.43165276295849098</v>
      </c>
      <c r="AI4205">
        <v>96.865244298990703</v>
      </c>
      <c r="AJ4205">
        <v>74.867016393712504</v>
      </c>
      <c r="AK4205">
        <v>0.45038839009953202</v>
      </c>
    </row>
    <row r="4206" spans="1:37" x14ac:dyDescent="0.2">
      <c r="A4206" t="str">
        <f>"20200111160253494"</f>
        <v>20200111160253494</v>
      </c>
      <c r="B4206" t="str">
        <f>"1578729773487056"</f>
        <v>1578729773487056</v>
      </c>
      <c r="C4206" t="s">
        <v>37</v>
      </c>
      <c r="D4206">
        <v>5.1565729999999999</v>
      </c>
      <c r="E4206">
        <v>0.58486400000000005</v>
      </c>
      <c r="F4206" t="s">
        <v>42</v>
      </c>
      <c r="G4206">
        <v>-422.52890000000002</v>
      </c>
      <c r="H4206">
        <v>1.034476</v>
      </c>
      <c r="I4206">
        <v>92.958629999999999</v>
      </c>
      <c r="J4206">
        <v>-422.40600000000001</v>
      </c>
      <c r="K4206">
        <v>1.1033360000000001</v>
      </c>
      <c r="L4206">
        <v>93.620239999999995</v>
      </c>
      <c r="M4206">
        <v>4.7001019999999998E-2</v>
      </c>
      <c r="N4206">
        <v>0</v>
      </c>
      <c r="O4206">
        <v>-0.99888509999999997</v>
      </c>
      <c r="P4206">
        <v>0.10372000000000001</v>
      </c>
      <c r="Q4206">
        <v>-2.752235E-3</v>
      </c>
      <c r="R4206">
        <v>-0.99460289999999996</v>
      </c>
      <c r="S4206">
        <v>-0.34896850000000001</v>
      </c>
      <c r="T4206">
        <v>-0.22130949999999999</v>
      </c>
      <c r="U4206">
        <v>-3.0522459999999998</v>
      </c>
      <c r="V4206">
        <v>-5.685813E-2</v>
      </c>
      <c r="W4206">
        <v>1.6129650000000001E-3</v>
      </c>
      <c r="X4206">
        <v>0.99838099999999996</v>
      </c>
      <c r="Y4206">
        <v>0.1598716</v>
      </c>
      <c r="Z4206">
        <v>7.1500350000000004E-2</v>
      </c>
      <c r="AA4206">
        <v>0.98454489999999995</v>
      </c>
      <c r="AB4206">
        <v>29</v>
      </c>
      <c r="AC4206">
        <v>-0.122900000000015</v>
      </c>
      <c r="AD4206">
        <v>-6.8860000000000102E-2</v>
      </c>
      <c r="AE4206">
        <v>-0.66160999999999504</v>
      </c>
      <c r="AF4206">
        <v>0.15226640775827799</v>
      </c>
      <c r="AG4206">
        <v>-6.8860000000000102E-2</v>
      </c>
      <c r="AH4206">
        <v>0.64831369348817303</v>
      </c>
      <c r="AI4206">
        <v>95.903428286310401</v>
      </c>
      <c r="AJ4206">
        <v>76.782761384395798</v>
      </c>
      <c r="AK4206">
        <v>0.66950534254469396</v>
      </c>
    </row>
    <row r="4207" spans="1:37" x14ac:dyDescent="0.2">
      <c r="A4207" t="str">
        <f>"20200111160253516"</f>
        <v>20200111160253516</v>
      </c>
      <c r="B4207" t="str">
        <f>"1578729773506576"</f>
        <v>1578729773506576</v>
      </c>
      <c r="C4207" t="s">
        <v>37</v>
      </c>
      <c r="D4207">
        <v>5.147691</v>
      </c>
      <c r="E4207">
        <v>0.5850301</v>
      </c>
      <c r="F4207" t="s">
        <v>42</v>
      </c>
      <c r="G4207">
        <v>-422.51209999999998</v>
      </c>
      <c r="H4207">
        <v>1.0370349999999999</v>
      </c>
      <c r="I4207">
        <v>92.700159999999997</v>
      </c>
      <c r="J4207">
        <v>-422.39269999999999</v>
      </c>
      <c r="K4207">
        <v>1.1033539999999999</v>
      </c>
      <c r="L4207">
        <v>93.342439999999996</v>
      </c>
      <c r="M4207">
        <v>4.7271550000000002E-2</v>
      </c>
      <c r="N4207">
        <v>0</v>
      </c>
      <c r="O4207">
        <v>-0.99887150000000002</v>
      </c>
      <c r="P4207">
        <v>0.10355250000000001</v>
      </c>
      <c r="Q4207">
        <v>-2.5977109999999999E-3</v>
      </c>
      <c r="R4207">
        <v>-0.99462090000000003</v>
      </c>
      <c r="S4207">
        <v>-0.3514099</v>
      </c>
      <c r="T4207">
        <v>-0.2199718</v>
      </c>
      <c r="U4207">
        <v>-3.0523069999999999</v>
      </c>
      <c r="V4207">
        <v>-5.6420110000000002E-2</v>
      </c>
      <c r="W4207">
        <v>1.9934800000000002E-3</v>
      </c>
      <c r="X4207">
        <v>0.99840509999999905</v>
      </c>
      <c r="Y4207">
        <v>0.16091759999999999</v>
      </c>
      <c r="Z4207">
        <v>7.1058330000000003E-2</v>
      </c>
      <c r="AA4207">
        <v>0.98440649999999996</v>
      </c>
      <c r="AB4207">
        <v>29</v>
      </c>
      <c r="AC4207">
        <v>-0.11939999999998401</v>
      </c>
      <c r="AD4207">
        <v>-6.6319000000000197E-2</v>
      </c>
      <c r="AE4207">
        <v>-0.64227999999999896</v>
      </c>
      <c r="AF4207">
        <v>0.14810213229246499</v>
      </c>
      <c r="AG4207">
        <v>-6.6319000000000197E-2</v>
      </c>
      <c r="AH4207">
        <v>0.62943103733960704</v>
      </c>
      <c r="AI4207">
        <v>95.855924175399494</v>
      </c>
      <c r="AJ4207">
        <v>76.759418695192394</v>
      </c>
      <c r="AK4207">
        <v>0.65001221689825905</v>
      </c>
    </row>
    <row r="4208" spans="1:37" x14ac:dyDescent="0.2">
      <c r="A4208" t="str">
        <f>"20200111160253537"</f>
        <v>20200111160253537</v>
      </c>
      <c r="B4208" t="str">
        <f>"1578729773527073"</f>
        <v>1578729773527073</v>
      </c>
      <c r="C4208" t="s">
        <v>37</v>
      </c>
      <c r="D4208">
        <v>5.1192640000000003</v>
      </c>
      <c r="E4208">
        <v>0.58512169999999997</v>
      </c>
      <c r="F4208" t="s">
        <v>42</v>
      </c>
      <c r="G4208">
        <v>-422.4973</v>
      </c>
      <c r="H4208">
        <v>1.038524</v>
      </c>
      <c r="I4208">
        <v>92.441249999999997</v>
      </c>
      <c r="J4208">
        <v>-422.37920000000003</v>
      </c>
      <c r="K4208">
        <v>1.1033729999999999</v>
      </c>
      <c r="L4208">
        <v>93.06232</v>
      </c>
      <c r="M4208">
        <v>4.7544059999999999E-2</v>
      </c>
      <c r="N4208">
        <v>0</v>
      </c>
      <c r="O4208">
        <v>-0.99885740000000001</v>
      </c>
      <c r="P4208">
        <v>0.103397399999999</v>
      </c>
      <c r="Q4208">
        <v>-2.9699959999999999E-3</v>
      </c>
      <c r="R4208">
        <v>-0.99463590000000002</v>
      </c>
      <c r="S4208">
        <v>-0.35305789999999998</v>
      </c>
      <c r="T4208">
        <v>-0.21965689999999999</v>
      </c>
      <c r="U4208">
        <v>-3.0523989999999999</v>
      </c>
      <c r="V4208">
        <v>-5.5991649999999997E-2</v>
      </c>
      <c r="W4208">
        <v>1.8332629999999999E-3</v>
      </c>
      <c r="X4208">
        <v>0.99842949999999997</v>
      </c>
      <c r="Y4208">
        <v>0.16170879999999899</v>
      </c>
      <c r="Z4208">
        <v>7.0946830000000002E-2</v>
      </c>
      <c r="AA4208">
        <v>0.98428490000000002</v>
      </c>
      <c r="AB4208">
        <v>29</v>
      </c>
      <c r="AC4208">
        <v>-0.11809999999996899</v>
      </c>
      <c r="AD4208">
        <v>-6.4848999999999907E-2</v>
      </c>
      <c r="AE4208">
        <v>-0.62107000000000301</v>
      </c>
      <c r="AF4208">
        <v>0.14595919313126701</v>
      </c>
      <c r="AG4208">
        <v>-6.4848999999999907E-2</v>
      </c>
      <c r="AH4208">
        <v>0.60835153710811496</v>
      </c>
      <c r="AI4208">
        <v>95.917927716273098</v>
      </c>
      <c r="AJ4208">
        <v>76.508289806970495</v>
      </c>
      <c r="AK4208">
        <v>0.62896825958257796</v>
      </c>
    </row>
    <row r="4209" spans="1:37" x14ac:dyDescent="0.2">
      <c r="A4209" t="str">
        <f>"20200111160253560"</f>
        <v>20200111160253560</v>
      </c>
      <c r="B4209" t="str">
        <f>"1578729773557329"</f>
        <v>1578729773557329</v>
      </c>
      <c r="C4209" t="s">
        <v>37</v>
      </c>
      <c r="D4209">
        <v>5.1842670000000002</v>
      </c>
      <c r="E4209">
        <v>0.58285739999999997</v>
      </c>
      <c r="F4209" t="s">
        <v>42</v>
      </c>
      <c r="G4209">
        <v>-422.48129999999998</v>
      </c>
      <c r="H4209">
        <v>1.039852</v>
      </c>
      <c r="I4209">
        <v>92.181939999999997</v>
      </c>
      <c r="J4209">
        <v>-422.36489999999998</v>
      </c>
      <c r="K4209">
        <v>1.10338799999999</v>
      </c>
      <c r="L4209">
        <v>92.769809999999893</v>
      </c>
      <c r="M4209">
        <v>4.7828570000000001E-2</v>
      </c>
      <c r="N4209">
        <v>0</v>
      </c>
      <c r="O4209">
        <v>-0.99884289999999998</v>
      </c>
      <c r="P4209">
        <v>0.1039462</v>
      </c>
      <c r="Q4209">
        <v>-3.513277E-3</v>
      </c>
      <c r="R4209">
        <v>-0.99457709999999999</v>
      </c>
      <c r="S4209">
        <v>-0.354278599999999</v>
      </c>
      <c r="T4209">
        <v>-0.22022249999999999</v>
      </c>
      <c r="U4209">
        <v>-3.052368</v>
      </c>
      <c r="V4209">
        <v>-5.6258290000000002E-2</v>
      </c>
      <c r="W4209">
        <v>1.4951859999999999E-3</v>
      </c>
      <c r="X4209">
        <v>0.9984151</v>
      </c>
      <c r="Y4209">
        <v>0.16237799999999999</v>
      </c>
      <c r="Z4209">
        <v>7.1122249999999998E-2</v>
      </c>
      <c r="AA4209">
        <v>0.98416209999999904</v>
      </c>
      <c r="AB4209">
        <v>29</v>
      </c>
      <c r="AC4209">
        <v>-0.11639999999999801</v>
      </c>
      <c r="AD4209">
        <v>-6.3535999999999801E-2</v>
      </c>
      <c r="AE4209">
        <v>-0.58786999999999501</v>
      </c>
      <c r="AF4209">
        <v>0.142779246723683</v>
      </c>
      <c r="AG4209">
        <v>-6.3535999999999801E-2</v>
      </c>
      <c r="AH4209">
        <v>0.57516488928395404</v>
      </c>
      <c r="AI4209">
        <v>96.119404371676794</v>
      </c>
      <c r="AJ4209">
        <v>76.058675017547699</v>
      </c>
      <c r="AK4209">
        <v>0.59601794138767805</v>
      </c>
    </row>
    <row r="4210" spans="1:37" x14ac:dyDescent="0.2">
      <c r="A4210" t="str">
        <f>"20200111160253584"</f>
        <v>20200111160253584</v>
      </c>
      <c r="B4210" t="str">
        <f>"1578729773576848"</f>
        <v>1578729773576848</v>
      </c>
      <c r="C4210" t="s">
        <v>37</v>
      </c>
      <c r="D4210">
        <v>5.1066580000000004</v>
      </c>
      <c r="E4210">
        <v>0.5150728</v>
      </c>
      <c r="F4210" t="s">
        <v>42</v>
      </c>
      <c r="G4210">
        <v>-422.4581</v>
      </c>
      <c r="H4210">
        <v>1.041526</v>
      </c>
      <c r="I4210">
        <v>91.923190000000005</v>
      </c>
      <c r="J4210">
        <v>-422.34980000000002</v>
      </c>
      <c r="K4210">
        <v>1.103405</v>
      </c>
      <c r="L4210">
        <v>92.458709999999996</v>
      </c>
      <c r="M4210">
        <v>4.8131E-2</v>
      </c>
      <c r="N4210">
        <v>0</v>
      </c>
      <c r="O4210">
        <v>-0.99882739999999903</v>
      </c>
      <c r="P4210">
        <v>0.104637799999999</v>
      </c>
      <c r="Q4210">
        <v>-3.8314359999999902E-3</v>
      </c>
      <c r="R4210">
        <v>-0.99450329999999998</v>
      </c>
      <c r="S4210">
        <v>-0.33462520000000001</v>
      </c>
      <c r="T4210">
        <v>-0.22297639999999999</v>
      </c>
      <c r="U4210">
        <v>-3.0505369999999998</v>
      </c>
      <c r="V4210">
        <v>-5.6650099999999898E-2</v>
      </c>
      <c r="W4210">
        <v>1.3802679999999901E-3</v>
      </c>
      <c r="X4210">
        <v>0.99839310000000003</v>
      </c>
      <c r="Y4210">
        <v>0.15647320000000001</v>
      </c>
      <c r="Z4210">
        <v>7.210859E-2</v>
      </c>
      <c r="AA4210">
        <v>0.98504639999999999</v>
      </c>
      <c r="AB4210">
        <v>29</v>
      </c>
      <c r="AC4210">
        <v>-0.10829999999998501</v>
      </c>
      <c r="AD4210">
        <v>-6.1879000000000003E-2</v>
      </c>
      <c r="AE4210">
        <v>-0.535519999999991</v>
      </c>
      <c r="AF4210">
        <v>0.13225352153578199</v>
      </c>
      <c r="AG4210">
        <v>-6.1879000000000003E-2</v>
      </c>
      <c r="AH4210">
        <v>0.52297840272338103</v>
      </c>
      <c r="AI4210">
        <v>96.543758868444996</v>
      </c>
      <c r="AJ4210">
        <v>75.8082743596634</v>
      </c>
      <c r="AK4210">
        <v>0.54297920246977704</v>
      </c>
    </row>
    <row r="4211" spans="1:37" x14ac:dyDescent="0.2">
      <c r="A4211" t="str">
        <f>"20200111160253605"</f>
        <v>20200111160253605</v>
      </c>
      <c r="B4211" t="str">
        <f>"1578729773597344"</f>
        <v>1578729773597344</v>
      </c>
      <c r="C4211" t="s">
        <v>37</v>
      </c>
      <c r="D4211">
        <v>5.1644119999999996</v>
      </c>
      <c r="E4211">
        <v>0.5145788</v>
      </c>
      <c r="F4211" t="s">
        <v>38</v>
      </c>
      <c r="G4211">
        <v>-421.37079999999997</v>
      </c>
      <c r="H4211" s="1">
        <v>-4.0764649999999999E-6</v>
      </c>
      <c r="I4211">
        <v>78.251140000000007</v>
      </c>
      <c r="J4211">
        <v>-422.33609999999999</v>
      </c>
      <c r="K4211">
        <v>1.103415</v>
      </c>
      <c r="L4211">
        <v>92.181820000000002</v>
      </c>
      <c r="M4211">
        <v>4.8400390000000001E-2</v>
      </c>
      <c r="N4211">
        <v>0</v>
      </c>
      <c r="O4211">
        <v>-0.99881330000000002</v>
      </c>
      <c r="P4211">
        <v>0.1051142</v>
      </c>
      <c r="Q4211">
        <v>-4.3839969999999997E-3</v>
      </c>
      <c r="R4211">
        <v>-0.99445059999999996</v>
      </c>
      <c r="S4211">
        <v>0.20629879999999901</v>
      </c>
      <c r="T4211">
        <v>-0.23252339999999999</v>
      </c>
      <c r="U4211">
        <v>-2.9939879999999999</v>
      </c>
      <c r="V4211">
        <v>-5.6859130000000001E-2</v>
      </c>
      <c r="W4211">
        <v>9.9593769999999993E-4</v>
      </c>
      <c r="X4211">
        <v>0.99838169999999904</v>
      </c>
      <c r="Y4211">
        <v>-2.016884E-2</v>
      </c>
      <c r="Z4211">
        <v>7.7195719999999995E-2</v>
      </c>
      <c r="AA4211">
        <v>0.99681189999999997</v>
      </c>
      <c r="AB4211">
        <v>29</v>
      </c>
      <c r="AC4211">
        <v>0.96530000000001304</v>
      </c>
      <c r="AD4211">
        <v>-1.103419076465</v>
      </c>
      <c r="AE4211">
        <v>-13.930679999999899</v>
      </c>
      <c r="AF4211">
        <v>-0.28810946715878799</v>
      </c>
      <c r="AG4211">
        <v>-1.103419076465</v>
      </c>
      <c r="AH4211">
        <v>13.8744438827043</v>
      </c>
      <c r="AI4211">
        <v>94.546123172005807</v>
      </c>
      <c r="AJ4211">
        <v>91.189603313787998</v>
      </c>
      <c r="AK4211">
        <v>13.921233198883099</v>
      </c>
    </row>
    <row r="4212" spans="1:37" x14ac:dyDescent="0.2">
      <c r="A4212" t="str">
        <f>"20200111160253627"</f>
        <v>20200111160253627</v>
      </c>
      <c r="B4212" t="str">
        <f>"1578729773616864"</f>
        <v>1578729773616864</v>
      </c>
      <c r="C4212" t="s">
        <v>37</v>
      </c>
      <c r="D4212">
        <v>5.0314559999999897</v>
      </c>
      <c r="E4212">
        <v>0.51477240000000002</v>
      </c>
      <c r="F4212" t="s">
        <v>38</v>
      </c>
      <c r="G4212">
        <v>-421.3503</v>
      </c>
      <c r="H4212" s="1">
        <v>-4.0774670000000001E-6</v>
      </c>
      <c r="I4212">
        <v>78.264769999999999</v>
      </c>
      <c r="J4212">
        <v>-422.3218</v>
      </c>
      <c r="K4212">
        <v>1.1034250000000001</v>
      </c>
      <c r="L4212">
        <v>91.892089999999996</v>
      </c>
      <c r="M4212">
        <v>4.8679880000000002E-2</v>
      </c>
      <c r="N4212">
        <v>0</v>
      </c>
      <c r="O4212">
        <v>-0.99879889999999905</v>
      </c>
      <c r="P4212">
        <v>0.1057216</v>
      </c>
      <c r="Q4212">
        <v>-4.6475500000000003E-3</v>
      </c>
      <c r="R4212">
        <v>-0.99438510000000002</v>
      </c>
      <c r="S4212">
        <v>0.21203609999999901</v>
      </c>
      <c r="T4212">
        <v>-0.2373239</v>
      </c>
      <c r="U4212">
        <v>-2.9932859999999999</v>
      </c>
      <c r="V4212">
        <v>-5.7189520000000001E-2</v>
      </c>
      <c r="W4212">
        <v>9.0057039999999998E-4</v>
      </c>
      <c r="X4212">
        <v>0.998362999999999</v>
      </c>
      <c r="Y4212">
        <v>-2.1797549999999999E-2</v>
      </c>
      <c r="Z4212">
        <v>7.8789789999999998E-2</v>
      </c>
      <c r="AA4212">
        <v>0.99665289999999995</v>
      </c>
      <c r="AB4212">
        <v>29</v>
      </c>
      <c r="AC4212">
        <v>0.97149999999999104</v>
      </c>
      <c r="AD4212">
        <v>-1.1034290774669999</v>
      </c>
      <c r="AE4212">
        <v>-13.6273199999999</v>
      </c>
      <c r="AF4212">
        <v>-0.30497217094689799</v>
      </c>
      <c r="AG4212">
        <v>-1.1034290774669999</v>
      </c>
      <c r="AH4212">
        <v>13.569936070893201</v>
      </c>
      <c r="AI4212">
        <v>94.647566694623194</v>
      </c>
      <c r="AJ4212">
        <v>91.2874546478551</v>
      </c>
      <c r="AK4212">
        <v>13.618139693885499</v>
      </c>
    </row>
    <row r="4213" spans="1:37" x14ac:dyDescent="0.2">
      <c r="A4213" t="str">
        <f>"20200111160253650"</f>
        <v>20200111160253650</v>
      </c>
      <c r="B4213" t="str">
        <f>"1578729773647121"</f>
        <v>1578729773647121</v>
      </c>
      <c r="C4213" t="s">
        <v>37</v>
      </c>
      <c r="D4213">
        <v>4.9750529999999999</v>
      </c>
      <c r="E4213">
        <v>0.51489759999999996</v>
      </c>
      <c r="F4213" t="s">
        <v>38</v>
      </c>
      <c r="G4213">
        <v>-421.36059999999998</v>
      </c>
      <c r="H4213" s="1">
        <v>-4.1115689999999999E-6</v>
      </c>
      <c r="I4213">
        <v>78.359629999999996</v>
      </c>
      <c r="J4213">
        <v>-422.3073</v>
      </c>
      <c r="K4213">
        <v>1.1034489999999999</v>
      </c>
      <c r="L4213">
        <v>91.599980000000002</v>
      </c>
      <c r="M4213">
        <v>4.8959490000000001E-2</v>
      </c>
      <c r="N4213">
        <v>0</v>
      </c>
      <c r="O4213">
        <v>-0.99878440000000002</v>
      </c>
      <c r="P4213">
        <v>0.1059137</v>
      </c>
      <c r="Q4213">
        <v>-4.5534019999999998E-3</v>
      </c>
      <c r="R4213">
        <v>-0.99436499999999906</v>
      </c>
      <c r="S4213">
        <v>0.212615999999999</v>
      </c>
      <c r="T4213">
        <v>-0.24406329999999901</v>
      </c>
      <c r="U4213">
        <v>-2.9931950000000001</v>
      </c>
      <c r="V4213">
        <v>-5.7102859999999998E-2</v>
      </c>
      <c r="W4213">
        <v>1.1561550000000001E-3</v>
      </c>
      <c r="X4213">
        <v>0.99836759999999902</v>
      </c>
      <c r="Y4213">
        <v>-2.169923E-2</v>
      </c>
      <c r="Z4213">
        <v>8.1013009999999996E-2</v>
      </c>
      <c r="AA4213">
        <v>0.99647680000000005</v>
      </c>
      <c r="AB4213">
        <v>29</v>
      </c>
      <c r="AC4213">
        <v>0.94670000000002097</v>
      </c>
      <c r="AD4213">
        <v>-1.1034531115689901</v>
      </c>
      <c r="AE4213">
        <v>-13.2403499999999</v>
      </c>
      <c r="AF4213">
        <v>-0.29527285645455398</v>
      </c>
      <c r="AG4213">
        <v>-1.1034531115689901</v>
      </c>
      <c r="AH4213">
        <v>13.179746462035901</v>
      </c>
      <c r="AI4213">
        <v>94.784640675357295</v>
      </c>
      <c r="AJ4213">
        <v>91.2834130698254</v>
      </c>
      <c r="AK4213">
        <v>13.2291538517298</v>
      </c>
    </row>
    <row r="4214" spans="1:37" x14ac:dyDescent="0.2">
      <c r="A4214" t="str">
        <f>"20200111160253672"</f>
        <v>20200111160253672</v>
      </c>
      <c r="B4214" t="str">
        <f>"1578729773666640"</f>
        <v>1578729773666640</v>
      </c>
      <c r="C4214" t="s">
        <v>37</v>
      </c>
      <c r="D4214">
        <v>4.9912640000000001</v>
      </c>
      <c r="E4214">
        <v>0.51493719999999998</v>
      </c>
      <c r="F4214" t="s">
        <v>42</v>
      </c>
      <c r="G4214">
        <v>-422.23849999999999</v>
      </c>
      <c r="H4214">
        <v>1.0236749999999999</v>
      </c>
      <c r="I4214">
        <v>90.629779999999997</v>
      </c>
      <c r="J4214">
        <v>-422.29239999999999</v>
      </c>
      <c r="K4214">
        <v>1.103469</v>
      </c>
      <c r="L4214">
        <v>91.303380000000004</v>
      </c>
      <c r="M4214">
        <v>4.9241390000000003E-2</v>
      </c>
      <c r="N4214">
        <v>0</v>
      </c>
      <c r="O4214">
        <v>-0.99876960000000004</v>
      </c>
      <c r="P4214">
        <v>0.1057838</v>
      </c>
      <c r="Q4214">
        <v>-4.8674620000000004E-3</v>
      </c>
      <c r="R4214">
        <v>-0.99437739999999997</v>
      </c>
      <c r="S4214">
        <v>0.21240229999999899</v>
      </c>
      <c r="T4214">
        <v>-0.24614130000000001</v>
      </c>
      <c r="U4214">
        <v>-2.9932560000000001</v>
      </c>
      <c r="V4214">
        <v>-5.6690599999999897E-2</v>
      </c>
      <c r="W4214">
        <v>9.9450720000000001E-4</v>
      </c>
      <c r="X4214">
        <v>0.99839129999999998</v>
      </c>
      <c r="Y4214">
        <v>-2.134086E-2</v>
      </c>
      <c r="Z4214">
        <v>8.169535E-2</v>
      </c>
      <c r="AA4214">
        <v>0.9964288</v>
      </c>
      <c r="AB4214">
        <v>29</v>
      </c>
      <c r="AC4214">
        <v>5.3899999999998699E-2</v>
      </c>
      <c r="AD4214">
        <v>-7.9794000000000101E-2</v>
      </c>
      <c r="AE4214">
        <v>-0.67359999999999298</v>
      </c>
      <c r="AF4214">
        <v>-2.0380862598584501E-2</v>
      </c>
      <c r="AG4214">
        <v>-7.9794000000000101E-2</v>
      </c>
      <c r="AH4214">
        <v>0.66614870169379403</v>
      </c>
      <c r="AI4214">
        <v>96.827412116748505</v>
      </c>
      <c r="AJ4214">
        <v>91.752421425763501</v>
      </c>
      <c r="AK4214">
        <v>0.67122019841821701</v>
      </c>
    </row>
    <row r="4215" spans="1:37" x14ac:dyDescent="0.2">
      <c r="A4215" t="str">
        <f>"20200111160253695"</f>
        <v>20200111160253695</v>
      </c>
      <c r="B4215" t="str">
        <f>"1578729773687136"</f>
        <v>1578729773687136</v>
      </c>
      <c r="C4215" t="s">
        <v>37</v>
      </c>
      <c r="D4215">
        <v>5.0016319999999999</v>
      </c>
      <c r="E4215">
        <v>0.51490619999999998</v>
      </c>
      <c r="F4215" t="s">
        <v>42</v>
      </c>
      <c r="G4215">
        <v>-422.22649999999999</v>
      </c>
      <c r="H4215">
        <v>1.025706</v>
      </c>
      <c r="I4215">
        <v>90.364440000000002</v>
      </c>
      <c r="J4215">
        <v>-422.27690000000001</v>
      </c>
      <c r="K4215">
        <v>1.103483</v>
      </c>
      <c r="L4215">
        <v>90.994839999999996</v>
      </c>
      <c r="M4215">
        <v>4.9532449999999999E-2</v>
      </c>
      <c r="N4215">
        <v>0</v>
      </c>
      <c r="O4215">
        <v>-0.99875429999999998</v>
      </c>
      <c r="P4215">
        <v>0.105336999999999</v>
      </c>
      <c r="Q4215">
        <v>-4.8125420000000004E-3</v>
      </c>
      <c r="R4215">
        <v>-0.994425</v>
      </c>
      <c r="S4215">
        <v>0.21209720000000001</v>
      </c>
      <c r="T4215">
        <v>-0.2480049</v>
      </c>
      <c r="U4215">
        <v>-2.9931950000000001</v>
      </c>
      <c r="V4215">
        <v>-5.5950760000000002E-2</v>
      </c>
      <c r="W4215">
        <v>1.195256E-3</v>
      </c>
      <c r="X4215">
        <v>0.99843280000000001</v>
      </c>
      <c r="Y4215">
        <v>-2.0946220000000002E-2</v>
      </c>
      <c r="Z4215">
        <v>8.2310209999999995E-2</v>
      </c>
      <c r="AA4215">
        <v>0.99638660000000001</v>
      </c>
      <c r="AB4215">
        <v>30</v>
      </c>
      <c r="AC4215">
        <v>5.0400000000024599E-2</v>
      </c>
      <c r="AD4215">
        <v>-7.7776999999999902E-2</v>
      </c>
      <c r="AE4215">
        <v>-0.63039999999999397</v>
      </c>
      <c r="AF4215">
        <v>-1.88275365592258E-2</v>
      </c>
      <c r="AG4215">
        <v>-7.7776999999999902E-2</v>
      </c>
      <c r="AH4215">
        <v>0.62270408503942598</v>
      </c>
      <c r="AI4215">
        <v>97.116270373511796</v>
      </c>
      <c r="AJ4215">
        <v>91.731817528383402</v>
      </c>
      <c r="AK4215">
        <v>0.62782490822416304</v>
      </c>
    </row>
    <row r="4216" spans="1:37" x14ac:dyDescent="0.2">
      <c r="A4216" t="str">
        <f>"20200111160253716"</f>
        <v>20200111160253716</v>
      </c>
      <c r="B4216" t="str">
        <f>"1578729773706657"</f>
        <v>1578729773706657</v>
      </c>
      <c r="C4216" t="s">
        <v>37</v>
      </c>
      <c r="D4216">
        <v>4.9943860000000004</v>
      </c>
      <c r="E4216">
        <v>0.51508559999999903</v>
      </c>
      <c r="F4216" t="s">
        <v>42</v>
      </c>
      <c r="G4216">
        <v>-422.214</v>
      </c>
      <c r="H4216">
        <v>1.029093</v>
      </c>
      <c r="I4216">
        <v>90.096890000000002</v>
      </c>
      <c r="J4216">
        <v>-422.2629</v>
      </c>
      <c r="K4216">
        <v>1.1035010000000001</v>
      </c>
      <c r="L4216">
        <v>90.717799999999997</v>
      </c>
      <c r="M4216">
        <v>4.979273E-2</v>
      </c>
      <c r="N4216">
        <v>0</v>
      </c>
      <c r="O4216">
        <v>-0.99874069999999904</v>
      </c>
      <c r="P4216">
        <v>0.1052951</v>
      </c>
      <c r="Q4216">
        <v>-5.0105799999999997E-3</v>
      </c>
      <c r="R4216">
        <v>-0.9944286</v>
      </c>
      <c r="S4216">
        <v>0.21090700000000001</v>
      </c>
      <c r="T4216">
        <v>-0.2480407</v>
      </c>
      <c r="U4216">
        <v>-2.9932859999999999</v>
      </c>
      <c r="V4216">
        <v>-5.5648919999999998E-2</v>
      </c>
      <c r="W4216">
        <v>1.118008E-3</v>
      </c>
      <c r="X4216">
        <v>0.998449699999999</v>
      </c>
      <c r="Y4216">
        <v>-2.028922E-2</v>
      </c>
      <c r="Z4216">
        <v>8.2319630000000005E-2</v>
      </c>
      <c r="AA4216">
        <v>0.99639940000000005</v>
      </c>
      <c r="AB4216">
        <v>30</v>
      </c>
      <c r="AC4216">
        <v>4.8900000000003198E-2</v>
      </c>
      <c r="AD4216">
        <v>-7.4408000000000002E-2</v>
      </c>
      <c r="AE4216">
        <v>-0.62090999999999497</v>
      </c>
      <c r="AF4216">
        <v>-1.7669764353566798E-2</v>
      </c>
      <c r="AG4216">
        <v>-7.4408000000000002E-2</v>
      </c>
      <c r="AH4216">
        <v>0.61381409554362898</v>
      </c>
      <c r="AI4216">
        <v>96.908971486997899</v>
      </c>
      <c r="AJ4216">
        <v>91.648908709444697</v>
      </c>
      <c r="AK4216">
        <v>0.61856003340367305</v>
      </c>
    </row>
    <row r="4217" spans="1:37" x14ac:dyDescent="0.2">
      <c r="A4217" t="str">
        <f>"20200111160253739"</f>
        <v>20200111160253739</v>
      </c>
      <c r="B4217" t="str">
        <f>"1578729773727153"</f>
        <v>1578729773727153</v>
      </c>
      <c r="C4217" t="s">
        <v>37</v>
      </c>
      <c r="D4217">
        <v>5.0132029999999999</v>
      </c>
      <c r="E4217">
        <v>0.51512000000000002</v>
      </c>
      <c r="F4217" t="s">
        <v>42</v>
      </c>
      <c r="G4217">
        <v>-422.2011</v>
      </c>
      <c r="H4217">
        <v>1.0298290000000001</v>
      </c>
      <c r="I4217">
        <v>89.830749999999995</v>
      </c>
      <c r="J4217">
        <v>-422.24759999999998</v>
      </c>
      <c r="K4217">
        <v>1.103512</v>
      </c>
      <c r="L4217">
        <v>90.416229999999999</v>
      </c>
      <c r="M4217">
        <v>5.0074500000000001E-2</v>
      </c>
      <c r="N4217">
        <v>0</v>
      </c>
      <c r="O4217">
        <v>-0.99872569999999905</v>
      </c>
      <c r="P4217">
        <v>0.105279399999999</v>
      </c>
      <c r="Q4217">
        <v>-5.043545E-3</v>
      </c>
      <c r="R4217">
        <v>-0.99442989999999998</v>
      </c>
      <c r="S4217">
        <v>0.2093506</v>
      </c>
      <c r="T4217">
        <v>-0.24863730000000001</v>
      </c>
      <c r="U4217">
        <v>-2.9933779999999999</v>
      </c>
      <c r="V4217">
        <v>-5.5351829999999998E-2</v>
      </c>
      <c r="W4217">
        <v>1.209084E-3</v>
      </c>
      <c r="X4217">
        <v>0.99846619999999997</v>
      </c>
      <c r="Y4217">
        <v>-1.9488299999999899E-2</v>
      </c>
      <c r="Z4217">
        <v>8.2514169999999998E-2</v>
      </c>
      <c r="AA4217">
        <v>0.99639929999999999</v>
      </c>
      <c r="AB4217">
        <v>30</v>
      </c>
      <c r="AC4217">
        <v>4.6499999999980397E-2</v>
      </c>
      <c r="AD4217">
        <v>-7.3682999999999901E-2</v>
      </c>
      <c r="AE4217">
        <v>-0.585480000000004</v>
      </c>
      <c r="AF4217">
        <v>-1.6858133484557499E-2</v>
      </c>
      <c r="AG4217">
        <v>-7.3682999999999901E-2</v>
      </c>
      <c r="AH4217">
        <v>0.57797715374332204</v>
      </c>
      <c r="AI4217">
        <v>97.262066613315895</v>
      </c>
      <c r="AJ4217">
        <v>91.670699477004206</v>
      </c>
      <c r="AK4217">
        <v>0.58289876599870605</v>
      </c>
    </row>
    <row r="4218" spans="1:37" x14ac:dyDescent="0.2">
      <c r="A4218" t="str">
        <f>"20200111160253762"</f>
        <v>20200111160253762</v>
      </c>
      <c r="B4218" t="str">
        <f>"1578729773757409"</f>
        <v>1578729773757409</v>
      </c>
      <c r="C4218" t="s">
        <v>37</v>
      </c>
      <c r="D4218">
        <v>5.0505589999999998</v>
      </c>
      <c r="E4218">
        <v>0.51512440000000004</v>
      </c>
      <c r="F4218" t="s">
        <v>42</v>
      </c>
      <c r="G4218">
        <v>-422.18819999999999</v>
      </c>
      <c r="H4218">
        <v>1.0326649999999999</v>
      </c>
      <c r="I4218">
        <v>89.562200000000004</v>
      </c>
      <c r="J4218">
        <v>-422.231999999999</v>
      </c>
      <c r="K4218">
        <v>1.1035239999999999</v>
      </c>
      <c r="L4218">
        <v>90.110569999999996</v>
      </c>
      <c r="M4218">
        <v>5.0358630000000001E-2</v>
      </c>
      <c r="N4218">
        <v>0</v>
      </c>
      <c r="O4218">
        <v>-0.99871069999999995</v>
      </c>
      <c r="P4218">
        <v>0.10506789999999901</v>
      </c>
      <c r="Q4218">
        <v>-4.4299409999999997E-3</v>
      </c>
      <c r="R4218">
        <v>-0.99445519999999998</v>
      </c>
      <c r="S4218">
        <v>0.20877080000000001</v>
      </c>
      <c r="T4218">
        <v>-0.2483823</v>
      </c>
      <c r="U4218">
        <v>-2.993439</v>
      </c>
      <c r="V4218">
        <v>-5.4855180000000003E-2</v>
      </c>
      <c r="W4218">
        <v>1.9419820000000001E-3</v>
      </c>
      <c r="X4218">
        <v>0.99849239999999995</v>
      </c>
      <c r="Y4218">
        <v>-1.9010840000000001E-2</v>
      </c>
      <c r="Z4218">
        <v>8.2427650000000005E-2</v>
      </c>
      <c r="AA4218">
        <v>0.99641569999999902</v>
      </c>
      <c r="AB4218">
        <v>30</v>
      </c>
      <c r="AC4218">
        <v>4.3799999999975997E-2</v>
      </c>
      <c r="AD4218">
        <v>-7.0859000000000005E-2</v>
      </c>
      <c r="AE4218">
        <v>-0.54836999999999103</v>
      </c>
      <c r="AF4218">
        <v>-1.58654679677371E-2</v>
      </c>
      <c r="AG4218">
        <v>-7.0859000000000005E-2</v>
      </c>
      <c r="AH4218">
        <v>0.54090561726589603</v>
      </c>
      <c r="AI4218">
        <v>97.460114190197004</v>
      </c>
      <c r="AJ4218">
        <v>91.680078324975497</v>
      </c>
      <c r="AK4218">
        <v>0.54575781968253601</v>
      </c>
    </row>
    <row r="4219" spans="1:37" x14ac:dyDescent="0.2">
      <c r="A4219" t="str">
        <f>"20200111160253785"</f>
        <v>20200111160253785</v>
      </c>
      <c r="B4219" t="str">
        <f>"1578729773776928"</f>
        <v>1578729773776928</v>
      </c>
      <c r="C4219" t="s">
        <v>37</v>
      </c>
      <c r="D4219">
        <v>5.0096270000000001</v>
      </c>
      <c r="E4219">
        <v>0.51517469999999999</v>
      </c>
      <c r="F4219" t="s">
        <v>42</v>
      </c>
      <c r="G4219">
        <v>-422.17540000000002</v>
      </c>
      <c r="H4219">
        <v>1.0360769999999999</v>
      </c>
      <c r="I4219">
        <v>89.292509999999993</v>
      </c>
      <c r="J4219">
        <v>-422.21600000000001</v>
      </c>
      <c r="K4219">
        <v>1.1035459999999999</v>
      </c>
      <c r="L4219">
        <v>89.799350000000004</v>
      </c>
      <c r="M4219">
        <v>5.064797E-2</v>
      </c>
      <c r="N4219">
        <v>0</v>
      </c>
      <c r="O4219">
        <v>-0.99869540000000001</v>
      </c>
      <c r="P4219">
        <v>0.10530489999999899</v>
      </c>
      <c r="Q4219">
        <v>-4.422774E-3</v>
      </c>
      <c r="R4219">
        <v>-0.99443040000000005</v>
      </c>
      <c r="S4219">
        <v>0.20849609999999999</v>
      </c>
      <c r="T4219">
        <v>-0.24691550000000001</v>
      </c>
      <c r="U4219">
        <v>-2.9935909999999999</v>
      </c>
      <c r="V4219">
        <v>-5.4803739999999997E-2</v>
      </c>
      <c r="W4219">
        <v>2.0716810000000001E-3</v>
      </c>
      <c r="X4219">
        <v>0.99849500000000002</v>
      </c>
      <c r="Y4219">
        <v>-1.8629440000000001E-2</v>
      </c>
      <c r="Z4219">
        <v>8.1938769999999994E-2</v>
      </c>
      <c r="AA4219">
        <v>0.99646319999999999</v>
      </c>
      <c r="AB4219">
        <v>30</v>
      </c>
      <c r="AC4219">
        <v>4.0599999999983503E-2</v>
      </c>
      <c r="AD4219">
        <v>-6.7468999999999696E-2</v>
      </c>
      <c r="AE4219">
        <v>-0.50684000000001095</v>
      </c>
      <c r="AF4219">
        <v>-1.46195225723209E-2</v>
      </c>
      <c r="AG4219">
        <v>-6.7468999999999696E-2</v>
      </c>
      <c r="AH4219">
        <v>0.49945190638689702</v>
      </c>
      <c r="AI4219">
        <v>97.690037172234199</v>
      </c>
      <c r="AJ4219">
        <v>91.6766335761546</v>
      </c>
      <c r="AK4219">
        <v>0.504200360169197</v>
      </c>
    </row>
    <row r="4220" spans="1:37" x14ac:dyDescent="0.2">
      <c r="A4220" t="str">
        <f>"20200111160253807"</f>
        <v>20200111160253807</v>
      </c>
      <c r="B4220" t="str">
        <f>"1578729773797426"</f>
        <v>1578729773797426</v>
      </c>
      <c r="C4220" t="s">
        <v>37</v>
      </c>
      <c r="D4220">
        <v>5.0450220000000003</v>
      </c>
      <c r="E4220">
        <v>0.51513209999999998</v>
      </c>
      <c r="F4220" t="s">
        <v>42</v>
      </c>
      <c r="G4220">
        <v>-422.16160000000002</v>
      </c>
      <c r="H4220">
        <v>1.0392840000000001</v>
      </c>
      <c r="I4220">
        <v>89.016249999999999</v>
      </c>
      <c r="J4220">
        <v>-422.2011</v>
      </c>
      <c r="K4220">
        <v>1.103566</v>
      </c>
      <c r="L4220">
        <v>89.511510000000001</v>
      </c>
      <c r="M4220">
        <v>5.0914790000000001E-2</v>
      </c>
      <c r="N4220">
        <v>0</v>
      </c>
      <c r="O4220">
        <v>-0.99868089999999998</v>
      </c>
      <c r="P4220">
        <v>0.1053755</v>
      </c>
      <c r="Q4220">
        <v>-4.6219700000000004E-3</v>
      </c>
      <c r="R4220">
        <v>-0.99442180000000002</v>
      </c>
      <c r="S4220">
        <v>0.20825199999999999</v>
      </c>
      <c r="T4220">
        <v>-0.24567889999999901</v>
      </c>
      <c r="U4220">
        <v>-2.993652</v>
      </c>
      <c r="V4220">
        <v>-5.4608070000000002E-2</v>
      </c>
      <c r="W4220">
        <v>2.0034939999999898E-3</v>
      </c>
      <c r="X4220">
        <v>0.9985058</v>
      </c>
      <c r="Y4220">
        <v>-1.8282320000000001E-2</v>
      </c>
      <c r="Z4220">
        <v>8.1528340000000005E-2</v>
      </c>
      <c r="AA4220">
        <v>0.99650339999999904</v>
      </c>
      <c r="AB4220">
        <v>30</v>
      </c>
      <c r="AC4220">
        <v>3.9499999999975402E-2</v>
      </c>
      <c r="AD4220">
        <v>-6.4281999999999895E-2</v>
      </c>
      <c r="AE4220">
        <v>-0.49526000000000098</v>
      </c>
      <c r="AF4220">
        <v>-1.3997825578574499E-2</v>
      </c>
      <c r="AG4220">
        <v>-6.4281999999999895E-2</v>
      </c>
      <c r="AH4220">
        <v>0.488452054826436</v>
      </c>
      <c r="AI4220">
        <v>97.4941987622786</v>
      </c>
      <c r="AJ4220">
        <v>91.641505804481795</v>
      </c>
      <c r="AK4220">
        <v>0.492862581770107</v>
      </c>
    </row>
    <row r="4221" spans="1:37" x14ac:dyDescent="0.2">
      <c r="A4221" t="str">
        <f>"20200111160253829"</f>
        <v>20200111160253829</v>
      </c>
      <c r="B4221" t="str">
        <f>"1578729773816945"</f>
        <v>1578729773816945</v>
      </c>
      <c r="C4221" t="s">
        <v>37</v>
      </c>
      <c r="D4221">
        <v>5.0553439999999998</v>
      </c>
      <c r="E4221">
        <v>0.51517899999999905</v>
      </c>
      <c r="F4221" t="s">
        <v>38</v>
      </c>
      <c r="G4221">
        <v>-421.2627</v>
      </c>
      <c r="H4221" s="1">
        <v>-3.1260409999999999E-6</v>
      </c>
      <c r="I4221">
        <v>76.092830000000006</v>
      </c>
      <c r="J4221">
        <v>-422.18579999999997</v>
      </c>
      <c r="K4221">
        <v>1.1035969999999999</v>
      </c>
      <c r="L4221">
        <v>89.215879999999999</v>
      </c>
      <c r="M4221">
        <v>5.1188070000000002E-2</v>
      </c>
      <c r="N4221">
        <v>0</v>
      </c>
      <c r="O4221">
        <v>-0.9986659</v>
      </c>
      <c r="P4221">
        <v>0.1058376</v>
      </c>
      <c r="Q4221">
        <v>-4.1832249999999996E-3</v>
      </c>
      <c r="R4221">
        <v>-0.99437489999999995</v>
      </c>
      <c r="S4221">
        <v>0.2093506</v>
      </c>
      <c r="T4221">
        <v>-0.246189399999999</v>
      </c>
      <c r="U4221">
        <v>-2.9935</v>
      </c>
      <c r="V4221">
        <v>-5.4798920000000001E-2</v>
      </c>
      <c r="W4221">
        <v>2.6124130000000001E-3</v>
      </c>
      <c r="X4221">
        <v>0.99849399999999999</v>
      </c>
      <c r="Y4221">
        <v>-1.8375160000000001E-2</v>
      </c>
      <c r="Z4221">
        <v>8.1697930000000002E-2</v>
      </c>
      <c r="AA4221">
        <v>0.99648769999999998</v>
      </c>
      <c r="AB4221">
        <v>30</v>
      </c>
      <c r="AC4221">
        <v>0.92309999999997605</v>
      </c>
      <c r="AD4221">
        <v>-1.103600126041</v>
      </c>
      <c r="AE4221">
        <v>-13.1230499999999</v>
      </c>
      <c r="AF4221">
        <v>-0.24838270775975199</v>
      </c>
      <c r="AG4221">
        <v>-1.103600126041</v>
      </c>
      <c r="AH4221">
        <v>13.061181739728401</v>
      </c>
      <c r="AI4221">
        <v>94.828846659632404</v>
      </c>
      <c r="AJ4221">
        <v>91.089454689148894</v>
      </c>
      <c r="AK4221">
        <v>13.1100761113705</v>
      </c>
    </row>
    <row r="4222" spans="1:37" x14ac:dyDescent="0.2">
      <c r="A4222" t="str">
        <f>"20200111160253853"</f>
        <v>20200111160253853</v>
      </c>
      <c r="B4222" t="str">
        <f>"1578729773847202"</f>
        <v>1578729773847202</v>
      </c>
      <c r="C4222" t="s">
        <v>37</v>
      </c>
      <c r="D4222">
        <v>5.0618540000000003</v>
      </c>
      <c r="E4222">
        <v>0.51524360000000002</v>
      </c>
      <c r="F4222" t="s">
        <v>38</v>
      </c>
      <c r="G4222">
        <v>-421.24079999999998</v>
      </c>
      <c r="H4222" s="1">
        <v>-2.9669369999999999E-6</v>
      </c>
      <c r="I4222">
        <v>75.735500000000002</v>
      </c>
      <c r="J4222">
        <v>-422.16930000000002</v>
      </c>
      <c r="K4222">
        <v>1.1036489999999901</v>
      </c>
      <c r="L4222">
        <v>88.901489999999995</v>
      </c>
      <c r="M4222">
        <v>5.1475760000000002E-2</v>
      </c>
      <c r="N4222">
        <v>0</v>
      </c>
      <c r="O4222">
        <v>-0.99864920000000001</v>
      </c>
      <c r="P4222">
        <v>0.1067507</v>
      </c>
      <c r="Q4222">
        <v>-3.6451819999999998E-3</v>
      </c>
      <c r="R4222">
        <v>-0.99427900000000002</v>
      </c>
      <c r="S4222">
        <v>0.20983889999999999</v>
      </c>
      <c r="T4222">
        <v>-0.24507680000000001</v>
      </c>
      <c r="U4222">
        <v>-2.9935909999999999</v>
      </c>
      <c r="V4222">
        <v>-5.5428680000000001E-2</v>
      </c>
      <c r="W4222">
        <v>3.3891780000000001E-3</v>
      </c>
      <c r="X4222">
        <v>0.99845689999999998</v>
      </c>
      <c r="Y4222">
        <v>-1.8248779999999999E-2</v>
      </c>
      <c r="Z4222">
        <v>8.1326510000000005E-2</v>
      </c>
      <c r="AA4222">
        <v>0.99652050000000003</v>
      </c>
      <c r="AB4222">
        <v>30</v>
      </c>
      <c r="AC4222">
        <v>0.92850000000004196</v>
      </c>
      <c r="AD4222">
        <v>-1.103651966937</v>
      </c>
      <c r="AE4222">
        <v>-13.165989999999899</v>
      </c>
      <c r="AF4222">
        <v>-0.24779012810606499</v>
      </c>
      <c r="AG4222">
        <v>-1.103651966937</v>
      </c>
      <c r="AH4222">
        <v>13.1047023379425</v>
      </c>
      <c r="AI4222">
        <v>94.813120420124307</v>
      </c>
      <c r="AJ4222">
        <v>91.083247566205799</v>
      </c>
      <c r="AK4222">
        <v>13.1534281074474</v>
      </c>
    </row>
    <row r="4223" spans="1:37" x14ac:dyDescent="0.2">
      <c r="A4223" t="str">
        <f>"20200111160253874"</f>
        <v>20200111160253874</v>
      </c>
      <c r="B4223" t="str">
        <f>"1578729773866721"</f>
        <v>1578729773866721</v>
      </c>
      <c r="C4223" t="s">
        <v>37</v>
      </c>
      <c r="D4223">
        <v>5.1448279999999897</v>
      </c>
      <c r="E4223">
        <v>0.51521439999999996</v>
      </c>
      <c r="F4223" t="s">
        <v>42</v>
      </c>
      <c r="G4223">
        <v>-422.10270000000003</v>
      </c>
      <c r="H4223">
        <v>1.026473</v>
      </c>
      <c r="I4223">
        <v>87.956500000000005</v>
      </c>
      <c r="J4223">
        <v>-422.15350000000001</v>
      </c>
      <c r="K4223">
        <v>1.1036969999999999</v>
      </c>
      <c r="L4223">
        <v>88.600009999999997</v>
      </c>
      <c r="M4223">
        <v>5.1747990000000001E-2</v>
      </c>
      <c r="N4223">
        <v>0</v>
      </c>
      <c r="O4223">
        <v>-0.99863299999999999</v>
      </c>
      <c r="P4223">
        <v>0.10747379999999999</v>
      </c>
      <c r="Q4223">
        <v>-3.5389879999999999E-3</v>
      </c>
      <c r="R4223">
        <v>-0.99420149999999996</v>
      </c>
      <c r="S4223">
        <v>0.2118835</v>
      </c>
      <c r="T4223">
        <v>-0.24453249999999899</v>
      </c>
      <c r="U4223">
        <v>-2.993652</v>
      </c>
      <c r="V4223">
        <v>-5.5882319999999999E-2</v>
      </c>
      <c r="W4223">
        <v>3.7773199999999998E-3</v>
      </c>
      <c r="X4223">
        <v>0.99843019999999905</v>
      </c>
      <c r="Y4223">
        <v>-1.8653019999999999E-2</v>
      </c>
      <c r="Z4223">
        <v>8.1141519999999995E-2</v>
      </c>
      <c r="AA4223">
        <v>0.99652799999999997</v>
      </c>
      <c r="AB4223">
        <v>30</v>
      </c>
      <c r="AC4223">
        <v>5.0799999999980999E-2</v>
      </c>
      <c r="AD4223">
        <v>-7.7223999999999904E-2</v>
      </c>
      <c r="AE4223">
        <v>-0.64350999999999203</v>
      </c>
      <c r="AF4223">
        <v>-1.71847349677005E-2</v>
      </c>
      <c r="AG4223">
        <v>-7.7223999999999904E-2</v>
      </c>
      <c r="AH4223">
        <v>0.63617183272816602</v>
      </c>
      <c r="AI4223">
        <v>96.918691960756604</v>
      </c>
      <c r="AJ4223">
        <v>91.547338868781907</v>
      </c>
      <c r="AK4223">
        <v>0.64107211922577401</v>
      </c>
    </row>
    <row r="4224" spans="1:37" x14ac:dyDescent="0.2">
      <c r="A4224" t="str">
        <f>"20200111160253896"</f>
        <v>20200111160253896</v>
      </c>
      <c r="B4224" t="str">
        <f>"1578729773887217"</f>
        <v>1578729773887217</v>
      </c>
      <c r="C4224" t="s">
        <v>37</v>
      </c>
      <c r="D4224">
        <v>5.1101229999999997</v>
      </c>
      <c r="E4224">
        <v>0.51525710000000002</v>
      </c>
      <c r="F4224" t="s">
        <v>42</v>
      </c>
      <c r="G4224">
        <v>-422.08800000000002</v>
      </c>
      <c r="H4224">
        <v>1.028789</v>
      </c>
      <c r="I4224">
        <v>87.68486</v>
      </c>
      <c r="J4224">
        <v>-422.13799999999998</v>
      </c>
      <c r="K4224">
        <v>1.1037489999999901</v>
      </c>
      <c r="L4224">
        <v>88.307919999999996</v>
      </c>
      <c r="M4224">
        <v>5.2007240000000003E-2</v>
      </c>
      <c r="N4224">
        <v>0</v>
      </c>
      <c r="O4224">
        <v>-0.99861719999999898</v>
      </c>
      <c r="P4224">
        <v>0.1079519</v>
      </c>
      <c r="Q4224">
        <v>-4.9749920000000001E-3</v>
      </c>
      <c r="R4224">
        <v>-0.99414360000000002</v>
      </c>
      <c r="S4224">
        <v>0.2151489</v>
      </c>
      <c r="T4224">
        <v>-0.2450716</v>
      </c>
      <c r="U4224">
        <v>-2.993347</v>
      </c>
      <c r="V4224">
        <v>-5.6102949999999999E-2</v>
      </c>
      <c r="W4224">
        <v>2.6481759999999999E-3</v>
      </c>
      <c r="X4224">
        <v>0.99842149999999996</v>
      </c>
      <c r="Y4224">
        <v>-1.948103E-2</v>
      </c>
      <c r="Z4224">
        <v>8.1322030000000003E-2</v>
      </c>
      <c r="AA4224">
        <v>0.99649750000000004</v>
      </c>
      <c r="AB4224">
        <v>30</v>
      </c>
      <c r="AC4224">
        <v>5.0000000000011299E-2</v>
      </c>
      <c r="AD4224">
        <v>-7.4959999999999902E-2</v>
      </c>
      <c r="AE4224">
        <v>-0.62305999999999495</v>
      </c>
      <c r="AF4224">
        <v>-1.7279239941341701E-2</v>
      </c>
      <c r="AG4224">
        <v>-7.4959999999999902E-2</v>
      </c>
      <c r="AH4224">
        <v>0.61595864693799995</v>
      </c>
      <c r="AI4224">
        <v>96.935873534984594</v>
      </c>
      <c r="AJ4224">
        <v>91.606874015283395</v>
      </c>
      <c r="AK4224">
        <v>0.62074360928699202</v>
      </c>
    </row>
    <row r="4225" spans="1:37" x14ac:dyDescent="0.2">
      <c r="A4225" t="str">
        <f>"20200111160253918"</f>
        <v>20200111160253918</v>
      </c>
      <c r="B4225" t="str">
        <f>"1578729773906737"</f>
        <v>1578729773906737</v>
      </c>
      <c r="C4225" t="s">
        <v>37</v>
      </c>
      <c r="D4225">
        <v>5.1056179999999998</v>
      </c>
      <c r="E4225">
        <v>0.51536229999999905</v>
      </c>
      <c r="F4225" t="s">
        <v>42</v>
      </c>
      <c r="G4225">
        <v>-422.07389999999998</v>
      </c>
      <c r="H4225">
        <v>1.0290779999999999</v>
      </c>
      <c r="I4225">
        <v>87.414810000000003</v>
      </c>
      <c r="J4225">
        <v>-422.12220000000002</v>
      </c>
      <c r="K4225">
        <v>1.1037999999999999</v>
      </c>
      <c r="L4225">
        <v>88.009309999999999</v>
      </c>
      <c r="M4225">
        <v>5.2261410000000001E-2</v>
      </c>
      <c r="N4225">
        <v>0</v>
      </c>
      <c r="O4225">
        <v>-0.99860130000000003</v>
      </c>
      <c r="P4225">
        <v>0.10872279999999999</v>
      </c>
      <c r="Q4225">
        <v>-6.3524660000000002E-3</v>
      </c>
      <c r="R4225">
        <v>-0.99405189999999999</v>
      </c>
      <c r="S4225">
        <v>0.2158813</v>
      </c>
      <c r="T4225">
        <v>-0.25028099999999998</v>
      </c>
      <c r="U4225">
        <v>-2.9929809999999999</v>
      </c>
      <c r="V4225">
        <v>-5.6622480000000003E-2</v>
      </c>
      <c r="W4225">
        <v>1.6182099999999999E-3</v>
      </c>
      <c r="X4225">
        <v>0.99839439999999902</v>
      </c>
      <c r="Y4225">
        <v>-1.9467479999999999E-2</v>
      </c>
      <c r="Z4225">
        <v>8.3046560000000005E-2</v>
      </c>
      <c r="AA4225">
        <v>0.99635549999999995</v>
      </c>
      <c r="AB4225">
        <v>30</v>
      </c>
      <c r="AC4225">
        <v>4.83000000000402E-2</v>
      </c>
      <c r="AD4225">
        <v>-7.4721999999999705E-2</v>
      </c>
      <c r="AE4225">
        <v>-0.59449999999999603</v>
      </c>
      <c r="AF4225">
        <v>-1.6898380768108099E-2</v>
      </c>
      <c r="AG4225">
        <v>-7.4721999999999705E-2</v>
      </c>
      <c r="AH4225">
        <v>0.58699941502973696</v>
      </c>
      <c r="AI4225">
        <v>97.251469556509704</v>
      </c>
      <c r="AJ4225">
        <v>91.648960024871201</v>
      </c>
      <c r="AK4225">
        <v>0.59197740311758296</v>
      </c>
    </row>
    <row r="4226" spans="1:37" x14ac:dyDescent="0.2">
      <c r="A4226" t="str">
        <f>"20200111160253940"</f>
        <v>20200111160253940</v>
      </c>
      <c r="B4226" t="str">
        <f>"1578729773936993"</f>
        <v>1578729773936993</v>
      </c>
      <c r="C4226" t="s">
        <v>37</v>
      </c>
      <c r="D4226">
        <v>5.1287500000000001</v>
      </c>
      <c r="E4226">
        <v>0.51535799999999998</v>
      </c>
      <c r="F4226" t="s">
        <v>42</v>
      </c>
      <c r="G4226">
        <v>-422.05959999999999</v>
      </c>
      <c r="H4226">
        <v>1.029917</v>
      </c>
      <c r="I4226">
        <v>87.144260000000003</v>
      </c>
      <c r="J4226">
        <v>-422.10640000000001</v>
      </c>
      <c r="K4226">
        <v>1.1038539999999999</v>
      </c>
      <c r="L4226">
        <v>87.714079999999996</v>
      </c>
      <c r="M4226">
        <v>5.2491620000000003E-2</v>
      </c>
      <c r="N4226">
        <v>0</v>
      </c>
      <c r="O4226">
        <v>-0.99858619999999898</v>
      </c>
      <c r="P4226">
        <v>0.10954990000000001</v>
      </c>
      <c r="Q4226">
        <v>-7.7635269999999897E-3</v>
      </c>
      <c r="R4226">
        <v>-0.99395140000000004</v>
      </c>
      <c r="S4226">
        <v>0.21737670000000001</v>
      </c>
      <c r="T4226">
        <v>-0.25564399999999998</v>
      </c>
      <c r="U4226">
        <v>-2.9925540000000002</v>
      </c>
      <c r="V4226">
        <v>-5.7223330000000003E-2</v>
      </c>
      <c r="W4226">
        <v>5.8919599999999995E-4</v>
      </c>
      <c r="X4226">
        <v>0.99836119999999995</v>
      </c>
      <c r="Y4226">
        <v>-1.9731479999999999E-2</v>
      </c>
      <c r="Z4226">
        <v>8.4822060000000005E-2</v>
      </c>
      <c r="AA4226">
        <v>0.99620069999999905</v>
      </c>
      <c r="AB4226">
        <v>30</v>
      </c>
      <c r="AC4226">
        <v>4.6800000000018799E-2</v>
      </c>
      <c r="AD4226">
        <v>-7.39370000000001E-2</v>
      </c>
      <c r="AE4226">
        <v>-0.56982000000000699</v>
      </c>
      <c r="AF4226">
        <v>-1.6546926621649499E-2</v>
      </c>
      <c r="AG4226">
        <v>-7.39370000000001E-2</v>
      </c>
      <c r="AH4226">
        <v>0.56209090753024005</v>
      </c>
      <c r="AI4226">
        <v>97.490412156300096</v>
      </c>
      <c r="AJ4226">
        <v>91.686195812074899</v>
      </c>
      <c r="AK4226">
        <v>0.56717428457026497</v>
      </c>
    </row>
    <row r="4227" spans="1:37" x14ac:dyDescent="0.2">
      <c r="A4227" t="str">
        <f>"20200111160253964"</f>
        <v>20200111160253964</v>
      </c>
      <c r="B4227" t="str">
        <f>"1578729773957489"</f>
        <v>1578729773957489</v>
      </c>
      <c r="C4227" t="s">
        <v>37</v>
      </c>
      <c r="D4227">
        <v>5.074516</v>
      </c>
      <c r="E4227">
        <v>0.51539809999999997</v>
      </c>
      <c r="F4227" t="s">
        <v>42</v>
      </c>
      <c r="G4227">
        <v>-422.0446</v>
      </c>
      <c r="H4227">
        <v>1.030853</v>
      </c>
      <c r="I4227">
        <v>86.873509999999996</v>
      </c>
      <c r="J4227">
        <v>-422.08920000000001</v>
      </c>
      <c r="K4227">
        <v>1.1039019999999999</v>
      </c>
      <c r="L4227">
        <v>87.392269999999996</v>
      </c>
      <c r="M4227">
        <v>5.2699330000000003E-2</v>
      </c>
      <c r="N4227">
        <v>0</v>
      </c>
      <c r="O4227">
        <v>-0.99857119999999999</v>
      </c>
      <c r="P4227">
        <v>0.10965510000000001</v>
      </c>
      <c r="Q4227">
        <v>-8.339427E-3</v>
      </c>
      <c r="R4227">
        <v>-0.99393500000000001</v>
      </c>
      <c r="S4227">
        <v>0.219696</v>
      </c>
      <c r="T4227">
        <v>-0.25984699999999999</v>
      </c>
      <c r="U4227">
        <v>-2.992035</v>
      </c>
      <c r="V4227">
        <v>-5.7121459999999999E-2</v>
      </c>
      <c r="W4227">
        <v>4.7761599999999999E-4</v>
      </c>
      <c r="X4227">
        <v>0.99836709999999995</v>
      </c>
      <c r="Y4227">
        <v>-2.029512E-2</v>
      </c>
      <c r="Z4227">
        <v>8.6216790000000001E-2</v>
      </c>
      <c r="AA4227">
        <v>0.99606969999999995</v>
      </c>
      <c r="AB4227">
        <v>30</v>
      </c>
      <c r="AC4227">
        <v>4.4600000000002603E-2</v>
      </c>
      <c r="AD4227">
        <v>-7.3048999999999906E-2</v>
      </c>
      <c r="AE4227">
        <v>-0.51876</v>
      </c>
      <c r="AF4227">
        <v>-1.6866653845702601E-2</v>
      </c>
      <c r="AG4227">
        <v>-7.3048999999999906E-2</v>
      </c>
      <c r="AH4227">
        <v>0.51034432398104701</v>
      </c>
      <c r="AI4227">
        <v>98.141413101379499</v>
      </c>
      <c r="AJ4227">
        <v>91.8929111417755</v>
      </c>
      <c r="AK4227">
        <v>0.51582164498266503</v>
      </c>
    </row>
    <row r="4228" spans="1:37" x14ac:dyDescent="0.2">
      <c r="A4228" t="str">
        <f>"20200111160253985"</f>
        <v>20200111160253985</v>
      </c>
      <c r="B4228" t="str">
        <f>"1578729773977009"</f>
        <v>1578729773977009</v>
      </c>
      <c r="C4228" t="s">
        <v>37</v>
      </c>
      <c r="D4228">
        <v>5.1057620000000004</v>
      </c>
      <c r="E4228">
        <v>0.51551959999999997</v>
      </c>
      <c r="F4228" t="s">
        <v>42</v>
      </c>
      <c r="G4228">
        <v>-422.03160000000003</v>
      </c>
      <c r="H4228">
        <v>1.034605</v>
      </c>
      <c r="I4228">
        <v>86.600899999999996</v>
      </c>
      <c r="J4228">
        <v>-422.07380000000001</v>
      </c>
      <c r="K4228">
        <v>1.1039350000000001</v>
      </c>
      <c r="L4228">
        <v>87.103880000000004</v>
      </c>
      <c r="M4228">
        <v>5.2839089999999998E-2</v>
      </c>
      <c r="N4228">
        <v>0</v>
      </c>
      <c r="O4228">
        <v>-0.99856</v>
      </c>
      <c r="P4228">
        <v>0.1103538</v>
      </c>
      <c r="Q4228">
        <v>-8.9597859999999904E-3</v>
      </c>
      <c r="R4228">
        <v>-0.99385249999999903</v>
      </c>
      <c r="S4228">
        <v>0.2189941</v>
      </c>
      <c r="T4228">
        <v>-0.26202559999999903</v>
      </c>
      <c r="U4228">
        <v>-2.991943</v>
      </c>
      <c r="V4228">
        <v>-5.7683680000000001E-2</v>
      </c>
      <c r="W4228">
        <v>3.1501450000000002E-4</v>
      </c>
      <c r="X4228">
        <v>0.99833490000000003</v>
      </c>
      <c r="Y4228">
        <v>-1.9920210000000001E-2</v>
      </c>
      <c r="Z4228">
        <v>8.6936920000000001E-2</v>
      </c>
      <c r="AA4228">
        <v>0.99601469999999903</v>
      </c>
      <c r="AB4228">
        <v>30</v>
      </c>
      <c r="AC4228">
        <v>4.2199999999979802E-2</v>
      </c>
      <c r="AD4228">
        <v>-6.93300000000001E-2</v>
      </c>
      <c r="AE4228">
        <v>-0.50298000000000798</v>
      </c>
      <c r="AF4228">
        <v>-1.5274712868878401E-2</v>
      </c>
      <c r="AG4228">
        <v>-6.93300000000001E-2</v>
      </c>
      <c r="AH4228">
        <v>0.49516509955719301</v>
      </c>
      <c r="AI4228">
        <v>97.966650996035398</v>
      </c>
      <c r="AJ4228">
        <v>91.766883690257202</v>
      </c>
      <c r="AK4228">
        <v>0.50022838941098802</v>
      </c>
    </row>
    <row r="4229" spans="1:37" x14ac:dyDescent="0.2">
      <c r="A4229" t="str">
        <f>"20200111160254008"</f>
        <v>20200111160254008</v>
      </c>
      <c r="B4229" t="str">
        <f>"1578729773996529"</f>
        <v>1578729773996529</v>
      </c>
      <c r="C4229" t="s">
        <v>37</v>
      </c>
      <c r="D4229">
        <v>5.0745449999999996</v>
      </c>
      <c r="E4229">
        <v>0.51561009999999996</v>
      </c>
      <c r="F4229" t="s">
        <v>42</v>
      </c>
      <c r="G4229">
        <v>-422.0172</v>
      </c>
      <c r="H4229">
        <v>1.0356669999999999</v>
      </c>
      <c r="I4229">
        <v>86.330500000000001</v>
      </c>
      <c r="J4229">
        <v>-422.05759999999998</v>
      </c>
      <c r="K4229">
        <v>1.103958</v>
      </c>
      <c r="L4229">
        <v>86.799989999999994</v>
      </c>
      <c r="M4229">
        <v>5.2946590000000002E-2</v>
      </c>
      <c r="N4229">
        <v>0</v>
      </c>
      <c r="O4229">
        <v>-0.99854900000000002</v>
      </c>
      <c r="P4229">
        <v>0.1110013</v>
      </c>
      <c r="Q4229">
        <v>-9.2042410000000002E-3</v>
      </c>
      <c r="R4229">
        <v>-0.99377789999999999</v>
      </c>
      <c r="S4229">
        <v>0.21997069999999999</v>
      </c>
      <c r="T4229">
        <v>-0.26413209999999998</v>
      </c>
      <c r="U4229">
        <v>-2.99175999999999</v>
      </c>
      <c r="V4229">
        <v>-5.8225880000000001E-2</v>
      </c>
      <c r="W4229">
        <v>5.9253379999999996E-4</v>
      </c>
      <c r="X4229">
        <v>0.99830319999999995</v>
      </c>
      <c r="Y4229">
        <v>-2.0135630000000002E-2</v>
      </c>
      <c r="Z4229">
        <v>8.7633799999999998E-2</v>
      </c>
      <c r="AA4229">
        <v>0.99594919999999998</v>
      </c>
      <c r="AB4229">
        <v>30</v>
      </c>
      <c r="AC4229">
        <v>4.0399999999976899E-2</v>
      </c>
      <c r="AD4229">
        <v>-6.8290999999999796E-2</v>
      </c>
      <c r="AE4229">
        <v>-0.46949000000000701</v>
      </c>
      <c r="AF4229">
        <v>-1.51657152091468E-2</v>
      </c>
      <c r="AG4229">
        <v>-6.8290999999999796E-2</v>
      </c>
      <c r="AH4229">
        <v>0.46128248070847</v>
      </c>
      <c r="AI4229">
        <v>98.416756317468497</v>
      </c>
      <c r="AJ4229">
        <v>91.883051347945695</v>
      </c>
      <c r="AK4229">
        <v>0.46655673460723401</v>
      </c>
    </row>
    <row r="4230" spans="1:37" x14ac:dyDescent="0.2">
      <c r="A4230" t="str">
        <f>"20200111160254030"</f>
        <v>20200111160254030</v>
      </c>
      <c r="B4230" t="str">
        <f>"1578729774026785"</f>
        <v>1578729774026785</v>
      </c>
      <c r="C4230" t="s">
        <v>37</v>
      </c>
      <c r="D4230">
        <v>5.0665480000000001</v>
      </c>
      <c r="E4230">
        <v>0.51578889999999999</v>
      </c>
      <c r="F4230" t="s">
        <v>38</v>
      </c>
      <c r="G4230">
        <v>-421.135999999999</v>
      </c>
      <c r="H4230" s="1">
        <v>-2.3407599999999998E-6</v>
      </c>
      <c r="I4230">
        <v>74.340900000000005</v>
      </c>
      <c r="J4230">
        <v>-422.0421</v>
      </c>
      <c r="K4230">
        <v>1.1039840000000001</v>
      </c>
      <c r="L4230">
        <v>86.510219999999904</v>
      </c>
      <c r="M4230">
        <v>5.3010250000000002E-2</v>
      </c>
      <c r="N4230">
        <v>0</v>
      </c>
      <c r="O4230">
        <v>-0.998540599999999</v>
      </c>
      <c r="P4230">
        <v>0.1114301</v>
      </c>
      <c r="Q4230">
        <v>-1.026372E-2</v>
      </c>
      <c r="R4230">
        <v>-0.99371960000000004</v>
      </c>
      <c r="S4230">
        <v>0.22128299999999901</v>
      </c>
      <c r="T4230">
        <v>-0.26507700000000001</v>
      </c>
      <c r="U4230">
        <v>-2.9916079999999998</v>
      </c>
      <c r="V4230">
        <v>-5.859338E-2</v>
      </c>
      <c r="W4230" s="1">
        <v>6.2206180000000006E-5</v>
      </c>
      <c r="X4230">
        <v>0.998282</v>
      </c>
      <c r="Y4230">
        <v>-2.05078E-2</v>
      </c>
      <c r="Z4230">
        <v>8.7947129999999998E-2</v>
      </c>
      <c r="AA4230">
        <v>0.99591399999999997</v>
      </c>
      <c r="AB4230">
        <v>30</v>
      </c>
      <c r="AC4230">
        <v>0.90610000000003699</v>
      </c>
      <c r="AD4230">
        <v>-1.1039863407599999</v>
      </c>
      <c r="AE4230">
        <v>-12.1693199999999</v>
      </c>
      <c r="AF4230">
        <v>-0.25758457344799301</v>
      </c>
      <c r="AG4230">
        <v>-1.1039863407599999</v>
      </c>
      <c r="AH4230">
        <v>12.101200241478301</v>
      </c>
      <c r="AI4230">
        <v>95.211461502838702</v>
      </c>
      <c r="AJ4230">
        <v>91.219406362056802</v>
      </c>
      <c r="AK4230">
        <v>12.1541837626974</v>
      </c>
    </row>
    <row r="4231" spans="1:37" x14ac:dyDescent="0.2">
      <c r="A4231" t="str">
        <f>"20200111160254076"</f>
        <v>20200111160254076</v>
      </c>
      <c r="B4231" t="str">
        <f>"1578729774066801"</f>
        <v>1578729774066801</v>
      </c>
      <c r="C4231" t="s">
        <v>37</v>
      </c>
      <c r="D4231">
        <v>5.0504300000000004</v>
      </c>
      <c r="E4231">
        <v>0.51596730000000002</v>
      </c>
      <c r="F4231" t="s">
        <v>42</v>
      </c>
      <c r="G4231">
        <v>-421.97050000000002</v>
      </c>
      <c r="H4231">
        <v>1.016561</v>
      </c>
      <c r="I4231">
        <v>85.537540000000007</v>
      </c>
      <c r="J4231">
        <v>-422.00920000000002</v>
      </c>
      <c r="K4231">
        <v>1.1040319999999999</v>
      </c>
      <c r="L4231">
        <v>85.88852</v>
      </c>
      <c r="M4231">
        <v>5.2959350000000002E-2</v>
      </c>
      <c r="N4231">
        <v>0</v>
      </c>
      <c r="O4231">
        <v>-0.99853119999999995</v>
      </c>
      <c r="P4231">
        <v>0.1108594</v>
      </c>
      <c r="Q4231">
        <v>-1.2017689999999999E-2</v>
      </c>
      <c r="R4231">
        <v>-0.99376390000000003</v>
      </c>
      <c r="S4231">
        <v>0.2213745</v>
      </c>
      <c r="T4231">
        <v>-0.26888469999999998</v>
      </c>
      <c r="U4231">
        <v>-2.9913639999999999</v>
      </c>
      <c r="V4231">
        <v>-5.8071169999999998E-2</v>
      </c>
      <c r="W4231">
        <v>-5.6979079999999998E-4</v>
      </c>
      <c r="X4231">
        <v>0.99831229999999904</v>
      </c>
      <c r="Y4231">
        <v>-2.0586130000000001E-2</v>
      </c>
      <c r="Z4231">
        <v>8.9207839999999997E-2</v>
      </c>
      <c r="AA4231">
        <v>0.99580029999999997</v>
      </c>
      <c r="AB4231">
        <v>30</v>
      </c>
      <c r="AC4231">
        <v>3.8700000000005702E-2</v>
      </c>
      <c r="AD4231">
        <v>-8.7470999999999799E-2</v>
      </c>
      <c r="AE4231">
        <v>-0.35097999999999202</v>
      </c>
      <c r="AF4231">
        <v>-1.8897185081202701E-2</v>
      </c>
      <c r="AG4231">
        <v>-8.7470999999999799E-2</v>
      </c>
      <c r="AH4231">
        <v>0.33215464577493098</v>
      </c>
      <c r="AI4231">
        <v>104.730763043851</v>
      </c>
      <c r="AJ4231">
        <v>93.256203220013205</v>
      </c>
      <c r="AK4231">
        <v>0.34399852929171498</v>
      </c>
    </row>
    <row r="4232" spans="1:37" x14ac:dyDescent="0.2">
      <c r="A4232" t="str">
        <f>"20200111160254107"</f>
        <v>20200111160254107</v>
      </c>
      <c r="B4232" t="str">
        <f>"1578729774097056"</f>
        <v>1578729774097056</v>
      </c>
      <c r="C4232" t="s">
        <v>37</v>
      </c>
      <c r="D4232">
        <v>5.0870360000000003</v>
      </c>
      <c r="E4232">
        <v>0.52029369999999997</v>
      </c>
      <c r="F4232" t="s">
        <v>42</v>
      </c>
      <c r="G4232">
        <v>-421.94459999999998</v>
      </c>
      <c r="H4232">
        <v>1.0225280000000001</v>
      </c>
      <c r="I4232">
        <v>84.999840000000006</v>
      </c>
      <c r="J4232">
        <v>-421.9871</v>
      </c>
      <c r="K4232">
        <v>1.104047</v>
      </c>
      <c r="L4232">
        <v>85.469269999999995</v>
      </c>
      <c r="M4232">
        <v>5.277801E-2</v>
      </c>
      <c r="N4232">
        <v>0</v>
      </c>
      <c r="O4232">
        <v>-0.99853269999999905</v>
      </c>
      <c r="P4232">
        <v>0.1090778</v>
      </c>
      <c r="Q4232">
        <v>-1.214514E-2</v>
      </c>
      <c r="R4232">
        <v>-0.99395929999999999</v>
      </c>
      <c r="S4232">
        <v>0.2182007</v>
      </c>
      <c r="T4232">
        <v>-0.27434709999999901</v>
      </c>
      <c r="U4232">
        <v>-2.9911500000000002</v>
      </c>
      <c r="V4232">
        <v>-5.646259E-2</v>
      </c>
      <c r="W4232" s="1">
        <v>-2.096326E-5</v>
      </c>
      <c r="X4232">
        <v>0.99840469999999903</v>
      </c>
      <c r="Y4232">
        <v>-1.970964E-2</v>
      </c>
      <c r="Z4232">
        <v>9.1017219999999996E-2</v>
      </c>
      <c r="AA4232">
        <v>0.99565429999999999</v>
      </c>
      <c r="AB4232">
        <v>30</v>
      </c>
      <c r="AC4232">
        <v>4.25000000000181E-2</v>
      </c>
      <c r="AD4232">
        <v>-8.1518999999999897E-2</v>
      </c>
      <c r="AE4232">
        <v>-0.46942999999998802</v>
      </c>
      <c r="AF4232">
        <v>-1.71503716318346E-2</v>
      </c>
      <c r="AG4232">
        <v>-8.1518999999999897E-2</v>
      </c>
      <c r="AH4232">
        <v>0.45733940183357102</v>
      </c>
      <c r="AI4232">
        <v>100.099658327426</v>
      </c>
      <c r="AJ4232">
        <v>92.147603451269802</v>
      </c>
      <c r="AK4232">
        <v>0.46486429318414901</v>
      </c>
    </row>
    <row r="4233" spans="1:37" x14ac:dyDescent="0.2">
      <c r="A4233" t="str">
        <f>"20200111160254153"</f>
        <v>20200111160254153</v>
      </c>
      <c r="B4233" t="str">
        <f>"1578729774146832"</f>
        <v>1578729774146832</v>
      </c>
      <c r="C4233" t="s">
        <v>37</v>
      </c>
      <c r="D4233">
        <v>5.0173300000000003</v>
      </c>
      <c r="E4233">
        <v>0.59755219999999998</v>
      </c>
      <c r="F4233" t="s">
        <v>42</v>
      </c>
      <c r="G4233">
        <v>-421.9427</v>
      </c>
      <c r="H4233">
        <v>1.0363420000000001</v>
      </c>
      <c r="I4233">
        <v>84.723590000000002</v>
      </c>
      <c r="J4233">
        <v>-421.95589999999999</v>
      </c>
      <c r="K4233">
        <v>1.1039969999999999</v>
      </c>
      <c r="L4233">
        <v>84.869079999999997</v>
      </c>
      <c r="M4233">
        <v>5.2270360000000002E-2</v>
      </c>
      <c r="N4233">
        <v>0</v>
      </c>
      <c r="O4233">
        <v>-0.99854929999999997</v>
      </c>
      <c r="P4233">
        <v>0.106124</v>
      </c>
      <c r="Q4233">
        <v>-1.247093E-2</v>
      </c>
      <c r="R4233">
        <v>-0.99427489999999996</v>
      </c>
      <c r="S4233">
        <v>0.1782532</v>
      </c>
      <c r="T4233">
        <v>-0.27196509999999902</v>
      </c>
      <c r="U4233">
        <v>-2.9953609999999999</v>
      </c>
      <c r="V4233">
        <v>-5.400348E-2</v>
      </c>
      <c r="W4233">
        <v>4.6331079999999998E-4</v>
      </c>
      <c r="X4233">
        <v>0.998540599999999</v>
      </c>
      <c r="Y4233">
        <v>-6.8987550000000003E-3</v>
      </c>
      <c r="Z4233">
        <v>9.0158509999999997E-2</v>
      </c>
      <c r="AA4233">
        <v>0.9959036</v>
      </c>
      <c r="AB4233">
        <v>30</v>
      </c>
      <c r="AC4233">
        <v>1.31999999999834E-2</v>
      </c>
      <c r="AD4233">
        <v>-6.7654999999999799E-2</v>
      </c>
      <c r="AE4233">
        <v>-0.145490000000009</v>
      </c>
      <c r="AF4233">
        <v>-4.5917041174258696E-3</v>
      </c>
      <c r="AG4233">
        <v>-6.7654999999999799E-2</v>
      </c>
      <c r="AH4233">
        <v>0.12020116414736599</v>
      </c>
      <c r="AI4233">
        <v>119.355050879796</v>
      </c>
      <c r="AJ4233">
        <v>92.187644447680697</v>
      </c>
      <c r="AK4233">
        <v>0.13800942951147899</v>
      </c>
    </row>
    <row r="4234" spans="1:37" x14ac:dyDescent="0.2">
      <c r="A4234" t="str">
        <f>"20200111160254175"</f>
        <v>20200111160254175</v>
      </c>
      <c r="B4234" t="str">
        <f>"1578729774167329"</f>
        <v>1578729774167329</v>
      </c>
      <c r="C4234" t="s">
        <v>37</v>
      </c>
      <c r="D4234">
        <v>5.0621739999999997</v>
      </c>
      <c r="E4234">
        <v>0.60473840000000001</v>
      </c>
      <c r="F4234" t="s">
        <v>38</v>
      </c>
      <c r="G4234">
        <v>-423.97500000000002</v>
      </c>
      <c r="H4234" s="1">
        <v>-1.6620439999999899E-6</v>
      </c>
      <c r="I4234">
        <v>70.99794</v>
      </c>
      <c r="J4234">
        <v>-421.9409</v>
      </c>
      <c r="K4234">
        <v>1.103961</v>
      </c>
      <c r="L4234">
        <v>84.576049999999995</v>
      </c>
      <c r="M4234">
        <v>5.1929389999999999E-2</v>
      </c>
      <c r="N4234">
        <v>0</v>
      </c>
      <c r="O4234">
        <v>-0.99856309999999904</v>
      </c>
      <c r="P4234">
        <v>0.1048545</v>
      </c>
      <c r="Q4234">
        <v>-1.247945E-2</v>
      </c>
      <c r="R4234">
        <v>-0.99440949999999995</v>
      </c>
      <c r="S4234">
        <v>-0.44567869999999998</v>
      </c>
      <c r="T4234">
        <v>-0.24368480000000001</v>
      </c>
      <c r="U4234">
        <v>-3.0617679999999998</v>
      </c>
      <c r="V4234">
        <v>-5.3068780000000003E-2</v>
      </c>
      <c r="W4234">
        <v>7.8469899999999895E-4</v>
      </c>
      <c r="X4234">
        <v>0.99859050000000005</v>
      </c>
      <c r="Y4234">
        <v>0.19480139999999899</v>
      </c>
      <c r="Z4234">
        <v>7.8009170000000003E-2</v>
      </c>
      <c r="AA4234">
        <v>0.97773559999999904</v>
      </c>
      <c r="AB4234">
        <v>30</v>
      </c>
      <c r="AC4234">
        <v>-2.03410000000002</v>
      </c>
      <c r="AD4234">
        <v>-1.103962662044</v>
      </c>
      <c r="AE4234">
        <v>-13.578109999999899</v>
      </c>
      <c r="AF4234">
        <v>2.7189408520873499</v>
      </c>
      <c r="AG4234">
        <v>-1.103962662044</v>
      </c>
      <c r="AH4234">
        <v>13.3677209704869</v>
      </c>
      <c r="AI4234">
        <v>94.626703979156801</v>
      </c>
      <c r="AJ4234">
        <v>78.503098042803799</v>
      </c>
      <c r="AK4234">
        <v>13.6860270663598</v>
      </c>
    </row>
    <row r="4235" spans="1:37" x14ac:dyDescent="0.2">
      <c r="A4235" t="str">
        <f>"20200111160254197"</f>
        <v>20200111160254197</v>
      </c>
      <c r="B4235" t="str">
        <f>"1578729774186849"</f>
        <v>1578729774186849</v>
      </c>
      <c r="C4235" t="s">
        <v>37</v>
      </c>
      <c r="D4235">
        <v>5.0453539999999997</v>
      </c>
      <c r="E4235">
        <v>0.60740109999999903</v>
      </c>
      <c r="F4235" t="s">
        <v>38</v>
      </c>
      <c r="G4235">
        <v>-424.28469999999999</v>
      </c>
      <c r="H4235" s="1">
        <v>-1.4843799999999901E-6</v>
      </c>
      <c r="I4235">
        <v>70.391719999999907</v>
      </c>
      <c r="J4235">
        <v>-421.92610000000002</v>
      </c>
      <c r="K4235">
        <v>1.103936</v>
      </c>
      <c r="L4235">
        <v>84.282619999999994</v>
      </c>
      <c r="M4235">
        <v>5.1539649999999999E-2</v>
      </c>
      <c r="N4235">
        <v>0</v>
      </c>
      <c r="O4235">
        <v>-0.99857940000000001</v>
      </c>
      <c r="P4235">
        <v>0.10404480000000001</v>
      </c>
      <c r="Q4235">
        <v>-1.2565140000000001E-2</v>
      </c>
      <c r="R4235">
        <v>-0.99449319999999897</v>
      </c>
      <c r="S4235">
        <v>-0.50683590000000001</v>
      </c>
      <c r="T4235">
        <v>-0.23872879999999999</v>
      </c>
      <c r="U4235">
        <v>-3.0673219999999999</v>
      </c>
      <c r="V4235">
        <v>-5.2645450000000003E-2</v>
      </c>
      <c r="W4235">
        <v>9.8830860000000001E-4</v>
      </c>
      <c r="X4235">
        <v>0.99861279999999997</v>
      </c>
      <c r="Y4235">
        <v>0.2131905</v>
      </c>
      <c r="Z4235">
        <v>7.6035450000000004E-2</v>
      </c>
      <c r="AA4235">
        <v>0.97404740000000001</v>
      </c>
      <c r="AB4235">
        <v>30</v>
      </c>
      <c r="AC4235">
        <v>-2.3585999999999601</v>
      </c>
      <c r="AD4235">
        <v>-1.1039374843799901</v>
      </c>
      <c r="AE4235">
        <v>-13.8909</v>
      </c>
      <c r="AF4235">
        <v>3.0527222185326099</v>
      </c>
      <c r="AG4235">
        <v>-1.1039374843799901</v>
      </c>
      <c r="AH4235">
        <v>13.6669634262987</v>
      </c>
      <c r="AI4235">
        <v>94.507394405310094</v>
      </c>
      <c r="AJ4235">
        <v>77.408808582770703</v>
      </c>
      <c r="AK4235">
        <v>14.0471947451699</v>
      </c>
    </row>
    <row r="4236" spans="1:37" x14ac:dyDescent="0.2">
      <c r="A4236" t="str">
        <f>"20200111160254220"</f>
        <v>20200111160254220</v>
      </c>
      <c r="B4236" t="str">
        <f>"1578729774207346"</f>
        <v>1578729774207346</v>
      </c>
      <c r="C4236" t="s">
        <v>37</v>
      </c>
      <c r="D4236">
        <v>5.0705470000000004</v>
      </c>
      <c r="E4236">
        <v>0.60852410000000001</v>
      </c>
      <c r="F4236" t="s">
        <v>38</v>
      </c>
      <c r="G4236">
        <v>-424.3528</v>
      </c>
      <c r="H4236" s="1">
        <v>-1.4364149999999999E-6</v>
      </c>
      <c r="I4236">
        <v>70.237700000000004</v>
      </c>
      <c r="J4236">
        <v>-421.91140000000001</v>
      </c>
      <c r="K4236">
        <v>1.1039129999999999</v>
      </c>
      <c r="L4236">
        <v>83.989069999999998</v>
      </c>
      <c r="M4236">
        <v>5.1094010000000002E-2</v>
      </c>
      <c r="N4236">
        <v>0</v>
      </c>
      <c r="O4236">
        <v>-0.99859909999999996</v>
      </c>
      <c r="P4236">
        <v>0.1036015</v>
      </c>
      <c r="Q4236">
        <v>-1.208393E-2</v>
      </c>
      <c r="R4236">
        <v>-0.99454589999999998</v>
      </c>
      <c r="S4236">
        <v>-0.53027340000000001</v>
      </c>
      <c r="T4236">
        <v>-0.24122729999999901</v>
      </c>
      <c r="U4236">
        <v>-3.0690309999999998</v>
      </c>
      <c r="V4236">
        <v>-5.2644450000000002E-2</v>
      </c>
      <c r="W4236">
        <v>1.7216829999999999E-3</v>
      </c>
      <c r="X4236">
        <v>0.99861180000000005</v>
      </c>
      <c r="Y4236">
        <v>0.21988579999999899</v>
      </c>
      <c r="Z4236">
        <v>7.668113E-2</v>
      </c>
      <c r="AA4236">
        <v>0.97250720000000002</v>
      </c>
      <c r="AB4236">
        <v>30</v>
      </c>
      <c r="AC4236">
        <v>-2.4413999999999798</v>
      </c>
      <c r="AD4236">
        <v>-1.103914436415</v>
      </c>
      <c r="AE4236">
        <v>-13.7513699999999</v>
      </c>
      <c r="AF4236">
        <v>3.1213890308745298</v>
      </c>
      <c r="AG4236">
        <v>-1.103914436415</v>
      </c>
      <c r="AH4236">
        <v>13.5241612776554</v>
      </c>
      <c r="AI4236">
        <v>94.547417151631294</v>
      </c>
      <c r="AJ4236">
        <v>77.003658697118695</v>
      </c>
      <c r="AK4236">
        <v>13.923528102784299</v>
      </c>
    </row>
    <row r="4237" spans="1:37" x14ac:dyDescent="0.2">
      <c r="A4237" t="str">
        <f>"20200111160254242"</f>
        <v>20200111160254242</v>
      </c>
      <c r="B4237" t="str">
        <f>"1578729774236625"</f>
        <v>1578729774236625</v>
      </c>
      <c r="C4237" t="s">
        <v>37</v>
      </c>
      <c r="D4237">
        <v>5.074497</v>
      </c>
      <c r="E4237">
        <v>0.60913909999999905</v>
      </c>
      <c r="F4237" t="s">
        <v>38</v>
      </c>
      <c r="G4237">
        <v>-424.37860000000001</v>
      </c>
      <c r="H4237" s="1">
        <v>-1.3295210000000001E-6</v>
      </c>
      <c r="I4237">
        <v>69.972499999999997</v>
      </c>
      <c r="J4237">
        <v>-421.8965</v>
      </c>
      <c r="K4237">
        <v>1.103893</v>
      </c>
      <c r="L4237">
        <v>83.684780000000003</v>
      </c>
      <c r="M4237">
        <v>5.05788E-2</v>
      </c>
      <c r="N4237">
        <v>0</v>
      </c>
      <c r="O4237">
        <v>-0.99862209999999996</v>
      </c>
      <c r="P4237">
        <v>0.1030088</v>
      </c>
      <c r="Q4237">
        <v>-1.1179939999999999E-2</v>
      </c>
      <c r="R4237">
        <v>-0.9946178</v>
      </c>
      <c r="S4237">
        <v>-0.54034419999999905</v>
      </c>
      <c r="T4237">
        <v>-0.24177029999999999</v>
      </c>
      <c r="U4237">
        <v>-3.0697939999999999</v>
      </c>
      <c r="V4237">
        <v>-5.2562890000000001E-2</v>
      </c>
      <c r="W4237">
        <v>2.8522619999999999E-3</v>
      </c>
      <c r="X4237">
        <v>0.99861350000000004</v>
      </c>
      <c r="Y4237">
        <v>0.2224362</v>
      </c>
      <c r="Z4237">
        <v>7.6793150000000004E-2</v>
      </c>
      <c r="AA4237">
        <v>0.97191819999999896</v>
      </c>
      <c r="AB4237">
        <v>30</v>
      </c>
      <c r="AC4237">
        <v>-2.4821</v>
      </c>
      <c r="AD4237">
        <v>-1.103894329521</v>
      </c>
      <c r="AE4237">
        <v>-13.71228</v>
      </c>
      <c r="AF4237">
        <v>3.1527565444175698</v>
      </c>
      <c r="AG4237">
        <v>-1.103894329521</v>
      </c>
      <c r="AH4237">
        <v>13.484552437061</v>
      </c>
      <c r="AI4237">
        <v>94.557629486755701</v>
      </c>
      <c r="AJ4237">
        <v>76.840348155841994</v>
      </c>
      <c r="AK4237">
        <v>13.8921420575433</v>
      </c>
    </row>
    <row r="4238" spans="1:37" x14ac:dyDescent="0.2">
      <c r="A4238" t="str">
        <f>"20200111160254264"</f>
        <v>20200111160254264</v>
      </c>
      <c r="B4238" t="str">
        <f>"1578729774257120"</f>
        <v>1578729774257120</v>
      </c>
      <c r="C4238" t="s">
        <v>37</v>
      </c>
      <c r="D4238">
        <v>5.0971440000000001</v>
      </c>
      <c r="E4238">
        <v>0.60921999999999998</v>
      </c>
      <c r="F4238" t="s">
        <v>38</v>
      </c>
      <c r="G4238">
        <v>-424.41539999999998</v>
      </c>
      <c r="H4238" s="1">
        <v>-5.0578559999999999E-6</v>
      </c>
      <c r="I4238">
        <v>69.548000000000002</v>
      </c>
      <c r="J4238">
        <v>-421.88209999999998</v>
      </c>
      <c r="K4238">
        <v>1.1038669999999999</v>
      </c>
      <c r="L4238">
        <v>83.391390000000001</v>
      </c>
      <c r="M4238">
        <v>5.0042799999999998E-2</v>
      </c>
      <c r="N4238">
        <v>0</v>
      </c>
      <c r="O4238">
        <v>-0.99864649999999999</v>
      </c>
      <c r="P4238">
        <v>0.102586</v>
      </c>
      <c r="Q4238">
        <v>-1.061609E-2</v>
      </c>
      <c r="R4238">
        <v>-0.99466749999999904</v>
      </c>
      <c r="S4238">
        <v>-0.54705809999999999</v>
      </c>
      <c r="T4238">
        <v>-0.2397417</v>
      </c>
      <c r="U4238">
        <v>-3.0701900000000002</v>
      </c>
      <c r="V4238">
        <v>-5.2672749999999997E-2</v>
      </c>
      <c r="W4238">
        <v>3.6056600000000001E-3</v>
      </c>
      <c r="X4238">
        <v>0.99860530000000003</v>
      </c>
      <c r="Y4238">
        <v>0.223961299999999</v>
      </c>
      <c r="Z4238">
        <v>7.6118359999999996E-2</v>
      </c>
      <c r="AA4238">
        <v>0.97162099999999996</v>
      </c>
      <c r="AB4238">
        <v>29</v>
      </c>
      <c r="AC4238">
        <v>-2.5332999999999899</v>
      </c>
      <c r="AD4238">
        <v>-1.103872057856</v>
      </c>
      <c r="AE4238">
        <v>-13.843389999999999</v>
      </c>
      <c r="AF4238">
        <v>3.2032491277356501</v>
      </c>
      <c r="AG4238">
        <v>-1.103872057856</v>
      </c>
      <c r="AH4238">
        <v>13.6154871866352</v>
      </c>
      <c r="AI4238">
        <v>94.512433051237295</v>
      </c>
      <c r="AJ4238">
        <v>76.761054775228601</v>
      </c>
      <c r="AK4238">
        <v>14.030710239467</v>
      </c>
    </row>
    <row r="4239" spans="1:37" x14ac:dyDescent="0.2">
      <c r="A4239" t="str">
        <f>"20200111160254286"</f>
        <v>20200111160254286</v>
      </c>
      <c r="B4239" t="str">
        <f>"1578729774276641"</f>
        <v>1578729774276641</v>
      </c>
      <c r="C4239" t="s">
        <v>37</v>
      </c>
      <c r="D4239">
        <v>5.2802160000000002</v>
      </c>
      <c r="E4239">
        <v>0.60786450000000003</v>
      </c>
      <c r="F4239" t="s">
        <v>38</v>
      </c>
      <c r="G4239">
        <v>-424.416</v>
      </c>
      <c r="H4239" s="1">
        <v>-4.9471949999999902E-6</v>
      </c>
      <c r="I4239">
        <v>69.222530000000006</v>
      </c>
      <c r="J4239">
        <v>-421.8682</v>
      </c>
      <c r="K4239">
        <v>1.1038490000000001</v>
      </c>
      <c r="L4239">
        <v>83.101410000000001</v>
      </c>
      <c r="M4239">
        <v>4.9485500000000002E-2</v>
      </c>
      <c r="N4239">
        <v>0</v>
      </c>
      <c r="O4239">
        <v>-0.9986718</v>
      </c>
      <c r="P4239">
        <v>0.10180160000000001</v>
      </c>
      <c r="Q4239">
        <v>-1.0904260000000001E-2</v>
      </c>
      <c r="R4239">
        <v>-0.99474499999999999</v>
      </c>
      <c r="S4239">
        <v>-0.54904169999999997</v>
      </c>
      <c r="T4239">
        <v>-0.23919090000000001</v>
      </c>
      <c r="U4239">
        <v>-3.07016</v>
      </c>
      <c r="V4239">
        <v>-5.2442790000000003E-2</v>
      </c>
      <c r="W4239">
        <v>3.4792989999999999E-3</v>
      </c>
      <c r="X4239">
        <v>0.99861789999999995</v>
      </c>
      <c r="Y4239">
        <v>0.22403009999999901</v>
      </c>
      <c r="Z4239">
        <v>7.5943650000000001E-2</v>
      </c>
      <c r="AA4239">
        <v>0.9716188</v>
      </c>
      <c r="AB4239">
        <v>29</v>
      </c>
      <c r="AC4239">
        <v>-2.5477999999999899</v>
      </c>
      <c r="AD4239">
        <v>-1.103853947195</v>
      </c>
      <c r="AE4239">
        <v>-13.878879999999899</v>
      </c>
      <c r="AF4239">
        <v>3.2118965156570698</v>
      </c>
      <c r="AG4239">
        <v>-1.103853947195</v>
      </c>
      <c r="AH4239">
        <v>13.652234886051801</v>
      </c>
      <c r="AI4239">
        <v>94.500263230726802</v>
      </c>
      <c r="AJ4239">
        <v>76.761047075246395</v>
      </c>
      <c r="AK4239">
        <v>14.068343546699399</v>
      </c>
    </row>
    <row r="4240" spans="1:37" x14ac:dyDescent="0.2">
      <c r="A4240" t="str">
        <f>"20200111160254308"</f>
        <v>20200111160254308</v>
      </c>
      <c r="B4240" t="str">
        <f>"1578729774297137"</f>
        <v>1578729774297137</v>
      </c>
      <c r="C4240" t="s">
        <v>37</v>
      </c>
      <c r="D4240">
        <v>5.3090109999999999</v>
      </c>
      <c r="E4240">
        <v>0.60670309999999905</v>
      </c>
      <c r="F4240" t="s">
        <v>38</v>
      </c>
      <c r="G4240">
        <v>-424.30650000000003</v>
      </c>
      <c r="H4240" s="1">
        <v>-4.9397910000000001E-6</v>
      </c>
      <c r="I4240">
        <v>69.257829999999998</v>
      </c>
      <c r="J4240">
        <v>-421.85489999999999</v>
      </c>
      <c r="K4240">
        <v>1.1038410000000001</v>
      </c>
      <c r="L4240">
        <v>82.820920000000001</v>
      </c>
      <c r="M4240">
        <v>4.8926310000000001E-2</v>
      </c>
      <c r="N4240">
        <v>0</v>
      </c>
      <c r="O4240">
        <v>-0.99869759999999996</v>
      </c>
      <c r="P4240">
        <v>0.1010366</v>
      </c>
      <c r="Q4240">
        <v>-1.152009E-2</v>
      </c>
      <c r="R4240">
        <v>-0.99481620000000004</v>
      </c>
      <c r="S4240">
        <v>-0.54046629999999996</v>
      </c>
      <c r="T4240">
        <v>-0.24467339999999899</v>
      </c>
      <c r="U4240">
        <v>-3.0684809999999998</v>
      </c>
      <c r="V4240">
        <v>-5.2234780000000001E-2</v>
      </c>
      <c r="W4240">
        <v>2.9976959999999898E-3</v>
      </c>
      <c r="X4240">
        <v>0.99863029999999997</v>
      </c>
      <c r="Y4240">
        <v>0.2209187</v>
      </c>
      <c r="Z4240">
        <v>7.7765199999999896E-2</v>
      </c>
      <c r="AA4240">
        <v>0.97218700000000002</v>
      </c>
      <c r="AB4240">
        <v>29</v>
      </c>
      <c r="AC4240">
        <v>-2.45160000000004</v>
      </c>
      <c r="AD4240">
        <v>-1.1038459397910001</v>
      </c>
      <c r="AE4240">
        <v>-13.563090000000001</v>
      </c>
      <c r="AF4240">
        <v>3.0924891401822898</v>
      </c>
      <c r="AG4240">
        <v>-1.1038459397910001</v>
      </c>
      <c r="AH4240">
        <v>13.3413102630875</v>
      </c>
      <c r="AI4240">
        <v>94.608186250727897</v>
      </c>
      <c r="AJ4240">
        <v>76.9494316008103</v>
      </c>
      <c r="AK4240">
        <v>13.7394513892259</v>
      </c>
    </row>
    <row r="4241" spans="1:37" x14ac:dyDescent="0.2">
      <c r="A4241" t="str">
        <f>"20200111160254332"</f>
        <v>20200111160254332</v>
      </c>
      <c r="B4241" t="str">
        <f>"1578729774327393"</f>
        <v>1578729774327393</v>
      </c>
      <c r="C4241" t="s">
        <v>37</v>
      </c>
      <c r="D4241">
        <v>5.3268259999999996</v>
      </c>
      <c r="E4241">
        <v>0.60465429999999998</v>
      </c>
      <c r="F4241" t="s">
        <v>38</v>
      </c>
      <c r="G4241">
        <v>-424.21010000000001</v>
      </c>
      <c r="H4241" s="1">
        <v>-4.9286539999999999E-6</v>
      </c>
      <c r="I4241">
        <v>69.27534</v>
      </c>
      <c r="J4241">
        <v>-421.84059999999999</v>
      </c>
      <c r="K4241">
        <v>1.103837</v>
      </c>
      <c r="L4241">
        <v>82.516199999999998</v>
      </c>
      <c r="M4241">
        <v>4.8301480000000001E-2</v>
      </c>
      <c r="N4241">
        <v>0</v>
      </c>
      <c r="O4241">
        <v>-0.99872609999999995</v>
      </c>
      <c r="P4241">
        <v>0.1003665</v>
      </c>
      <c r="Q4241">
        <v>-1.2427209999999999E-2</v>
      </c>
      <c r="R4241">
        <v>-0.99487300000000001</v>
      </c>
      <c r="S4241">
        <v>-0.53326419999999997</v>
      </c>
      <c r="T4241">
        <v>-0.2499275</v>
      </c>
      <c r="U4241">
        <v>-3.0669249999999999</v>
      </c>
      <c r="V4241">
        <v>-5.2188209999999999E-2</v>
      </c>
      <c r="W4241">
        <v>2.2147320000000001E-3</v>
      </c>
      <c r="X4241">
        <v>0.99863480000000004</v>
      </c>
      <c r="Y4241">
        <v>0.2181534</v>
      </c>
      <c r="Z4241">
        <v>7.9508449999999994E-2</v>
      </c>
      <c r="AA4241">
        <v>0.97267029999999999</v>
      </c>
      <c r="AB4241">
        <v>29</v>
      </c>
      <c r="AC4241">
        <v>-2.3695000000000102</v>
      </c>
      <c r="AD4241">
        <v>-1.103841928654</v>
      </c>
      <c r="AE4241">
        <v>-13.2408599999999</v>
      </c>
      <c r="AF4241">
        <v>2.9862448187758002</v>
      </c>
      <c r="AG4241">
        <v>-1.103841928654</v>
      </c>
      <c r="AH4241">
        <v>13.023237269820401</v>
      </c>
      <c r="AI4241">
        <v>94.722783623486606</v>
      </c>
      <c r="AJ4241">
        <v>77.085264267300701</v>
      </c>
      <c r="AK4241">
        <v>13.4067458433118</v>
      </c>
    </row>
    <row r="4242" spans="1:37" x14ac:dyDescent="0.2">
      <c r="A4242" t="str">
        <f>"20200111160254354"</f>
        <v>20200111160254354</v>
      </c>
      <c r="B4242" t="str">
        <f>"1578729774346912"</f>
        <v>1578729774346912</v>
      </c>
      <c r="C4242" t="s">
        <v>37</v>
      </c>
      <c r="D4242">
        <v>5.3194379999999999</v>
      </c>
      <c r="E4242">
        <v>0.60358959999999995</v>
      </c>
      <c r="F4242" t="s">
        <v>38</v>
      </c>
      <c r="G4242">
        <v>-424.00369999999998</v>
      </c>
      <c r="H4242" s="1">
        <v>-1.1257549999999999E-6</v>
      </c>
      <c r="I4242">
        <v>69.730050000000006</v>
      </c>
      <c r="J4242">
        <v>-421.82670000000002</v>
      </c>
      <c r="K4242">
        <v>1.1038330000000001</v>
      </c>
      <c r="L4242">
        <v>82.212590000000006</v>
      </c>
      <c r="M4242">
        <v>4.7666680000000003E-2</v>
      </c>
      <c r="N4242">
        <v>0</v>
      </c>
      <c r="O4242">
        <v>-0.99875519999999995</v>
      </c>
      <c r="P4242">
        <v>9.9929610000000002E-2</v>
      </c>
      <c r="Q4242">
        <v>-1.303704E-2</v>
      </c>
      <c r="R4242">
        <v>-0.99490919999999905</v>
      </c>
      <c r="S4242">
        <v>-0.51843260000000002</v>
      </c>
      <c r="T4242">
        <v>-0.26455909999999999</v>
      </c>
      <c r="U4242">
        <v>-3.0644840000000002</v>
      </c>
      <c r="V4242">
        <v>-5.2384939999999998E-2</v>
      </c>
      <c r="W4242">
        <v>1.709286E-3</v>
      </c>
      <c r="X4242">
        <v>0.99862549999999894</v>
      </c>
      <c r="Y4242">
        <v>0.21302260000000001</v>
      </c>
      <c r="Z4242">
        <v>8.4281999999999996E-2</v>
      </c>
      <c r="AA4242">
        <v>0.97340530000000003</v>
      </c>
      <c r="AB4242">
        <v>29</v>
      </c>
      <c r="AC4242">
        <v>-2.1769999999999601</v>
      </c>
      <c r="AD4242">
        <v>-1.103834125755</v>
      </c>
      <c r="AE4242">
        <v>-12.48254</v>
      </c>
      <c r="AF4242">
        <v>2.7487300378769399</v>
      </c>
      <c r="AG4242">
        <v>-1.103834125755</v>
      </c>
      <c r="AH4242">
        <v>12.271437574030299</v>
      </c>
      <c r="AI4242">
        <v>95.016361685216296</v>
      </c>
      <c r="AJ4242">
        <v>77.3744831356085</v>
      </c>
      <c r="AK4242">
        <v>12.6238720974047</v>
      </c>
    </row>
    <row r="4243" spans="1:37" x14ac:dyDescent="0.2">
      <c r="A4243" t="str">
        <f>"20200111160254381"</f>
        <v>20200111160254381</v>
      </c>
      <c r="B4243" t="str">
        <f>"1578729774377169"</f>
        <v>1578729774377169</v>
      </c>
      <c r="C4243" t="s">
        <v>37</v>
      </c>
      <c r="D4243">
        <v>5.3203649999999998</v>
      </c>
      <c r="E4243">
        <v>0.60270069999999998</v>
      </c>
      <c r="F4243" t="s">
        <v>38</v>
      </c>
      <c r="G4243">
        <v>-423.89069999999998</v>
      </c>
      <c r="H4243" s="1">
        <v>-1.1433589999999899E-6</v>
      </c>
      <c r="I4243">
        <v>69.841160000000002</v>
      </c>
      <c r="J4243">
        <v>-421.81189999999998</v>
      </c>
      <c r="K4243">
        <v>1.103836</v>
      </c>
      <c r="L4243">
        <v>81.886080000000007</v>
      </c>
      <c r="M4243">
        <v>4.6978390000000002E-2</v>
      </c>
      <c r="N4243">
        <v>0</v>
      </c>
      <c r="O4243">
        <v>-0.99878619999999996</v>
      </c>
      <c r="P4243">
        <v>9.8957779999999995E-2</v>
      </c>
      <c r="Q4243">
        <v>-1.384819E-2</v>
      </c>
      <c r="R4243">
        <v>-0.99499519999999997</v>
      </c>
      <c r="S4243">
        <v>-0.51104740000000004</v>
      </c>
      <c r="T4243">
        <v>-0.27330460000000001</v>
      </c>
      <c r="U4243">
        <v>-3.06311</v>
      </c>
      <c r="V4243">
        <v>-5.2098789999999999E-2</v>
      </c>
      <c r="W4243">
        <v>9.9307669999999901E-4</v>
      </c>
      <c r="X4243">
        <v>0.99864140000000001</v>
      </c>
      <c r="Y4243">
        <v>0.21009729999999999</v>
      </c>
      <c r="Z4243">
        <v>8.7134340000000005E-2</v>
      </c>
      <c r="AA4243">
        <v>0.97378989999999999</v>
      </c>
      <c r="AB4243">
        <v>29</v>
      </c>
      <c r="AC4243">
        <v>-2.0788000000000002</v>
      </c>
      <c r="AD4243">
        <v>-1.103837143359</v>
      </c>
      <c r="AE4243">
        <v>-12.044919999999999</v>
      </c>
      <c r="AF4243">
        <v>2.62104115110112</v>
      </c>
      <c r="AG4243">
        <v>-1.103837143359</v>
      </c>
      <c r="AH4243">
        <v>11.8374080109994</v>
      </c>
      <c r="AI4243">
        <v>95.202139775586005</v>
      </c>
      <c r="AJ4243">
        <v>77.514990192230002</v>
      </c>
      <c r="AK4243">
        <v>12.174257331504799</v>
      </c>
    </row>
    <row r="4244" spans="1:37" x14ac:dyDescent="0.2">
      <c r="A4244" t="str">
        <f>"20200111160254402"</f>
        <v>20200111160254402</v>
      </c>
      <c r="B4244" t="str">
        <f>"1578729774396689"</f>
        <v>1578729774396689</v>
      </c>
      <c r="C4244" t="s">
        <v>37</v>
      </c>
      <c r="D4244">
        <v>5.3340559999999897</v>
      </c>
      <c r="E4244">
        <v>0.60216210000000003</v>
      </c>
      <c r="F4244" t="s">
        <v>38</v>
      </c>
      <c r="G4244">
        <v>-423.80779999999999</v>
      </c>
      <c r="H4244" s="1">
        <v>-1.118755E-6</v>
      </c>
      <c r="I4244">
        <v>69.835239999999999</v>
      </c>
      <c r="J4244">
        <v>-421.79930000000002</v>
      </c>
      <c r="K4244">
        <v>1.1038399999999999</v>
      </c>
      <c r="L4244">
        <v>81.605469999999997</v>
      </c>
      <c r="M4244">
        <v>4.6385170000000003E-2</v>
      </c>
      <c r="N4244">
        <v>0</v>
      </c>
      <c r="O4244">
        <v>-0.99881299999999995</v>
      </c>
      <c r="P4244">
        <v>9.7875760000000006E-2</v>
      </c>
      <c r="Q4244">
        <v>-1.397957E-2</v>
      </c>
      <c r="R4244">
        <v>-0.99510089999999995</v>
      </c>
      <c r="S4244">
        <v>-0.50708009999999903</v>
      </c>
      <c r="T4244">
        <v>-0.28043899999999999</v>
      </c>
      <c r="U4244">
        <v>-3.0616150000000002</v>
      </c>
      <c r="V4244">
        <v>-5.160642E-2</v>
      </c>
      <c r="W4244">
        <v>9.3013459999999998E-4</v>
      </c>
      <c r="X4244">
        <v>0.99866710000000003</v>
      </c>
      <c r="Y4244">
        <v>0.20833189999999999</v>
      </c>
      <c r="Z4244">
        <v>8.9463420000000002E-2</v>
      </c>
      <c r="AA4244">
        <v>0.97395799999999999</v>
      </c>
      <c r="AB4244">
        <v>29</v>
      </c>
      <c r="AC4244">
        <v>-2.0084999999999602</v>
      </c>
      <c r="AD4244">
        <v>-1.1038411187549999</v>
      </c>
      <c r="AE4244">
        <v>-11.7702299999999</v>
      </c>
      <c r="AF4244">
        <v>2.53073370191805</v>
      </c>
      <c r="AG4244">
        <v>-1.1038411187549999</v>
      </c>
      <c r="AH4244">
        <v>11.5655406644747</v>
      </c>
      <c r="AI4244">
        <v>95.326643151830794</v>
      </c>
      <c r="AJ4244">
        <v>77.657264434618696</v>
      </c>
      <c r="AK4244">
        <v>11.8905344348812</v>
      </c>
    </row>
    <row r="4245" spans="1:37" x14ac:dyDescent="0.2">
      <c r="A4245" t="str">
        <f>"20200111160254422"</f>
        <v>20200111160254422</v>
      </c>
      <c r="B4245" t="str">
        <f>"1578729774417185"</f>
        <v>1578729774417185</v>
      </c>
      <c r="C4245" t="s">
        <v>37</v>
      </c>
      <c r="D4245">
        <v>5.3017880000000002</v>
      </c>
      <c r="E4245">
        <v>0.60177460000000005</v>
      </c>
      <c r="F4245" t="s">
        <v>38</v>
      </c>
      <c r="G4245">
        <v>-423.7645</v>
      </c>
      <c r="H4245" s="1">
        <v>-1.055436E-6</v>
      </c>
      <c r="I4245">
        <v>69.714500000000001</v>
      </c>
      <c r="J4245">
        <v>-421.78800000000001</v>
      </c>
      <c r="K4245">
        <v>1.1038520000000001</v>
      </c>
      <c r="L4245">
        <v>81.349429999999998</v>
      </c>
      <c r="M4245">
        <v>4.5844099999999999E-2</v>
      </c>
      <c r="N4245">
        <v>0</v>
      </c>
      <c r="O4245">
        <v>-0.99883739999999999</v>
      </c>
      <c r="P4245">
        <v>9.6905530000000004E-2</v>
      </c>
      <c r="Q4245">
        <v>-1.384998E-2</v>
      </c>
      <c r="R4245">
        <v>-0.99519729999999995</v>
      </c>
      <c r="S4245">
        <v>-0.50579830000000003</v>
      </c>
      <c r="T4245">
        <v>-0.28410839999999998</v>
      </c>
      <c r="U4245">
        <v>-3.0605159999999998</v>
      </c>
      <c r="V4245">
        <v>-5.1173059999999999E-2</v>
      </c>
      <c r="W4245">
        <v>1.1132399999999999E-3</v>
      </c>
      <c r="X4245">
        <v>0.99868919999999906</v>
      </c>
      <c r="Y4245">
        <v>0.20744369999999901</v>
      </c>
      <c r="Z4245">
        <v>9.0671199999999993E-2</v>
      </c>
      <c r="AA4245">
        <v>0.97403589999999995</v>
      </c>
      <c r="AB4245">
        <v>29</v>
      </c>
      <c r="AC4245">
        <v>-1.9764999999999799</v>
      </c>
      <c r="AD4245">
        <v>-1.103853055436</v>
      </c>
      <c r="AE4245">
        <v>-11.634929999999899</v>
      </c>
      <c r="AF4245">
        <v>2.4861234651851301</v>
      </c>
      <c r="AG4245">
        <v>-1.103853055436</v>
      </c>
      <c r="AH4245">
        <v>11.4320587247002</v>
      </c>
      <c r="AI4245">
        <v>95.390034599283894</v>
      </c>
      <c r="AJ4245">
        <v>77.730951252638803</v>
      </c>
      <c r="AK4245">
        <v>11.751224112284399</v>
      </c>
    </row>
    <row r="4246" spans="1:37" x14ac:dyDescent="0.2">
      <c r="A4246" t="str">
        <f>"20200111160254444"</f>
        <v>20200111160254444</v>
      </c>
      <c r="B4246" t="str">
        <f>"1578729774436705"</f>
        <v>1578729774436705</v>
      </c>
      <c r="C4246" t="s">
        <v>37</v>
      </c>
      <c r="D4246">
        <v>5.3629350000000002</v>
      </c>
      <c r="E4246">
        <v>0.60147839999999997</v>
      </c>
      <c r="F4246" t="s">
        <v>38</v>
      </c>
      <c r="G4246">
        <v>-423.7423</v>
      </c>
      <c r="H4246" s="1">
        <v>-4.9304339999999999E-6</v>
      </c>
      <c r="I4246">
        <v>69.524410000000003</v>
      </c>
      <c r="J4246">
        <v>-421.77539999999999</v>
      </c>
      <c r="K4246">
        <v>1.1038589999999999</v>
      </c>
      <c r="L4246">
        <v>81.058930000000004</v>
      </c>
      <c r="M4246">
        <v>4.5229220000000001E-2</v>
      </c>
      <c r="N4246">
        <v>0</v>
      </c>
      <c r="O4246">
        <v>-0.99886450000000004</v>
      </c>
      <c r="P4246">
        <v>9.6137360000000005E-2</v>
      </c>
      <c r="Q4246">
        <v>-1.293802E-2</v>
      </c>
      <c r="R4246">
        <v>-0.99528419999999895</v>
      </c>
      <c r="S4246">
        <v>-0.50567629999999997</v>
      </c>
      <c r="T4246">
        <v>-0.28562579999999999</v>
      </c>
      <c r="U4246">
        <v>-3.05975299999999</v>
      </c>
      <c r="V4246">
        <v>-5.1015829999999998E-2</v>
      </c>
      <c r="W4246">
        <v>2.0774029999999998E-3</v>
      </c>
      <c r="X4246">
        <v>0.99869569999999996</v>
      </c>
      <c r="Y4246">
        <v>0.2068352</v>
      </c>
      <c r="Z4246">
        <v>9.1183719999999996E-2</v>
      </c>
      <c r="AA4246">
        <v>0.97411740000000002</v>
      </c>
      <c r="AB4246">
        <v>29</v>
      </c>
      <c r="AC4246">
        <v>-1.9669000000000001</v>
      </c>
      <c r="AD4246">
        <v>-1.1038639304340001</v>
      </c>
      <c r="AE4246">
        <v>-11.534520000000001</v>
      </c>
      <c r="AF4246">
        <v>2.4647069089547999</v>
      </c>
      <c r="AG4246">
        <v>-1.1038639304340001</v>
      </c>
      <c r="AH4246">
        <v>11.3328808349876</v>
      </c>
      <c r="AI4246">
        <v>95.4369614142784</v>
      </c>
      <c r="AJ4246">
        <v>77.730219398204</v>
      </c>
      <c r="AK4246">
        <v>11.6502138926284</v>
      </c>
    </row>
    <row r="4247" spans="1:37" x14ac:dyDescent="0.2">
      <c r="A4247" t="str">
        <f>"20200111160254465"</f>
        <v>20200111160254465</v>
      </c>
      <c r="B4247" t="str">
        <f>"1578729774457201"</f>
        <v>1578729774457201</v>
      </c>
      <c r="C4247" t="s">
        <v>37</v>
      </c>
      <c r="D4247">
        <v>5.3527199999999997</v>
      </c>
      <c r="E4247">
        <v>0.6013522</v>
      </c>
      <c r="F4247" t="s">
        <v>38</v>
      </c>
      <c r="G4247">
        <v>-423.73610000000002</v>
      </c>
      <c r="H4247" s="1">
        <v>-4.8140230000000004E-6</v>
      </c>
      <c r="I4247">
        <v>69.185590000000005</v>
      </c>
      <c r="J4247">
        <v>-421.7629</v>
      </c>
      <c r="K4247">
        <v>1.1038749999999999</v>
      </c>
      <c r="L4247">
        <v>80.768649999999994</v>
      </c>
      <c r="M4247">
        <v>4.4609540000000003E-2</v>
      </c>
      <c r="N4247">
        <v>0</v>
      </c>
      <c r="O4247">
        <v>-0.99889189999999894</v>
      </c>
      <c r="P4247">
        <v>9.501859E-2</v>
      </c>
      <c r="Q4247">
        <v>-1.1970939999999999E-2</v>
      </c>
      <c r="R4247">
        <v>-0.99540360000000006</v>
      </c>
      <c r="S4247">
        <v>-0.50518799999999997</v>
      </c>
      <c r="T4247">
        <v>-0.28442279999999998</v>
      </c>
      <c r="U4247">
        <v>-3.0592959999999998</v>
      </c>
      <c r="V4247">
        <v>-5.0510899999999997E-2</v>
      </c>
      <c r="W4247">
        <v>3.0887709999999902E-3</v>
      </c>
      <c r="X4247">
        <v>0.99871869999999996</v>
      </c>
      <c r="Y4247">
        <v>0.20610580000000001</v>
      </c>
      <c r="Z4247">
        <v>9.0828309999999995E-2</v>
      </c>
      <c r="AA4247">
        <v>0.97430519999999998</v>
      </c>
      <c r="AB4247">
        <v>29</v>
      </c>
      <c r="AC4247">
        <v>-1.97320000000002</v>
      </c>
      <c r="AD4247">
        <v>-1.103879814023</v>
      </c>
      <c r="AE4247">
        <v>-11.5830599999999</v>
      </c>
      <c r="AF4247">
        <v>2.4662408367778199</v>
      </c>
      <c r="AG4247">
        <v>-1.103879814023</v>
      </c>
      <c r="AH4247">
        <v>11.383024288902201</v>
      </c>
      <c r="AI4247">
        <v>95.414149472770205</v>
      </c>
      <c r="AJ4247">
        <v>77.775267196742703</v>
      </c>
      <c r="AK4247">
        <v>11.699322051748799</v>
      </c>
    </row>
    <row r="4248" spans="1:37" x14ac:dyDescent="0.2">
      <c r="A4248" t="str">
        <f>"20200111160254487"</f>
        <v>20200111160254487</v>
      </c>
      <c r="B4248" t="str">
        <f>"1578729774476721"</f>
        <v>1578729774476721</v>
      </c>
      <c r="C4248" t="s">
        <v>37</v>
      </c>
      <c r="D4248">
        <v>5.2801549999999997</v>
      </c>
      <c r="E4248">
        <v>0.60094159999999996</v>
      </c>
      <c r="F4248" t="s">
        <v>38</v>
      </c>
      <c r="G4248">
        <v>-423.7432</v>
      </c>
      <c r="H4248" s="1">
        <v>-4.6954809999999999E-6</v>
      </c>
      <c r="I4248">
        <v>68.833539999999999</v>
      </c>
      <c r="J4248">
        <v>-421.7516</v>
      </c>
      <c r="K4248">
        <v>1.1038790000000001</v>
      </c>
      <c r="L4248">
        <v>80.501859999999994</v>
      </c>
      <c r="M4248">
        <v>4.402967E-2</v>
      </c>
      <c r="N4248">
        <v>0</v>
      </c>
      <c r="O4248">
        <v>-0.99891700000000005</v>
      </c>
      <c r="P4248">
        <v>9.3979679999999996E-2</v>
      </c>
      <c r="Q4248">
        <v>-1.2885860000000001E-2</v>
      </c>
      <c r="R4248">
        <v>-0.99549109999999996</v>
      </c>
      <c r="S4248">
        <v>-0.50753779999999904</v>
      </c>
      <c r="T4248">
        <v>-0.28291820000000001</v>
      </c>
      <c r="U4248">
        <v>-3.0588989999999998</v>
      </c>
      <c r="V4248">
        <v>-5.0049549999999998E-2</v>
      </c>
      <c r="W4248">
        <v>2.20901E-3</v>
      </c>
      <c r="X4248">
        <v>0.99874430000000003</v>
      </c>
      <c r="Y4248">
        <v>0.2062937</v>
      </c>
      <c r="Z4248">
        <v>9.0359490000000001E-2</v>
      </c>
      <c r="AA4248">
        <v>0.97430899999999998</v>
      </c>
      <c r="AB4248">
        <v>29</v>
      </c>
      <c r="AC4248">
        <v>-1.9916</v>
      </c>
      <c r="AD4248">
        <v>-1.1038836954809901</v>
      </c>
      <c r="AE4248">
        <v>-11.6683199999999</v>
      </c>
      <c r="AF4248">
        <v>2.48189407204584</v>
      </c>
      <c r="AG4248">
        <v>-1.1038836954809901</v>
      </c>
      <c r="AH4248">
        <v>11.4695541978772</v>
      </c>
      <c r="AI4248">
        <v>95.373860303844197</v>
      </c>
      <c r="AJ4248">
        <v>77.790032410046393</v>
      </c>
      <c r="AK4248">
        <v>11.7868159778648</v>
      </c>
    </row>
    <row r="4249" spans="1:37" x14ac:dyDescent="0.2">
      <c r="A4249" t="str">
        <f>"20200111160254510"</f>
        <v>20200111160254510</v>
      </c>
      <c r="B4249" t="str">
        <f>"1578729774506977"</f>
        <v>1578729774506977</v>
      </c>
      <c r="C4249" t="s">
        <v>37</v>
      </c>
      <c r="D4249">
        <v>5.7170940000000003</v>
      </c>
      <c r="E4249">
        <v>0.54345889999999997</v>
      </c>
      <c r="F4249" t="s">
        <v>38</v>
      </c>
      <c r="G4249">
        <v>-423.7038</v>
      </c>
      <c r="H4249" s="1">
        <v>-4.6559359999999999E-6</v>
      </c>
      <c r="I4249">
        <v>68.737859999999998</v>
      </c>
      <c r="J4249">
        <v>-421.73950000000002</v>
      </c>
      <c r="K4249">
        <v>1.1038790000000001</v>
      </c>
      <c r="L4249">
        <v>80.209779999999995</v>
      </c>
      <c r="M4249">
        <v>4.337452E-2</v>
      </c>
      <c r="N4249">
        <v>0</v>
      </c>
      <c r="O4249">
        <v>-0.99894519999999998</v>
      </c>
      <c r="P4249">
        <v>9.3082929999999994E-2</v>
      </c>
      <c r="Q4249">
        <v>-1.3256810000000001E-2</v>
      </c>
      <c r="R4249">
        <v>-0.99557019999999996</v>
      </c>
      <c r="S4249">
        <v>-0.50741579999999997</v>
      </c>
      <c r="T4249">
        <v>-0.28692800000000002</v>
      </c>
      <c r="U4249">
        <v>-3.0577700000000001</v>
      </c>
      <c r="V4249">
        <v>-4.9806219999999998E-2</v>
      </c>
      <c r="W4249">
        <v>1.87141E-3</v>
      </c>
      <c r="X4249">
        <v>0.99875709999999995</v>
      </c>
      <c r="Y4249">
        <v>0.20565259999999999</v>
      </c>
      <c r="Z4249">
        <v>9.1672820000000002E-2</v>
      </c>
      <c r="AA4249">
        <v>0.97432180000000002</v>
      </c>
      <c r="AB4249">
        <v>29</v>
      </c>
      <c r="AC4249">
        <v>-1.96429999999998</v>
      </c>
      <c r="AD4249">
        <v>-1.1038836559359999</v>
      </c>
      <c r="AE4249">
        <v>-11.471920000000001</v>
      </c>
      <c r="AF4249">
        <v>2.4381640201831098</v>
      </c>
      <c r="AG4249">
        <v>-1.1038836559359999</v>
      </c>
      <c r="AH4249">
        <v>11.2744913630372</v>
      </c>
      <c r="AI4249">
        <v>95.466427644771599</v>
      </c>
      <c r="AJ4249">
        <v>77.797413773641907</v>
      </c>
      <c r="AK4249">
        <v>11.587810768663701</v>
      </c>
    </row>
    <row r="4250" spans="1:37" x14ac:dyDescent="0.2">
      <c r="A4250" t="str">
        <f>"20200111160254533"</f>
        <v>20200111160254533</v>
      </c>
      <c r="B4250" t="str">
        <f>"1578729774527473"</f>
        <v>1578729774527473</v>
      </c>
      <c r="C4250" t="s">
        <v>37</v>
      </c>
      <c r="D4250">
        <v>5.3153079999999999</v>
      </c>
      <c r="E4250">
        <v>0.45807769999999998</v>
      </c>
      <c r="F4250" t="s">
        <v>38</v>
      </c>
      <c r="G4250">
        <v>-422.51049999999998</v>
      </c>
      <c r="H4250" s="1">
        <v>-2.404974E-6</v>
      </c>
      <c r="I4250">
        <v>43.638080000000002</v>
      </c>
      <c r="J4250">
        <v>-421.72730000000001</v>
      </c>
      <c r="K4250">
        <v>1.103864</v>
      </c>
      <c r="L4250">
        <v>79.912199999999999</v>
      </c>
      <c r="M4250">
        <v>4.2672960000000003E-2</v>
      </c>
      <c r="N4250">
        <v>0</v>
      </c>
      <c r="O4250">
        <v>-0.99897479999999905</v>
      </c>
      <c r="P4250">
        <v>9.2125209999999999E-2</v>
      </c>
      <c r="Q4250">
        <v>-1.330725E-2</v>
      </c>
      <c r="R4250">
        <v>-0.995658499999999</v>
      </c>
      <c r="S4250">
        <v>-6.3629149999999995E-2</v>
      </c>
      <c r="T4250">
        <v>-9.1098310000000002E-2</v>
      </c>
      <c r="U4250">
        <v>-3.018097</v>
      </c>
      <c r="V4250">
        <v>-4.9546189999999997E-2</v>
      </c>
      <c r="W4250">
        <v>1.849952E-3</v>
      </c>
      <c r="X4250">
        <v>0.99877009999999899</v>
      </c>
      <c r="Y4250">
        <v>6.3717430000000005E-2</v>
      </c>
      <c r="Z4250">
        <v>3.009506E-2</v>
      </c>
      <c r="AA4250">
        <v>0.99751409999999996</v>
      </c>
      <c r="AB4250">
        <v>29</v>
      </c>
      <c r="AC4250">
        <v>-0.78319999999996504</v>
      </c>
      <c r="AD4250">
        <v>-1.1038664049739999</v>
      </c>
      <c r="AE4250">
        <v>-36.274120000000003</v>
      </c>
      <c r="AF4250">
        <v>2.3284320018066502</v>
      </c>
      <c r="AG4250">
        <v>-1.1038664049739999</v>
      </c>
      <c r="AH4250">
        <v>36.174161025108901</v>
      </c>
      <c r="AI4250">
        <v>91.744249770165894</v>
      </c>
      <c r="AJ4250">
        <v>86.317107716612597</v>
      </c>
      <c r="AK4250">
        <v>36.265824718287803</v>
      </c>
    </row>
    <row r="4251" spans="1:37" x14ac:dyDescent="0.2">
      <c r="A4251" t="str">
        <f>"20200111160254554"</f>
        <v>20200111160254554</v>
      </c>
      <c r="B4251" t="str">
        <f>"1578729774546994"</f>
        <v>1578729774546994</v>
      </c>
      <c r="C4251" t="s">
        <v>37</v>
      </c>
      <c r="D4251">
        <v>5.2351489999999998</v>
      </c>
      <c r="E4251">
        <v>0.45104509999999998</v>
      </c>
      <c r="F4251" t="s">
        <v>38</v>
      </c>
      <c r="G4251">
        <v>-414.79140000000001</v>
      </c>
      <c r="H4251" s="1">
        <v>-3.862182E-6</v>
      </c>
      <c r="I4251">
        <v>46.481929999999998</v>
      </c>
      <c r="J4251">
        <v>-421.71600000000001</v>
      </c>
      <c r="K4251">
        <v>1.103847</v>
      </c>
      <c r="L4251">
        <v>79.628540000000001</v>
      </c>
      <c r="M4251">
        <v>4.1974369999999997E-2</v>
      </c>
      <c r="N4251">
        <v>0</v>
      </c>
      <c r="O4251">
        <v>-0.99900449999999996</v>
      </c>
      <c r="P4251">
        <v>9.0780540000000007E-2</v>
      </c>
      <c r="Q4251">
        <v>-1.317626E-2</v>
      </c>
      <c r="R4251">
        <v>-0.99578429999999996</v>
      </c>
      <c r="S4251">
        <v>0.61309809999999998</v>
      </c>
      <c r="T4251">
        <v>-9.7575659999999995E-2</v>
      </c>
      <c r="U4251">
        <v>-2.9550480000000001</v>
      </c>
      <c r="V4251">
        <v>-4.8895609999999999E-2</v>
      </c>
      <c r="W4251">
        <v>2.0049239999999999E-3</v>
      </c>
      <c r="X4251">
        <v>0.99880190000000002</v>
      </c>
      <c r="Y4251">
        <v>-0.16175909999999999</v>
      </c>
      <c r="Z4251">
        <v>3.2396580000000001E-2</v>
      </c>
      <c r="AA4251">
        <v>0.98629840000000002</v>
      </c>
      <c r="AB4251">
        <v>29</v>
      </c>
      <c r="AC4251">
        <v>6.9245999999999901</v>
      </c>
      <c r="AD4251">
        <v>-1.103850862182</v>
      </c>
      <c r="AE4251">
        <v>-33.146609999999903</v>
      </c>
      <c r="AF4251">
        <v>-5.5211619816759301</v>
      </c>
      <c r="AG4251">
        <v>-1.103850862182</v>
      </c>
      <c r="AH4251">
        <v>33.372616252775799</v>
      </c>
      <c r="AI4251">
        <v>91.869068305307195</v>
      </c>
      <c r="AJ4251">
        <v>99.393919246429803</v>
      </c>
      <c r="AK4251">
        <v>33.844249613617997</v>
      </c>
    </row>
    <row r="4252" spans="1:37" x14ac:dyDescent="0.2">
      <c r="A4252" t="str">
        <f>"20200111160254579"</f>
        <v>20200111160254579</v>
      </c>
      <c r="B4252" t="str">
        <f>"1578729774567489"</f>
        <v>1578729774567489</v>
      </c>
      <c r="C4252" t="s">
        <v>37</v>
      </c>
      <c r="D4252">
        <v>5.2002730000000001</v>
      </c>
      <c r="E4252">
        <v>0.447347099999999</v>
      </c>
      <c r="F4252" t="s">
        <v>38</v>
      </c>
      <c r="G4252">
        <v>-416.31709999999998</v>
      </c>
      <c r="H4252" s="1">
        <v>-3.271532E-6</v>
      </c>
      <c r="I4252">
        <v>55.735979999999998</v>
      </c>
      <c r="J4252">
        <v>-421.70409999999998</v>
      </c>
      <c r="K4252">
        <v>1.103818</v>
      </c>
      <c r="L4252">
        <v>79.324619999999996</v>
      </c>
      <c r="M4252">
        <v>4.1182839999999998E-2</v>
      </c>
      <c r="N4252">
        <v>0</v>
      </c>
      <c r="O4252">
        <v>-0.99903699999999995</v>
      </c>
      <c r="P4252">
        <v>9.0380810000000006E-2</v>
      </c>
      <c r="Q4252">
        <v>-1.339678E-2</v>
      </c>
      <c r="R4252">
        <v>-0.99581739999999996</v>
      </c>
      <c r="S4252">
        <v>0.66662600000000005</v>
      </c>
      <c r="T4252">
        <v>-0.1362979</v>
      </c>
      <c r="U4252">
        <v>-2.9501339999999998</v>
      </c>
      <c r="V4252">
        <v>-4.9286160000000002E-2</v>
      </c>
      <c r="W4252">
        <v>1.80656E-3</v>
      </c>
      <c r="X4252">
        <v>0.99878310000000003</v>
      </c>
      <c r="Y4252">
        <v>-0.17982139999999999</v>
      </c>
      <c r="Z4252">
        <v>4.5148720000000003E-2</v>
      </c>
      <c r="AA4252">
        <v>0.98266260000000005</v>
      </c>
      <c r="AB4252">
        <v>29</v>
      </c>
      <c r="AC4252">
        <v>5.3869999999999996</v>
      </c>
      <c r="AD4252">
        <v>-1.1038212715319999</v>
      </c>
      <c r="AE4252">
        <v>-23.588639999999899</v>
      </c>
      <c r="AF4252">
        <v>-4.4017095003729096</v>
      </c>
      <c r="AG4252">
        <v>-1.1038212715319999</v>
      </c>
      <c r="AH4252">
        <v>23.741091023384701</v>
      </c>
      <c r="AI4252">
        <v>92.617456464402295</v>
      </c>
      <c r="AJ4252">
        <v>100.503635951931</v>
      </c>
      <c r="AK4252">
        <v>24.170909600298401</v>
      </c>
    </row>
    <row r="4253" spans="1:37" x14ac:dyDescent="0.2">
      <c r="A4253" t="str">
        <f>"20200111160254599"</f>
        <v>20200111160254599</v>
      </c>
      <c r="B4253" t="str">
        <f>"1578729774587009"</f>
        <v>1578729774587009</v>
      </c>
      <c r="C4253" t="s">
        <v>37</v>
      </c>
      <c r="D4253">
        <v>5.2893970000000001</v>
      </c>
      <c r="E4253">
        <v>0.4463104</v>
      </c>
      <c r="F4253" t="s">
        <v>38</v>
      </c>
      <c r="G4253">
        <v>-416.7577</v>
      </c>
      <c r="H4253" s="1">
        <v>-4.3298929999999998E-6</v>
      </c>
      <c r="I4253">
        <v>58.38523</v>
      </c>
      <c r="J4253">
        <v>-421.6943</v>
      </c>
      <c r="K4253">
        <v>1.103796</v>
      </c>
      <c r="L4253">
        <v>79.068299999999994</v>
      </c>
      <c r="M4253">
        <v>4.0471460000000001E-2</v>
      </c>
      <c r="N4253">
        <v>0</v>
      </c>
      <c r="O4253">
        <v>-0.99906589999999995</v>
      </c>
      <c r="P4253">
        <v>9.0570269999999994E-2</v>
      </c>
      <c r="Q4253">
        <v>-1.2532730000000001E-2</v>
      </c>
      <c r="R4253">
        <v>-0.99581160000000002</v>
      </c>
      <c r="S4253">
        <v>0.69622799999999996</v>
      </c>
      <c r="T4253">
        <v>-0.1553687</v>
      </c>
      <c r="U4253">
        <v>-2.947327</v>
      </c>
      <c r="V4253">
        <v>-5.01857E-2</v>
      </c>
      <c r="W4253">
        <v>2.6877529999999902E-3</v>
      </c>
      <c r="X4253">
        <v>0.99873630000000002</v>
      </c>
      <c r="Y4253">
        <v>-0.1900125</v>
      </c>
      <c r="Z4253">
        <v>5.1392819999999999E-2</v>
      </c>
      <c r="AA4253">
        <v>0.98043559999999996</v>
      </c>
      <c r="AB4253">
        <v>29</v>
      </c>
      <c r="AC4253">
        <v>4.9365999999999897</v>
      </c>
      <c r="AD4253">
        <v>-1.1038003298929999</v>
      </c>
      <c r="AE4253">
        <v>-20.683069999999901</v>
      </c>
      <c r="AF4253">
        <v>-4.0843787809479402</v>
      </c>
      <c r="AG4253">
        <v>-1.1038003298929999</v>
      </c>
      <c r="AH4253">
        <v>20.809861065066801</v>
      </c>
      <c r="AI4253">
        <v>92.979506290811898</v>
      </c>
      <c r="AJ4253">
        <v>101.104364840961</v>
      </c>
      <c r="AK4253">
        <v>21.2356031876167</v>
      </c>
    </row>
    <row r="4254" spans="1:37" x14ac:dyDescent="0.2">
      <c r="A4254" t="str">
        <f>"20200111160254622"</f>
        <v>20200111160254622</v>
      </c>
      <c r="B4254" t="str">
        <f>"1578729774616932"</f>
        <v>1578729774616932</v>
      </c>
      <c r="C4254" t="s">
        <v>37</v>
      </c>
      <c r="D4254">
        <v>5.2342389999999996</v>
      </c>
      <c r="E4254">
        <v>0.44554449999999901</v>
      </c>
      <c r="F4254" t="s">
        <v>38</v>
      </c>
      <c r="G4254">
        <v>-416.85449999999997</v>
      </c>
      <c r="H4254" s="1">
        <v>-4.5120979999999999E-6</v>
      </c>
      <c r="I4254">
        <v>58.84995</v>
      </c>
      <c r="J4254">
        <v>-421.68329999999997</v>
      </c>
      <c r="K4254">
        <v>1.103764</v>
      </c>
      <c r="L4254">
        <v>78.772980000000004</v>
      </c>
      <c r="M4254">
        <v>3.9595190000000002E-2</v>
      </c>
      <c r="N4254">
        <v>0</v>
      </c>
      <c r="O4254">
        <v>-0.99910069999999995</v>
      </c>
      <c r="P4254">
        <v>9.056264E-2</v>
      </c>
      <c r="Q4254">
        <v>-1.188939E-2</v>
      </c>
      <c r="R4254">
        <v>-0.99581989999999998</v>
      </c>
      <c r="S4254">
        <v>0.70532229999999996</v>
      </c>
      <c r="T4254">
        <v>-0.160858</v>
      </c>
      <c r="U4254">
        <v>-2.9464419999999998</v>
      </c>
      <c r="V4254">
        <v>-5.1052319999999998E-2</v>
      </c>
      <c r="W4254">
        <v>3.3486470000000002E-3</v>
      </c>
      <c r="X4254">
        <v>0.99869039999999998</v>
      </c>
      <c r="Y4254">
        <v>-0.19378020000000001</v>
      </c>
      <c r="Z4254">
        <v>5.3183279999999999E-2</v>
      </c>
      <c r="AA4254">
        <v>0.97960230000000004</v>
      </c>
      <c r="AB4254">
        <v>29</v>
      </c>
      <c r="AC4254">
        <v>4.8288000000000002</v>
      </c>
      <c r="AD4254">
        <v>-1.1037685120980001</v>
      </c>
      <c r="AE4254">
        <v>-19.923030000000001</v>
      </c>
      <c r="AF4254">
        <v>-4.0243986129444096</v>
      </c>
      <c r="AG4254">
        <v>-1.1037685120980001</v>
      </c>
      <c r="AH4254">
        <v>20.040523813003801</v>
      </c>
      <c r="AI4254">
        <v>93.090902314623193</v>
      </c>
      <c r="AJ4254">
        <v>101.35471782274099</v>
      </c>
      <c r="AK4254">
        <v>20.470385531878499</v>
      </c>
    </row>
    <row r="4255" spans="1:37" x14ac:dyDescent="0.2">
      <c r="A4255" t="str">
        <f>"20200111160254645"</f>
        <v>20200111160254645</v>
      </c>
      <c r="B4255" t="str">
        <f>"1578729774637428"</f>
        <v>1578729774637428</v>
      </c>
      <c r="C4255" t="s">
        <v>37</v>
      </c>
      <c r="D4255">
        <v>5.0951810000000002</v>
      </c>
      <c r="E4255">
        <v>0.44388889999999998</v>
      </c>
      <c r="F4255" t="s">
        <v>38</v>
      </c>
      <c r="G4255">
        <v>-416.9504</v>
      </c>
      <c r="H4255" s="1">
        <v>-4.6355349999999998E-6</v>
      </c>
      <c r="I4255">
        <v>59.17736</v>
      </c>
      <c r="J4255">
        <v>-421.67290000000003</v>
      </c>
      <c r="K4255">
        <v>1.103731</v>
      </c>
      <c r="L4255">
        <v>78.486269999999905</v>
      </c>
      <c r="M4255">
        <v>3.8685270000000001E-2</v>
      </c>
      <c r="N4255">
        <v>0</v>
      </c>
      <c r="O4255">
        <v>-0.99913609999999897</v>
      </c>
      <c r="P4255">
        <v>8.9940610000000004E-2</v>
      </c>
      <c r="Q4255">
        <v>-1.165889E-2</v>
      </c>
      <c r="R4255">
        <v>-0.99587919999999996</v>
      </c>
      <c r="S4255">
        <v>0.71151730000000002</v>
      </c>
      <c r="T4255">
        <v>-0.1659341</v>
      </c>
      <c r="U4255">
        <v>-2.94589199999999</v>
      </c>
      <c r="V4255">
        <v>-5.1337059999999997E-2</v>
      </c>
      <c r="W4255">
        <v>3.5942159999999999E-3</v>
      </c>
      <c r="X4255">
        <v>0.99867490000000003</v>
      </c>
      <c r="Y4255">
        <v>-0.1966406</v>
      </c>
      <c r="Z4255">
        <v>5.4840319999999998E-2</v>
      </c>
      <c r="AA4255">
        <v>0.97894080000000006</v>
      </c>
      <c r="AB4255">
        <v>28</v>
      </c>
      <c r="AC4255">
        <v>4.7225000000000197</v>
      </c>
      <c r="AD4255">
        <v>-1.1037356355350001</v>
      </c>
      <c r="AE4255">
        <v>-19.308909999999901</v>
      </c>
      <c r="AF4255">
        <v>-3.95969959656437</v>
      </c>
      <c r="AG4255">
        <v>-1.1037356355350001</v>
      </c>
      <c r="AH4255">
        <v>19.417300213626799</v>
      </c>
      <c r="AI4255">
        <v>93.187886259604397</v>
      </c>
      <c r="AJ4255">
        <v>101.52608033093399</v>
      </c>
      <c r="AK4255">
        <v>19.847644717555099</v>
      </c>
    </row>
    <row r="4256" spans="1:37" x14ac:dyDescent="0.2">
      <c r="A4256" t="str">
        <f>"20200111160254666"</f>
        <v>20200111160254666</v>
      </c>
      <c r="B4256" t="str">
        <f>"1578729774656948"</f>
        <v>1578729774656948</v>
      </c>
      <c r="C4256" t="s">
        <v>37</v>
      </c>
      <c r="D4256">
        <v>5.0579749999999999</v>
      </c>
      <c r="E4256">
        <v>0.4425539</v>
      </c>
      <c r="F4256" t="s">
        <v>38</v>
      </c>
      <c r="G4256">
        <v>-416.8211</v>
      </c>
      <c r="H4256" s="1">
        <v>-4.4644909999999997E-6</v>
      </c>
      <c r="I4256">
        <v>58.725169999999999</v>
      </c>
      <c r="J4256">
        <v>-421.66329999999999</v>
      </c>
      <c r="K4256">
        <v>1.103693</v>
      </c>
      <c r="L4256">
        <v>78.212459999999993</v>
      </c>
      <c r="M4256">
        <v>3.7761030000000001E-2</v>
      </c>
      <c r="N4256">
        <v>0</v>
      </c>
      <c r="O4256">
        <v>-0.99917140000000004</v>
      </c>
      <c r="P4256">
        <v>8.9116290000000001E-2</v>
      </c>
      <c r="Q4256">
        <v>-1.1360830000000001E-2</v>
      </c>
      <c r="R4256">
        <v>-0.99595679999999998</v>
      </c>
      <c r="S4256">
        <v>0.72311400000000003</v>
      </c>
      <c r="T4256">
        <v>-0.1644989</v>
      </c>
      <c r="U4256">
        <v>-2.94516</v>
      </c>
      <c r="V4256">
        <v>-5.1433180000000002E-2</v>
      </c>
      <c r="W4256">
        <v>3.904158E-3</v>
      </c>
      <c r="X4256">
        <v>0.99866880000000002</v>
      </c>
      <c r="Y4256">
        <v>-0.20124619999999999</v>
      </c>
      <c r="Z4256">
        <v>5.4332829999999999E-2</v>
      </c>
      <c r="AA4256">
        <v>0.97803259999999903</v>
      </c>
      <c r="AB4256">
        <v>28</v>
      </c>
      <c r="AC4256">
        <v>4.8421999999999903</v>
      </c>
      <c r="AD4256">
        <v>-1.103697464491</v>
      </c>
      <c r="AE4256">
        <v>-19.487289999999899</v>
      </c>
      <c r="AF4256">
        <v>-4.0904427219158599</v>
      </c>
      <c r="AG4256">
        <v>-1.103697464491</v>
      </c>
      <c r="AH4256">
        <v>19.5970495483547</v>
      </c>
      <c r="AI4256">
        <v>93.155602956949394</v>
      </c>
      <c r="AJ4256">
        <v>101.789930649955</v>
      </c>
      <c r="AK4256">
        <v>20.049793533976001</v>
      </c>
    </row>
    <row r="4257" spans="1:37" x14ac:dyDescent="0.2">
      <c r="A4257" t="str">
        <f>"20200111160254688"</f>
        <v>20200111160254688</v>
      </c>
      <c r="B4257" t="str">
        <f>"1578729774677444"</f>
        <v>1578729774677444</v>
      </c>
      <c r="C4257" t="s">
        <v>37</v>
      </c>
      <c r="D4257">
        <v>5.0748309999999996</v>
      </c>
      <c r="E4257">
        <v>0.44151819999999897</v>
      </c>
      <c r="F4257" t="s">
        <v>38</v>
      </c>
      <c r="G4257">
        <v>-416.7054</v>
      </c>
      <c r="H4257" s="1">
        <v>-4.2830739999999901E-6</v>
      </c>
      <c r="I4257">
        <v>58.254440000000002</v>
      </c>
      <c r="J4257">
        <v>-421.65410000000003</v>
      </c>
      <c r="K4257">
        <v>1.103658</v>
      </c>
      <c r="L4257">
        <v>77.936980000000005</v>
      </c>
      <c r="M4257">
        <v>3.677917E-2</v>
      </c>
      <c r="N4257">
        <v>0</v>
      </c>
      <c r="O4257">
        <v>-0.99920789999999904</v>
      </c>
      <c r="P4257">
        <v>8.8353280000000006E-2</v>
      </c>
      <c r="Q4257">
        <v>-1.12421E-2</v>
      </c>
      <c r="R4257">
        <v>-0.99602559999999996</v>
      </c>
      <c r="S4257">
        <v>0.73156739999999998</v>
      </c>
      <c r="T4257">
        <v>-0.162855</v>
      </c>
      <c r="U4257">
        <v>-2.94488499999999</v>
      </c>
      <c r="V4257">
        <v>-5.164887E-2</v>
      </c>
      <c r="W4257">
        <v>4.0338570000000001E-3</v>
      </c>
      <c r="X4257">
        <v>0.99865720000000002</v>
      </c>
      <c r="Y4257">
        <v>-0.20488200000000001</v>
      </c>
      <c r="Z4257">
        <v>5.3760620000000002E-2</v>
      </c>
      <c r="AA4257">
        <v>0.97730919999999899</v>
      </c>
      <c r="AB4257">
        <v>28</v>
      </c>
      <c r="AC4257">
        <v>4.9487000000000299</v>
      </c>
      <c r="AD4257">
        <v>-1.1036622830739999</v>
      </c>
      <c r="AE4257">
        <v>-19.682539999999999</v>
      </c>
      <c r="AF4257">
        <v>-4.2089131240347699</v>
      </c>
      <c r="AG4257">
        <v>-1.1036622830739999</v>
      </c>
      <c r="AH4257">
        <v>19.7927180036972</v>
      </c>
      <c r="AI4257">
        <v>93.121903574435905</v>
      </c>
      <c r="AJ4257">
        <v>102.00509895020301</v>
      </c>
      <c r="AK4257">
        <v>20.2653572900808</v>
      </c>
    </row>
    <row r="4258" spans="1:37" x14ac:dyDescent="0.2">
      <c r="A4258" t="str">
        <f>"20200111160254712"</f>
        <v>20200111160254712</v>
      </c>
      <c r="B4258" t="str">
        <f>"1578729774706723"</f>
        <v>1578729774706723</v>
      </c>
      <c r="C4258" t="s">
        <v>37</v>
      </c>
      <c r="D4258">
        <v>5.0945410000000004</v>
      </c>
      <c r="E4258">
        <v>0.44013409999999897</v>
      </c>
      <c r="F4258" t="s">
        <v>38</v>
      </c>
      <c r="G4258">
        <v>-416.60300000000001</v>
      </c>
      <c r="H4258" s="1">
        <v>-4.0865819999999999E-6</v>
      </c>
      <c r="I4258">
        <v>57.754080000000002</v>
      </c>
      <c r="J4258">
        <v>-421.64429999999999</v>
      </c>
      <c r="K4258">
        <v>1.1036269999999999</v>
      </c>
      <c r="L4258">
        <v>77.639129999999994</v>
      </c>
      <c r="M4258">
        <v>3.5661810000000002E-2</v>
      </c>
      <c r="N4258">
        <v>0</v>
      </c>
      <c r="O4258">
        <v>-0.99924859999999904</v>
      </c>
      <c r="P4258">
        <v>8.6787710000000004E-2</v>
      </c>
      <c r="Q4258">
        <v>-1.1619330000000001E-2</v>
      </c>
      <c r="R4258">
        <v>-0.99615929999999997</v>
      </c>
      <c r="S4258">
        <v>0.73696899999999999</v>
      </c>
      <c r="T4258">
        <v>-0.16102849999999999</v>
      </c>
      <c r="U4258">
        <v>-2.944763</v>
      </c>
      <c r="V4258">
        <v>-5.1196079999999998E-2</v>
      </c>
      <c r="W4258">
        <v>3.6647870000000001E-3</v>
      </c>
      <c r="X4258">
        <v>0.99868189999999901</v>
      </c>
      <c r="Y4258">
        <v>-0.207680899999999</v>
      </c>
      <c r="Z4258">
        <v>5.3137379999999998E-2</v>
      </c>
      <c r="AA4258">
        <v>0.97675230000000002</v>
      </c>
      <c r="AB4258">
        <v>28</v>
      </c>
      <c r="AC4258">
        <v>5.0412999999999704</v>
      </c>
      <c r="AD4258">
        <v>-1.103631086582</v>
      </c>
      <c r="AE4258">
        <v>-19.88505</v>
      </c>
      <c r="AF4258">
        <v>-4.3163811246711496</v>
      </c>
      <c r="AG4258">
        <v>-1.103631086582</v>
      </c>
      <c r="AH4258">
        <v>19.994331824125599</v>
      </c>
      <c r="AI4258">
        <v>93.088357167309397</v>
      </c>
      <c r="AJ4258">
        <v>102.182077091023</v>
      </c>
      <c r="AK4258">
        <v>20.484688249566499</v>
      </c>
    </row>
    <row r="4259" spans="1:37" x14ac:dyDescent="0.2">
      <c r="A4259" t="str">
        <f>"20200111160254733"</f>
        <v>20200111160254733</v>
      </c>
      <c r="B4259" t="str">
        <f>"1578729774727049"</f>
        <v>1578729774727049</v>
      </c>
      <c r="C4259" t="s">
        <v>37</v>
      </c>
      <c r="D4259">
        <v>5.1495480000000002</v>
      </c>
      <c r="E4259">
        <v>0.43923139999999999</v>
      </c>
      <c r="F4259" t="s">
        <v>38</v>
      </c>
      <c r="G4259">
        <v>-416.53590000000003</v>
      </c>
      <c r="H4259" s="1">
        <v>-3.9483720000000003E-6</v>
      </c>
      <c r="I4259">
        <v>57.404150000000001</v>
      </c>
      <c r="J4259">
        <v>-421.63560000000001</v>
      </c>
      <c r="K4259">
        <v>1.103615</v>
      </c>
      <c r="L4259">
        <v>77.359619999999893</v>
      </c>
      <c r="M4259">
        <v>3.4574149999999998E-2</v>
      </c>
      <c r="N4259">
        <v>0</v>
      </c>
      <c r="O4259">
        <v>-0.99928680000000003</v>
      </c>
      <c r="P4259">
        <v>8.5227029999999995E-2</v>
      </c>
      <c r="Q4259">
        <v>-1.107062E-2</v>
      </c>
      <c r="R4259">
        <v>-0.99630010000000002</v>
      </c>
      <c r="S4259">
        <v>0.74346919999999905</v>
      </c>
      <c r="T4259">
        <v>-0.16061789999999901</v>
      </c>
      <c r="U4259">
        <v>-2.9449160000000001</v>
      </c>
      <c r="V4259">
        <v>-5.0717369999999998E-2</v>
      </c>
      <c r="W4259">
        <v>4.2183910000000002E-3</v>
      </c>
      <c r="X4259">
        <v>0.99870409999999898</v>
      </c>
      <c r="Y4259">
        <v>-0.21076259999999999</v>
      </c>
      <c r="Z4259">
        <v>5.2971009999999999E-2</v>
      </c>
      <c r="AA4259">
        <v>0.976101</v>
      </c>
      <c r="AB4259">
        <v>28</v>
      </c>
      <c r="AC4259">
        <v>5.0996999999999799</v>
      </c>
      <c r="AD4259">
        <v>-1.103618948372</v>
      </c>
      <c r="AE4259">
        <v>-19.955469999999899</v>
      </c>
      <c r="AF4259">
        <v>-4.3940120323760601</v>
      </c>
      <c r="AG4259">
        <v>-1.103618948372</v>
      </c>
      <c r="AH4259">
        <v>20.062275101596999</v>
      </c>
      <c r="AI4259">
        <v>93.075883303821499</v>
      </c>
      <c r="AJ4259">
        <v>102.353775019984</v>
      </c>
      <c r="AK4259">
        <v>20.567454844390198</v>
      </c>
    </row>
    <row r="4260" spans="1:37" x14ac:dyDescent="0.2">
      <c r="A4260" t="str">
        <f>"20200111160254755"</f>
        <v>20200111160254755</v>
      </c>
      <c r="B4260" t="str">
        <f>"1578729774747545"</f>
        <v>1578729774747545</v>
      </c>
      <c r="C4260" t="s">
        <v>37</v>
      </c>
      <c r="D4260">
        <v>5.4132499999999997</v>
      </c>
      <c r="E4260">
        <v>0.43827709999999998</v>
      </c>
      <c r="F4260" t="s">
        <v>38</v>
      </c>
      <c r="G4260">
        <v>-416.41250000000002</v>
      </c>
      <c r="H4260" s="1">
        <v>-3.687046E-6</v>
      </c>
      <c r="I4260">
        <v>56.743980000000001</v>
      </c>
      <c r="J4260">
        <v>-421.62740000000002</v>
      </c>
      <c r="K4260">
        <v>1.1036059999999901</v>
      </c>
      <c r="L4260">
        <v>77.088409999999996</v>
      </c>
      <c r="M4260">
        <v>3.3494330000000003E-2</v>
      </c>
      <c r="N4260">
        <v>0</v>
      </c>
      <c r="O4260">
        <v>-0.99932319999999997</v>
      </c>
      <c r="P4260">
        <v>8.3223489999999997E-2</v>
      </c>
      <c r="Q4260">
        <v>-1.041366E-2</v>
      </c>
      <c r="R4260">
        <v>-0.99647659999999905</v>
      </c>
      <c r="S4260">
        <v>0.74627690000000002</v>
      </c>
      <c r="T4260">
        <v>-0.15768470000000001</v>
      </c>
      <c r="U4260">
        <v>-2.945557</v>
      </c>
      <c r="V4260">
        <v>-4.9786190000000001E-2</v>
      </c>
      <c r="W4260">
        <v>4.8773740000000003E-3</v>
      </c>
      <c r="X4260">
        <v>0.99874799999999997</v>
      </c>
      <c r="Y4260">
        <v>-0.21265519999999999</v>
      </c>
      <c r="Z4260">
        <v>5.1981529999999998E-2</v>
      </c>
      <c r="AA4260">
        <v>0.97574369999999999</v>
      </c>
      <c r="AB4260">
        <v>28</v>
      </c>
      <c r="AC4260">
        <v>5.2149000000000001</v>
      </c>
      <c r="AD4260">
        <v>-1.1036096870459999</v>
      </c>
      <c r="AE4260">
        <v>-20.3444299999999</v>
      </c>
      <c r="AF4260">
        <v>-4.5179961862688298</v>
      </c>
      <c r="AG4260">
        <v>-1.1036096870459999</v>
      </c>
      <c r="AH4260">
        <v>20.451231453322102</v>
      </c>
      <c r="AI4260">
        <v>93.016269267501201</v>
      </c>
      <c r="AJ4260">
        <v>102.45744738886</v>
      </c>
      <c r="AK4260">
        <v>20.973390566091901</v>
      </c>
    </row>
    <row r="4261" spans="1:37" x14ac:dyDescent="0.2">
      <c r="A4261" t="str">
        <f>"20200111160254777"</f>
        <v>20200111160254777</v>
      </c>
      <c r="B4261" t="str">
        <f>"1578729774767064"</f>
        <v>1578729774767064</v>
      </c>
      <c r="C4261" t="s">
        <v>37</v>
      </c>
      <c r="D4261">
        <v>5.1124359999999998</v>
      </c>
      <c r="E4261">
        <v>0.43741769999999902</v>
      </c>
      <c r="F4261" t="s">
        <v>38</v>
      </c>
      <c r="G4261">
        <v>-416.23630000000003</v>
      </c>
      <c r="H4261" s="1">
        <v>-3.3337930000000002E-6</v>
      </c>
      <c r="I4261">
        <v>55.847679999999997</v>
      </c>
      <c r="J4261">
        <v>-421.61930000000001</v>
      </c>
      <c r="K4261">
        <v>1.1036079999999999</v>
      </c>
      <c r="L4261">
        <v>76.809359999999998</v>
      </c>
      <c r="M4261">
        <v>3.2367670000000001E-2</v>
      </c>
      <c r="N4261">
        <v>0</v>
      </c>
      <c r="O4261">
        <v>-0.99936049999999998</v>
      </c>
      <c r="P4261">
        <v>8.1213129999999994E-2</v>
      </c>
      <c r="Q4261">
        <v>-9.5360219999999999E-3</v>
      </c>
      <c r="R4261">
        <v>-0.99665149999999902</v>
      </c>
      <c r="S4261">
        <v>0.74786379999999997</v>
      </c>
      <c r="T4261">
        <v>-0.1530936</v>
      </c>
      <c r="U4261">
        <v>-2.9465330000000001</v>
      </c>
      <c r="V4261">
        <v>-4.889537E-2</v>
      </c>
      <c r="W4261">
        <v>5.7552169999999904E-3</v>
      </c>
      <c r="X4261">
        <v>0.99878729999999905</v>
      </c>
      <c r="Y4261">
        <v>-0.21419259999999901</v>
      </c>
      <c r="Z4261">
        <v>5.0446860000000003E-2</v>
      </c>
      <c r="AA4261">
        <v>0.97548789999999996</v>
      </c>
      <c r="AB4261">
        <v>28</v>
      </c>
      <c r="AC4261">
        <v>5.3829999999999796</v>
      </c>
      <c r="AD4261">
        <v>-1.103611333793</v>
      </c>
      <c r="AE4261">
        <v>-20.961679999999902</v>
      </c>
      <c r="AF4261">
        <v>-4.6894252215491701</v>
      </c>
      <c r="AG4261">
        <v>-1.103611333793</v>
      </c>
      <c r="AH4261">
        <v>21.070158076085299</v>
      </c>
      <c r="AI4261">
        <v>92.926811454295702</v>
      </c>
      <c r="AJ4261">
        <v>102.54738061385</v>
      </c>
      <c r="AK4261">
        <v>21.613889706293101</v>
      </c>
    </row>
    <row r="4262" spans="1:37" x14ac:dyDescent="0.2">
      <c r="A4262" t="str">
        <f>"20200111160254803"</f>
        <v>20200111160254803</v>
      </c>
      <c r="B4262" t="str">
        <f>"1578729774797321"</f>
        <v>1578729774797321</v>
      </c>
      <c r="C4262" t="s">
        <v>37</v>
      </c>
      <c r="D4262">
        <v>5.0218550000000004</v>
      </c>
      <c r="E4262">
        <v>0.43616440000000001</v>
      </c>
      <c r="F4262" t="s">
        <v>38</v>
      </c>
      <c r="G4262">
        <v>-415.9864</v>
      </c>
      <c r="H4262" s="1">
        <v>-2.8531310000000001E-6</v>
      </c>
      <c r="I4262">
        <v>54.623939999999997</v>
      </c>
      <c r="J4262">
        <v>-421.61079999999998</v>
      </c>
      <c r="K4262">
        <v>1.103604</v>
      </c>
      <c r="L4262">
        <v>76.502560000000003</v>
      </c>
      <c r="M4262">
        <v>3.112009E-2</v>
      </c>
      <c r="N4262">
        <v>0</v>
      </c>
      <c r="O4262">
        <v>-0.99940030000000002</v>
      </c>
      <c r="P4262">
        <v>7.9146389999999997E-2</v>
      </c>
      <c r="Q4262">
        <v>-9.0230109999999992E-3</v>
      </c>
      <c r="R4262">
        <v>-0.99682269999999995</v>
      </c>
      <c r="S4262">
        <v>0.74841309999999905</v>
      </c>
      <c r="T4262">
        <v>-0.1466326</v>
      </c>
      <c r="U4262">
        <v>-2.9476930000000001</v>
      </c>
      <c r="V4262">
        <v>-4.8070330000000001E-2</v>
      </c>
      <c r="W4262">
        <v>6.2663789999999999E-3</v>
      </c>
      <c r="X4262">
        <v>0.9988243</v>
      </c>
      <c r="Y4262">
        <v>-0.21551709999999999</v>
      </c>
      <c r="Z4262">
        <v>4.8299349999999998E-2</v>
      </c>
      <c r="AA4262">
        <v>0.97530479999999997</v>
      </c>
      <c r="AB4262">
        <v>28</v>
      </c>
      <c r="AC4262">
        <v>5.6243999999999801</v>
      </c>
      <c r="AD4262">
        <v>-1.1036068531309999</v>
      </c>
      <c r="AE4262">
        <v>-21.878620000000002</v>
      </c>
      <c r="AF4262">
        <v>-4.9289681425352301</v>
      </c>
      <c r="AG4262">
        <v>-1.1036068531309999</v>
      </c>
      <c r="AH4262">
        <v>21.990587947490301</v>
      </c>
      <c r="AI4262">
        <v>92.803556885225404</v>
      </c>
      <c r="AJ4262">
        <v>102.633469250641</v>
      </c>
      <c r="AK4262">
        <v>22.563214161832299</v>
      </c>
    </row>
    <row r="4263" spans="1:37" x14ac:dyDescent="0.2">
      <c r="A4263" t="str">
        <f>"20200111160254824"</f>
        <v>20200111160254824</v>
      </c>
      <c r="B4263" t="str">
        <f>"1578729774816841"</f>
        <v>1578729774816841</v>
      </c>
      <c r="C4263" t="s">
        <v>37</v>
      </c>
      <c r="D4263">
        <v>5.7503609999999998</v>
      </c>
      <c r="E4263">
        <v>0.43616440000000001</v>
      </c>
      <c r="F4263" t="s">
        <v>38</v>
      </c>
      <c r="G4263">
        <v>-415.79509999999999</v>
      </c>
      <c r="H4263" s="1">
        <v>-2.500905E-6</v>
      </c>
      <c r="I4263">
        <v>53.709409999999998</v>
      </c>
      <c r="J4263">
        <v>-421.6035</v>
      </c>
      <c r="K4263">
        <v>1.1036029999999999</v>
      </c>
      <c r="L4263">
        <v>76.230739999999997</v>
      </c>
      <c r="M4263">
        <v>3.0011889999999999E-2</v>
      </c>
      <c r="N4263">
        <v>0</v>
      </c>
      <c r="O4263">
        <v>-0.99943409999999999</v>
      </c>
      <c r="P4263">
        <v>7.7823600000000007E-2</v>
      </c>
      <c r="Q4263">
        <v>-9.5910819999999904E-3</v>
      </c>
      <c r="R4263">
        <v>-0.99692139999999996</v>
      </c>
      <c r="S4263">
        <v>0.75231930000000002</v>
      </c>
      <c r="T4263">
        <v>-0.14276369999999999</v>
      </c>
      <c r="U4263">
        <v>-2.948547</v>
      </c>
      <c r="V4263">
        <v>-4.7853310000000003E-2</v>
      </c>
      <c r="W4263">
        <v>5.6960919999999998E-3</v>
      </c>
      <c r="X4263">
        <v>0.99883809999999995</v>
      </c>
      <c r="Y4263">
        <v>-0.2177607</v>
      </c>
      <c r="Z4263">
        <v>4.6997749999999998E-2</v>
      </c>
      <c r="AA4263">
        <v>0.97487000000000001</v>
      </c>
      <c r="AB4263">
        <v>28</v>
      </c>
      <c r="AC4263">
        <v>5.8083999999999998</v>
      </c>
      <c r="AD4263">
        <v>-1.1036055009050001</v>
      </c>
      <c r="AE4263">
        <v>-22.521329999999999</v>
      </c>
      <c r="AF4263">
        <v>-5.1182734708500002</v>
      </c>
      <c r="AG4263">
        <v>-1.1036055009050001</v>
      </c>
      <c r="AH4263">
        <v>22.6345621559996</v>
      </c>
      <c r="AI4263">
        <v>92.722754169880204</v>
      </c>
      <c r="AJ4263">
        <v>102.74180022632601</v>
      </c>
      <c r="AK4263">
        <v>23.232263609425701</v>
      </c>
    </row>
    <row r="4264" spans="1:37" x14ac:dyDescent="0.2">
      <c r="A4264" t="str">
        <f>"20200111160254847"</f>
        <v>20200111160254847</v>
      </c>
      <c r="B4264" t="str">
        <f>"1578729774837337"</f>
        <v>1578729774837337</v>
      </c>
      <c r="C4264" t="s">
        <v>37</v>
      </c>
      <c r="D4264">
        <v>5.5838660000000004</v>
      </c>
      <c r="E4264">
        <v>0.42656379999999999</v>
      </c>
      <c r="F4264" t="s">
        <v>38</v>
      </c>
      <c r="G4264">
        <v>-415.90010000000001</v>
      </c>
      <c r="H4264" s="1">
        <v>-2.4906829999999999E-6</v>
      </c>
      <c r="I4264">
        <v>53.74335</v>
      </c>
      <c r="J4264">
        <v>-421.59629999999999</v>
      </c>
      <c r="K4264">
        <v>1.103599</v>
      </c>
      <c r="L4264">
        <v>75.947749999999999</v>
      </c>
      <c r="M4264">
        <v>2.8859429999999998E-2</v>
      </c>
      <c r="N4264">
        <v>0</v>
      </c>
      <c r="O4264">
        <v>-0.99946819999999903</v>
      </c>
      <c r="P4264">
        <v>7.6591720000000002E-2</v>
      </c>
      <c r="Q4264">
        <v>-9.69742E-3</v>
      </c>
      <c r="R4264">
        <v>-0.99701589999999995</v>
      </c>
      <c r="S4264">
        <v>0.7480774</v>
      </c>
      <c r="T4264">
        <v>-0.1447513</v>
      </c>
      <c r="U4264">
        <v>-2.9494929999999999</v>
      </c>
      <c r="V4264">
        <v>-4.7771420000000002E-2</v>
      </c>
      <c r="W4264">
        <v>5.5868979999999999E-3</v>
      </c>
      <c r="X4264">
        <v>0.99884269999999997</v>
      </c>
      <c r="Y4264">
        <v>-0.21748670000000001</v>
      </c>
      <c r="Z4264">
        <v>4.7647969999999998E-2</v>
      </c>
      <c r="AA4264">
        <v>0.97489959999999898</v>
      </c>
      <c r="AB4264">
        <v>28</v>
      </c>
      <c r="AC4264">
        <v>5.69619999999997</v>
      </c>
      <c r="AD4264">
        <v>-1.1036014906829901</v>
      </c>
      <c r="AE4264">
        <v>-22.2044</v>
      </c>
      <c r="AF4264">
        <v>-5.04126230653603</v>
      </c>
      <c r="AG4264">
        <v>-1.1036014906829901</v>
      </c>
      <c r="AH4264">
        <v>22.307853284828202</v>
      </c>
      <c r="AI4264">
        <v>92.762642149204098</v>
      </c>
      <c r="AJ4264">
        <v>102.734143030583</v>
      </c>
      <c r="AK4264">
        <v>22.896999368278799</v>
      </c>
    </row>
    <row r="4265" spans="1:37" x14ac:dyDescent="0.2">
      <c r="A4265" t="str">
        <f>"20200111160254868"</f>
        <v>20200111160254868</v>
      </c>
      <c r="B4265" t="str">
        <f>"1578729774856857"</f>
        <v>1578729774856857</v>
      </c>
      <c r="C4265" t="s">
        <v>37</v>
      </c>
      <c r="D4265">
        <v>6.2267429999999999</v>
      </c>
      <c r="E4265">
        <v>0.49198540000000002</v>
      </c>
      <c r="F4265" t="s">
        <v>83</v>
      </c>
      <c r="G4265">
        <v>-401.60770000000002</v>
      </c>
      <c r="H4265">
        <v>8.4461739999999992</v>
      </c>
      <c r="I4265">
        <v>1.9614910000000001</v>
      </c>
      <c r="J4265">
        <v>-421.5899</v>
      </c>
      <c r="K4265">
        <v>1.1036109999999999</v>
      </c>
      <c r="L4265">
        <v>75.683840000000004</v>
      </c>
      <c r="M4265">
        <v>2.778717E-2</v>
      </c>
      <c r="N4265">
        <v>0</v>
      </c>
      <c r="O4265">
        <v>-0.99949840000000001</v>
      </c>
      <c r="P4265">
        <v>7.5641260000000002E-2</v>
      </c>
      <c r="Q4265">
        <v>-9.6592989999999997E-3</v>
      </c>
      <c r="R4265">
        <v>-0.99708850000000004</v>
      </c>
      <c r="S4265">
        <v>0.79714969999999996</v>
      </c>
      <c r="T4265">
        <v>0.29282269999999999</v>
      </c>
      <c r="U4265">
        <v>-2.9505919999999999</v>
      </c>
      <c r="V4265">
        <v>-4.7890479999999999E-2</v>
      </c>
      <c r="W4265">
        <v>5.6221830000000002E-3</v>
      </c>
      <c r="X4265">
        <v>0.99883679999999997</v>
      </c>
      <c r="Y4265">
        <v>-0.2326915</v>
      </c>
      <c r="Z4265">
        <v>-9.5647159999999995E-2</v>
      </c>
      <c r="AA4265">
        <v>0.96783589999999997</v>
      </c>
      <c r="AB4265">
        <v>28</v>
      </c>
      <c r="AC4265">
        <v>19.982199999999899</v>
      </c>
      <c r="AD4265">
        <v>7.3425630000000002</v>
      </c>
      <c r="AE4265">
        <v>-73.722348999999994</v>
      </c>
      <c r="AF4265">
        <v>-17.761579581726199</v>
      </c>
      <c r="AG4265">
        <v>7.3425630000000002</v>
      </c>
      <c r="AH4265">
        <v>73.569350160709405</v>
      </c>
      <c r="AI4265">
        <v>84.4586615476058</v>
      </c>
      <c r="AJ4265">
        <v>103.572981072394</v>
      </c>
      <c r="AK4265">
        <v>76.038386514418093</v>
      </c>
    </row>
    <row r="4266" spans="1:37" x14ac:dyDescent="0.2">
      <c r="A4266" t="str">
        <f>"20200111160254889"</f>
        <v>20200111160254889</v>
      </c>
      <c r="B4266" t="str">
        <f>"1578729774877353"</f>
        <v>1578729774877353</v>
      </c>
      <c r="C4266" t="s">
        <v>37</v>
      </c>
      <c r="D4266">
        <v>5.035444</v>
      </c>
      <c r="E4266">
        <v>0.58354510000000004</v>
      </c>
      <c r="F4266" t="s">
        <v>38</v>
      </c>
      <c r="G4266">
        <v>-420.46660000000003</v>
      </c>
      <c r="H4266" s="1">
        <v>-2.324049E-6</v>
      </c>
      <c r="I4266">
        <v>64.717119999999994</v>
      </c>
      <c r="J4266">
        <v>-421.5838</v>
      </c>
      <c r="K4266">
        <v>1.103615</v>
      </c>
      <c r="L4266">
        <v>75.420649999999995</v>
      </c>
      <c r="M4266">
        <v>2.672037E-2</v>
      </c>
      <c r="N4266">
        <v>0</v>
      </c>
      <c r="O4266">
        <v>-0.99952750000000001</v>
      </c>
      <c r="P4266">
        <v>7.4486520000000001E-2</v>
      </c>
      <c r="Q4266">
        <v>-9.3532289999999994E-3</v>
      </c>
      <c r="R4266">
        <v>-0.99717840000000002</v>
      </c>
      <c r="S4266">
        <v>0.30551149999999999</v>
      </c>
      <c r="T4266">
        <v>-0.30015449999999999</v>
      </c>
      <c r="U4266">
        <v>-2.982666</v>
      </c>
      <c r="V4266">
        <v>-4.7799429999999997E-2</v>
      </c>
      <c r="W4266">
        <v>5.9240159999999998E-3</v>
      </c>
      <c r="X4266">
        <v>0.99883940000000004</v>
      </c>
      <c r="Y4266">
        <v>-7.4767669999999994E-2</v>
      </c>
      <c r="Z4266">
        <v>9.9675769999999997E-2</v>
      </c>
      <c r="AA4266">
        <v>0.9922069</v>
      </c>
      <c r="AB4266">
        <v>28</v>
      </c>
      <c r="AC4266">
        <v>1.11719999999996</v>
      </c>
      <c r="AD4266">
        <v>-1.1036173240489999</v>
      </c>
      <c r="AE4266">
        <v>-10.703530000000001</v>
      </c>
      <c r="AF4266">
        <v>-0.82211977646975598</v>
      </c>
      <c r="AG4266">
        <v>-1.1036173240489999</v>
      </c>
      <c r="AH4266">
        <v>10.6178981934974</v>
      </c>
      <c r="AI4266">
        <v>95.916395785985998</v>
      </c>
      <c r="AJ4266">
        <v>94.427448767410496</v>
      </c>
      <c r="AK4266">
        <v>10.7067088394277</v>
      </c>
    </row>
    <row r="4267" spans="1:37" x14ac:dyDescent="0.2">
      <c r="A4267" t="str">
        <f>"20200111160254913"</f>
        <v>20200111160254913</v>
      </c>
      <c r="B4267" t="str">
        <f>"1578729774907609"</f>
        <v>1578729774907609</v>
      </c>
      <c r="C4267" t="s">
        <v>37</v>
      </c>
      <c r="D4267">
        <v>5.2213640000000003</v>
      </c>
      <c r="E4267">
        <v>0.58507900000000002</v>
      </c>
      <c r="F4267" t="s">
        <v>64</v>
      </c>
      <c r="G4267">
        <v>-426.8974</v>
      </c>
      <c r="H4267" s="1">
        <v>-2.2499170000000001E-6</v>
      </c>
      <c r="I4267">
        <v>38.555909999999997</v>
      </c>
      <c r="J4267">
        <v>-421.57740000000001</v>
      </c>
      <c r="K4267">
        <v>1.1036159999999999</v>
      </c>
      <c r="L4267">
        <v>75.131100000000004</v>
      </c>
      <c r="M4267">
        <v>2.5548939999999999E-2</v>
      </c>
      <c r="N4267">
        <v>0</v>
      </c>
      <c r="O4267">
        <v>-0.99955839999999996</v>
      </c>
      <c r="P4267">
        <v>7.3501300000000006E-2</v>
      </c>
      <c r="Q4267">
        <v>-9.4743759999999996E-3</v>
      </c>
      <c r="R4267">
        <v>-0.99725039999999998</v>
      </c>
      <c r="S4267">
        <v>-0.43823240000000002</v>
      </c>
      <c r="T4267">
        <v>-9.1019509999999998E-2</v>
      </c>
      <c r="U4267">
        <v>-3.040375</v>
      </c>
      <c r="V4267">
        <v>-4.7983779999999997E-2</v>
      </c>
      <c r="W4267">
        <v>5.7981329999999996E-3</v>
      </c>
      <c r="X4267">
        <v>0.99883129999999998</v>
      </c>
      <c r="Y4267">
        <v>0.16784479999999999</v>
      </c>
      <c r="Z4267">
        <v>2.954408E-2</v>
      </c>
      <c r="AA4267">
        <v>0.98537059999999999</v>
      </c>
      <c r="AB4267">
        <v>28</v>
      </c>
      <c r="AC4267">
        <v>-5.3199999999999896</v>
      </c>
      <c r="AD4267">
        <v>-1.103618249917</v>
      </c>
      <c r="AE4267">
        <v>-36.575189999999999</v>
      </c>
      <c r="AF4267">
        <v>6.2472578602098299</v>
      </c>
      <c r="AG4267">
        <v>-1.103618249917</v>
      </c>
      <c r="AH4267">
        <v>36.394862278387002</v>
      </c>
      <c r="AI4267">
        <v>91.711853086776003</v>
      </c>
      <c r="AJ4267">
        <v>80.259975220819101</v>
      </c>
      <c r="AK4267">
        <v>36.943635504322799</v>
      </c>
    </row>
    <row r="4268" spans="1:37" x14ac:dyDescent="0.2">
      <c r="A4268" t="str">
        <f>"20200111160254935"</f>
        <v>20200111160254935</v>
      </c>
      <c r="B4268" t="str">
        <f>"1578729774927129"</f>
        <v>1578729774927129</v>
      </c>
      <c r="C4268" t="s">
        <v>37</v>
      </c>
      <c r="D4268">
        <v>5.1290820000000004</v>
      </c>
      <c r="E4268">
        <v>0.58602829999999995</v>
      </c>
      <c r="F4268" t="s">
        <v>38</v>
      </c>
      <c r="G4268">
        <v>-424.44029999999998</v>
      </c>
      <c r="H4268" s="1">
        <v>-3.768256E-6</v>
      </c>
      <c r="I4268">
        <v>55.745489999999997</v>
      </c>
      <c r="J4268">
        <v>-421.57139999999998</v>
      </c>
      <c r="K4268">
        <v>1.103626</v>
      </c>
      <c r="L4268">
        <v>74.845579999999998</v>
      </c>
      <c r="M4268">
        <v>2.439494E-2</v>
      </c>
      <c r="N4268">
        <v>0</v>
      </c>
      <c r="O4268">
        <v>-0.99958719999999901</v>
      </c>
      <c r="P4268">
        <v>7.3007390000000005E-2</v>
      </c>
      <c r="Q4268">
        <v>-9.849086E-3</v>
      </c>
      <c r="R4268">
        <v>-0.99728300000000003</v>
      </c>
      <c r="S4268">
        <v>-0.44891359999999902</v>
      </c>
      <c r="T4268">
        <v>-0.1730515</v>
      </c>
      <c r="U4268">
        <v>-3.0397340000000002</v>
      </c>
      <c r="V4268">
        <v>-4.864305E-2</v>
      </c>
      <c r="W4268">
        <v>5.4195299999999997E-3</v>
      </c>
      <c r="X4268">
        <v>0.99880149999999901</v>
      </c>
      <c r="Y4268">
        <v>0.16995940000000001</v>
      </c>
      <c r="Z4268">
        <v>5.609563E-2</v>
      </c>
      <c r="AA4268">
        <v>0.98385319999999898</v>
      </c>
      <c r="AB4268">
        <v>28</v>
      </c>
      <c r="AC4268">
        <v>-2.8688999999999898</v>
      </c>
      <c r="AD4268">
        <v>-1.1036297682559999</v>
      </c>
      <c r="AE4268">
        <v>-19.100089999999899</v>
      </c>
      <c r="AF4268">
        <v>3.3231949127584302</v>
      </c>
      <c r="AG4268">
        <v>-1.1036297682559999</v>
      </c>
      <c r="AH4268">
        <v>18.962496727145801</v>
      </c>
      <c r="AI4268">
        <v>93.281002725213895</v>
      </c>
      <c r="AJ4268">
        <v>80.059805879740196</v>
      </c>
      <c r="AK4268">
        <v>19.283098952724899</v>
      </c>
    </row>
    <row r="4269" spans="1:37" x14ac:dyDescent="0.2">
      <c r="A4269" t="str">
        <f>"20200111160254957"</f>
        <v>20200111160254957</v>
      </c>
      <c r="B4269" t="str">
        <f>"1578729774947625"</f>
        <v>1578729774947625</v>
      </c>
      <c r="C4269" t="s">
        <v>37</v>
      </c>
      <c r="D4269">
        <v>5.1103879999999897</v>
      </c>
      <c r="E4269">
        <v>0.58627209999999996</v>
      </c>
      <c r="F4269" t="s">
        <v>38</v>
      </c>
      <c r="G4269">
        <v>-423.97050000000002</v>
      </c>
      <c r="H4269" s="1">
        <v>-4.74703E-6</v>
      </c>
      <c r="I4269">
        <v>58.866519999999902</v>
      </c>
      <c r="J4269">
        <v>-421.56599999999997</v>
      </c>
      <c r="K4269">
        <v>1.1036269999999999</v>
      </c>
      <c r="L4269">
        <v>74.577730000000003</v>
      </c>
      <c r="M4269">
        <v>2.331221E-2</v>
      </c>
      <c r="N4269">
        <v>0</v>
      </c>
      <c r="O4269">
        <v>-0.99961299999999997</v>
      </c>
      <c r="P4269">
        <v>7.2105530000000001E-2</v>
      </c>
      <c r="Q4269">
        <v>-9.6647829999999997E-3</v>
      </c>
      <c r="R4269">
        <v>-0.99735030000000002</v>
      </c>
      <c r="S4269">
        <v>-0.45635989999999999</v>
      </c>
      <c r="T4269">
        <v>-0.20993149999999999</v>
      </c>
      <c r="U4269">
        <v>-3.03952</v>
      </c>
      <c r="V4269">
        <v>-4.8821120000000003E-2</v>
      </c>
      <c r="W4269">
        <v>5.5988180000000002E-3</v>
      </c>
      <c r="X4269">
        <v>0.99879189999999995</v>
      </c>
      <c r="Y4269">
        <v>0.17114989999999999</v>
      </c>
      <c r="Z4269">
        <v>6.798738E-2</v>
      </c>
      <c r="AA4269">
        <v>0.9828964</v>
      </c>
      <c r="AB4269">
        <v>28</v>
      </c>
      <c r="AC4269">
        <v>-2.40450000000004</v>
      </c>
      <c r="AD4269">
        <v>-1.1036317470300001</v>
      </c>
      <c r="AE4269">
        <v>-15.711209999999999</v>
      </c>
      <c r="AF4269">
        <v>2.7568596577231999</v>
      </c>
      <c r="AG4269">
        <v>-1.1036317470300001</v>
      </c>
      <c r="AH4269">
        <v>15.5757813152761</v>
      </c>
      <c r="AI4269">
        <v>93.991125485296394</v>
      </c>
      <c r="AJ4269">
        <v>79.962797209884599</v>
      </c>
      <c r="AK4269">
        <v>15.8563312839615</v>
      </c>
    </row>
    <row r="4270" spans="1:37" x14ac:dyDescent="0.2">
      <c r="A4270" t="str">
        <f>"20200111160254978"</f>
        <v>20200111160254978</v>
      </c>
      <c r="B4270" t="str">
        <f>"1578729774967144"</f>
        <v>1578729774967144</v>
      </c>
      <c r="C4270" t="s">
        <v>37</v>
      </c>
      <c r="D4270">
        <v>5.1081719999999997</v>
      </c>
      <c r="E4270">
        <v>0.58636499999999903</v>
      </c>
      <c r="F4270" t="s">
        <v>38</v>
      </c>
      <c r="G4270">
        <v>-423.80689999999998</v>
      </c>
      <c r="H4270" s="1">
        <v>-1.094719E-6</v>
      </c>
      <c r="I4270">
        <v>59.779789999999998</v>
      </c>
      <c r="J4270">
        <v>-421.56110000000001</v>
      </c>
      <c r="K4270">
        <v>1.103639</v>
      </c>
      <c r="L4270">
        <v>74.31259</v>
      </c>
      <c r="M4270">
        <v>2.2240449999999998E-2</v>
      </c>
      <c r="N4270">
        <v>0</v>
      </c>
      <c r="O4270">
        <v>-0.99963749999999996</v>
      </c>
      <c r="P4270">
        <v>7.1388019999999996E-2</v>
      </c>
      <c r="Q4270">
        <v>-9.7366129999999999E-3</v>
      </c>
      <c r="R4270">
        <v>-0.99740119999999899</v>
      </c>
      <c r="S4270">
        <v>-0.46020509999999898</v>
      </c>
      <c r="T4270">
        <v>-0.22665279999999999</v>
      </c>
      <c r="U4270">
        <v>-3.0390630000000001</v>
      </c>
      <c r="V4270">
        <v>-4.9174040000000002E-2</v>
      </c>
      <c r="W4270">
        <v>5.5225250000000004E-3</v>
      </c>
      <c r="X4270">
        <v>0.99877490000000002</v>
      </c>
      <c r="Y4270">
        <v>0.17127409999999901</v>
      </c>
      <c r="Z4270">
        <v>7.3380050000000002E-2</v>
      </c>
      <c r="AA4270">
        <v>0.98248690000000005</v>
      </c>
      <c r="AB4270">
        <v>28</v>
      </c>
      <c r="AC4270">
        <v>-2.2457999999999698</v>
      </c>
      <c r="AD4270">
        <v>-1.1036400947189999</v>
      </c>
      <c r="AE4270">
        <v>-14.5327999999999</v>
      </c>
      <c r="AF4270">
        <v>2.5541113733718999</v>
      </c>
      <c r="AG4270">
        <v>-1.1036400947189999</v>
      </c>
      <c r="AH4270">
        <v>14.3981524495497</v>
      </c>
      <c r="AI4270">
        <v>94.3161141192016</v>
      </c>
      <c r="AJ4270">
        <v>79.940851635113404</v>
      </c>
      <c r="AK4270">
        <v>14.664525233594601</v>
      </c>
    </row>
    <row r="4271" spans="1:37" x14ac:dyDescent="0.2">
      <c r="A4271" t="str">
        <f>"20200111160255002"</f>
        <v>20200111160255002</v>
      </c>
      <c r="B4271" t="str">
        <f>"1578729774997402"</f>
        <v>1578729774997402</v>
      </c>
      <c r="C4271" t="s">
        <v>37</v>
      </c>
      <c r="D4271">
        <v>4.8653769999999996</v>
      </c>
      <c r="E4271">
        <v>0.58867309999999995</v>
      </c>
      <c r="F4271" t="s">
        <v>38</v>
      </c>
      <c r="G4271">
        <v>-423.71339999999998</v>
      </c>
      <c r="H4271" s="1">
        <v>-1.2395449999999999E-6</v>
      </c>
      <c r="I4271">
        <v>60.175339999999998</v>
      </c>
      <c r="J4271">
        <v>-421.55610000000001</v>
      </c>
      <c r="K4271">
        <v>1.10364</v>
      </c>
      <c r="L4271">
        <v>74.026579999999996</v>
      </c>
      <c r="M4271">
        <v>2.1083370000000001E-2</v>
      </c>
      <c r="N4271">
        <v>0</v>
      </c>
      <c r="O4271">
        <v>-0.99966270000000002</v>
      </c>
      <c r="P4271">
        <v>6.9994730000000005E-2</v>
      </c>
      <c r="Q4271">
        <v>-9.832103E-3</v>
      </c>
      <c r="R4271">
        <v>-0.99749900000000002</v>
      </c>
      <c r="S4271">
        <v>-0.46261599999999897</v>
      </c>
      <c r="T4271">
        <v>-0.2372119</v>
      </c>
      <c r="U4271">
        <v>-3.038605</v>
      </c>
      <c r="V4271">
        <v>-4.8934999999999999E-2</v>
      </c>
      <c r="W4271">
        <v>5.4204839999999997E-3</v>
      </c>
      <c r="X4271">
        <v>0.99878729999999905</v>
      </c>
      <c r="Y4271">
        <v>0.170879</v>
      </c>
      <c r="Z4271">
        <v>7.6791029999999996E-2</v>
      </c>
      <c r="AA4271">
        <v>0.98229500000000003</v>
      </c>
      <c r="AB4271">
        <v>28</v>
      </c>
      <c r="AC4271">
        <v>-2.1572999999999598</v>
      </c>
      <c r="AD4271">
        <v>-1.1036412395449999</v>
      </c>
      <c r="AE4271">
        <v>-13.851240000000001</v>
      </c>
      <c r="AF4271">
        <v>2.4337994618179102</v>
      </c>
      <c r="AG4271">
        <v>-1.1036412395449999</v>
      </c>
      <c r="AH4271">
        <v>13.7176465972481</v>
      </c>
      <c r="AI4271">
        <v>94.529339997154693</v>
      </c>
      <c r="AJ4271">
        <v>79.939215237263397</v>
      </c>
      <c r="AK4271">
        <v>13.975522601068</v>
      </c>
    </row>
    <row r="4272" spans="1:37" x14ac:dyDescent="0.2">
      <c r="A4272" t="str">
        <f>"20200111160255024"</f>
        <v>20200111160255024</v>
      </c>
      <c r="B4272" t="str">
        <f>"1578729775016920"</f>
        <v>1578729775016920</v>
      </c>
      <c r="C4272" t="s">
        <v>37</v>
      </c>
      <c r="D4272">
        <v>4.8413849999999998</v>
      </c>
      <c r="E4272">
        <v>0.58995679999999995</v>
      </c>
      <c r="F4272" t="s">
        <v>38</v>
      </c>
      <c r="G4272">
        <v>-423.86860000000001</v>
      </c>
      <c r="H4272" s="1">
        <v>-4.9633149999999998E-6</v>
      </c>
      <c r="I4272">
        <v>59.555209999999903</v>
      </c>
      <c r="J4272">
        <v>-421.55149999999998</v>
      </c>
      <c r="K4272">
        <v>1.1036459999999999</v>
      </c>
      <c r="L4272">
        <v>73.749510000000001</v>
      </c>
      <c r="M4272">
        <v>1.9962710000000002E-2</v>
      </c>
      <c r="N4272">
        <v>0</v>
      </c>
      <c r="O4272">
        <v>-0.99968579999999996</v>
      </c>
      <c r="P4272">
        <v>6.9325800000000007E-2</v>
      </c>
      <c r="Q4272">
        <v>-9.7482690000000004E-3</v>
      </c>
      <c r="R4272">
        <v>-0.99754659999999995</v>
      </c>
      <c r="S4272">
        <v>-0.48568729999999899</v>
      </c>
      <c r="T4272">
        <v>-0.2317922</v>
      </c>
      <c r="U4272">
        <v>-3.03933699999999</v>
      </c>
      <c r="V4272">
        <v>-4.9384560000000001E-2</v>
      </c>
      <c r="W4272">
        <v>5.4996369999999999E-3</v>
      </c>
      <c r="X4272">
        <v>0.99876469999999995</v>
      </c>
      <c r="Y4272">
        <v>0.17703740000000001</v>
      </c>
      <c r="Z4272">
        <v>7.4947050000000001E-2</v>
      </c>
      <c r="AA4272">
        <v>0.98134639999999995</v>
      </c>
      <c r="AB4272">
        <v>27</v>
      </c>
      <c r="AC4272">
        <v>-2.3171000000000301</v>
      </c>
      <c r="AD4272">
        <v>-1.103650963315</v>
      </c>
      <c r="AE4272">
        <v>-14.1943</v>
      </c>
      <c r="AF4272">
        <v>2.5848064499039198</v>
      </c>
      <c r="AG4272">
        <v>-1.103650963315</v>
      </c>
      <c r="AH4272">
        <v>14.0624016352934</v>
      </c>
      <c r="AI4272">
        <v>94.413866942991305</v>
      </c>
      <c r="AJ4272">
        <v>79.584735701986702</v>
      </c>
      <c r="AK4272">
        <v>14.3405163639456</v>
      </c>
    </row>
    <row r="4273" spans="1:37" x14ac:dyDescent="0.2">
      <c r="A4273" t="str">
        <f>"20200111160255046"</f>
        <v>20200111160255046</v>
      </c>
      <c r="B4273" t="str">
        <f>"1578729775037417"</f>
        <v>1578729775037417</v>
      </c>
      <c r="C4273" t="s">
        <v>37</v>
      </c>
      <c r="D4273">
        <v>4.8506859999999996</v>
      </c>
      <c r="E4273">
        <v>0.59117319999999995</v>
      </c>
      <c r="F4273" t="s">
        <v>38</v>
      </c>
      <c r="G4273">
        <v>-423.99250000000001</v>
      </c>
      <c r="H4273" s="1">
        <v>-4.7456239999999997E-6</v>
      </c>
      <c r="I4273">
        <v>58.850949999999997</v>
      </c>
      <c r="J4273">
        <v>-421.54739999999998</v>
      </c>
      <c r="K4273">
        <v>1.1036520000000001</v>
      </c>
      <c r="L4273">
        <v>73.485320000000002</v>
      </c>
      <c r="M4273">
        <v>1.8893699999999999E-2</v>
      </c>
      <c r="N4273">
        <v>0</v>
      </c>
      <c r="O4273">
        <v>-0.99970669999999995</v>
      </c>
      <c r="P4273">
        <v>6.9337700000000002E-2</v>
      </c>
      <c r="Q4273">
        <v>-9.3731969999999998E-3</v>
      </c>
      <c r="R4273">
        <v>-0.99754949999999998</v>
      </c>
      <c r="S4273">
        <v>-0.49804690000000001</v>
      </c>
      <c r="T4273">
        <v>-0.22518089999999899</v>
      </c>
      <c r="U4273">
        <v>-3.0397949999999998</v>
      </c>
      <c r="V4273">
        <v>-5.0463609999999999E-2</v>
      </c>
      <c r="W4273">
        <v>5.8701339999999999E-3</v>
      </c>
      <c r="X4273">
        <v>0.9987087</v>
      </c>
      <c r="Y4273">
        <v>0.1798757</v>
      </c>
      <c r="Z4273">
        <v>7.2770319999999999E-2</v>
      </c>
      <c r="AA4273">
        <v>0.98099400000000003</v>
      </c>
      <c r="AB4273">
        <v>27</v>
      </c>
      <c r="AC4273">
        <v>-2.44510000000002</v>
      </c>
      <c r="AD4273">
        <v>-1.1036567456240001</v>
      </c>
      <c r="AE4273">
        <v>-14.634370000000001</v>
      </c>
      <c r="AF4273">
        <v>2.7062190052945199</v>
      </c>
      <c r="AG4273">
        <v>-1.1036567456240001</v>
      </c>
      <c r="AH4273">
        <v>14.505296690497699</v>
      </c>
      <c r="AI4273">
        <v>94.277522853518207</v>
      </c>
      <c r="AJ4273">
        <v>79.431959314749093</v>
      </c>
      <c r="AK4273">
        <v>14.796800721647299</v>
      </c>
    </row>
    <row r="4274" spans="1:37" x14ac:dyDescent="0.2">
      <c r="A4274" t="str">
        <f>"20200111160255067"</f>
        <v>20200111160255067</v>
      </c>
      <c r="B4274" t="str">
        <f>"1578729775056937"</f>
        <v>1578729775056937</v>
      </c>
      <c r="C4274" t="s">
        <v>37</v>
      </c>
      <c r="D4274">
        <v>4.7923229999999997</v>
      </c>
      <c r="E4274">
        <v>0.59210649999999998</v>
      </c>
      <c r="F4274" t="s">
        <v>38</v>
      </c>
      <c r="G4274">
        <v>-424.11590000000001</v>
      </c>
      <c r="H4274" s="1">
        <v>-4.5200970000000003E-6</v>
      </c>
      <c r="I4274">
        <v>58.123890000000003</v>
      </c>
      <c r="J4274">
        <v>-421.54360000000003</v>
      </c>
      <c r="K4274">
        <v>1.1036600000000001</v>
      </c>
      <c r="L4274">
        <v>73.224429999999998</v>
      </c>
      <c r="M4274">
        <v>1.78373E-2</v>
      </c>
      <c r="N4274">
        <v>0</v>
      </c>
      <c r="O4274">
        <v>-0.99972609999999995</v>
      </c>
      <c r="P4274">
        <v>6.8817329999999996E-2</v>
      </c>
      <c r="Q4274">
        <v>-9.5916730000000002E-3</v>
      </c>
      <c r="R4274">
        <v>-0.99758329999999995</v>
      </c>
      <c r="S4274">
        <v>-0.50842290000000001</v>
      </c>
      <c r="T4274">
        <v>-0.2184606</v>
      </c>
      <c r="U4274">
        <v>-3.04068</v>
      </c>
      <c r="V4274">
        <v>-5.099894E-2</v>
      </c>
      <c r="W4274">
        <v>5.6469789999999999E-3</v>
      </c>
      <c r="X4274">
        <v>0.99868269999999904</v>
      </c>
      <c r="Y4274">
        <v>0.18207479999999901</v>
      </c>
      <c r="Z4274">
        <v>7.0557819999999993E-2</v>
      </c>
      <c r="AA4274">
        <v>0.98074989999999995</v>
      </c>
      <c r="AB4274">
        <v>27</v>
      </c>
      <c r="AC4274">
        <v>-2.5722999999999798</v>
      </c>
      <c r="AD4274">
        <v>-1.1036645200969999</v>
      </c>
      <c r="AE4274">
        <v>-15.100539999999899</v>
      </c>
      <c r="AF4274">
        <v>2.8266010347857899</v>
      </c>
      <c r="AG4274">
        <v>-1.1036645200969999</v>
      </c>
      <c r="AH4274">
        <v>14.9745133722333</v>
      </c>
      <c r="AI4274">
        <v>94.142351493982801</v>
      </c>
      <c r="AJ4274">
        <v>79.310575885159906</v>
      </c>
      <c r="AK4274">
        <v>15.278867743323399</v>
      </c>
    </row>
    <row r="4275" spans="1:37" x14ac:dyDescent="0.2">
      <c r="A4275" t="str">
        <f>"20200111160255091"</f>
        <v>20200111160255091</v>
      </c>
      <c r="B4275" t="str">
        <f>"1578729775087193"</f>
        <v>1578729775087193</v>
      </c>
      <c r="C4275" t="s">
        <v>37</v>
      </c>
      <c r="D4275">
        <v>5.0370999999999997</v>
      </c>
      <c r="E4275">
        <v>0.59198809999999902</v>
      </c>
      <c r="F4275" t="s">
        <v>38</v>
      </c>
      <c r="G4275">
        <v>-424.19529999999997</v>
      </c>
      <c r="H4275" s="1">
        <v>-4.3714040000000003E-6</v>
      </c>
      <c r="I4275">
        <v>57.645580000000002</v>
      </c>
      <c r="J4275">
        <v>-421.53989999999999</v>
      </c>
      <c r="K4275">
        <v>1.1036649999999999</v>
      </c>
      <c r="L4275">
        <v>72.942809999999994</v>
      </c>
      <c r="M4275">
        <v>1.6696740000000002E-2</v>
      </c>
      <c r="N4275">
        <v>0</v>
      </c>
      <c r="O4275">
        <v>-0.99974599999999902</v>
      </c>
      <c r="P4275">
        <v>6.8317630000000004E-2</v>
      </c>
      <c r="Q4275">
        <v>-9.8606760000000005E-3</v>
      </c>
      <c r="R4275">
        <v>-0.99761529999999998</v>
      </c>
      <c r="S4275">
        <v>-0.51757810000000004</v>
      </c>
      <c r="T4275">
        <v>-0.21542849999999999</v>
      </c>
      <c r="U4275">
        <v>-3.04089399999999</v>
      </c>
      <c r="V4275">
        <v>-5.1638549999999998E-2</v>
      </c>
      <c r="W4275">
        <v>5.3723240000000004E-3</v>
      </c>
      <c r="X4275">
        <v>0.99865139999999997</v>
      </c>
      <c r="Y4275">
        <v>0.1838245</v>
      </c>
      <c r="Z4275">
        <v>6.9552020000000006E-2</v>
      </c>
      <c r="AA4275">
        <v>0.98049529999999996</v>
      </c>
      <c r="AB4275">
        <v>27</v>
      </c>
      <c r="AC4275">
        <v>-2.6553999999999802</v>
      </c>
      <c r="AD4275">
        <v>-1.10366937140399</v>
      </c>
      <c r="AE4275">
        <v>-15.2972299999999</v>
      </c>
      <c r="AF4275">
        <v>2.8958398766243998</v>
      </c>
      <c r="AG4275">
        <v>-1.10366937140399</v>
      </c>
      <c r="AH4275">
        <v>15.174079077261</v>
      </c>
      <c r="AI4275">
        <v>94.086523616360395</v>
      </c>
      <c r="AJ4275">
        <v>79.195520665619696</v>
      </c>
      <c r="AK4275">
        <v>15.4873061090492</v>
      </c>
    </row>
    <row r="4276" spans="1:37" x14ac:dyDescent="0.2">
      <c r="A4276" t="str">
        <f>"20200111160255115"</f>
        <v>20200111160255115</v>
      </c>
      <c r="B4276" t="str">
        <f>"1578729775106713"</f>
        <v>1578729775106713</v>
      </c>
      <c r="C4276" t="s">
        <v>37</v>
      </c>
      <c r="D4276">
        <v>5.0409129999999998</v>
      </c>
      <c r="E4276">
        <v>0.59155469999999999</v>
      </c>
      <c r="F4276" t="s">
        <v>38</v>
      </c>
      <c r="G4276">
        <v>-424.11919999999998</v>
      </c>
      <c r="H4276" s="1">
        <v>-4.4082990000000004E-6</v>
      </c>
      <c r="I4276">
        <v>57.793619999999997</v>
      </c>
      <c r="J4276">
        <v>-421.53629999999998</v>
      </c>
      <c r="K4276">
        <v>1.103669</v>
      </c>
      <c r="L4276">
        <v>72.643460000000005</v>
      </c>
      <c r="M4276">
        <v>1.5483820000000001E-2</v>
      </c>
      <c r="N4276">
        <v>0</v>
      </c>
      <c r="O4276">
        <v>-0.99976549999999997</v>
      </c>
      <c r="P4276">
        <v>6.7658769999999993E-2</v>
      </c>
      <c r="Q4276">
        <v>-1.0361250000000001E-2</v>
      </c>
      <c r="R4276">
        <v>-0.99765490000000001</v>
      </c>
      <c r="S4276">
        <v>-0.51766970000000001</v>
      </c>
      <c r="T4276">
        <v>-0.22150599999999901</v>
      </c>
      <c r="U4276">
        <v>-3.0404360000000001</v>
      </c>
      <c r="V4276">
        <v>-5.2191540000000002E-2</v>
      </c>
      <c r="W4276">
        <v>4.8654529999999996E-3</v>
      </c>
      <c r="X4276">
        <v>0.99862519999999999</v>
      </c>
      <c r="Y4276">
        <v>0.18266170000000001</v>
      </c>
      <c r="Z4276">
        <v>7.152443E-2</v>
      </c>
      <c r="AA4276">
        <v>0.98057070000000002</v>
      </c>
      <c r="AB4276">
        <v>27</v>
      </c>
      <c r="AC4276">
        <v>-2.5828999999999902</v>
      </c>
      <c r="AD4276">
        <v>-1.1036734082990001</v>
      </c>
      <c r="AE4276">
        <v>-14.84984</v>
      </c>
      <c r="AF4276">
        <v>2.7975495761807601</v>
      </c>
      <c r="AG4276">
        <v>-1.1036734082990001</v>
      </c>
      <c r="AH4276">
        <v>14.7290902796863</v>
      </c>
      <c r="AI4276">
        <v>94.210261361088897</v>
      </c>
      <c r="AJ4276">
        <v>79.245703209187198</v>
      </c>
      <c r="AK4276">
        <v>15.032979714299</v>
      </c>
    </row>
    <row r="4277" spans="1:37" x14ac:dyDescent="0.2">
      <c r="A4277" t="str">
        <f>"20200111160255138"</f>
        <v>20200111160255138</v>
      </c>
      <c r="B4277" t="str">
        <f>"1578729775127588"</f>
        <v>1578729775127588</v>
      </c>
      <c r="C4277" t="s">
        <v>37</v>
      </c>
      <c r="D4277">
        <v>5.0557610000000004</v>
      </c>
      <c r="E4277">
        <v>0.59110079999999998</v>
      </c>
      <c r="F4277" t="s">
        <v>38</v>
      </c>
      <c r="G4277">
        <v>-424.03969999999998</v>
      </c>
      <c r="H4277" s="1">
        <v>-4.4314210000000004E-6</v>
      </c>
      <c r="I4277">
        <v>57.903030000000001</v>
      </c>
      <c r="J4277">
        <v>-421.5333</v>
      </c>
      <c r="K4277">
        <v>1.103669</v>
      </c>
      <c r="L4277">
        <v>72.366060000000004</v>
      </c>
      <c r="M4277">
        <v>1.4359759999999999E-2</v>
      </c>
      <c r="N4277">
        <v>0</v>
      </c>
      <c r="O4277">
        <v>-0.99978239999999996</v>
      </c>
      <c r="P4277">
        <v>6.6930310000000007E-2</v>
      </c>
      <c r="Q4277">
        <v>-1.13017999999999E-2</v>
      </c>
      <c r="R4277">
        <v>-0.99769379999999996</v>
      </c>
      <c r="S4277">
        <v>-0.51623540000000001</v>
      </c>
      <c r="T4277">
        <v>-0.227594299999999</v>
      </c>
      <c r="U4277">
        <v>-3.0397029999999998</v>
      </c>
      <c r="V4277">
        <v>-5.2586979999999998E-2</v>
      </c>
      <c r="W4277">
        <v>3.9184620000000002E-3</v>
      </c>
      <c r="X4277">
        <v>0.99860859999999996</v>
      </c>
      <c r="Y4277">
        <v>0.18112139999999999</v>
      </c>
      <c r="Z4277">
        <v>7.3512350000000004E-2</v>
      </c>
      <c r="AA4277">
        <v>0.98070939999999995</v>
      </c>
      <c r="AB4277">
        <v>27</v>
      </c>
      <c r="AC4277">
        <v>-2.5063999999999802</v>
      </c>
      <c r="AD4277">
        <v>-1.1036734314209999</v>
      </c>
      <c r="AE4277">
        <v>-14.46303</v>
      </c>
      <c r="AF4277">
        <v>2.6985946196518298</v>
      </c>
      <c r="AG4277">
        <v>-1.1036734314209999</v>
      </c>
      <c r="AH4277">
        <v>14.344447683356499</v>
      </c>
      <c r="AI4277">
        <v>94.324155365616406</v>
      </c>
      <c r="AJ4277">
        <v>79.345579826798001</v>
      </c>
      <c r="AK4277">
        <v>14.6377487102693</v>
      </c>
    </row>
    <row r="4278" spans="1:37" x14ac:dyDescent="0.2">
      <c r="A4278" t="str">
        <f>"20200111160255157"</f>
        <v>20200111160255157</v>
      </c>
      <c r="B4278" t="str">
        <f>"1578729775147107"</f>
        <v>1578729775147107</v>
      </c>
      <c r="C4278" t="s">
        <v>37</v>
      </c>
      <c r="D4278">
        <v>5.0707979999999999</v>
      </c>
      <c r="E4278">
        <v>0.59077789999999997</v>
      </c>
      <c r="F4278" t="s">
        <v>38</v>
      </c>
      <c r="G4278">
        <v>-423.9606</v>
      </c>
      <c r="H4278" s="1">
        <v>-4.46698E-6</v>
      </c>
      <c r="I4278">
        <v>58.048740000000002</v>
      </c>
      <c r="J4278">
        <v>-421.53100000000001</v>
      </c>
      <c r="K4278">
        <v>1.103667</v>
      </c>
      <c r="L4278">
        <v>72.133759999999995</v>
      </c>
      <c r="M4278">
        <v>1.3418370000000001E-2</v>
      </c>
      <c r="N4278">
        <v>0</v>
      </c>
      <c r="O4278">
        <v>-0.99979549999999995</v>
      </c>
      <c r="P4278">
        <v>6.6237000000000004E-2</v>
      </c>
      <c r="Q4278">
        <v>-1.183995E-2</v>
      </c>
      <c r="R4278">
        <v>-0.9977338</v>
      </c>
      <c r="S4278">
        <v>-0.51519780000000004</v>
      </c>
      <c r="T4278">
        <v>-0.2342545</v>
      </c>
      <c r="U4278">
        <v>-3.0388489999999999</v>
      </c>
      <c r="V4278">
        <v>-5.2835170000000001E-2</v>
      </c>
      <c r="W4278">
        <v>3.3753490000000001E-3</v>
      </c>
      <c r="X4278">
        <v>0.99859759999999997</v>
      </c>
      <c r="Y4278">
        <v>0.179888299999999</v>
      </c>
      <c r="Z4278">
        <v>7.5684370000000001E-2</v>
      </c>
      <c r="AA4278">
        <v>0.98077119999999995</v>
      </c>
      <c r="AB4278">
        <v>27</v>
      </c>
      <c r="AC4278">
        <v>-2.42959999999999</v>
      </c>
      <c r="AD4278">
        <v>-1.1036714669799901</v>
      </c>
      <c r="AE4278">
        <v>-14.085019999999901</v>
      </c>
      <c r="AF4278">
        <v>2.6028810874939499</v>
      </c>
      <c r="AG4278">
        <v>-1.1036714669799901</v>
      </c>
      <c r="AH4278">
        <v>13.967862756216199</v>
      </c>
      <c r="AI4278">
        <v>94.441694602612699</v>
      </c>
      <c r="AJ4278">
        <v>79.444129800035796</v>
      </c>
      <c r="AK4278">
        <v>14.2511147156688</v>
      </c>
    </row>
    <row r="4279" spans="1:37" x14ac:dyDescent="0.2">
      <c r="A4279" t="str">
        <f>"20200111160255180"</f>
        <v>20200111160255180</v>
      </c>
      <c r="B4279" t="str">
        <f>"1578729775177362"</f>
        <v>1578729775177362</v>
      </c>
      <c r="C4279" t="s">
        <v>37</v>
      </c>
      <c r="D4279">
        <v>6.8272009999999996</v>
      </c>
      <c r="E4279">
        <v>0.59050059999999904</v>
      </c>
      <c r="F4279" t="s">
        <v>38</v>
      </c>
      <c r="G4279">
        <v>-423.9051</v>
      </c>
      <c r="H4279" s="1">
        <v>-4.4804140000000003E-6</v>
      </c>
      <c r="I4279">
        <v>58.117159999999998</v>
      </c>
      <c r="J4279">
        <v>-421.52859999999998</v>
      </c>
      <c r="K4279">
        <v>1.1036699999999999</v>
      </c>
      <c r="L4279">
        <v>71.858549999999994</v>
      </c>
      <c r="M4279">
        <v>1.230234E-2</v>
      </c>
      <c r="N4279">
        <v>0</v>
      </c>
      <c r="O4279">
        <v>-0.99981030000000004</v>
      </c>
      <c r="P4279">
        <v>6.5530260000000007E-2</v>
      </c>
      <c r="Q4279">
        <v>-1.183615E-2</v>
      </c>
      <c r="R4279">
        <v>-0.99778089999999997</v>
      </c>
      <c r="S4279">
        <v>-0.51458740000000003</v>
      </c>
      <c r="T4279">
        <v>-0.2392222</v>
      </c>
      <c r="U4279">
        <v>-3.038116</v>
      </c>
      <c r="V4279">
        <v>-5.3241820000000002E-2</v>
      </c>
      <c r="W4279">
        <v>3.3729649999999999E-3</v>
      </c>
      <c r="X4279">
        <v>0.99857589999999996</v>
      </c>
      <c r="Y4279">
        <v>0.17861679999999999</v>
      </c>
      <c r="Z4279">
        <v>7.7309950000000002E-2</v>
      </c>
      <c r="AA4279">
        <v>0.98087669999999905</v>
      </c>
      <c r="AB4279">
        <v>27</v>
      </c>
      <c r="AC4279">
        <v>-2.37650000000002</v>
      </c>
      <c r="AD4279">
        <v>-1.103674480414</v>
      </c>
      <c r="AE4279">
        <v>-13.7413899999999</v>
      </c>
      <c r="AF4279">
        <v>2.52954666666909</v>
      </c>
      <c r="AG4279">
        <v>-1.103674480414</v>
      </c>
      <c r="AH4279">
        <v>13.6257641820774</v>
      </c>
      <c r="AI4279">
        <v>94.553333737546794</v>
      </c>
      <c r="AJ4279">
        <v>79.483087000456607</v>
      </c>
      <c r="AK4279">
        <v>13.902451339355901</v>
      </c>
    </row>
    <row r="4280" spans="1:37" x14ac:dyDescent="0.2">
      <c r="A4280" t="str">
        <f>"20200111160255202"</f>
        <v>20200111160255202</v>
      </c>
      <c r="B4280" t="str">
        <f>"1578729775196883"</f>
        <v>1578729775196883</v>
      </c>
      <c r="C4280" t="s">
        <v>37</v>
      </c>
      <c r="D4280">
        <v>4.8757950000000001</v>
      </c>
      <c r="E4280">
        <v>0.45445229999999998</v>
      </c>
      <c r="F4280" t="s">
        <v>38</v>
      </c>
      <c r="G4280">
        <v>-423.88080000000002</v>
      </c>
      <c r="H4280" s="1">
        <v>-4.4240889999999996E-6</v>
      </c>
      <c r="I4280">
        <v>57.964309999999998</v>
      </c>
      <c r="J4280">
        <v>-421.5265</v>
      </c>
      <c r="K4280">
        <v>1.1036729999999999</v>
      </c>
      <c r="L4280">
        <v>71.58905</v>
      </c>
      <c r="M4280">
        <v>1.1209169999999999E-2</v>
      </c>
      <c r="N4280">
        <v>0</v>
      </c>
      <c r="O4280">
        <v>-0.99982309999999996</v>
      </c>
      <c r="P4280">
        <v>6.5758869999999997E-2</v>
      </c>
      <c r="Q4280">
        <v>-1.1509E-2</v>
      </c>
      <c r="R4280">
        <v>-0.99776949999999998</v>
      </c>
      <c r="S4280">
        <v>-0.51425169999999998</v>
      </c>
      <c r="T4280">
        <v>-0.24128839999999999</v>
      </c>
      <c r="U4280">
        <v>-3.037598</v>
      </c>
      <c r="V4280">
        <v>-5.4562099999999898E-2</v>
      </c>
      <c r="W4280">
        <v>3.6948279999999998E-3</v>
      </c>
      <c r="X4280">
        <v>0.99850360000000005</v>
      </c>
      <c r="Y4280">
        <v>0.17745420000000001</v>
      </c>
      <c r="Z4280">
        <v>7.7997129999999998E-2</v>
      </c>
      <c r="AA4280">
        <v>0.9810333</v>
      </c>
      <c r="AB4280">
        <v>27</v>
      </c>
      <c r="AC4280">
        <v>-2.3543000000000198</v>
      </c>
      <c r="AD4280">
        <v>-1.1036774240889999</v>
      </c>
      <c r="AE4280">
        <v>-13.624739999999999</v>
      </c>
      <c r="AF4280">
        <v>2.4910196596934302</v>
      </c>
      <c r="AG4280">
        <v>-1.1036774240889999</v>
      </c>
      <c r="AH4280">
        <v>13.5114014656004</v>
      </c>
      <c r="AI4280">
        <v>94.592769058530905</v>
      </c>
      <c r="AJ4280">
        <v>79.554005157050995</v>
      </c>
      <c r="AK4280">
        <v>13.7833686871552</v>
      </c>
    </row>
    <row r="4281" spans="1:37" x14ac:dyDescent="0.2">
      <c r="A4281" t="str">
        <f>"20200111160255224"</f>
        <v>20200111160255224</v>
      </c>
      <c r="B4281" t="str">
        <f>"1578729775216910"</f>
        <v>1578729775216910</v>
      </c>
      <c r="C4281" t="s">
        <v>37</v>
      </c>
      <c r="D4281">
        <v>4.8691420000000001</v>
      </c>
      <c r="E4281">
        <v>0.4428184</v>
      </c>
      <c r="F4281" t="s">
        <v>83</v>
      </c>
      <c r="G4281">
        <v>-408.28129999999999</v>
      </c>
      <c r="H4281">
        <v>3.1288960000000001</v>
      </c>
      <c r="I4281">
        <v>0.61137580000000002</v>
      </c>
      <c r="J4281">
        <v>-421.5247</v>
      </c>
      <c r="K4281">
        <v>1.1036760000000001</v>
      </c>
      <c r="L4281">
        <v>71.314329999999998</v>
      </c>
      <c r="M4281">
        <v>1.0094219999999999E-2</v>
      </c>
      <c r="N4281">
        <v>0</v>
      </c>
      <c r="O4281">
        <v>-0.99983529999999998</v>
      </c>
      <c r="P4281">
        <v>6.5647399999999995E-2</v>
      </c>
      <c r="Q4281">
        <v>-1.107644E-2</v>
      </c>
      <c r="R4281">
        <v>-0.99778159999999905</v>
      </c>
      <c r="S4281">
        <v>0.55444340000000003</v>
      </c>
      <c r="T4281">
        <v>8.4774849999999999E-2</v>
      </c>
      <c r="U4281">
        <v>-2.97113</v>
      </c>
      <c r="V4281">
        <v>-5.5562779999999999E-2</v>
      </c>
      <c r="W4281">
        <v>4.1220700000000002E-3</v>
      </c>
      <c r="X4281">
        <v>0.99844669999999902</v>
      </c>
      <c r="Y4281">
        <v>-0.17343789999999901</v>
      </c>
      <c r="Z4281">
        <v>-2.8060950000000001E-2</v>
      </c>
      <c r="AA4281">
        <v>0.98444500000000001</v>
      </c>
      <c r="AB4281">
        <v>27</v>
      </c>
      <c r="AC4281">
        <v>13.243399999999999</v>
      </c>
      <c r="AD4281">
        <v>2.02522</v>
      </c>
      <c r="AE4281">
        <v>-70.702954199999994</v>
      </c>
      <c r="AF4281">
        <v>-12.519029282603199</v>
      </c>
      <c r="AG4281">
        <v>2.02522</v>
      </c>
      <c r="AH4281">
        <v>70.776945349861293</v>
      </c>
      <c r="AI4281">
        <v>88.386018863424496</v>
      </c>
      <c r="AJ4281">
        <v>100.030729825961</v>
      </c>
      <c r="AK4281">
        <v>71.904127859840699</v>
      </c>
    </row>
    <row r="4282" spans="1:37" x14ac:dyDescent="0.2">
      <c r="A4282" t="str">
        <f>"20200111160255247"</f>
        <v>20200111160255247</v>
      </c>
      <c r="B4282" t="str">
        <f>"1578729775237406"</f>
        <v>1578729775237406</v>
      </c>
      <c r="C4282" t="s">
        <v>37</v>
      </c>
      <c r="D4282">
        <v>4.8017440000000002</v>
      </c>
      <c r="E4282">
        <v>0.43773029999999902</v>
      </c>
      <c r="F4282" t="s">
        <v>83</v>
      </c>
      <c r="G4282">
        <v>-405.96879999999999</v>
      </c>
      <c r="H4282">
        <v>0.49596809999999902</v>
      </c>
      <c r="I4282">
        <v>0.62008289999999999</v>
      </c>
      <c r="J4282">
        <v>-421.52330000000001</v>
      </c>
      <c r="K4282">
        <v>1.1036790000000001</v>
      </c>
      <c r="L4282">
        <v>71.059019999999904</v>
      </c>
      <c r="M4282">
        <v>9.0570169999999901E-3</v>
      </c>
      <c r="N4282">
        <v>0</v>
      </c>
      <c r="O4282">
        <v>-0.99984499999999998</v>
      </c>
      <c r="P4282">
        <v>6.4691990000000005E-2</v>
      </c>
      <c r="Q4282">
        <v>-1.1507430000000001E-2</v>
      </c>
      <c r="R4282">
        <v>-0.99783889999999997</v>
      </c>
      <c r="S4282">
        <v>0.6520996</v>
      </c>
      <c r="T4282">
        <v>-2.5476099999999901E-2</v>
      </c>
      <c r="U4282">
        <v>-2.9635009999999999</v>
      </c>
      <c r="V4282">
        <v>-5.5643819999999997E-2</v>
      </c>
      <c r="W4282">
        <v>3.6848139999999998E-3</v>
      </c>
      <c r="X4282">
        <v>0.99844390000000005</v>
      </c>
      <c r="Y4282">
        <v>-0.20603959999999999</v>
      </c>
      <c r="Z4282">
        <v>8.4030449999999996E-3</v>
      </c>
      <c r="AA4282">
        <v>0.97850759999999903</v>
      </c>
      <c r="AB4282">
        <v>27</v>
      </c>
      <c r="AC4282">
        <v>15.554500000000001</v>
      </c>
      <c r="AD4282">
        <v>-0.60771090000000005</v>
      </c>
      <c r="AE4282">
        <v>-70.438937099999904</v>
      </c>
      <c r="AF4282">
        <v>-14.9147639617957</v>
      </c>
      <c r="AG4282">
        <v>-0.60771090000000005</v>
      </c>
      <c r="AH4282">
        <v>70.571932094435297</v>
      </c>
      <c r="AI4282">
        <v>90.482712808597896</v>
      </c>
      <c r="AJ4282">
        <v>101.933364153502</v>
      </c>
      <c r="AK4282">
        <v>72.133328608318394</v>
      </c>
    </row>
    <row r="4283" spans="1:37" x14ac:dyDescent="0.2">
      <c r="A4283" t="str">
        <f>"20200111160255268"</f>
        <v>20200111160255268</v>
      </c>
      <c r="B4283" t="str">
        <f>"1578729775256926"</f>
        <v>1578729775256926</v>
      </c>
      <c r="C4283" t="s">
        <v>37</v>
      </c>
      <c r="D4283">
        <v>4.8167410000000004</v>
      </c>
      <c r="E4283">
        <v>0.43551909999999999</v>
      </c>
      <c r="F4283" t="s">
        <v>64</v>
      </c>
      <c r="G4283">
        <v>-410.13799999999998</v>
      </c>
      <c r="H4283" s="1">
        <v>-1.000502E-5</v>
      </c>
      <c r="I4283">
        <v>22.344049999999999</v>
      </c>
      <c r="J4283">
        <v>-421.52199999999999</v>
      </c>
      <c r="K4283">
        <v>1.1036840000000001</v>
      </c>
      <c r="L4283">
        <v>70.793400000000005</v>
      </c>
      <c r="M4283">
        <v>7.9784350000000007E-3</v>
      </c>
      <c r="N4283">
        <v>0</v>
      </c>
      <c r="O4283">
        <v>-0.99985429999999997</v>
      </c>
      <c r="P4283">
        <v>6.3573409999999997E-2</v>
      </c>
      <c r="Q4283">
        <v>-1.108818E-2</v>
      </c>
      <c r="R4283">
        <v>-0.99791559999999901</v>
      </c>
      <c r="S4283">
        <v>0.69198609999999905</v>
      </c>
      <c r="T4283">
        <v>-6.7081089999999996E-2</v>
      </c>
      <c r="U4283">
        <v>-2.9608460000000001</v>
      </c>
      <c r="V4283">
        <v>-5.5600410000000003E-2</v>
      </c>
      <c r="W4283">
        <v>4.097275E-3</v>
      </c>
      <c r="X4283">
        <v>0.99844469999999996</v>
      </c>
      <c r="Y4283">
        <v>-0.2197469</v>
      </c>
      <c r="Z4283">
        <v>2.2075060000000001E-2</v>
      </c>
      <c r="AA4283">
        <v>0.97530709999999998</v>
      </c>
      <c r="AB4283">
        <v>27</v>
      </c>
      <c r="AC4283">
        <v>11.383999999999901</v>
      </c>
      <c r="AD4283">
        <v>-1.1036940050199999</v>
      </c>
      <c r="AE4283">
        <v>-48.449350000000003</v>
      </c>
      <c r="AF4283">
        <v>-10.991637958681601</v>
      </c>
      <c r="AG4283">
        <v>-1.1036940050199999</v>
      </c>
      <c r="AH4283">
        <v>48.514785184901697</v>
      </c>
      <c r="AI4283">
        <v>91.271031444865301</v>
      </c>
      <c r="AJ4283">
        <v>102.765573577257</v>
      </c>
      <c r="AK4283">
        <v>49.756593804325099</v>
      </c>
    </row>
    <row r="4284" spans="1:37" x14ac:dyDescent="0.2">
      <c r="A4284" t="str">
        <f>"20200111160255292"</f>
        <v>20200111160255292</v>
      </c>
      <c r="B4284" t="str">
        <f>"1578729775287182"</f>
        <v>1578729775287182</v>
      </c>
      <c r="C4284" t="s">
        <v>37</v>
      </c>
      <c r="D4284">
        <v>4.8056039999999998</v>
      </c>
      <c r="E4284">
        <v>0.43343739999999997</v>
      </c>
      <c r="F4284" t="s">
        <v>64</v>
      </c>
      <c r="G4284">
        <v>-412.39370000000002</v>
      </c>
      <c r="H4284" s="1">
        <v>-5.784492E-6</v>
      </c>
      <c r="I4284">
        <v>32.57882</v>
      </c>
      <c r="J4284">
        <v>-421.52120000000002</v>
      </c>
      <c r="K4284">
        <v>1.103691</v>
      </c>
      <c r="L4284">
        <v>70.519900000000007</v>
      </c>
      <c r="M4284">
        <v>6.8675949999999998E-3</v>
      </c>
      <c r="N4284">
        <v>0</v>
      </c>
      <c r="O4284">
        <v>-0.99986260000000005</v>
      </c>
      <c r="P4284">
        <v>6.1814420000000002E-2</v>
      </c>
      <c r="Q4284">
        <v>-1.047645E-2</v>
      </c>
      <c r="R4284">
        <v>-0.998032699999999</v>
      </c>
      <c r="S4284">
        <v>0.70712280000000005</v>
      </c>
      <c r="T4284">
        <v>-8.5496539999999996E-2</v>
      </c>
      <c r="U4284">
        <v>-2.9602659999999998</v>
      </c>
      <c r="V4284">
        <v>-5.4948950000000003E-2</v>
      </c>
      <c r="W4284">
        <v>4.7009449999999998E-3</v>
      </c>
      <c r="X4284">
        <v>0.99847809999999904</v>
      </c>
      <c r="Y4284">
        <v>-0.22555729999999999</v>
      </c>
      <c r="Z4284">
        <v>2.8101359999999999E-2</v>
      </c>
      <c r="AA4284">
        <v>0.97382459999999904</v>
      </c>
      <c r="AB4284">
        <v>27</v>
      </c>
      <c r="AC4284">
        <v>9.1274999999999906</v>
      </c>
      <c r="AD4284">
        <v>-1.103696784492</v>
      </c>
      <c r="AE4284">
        <v>-37.941079999999999</v>
      </c>
      <c r="AF4284">
        <v>-8.8596041050512397</v>
      </c>
      <c r="AG4284">
        <v>-1.103696784492</v>
      </c>
      <c r="AH4284">
        <v>37.972501232816498</v>
      </c>
      <c r="AI4284">
        <v>91.621350998632707</v>
      </c>
      <c r="AJ4284">
        <v>103.133097636703</v>
      </c>
      <c r="AK4284">
        <v>39.007968177881096</v>
      </c>
    </row>
    <row r="4285" spans="1:37" x14ac:dyDescent="0.2">
      <c r="A4285" t="str">
        <f>"20200111160255315"</f>
        <v>20200111160255315</v>
      </c>
      <c r="B4285" t="str">
        <f>"1578729775306702"</f>
        <v>1578729775306702</v>
      </c>
      <c r="C4285" t="s">
        <v>37</v>
      </c>
      <c r="D4285">
        <v>4.7889410000000003</v>
      </c>
      <c r="E4285">
        <v>0.43201210000000001</v>
      </c>
      <c r="F4285" t="s">
        <v>64</v>
      </c>
      <c r="G4285">
        <v>-413.55450000000002</v>
      </c>
      <c r="H4285" s="1">
        <v>-2.8872519999999998E-6</v>
      </c>
      <c r="I4285">
        <v>37.741169999999997</v>
      </c>
      <c r="J4285">
        <v>-421.52050000000003</v>
      </c>
      <c r="K4285">
        <v>1.103702</v>
      </c>
      <c r="L4285">
        <v>70.231169999999906</v>
      </c>
      <c r="M4285">
        <v>5.69423699999999E-3</v>
      </c>
      <c r="N4285">
        <v>0</v>
      </c>
      <c r="O4285">
        <v>-0.99986989999999998</v>
      </c>
      <c r="P4285">
        <v>6.0022010000000001E-2</v>
      </c>
      <c r="Q4285">
        <v>-9.5924259999999994E-3</v>
      </c>
      <c r="R4285">
        <v>-0.9981508</v>
      </c>
      <c r="S4285">
        <v>0.71948239999999997</v>
      </c>
      <c r="T4285">
        <v>-9.9676249999999994E-2</v>
      </c>
      <c r="U4285">
        <v>-2.9602970000000002</v>
      </c>
      <c r="V4285">
        <v>-5.4325930000000001E-2</v>
      </c>
      <c r="W4285">
        <v>5.57736E-3</v>
      </c>
      <c r="X4285">
        <v>0.998507699999999</v>
      </c>
      <c r="Y4285">
        <v>-0.23050479999999901</v>
      </c>
      <c r="Z4285">
        <v>3.2722290000000001E-2</v>
      </c>
      <c r="AA4285">
        <v>0.97252079999999996</v>
      </c>
      <c r="AB4285">
        <v>27</v>
      </c>
      <c r="AC4285">
        <v>7.9660000000000002</v>
      </c>
      <c r="AD4285">
        <v>-1.1037048872519899</v>
      </c>
      <c r="AE4285">
        <v>-32.489999999999903</v>
      </c>
      <c r="AF4285">
        <v>-7.7723832614240997</v>
      </c>
      <c r="AG4285">
        <v>-1.1037048872519899</v>
      </c>
      <c r="AH4285">
        <v>32.4994608857128</v>
      </c>
      <c r="AI4285">
        <v>91.891751512126504</v>
      </c>
      <c r="AJ4285">
        <v>103.44990419497201</v>
      </c>
      <c r="AK4285">
        <v>33.434160134547803</v>
      </c>
    </row>
    <row r="4286" spans="1:37" x14ac:dyDescent="0.2">
      <c r="A4286" t="str">
        <f>"20200111160255336"</f>
        <v>20200111160255336</v>
      </c>
      <c r="B4286" t="str">
        <f>"1578729775326729"</f>
        <v>1578729775326729</v>
      </c>
      <c r="C4286" t="s">
        <v>37</v>
      </c>
      <c r="D4286">
        <v>4.9064069999999997</v>
      </c>
      <c r="E4286">
        <v>0.43123329999999999</v>
      </c>
      <c r="F4286" t="s">
        <v>64</v>
      </c>
      <c r="G4286">
        <v>-413.78390000000002</v>
      </c>
      <c r="H4286" s="1">
        <v>-2.2522269999999999E-6</v>
      </c>
      <c r="I4286">
        <v>38.654879999999999</v>
      </c>
      <c r="J4286">
        <v>-421.52030000000002</v>
      </c>
      <c r="K4286">
        <v>1.1037129999999999</v>
      </c>
      <c r="L4286">
        <v>69.988129999999998</v>
      </c>
      <c r="M4286">
        <v>4.7063019999999999E-3</v>
      </c>
      <c r="N4286">
        <v>0</v>
      </c>
      <c r="O4286">
        <v>-0.99987539999999997</v>
      </c>
      <c r="P4286">
        <v>5.8527339999999997E-2</v>
      </c>
      <c r="Q4286">
        <v>-9.4752320000000001E-3</v>
      </c>
      <c r="R4286">
        <v>-0.99824089999999999</v>
      </c>
      <c r="S4286">
        <v>0.72546390000000005</v>
      </c>
      <c r="T4286">
        <v>-0.1034954</v>
      </c>
      <c r="U4286">
        <v>-2.9609380000000001</v>
      </c>
      <c r="V4286">
        <v>-5.3816910000000003E-2</v>
      </c>
      <c r="W4286">
        <v>5.6879849999999996E-3</v>
      </c>
      <c r="X4286">
        <v>0.99853459999999905</v>
      </c>
      <c r="Y4286">
        <v>-0.23326140000000001</v>
      </c>
      <c r="Z4286">
        <v>3.3948399999999997E-2</v>
      </c>
      <c r="AA4286">
        <v>0.9718213</v>
      </c>
      <c r="AB4286">
        <v>27</v>
      </c>
      <c r="AC4286">
        <v>7.7363999999999997</v>
      </c>
      <c r="AD4286">
        <v>-1.103715252227</v>
      </c>
      <c r="AE4286">
        <v>-31.33325</v>
      </c>
      <c r="AF4286">
        <v>-7.5799689936477801</v>
      </c>
      <c r="AG4286">
        <v>-1.103715252227</v>
      </c>
      <c r="AH4286">
        <v>31.332673094452101</v>
      </c>
      <c r="AI4286">
        <v>91.960930023102406</v>
      </c>
      <c r="AJ4286">
        <v>103.599650370487</v>
      </c>
      <c r="AK4286">
        <v>32.255395216094598</v>
      </c>
    </row>
    <row r="4287" spans="1:37" x14ac:dyDescent="0.2">
      <c r="A4287" t="str">
        <f>"20200111160255358"</f>
        <v>20200111160255358</v>
      </c>
      <c r="B4287" t="str">
        <f>"1578729775347226"</f>
        <v>1578729775347226</v>
      </c>
      <c r="C4287" t="s">
        <v>37</v>
      </c>
      <c r="D4287">
        <v>4.8375519999999996</v>
      </c>
      <c r="E4287">
        <v>0.43063069999999998</v>
      </c>
      <c r="F4287" t="s">
        <v>38</v>
      </c>
      <c r="G4287">
        <v>-414.07900000000001</v>
      </c>
      <c r="H4287" s="1">
        <v>-1.583708E-6</v>
      </c>
      <c r="I4287">
        <v>39.67239</v>
      </c>
      <c r="J4287">
        <v>-421.52030000000002</v>
      </c>
      <c r="K4287">
        <v>1.1037239999999999</v>
      </c>
      <c r="L4287">
        <v>69.71799</v>
      </c>
      <c r="M4287">
        <v>3.6082169999999999E-3</v>
      </c>
      <c r="N4287">
        <v>0</v>
      </c>
      <c r="O4287">
        <v>-0.99987990000000004</v>
      </c>
      <c r="P4287">
        <v>5.7407350000000003E-2</v>
      </c>
      <c r="Q4287">
        <v>-9.3571330000000001E-3</v>
      </c>
      <c r="R4287">
        <v>-0.99830680000000005</v>
      </c>
      <c r="S4287">
        <v>0.72695919999999903</v>
      </c>
      <c r="T4287">
        <v>-0.1078253</v>
      </c>
      <c r="U4287">
        <v>-2.9616389999999999</v>
      </c>
      <c r="V4287">
        <v>-5.3793550000000002E-2</v>
      </c>
      <c r="W4287">
        <v>5.7990860000000002E-3</v>
      </c>
      <c r="X4287">
        <v>0.99853519999999896</v>
      </c>
      <c r="Y4287">
        <v>-0.23472709999999999</v>
      </c>
      <c r="Z4287">
        <v>3.5350599999999899E-2</v>
      </c>
      <c r="AA4287">
        <v>0.97141829999999996</v>
      </c>
      <c r="AB4287">
        <v>27</v>
      </c>
      <c r="AC4287">
        <v>7.4413000000000098</v>
      </c>
      <c r="AD4287">
        <v>-1.103725583708</v>
      </c>
      <c r="AE4287">
        <v>-30.0456</v>
      </c>
      <c r="AF4287">
        <v>-7.3235165511352296</v>
      </c>
      <c r="AG4287">
        <v>-1.103725583708</v>
      </c>
      <c r="AH4287">
        <v>30.0340698031039</v>
      </c>
      <c r="AI4287">
        <v>92.044764206176794</v>
      </c>
      <c r="AJ4287">
        <v>103.70360048513599</v>
      </c>
      <c r="AK4287">
        <v>30.9337591277976</v>
      </c>
    </row>
    <row r="4288" spans="1:37" x14ac:dyDescent="0.2">
      <c r="A4288" t="str">
        <f>"20200111160255380"</f>
        <v>20200111160255380</v>
      </c>
      <c r="B4288" t="str">
        <f>"1578729775377481"</f>
        <v>1578729775377481</v>
      </c>
      <c r="C4288" t="s">
        <v>37</v>
      </c>
      <c r="D4288">
        <v>4.9128239999999996</v>
      </c>
      <c r="E4288">
        <v>0.42967889999999997</v>
      </c>
      <c r="F4288" t="s">
        <v>38</v>
      </c>
      <c r="G4288">
        <v>-414.14830000000001</v>
      </c>
      <c r="H4288" s="1">
        <v>-1.5911379999999899E-6</v>
      </c>
      <c r="I4288">
        <v>39.748390000000001</v>
      </c>
      <c r="J4288">
        <v>-421.52050000000003</v>
      </c>
      <c r="K4288">
        <v>1.1037349999999999</v>
      </c>
      <c r="L4288">
        <v>69.458309999999997</v>
      </c>
      <c r="M4288">
        <v>2.5538179999999998E-3</v>
      </c>
      <c r="N4288">
        <v>0</v>
      </c>
      <c r="O4288">
        <v>-0.99988319999999997</v>
      </c>
      <c r="P4288">
        <v>5.5317599999999897E-2</v>
      </c>
      <c r="Q4288">
        <v>-9.2353439999999995E-3</v>
      </c>
      <c r="R4288">
        <v>-0.99842619999999904</v>
      </c>
      <c r="S4288">
        <v>0.72863769999999894</v>
      </c>
      <c r="T4288">
        <v>-0.10909089999999901</v>
      </c>
      <c r="U4288">
        <v>-2.9621580000000001</v>
      </c>
      <c r="V4288">
        <v>-5.2755980000000001E-2</v>
      </c>
      <c r="W4288">
        <v>5.9135239999999999E-3</v>
      </c>
      <c r="X4288">
        <v>0.99858989999999903</v>
      </c>
      <c r="Y4288">
        <v>-0.2362281</v>
      </c>
      <c r="Z4288">
        <v>3.5750129999999998E-2</v>
      </c>
      <c r="AA4288">
        <v>0.97103980000000001</v>
      </c>
      <c r="AB4288">
        <v>27</v>
      </c>
      <c r="AC4288">
        <v>7.3722000000000198</v>
      </c>
      <c r="AD4288">
        <v>-1.1037365911379999</v>
      </c>
      <c r="AE4288">
        <v>-29.70992</v>
      </c>
      <c r="AF4288">
        <v>-7.2868199880514499</v>
      </c>
      <c r="AG4288">
        <v>-1.1037365911379999</v>
      </c>
      <c r="AH4288">
        <v>29.6900523417039</v>
      </c>
      <c r="AI4288">
        <v>92.067698915337104</v>
      </c>
      <c r="AJ4288">
        <v>103.789523056506</v>
      </c>
      <c r="AK4288">
        <v>30.591096548734601</v>
      </c>
    </row>
    <row r="4289" spans="1:37" x14ac:dyDescent="0.2">
      <c r="A4289" t="str">
        <f>"20200111160255404"</f>
        <v>20200111160255404</v>
      </c>
      <c r="B4289" t="str">
        <f>"1578729775397002"</f>
        <v>1578729775397002</v>
      </c>
      <c r="C4289" t="s">
        <v>37</v>
      </c>
      <c r="D4289">
        <v>4.7780239999999896</v>
      </c>
      <c r="E4289">
        <v>0.42873309999999998</v>
      </c>
      <c r="F4289" t="s">
        <v>64</v>
      </c>
      <c r="G4289">
        <v>-414.05009999999999</v>
      </c>
      <c r="H4289" s="1">
        <v>-1.8744569999999899E-6</v>
      </c>
      <c r="I4289">
        <v>39.137809999999902</v>
      </c>
      <c r="J4289">
        <v>-421.52120000000002</v>
      </c>
      <c r="K4289">
        <v>1.103739</v>
      </c>
      <c r="L4289">
        <v>69.179349999999999</v>
      </c>
      <c r="M4289">
        <v>1.42744799999999E-3</v>
      </c>
      <c r="N4289">
        <v>0</v>
      </c>
      <c r="O4289">
        <v>-0.99988569999999999</v>
      </c>
      <c r="P4289">
        <v>5.2607090000000002E-2</v>
      </c>
      <c r="Q4289">
        <v>-8.7644990000000002E-3</v>
      </c>
      <c r="R4289">
        <v>-0.99857700000000005</v>
      </c>
      <c r="S4289">
        <v>0.73010249999999999</v>
      </c>
      <c r="T4289">
        <v>-0.1078706</v>
      </c>
      <c r="U4289">
        <v>-2.9632869999999998</v>
      </c>
      <c r="V4289">
        <v>-5.116967E-2</v>
      </c>
      <c r="W4289">
        <v>6.3746189999999998E-3</v>
      </c>
      <c r="X4289">
        <v>0.99866960000000005</v>
      </c>
      <c r="Y4289">
        <v>-0.23769279999999901</v>
      </c>
      <c r="Z4289">
        <v>3.5329319999999997E-2</v>
      </c>
      <c r="AA4289">
        <v>0.970697699999999</v>
      </c>
      <c r="AB4289">
        <v>27</v>
      </c>
      <c r="AC4289">
        <v>7.4711000000000301</v>
      </c>
      <c r="AD4289">
        <v>-1.1037408744570001</v>
      </c>
      <c r="AE4289">
        <v>-30.041540000000001</v>
      </c>
      <c r="AF4289">
        <v>-7.4187737497632398</v>
      </c>
      <c r="AG4289">
        <v>-1.1037408744570001</v>
      </c>
      <c r="AH4289">
        <v>30.014020176818299</v>
      </c>
      <c r="AI4289">
        <v>92.044578370022194</v>
      </c>
      <c r="AJ4289">
        <v>103.883908040034</v>
      </c>
      <c r="AK4289">
        <v>30.9369981582341</v>
      </c>
    </row>
    <row r="4290" spans="1:37" x14ac:dyDescent="0.2">
      <c r="A4290" t="str">
        <f>"20200111160255425"</f>
        <v>20200111160255425</v>
      </c>
      <c r="B4290" t="str">
        <f>"1578729775417497"</f>
        <v>1578729775417497</v>
      </c>
      <c r="C4290" t="s">
        <v>37</v>
      </c>
      <c r="D4290">
        <v>4.6968940000000003</v>
      </c>
      <c r="E4290">
        <v>0.42820730000000001</v>
      </c>
      <c r="F4290" t="s">
        <v>64</v>
      </c>
      <c r="G4290">
        <v>-414.05160000000001</v>
      </c>
      <c r="H4290" s="1">
        <v>-2.0773489999999999E-6</v>
      </c>
      <c r="I4290">
        <v>38.817970000000003</v>
      </c>
      <c r="J4290">
        <v>-421.52190000000002</v>
      </c>
      <c r="K4290">
        <v>1.1037489999999901</v>
      </c>
      <c r="L4290">
        <v>68.926240000000007</v>
      </c>
      <c r="M4290">
        <v>4.1581860000000002E-4</v>
      </c>
      <c r="N4290">
        <v>0</v>
      </c>
      <c r="O4290">
        <v>-0.99988690000000002</v>
      </c>
      <c r="P4290">
        <v>4.9726520000000003E-2</v>
      </c>
      <c r="Q4290">
        <v>-8.7446360000000001E-3</v>
      </c>
      <c r="R4290">
        <v>-0.99872490000000003</v>
      </c>
      <c r="S4290">
        <v>0.72943119999999995</v>
      </c>
      <c r="T4290">
        <v>-0.10778450000000001</v>
      </c>
      <c r="U4290">
        <v>-2.9649049999999999</v>
      </c>
      <c r="V4290">
        <v>-4.9299049999999997E-2</v>
      </c>
      <c r="W4290">
        <v>6.3851089999999999E-3</v>
      </c>
      <c r="X4290">
        <v>0.99876369999999903</v>
      </c>
      <c r="Y4290">
        <v>-0.23834549999999999</v>
      </c>
      <c r="Z4290">
        <v>3.5280609999999997E-2</v>
      </c>
      <c r="AA4290">
        <v>0.97053940000000005</v>
      </c>
      <c r="AB4290">
        <v>26</v>
      </c>
      <c r="AC4290">
        <v>7.4702999999999999</v>
      </c>
      <c r="AD4290">
        <v>-1.10375107734899</v>
      </c>
      <c r="AE4290">
        <v>-30.108270000000001</v>
      </c>
      <c r="AF4290">
        <v>-7.4483489224201804</v>
      </c>
      <c r="AG4290">
        <v>-1.10375107734899</v>
      </c>
      <c r="AH4290">
        <v>30.073301930868698</v>
      </c>
      <c r="AI4290">
        <v>92.040334413006804</v>
      </c>
      <c r="AJ4290">
        <v>103.91069763121</v>
      </c>
      <c r="AK4290">
        <v>31.0016073314926</v>
      </c>
    </row>
    <row r="4291" spans="1:37" x14ac:dyDescent="0.2">
      <c r="A4291" t="str">
        <f>"20200111160255447"</f>
        <v>20200111160255447</v>
      </c>
      <c r="B4291" t="str">
        <f>"1578729775437017"</f>
        <v>1578729775437017</v>
      </c>
      <c r="C4291" t="s">
        <v>37</v>
      </c>
      <c r="D4291">
        <v>4.7832319999999999</v>
      </c>
      <c r="E4291">
        <v>0.42732219999999999</v>
      </c>
      <c r="F4291" t="s">
        <v>64</v>
      </c>
      <c r="G4291">
        <v>-414.31900000000002</v>
      </c>
      <c r="H4291" s="1">
        <v>-1.600377E-6</v>
      </c>
      <c r="I4291">
        <v>39.456429999999997</v>
      </c>
      <c r="J4291">
        <v>-421.52300000000002</v>
      </c>
      <c r="K4291">
        <v>1.1037669999999999</v>
      </c>
      <c r="L4291">
        <v>68.668880000000001</v>
      </c>
      <c r="M4291">
        <v>-5.9883009999999999E-4</v>
      </c>
      <c r="N4291">
        <v>0</v>
      </c>
      <c r="O4291">
        <v>-0.99988679999999996</v>
      </c>
      <c r="P4291">
        <v>4.6698509999999999E-2</v>
      </c>
      <c r="Q4291">
        <v>-9.8322429999999992E-3</v>
      </c>
      <c r="R4291">
        <v>-0.99886090000000005</v>
      </c>
      <c r="S4291">
        <v>0.725128199999999</v>
      </c>
      <c r="T4291">
        <v>-0.1111161</v>
      </c>
      <c r="U4291">
        <v>-2.9667659999999998</v>
      </c>
      <c r="V4291">
        <v>-4.728711E-2</v>
      </c>
      <c r="W4291">
        <v>5.2874489999999996E-3</v>
      </c>
      <c r="X4291">
        <v>0.99886730000000001</v>
      </c>
      <c r="Y4291">
        <v>-0.2378527</v>
      </c>
      <c r="Z4291">
        <v>3.6355909999999998E-2</v>
      </c>
      <c r="AA4291">
        <v>0.97062059999999994</v>
      </c>
      <c r="AB4291">
        <v>26</v>
      </c>
      <c r="AC4291">
        <v>7.2039999999999997</v>
      </c>
      <c r="AD4291">
        <v>-1.103768600377</v>
      </c>
      <c r="AE4291">
        <v>-29.21245</v>
      </c>
      <c r="AF4291">
        <v>-7.2117883574464399</v>
      </c>
      <c r="AG4291">
        <v>-1.103768600377</v>
      </c>
      <c r="AH4291">
        <v>29.168874839731799</v>
      </c>
      <c r="AI4291">
        <v>92.103786596878606</v>
      </c>
      <c r="AJ4291">
        <v>103.887453080535</v>
      </c>
      <c r="AK4291">
        <v>30.067448442654999</v>
      </c>
    </row>
    <row r="4292" spans="1:37" x14ac:dyDescent="0.2">
      <c r="A4292" t="str">
        <f>"20200111160255470"</f>
        <v>20200111160255470</v>
      </c>
      <c r="B4292" t="str">
        <f>"1578729775467273"</f>
        <v>1578729775467273</v>
      </c>
      <c r="C4292" t="s">
        <v>37</v>
      </c>
      <c r="D4292">
        <v>4.725238</v>
      </c>
      <c r="E4292">
        <v>0.42648370000000002</v>
      </c>
      <c r="F4292" t="s">
        <v>38</v>
      </c>
      <c r="G4292">
        <v>-414.86059999999998</v>
      </c>
      <c r="H4292" s="1">
        <v>-1.9361660000000001E-6</v>
      </c>
      <c r="I4292">
        <v>41.319240000000001</v>
      </c>
      <c r="J4292">
        <v>-421.52440000000001</v>
      </c>
      <c r="K4292">
        <v>1.103774</v>
      </c>
      <c r="L4292">
        <v>68.402249999999995</v>
      </c>
      <c r="M4292">
        <v>-1.630725E-3</v>
      </c>
      <c r="N4292">
        <v>0</v>
      </c>
      <c r="O4292">
        <v>-0.99988569999999999</v>
      </c>
      <c r="P4292">
        <v>4.4948450000000001E-2</v>
      </c>
      <c r="Q4292">
        <v>-1.215961E-2</v>
      </c>
      <c r="R4292">
        <v>-0.99891549999999996</v>
      </c>
      <c r="S4292">
        <v>0.72311400000000003</v>
      </c>
      <c r="T4292">
        <v>-0.11979960000000001</v>
      </c>
      <c r="U4292">
        <v>-2.968445</v>
      </c>
      <c r="V4292">
        <v>-4.657215E-2</v>
      </c>
      <c r="W4292">
        <v>2.9504900000000001E-3</v>
      </c>
      <c r="X4292">
        <v>0.99891049999999904</v>
      </c>
      <c r="Y4292">
        <v>-0.23808170000000001</v>
      </c>
      <c r="Z4292">
        <v>3.917317E-2</v>
      </c>
      <c r="AA4292">
        <v>0.97045479999999995</v>
      </c>
      <c r="AB4292">
        <v>26</v>
      </c>
      <c r="AC4292">
        <v>6.6638000000000304</v>
      </c>
      <c r="AD4292">
        <v>-1.103775936166</v>
      </c>
      <c r="AE4292">
        <v>-27.083009999999899</v>
      </c>
      <c r="AF4292">
        <v>-6.6974716512999004</v>
      </c>
      <c r="AG4292">
        <v>-1.103775936166</v>
      </c>
      <c r="AH4292">
        <v>27.029772554188298</v>
      </c>
      <c r="AI4292">
        <v>92.269840003139294</v>
      </c>
      <c r="AJ4292">
        <v>103.916535716544</v>
      </c>
      <c r="AK4292">
        <v>27.869033929585299</v>
      </c>
    </row>
    <row r="4293" spans="1:37" x14ac:dyDescent="0.2">
      <c r="A4293" t="str">
        <f>"20200111160255493"</f>
        <v>20200111160255493</v>
      </c>
      <c r="B4293" t="str">
        <f>"1578729775486793"</f>
        <v>1578729775486793</v>
      </c>
      <c r="C4293" t="s">
        <v>37</v>
      </c>
      <c r="D4293">
        <v>4.680523</v>
      </c>
      <c r="E4293">
        <v>0.4135992</v>
      </c>
      <c r="F4293" t="s">
        <v>38</v>
      </c>
      <c r="G4293">
        <v>-415.44099999999997</v>
      </c>
      <c r="H4293" s="1">
        <v>-2.514644E-6</v>
      </c>
      <c r="I4293">
        <v>43.472920000000002</v>
      </c>
      <c r="J4293">
        <v>-421.52600000000001</v>
      </c>
      <c r="K4293">
        <v>1.103788</v>
      </c>
      <c r="L4293">
        <v>68.132019999999997</v>
      </c>
      <c r="M4293">
        <v>-2.6525730000000001E-3</v>
      </c>
      <c r="N4293">
        <v>0</v>
      </c>
      <c r="O4293">
        <v>-0.99988349999999904</v>
      </c>
      <c r="P4293">
        <v>4.3984950000000002E-2</v>
      </c>
      <c r="Q4293">
        <v>-1.457641E-2</v>
      </c>
      <c r="R4293">
        <v>-0.99892590000000003</v>
      </c>
      <c r="S4293">
        <v>0.72451779999999999</v>
      </c>
      <c r="T4293">
        <v>-0.13145850000000001</v>
      </c>
      <c r="U4293">
        <v>-2.969055</v>
      </c>
      <c r="V4293">
        <v>-4.6634259999999997E-2</v>
      </c>
      <c r="W4293">
        <v>5.2434599999999997E-4</v>
      </c>
      <c r="X4293">
        <v>0.99891189999999996</v>
      </c>
      <c r="Y4293">
        <v>-0.23942430000000001</v>
      </c>
      <c r="Z4293">
        <v>4.29603E-2</v>
      </c>
      <c r="AA4293">
        <v>0.9699641</v>
      </c>
      <c r="AB4293">
        <v>26</v>
      </c>
      <c r="AC4293">
        <v>6.0850000000000302</v>
      </c>
      <c r="AD4293">
        <v>-1.1037905146439999</v>
      </c>
      <c r="AE4293">
        <v>-24.659099999999899</v>
      </c>
      <c r="AF4293">
        <v>-6.1388021038908196</v>
      </c>
      <c r="AG4293">
        <v>-1.1037905146439999</v>
      </c>
      <c r="AH4293">
        <v>24.5964169191484</v>
      </c>
      <c r="AI4293">
        <v>92.4931105002197</v>
      </c>
      <c r="AJ4293">
        <v>104.013654755272</v>
      </c>
      <c r="AK4293">
        <v>25.374927980814501</v>
      </c>
    </row>
    <row r="4294" spans="1:37" x14ac:dyDescent="0.2">
      <c r="A4294" t="str">
        <f>"20200111160255515"</f>
        <v>20200111160255515</v>
      </c>
      <c r="B4294" t="str">
        <f>"1578729775507289"</f>
        <v>1578729775507289</v>
      </c>
      <c r="C4294" t="s">
        <v>37</v>
      </c>
      <c r="D4294">
        <v>4.6800470000000001</v>
      </c>
      <c r="E4294">
        <v>0.41364709999999899</v>
      </c>
      <c r="F4294" t="s">
        <v>38</v>
      </c>
      <c r="G4294">
        <v>-417.29219999999998</v>
      </c>
      <c r="H4294" s="1">
        <v>-1.917283E-6</v>
      </c>
      <c r="I4294">
        <v>52.982390000000002</v>
      </c>
      <c r="J4294">
        <v>-421.52769999999998</v>
      </c>
      <c r="K4294">
        <v>1.1038059999999901</v>
      </c>
      <c r="L4294">
        <v>67.874420000000001</v>
      </c>
      <c r="M4294">
        <v>-3.6077909999999999E-3</v>
      </c>
      <c r="N4294">
        <v>0</v>
      </c>
      <c r="O4294">
        <v>-0.99988060000000001</v>
      </c>
      <c r="P4294">
        <v>4.3961E-2</v>
      </c>
      <c r="Q4294">
        <v>-1.6910660000000001E-2</v>
      </c>
      <c r="R4294">
        <v>-0.99888999999999994</v>
      </c>
      <c r="S4294">
        <v>0.82821659999999997</v>
      </c>
      <c r="T4294">
        <v>-0.21592719999999899</v>
      </c>
      <c r="U4294">
        <v>-2.9636230000000001</v>
      </c>
      <c r="V4294">
        <v>-4.7567749999999999E-2</v>
      </c>
      <c r="W4294">
        <v>-1.8178339999999999E-3</v>
      </c>
      <c r="X4294">
        <v>0.99886640000000004</v>
      </c>
      <c r="Y4294">
        <v>-0.27196199999999998</v>
      </c>
      <c r="Z4294">
        <v>6.9962990000000003E-2</v>
      </c>
      <c r="AA4294">
        <v>0.95976139999999999</v>
      </c>
      <c r="AB4294">
        <v>26</v>
      </c>
      <c r="AC4294">
        <v>4.2355</v>
      </c>
      <c r="AD4294">
        <v>-1.10380791728299</v>
      </c>
      <c r="AE4294">
        <v>-14.892029999999901</v>
      </c>
      <c r="AF4294">
        <v>-4.2675151909808999</v>
      </c>
      <c r="AG4294">
        <v>-1.10380791728299</v>
      </c>
      <c r="AH4294">
        <v>14.801418891378299</v>
      </c>
      <c r="AI4294">
        <v>94.098560913353595</v>
      </c>
      <c r="AJ4294">
        <v>106.08322259791299</v>
      </c>
      <c r="AK4294">
        <v>15.443836279291499</v>
      </c>
    </row>
    <row r="4295" spans="1:37" x14ac:dyDescent="0.2">
      <c r="A4295" t="str">
        <f>"20200111160255582"</f>
        <v>20200111160255582</v>
      </c>
      <c r="B4295" t="str">
        <f>"1578729775577562"</f>
        <v>1578729775577562</v>
      </c>
      <c r="C4295" t="s">
        <v>37</v>
      </c>
      <c r="D4295">
        <v>4.8583669999999897</v>
      </c>
      <c r="E4295">
        <v>0.33309840000000002</v>
      </c>
      <c r="F4295" t="s">
        <v>38</v>
      </c>
      <c r="G4295">
        <v>-417.30290000000002</v>
      </c>
      <c r="H4295" s="1">
        <v>-1.812202E-6</v>
      </c>
      <c r="I4295">
        <v>52.741859999999903</v>
      </c>
      <c r="J4295">
        <v>-421.53449999999998</v>
      </c>
      <c r="K4295">
        <v>1.103837</v>
      </c>
      <c r="L4295">
        <v>67.0899</v>
      </c>
      <c r="M4295">
        <v>-6.4012449999999999E-3</v>
      </c>
      <c r="N4295">
        <v>0</v>
      </c>
      <c r="O4295">
        <v>-0.99986699999999995</v>
      </c>
      <c r="P4295">
        <v>4.7452510000000003E-2</v>
      </c>
      <c r="Q4295">
        <v>-2.0432949999999998E-2</v>
      </c>
      <c r="R4295">
        <v>-0.99866449999999996</v>
      </c>
      <c r="S4295">
        <v>0.82730099999999995</v>
      </c>
      <c r="T4295">
        <v>-0.21614749999999999</v>
      </c>
      <c r="U4295">
        <v>-2.963257</v>
      </c>
      <c r="V4295">
        <v>-5.3853680000000001E-2</v>
      </c>
      <c r="W4295">
        <v>-5.3603990000000001E-3</v>
      </c>
      <c r="X4295">
        <v>0.99853440000000004</v>
      </c>
      <c r="Y4295">
        <v>-0.27440359999999903</v>
      </c>
      <c r="Z4295">
        <v>7.0018869999999997E-2</v>
      </c>
      <c r="AA4295">
        <v>0.95906199999999997</v>
      </c>
      <c r="AB4295">
        <v>26</v>
      </c>
      <c r="AC4295">
        <v>4.2315999999999496</v>
      </c>
      <c r="AD4295">
        <v>-1.103838812202</v>
      </c>
      <c r="AE4295">
        <v>-14.348039999999999</v>
      </c>
      <c r="AF4295">
        <v>-4.29995533734132</v>
      </c>
      <c r="AG4295">
        <v>-1.103838812202</v>
      </c>
      <c r="AH4295">
        <v>14.2431005951051</v>
      </c>
      <c r="AI4295">
        <v>94.243147558063995</v>
      </c>
      <c r="AJ4295">
        <v>106.798929889427</v>
      </c>
      <c r="AK4295">
        <v>14.9189138541898</v>
      </c>
    </row>
    <row r="4296" spans="1:37" x14ac:dyDescent="0.2">
      <c r="A4296" t="str">
        <f>"20200111160255626"</f>
        <v>20200111160255626</v>
      </c>
      <c r="B4296" t="str">
        <f>"1578729775617577"</f>
        <v>1578729775617577</v>
      </c>
      <c r="C4296" t="s">
        <v>37</v>
      </c>
      <c r="D4296">
        <v>4.7916150000000002</v>
      </c>
      <c r="E4296">
        <v>0.33293820000000002</v>
      </c>
      <c r="F4296" t="s">
        <v>42</v>
      </c>
      <c r="G4296">
        <v>-421.11540000000002</v>
      </c>
      <c r="H4296">
        <v>1.034851</v>
      </c>
      <c r="I4296">
        <v>66.260019999999997</v>
      </c>
      <c r="J4296">
        <v>-421.54</v>
      </c>
      <c r="K4296">
        <v>1.10388</v>
      </c>
      <c r="L4296">
        <v>66.576539999999994</v>
      </c>
      <c r="M4296">
        <v>-8.1308179999999997E-3</v>
      </c>
      <c r="N4296">
        <v>0</v>
      </c>
      <c r="O4296">
        <v>-0.99985440000000003</v>
      </c>
      <c r="P4296">
        <v>4.7860529999999998E-2</v>
      </c>
      <c r="Q4296">
        <v>-1.8569950000000002E-2</v>
      </c>
      <c r="R4296">
        <v>-0.99868129999999999</v>
      </c>
      <c r="S4296">
        <v>1.4794309999999999</v>
      </c>
      <c r="T4296">
        <v>-0.24345939999999999</v>
      </c>
      <c r="U4296">
        <v>-2.928741</v>
      </c>
      <c r="V4296">
        <v>-5.5985210000000001E-2</v>
      </c>
      <c r="W4296">
        <v>-3.5132559999999902E-3</v>
      </c>
      <c r="X4296">
        <v>0.99842540000000002</v>
      </c>
      <c r="Y4296">
        <v>-0.45689279999999999</v>
      </c>
      <c r="Z4296">
        <v>7.3846809999999999E-2</v>
      </c>
      <c r="AA4296">
        <v>0.88645110000000005</v>
      </c>
      <c r="AB4296">
        <v>26</v>
      </c>
      <c r="AC4296">
        <v>0.42459999999999798</v>
      </c>
      <c r="AD4296">
        <v>-6.9028999999999993E-2</v>
      </c>
      <c r="AE4296">
        <v>-0.31652000000001101</v>
      </c>
      <c r="AF4296">
        <v>-0.42002388678936298</v>
      </c>
      <c r="AG4296">
        <v>-6.9028999999999993E-2</v>
      </c>
      <c r="AH4296">
        <v>0.30782702144986701</v>
      </c>
      <c r="AI4296">
        <v>97.550970604851003</v>
      </c>
      <c r="AJ4296">
        <v>143.763064094399</v>
      </c>
      <c r="AK4296">
        <v>0.52530233527878101</v>
      </c>
    </row>
    <row r="4297" spans="1:37" x14ac:dyDescent="0.2">
      <c r="A4297" t="str">
        <f>"20200111160255648"</f>
        <v>20200111160255648</v>
      </c>
      <c r="B4297" t="str">
        <f>"1578729775637098"</f>
        <v>1578729775637098</v>
      </c>
      <c r="C4297" t="s">
        <v>37</v>
      </c>
      <c r="D4297">
        <v>4.8298030000000001</v>
      </c>
      <c r="E4297">
        <v>0.3333218</v>
      </c>
      <c r="F4297" t="s">
        <v>42</v>
      </c>
      <c r="G4297">
        <v>-421.10599999999999</v>
      </c>
      <c r="H4297">
        <v>1.037202</v>
      </c>
      <c r="I4297">
        <v>65.719110000000001</v>
      </c>
      <c r="J4297">
        <v>-421.54300000000001</v>
      </c>
      <c r="K4297">
        <v>1.1039190000000001</v>
      </c>
      <c r="L4297">
        <v>66.323300000000003</v>
      </c>
      <c r="M4297">
        <v>-8.9535259999999998E-3</v>
      </c>
      <c r="N4297">
        <v>0</v>
      </c>
      <c r="O4297">
        <v>-0.99984789999999901</v>
      </c>
      <c r="P4297">
        <v>4.7828790000000003E-2</v>
      </c>
      <c r="Q4297">
        <v>-1.6503099999999899E-2</v>
      </c>
      <c r="R4297">
        <v>-0.99871949999999998</v>
      </c>
      <c r="S4297">
        <v>1.4815370000000001</v>
      </c>
      <c r="T4297">
        <v>-0.22774910000000001</v>
      </c>
      <c r="U4297">
        <v>-2.9287109999999998</v>
      </c>
      <c r="V4297">
        <v>-5.6771969999999998E-2</v>
      </c>
      <c r="W4297">
        <v>-1.4546379999999901E-3</v>
      </c>
      <c r="X4297">
        <v>0.99838609999999905</v>
      </c>
      <c r="Y4297">
        <v>-0.45828969999999902</v>
      </c>
      <c r="Z4297">
        <v>6.9071069999999998E-2</v>
      </c>
      <c r="AA4297">
        <v>0.88611499999999999</v>
      </c>
      <c r="AB4297">
        <v>26</v>
      </c>
      <c r="AC4297">
        <v>0.43700000000001099</v>
      </c>
      <c r="AD4297">
        <v>-6.6717000000000096E-2</v>
      </c>
      <c r="AE4297">
        <v>-0.604190000000002</v>
      </c>
      <c r="AF4297">
        <v>-0.43887928130918002</v>
      </c>
      <c r="AG4297">
        <v>-6.6717000000000096E-2</v>
      </c>
      <c r="AH4297">
        <v>0.59548550566513403</v>
      </c>
      <c r="AI4297">
        <v>95.153538683699097</v>
      </c>
      <c r="AJ4297">
        <v>126.390617682995</v>
      </c>
      <c r="AK4297">
        <v>0.7427443497656</v>
      </c>
    </row>
    <row r="4298" spans="1:37" x14ac:dyDescent="0.2">
      <c r="A4298" t="str">
        <f>"20200111160255672"</f>
        <v>20200111160255672</v>
      </c>
      <c r="B4298" t="str">
        <f>"1578729775667354"</f>
        <v>1578729775667354</v>
      </c>
      <c r="C4298" t="s">
        <v>37</v>
      </c>
      <c r="D4298">
        <v>4.750928</v>
      </c>
      <c r="E4298">
        <v>0.31344559999999999</v>
      </c>
      <c r="F4298" t="s">
        <v>38</v>
      </c>
      <c r="G4298">
        <v>-414.27960000000002</v>
      </c>
      <c r="H4298" s="1">
        <v>-2.2973349999999999E-6</v>
      </c>
      <c r="I4298">
        <v>51.92624</v>
      </c>
      <c r="J4298">
        <v>-421.54640000000001</v>
      </c>
      <c r="K4298">
        <v>1.103958</v>
      </c>
      <c r="L4298">
        <v>66.057040000000001</v>
      </c>
      <c r="M4298">
        <v>-9.7948600000000007E-3</v>
      </c>
      <c r="N4298">
        <v>0</v>
      </c>
      <c r="O4298">
        <v>-0.99983999999999995</v>
      </c>
      <c r="P4298">
        <v>4.7510509999999999E-2</v>
      </c>
      <c r="Q4298">
        <v>-1.2906539999999999E-2</v>
      </c>
      <c r="R4298">
        <v>-0.9987878</v>
      </c>
      <c r="S4298">
        <v>1.477875</v>
      </c>
      <c r="T4298">
        <v>-0.22461339999999999</v>
      </c>
      <c r="U4298">
        <v>-2.9293520000000002</v>
      </c>
      <c r="V4298">
        <v>-5.7289380000000001E-2</v>
      </c>
      <c r="W4298">
        <v>2.1331929999999998E-3</v>
      </c>
      <c r="X4298">
        <v>0.99835529999999995</v>
      </c>
      <c r="Y4298">
        <v>-0.4581054</v>
      </c>
      <c r="Z4298">
        <v>6.8132419999999999E-2</v>
      </c>
      <c r="AA4298">
        <v>0.88628289999999998</v>
      </c>
      <c r="AB4298">
        <v>26</v>
      </c>
      <c r="AC4298">
        <v>7.2667999999999804</v>
      </c>
      <c r="AD4298">
        <v>-1.103960297335</v>
      </c>
      <c r="AE4298">
        <v>-14.130800000000001</v>
      </c>
      <c r="AF4298">
        <v>-7.3693050215455598</v>
      </c>
      <c r="AG4298">
        <v>-1.103960297335</v>
      </c>
      <c r="AH4298">
        <v>13.9914013916952</v>
      </c>
      <c r="AI4298">
        <v>93.993417767529706</v>
      </c>
      <c r="AJ4298">
        <v>117.77588502174601</v>
      </c>
      <c r="AK4298">
        <v>15.8519619524587</v>
      </c>
    </row>
    <row r="4299" spans="1:37" x14ac:dyDescent="0.2">
      <c r="A4299" t="str">
        <f>"20200111160255694"</f>
        <v>20200111160255694</v>
      </c>
      <c r="B4299" t="str">
        <f>"1578729775686873"</f>
        <v>1578729775686873</v>
      </c>
      <c r="C4299" t="s">
        <v>37</v>
      </c>
      <c r="D4299">
        <v>4.7384149999999998</v>
      </c>
      <c r="E4299">
        <v>0.3162277</v>
      </c>
      <c r="F4299" t="s">
        <v>83</v>
      </c>
      <c r="G4299">
        <v>-385.43079999999998</v>
      </c>
      <c r="H4299">
        <v>5.2264249999999999</v>
      </c>
      <c r="I4299">
        <v>0.82897189999999998</v>
      </c>
      <c r="J4299">
        <v>-421.5498</v>
      </c>
      <c r="K4299">
        <v>1.1039909999999999</v>
      </c>
      <c r="L4299">
        <v>65.796970000000002</v>
      </c>
      <c r="M4299">
        <v>-1.0594269999999999E-2</v>
      </c>
      <c r="N4299">
        <v>0</v>
      </c>
      <c r="O4299">
        <v>-0.99983180000000005</v>
      </c>
      <c r="P4299">
        <v>4.713763E-2</v>
      </c>
      <c r="Q4299">
        <v>-1.0514799999999999E-2</v>
      </c>
      <c r="R4299">
        <v>-0.99883330000000004</v>
      </c>
      <c r="S4299">
        <v>1.6216740000000001</v>
      </c>
      <c r="T4299">
        <v>0.1851072</v>
      </c>
      <c r="U4299">
        <v>-2.9288939999999899</v>
      </c>
      <c r="V4299">
        <v>-5.7711659999999998E-2</v>
      </c>
      <c r="W4299">
        <v>4.516412E-3</v>
      </c>
      <c r="X4299">
        <v>0.99832310000000002</v>
      </c>
      <c r="Y4299">
        <v>-0.49289620000000001</v>
      </c>
      <c r="Z4299">
        <v>-5.5049300000000002E-2</v>
      </c>
      <c r="AA4299">
        <v>0.86834500000000003</v>
      </c>
      <c r="AB4299">
        <v>26</v>
      </c>
      <c r="AC4299">
        <v>36.119</v>
      </c>
      <c r="AD4299">
        <v>4.1224339999999904</v>
      </c>
      <c r="AE4299">
        <v>-64.967998100000003</v>
      </c>
      <c r="AF4299">
        <v>-36.6924836443863</v>
      </c>
      <c r="AG4299">
        <v>4.1224339999999904</v>
      </c>
      <c r="AH4299">
        <v>64.383630110567793</v>
      </c>
      <c r="AI4299">
        <v>86.815949924643206</v>
      </c>
      <c r="AJ4299">
        <v>119.67898530239999</v>
      </c>
      <c r="AK4299">
        <v>74.219839964071099</v>
      </c>
    </row>
    <row r="4300" spans="1:37" x14ac:dyDescent="0.2">
      <c r="A4300" t="str">
        <f>"20200111160255716"</f>
        <v>20200111160255716</v>
      </c>
      <c r="B4300" t="str">
        <f>"1578729775707369"</f>
        <v>1578729775707369</v>
      </c>
      <c r="C4300" t="s">
        <v>37</v>
      </c>
      <c r="D4300">
        <v>4.7721679999999997</v>
      </c>
      <c r="E4300">
        <v>0.32026749999999998</v>
      </c>
      <c r="F4300" t="s">
        <v>83</v>
      </c>
      <c r="G4300">
        <v>-386.07909999999998</v>
      </c>
      <c r="H4300">
        <v>4.610328</v>
      </c>
      <c r="I4300">
        <v>0.82237629999999995</v>
      </c>
      <c r="J4300">
        <v>-421.55340000000001</v>
      </c>
      <c r="K4300">
        <v>1.1040209999999999</v>
      </c>
      <c r="L4300">
        <v>65.546629999999993</v>
      </c>
      <c r="M4300">
        <v>-1.1346820000000001E-2</v>
      </c>
      <c r="N4300">
        <v>0</v>
      </c>
      <c r="O4300">
        <v>-0.99982369999999898</v>
      </c>
      <c r="P4300">
        <v>4.693758E-2</v>
      </c>
      <c r="Q4300">
        <v>-8.1929600000000009E-3</v>
      </c>
      <c r="R4300">
        <v>-0.99886419999999998</v>
      </c>
      <c r="S4300">
        <v>1.5993649999999999</v>
      </c>
      <c r="T4300">
        <v>0.15809860000000001</v>
      </c>
      <c r="U4300">
        <v>-2.9296880000000001</v>
      </c>
      <c r="V4300">
        <v>-5.826071E-2</v>
      </c>
      <c r="W4300">
        <v>6.8295109999999999E-3</v>
      </c>
      <c r="X4300">
        <v>0.998278</v>
      </c>
      <c r="Y4300">
        <v>-0.4885602</v>
      </c>
      <c r="Z4300">
        <v>-4.7169570000000001E-2</v>
      </c>
      <c r="AA4300">
        <v>0.87125419999999998</v>
      </c>
      <c r="AB4300">
        <v>26</v>
      </c>
      <c r="AC4300">
        <v>35.474299999999999</v>
      </c>
      <c r="AD4300">
        <v>3.5063070000000001</v>
      </c>
      <c r="AE4300">
        <v>-64.724253700000006</v>
      </c>
      <c r="AF4300">
        <v>-36.124986064533097</v>
      </c>
      <c r="AG4300">
        <v>3.5063070000000001</v>
      </c>
      <c r="AH4300">
        <v>64.172696437637796</v>
      </c>
      <c r="AI4300">
        <v>87.274043496279702</v>
      </c>
      <c r="AJ4300">
        <v>119.376635128804</v>
      </c>
      <c r="AK4300">
        <v>73.725462189247594</v>
      </c>
    </row>
    <row r="4301" spans="1:37" x14ac:dyDescent="0.2">
      <c r="A4301" t="str">
        <f>"20200111160255738"</f>
        <v>20200111160255738</v>
      </c>
      <c r="B4301" t="str">
        <f>"1578729775726889"</f>
        <v>1578729775726889</v>
      </c>
      <c r="C4301" t="s">
        <v>37</v>
      </c>
      <c r="D4301">
        <v>4.8287259999999996</v>
      </c>
      <c r="E4301">
        <v>0.32308039999999999</v>
      </c>
      <c r="F4301" t="s">
        <v>83</v>
      </c>
      <c r="G4301">
        <v>-386.85079999999999</v>
      </c>
      <c r="H4301">
        <v>2.4797739999999999</v>
      </c>
      <c r="I4301">
        <v>0.81452179999999996</v>
      </c>
      <c r="J4301">
        <v>-421.55709999999999</v>
      </c>
      <c r="K4301">
        <v>1.104055</v>
      </c>
      <c r="L4301">
        <v>65.290859999999995</v>
      </c>
      <c r="M4301">
        <v>-1.2098370000000001E-2</v>
      </c>
      <c r="N4301">
        <v>0</v>
      </c>
      <c r="O4301">
        <v>-0.99981500000000001</v>
      </c>
      <c r="P4301">
        <v>4.7605929999999998E-2</v>
      </c>
      <c r="Q4301">
        <v>-4.8030620000000003E-3</v>
      </c>
      <c r="R4301">
        <v>-0.99885480000000004</v>
      </c>
      <c r="S4301">
        <v>1.5708009999999999</v>
      </c>
      <c r="T4301">
        <v>6.227195E-2</v>
      </c>
      <c r="U4301">
        <v>-2.9300839999999999</v>
      </c>
      <c r="V4301">
        <v>-5.9675079999999998E-2</v>
      </c>
      <c r="W4301">
        <v>1.021159E-2</v>
      </c>
      <c r="X4301">
        <v>0.99816559999999899</v>
      </c>
      <c r="Y4301">
        <v>-0.48302840000000002</v>
      </c>
      <c r="Z4301">
        <v>-1.866777E-2</v>
      </c>
      <c r="AA4301">
        <v>0.87540569999999895</v>
      </c>
      <c r="AB4301">
        <v>26</v>
      </c>
      <c r="AC4301">
        <v>34.706299999999999</v>
      </c>
      <c r="AD4301">
        <v>1.3757189999999999</v>
      </c>
      <c r="AE4301">
        <v>-64.476338200000001</v>
      </c>
      <c r="AF4301">
        <v>-35.471384340192202</v>
      </c>
      <c r="AG4301">
        <v>1.3757189999999999</v>
      </c>
      <c r="AH4301">
        <v>64.029080409289804</v>
      </c>
      <c r="AI4301">
        <v>88.923281374054199</v>
      </c>
      <c r="AJ4301">
        <v>118.98595558868401</v>
      </c>
      <c r="AK4301">
        <v>73.210892958875306</v>
      </c>
    </row>
    <row r="4302" spans="1:37" x14ac:dyDescent="0.2">
      <c r="A4302" t="str">
        <f>"20200111160255760"</f>
        <v>20200111160255760</v>
      </c>
      <c r="B4302" t="str">
        <f>"1578729775757145"</f>
        <v>1578729775757145</v>
      </c>
      <c r="C4302" t="s">
        <v>37</v>
      </c>
      <c r="D4302">
        <v>6.8580839999999998</v>
      </c>
      <c r="E4302">
        <v>0.32308039999999999</v>
      </c>
      <c r="F4302" t="s">
        <v>83</v>
      </c>
      <c r="G4302">
        <v>-387.392</v>
      </c>
      <c r="H4302">
        <v>1.421967</v>
      </c>
      <c r="I4302">
        <v>0.80901339999999999</v>
      </c>
      <c r="J4302">
        <v>-421.56099999999998</v>
      </c>
      <c r="K4302">
        <v>1.1040829999999999</v>
      </c>
      <c r="L4302">
        <v>65.036529999999999</v>
      </c>
      <c r="M4302">
        <v>-1.282812E-2</v>
      </c>
      <c r="N4302">
        <v>0</v>
      </c>
      <c r="O4302">
        <v>-0.99980619999999998</v>
      </c>
      <c r="P4302">
        <v>4.9026439999999998E-2</v>
      </c>
      <c r="Q4302">
        <v>-8.5159859999999995E-4</v>
      </c>
      <c r="R4302">
        <v>-0.99879759999999995</v>
      </c>
      <c r="S4302">
        <v>1.5521849999999999</v>
      </c>
      <c r="T4302">
        <v>1.444232E-2</v>
      </c>
      <c r="U4302">
        <v>-2.929535</v>
      </c>
      <c r="V4302">
        <v>-6.1818560000000002E-2</v>
      </c>
      <c r="W4302">
        <v>1.415522E-2</v>
      </c>
      <c r="X4302">
        <v>0.99798699999999996</v>
      </c>
      <c r="Y4302">
        <v>-0.47947699999999999</v>
      </c>
      <c r="Z4302">
        <v>-4.3415449999999996E-3</v>
      </c>
      <c r="AA4302">
        <v>0.87754370000000004</v>
      </c>
      <c r="AB4302">
        <v>26</v>
      </c>
      <c r="AC4302">
        <v>34.168999999999897</v>
      </c>
      <c r="AD4302">
        <v>0.317884</v>
      </c>
      <c r="AE4302">
        <v>-64.227516600000001</v>
      </c>
      <c r="AF4302">
        <v>-34.989529959686699</v>
      </c>
      <c r="AG4302">
        <v>0.317884</v>
      </c>
      <c r="AH4302">
        <v>63.782639864749001</v>
      </c>
      <c r="AI4302">
        <v>89.749643761437696</v>
      </c>
      <c r="AJ4302">
        <v>118.748049692541</v>
      </c>
      <c r="AK4302">
        <v>72.750212406243406</v>
      </c>
    </row>
    <row r="4303" spans="1:37" x14ac:dyDescent="0.2">
      <c r="A4303" t="str">
        <f>"20200111160255784"</f>
        <v>20200111160255784</v>
      </c>
      <c r="B4303" t="str">
        <f>"1578729775776668"</f>
        <v>1578729775776668</v>
      </c>
      <c r="C4303" t="s">
        <v>37</v>
      </c>
      <c r="D4303">
        <v>4.9357160000000002</v>
      </c>
      <c r="E4303">
        <v>0.46720479999999998</v>
      </c>
      <c r="F4303" t="s">
        <v>83</v>
      </c>
      <c r="G4303">
        <v>-387.41559999999998</v>
      </c>
      <c r="H4303">
        <v>1.640474</v>
      </c>
      <c r="I4303">
        <v>0.80877690000000002</v>
      </c>
      <c r="J4303">
        <v>-421.56540000000001</v>
      </c>
      <c r="K4303">
        <v>1.1040939999999999</v>
      </c>
      <c r="L4303">
        <v>64.766689999999997</v>
      </c>
      <c r="M4303">
        <v>-1.358406E-2</v>
      </c>
      <c r="N4303">
        <v>0</v>
      </c>
      <c r="O4303">
        <v>-0.99979609999999997</v>
      </c>
      <c r="P4303">
        <v>5.0455069999999998E-2</v>
      </c>
      <c r="Q4303">
        <v>1.3507529999999999E-3</v>
      </c>
      <c r="R4303">
        <v>-0.99872569999999905</v>
      </c>
      <c r="S4303">
        <v>1.5562129999999901</v>
      </c>
      <c r="T4303">
        <v>2.4445410000000001E-2</v>
      </c>
      <c r="U4303">
        <v>-2.9272459999999998</v>
      </c>
      <c r="V4303">
        <v>-6.3998169999999993E-2</v>
      </c>
      <c r="W4303">
        <v>1.6348890000000001E-2</v>
      </c>
      <c r="X4303">
        <v>0.99781609999999998</v>
      </c>
      <c r="Y4303">
        <v>-0.48135699999999998</v>
      </c>
      <c r="Z4303">
        <v>-7.3471539999999998E-3</v>
      </c>
      <c r="AA4303">
        <v>0.87649390000000005</v>
      </c>
      <c r="AB4303">
        <v>26</v>
      </c>
      <c r="AC4303">
        <v>34.149799999999999</v>
      </c>
      <c r="AD4303">
        <v>0.53637999999999997</v>
      </c>
      <c r="AE4303">
        <v>-63.957913099999999</v>
      </c>
      <c r="AF4303">
        <v>-35.013637214308503</v>
      </c>
      <c r="AG4303">
        <v>0.53637999999999997</v>
      </c>
      <c r="AH4303">
        <v>63.484591338350199</v>
      </c>
      <c r="AI4303">
        <v>89.576113724294004</v>
      </c>
      <c r="AJ4303">
        <v>118.878040096257</v>
      </c>
      <c r="AK4303">
        <v>72.501971227525502</v>
      </c>
    </row>
    <row r="4304" spans="1:37" x14ac:dyDescent="0.2">
      <c r="A4304" t="str">
        <f>"20200111160255809"</f>
        <v>20200111160255809</v>
      </c>
      <c r="B4304" t="str">
        <f>"1578729775797161"</f>
        <v>1578729775797161</v>
      </c>
      <c r="C4304" t="s">
        <v>37</v>
      </c>
      <c r="D4304">
        <v>5.0692750000000002</v>
      </c>
      <c r="E4304">
        <v>0.47805720000000002</v>
      </c>
      <c r="F4304" t="s">
        <v>38</v>
      </c>
      <c r="G4304">
        <v>-419.551999999999</v>
      </c>
      <c r="H4304" s="1">
        <v>-4.4656849999999901E-7</v>
      </c>
      <c r="I4304">
        <v>50.48847</v>
      </c>
      <c r="J4304">
        <v>-421.57010000000002</v>
      </c>
      <c r="K4304">
        <v>1.1041179999999999</v>
      </c>
      <c r="L4304">
        <v>64.481989999999996</v>
      </c>
      <c r="M4304">
        <v>-1.4361219999999999E-2</v>
      </c>
      <c r="N4304">
        <v>0</v>
      </c>
      <c r="O4304">
        <v>-0.99978549999999999</v>
      </c>
      <c r="P4304">
        <v>5.1355159999999997E-2</v>
      </c>
      <c r="Q4304">
        <v>2.1168519999999998E-3</v>
      </c>
      <c r="R4304">
        <v>-0.99867870000000003</v>
      </c>
      <c r="S4304">
        <v>0.42062379999999999</v>
      </c>
      <c r="T4304">
        <v>-0.23065759999999999</v>
      </c>
      <c r="U4304">
        <v>-2.98287999999999</v>
      </c>
      <c r="V4304">
        <v>-6.5672999999999995E-2</v>
      </c>
      <c r="W4304">
        <v>1.710505E-2</v>
      </c>
      <c r="X4304">
        <v>0.99769459999999999</v>
      </c>
      <c r="Y4304">
        <v>-0.15343209999999999</v>
      </c>
      <c r="Z4304">
        <v>7.6253559999999998E-2</v>
      </c>
      <c r="AA4304">
        <v>0.98521270000000005</v>
      </c>
      <c r="AB4304">
        <v>26</v>
      </c>
      <c r="AC4304">
        <v>2.01810000000006</v>
      </c>
      <c r="AD4304">
        <v>-1.1041184465684999</v>
      </c>
      <c r="AE4304">
        <v>-13.993519999999901</v>
      </c>
      <c r="AF4304">
        <v>-2.20542798618381</v>
      </c>
      <c r="AG4304">
        <v>-1.1041184465684999</v>
      </c>
      <c r="AH4304">
        <v>13.878450427998001</v>
      </c>
      <c r="AI4304">
        <v>94.492526119664007</v>
      </c>
      <c r="AJ4304">
        <v>99.029386868110095</v>
      </c>
      <c r="AK4304">
        <v>14.0958992770484</v>
      </c>
    </row>
    <row r="4305" spans="1:37" x14ac:dyDescent="0.2">
      <c r="A4305" t="str">
        <f>"20200111160255834"</f>
        <v>20200111160255834</v>
      </c>
      <c r="B4305" t="str">
        <f>"1578729775827417"</f>
        <v>1578729775827417</v>
      </c>
      <c r="C4305" t="s">
        <v>37</v>
      </c>
      <c r="D4305">
        <v>4.9281379999999997</v>
      </c>
      <c r="E4305">
        <v>0.48367729999999998</v>
      </c>
      <c r="F4305" t="s">
        <v>38</v>
      </c>
      <c r="G4305">
        <v>-420.07040000000001</v>
      </c>
      <c r="H4305" s="1">
        <v>-7.0112690000000001E-7</v>
      </c>
      <c r="I4305">
        <v>51.179809999999897</v>
      </c>
      <c r="J4305">
        <v>-421.57499999999999</v>
      </c>
      <c r="K4305">
        <v>1.1041379999999901</v>
      </c>
      <c r="L4305">
        <v>64.206509999999994</v>
      </c>
      <c r="M4305">
        <v>-1.5084439999999999E-2</v>
      </c>
      <c r="N4305">
        <v>0</v>
      </c>
      <c r="O4305">
        <v>-0.99977479999999996</v>
      </c>
      <c r="P4305">
        <v>5.2166560000000001E-2</v>
      </c>
      <c r="Q4305">
        <v>1.3887939999999901E-3</v>
      </c>
      <c r="R4305">
        <v>-0.99863749999999996</v>
      </c>
      <c r="S4305">
        <v>0.33679199999999998</v>
      </c>
      <c r="T4305">
        <v>-0.24794450000000001</v>
      </c>
      <c r="U4305">
        <v>-2.9871829999999999</v>
      </c>
      <c r="V4305">
        <v>-6.7207039999999996E-2</v>
      </c>
      <c r="W4305">
        <v>1.636748E-2</v>
      </c>
      <c r="X4305">
        <v>0.99760479999999996</v>
      </c>
      <c r="Y4305">
        <v>-0.12663569999999999</v>
      </c>
      <c r="Z4305">
        <v>8.2112820000000003E-2</v>
      </c>
      <c r="AA4305">
        <v>0.9885448</v>
      </c>
      <c r="AB4305">
        <v>26</v>
      </c>
      <c r="AC4305">
        <v>1.50459999999998</v>
      </c>
      <c r="AD4305">
        <v>-1.1041387011268999</v>
      </c>
      <c r="AE4305">
        <v>-13.0266999999999</v>
      </c>
      <c r="AF4305">
        <v>-1.68897693621277</v>
      </c>
      <c r="AG4305">
        <v>-1.1041387011268999</v>
      </c>
      <c r="AH4305">
        <v>12.9109849666642</v>
      </c>
      <c r="AI4305">
        <v>94.846905617569305</v>
      </c>
      <c r="AJ4305">
        <v>97.452942697375903</v>
      </c>
      <c r="AK4305">
        <v>13.067719700537401</v>
      </c>
    </row>
    <row r="4306" spans="1:37" x14ac:dyDescent="0.2">
      <c r="A4306" t="str">
        <f>"20200111160255855"</f>
        <v>20200111160255855</v>
      </c>
      <c r="B4306" t="str">
        <f>"1578729775846938"</f>
        <v>1578729775846938</v>
      </c>
      <c r="C4306" t="s">
        <v>37</v>
      </c>
      <c r="D4306">
        <v>4.9913660000000002</v>
      </c>
      <c r="E4306">
        <v>0.4855102</v>
      </c>
      <c r="F4306" t="s">
        <v>38</v>
      </c>
      <c r="G4306">
        <v>-420.32580000000002</v>
      </c>
      <c r="H4306" s="1">
        <v>-9.2112329999999999E-7</v>
      </c>
      <c r="I4306">
        <v>51.534209999999902</v>
      </c>
      <c r="J4306">
        <v>-421.5795</v>
      </c>
      <c r="K4306">
        <v>1.1041529999999999</v>
      </c>
      <c r="L4306">
        <v>63.952210000000001</v>
      </c>
      <c r="M4306">
        <v>-1.5728570000000001E-2</v>
      </c>
      <c r="N4306">
        <v>0</v>
      </c>
      <c r="O4306">
        <v>-0.99976520000000002</v>
      </c>
      <c r="P4306">
        <v>5.2497389999999998E-2</v>
      </c>
      <c r="Q4306">
        <v>8.5283620000000001E-4</v>
      </c>
      <c r="R4306">
        <v>-0.99862099999999898</v>
      </c>
      <c r="S4306">
        <v>0.2946472</v>
      </c>
      <c r="T4306">
        <v>-0.26043820000000001</v>
      </c>
      <c r="U4306">
        <v>-2.9890750000000001</v>
      </c>
      <c r="V4306">
        <v>-6.8181829999999999E-2</v>
      </c>
      <c r="W4306">
        <v>1.5822530000000001E-2</v>
      </c>
      <c r="X4306">
        <v>0.99754739999999997</v>
      </c>
      <c r="Y4306">
        <v>-0.113375399999999</v>
      </c>
      <c r="Z4306">
        <v>8.6297559999999995E-2</v>
      </c>
      <c r="AA4306">
        <v>0.98979740000000005</v>
      </c>
      <c r="AB4306">
        <v>25</v>
      </c>
      <c r="AC4306">
        <v>1.2536999999999801</v>
      </c>
      <c r="AD4306">
        <v>-1.1041539211233</v>
      </c>
      <c r="AE4306">
        <v>-12.417999999999999</v>
      </c>
      <c r="AF4306">
        <v>-1.4376327398628701</v>
      </c>
      <c r="AG4306">
        <v>-1.1041539211233</v>
      </c>
      <c r="AH4306">
        <v>12.3004762656764</v>
      </c>
      <c r="AI4306">
        <v>95.094919677157904</v>
      </c>
      <c r="AJ4306">
        <v>96.6662680769209</v>
      </c>
      <c r="AK4306">
        <v>12.4333286025395</v>
      </c>
    </row>
    <row r="4307" spans="1:37" x14ac:dyDescent="0.2">
      <c r="A4307" t="str">
        <f>"20200111160255876"</f>
        <v>20200111160255876</v>
      </c>
      <c r="B4307" t="str">
        <f>"1578729775867433"</f>
        <v>1578729775867433</v>
      </c>
      <c r="C4307" t="s">
        <v>37</v>
      </c>
      <c r="D4307">
        <v>4.9581739999999996</v>
      </c>
      <c r="E4307">
        <v>0.48654599999999998</v>
      </c>
      <c r="F4307" t="s">
        <v>38</v>
      </c>
      <c r="G4307">
        <v>-420.4194</v>
      </c>
      <c r="H4307" s="1">
        <v>-9.7362359999999994E-7</v>
      </c>
      <c r="I4307">
        <v>51.598500000000001</v>
      </c>
      <c r="J4307">
        <v>-421.58390000000003</v>
      </c>
      <c r="K4307">
        <v>1.104174</v>
      </c>
      <c r="L4307">
        <v>63.715879999999999</v>
      </c>
      <c r="M4307">
        <v>-1.6308369999999999E-2</v>
      </c>
      <c r="N4307">
        <v>0</v>
      </c>
      <c r="O4307">
        <v>-0.99975590000000003</v>
      </c>
      <c r="P4307">
        <v>5.2572679999999997E-2</v>
      </c>
      <c r="Q4307">
        <v>6.2982130000000002E-4</v>
      </c>
      <c r="R4307">
        <v>-0.99861739999999999</v>
      </c>
      <c r="S4307">
        <v>0.28073120000000001</v>
      </c>
      <c r="T4307">
        <v>-0.26720759999999899</v>
      </c>
      <c r="U4307">
        <v>-2.9896240000000001</v>
      </c>
      <c r="V4307">
        <v>-6.8836590000000003E-2</v>
      </c>
      <c r="W4307">
        <v>1.559082E-2</v>
      </c>
      <c r="X4307">
        <v>0.99750609999999995</v>
      </c>
      <c r="Y4307">
        <v>-0.109349399999999</v>
      </c>
      <c r="Z4307">
        <v>8.8545429999999994E-2</v>
      </c>
      <c r="AA4307">
        <v>0.99005169999999998</v>
      </c>
      <c r="AB4307">
        <v>25</v>
      </c>
      <c r="AC4307">
        <v>1.1645000000000301</v>
      </c>
      <c r="AD4307">
        <v>-1.1041749736236</v>
      </c>
      <c r="AE4307">
        <v>-12.117380000000001</v>
      </c>
      <c r="AF4307">
        <v>-1.3508675615242001</v>
      </c>
      <c r="AG4307">
        <v>-1.1041749736236</v>
      </c>
      <c r="AH4307">
        <v>11.998061362769301</v>
      </c>
      <c r="AI4307">
        <v>95.225257548981006</v>
      </c>
      <c r="AJ4307">
        <v>96.423906356537699</v>
      </c>
      <c r="AK4307">
        <v>12.124253461798499</v>
      </c>
    </row>
    <row r="4308" spans="1:37" x14ac:dyDescent="0.2">
      <c r="A4308" t="str">
        <f>"20200111160255897"</f>
        <v>20200111160255897</v>
      </c>
      <c r="B4308" t="str">
        <f>"1578729775886954"</f>
        <v>1578729775886954</v>
      </c>
      <c r="C4308" t="s">
        <v>37</v>
      </c>
      <c r="D4308">
        <v>5.2943020000000001</v>
      </c>
      <c r="E4308">
        <v>0.48700690000000002</v>
      </c>
      <c r="F4308" t="s">
        <v>38</v>
      </c>
      <c r="G4308">
        <v>-420.47910000000002</v>
      </c>
      <c r="H4308" s="1">
        <v>-9.9118650000000009E-7</v>
      </c>
      <c r="I4308">
        <v>51.602460000000001</v>
      </c>
      <c r="J4308">
        <v>-421.58839999999998</v>
      </c>
      <c r="K4308">
        <v>1.104198</v>
      </c>
      <c r="L4308">
        <v>63.47974</v>
      </c>
      <c r="M4308">
        <v>-1.6867210000000001E-2</v>
      </c>
      <c r="N4308">
        <v>0</v>
      </c>
      <c r="O4308">
        <v>-0.99974669999999899</v>
      </c>
      <c r="P4308">
        <v>5.2390159999999998E-2</v>
      </c>
      <c r="Q4308">
        <v>5.9845229999999996E-4</v>
      </c>
      <c r="R4308">
        <v>-0.99862700000000004</v>
      </c>
      <c r="S4308">
        <v>0.27270509999999998</v>
      </c>
      <c r="T4308">
        <v>-0.27254390000000001</v>
      </c>
      <c r="U4308">
        <v>-2.98996</v>
      </c>
      <c r="V4308">
        <v>-6.9212389999999999E-2</v>
      </c>
      <c r="W4308">
        <v>1.555077E-2</v>
      </c>
      <c r="X4308">
        <v>0.99748079999999995</v>
      </c>
      <c r="Y4308">
        <v>-0.10724499999999999</v>
      </c>
      <c r="Z4308">
        <v>9.0309539999999994E-2</v>
      </c>
      <c r="AA4308">
        <v>0.99012259999999996</v>
      </c>
      <c r="AB4308">
        <v>25</v>
      </c>
      <c r="AC4308">
        <v>1.10929999999996</v>
      </c>
      <c r="AD4308">
        <v>-1.1041989911865</v>
      </c>
      <c r="AE4308">
        <v>-11.877280000000001</v>
      </c>
      <c r="AF4308">
        <v>-1.2983762477632901</v>
      </c>
      <c r="AG4308">
        <v>-1.1041989911865</v>
      </c>
      <c r="AH4308">
        <v>11.7561482277717</v>
      </c>
      <c r="AI4308">
        <v>95.333537040875896</v>
      </c>
      <c r="AJ4308">
        <v>96.302337191398905</v>
      </c>
      <c r="AK4308">
        <v>11.879059619609301</v>
      </c>
    </row>
    <row r="4309" spans="1:37" x14ac:dyDescent="0.2">
      <c r="A4309" t="str">
        <f>"20200111160255917"</f>
        <v>20200111160255917</v>
      </c>
      <c r="B4309" t="str">
        <f>"1578729775907449"</f>
        <v>1578729775907449</v>
      </c>
      <c r="C4309" t="s">
        <v>37</v>
      </c>
      <c r="D4309">
        <v>5.0174240000000001</v>
      </c>
      <c r="E4309">
        <v>0.48779090000000003</v>
      </c>
      <c r="F4309" t="s">
        <v>38</v>
      </c>
      <c r="G4309">
        <v>-420.50979999999998</v>
      </c>
      <c r="H4309" s="1">
        <v>-9.3923359999999996E-7</v>
      </c>
      <c r="I4309">
        <v>51.46228</v>
      </c>
      <c r="J4309">
        <v>-421.59269999999998</v>
      </c>
      <c r="K4309">
        <v>1.1042209999999999</v>
      </c>
      <c r="L4309">
        <v>63.260649999999998</v>
      </c>
      <c r="M4309">
        <v>-1.7364660000000001E-2</v>
      </c>
      <c r="N4309">
        <v>0</v>
      </c>
      <c r="O4309">
        <v>-0.99973789999999996</v>
      </c>
      <c r="P4309">
        <v>5.2812230000000002E-2</v>
      </c>
      <c r="Q4309">
        <v>1.1885539999999899E-3</v>
      </c>
      <c r="R4309">
        <v>-0.99860360000000004</v>
      </c>
      <c r="S4309">
        <v>0.26837159999999999</v>
      </c>
      <c r="T4309">
        <v>-0.27474870000000001</v>
      </c>
      <c r="U4309">
        <v>-2.9902039999999999</v>
      </c>
      <c r="V4309">
        <v>-7.0130650000000003E-2</v>
      </c>
      <c r="W4309">
        <v>1.613243E-2</v>
      </c>
      <c r="X4309">
        <v>0.99740740000000006</v>
      </c>
      <c r="Y4309">
        <v>-0.1063031</v>
      </c>
      <c r="Z4309">
        <v>9.1036039999999999E-2</v>
      </c>
      <c r="AA4309">
        <v>0.99015759999999897</v>
      </c>
      <c r="AB4309">
        <v>25</v>
      </c>
      <c r="AC4309">
        <v>1.08289999999999</v>
      </c>
      <c r="AD4309">
        <v>-1.1042219392335999</v>
      </c>
      <c r="AE4309">
        <v>-11.798369999999901</v>
      </c>
      <c r="AF4309">
        <v>-1.27654595589544</v>
      </c>
      <c r="AG4309">
        <v>-1.1042219392335999</v>
      </c>
      <c r="AH4309">
        <v>11.6763622061791</v>
      </c>
      <c r="AI4309">
        <v>95.370526670076202</v>
      </c>
      <c r="AJ4309">
        <v>96.2392175222665</v>
      </c>
      <c r="AK4309">
        <v>11.7977247822826</v>
      </c>
    </row>
    <row r="4310" spans="1:37" x14ac:dyDescent="0.2">
      <c r="A4310" t="str">
        <f>"20200111160255942"</f>
        <v>20200111160255942</v>
      </c>
      <c r="B4310" t="str">
        <f>"1578729775936730"</f>
        <v>1578729775936730</v>
      </c>
      <c r="C4310" t="s">
        <v>37</v>
      </c>
      <c r="D4310">
        <v>4.9610820000000002</v>
      </c>
      <c r="E4310">
        <v>0.48856480000000002</v>
      </c>
      <c r="F4310" t="s">
        <v>38</v>
      </c>
      <c r="G4310">
        <v>-420.54149999999998</v>
      </c>
      <c r="H4310" s="1">
        <v>-8.8914999999999999E-7</v>
      </c>
      <c r="I4310">
        <v>51.325890000000001</v>
      </c>
      <c r="J4310">
        <v>-421.59829999999999</v>
      </c>
      <c r="K4310">
        <v>1.104249</v>
      </c>
      <c r="L4310">
        <v>62.979889999999997</v>
      </c>
      <c r="M4310">
        <v>-1.7968620000000001E-2</v>
      </c>
      <c r="N4310">
        <v>0</v>
      </c>
      <c r="O4310">
        <v>-0.99972749999999999</v>
      </c>
      <c r="P4310">
        <v>5.320445E-2</v>
      </c>
      <c r="Q4310">
        <v>1.901933E-3</v>
      </c>
      <c r="R4310">
        <v>-0.99858189999999902</v>
      </c>
      <c r="S4310">
        <v>0.2633972</v>
      </c>
      <c r="T4310">
        <v>-0.27669479999999902</v>
      </c>
      <c r="U4310">
        <v>-2.9906009999999998</v>
      </c>
      <c r="V4310">
        <v>-7.1125229999999998E-2</v>
      </c>
      <c r="W4310">
        <v>1.6834249999999999E-2</v>
      </c>
      <c r="X4310">
        <v>0.99732529999999997</v>
      </c>
      <c r="Y4310">
        <v>-0.10525279999999999</v>
      </c>
      <c r="Z4310">
        <v>9.1673760000000007E-2</v>
      </c>
      <c r="AA4310">
        <v>0.99021099999999995</v>
      </c>
      <c r="AB4310">
        <v>25</v>
      </c>
      <c r="AC4310">
        <v>1.0568</v>
      </c>
      <c r="AD4310">
        <v>-1.1042498891500001</v>
      </c>
      <c r="AE4310">
        <v>-11.654</v>
      </c>
      <c r="AF4310">
        <v>-1.2548843005308301</v>
      </c>
      <c r="AG4310">
        <v>-1.1042498891500001</v>
      </c>
      <c r="AH4310">
        <v>11.5304494474195</v>
      </c>
      <c r="AI4310">
        <v>95.438508790556597</v>
      </c>
      <c r="AJ4310">
        <v>96.2111806378784</v>
      </c>
      <c r="AK4310">
        <v>11.650981370035</v>
      </c>
    </row>
    <row r="4311" spans="1:37" x14ac:dyDescent="0.2">
      <c r="A4311" t="str">
        <f>"20200111160255963"</f>
        <v>20200111160255963</v>
      </c>
      <c r="B4311" t="str">
        <f>"1578729775957226"</f>
        <v>1578729775957226</v>
      </c>
      <c r="C4311" t="s">
        <v>37</v>
      </c>
      <c r="D4311">
        <v>5.231611</v>
      </c>
      <c r="E4311">
        <v>0.48933720000000003</v>
      </c>
      <c r="F4311" t="s">
        <v>38</v>
      </c>
      <c r="G4311">
        <v>-420.57979999999998</v>
      </c>
      <c r="H4311" s="1">
        <v>-8.3846709999999998E-7</v>
      </c>
      <c r="I4311">
        <v>51.183970000000002</v>
      </c>
      <c r="J4311">
        <v>-421.60309999999998</v>
      </c>
      <c r="K4311">
        <v>1.1042689999999999</v>
      </c>
      <c r="L4311">
        <v>62.739229999999999</v>
      </c>
      <c r="M4311">
        <v>-1.845596E-2</v>
      </c>
      <c r="N4311">
        <v>0</v>
      </c>
      <c r="O4311">
        <v>-0.99971900000000002</v>
      </c>
      <c r="P4311">
        <v>5.374437E-2</v>
      </c>
      <c r="Q4311">
        <v>2.233287E-3</v>
      </c>
      <c r="R4311">
        <v>-0.99855260000000001</v>
      </c>
      <c r="S4311">
        <v>0.25823970000000002</v>
      </c>
      <c r="T4311">
        <v>-0.27999879999999999</v>
      </c>
      <c r="U4311">
        <v>-2.991028</v>
      </c>
      <c r="V4311">
        <v>-7.2151530000000005E-2</v>
      </c>
      <c r="W4311">
        <v>1.7155110000000001E-2</v>
      </c>
      <c r="X4311">
        <v>0.99724609999999902</v>
      </c>
      <c r="Y4311">
        <v>-0.1040219</v>
      </c>
      <c r="Z4311">
        <v>9.2757580000000006E-2</v>
      </c>
      <c r="AA4311">
        <v>0.99024009999999996</v>
      </c>
      <c r="AB4311">
        <v>25</v>
      </c>
      <c r="AC4311">
        <v>1.0233000000000001</v>
      </c>
      <c r="AD4311">
        <v>-1.1042698384670999</v>
      </c>
      <c r="AE4311">
        <v>-11.555260000000001</v>
      </c>
      <c r="AF4311">
        <v>-1.22530958606228</v>
      </c>
      <c r="AG4311">
        <v>-1.1042698384670999</v>
      </c>
      <c r="AH4311">
        <v>11.4308233376924</v>
      </c>
      <c r="AI4311">
        <v>95.486673114471003</v>
      </c>
      <c r="AJ4311">
        <v>96.118370381263105</v>
      </c>
      <c r="AK4311">
        <v>11.549221516421699</v>
      </c>
    </row>
    <row r="4312" spans="1:37" x14ac:dyDescent="0.2">
      <c r="A4312" t="str">
        <f>"20200111160255987"</f>
        <v>20200111160255987</v>
      </c>
      <c r="B4312" t="str">
        <f>"1578729775976745"</f>
        <v>1578729775976745</v>
      </c>
      <c r="C4312" t="s">
        <v>37</v>
      </c>
      <c r="D4312">
        <v>5.0500970000000001</v>
      </c>
      <c r="E4312">
        <v>0.4895465</v>
      </c>
      <c r="F4312" t="s">
        <v>38</v>
      </c>
      <c r="G4312">
        <v>-420.60359999999997</v>
      </c>
      <c r="H4312" s="1">
        <v>-7.4179629999999996E-7</v>
      </c>
      <c r="I4312">
        <v>50.943860000000001</v>
      </c>
      <c r="J4312">
        <v>-421.6087</v>
      </c>
      <c r="K4312">
        <v>1.1042989999999999</v>
      </c>
      <c r="L4312">
        <v>62.470859999999902</v>
      </c>
      <c r="M4312">
        <v>-1.8963870000000001E-2</v>
      </c>
      <c r="N4312">
        <v>0</v>
      </c>
      <c r="O4312">
        <v>-0.99970959999999998</v>
      </c>
      <c r="P4312">
        <v>5.3911750000000001E-2</v>
      </c>
      <c r="Q4312">
        <v>2.3716169999999999E-3</v>
      </c>
      <c r="R4312">
        <v>-0.99854339999999997</v>
      </c>
      <c r="S4312">
        <v>0.25347900000000001</v>
      </c>
      <c r="T4312">
        <v>-0.2800454</v>
      </c>
      <c r="U4312">
        <v>-2.991333</v>
      </c>
      <c r="V4312">
        <v>-7.282661E-2</v>
      </c>
      <c r="W4312">
        <v>1.728145E-2</v>
      </c>
      <c r="X4312">
        <v>0.9971949</v>
      </c>
      <c r="Y4312">
        <v>-0.1029538</v>
      </c>
      <c r="Z4312">
        <v>9.2773610000000006E-2</v>
      </c>
      <c r="AA4312">
        <v>0.99035019999999996</v>
      </c>
      <c r="AB4312">
        <v>25</v>
      </c>
      <c r="AC4312">
        <v>1.0051000000000201</v>
      </c>
      <c r="AD4312">
        <v>-1.1042997417963001</v>
      </c>
      <c r="AE4312">
        <v>-11.5269999999999</v>
      </c>
      <c r="AF4312">
        <v>-1.21249576483124</v>
      </c>
      <c r="AG4312">
        <v>-1.1042997417963001</v>
      </c>
      <c r="AH4312">
        <v>11.4020075545799</v>
      </c>
      <c r="AI4312">
        <v>95.501094683897705</v>
      </c>
      <c r="AJ4312">
        <v>96.070052665659603</v>
      </c>
      <c r="AK4312">
        <v>11.519348947495301</v>
      </c>
    </row>
    <row r="4313" spans="1:37" x14ac:dyDescent="0.2">
      <c r="A4313" t="str">
        <f>"20200111160256011"</f>
        <v>20200111160256011</v>
      </c>
      <c r="B4313" t="str">
        <f>"1578729776007004"</f>
        <v>1578729776007004</v>
      </c>
      <c r="C4313" t="s">
        <v>37</v>
      </c>
      <c r="D4313">
        <v>4.9999079999999996</v>
      </c>
      <c r="E4313">
        <v>0.4899</v>
      </c>
      <c r="F4313" t="s">
        <v>38</v>
      </c>
      <c r="G4313">
        <v>-420.62169999999998</v>
      </c>
      <c r="H4313" s="1">
        <v>-6.6228880000000002E-7</v>
      </c>
      <c r="I4313">
        <v>50.747300000000003</v>
      </c>
      <c r="J4313">
        <v>-421.61430000000001</v>
      </c>
      <c r="K4313">
        <v>1.1043319999999901</v>
      </c>
      <c r="L4313">
        <v>62.200839999999999</v>
      </c>
      <c r="M4313">
        <v>-1.9428330000000001E-2</v>
      </c>
      <c r="N4313">
        <v>0</v>
      </c>
      <c r="O4313">
        <v>-0.9997007</v>
      </c>
      <c r="P4313">
        <v>5.4923109999999997E-2</v>
      </c>
      <c r="Q4313">
        <v>2.8372440000000001E-3</v>
      </c>
      <c r="R4313">
        <v>-0.99848689999999996</v>
      </c>
      <c r="S4313">
        <v>0.25183109999999997</v>
      </c>
      <c r="T4313">
        <v>-0.28177990000000003</v>
      </c>
      <c r="U4313">
        <v>-2.99145499999999</v>
      </c>
      <c r="V4313">
        <v>-7.4300920000000006E-2</v>
      </c>
      <c r="W4313">
        <v>1.7734380000000001E-2</v>
      </c>
      <c r="X4313">
        <v>0.99707819999999903</v>
      </c>
      <c r="Y4313">
        <v>-0.1028664</v>
      </c>
      <c r="Z4313">
        <v>9.3340729999999997E-2</v>
      </c>
      <c r="AA4313">
        <v>0.99030599999999902</v>
      </c>
      <c r="AB4313">
        <v>25</v>
      </c>
      <c r="AC4313">
        <v>0.99260000000003801</v>
      </c>
      <c r="AD4313">
        <v>-1.1043326622887999</v>
      </c>
      <c r="AE4313">
        <v>-11.453539999999901</v>
      </c>
      <c r="AF4313">
        <v>-1.2038521545827701</v>
      </c>
      <c r="AG4313">
        <v>-1.1043326622887999</v>
      </c>
      <c r="AH4313">
        <v>11.3275690508656</v>
      </c>
      <c r="AI4313">
        <v>95.537222104408002</v>
      </c>
      <c r="AJ4313">
        <v>96.066412638333205</v>
      </c>
      <c r="AK4313">
        <v>11.444764359357499</v>
      </c>
    </row>
    <row r="4314" spans="1:37" x14ac:dyDescent="0.2">
      <c r="A4314" t="str">
        <f>"20200111160256033"</f>
        <v>20200111160256033</v>
      </c>
      <c r="B4314" t="str">
        <f>"1578729776027498"</f>
        <v>1578729776027498</v>
      </c>
      <c r="C4314" t="s">
        <v>37</v>
      </c>
      <c r="D4314">
        <v>4.9993879999999997</v>
      </c>
      <c r="E4314">
        <v>0.49012799999999901</v>
      </c>
      <c r="F4314" t="s">
        <v>38</v>
      </c>
      <c r="G4314">
        <v>-420.63470000000001</v>
      </c>
      <c r="H4314" s="1">
        <v>-5.9036860000000002E-7</v>
      </c>
      <c r="I4314">
        <v>50.571579999999997</v>
      </c>
      <c r="J4314">
        <v>-421.61939999999998</v>
      </c>
      <c r="K4314">
        <v>1.104363</v>
      </c>
      <c r="L4314">
        <v>61.966090000000001</v>
      </c>
      <c r="M4314">
        <v>-1.9787809999999999E-2</v>
      </c>
      <c r="N4314">
        <v>0</v>
      </c>
      <c r="O4314">
        <v>-0.99969379999999997</v>
      </c>
      <c r="P4314">
        <v>5.6189759999999998E-2</v>
      </c>
      <c r="Q4314">
        <v>2.2866200000000001E-3</v>
      </c>
      <c r="R4314">
        <v>-0.99841780000000002</v>
      </c>
      <c r="S4314">
        <v>0.25198359999999997</v>
      </c>
      <c r="T4314">
        <v>-0.28407640000000001</v>
      </c>
      <c r="U4314">
        <v>-2.9914860000000001</v>
      </c>
      <c r="V4314">
        <v>-7.5926160000000006E-2</v>
      </c>
      <c r="W4314">
        <v>1.717132E-2</v>
      </c>
      <c r="X4314">
        <v>0.99696559999999901</v>
      </c>
      <c r="Y4314">
        <v>-0.1032674</v>
      </c>
      <c r="Z4314">
        <v>9.4090599999999996E-2</v>
      </c>
      <c r="AA4314">
        <v>0.99019330000000005</v>
      </c>
      <c r="AB4314">
        <v>25</v>
      </c>
      <c r="AC4314">
        <v>0.98469999999997504</v>
      </c>
      <c r="AD4314">
        <v>-1.1043635903686</v>
      </c>
      <c r="AE4314">
        <v>-11.39451</v>
      </c>
      <c r="AF4314">
        <v>-1.1988266050799199</v>
      </c>
      <c r="AG4314">
        <v>-1.1043635903686</v>
      </c>
      <c r="AH4314">
        <v>11.267731138631699</v>
      </c>
      <c r="AI4314">
        <v>95.566529694002895</v>
      </c>
      <c r="AJ4314">
        <v>96.073119117609394</v>
      </c>
      <c r="AK4314">
        <v>11.3850151155485</v>
      </c>
    </row>
    <row r="4315" spans="1:37" x14ac:dyDescent="0.2">
      <c r="A4315" t="str">
        <f>"20200111160256054"</f>
        <v>20200111160256054</v>
      </c>
      <c r="B4315" t="str">
        <f>"1578729776047017"</f>
        <v>1578729776047017</v>
      </c>
      <c r="C4315" t="s">
        <v>37</v>
      </c>
      <c r="D4315">
        <v>4.9916330000000002</v>
      </c>
      <c r="E4315">
        <v>0.49018699999999998</v>
      </c>
      <c r="F4315" t="s">
        <v>38</v>
      </c>
      <c r="G4315">
        <v>-420.65030000000002</v>
      </c>
      <c r="H4315" s="1">
        <v>-5.6797819999999896E-7</v>
      </c>
      <c r="I4315">
        <v>50.50976</v>
      </c>
      <c r="J4315">
        <v>-421.62470000000002</v>
      </c>
      <c r="K4315">
        <v>1.104393</v>
      </c>
      <c r="L4315">
        <v>61.71481</v>
      </c>
      <c r="M4315">
        <v>-2.0129560000000001E-2</v>
      </c>
      <c r="N4315">
        <v>0</v>
      </c>
      <c r="O4315">
        <v>-0.99968679999999999</v>
      </c>
      <c r="P4315">
        <v>5.7535160000000002E-2</v>
      </c>
      <c r="Q4315">
        <v>1.499846E-3</v>
      </c>
      <c r="R4315">
        <v>-0.99834230000000002</v>
      </c>
      <c r="S4315">
        <v>0.2530212</v>
      </c>
      <c r="T4315">
        <v>-0.28834270000000001</v>
      </c>
      <c r="U4315">
        <v>-2.9911799999999999</v>
      </c>
      <c r="V4315">
        <v>-7.7612349999999997E-2</v>
      </c>
      <c r="W4315">
        <v>1.6371299999999998E-2</v>
      </c>
      <c r="X4315">
        <v>0.99684919999999999</v>
      </c>
      <c r="Y4315">
        <v>-0.1039456</v>
      </c>
      <c r="Z4315">
        <v>9.5494679999999998E-2</v>
      </c>
      <c r="AA4315">
        <v>0.98998790000000003</v>
      </c>
      <c r="AB4315">
        <v>25</v>
      </c>
      <c r="AC4315">
        <v>0.97440000000000204</v>
      </c>
      <c r="AD4315">
        <v>-1.1043935679782</v>
      </c>
      <c r="AE4315">
        <v>-11.20505</v>
      </c>
      <c r="AF4315">
        <v>-1.18832287683869</v>
      </c>
      <c r="AG4315">
        <v>-1.1043935679782</v>
      </c>
      <c r="AH4315">
        <v>11.076369001346199</v>
      </c>
      <c r="AI4315">
        <v>95.661704770217796</v>
      </c>
      <c r="AJ4315">
        <v>96.123527730601793</v>
      </c>
      <c r="AK4315">
        <v>11.1945409314805</v>
      </c>
    </row>
    <row r="4316" spans="1:37" x14ac:dyDescent="0.2">
      <c r="A4316" t="str">
        <f>"20200111160256075"</f>
        <v>20200111160256075</v>
      </c>
      <c r="B4316" t="str">
        <f>"1578729776067521"</f>
        <v>1578729776067521</v>
      </c>
      <c r="C4316" t="s">
        <v>37</v>
      </c>
      <c r="D4316">
        <v>4.9514309999999897</v>
      </c>
      <c r="E4316">
        <v>0.49033579999999999</v>
      </c>
      <c r="F4316" t="s">
        <v>38</v>
      </c>
      <c r="G4316">
        <v>-420.65859999999998</v>
      </c>
      <c r="H4316" s="1">
        <v>-5.4210709999999999E-7</v>
      </c>
      <c r="I4316">
        <v>50.444270000000003</v>
      </c>
      <c r="J4316">
        <v>-421.62959999999998</v>
      </c>
      <c r="K4316">
        <v>1.1044229999999999</v>
      </c>
      <c r="L4316">
        <v>61.484740000000002</v>
      </c>
      <c r="M4316">
        <v>-2.0396500000000001E-2</v>
      </c>
      <c r="N4316">
        <v>0</v>
      </c>
      <c r="O4316">
        <v>-0.9996815</v>
      </c>
      <c r="P4316">
        <v>5.8514570000000002E-2</v>
      </c>
      <c r="Q4316">
        <v>4.00874199999999E-4</v>
      </c>
      <c r="R4316">
        <v>-0.99828639999999902</v>
      </c>
      <c r="S4316">
        <v>0.25634770000000001</v>
      </c>
      <c r="T4316">
        <v>-0.29305009999999998</v>
      </c>
      <c r="U4316">
        <v>-2.990631</v>
      </c>
      <c r="V4316">
        <v>-7.8858109999999995E-2</v>
      </c>
      <c r="W4316">
        <v>1.525993E-2</v>
      </c>
      <c r="X4316">
        <v>0.99676909999999896</v>
      </c>
      <c r="Y4316">
        <v>-0.10530679999999901</v>
      </c>
      <c r="Z4316">
        <v>9.7044359999999996E-2</v>
      </c>
      <c r="AA4316">
        <v>0.9896933</v>
      </c>
      <c r="AB4316">
        <v>25</v>
      </c>
      <c r="AC4316">
        <v>0.97100000000000297</v>
      </c>
      <c r="AD4316">
        <v>-1.1044235421071</v>
      </c>
      <c r="AE4316">
        <v>-11.040469999999999</v>
      </c>
      <c r="AF4316">
        <v>-1.18425015868169</v>
      </c>
      <c r="AG4316">
        <v>-1.1044235421071</v>
      </c>
      <c r="AH4316">
        <v>10.910028822553899</v>
      </c>
      <c r="AI4316">
        <v>95.746838727800593</v>
      </c>
      <c r="AJ4316">
        <v>96.195026237438597</v>
      </c>
      <c r="AK4316">
        <v>11.029547982925401</v>
      </c>
    </row>
    <row r="4317" spans="1:37" x14ac:dyDescent="0.2">
      <c r="A4317" t="str">
        <f>"20200111160256099"</f>
        <v>20200111160256099</v>
      </c>
      <c r="B4317" t="str">
        <f>"1578729776087034"</f>
        <v>1578729776087034</v>
      </c>
      <c r="C4317" t="s">
        <v>37</v>
      </c>
      <c r="D4317">
        <v>5.0060000000000002</v>
      </c>
      <c r="E4317">
        <v>0.490529299999999</v>
      </c>
      <c r="F4317" t="s">
        <v>38</v>
      </c>
      <c r="G4317">
        <v>-420.67599999999999</v>
      </c>
      <c r="H4317" s="1">
        <v>-5.3416230000000004E-7</v>
      </c>
      <c r="I4317">
        <v>50.41498</v>
      </c>
      <c r="J4317">
        <v>-421.63529999999997</v>
      </c>
      <c r="K4317">
        <v>1.1044620000000001</v>
      </c>
      <c r="L4317">
        <v>61.224209999999999</v>
      </c>
      <c r="M4317">
        <v>-2.0622580000000001E-2</v>
      </c>
      <c r="N4317">
        <v>0</v>
      </c>
      <c r="O4317">
        <v>-0.99967689999999998</v>
      </c>
      <c r="P4317">
        <v>5.9366870000000002E-2</v>
      </c>
      <c r="Q4317">
        <v>-4.5303789999999997E-4</v>
      </c>
      <c r="R4317">
        <v>-0.99823619999999902</v>
      </c>
      <c r="S4317">
        <v>0.25759890000000002</v>
      </c>
      <c r="T4317">
        <v>-0.29832769999999997</v>
      </c>
      <c r="U4317">
        <v>-2.990173</v>
      </c>
      <c r="V4317">
        <v>-7.9937060000000004E-2</v>
      </c>
      <c r="W4317">
        <v>1.4389799999999999E-2</v>
      </c>
      <c r="X4317">
        <v>0.99669609999999997</v>
      </c>
      <c r="Y4317">
        <v>-0.10594089999999901</v>
      </c>
      <c r="Z4317">
        <v>9.8784170000000004E-2</v>
      </c>
      <c r="AA4317">
        <v>0.98945349999999999</v>
      </c>
      <c r="AB4317">
        <v>25</v>
      </c>
      <c r="AC4317">
        <v>0.95929999999998405</v>
      </c>
      <c r="AD4317">
        <v>-1.1044625341623</v>
      </c>
      <c r="AE4317">
        <v>-10.809229999999999</v>
      </c>
      <c r="AF4317">
        <v>-1.1699159589714501</v>
      </c>
      <c r="AG4317">
        <v>-1.1044625341623</v>
      </c>
      <c r="AH4317">
        <v>10.676550111027</v>
      </c>
      <c r="AI4317">
        <v>95.871201810826804</v>
      </c>
      <c r="AJ4317">
        <v>96.253412684776706</v>
      </c>
      <c r="AK4317">
        <v>10.797095123860601</v>
      </c>
    </row>
    <row r="4318" spans="1:37" x14ac:dyDescent="0.2">
      <c r="A4318" t="str">
        <f>"20200111160256120"</f>
        <v>20200111160256120</v>
      </c>
      <c r="B4318" t="str">
        <f>"1578729776117289"</f>
        <v>1578729776117289</v>
      </c>
      <c r="C4318" t="s">
        <v>37</v>
      </c>
      <c r="D4318">
        <v>4.9356200000000001</v>
      </c>
      <c r="E4318">
        <v>0.49084030000000001</v>
      </c>
      <c r="F4318" t="s">
        <v>38</v>
      </c>
      <c r="G4318">
        <v>-420.69540000000001</v>
      </c>
      <c r="H4318" s="1">
        <v>-5.0474930000000002E-7</v>
      </c>
      <c r="I4318">
        <v>50.334350000000001</v>
      </c>
      <c r="J4318">
        <v>-421.64010000000002</v>
      </c>
      <c r="K4318">
        <v>1.1045129999999901</v>
      </c>
      <c r="L4318">
        <v>60.997069999999901</v>
      </c>
      <c r="M4318">
        <v>-2.0742750000000001E-2</v>
      </c>
      <c r="N4318">
        <v>0</v>
      </c>
      <c r="O4318">
        <v>-0.99967479999999997</v>
      </c>
      <c r="P4318">
        <v>6.0372549999999997E-2</v>
      </c>
      <c r="Q4318">
        <v>-9.1581360000000001E-4</v>
      </c>
      <c r="R4318">
        <v>-0.9981759</v>
      </c>
      <c r="S4318">
        <v>0.25802609999999998</v>
      </c>
      <c r="T4318">
        <v>-0.30323270000000002</v>
      </c>
      <c r="U4318">
        <v>-2.9898380000000002</v>
      </c>
      <c r="V4318">
        <v>-8.1062990000000001E-2</v>
      </c>
      <c r="W4318">
        <v>1.3909670000000001E-2</v>
      </c>
      <c r="X4318">
        <v>0.9966119</v>
      </c>
      <c r="Y4318">
        <v>-0.10619629999999999</v>
      </c>
      <c r="Z4318">
        <v>0.1004008</v>
      </c>
      <c r="AA4318">
        <v>0.98926340000000001</v>
      </c>
      <c r="AB4318">
        <v>25</v>
      </c>
      <c r="AC4318">
        <v>0.94470000000001098</v>
      </c>
      <c r="AD4318">
        <v>-1.10451350474929</v>
      </c>
      <c r="AE4318">
        <v>-10.662719999999901</v>
      </c>
      <c r="AF4318">
        <v>-1.1534152389871</v>
      </c>
      <c r="AG4318">
        <v>-1.10451350474929</v>
      </c>
      <c r="AH4318">
        <v>10.5287325000716</v>
      </c>
      <c r="AI4318">
        <v>95.953333543117196</v>
      </c>
      <c r="AJ4318">
        <v>96.251782563721903</v>
      </c>
      <c r="AK4318">
        <v>10.6491560629829</v>
      </c>
    </row>
    <row r="4319" spans="1:37" x14ac:dyDescent="0.2">
      <c r="A4319" t="str">
        <f>"20200111160256143"</f>
        <v>20200111160256143</v>
      </c>
      <c r="B4319" t="str">
        <f>"1578729776136809"</f>
        <v>1578729776136809</v>
      </c>
      <c r="C4319" t="s">
        <v>37</v>
      </c>
      <c r="D4319">
        <v>4.9381279999999999</v>
      </c>
      <c r="E4319">
        <v>0.49096000000000001</v>
      </c>
      <c r="F4319" t="s">
        <v>38</v>
      </c>
      <c r="G4319">
        <v>-420.71120000000002</v>
      </c>
      <c r="H4319" s="1">
        <v>-4.679163E-7</v>
      </c>
      <c r="I4319">
        <v>50.23874</v>
      </c>
      <c r="J4319">
        <v>-421.64569999999998</v>
      </c>
      <c r="K4319">
        <v>1.104584</v>
      </c>
      <c r="L4319">
        <v>60.732480000000002</v>
      </c>
      <c r="M4319">
        <v>-2.0776900000000001E-2</v>
      </c>
      <c r="N4319">
        <v>0</v>
      </c>
      <c r="O4319">
        <v>-0.99967379999999995</v>
      </c>
      <c r="P4319">
        <v>6.045673E-2</v>
      </c>
      <c r="Q4319">
        <v>-1.6141420000000001E-3</v>
      </c>
      <c r="R4319">
        <v>-0.99816930000000004</v>
      </c>
      <c r="S4319">
        <v>0.25814819999999999</v>
      </c>
      <c r="T4319">
        <v>-0.30692929999999902</v>
      </c>
      <c r="U4319">
        <v>-2.9895939999999999</v>
      </c>
      <c r="V4319">
        <v>-8.1183530000000004E-2</v>
      </c>
      <c r="W4319">
        <v>1.318971E-2</v>
      </c>
      <c r="X4319">
        <v>0.9966119</v>
      </c>
      <c r="Y4319">
        <v>-0.1062666</v>
      </c>
      <c r="Z4319">
        <v>0.1016196</v>
      </c>
      <c r="AA4319">
        <v>0.98913139999999999</v>
      </c>
      <c r="AB4319">
        <v>25</v>
      </c>
      <c r="AC4319">
        <v>0.93449999999995703</v>
      </c>
      <c r="AD4319">
        <v>-1.1045844679162999</v>
      </c>
      <c r="AE4319">
        <v>-10.493740000000001</v>
      </c>
      <c r="AF4319">
        <v>-1.13981990668257</v>
      </c>
      <c r="AG4319">
        <v>-1.1045844679162999</v>
      </c>
      <c r="AH4319">
        <v>10.358191038444</v>
      </c>
      <c r="AI4319">
        <v>96.050696193867694</v>
      </c>
      <c r="AJ4319">
        <v>96.279587859234397</v>
      </c>
      <c r="AK4319">
        <v>10.479094324192999</v>
      </c>
    </row>
    <row r="4320" spans="1:37" x14ac:dyDescent="0.2">
      <c r="A4320" t="str">
        <f>"20200111160256185"</f>
        <v>20200111160256185</v>
      </c>
      <c r="B4320" t="str">
        <f>"1578729776176825"</f>
        <v>1578729776176825</v>
      </c>
      <c r="C4320" t="s">
        <v>37</v>
      </c>
      <c r="D4320">
        <v>4.9761419999999896</v>
      </c>
      <c r="E4320">
        <v>0.49118279999999997</v>
      </c>
      <c r="F4320" t="s">
        <v>38</v>
      </c>
      <c r="G4320">
        <v>-420.73039999999997</v>
      </c>
      <c r="H4320" s="1">
        <v>-4.0651559999999898E-7</v>
      </c>
      <c r="I4320">
        <v>50.083689999999997</v>
      </c>
      <c r="J4320">
        <v>-421.6549</v>
      </c>
      <c r="K4320">
        <v>1.104768</v>
      </c>
      <c r="L4320">
        <v>60.279910000000001</v>
      </c>
      <c r="M4320">
        <v>-2.0423839999999999E-2</v>
      </c>
      <c r="N4320">
        <v>0</v>
      </c>
      <c r="O4320">
        <v>-0.99968169999999901</v>
      </c>
      <c r="P4320">
        <v>5.7359180000000003E-2</v>
      </c>
      <c r="Q4320">
        <v>-4.51509799999999E-3</v>
      </c>
      <c r="R4320">
        <v>-0.9983436</v>
      </c>
      <c r="S4320">
        <v>0.25695800000000002</v>
      </c>
      <c r="T4320">
        <v>-0.31009029999999999</v>
      </c>
      <c r="U4320">
        <v>-2.9894409999999998</v>
      </c>
      <c r="V4320">
        <v>-7.7743720000000002E-2</v>
      </c>
      <c r="W4320">
        <v>1.024449E-2</v>
      </c>
      <c r="X4320">
        <v>0.99692080000000005</v>
      </c>
      <c r="Y4320">
        <v>-0.10551969999999999</v>
      </c>
      <c r="Z4320">
        <v>0.1026672</v>
      </c>
      <c r="AA4320">
        <v>0.98910309999999901</v>
      </c>
      <c r="AB4320">
        <v>25</v>
      </c>
      <c r="AC4320">
        <v>0.92450000000002297</v>
      </c>
      <c r="AD4320">
        <v>-1.1047684065156</v>
      </c>
      <c r="AE4320">
        <v>-10.196219999999901</v>
      </c>
      <c r="AF4320">
        <v>-1.1195398243432799</v>
      </c>
      <c r="AG4320">
        <v>-1.1047684065156</v>
      </c>
      <c r="AH4320">
        <v>10.058090762254199</v>
      </c>
      <c r="AI4320">
        <v>96.230002795314704</v>
      </c>
      <c r="AJ4320">
        <v>96.351300274461195</v>
      </c>
      <c r="AK4320">
        <v>10.180327717321701</v>
      </c>
    </row>
    <row r="4321" spans="1:37" x14ac:dyDescent="0.2">
      <c r="A4321" t="str">
        <f>"20200111160256207"</f>
        <v>20200111160256207</v>
      </c>
      <c r="B4321" t="str">
        <f>"1578729776197321"</f>
        <v>1578729776197321</v>
      </c>
      <c r="C4321" t="s">
        <v>37</v>
      </c>
      <c r="D4321">
        <v>4.8531449999999996</v>
      </c>
      <c r="E4321">
        <v>0.49122500000000002</v>
      </c>
      <c r="F4321" t="s">
        <v>38</v>
      </c>
      <c r="G4321">
        <v>-420.79829999999998</v>
      </c>
      <c r="H4321" s="1">
        <v>-3.4876870000000001E-7</v>
      </c>
      <c r="I4321">
        <v>49.906970000000001</v>
      </c>
      <c r="J4321">
        <v>-421.65929999999997</v>
      </c>
      <c r="K4321">
        <v>1.1048959999999901</v>
      </c>
      <c r="L4321">
        <v>60.038789999999999</v>
      </c>
      <c r="M4321">
        <v>-1.9988479999999999E-2</v>
      </c>
      <c r="N4321">
        <v>0</v>
      </c>
      <c r="O4321">
        <v>-0.99969039999999998</v>
      </c>
      <c r="P4321">
        <v>5.5503009999999998E-2</v>
      </c>
      <c r="Q4321">
        <v>-6.4175949999999999E-3</v>
      </c>
      <c r="R4321">
        <v>-0.99843819999999905</v>
      </c>
      <c r="S4321">
        <v>0.24685670000000001</v>
      </c>
      <c r="T4321">
        <v>-0.3183802</v>
      </c>
      <c r="U4321">
        <v>-2.9893489999999998</v>
      </c>
      <c r="V4321">
        <v>-7.5457860000000002E-2</v>
      </c>
      <c r="W4321">
        <v>8.3172009999999998E-3</v>
      </c>
      <c r="X4321">
        <v>0.99711430000000001</v>
      </c>
      <c r="Y4321">
        <v>-0.101746</v>
      </c>
      <c r="Z4321">
        <v>0.10542169999999999</v>
      </c>
      <c r="AA4321">
        <v>0.9892088</v>
      </c>
      <c r="AB4321">
        <v>25</v>
      </c>
      <c r="AC4321">
        <v>0.86099999999999</v>
      </c>
      <c r="AD4321">
        <v>-1.10489634876869</v>
      </c>
      <c r="AE4321">
        <v>-10.131819999999999</v>
      </c>
      <c r="AF4321">
        <v>-1.0509610623810199</v>
      </c>
      <c r="AG4321">
        <v>-1.10489634876869</v>
      </c>
      <c r="AH4321">
        <v>9.9945764190863393</v>
      </c>
      <c r="AI4321">
        <v>96.274096058198793</v>
      </c>
      <c r="AJ4321">
        <v>96.002771229104198</v>
      </c>
      <c r="AK4321">
        <v>10.110236045371</v>
      </c>
    </row>
    <row r="4322" spans="1:37" x14ac:dyDescent="0.2">
      <c r="A4322" t="str">
        <f>"20200111160256230"</f>
        <v>20200111160256230</v>
      </c>
      <c r="B4322" t="str">
        <f>"1578729776227577"</f>
        <v>1578729776227577</v>
      </c>
      <c r="C4322" t="s">
        <v>37</v>
      </c>
      <c r="D4322">
        <v>4.8579549999999996</v>
      </c>
      <c r="E4322">
        <v>0.48417100000000002</v>
      </c>
      <c r="F4322" t="s">
        <v>38</v>
      </c>
      <c r="G4322">
        <v>-420.83479999999997</v>
      </c>
      <c r="H4322" s="1">
        <v>-3.3177190000000002E-7</v>
      </c>
      <c r="I4322">
        <v>49.844700000000003</v>
      </c>
      <c r="J4322">
        <v>-421.66370000000001</v>
      </c>
      <c r="K4322">
        <v>1.1050549999999999</v>
      </c>
      <c r="L4322">
        <v>59.784759999999999</v>
      </c>
      <c r="M4322">
        <v>-1.9299139999999999E-2</v>
      </c>
      <c r="N4322">
        <v>0</v>
      </c>
      <c r="O4322">
        <v>-0.99970389999999998</v>
      </c>
      <c r="P4322">
        <v>5.4345980000000002E-2</v>
      </c>
      <c r="Q4322">
        <v>-6.2586650000000001E-3</v>
      </c>
      <c r="R4322">
        <v>-0.99850269999999997</v>
      </c>
      <c r="S4322">
        <v>0.24176030000000001</v>
      </c>
      <c r="T4322">
        <v>-0.32398379999999999</v>
      </c>
      <c r="U4322">
        <v>-2.989166</v>
      </c>
      <c r="V4322">
        <v>-7.361761E-2</v>
      </c>
      <c r="W4322">
        <v>8.4468960000000006E-3</v>
      </c>
      <c r="X4322">
        <v>0.99725079999999999</v>
      </c>
      <c r="Y4322">
        <v>-9.9373359999999994E-2</v>
      </c>
      <c r="Z4322">
        <v>0.1072848</v>
      </c>
      <c r="AA4322">
        <v>0.98924959999999995</v>
      </c>
      <c r="AB4322">
        <v>25</v>
      </c>
      <c r="AC4322">
        <v>0.82890000000003194</v>
      </c>
      <c r="AD4322">
        <v>-1.1050553317718901</v>
      </c>
      <c r="AE4322">
        <v>-9.9400599999999901</v>
      </c>
      <c r="AF4322">
        <v>-1.0082264583599301</v>
      </c>
      <c r="AG4322">
        <v>-1.1050553317718901</v>
      </c>
      <c r="AH4322">
        <v>9.8019025003211695</v>
      </c>
      <c r="AI4322">
        <v>96.398821864800496</v>
      </c>
      <c r="AJ4322">
        <v>95.872806275312001</v>
      </c>
      <c r="AK4322">
        <v>9.9153900832703901</v>
      </c>
    </row>
    <row r="4323" spans="1:37" x14ac:dyDescent="0.2">
      <c r="A4323" t="str">
        <f>"20200111160256252"</f>
        <v>20200111160256252</v>
      </c>
      <c r="B4323" t="str">
        <f>"1578729776247098"</f>
        <v>1578729776247098</v>
      </c>
      <c r="C4323" t="s">
        <v>37</v>
      </c>
      <c r="D4323">
        <v>4.8507819999999997</v>
      </c>
      <c r="E4323">
        <v>0.48730499999999999</v>
      </c>
      <c r="F4323" t="s">
        <v>83</v>
      </c>
      <c r="G4323">
        <v>-416.04520000000002</v>
      </c>
      <c r="H4323">
        <v>3.0196230000000002</v>
      </c>
      <c r="I4323">
        <v>1.27725</v>
      </c>
      <c r="J4323">
        <v>-421.66750000000002</v>
      </c>
      <c r="K4323">
        <v>1.105227</v>
      </c>
      <c r="L4323">
        <v>59.53745</v>
      </c>
      <c r="M4323">
        <v>-1.8352449999999999E-2</v>
      </c>
      <c r="N4323">
        <v>0</v>
      </c>
      <c r="O4323">
        <v>-0.99972169999999905</v>
      </c>
      <c r="P4323">
        <v>5.3121769999999999E-2</v>
      </c>
      <c r="Q4323">
        <v>-5.1086120000000002E-3</v>
      </c>
      <c r="R4323">
        <v>-0.9985752</v>
      </c>
      <c r="S4323">
        <v>0.28707890000000003</v>
      </c>
      <c r="T4323">
        <v>9.7824449999999993E-2</v>
      </c>
      <c r="U4323">
        <v>-2.989471</v>
      </c>
      <c r="V4323">
        <v>-7.1455459999999998E-2</v>
      </c>
      <c r="W4323">
        <v>9.5688490000000008E-3</v>
      </c>
      <c r="X4323">
        <v>0.99739789999999995</v>
      </c>
      <c r="Y4323">
        <v>-0.11379400000000001</v>
      </c>
      <c r="Z4323">
        <v>-3.2516280000000002E-2</v>
      </c>
      <c r="AA4323">
        <v>0.99297209999999902</v>
      </c>
      <c r="AB4323">
        <v>24</v>
      </c>
      <c r="AC4323">
        <v>5.6222999999999903</v>
      </c>
      <c r="AD4323">
        <v>1.914396</v>
      </c>
      <c r="AE4323">
        <v>-58.260199999999998</v>
      </c>
      <c r="AF4323">
        <v>-6.6835378637104004</v>
      </c>
      <c r="AG4323">
        <v>1.914396</v>
      </c>
      <c r="AH4323">
        <v>58.085053189617902</v>
      </c>
      <c r="AI4323">
        <v>88.124665444712704</v>
      </c>
      <c r="AJ4323">
        <v>96.563853704838607</v>
      </c>
      <c r="AK4323">
        <v>58.499640977199199</v>
      </c>
    </row>
    <row r="4324" spans="1:37" x14ac:dyDescent="0.2">
      <c r="A4324" t="str">
        <f>"20200111160256274"</f>
        <v>20200111160256274</v>
      </c>
      <c r="B4324" t="str">
        <f>"1578729776266617"</f>
        <v>1578729776266617</v>
      </c>
      <c r="C4324" t="s">
        <v>37</v>
      </c>
      <c r="D4324">
        <v>4.8702230000000002</v>
      </c>
      <c r="E4324">
        <v>0.48857079999999897</v>
      </c>
      <c r="F4324" t="s">
        <v>64</v>
      </c>
      <c r="G4324">
        <v>-417.31729999999999</v>
      </c>
      <c r="H4324" s="1">
        <v>-1.415106E-5</v>
      </c>
      <c r="I4324">
        <v>9.7915039999999998</v>
      </c>
      <c r="J4324">
        <v>-421.67070000000001</v>
      </c>
      <c r="K4324">
        <v>1.1053839999999999</v>
      </c>
      <c r="L4324">
        <v>59.301639999999999</v>
      </c>
      <c r="M4324">
        <v>-1.7248400000000001E-2</v>
      </c>
      <c r="N4324">
        <v>0</v>
      </c>
      <c r="O4324">
        <v>-0.9997414</v>
      </c>
      <c r="P4324">
        <v>5.2725059999999997E-2</v>
      </c>
      <c r="Q4324">
        <v>-3.2081340000000001E-3</v>
      </c>
      <c r="R4324">
        <v>-0.99860400000000005</v>
      </c>
      <c r="S4324">
        <v>0.2614746</v>
      </c>
      <c r="T4324">
        <v>-6.6431400000000002E-2</v>
      </c>
      <c r="U4324">
        <v>-2.990021</v>
      </c>
      <c r="V4324">
        <v>-6.9964899999999899E-2</v>
      </c>
      <c r="W4324">
        <v>1.14451E-2</v>
      </c>
      <c r="X4324">
        <v>0.99748379999999903</v>
      </c>
      <c r="Y4324">
        <v>-0.1042671</v>
      </c>
      <c r="Z4324">
        <v>2.210457E-2</v>
      </c>
      <c r="AA4324">
        <v>0.99430359999999995</v>
      </c>
      <c r="AB4324">
        <v>24</v>
      </c>
      <c r="AC4324">
        <v>4.3534000000000201</v>
      </c>
      <c r="AD4324">
        <v>-1.1053981510599999</v>
      </c>
      <c r="AE4324">
        <v>-49.510136000000003</v>
      </c>
      <c r="AF4324">
        <v>-5.2042423315749504</v>
      </c>
      <c r="AG4324">
        <v>-1.1053981510599999</v>
      </c>
      <c r="AH4324">
        <v>49.4032339223387</v>
      </c>
      <c r="AI4324">
        <v>91.274729156689503</v>
      </c>
      <c r="AJ4324">
        <v>96.013481608712993</v>
      </c>
      <c r="AK4324">
        <v>49.688887744680301</v>
      </c>
    </row>
    <row r="4325" spans="1:37" x14ac:dyDescent="0.2">
      <c r="A4325" t="str">
        <f>"20200111160256297"</f>
        <v>20200111160256297</v>
      </c>
      <c r="B4325" t="str">
        <f>"1578729776287113"</f>
        <v>1578729776287113</v>
      </c>
      <c r="C4325" t="s">
        <v>37</v>
      </c>
      <c r="D4325">
        <v>4.8693589999999896</v>
      </c>
      <c r="E4325">
        <v>0.48902570000000001</v>
      </c>
      <c r="F4325" t="s">
        <v>64</v>
      </c>
      <c r="G4325">
        <v>-419.5394</v>
      </c>
      <c r="H4325" s="1">
        <v>-3.6154070000000001E-6</v>
      </c>
      <c r="I4325">
        <v>33.937129999999897</v>
      </c>
      <c r="J4325">
        <v>-421.67340000000002</v>
      </c>
      <c r="K4325">
        <v>1.1055330000000001</v>
      </c>
      <c r="L4325">
        <v>59.052280000000003</v>
      </c>
      <c r="M4325">
        <v>-1.5869299999999999E-2</v>
      </c>
      <c r="N4325">
        <v>0</v>
      </c>
      <c r="O4325">
        <v>-0.99976430000000005</v>
      </c>
      <c r="P4325">
        <v>5.3398139999999997E-2</v>
      </c>
      <c r="Q4325">
        <v>-2.7887540000000001E-3</v>
      </c>
      <c r="R4325">
        <v>-0.9985697</v>
      </c>
      <c r="S4325">
        <v>0.2512817</v>
      </c>
      <c r="T4325">
        <v>-0.13032669999999999</v>
      </c>
      <c r="U4325">
        <v>-2.9905089999999999</v>
      </c>
      <c r="V4325">
        <v>-6.9266330000000001E-2</v>
      </c>
      <c r="W4325">
        <v>1.183942E-2</v>
      </c>
      <c r="X4325">
        <v>0.99752799999999997</v>
      </c>
      <c r="Y4325">
        <v>-9.9457379999999998E-2</v>
      </c>
      <c r="Z4325">
        <v>4.3346370000000002E-2</v>
      </c>
      <c r="AA4325">
        <v>0.99409720000000001</v>
      </c>
      <c r="AB4325">
        <v>24</v>
      </c>
      <c r="AC4325">
        <v>2.1340000000000101</v>
      </c>
      <c r="AD4325">
        <v>-1.1055366154070001</v>
      </c>
      <c r="AE4325">
        <v>-25.11515</v>
      </c>
      <c r="AF4325">
        <v>-2.52747257106732</v>
      </c>
      <c r="AG4325">
        <v>-1.1055366154070001</v>
      </c>
      <c r="AH4325">
        <v>25.029966263990001</v>
      </c>
      <c r="AI4325">
        <v>92.516246777440301</v>
      </c>
      <c r="AJ4325">
        <v>95.766060597106801</v>
      </c>
      <c r="AK4325">
        <v>25.181531724301099</v>
      </c>
    </row>
    <row r="4326" spans="1:37" x14ac:dyDescent="0.2">
      <c r="A4326" t="str">
        <f>"20200111160256320"</f>
        <v>20200111160256320</v>
      </c>
      <c r="B4326" t="str">
        <f>"1578729776317369"</f>
        <v>1578729776317369</v>
      </c>
      <c r="C4326" t="s">
        <v>37</v>
      </c>
      <c r="D4326">
        <v>4.8605929999999997</v>
      </c>
      <c r="E4326">
        <v>0.48910029999999999</v>
      </c>
      <c r="F4326" t="s">
        <v>64</v>
      </c>
      <c r="G4326">
        <v>-420.03039999999999</v>
      </c>
      <c r="H4326" s="1">
        <v>-1.2095710000000001E-7</v>
      </c>
      <c r="I4326">
        <v>39.439450000000001</v>
      </c>
      <c r="J4326">
        <v>-421.6755</v>
      </c>
      <c r="K4326">
        <v>1.1056619999999999</v>
      </c>
      <c r="L4326">
        <v>58.81268</v>
      </c>
      <c r="M4326">
        <v>-1.4337870000000001E-2</v>
      </c>
      <c r="N4326">
        <v>0</v>
      </c>
      <c r="O4326">
        <v>-0.99978769999999995</v>
      </c>
      <c r="P4326">
        <v>5.488606E-2</v>
      </c>
      <c r="Q4326">
        <v>-4.2951809999999899E-3</v>
      </c>
      <c r="R4326">
        <v>-0.99848379999999903</v>
      </c>
      <c r="S4326">
        <v>0.25051879999999999</v>
      </c>
      <c r="T4326">
        <v>-0.16856499999999999</v>
      </c>
      <c r="U4326">
        <v>-2.99044799999999</v>
      </c>
      <c r="V4326">
        <v>-6.9224690000000005E-2</v>
      </c>
      <c r="W4326">
        <v>1.030934E-2</v>
      </c>
      <c r="X4326">
        <v>0.99754779999999998</v>
      </c>
      <c r="Y4326">
        <v>-9.7630140000000004E-2</v>
      </c>
      <c r="Z4326">
        <v>5.603752E-2</v>
      </c>
      <c r="AA4326">
        <v>0.99364390000000002</v>
      </c>
      <c r="AB4326">
        <v>24</v>
      </c>
      <c r="AC4326">
        <v>1.64510000000001</v>
      </c>
      <c r="AD4326">
        <v>-1.1056621209571</v>
      </c>
      <c r="AE4326">
        <v>-19.37323</v>
      </c>
      <c r="AF4326">
        <v>-1.91653433766571</v>
      </c>
      <c r="AG4326">
        <v>-1.1056621209571</v>
      </c>
      <c r="AH4326">
        <v>19.2852825346876</v>
      </c>
      <c r="AI4326">
        <v>93.265235532677593</v>
      </c>
      <c r="AJ4326">
        <v>95.675310346120199</v>
      </c>
      <c r="AK4326">
        <v>19.411793194754001</v>
      </c>
    </row>
    <row r="4327" spans="1:37" x14ac:dyDescent="0.2">
      <c r="A4327" t="str">
        <f>"20200111160256341"</f>
        <v>20200111160256341</v>
      </c>
      <c r="B4327" t="str">
        <f>"1578729776336889"</f>
        <v>1578729776336889</v>
      </c>
      <c r="C4327" t="s">
        <v>37</v>
      </c>
      <c r="D4327">
        <v>4.8560179999999997</v>
      </c>
      <c r="E4327">
        <v>0.4889732</v>
      </c>
      <c r="F4327" t="s">
        <v>38</v>
      </c>
      <c r="G4327">
        <v>-420.32409999999999</v>
      </c>
      <c r="H4327" s="1">
        <v>-1.5263520000000001E-6</v>
      </c>
      <c r="I4327">
        <v>42.946059999999903</v>
      </c>
      <c r="J4327">
        <v>-421.676999999999</v>
      </c>
      <c r="K4327">
        <v>1.105785</v>
      </c>
      <c r="L4327">
        <v>58.581629999999997</v>
      </c>
      <c r="M4327">
        <v>-1.267136E-2</v>
      </c>
      <c r="N4327">
        <v>0</v>
      </c>
      <c r="O4327">
        <v>-0.99980999999999998</v>
      </c>
      <c r="P4327">
        <v>5.7096710000000002E-2</v>
      </c>
      <c r="Q4327">
        <v>-5.1834289999999998E-3</v>
      </c>
      <c r="R4327">
        <v>-0.9983554</v>
      </c>
      <c r="S4327">
        <v>0.2546387</v>
      </c>
      <c r="T4327">
        <v>-0.20833360000000001</v>
      </c>
      <c r="U4327">
        <v>-2.989655</v>
      </c>
      <c r="V4327">
        <v>-6.9770899999999997E-2</v>
      </c>
      <c r="W4327">
        <v>9.3971939999999993E-3</v>
      </c>
      <c r="X4327">
        <v>0.99751880000000004</v>
      </c>
      <c r="Y4327">
        <v>-9.7282590000000002E-2</v>
      </c>
      <c r="Z4327">
        <v>6.9218279999999993E-2</v>
      </c>
      <c r="AA4327">
        <v>0.99284689999999998</v>
      </c>
      <c r="AB4327">
        <v>24</v>
      </c>
      <c r="AC4327">
        <v>1.35289999999997</v>
      </c>
      <c r="AD4327">
        <v>-1.1057865263519999</v>
      </c>
      <c r="AE4327">
        <v>-15.63557</v>
      </c>
      <c r="AF4327">
        <v>-1.5432754381257301</v>
      </c>
      <c r="AG4327">
        <v>-1.1057865263519999</v>
      </c>
      <c r="AH4327">
        <v>15.5400209881713</v>
      </c>
      <c r="AI4327">
        <v>94.050297762891105</v>
      </c>
      <c r="AJ4327">
        <v>95.671433035445403</v>
      </c>
      <c r="AK4327">
        <v>15.6555649924424</v>
      </c>
    </row>
    <row r="4328" spans="1:37" x14ac:dyDescent="0.2">
      <c r="A4328" t="str">
        <f>"20200111160256364"</f>
        <v>20200111160256364</v>
      </c>
      <c r="B4328" t="str">
        <f>"1578729776357385"</f>
        <v>1578729776357385</v>
      </c>
      <c r="C4328" t="s">
        <v>37</v>
      </c>
      <c r="D4328">
        <v>4.9056230000000003</v>
      </c>
      <c r="E4328">
        <v>0.48906099999999902</v>
      </c>
      <c r="F4328" t="s">
        <v>38</v>
      </c>
      <c r="G4328">
        <v>-420.3879</v>
      </c>
      <c r="H4328" s="1">
        <v>-1.9503269999999999E-6</v>
      </c>
      <c r="I4328">
        <v>43.89479</v>
      </c>
      <c r="J4328">
        <v>-421.67790000000002</v>
      </c>
      <c r="K4328">
        <v>1.105896</v>
      </c>
      <c r="L4328">
        <v>58.336329999999997</v>
      </c>
      <c r="M4328">
        <v>-1.0715499999999999E-2</v>
      </c>
      <c r="N4328">
        <v>0</v>
      </c>
      <c r="O4328">
        <v>-0.99983299999999997</v>
      </c>
      <c r="P4328">
        <v>5.936839E-2</v>
      </c>
      <c r="Q4328">
        <v>-5.1546409999999997E-3</v>
      </c>
      <c r="R4328">
        <v>-0.99822289999999902</v>
      </c>
      <c r="S4328">
        <v>0.26232909999999998</v>
      </c>
      <c r="T4328">
        <v>-0.22502729999999899</v>
      </c>
      <c r="U4328">
        <v>-2.9887700000000001</v>
      </c>
      <c r="V4328">
        <v>-7.0092429999999997E-2</v>
      </c>
      <c r="W4328">
        <v>9.4024380000000008E-3</v>
      </c>
      <c r="X4328">
        <v>0.99749619999999894</v>
      </c>
      <c r="Y4328">
        <v>-9.7861379999999998E-2</v>
      </c>
      <c r="Z4328">
        <v>7.4748899999999993E-2</v>
      </c>
      <c r="AA4328">
        <v>0.99238890000000002</v>
      </c>
      <c r="AB4328">
        <v>24</v>
      </c>
      <c r="AC4328">
        <v>1.29000000000002</v>
      </c>
      <c r="AD4328">
        <v>-1.1058979503269999</v>
      </c>
      <c r="AE4328">
        <v>-14.44154</v>
      </c>
      <c r="AF4328">
        <v>-1.4363350315140699</v>
      </c>
      <c r="AG4328">
        <v>-1.1058979503269999</v>
      </c>
      <c r="AH4328">
        <v>14.343440300367099</v>
      </c>
      <c r="AI4328">
        <v>94.387002019125205</v>
      </c>
      <c r="AJ4328">
        <v>95.718467466193303</v>
      </c>
      <c r="AK4328">
        <v>14.457536036596601</v>
      </c>
    </row>
    <row r="4329" spans="1:37" x14ac:dyDescent="0.2">
      <c r="A4329" t="str">
        <f>"20200111160256385"</f>
        <v>20200111160256385</v>
      </c>
      <c r="B4329" t="str">
        <f>"1578729776376905"</f>
        <v>1578729776376905</v>
      </c>
      <c r="C4329" t="s">
        <v>37</v>
      </c>
      <c r="D4329">
        <v>5.0200389999999997</v>
      </c>
      <c r="E4329">
        <v>0.4888825</v>
      </c>
      <c r="F4329" t="s">
        <v>38</v>
      </c>
      <c r="G4329">
        <v>-420.41989999999998</v>
      </c>
      <c r="H4329" s="1">
        <v>-2.15266799999999E-6</v>
      </c>
      <c r="I4329">
        <v>44.346600000000002</v>
      </c>
      <c r="J4329">
        <v>-421.6782</v>
      </c>
      <c r="K4329">
        <v>1.106001</v>
      </c>
      <c r="L4329">
        <v>58.101140000000001</v>
      </c>
      <c r="M4329">
        <v>-8.6798729999999994E-3</v>
      </c>
      <c r="N4329">
        <v>0</v>
      </c>
      <c r="O4329">
        <v>-0.99985270000000004</v>
      </c>
      <c r="P4329">
        <v>6.1396449999999998E-2</v>
      </c>
      <c r="Q4329">
        <v>-5.7309730000000003E-3</v>
      </c>
      <c r="R4329">
        <v>-0.99809709999999996</v>
      </c>
      <c r="S4329">
        <v>0.26870729999999998</v>
      </c>
      <c r="T4329">
        <v>-0.2362137</v>
      </c>
      <c r="U4329">
        <v>-2.9881289999999998</v>
      </c>
      <c r="V4329">
        <v>-7.0088549999999999E-2</v>
      </c>
      <c r="W4329">
        <v>8.8064179999999999E-3</v>
      </c>
      <c r="X4329">
        <v>0.99750190000000005</v>
      </c>
      <c r="Y4329">
        <v>-9.7929959999999996E-2</v>
      </c>
      <c r="Z4329">
        <v>7.8453670000000003E-2</v>
      </c>
      <c r="AA4329">
        <v>0.99209609999999904</v>
      </c>
      <c r="AB4329">
        <v>24</v>
      </c>
      <c r="AC4329">
        <v>1.25830000000001</v>
      </c>
      <c r="AD4329">
        <v>-1.1060031526680001</v>
      </c>
      <c r="AE4329">
        <v>-13.754539999999899</v>
      </c>
      <c r="AF4329">
        <v>-1.3688759525799801</v>
      </c>
      <c r="AG4329">
        <v>-1.1060031526680001</v>
      </c>
      <c r="AH4329">
        <v>13.655537825994699</v>
      </c>
      <c r="AI4329">
        <v>94.607458926591704</v>
      </c>
      <c r="AJ4329">
        <v>95.724393923743705</v>
      </c>
      <c r="AK4329">
        <v>13.7684704184756</v>
      </c>
    </row>
    <row r="4330" spans="1:37" x14ac:dyDescent="0.2">
      <c r="A4330" t="str">
        <f>"20200111160256408"</f>
        <v>20200111160256408</v>
      </c>
      <c r="B4330" t="str">
        <f>"1578729776397402"</f>
        <v>1578729776397402</v>
      </c>
      <c r="C4330" t="s">
        <v>37</v>
      </c>
      <c r="D4330">
        <v>4.958704</v>
      </c>
      <c r="E4330">
        <v>0.48874040000000002</v>
      </c>
      <c r="F4330" t="s">
        <v>38</v>
      </c>
      <c r="G4330">
        <v>-420.4316</v>
      </c>
      <c r="H4330" s="1">
        <v>-2.2793770000000001E-6</v>
      </c>
      <c r="I4330">
        <v>44.634720000000002</v>
      </c>
      <c r="J4330">
        <v>-421.67779999999999</v>
      </c>
      <c r="K4330">
        <v>1.1060950000000001</v>
      </c>
      <c r="L4330">
        <v>57.864409999999999</v>
      </c>
      <c r="M4330">
        <v>-6.49030599999999E-3</v>
      </c>
      <c r="N4330">
        <v>0</v>
      </c>
      <c r="O4330">
        <v>-0.99986919999999901</v>
      </c>
      <c r="P4330">
        <v>6.3063259999999996E-2</v>
      </c>
      <c r="Q4330">
        <v>-7.4004680000000003E-3</v>
      </c>
      <c r="R4330">
        <v>-0.99798209999999998</v>
      </c>
      <c r="S4330">
        <v>0.27655029999999903</v>
      </c>
      <c r="T4330">
        <v>-0.24534890000000001</v>
      </c>
      <c r="U4330">
        <v>-2.9873050000000001</v>
      </c>
      <c r="V4330">
        <v>-6.9566260000000005E-2</v>
      </c>
      <c r="W4330">
        <v>7.1218050000000001E-3</v>
      </c>
      <c r="X4330">
        <v>0.99755190000000005</v>
      </c>
      <c r="Y4330">
        <v>-9.8335909999999999E-2</v>
      </c>
      <c r="Z4330">
        <v>8.1480910000000004E-2</v>
      </c>
      <c r="AA4330">
        <v>0.99181189999999997</v>
      </c>
      <c r="AB4330">
        <v>24</v>
      </c>
      <c r="AC4330">
        <v>1.24619999999998</v>
      </c>
      <c r="AD4330">
        <v>-1.1060972793770001</v>
      </c>
      <c r="AE4330">
        <v>-13.2296899999999</v>
      </c>
      <c r="AF4330">
        <v>-1.3228820742343199</v>
      </c>
      <c r="AG4330">
        <v>-1.1060972793770001</v>
      </c>
      <c r="AH4330">
        <v>13.130346163532</v>
      </c>
      <c r="AI4330">
        <v>94.791073484425993</v>
      </c>
      <c r="AJ4330">
        <v>95.753135038004103</v>
      </c>
      <c r="AK4330">
        <v>13.2430909740874</v>
      </c>
    </row>
    <row r="4331" spans="1:37" x14ac:dyDescent="0.2">
      <c r="A4331" t="str">
        <f>"20200111160257023"</f>
        <v>20200111160257023</v>
      </c>
      <c r="B4331" t="str">
        <f>"1578729777017295"</f>
        <v>1578729777017295</v>
      </c>
      <c r="C4331" t="s">
        <v>37</v>
      </c>
      <c r="D4331">
        <v>5.0869369999999998</v>
      </c>
      <c r="E4331">
        <v>0.41852230000000001</v>
      </c>
      <c r="F4331" t="s">
        <v>38</v>
      </c>
      <c r="G4331">
        <v>-420.46100000000001</v>
      </c>
      <c r="H4331" s="1">
        <v>-2.4599960000000001E-6</v>
      </c>
      <c r="I4331">
        <v>45.037520000000001</v>
      </c>
      <c r="J4331">
        <v>-421.47930000000002</v>
      </c>
      <c r="K4331">
        <v>1.1048290000000001</v>
      </c>
      <c r="L4331">
        <v>51.465789999999998</v>
      </c>
      <c r="M4331">
        <v>4.1523909999999997E-2</v>
      </c>
      <c r="N4331">
        <v>0</v>
      </c>
      <c r="O4331">
        <v>-0.99903059999999999</v>
      </c>
      <c r="P4331">
        <v>0.1386318</v>
      </c>
      <c r="Q4331">
        <v>-2.233448E-2</v>
      </c>
      <c r="R4331">
        <v>-0.99009230000000004</v>
      </c>
      <c r="S4331">
        <v>0.28329470000000001</v>
      </c>
      <c r="T4331">
        <v>-0.25751380000000001</v>
      </c>
      <c r="U4331">
        <v>-2.9862669999999998</v>
      </c>
      <c r="V4331">
        <v>-9.7389729999999994E-2</v>
      </c>
      <c r="W4331">
        <v>-7.8506410000000002E-3</v>
      </c>
      <c r="X4331">
        <v>0.99521539999999997</v>
      </c>
      <c r="Y4331">
        <v>-5.267115E-2</v>
      </c>
      <c r="Z4331">
        <v>8.5552929999999999E-2</v>
      </c>
      <c r="AA4331">
        <v>0.99494039999999995</v>
      </c>
      <c r="AB4331">
        <v>23</v>
      </c>
      <c r="AC4331">
        <v>1.01830000000001</v>
      </c>
      <c r="AD4331">
        <v>-1.1048314599960001</v>
      </c>
      <c r="AE4331">
        <v>-6.4282700000000004</v>
      </c>
      <c r="AF4331">
        <v>-0.72944607988918797</v>
      </c>
      <c r="AG4331">
        <v>-1.1048314599960001</v>
      </c>
      <c r="AH4331">
        <v>6.2839322618226401</v>
      </c>
      <c r="AI4331">
        <v>99.906551122140698</v>
      </c>
      <c r="AJ4331">
        <v>96.621325641849893</v>
      </c>
      <c r="AK4331">
        <v>6.4218804730108499</v>
      </c>
    </row>
    <row r="4332" spans="1:37" x14ac:dyDescent="0.2">
      <c r="A4332" t="str">
        <f>"20200111160257045"</f>
        <v>20200111160257045</v>
      </c>
      <c r="B4332" t="str">
        <f>"1578729777036815"</f>
        <v>1578729777036815</v>
      </c>
      <c r="C4332" t="s">
        <v>37</v>
      </c>
      <c r="D4332">
        <v>5.1325589999999996</v>
      </c>
      <c r="E4332">
        <v>0.41386649999999903</v>
      </c>
      <c r="F4332" t="s">
        <v>83</v>
      </c>
      <c r="G4332">
        <v>-402.79250000000002</v>
      </c>
      <c r="H4332">
        <v>0.26213339999999902</v>
      </c>
      <c r="I4332">
        <v>0.65238569999999996</v>
      </c>
      <c r="J4332">
        <v>-421.46949999999998</v>
      </c>
      <c r="K4332">
        <v>1.104787</v>
      </c>
      <c r="L4332">
        <v>51.243839999999999</v>
      </c>
      <c r="M4332">
        <v>4.2025310000000003E-2</v>
      </c>
      <c r="N4332">
        <v>0</v>
      </c>
      <c r="O4332">
        <v>-0.999009499999999</v>
      </c>
      <c r="P4332">
        <v>0.13933519999999999</v>
      </c>
      <c r="Q4332">
        <v>-2.2890779999999999E-2</v>
      </c>
      <c r="R4332">
        <v>-0.98998079999999999</v>
      </c>
      <c r="S4332">
        <v>1.0593569999999899</v>
      </c>
      <c r="T4332">
        <v>-4.7773959999999997E-2</v>
      </c>
      <c r="U4332">
        <v>-2.8806150000000001</v>
      </c>
      <c r="V4332">
        <v>-9.7598110000000002E-2</v>
      </c>
      <c r="W4332">
        <v>-8.4049139999999994E-3</v>
      </c>
      <c r="X4332">
        <v>0.99519040000000003</v>
      </c>
      <c r="Y4332">
        <v>-0.30535970000000001</v>
      </c>
      <c r="Z4332">
        <v>1.5652139999999998E-2</v>
      </c>
      <c r="AA4332">
        <v>0.95210839999999997</v>
      </c>
      <c r="AB4332">
        <v>23</v>
      </c>
      <c r="AC4332">
        <v>18.6769999999999</v>
      </c>
      <c r="AD4332">
        <v>-0.8426536</v>
      </c>
      <c r="AE4332">
        <v>-50.591454300000002</v>
      </c>
      <c r="AF4332">
        <v>-16.530111426634399</v>
      </c>
      <c r="AG4332">
        <v>-0.8426536</v>
      </c>
      <c r="AH4332">
        <v>51.319210663735497</v>
      </c>
      <c r="AI4332">
        <v>90.895407779951896</v>
      </c>
      <c r="AJ4332">
        <v>107.85394562121</v>
      </c>
      <c r="AK4332">
        <v>53.922314787251203</v>
      </c>
    </row>
    <row r="4333" spans="1:37" x14ac:dyDescent="0.2">
      <c r="A4333" t="str">
        <f>"20200111160257346"</f>
        <v>20200111160257346</v>
      </c>
      <c r="B4333" t="str">
        <f>"1578729777336956"</f>
        <v>1578729777336956</v>
      </c>
      <c r="C4333" t="s">
        <v>37</v>
      </c>
      <c r="D4333">
        <v>5.1414410000000004</v>
      </c>
      <c r="E4333">
        <v>0.4098909</v>
      </c>
      <c r="F4333" t="s">
        <v>64</v>
      </c>
      <c r="G4333">
        <v>-408.50400000000002</v>
      </c>
      <c r="H4333" s="1">
        <v>-3.8561390000000002E-6</v>
      </c>
      <c r="I4333">
        <v>17.31664</v>
      </c>
      <c r="J4333">
        <v>-421.3322</v>
      </c>
      <c r="K4333">
        <v>1.1046419999999999</v>
      </c>
      <c r="L4333">
        <v>48.252200000000002</v>
      </c>
      <c r="M4333">
        <v>4.6083020000000002E-2</v>
      </c>
      <c r="N4333">
        <v>0</v>
      </c>
      <c r="O4333">
        <v>-0.99883189999999999</v>
      </c>
      <c r="P4333">
        <v>0.155724799999999</v>
      </c>
      <c r="Q4333">
        <v>-2.0606309999999999E-2</v>
      </c>
      <c r="R4333">
        <v>-0.98758579999999996</v>
      </c>
      <c r="S4333">
        <v>1.0981749999999999</v>
      </c>
      <c r="T4333">
        <v>-9.3575599999999995E-2</v>
      </c>
      <c r="U4333">
        <v>-2.8736269999999999</v>
      </c>
      <c r="V4333">
        <v>-0.1100421</v>
      </c>
      <c r="W4333">
        <v>-6.1785009999999899E-3</v>
      </c>
      <c r="X4333">
        <v>0.99390769999999995</v>
      </c>
      <c r="Y4333">
        <v>-0.31337989999999999</v>
      </c>
      <c r="Z4333">
        <v>3.0597010000000001E-2</v>
      </c>
      <c r="AA4333">
        <v>0.94913479999999995</v>
      </c>
      <c r="AB4333">
        <v>22</v>
      </c>
      <c r="AC4333">
        <v>12.828199999999899</v>
      </c>
      <c r="AD4333">
        <v>-1.10464585613899</v>
      </c>
      <c r="AE4333">
        <v>-30.935559999999999</v>
      </c>
      <c r="AF4333">
        <v>-11.3764367342818</v>
      </c>
      <c r="AG4333">
        <v>-1.10464585613899</v>
      </c>
      <c r="AH4333">
        <v>31.459684789611501</v>
      </c>
      <c r="AI4333">
        <v>91.891240138999393</v>
      </c>
      <c r="AJ4333">
        <v>109.88098051470401</v>
      </c>
      <c r="AK4333">
        <v>33.471709282591398</v>
      </c>
    </row>
    <row r="4334" spans="1:37" x14ac:dyDescent="0.2">
      <c r="A4334" t="str">
        <f>"20200111160257369"</f>
        <v>20200111160257369</v>
      </c>
      <c r="B4334" t="str">
        <f>"1578729777357452"</f>
        <v>1578729777357452</v>
      </c>
      <c r="C4334" t="s">
        <v>37</v>
      </c>
      <c r="D4334">
        <v>5.5478449999999997</v>
      </c>
      <c r="E4334">
        <v>0.41725109999999899</v>
      </c>
      <c r="F4334" t="s">
        <v>64</v>
      </c>
      <c r="G4334">
        <v>-404.00630000000001</v>
      </c>
      <c r="H4334">
        <v>7.9986710000000003E-2</v>
      </c>
      <c r="I4334">
        <v>6.2972299999999999</v>
      </c>
      <c r="J4334">
        <v>-421.32199999999898</v>
      </c>
      <c r="K4334">
        <v>1.104595</v>
      </c>
      <c r="L4334">
        <v>48.03342</v>
      </c>
      <c r="M4334">
        <v>4.6209229999999997E-2</v>
      </c>
      <c r="N4334">
        <v>0</v>
      </c>
      <c r="O4334">
        <v>-0.99882610000000005</v>
      </c>
      <c r="P4334">
        <v>0.15663469999999999</v>
      </c>
      <c r="Q4334">
        <v>-1.98055E-2</v>
      </c>
      <c r="R4334">
        <v>-0.98745849999999902</v>
      </c>
      <c r="S4334">
        <v>1.177216</v>
      </c>
      <c r="T4334">
        <v>-6.9620609999999999E-2</v>
      </c>
      <c r="U4334">
        <v>-2.8506469999999999</v>
      </c>
      <c r="V4334">
        <v>-0.1108321</v>
      </c>
      <c r="W4334">
        <v>-5.3709350000000003E-3</v>
      </c>
      <c r="X4334">
        <v>0.99382459999999995</v>
      </c>
      <c r="Y4334">
        <v>-0.33847640000000001</v>
      </c>
      <c r="Z4334">
        <v>2.2725680000000002E-2</v>
      </c>
      <c r="AA4334">
        <v>0.94070039999999999</v>
      </c>
      <c r="AB4334">
        <v>22</v>
      </c>
      <c r="AC4334">
        <v>17.3156999999999</v>
      </c>
      <c r="AD4334">
        <v>-1.02460829</v>
      </c>
      <c r="AE4334">
        <v>-41.736190000000001</v>
      </c>
      <c r="AF4334">
        <v>-15.360500287415499</v>
      </c>
      <c r="AG4334">
        <v>-1.02460829</v>
      </c>
      <c r="AH4334">
        <v>42.469989723470803</v>
      </c>
      <c r="AI4334">
        <v>91.299656881360306</v>
      </c>
      <c r="AJ4334">
        <v>109.883989564967</v>
      </c>
      <c r="AK4334">
        <v>45.174050276008501</v>
      </c>
    </row>
    <row r="4335" spans="1:37" x14ac:dyDescent="0.2">
      <c r="A4335" t="str">
        <f>"20200111160257391"</f>
        <v>20200111160257391</v>
      </c>
      <c r="B4335" t="str">
        <f>"1578729777387709"</f>
        <v>1578729777387709</v>
      </c>
      <c r="C4335" t="s">
        <v>37</v>
      </c>
      <c r="D4335">
        <v>5.5052859999999999</v>
      </c>
      <c r="E4335">
        <v>0.42309209999999903</v>
      </c>
      <c r="F4335" t="s">
        <v>64</v>
      </c>
      <c r="G4335">
        <v>-406.1816</v>
      </c>
      <c r="H4335">
        <v>7.9986559999999998E-2</v>
      </c>
      <c r="I4335">
        <v>9.4393180000000001</v>
      </c>
      <c r="J4335">
        <v>-421.31169999999997</v>
      </c>
      <c r="K4335">
        <v>1.104544</v>
      </c>
      <c r="L4335">
        <v>47.81223</v>
      </c>
      <c r="M4335">
        <v>4.6264689999999997E-2</v>
      </c>
      <c r="N4335">
        <v>0</v>
      </c>
      <c r="O4335">
        <v>-0.99882359999999903</v>
      </c>
      <c r="P4335">
        <v>0.15693660000000001</v>
      </c>
      <c r="Q4335">
        <v>-1.834409E-2</v>
      </c>
      <c r="R4335">
        <v>-0.987438699999999</v>
      </c>
      <c r="S4335">
        <v>1.1214599999999999</v>
      </c>
      <c r="T4335">
        <v>-7.5893760000000005E-2</v>
      </c>
      <c r="U4335">
        <v>-2.8587039999999999</v>
      </c>
      <c r="V4335">
        <v>-0.111080199999999</v>
      </c>
      <c r="W4335">
        <v>-3.9003589999999999E-3</v>
      </c>
      <c r="X4335">
        <v>0.99380380000000001</v>
      </c>
      <c r="Y4335">
        <v>-0.32162289999999999</v>
      </c>
      <c r="Z4335">
        <v>2.4869479999999999E-2</v>
      </c>
      <c r="AA4335">
        <v>0.94654119999999997</v>
      </c>
      <c r="AB4335">
        <v>22</v>
      </c>
      <c r="AC4335">
        <v>15.130099999999899</v>
      </c>
      <c r="AD4335">
        <v>-1.0245574399999999</v>
      </c>
      <c r="AE4335">
        <v>-38.372911999999999</v>
      </c>
      <c r="AF4335">
        <v>-13.330172955021</v>
      </c>
      <c r="AG4335">
        <v>-1.0245574399999999</v>
      </c>
      <c r="AH4335">
        <v>39.007810702587001</v>
      </c>
      <c r="AI4335">
        <v>91.423751367112104</v>
      </c>
      <c r="AJ4335">
        <v>108.86688136168701</v>
      </c>
      <c r="AK4335">
        <v>41.235331025317301</v>
      </c>
    </row>
    <row r="4336" spans="1:37" x14ac:dyDescent="0.2">
      <c r="A4336" t="str">
        <f>"20200111160257414"</f>
        <v>20200111160257414</v>
      </c>
      <c r="B4336" t="str">
        <f>"1578729777407227"</f>
        <v>1578729777407227</v>
      </c>
      <c r="C4336" t="s">
        <v>37</v>
      </c>
      <c r="D4336">
        <v>5.6424919999999998</v>
      </c>
      <c r="E4336">
        <v>0.46206589999999997</v>
      </c>
      <c r="F4336" t="s">
        <v>64</v>
      </c>
      <c r="G4336">
        <v>-406.96359999999999</v>
      </c>
      <c r="H4336">
        <v>5.7041460000000002E-2</v>
      </c>
      <c r="I4336">
        <v>9.6091879999999996</v>
      </c>
      <c r="J4336">
        <v>-421.30149999999998</v>
      </c>
      <c r="K4336">
        <v>1.1045100000000001</v>
      </c>
      <c r="L4336">
        <v>47.590609999999998</v>
      </c>
      <c r="M4336">
        <v>4.6243619999999999E-2</v>
      </c>
      <c r="N4336">
        <v>0</v>
      </c>
      <c r="O4336">
        <v>-0.99882479999999996</v>
      </c>
      <c r="P4336">
        <v>0.15615950000000001</v>
      </c>
      <c r="Q4336">
        <v>-1.6990959999999999E-2</v>
      </c>
      <c r="R4336">
        <v>-0.98758619999999997</v>
      </c>
      <c r="S4336">
        <v>1.076263</v>
      </c>
      <c r="T4336">
        <v>-7.8573699999999996E-2</v>
      </c>
      <c r="U4336">
        <v>-2.865631</v>
      </c>
      <c r="V4336">
        <v>-0.11031820000000001</v>
      </c>
      <c r="W4336">
        <v>-2.5376359999999998E-3</v>
      </c>
      <c r="X4336">
        <v>0.99389309999999997</v>
      </c>
      <c r="Y4336">
        <v>-0.30780770000000002</v>
      </c>
      <c r="Z4336">
        <v>2.5819979999999999E-2</v>
      </c>
      <c r="AA4336">
        <v>0.9510982</v>
      </c>
      <c r="AB4336">
        <v>22</v>
      </c>
      <c r="AC4336">
        <v>14.3378999999999</v>
      </c>
      <c r="AD4336">
        <v>-1.0474685399999999</v>
      </c>
      <c r="AE4336">
        <v>-37.981421999999903</v>
      </c>
      <c r="AF4336">
        <v>-12.557614921645801</v>
      </c>
      <c r="AG4336">
        <v>-1.0474685399999999</v>
      </c>
      <c r="AH4336">
        <v>38.578205111410497</v>
      </c>
      <c r="AI4336">
        <v>91.478958474850202</v>
      </c>
      <c r="AJ4336">
        <v>108.03061829105</v>
      </c>
      <c r="AK4336">
        <v>40.584095314306197</v>
      </c>
    </row>
    <row r="4337" spans="1:37" x14ac:dyDescent="0.2">
      <c r="A4337" t="str">
        <f>"20200111160257435"</f>
        <v>20200111160257435</v>
      </c>
      <c r="B4337" t="str">
        <f>"1578729777427723"</f>
        <v>1578729777427723</v>
      </c>
      <c r="C4337" t="s">
        <v>37</v>
      </c>
      <c r="D4337">
        <v>5.4902730000000002</v>
      </c>
      <c r="E4337">
        <v>0.46280490000000002</v>
      </c>
      <c r="F4337" t="s">
        <v>64</v>
      </c>
      <c r="G4337">
        <v>-418.57459999999998</v>
      </c>
      <c r="H4337" s="1">
        <v>-1.877429E-6</v>
      </c>
      <c r="I4337">
        <v>37.239190000000001</v>
      </c>
      <c r="J4337">
        <v>-421.2919</v>
      </c>
      <c r="K4337">
        <v>1.104481</v>
      </c>
      <c r="L4337">
        <v>47.381959999999999</v>
      </c>
      <c r="M4337">
        <v>4.616249E-2</v>
      </c>
      <c r="N4337">
        <v>0</v>
      </c>
      <c r="O4337">
        <v>-0.99882850000000001</v>
      </c>
      <c r="P4337">
        <v>0.15412139999999999</v>
      </c>
      <c r="Q4337">
        <v>-1.512701E-2</v>
      </c>
      <c r="R4337">
        <v>-0.98793639999999905</v>
      </c>
      <c r="S4337">
        <v>0.76687620000000001</v>
      </c>
      <c r="T4337">
        <v>-0.31061889999999998</v>
      </c>
      <c r="U4337">
        <v>-2.9111020000000001</v>
      </c>
      <c r="V4337">
        <v>-0.10834679999999999</v>
      </c>
      <c r="W4337">
        <v>-6.6607479999999995E-4</v>
      </c>
      <c r="X4337">
        <v>0.99411289999999997</v>
      </c>
      <c r="Y4337">
        <v>-0.2084705</v>
      </c>
      <c r="Z4337">
        <v>0.10302839999999901</v>
      </c>
      <c r="AA4337">
        <v>0.97258690000000003</v>
      </c>
      <c r="AB4337">
        <v>22</v>
      </c>
      <c r="AC4337">
        <v>2.7173000000000198</v>
      </c>
      <c r="AD4337">
        <v>-1.1044828774290001</v>
      </c>
      <c r="AE4337">
        <v>-10.142770000000001</v>
      </c>
      <c r="AF4337">
        <v>-2.2215590032819099</v>
      </c>
      <c r="AG4337">
        <v>-1.1044828774290001</v>
      </c>
      <c r="AH4337">
        <v>10.1451620763793</v>
      </c>
      <c r="AI4337">
        <v>96.0704772120922</v>
      </c>
      <c r="AJ4337">
        <v>102.35150884414099</v>
      </c>
      <c r="AK4337">
        <v>10.4441141504486</v>
      </c>
    </row>
    <row r="4338" spans="1:37" x14ac:dyDescent="0.2">
      <c r="A4338" t="str">
        <f>"20200111160257457"</f>
        <v>20200111160257457</v>
      </c>
      <c r="B4338" t="str">
        <f>"1578729777447243"</f>
        <v>1578729777447243</v>
      </c>
      <c r="C4338" t="s">
        <v>37</v>
      </c>
      <c r="D4338">
        <v>5.512677</v>
      </c>
      <c r="E4338">
        <v>0.46298210000000001</v>
      </c>
      <c r="F4338" t="s">
        <v>64</v>
      </c>
      <c r="G4338">
        <v>-418.69970000000001</v>
      </c>
      <c r="H4338" s="1">
        <v>-1.7509389999999899E-6</v>
      </c>
      <c r="I4338">
        <v>37.385820000000002</v>
      </c>
      <c r="J4338">
        <v>-421.28199999999998</v>
      </c>
      <c r="K4338">
        <v>1.104463</v>
      </c>
      <c r="L4338">
        <v>47.165649999999999</v>
      </c>
      <c r="M4338">
        <v>4.6027220000000001E-2</v>
      </c>
      <c r="N4338">
        <v>0</v>
      </c>
      <c r="O4338">
        <v>-0.99883489999999997</v>
      </c>
      <c r="P4338">
        <v>0.15136289999999999</v>
      </c>
      <c r="Q4338">
        <v>-1.2931399999999999E-2</v>
      </c>
      <c r="R4338">
        <v>-0.98839429999999995</v>
      </c>
      <c r="S4338">
        <v>0.75561519999999904</v>
      </c>
      <c r="T4338">
        <v>-0.32195059999999998</v>
      </c>
      <c r="U4338">
        <v>-2.913818</v>
      </c>
      <c r="V4338">
        <v>-0.1057041</v>
      </c>
      <c r="W4338">
        <v>1.534763E-3</v>
      </c>
      <c r="X4338">
        <v>0.99439639999999996</v>
      </c>
      <c r="Y4338">
        <v>-0.20476129999999901</v>
      </c>
      <c r="Z4338">
        <v>0.1067428</v>
      </c>
      <c r="AA4338">
        <v>0.97297420000000001</v>
      </c>
      <c r="AB4338">
        <v>22</v>
      </c>
      <c r="AC4338">
        <v>2.5822999999999698</v>
      </c>
      <c r="AD4338">
        <v>-1.104464750939</v>
      </c>
      <c r="AE4338">
        <v>-9.7798299999999898</v>
      </c>
      <c r="AF4338">
        <v>-2.10428831720772</v>
      </c>
      <c r="AG4338">
        <v>-1.104464750939</v>
      </c>
      <c r="AH4338">
        <v>9.7718259165560806</v>
      </c>
      <c r="AI4338">
        <v>96.305180864398906</v>
      </c>
      <c r="AJ4338">
        <v>102.15262942938099</v>
      </c>
      <c r="AK4338">
        <v>10.056662142653501</v>
      </c>
    </row>
    <row r="4339" spans="1:37" x14ac:dyDescent="0.2">
      <c r="A4339" t="str">
        <f>"20200111160257480"</f>
        <v>20200111160257480</v>
      </c>
      <c r="B4339" t="str">
        <f>"1578729777477499"</f>
        <v>1578729777477499</v>
      </c>
      <c r="C4339" t="s">
        <v>37</v>
      </c>
      <c r="D4339">
        <v>5.5208620000000002</v>
      </c>
      <c r="E4339">
        <v>0.46281109999999998</v>
      </c>
      <c r="F4339" t="s">
        <v>64</v>
      </c>
      <c r="G4339">
        <v>-418.72300000000001</v>
      </c>
      <c r="H4339" s="1">
        <v>-1.8843089999999999E-6</v>
      </c>
      <c r="I4339">
        <v>37.166220000000003</v>
      </c>
      <c r="J4339">
        <v>-421.27199999999999</v>
      </c>
      <c r="K4339">
        <v>1.1044590000000001</v>
      </c>
      <c r="L4339">
        <v>46.944699999999997</v>
      </c>
      <c r="M4339">
        <v>4.585359E-2</v>
      </c>
      <c r="N4339">
        <v>0</v>
      </c>
      <c r="O4339">
        <v>-0.99884280000000003</v>
      </c>
      <c r="P4339">
        <v>0.14757419999999999</v>
      </c>
      <c r="Q4339">
        <v>-1.1558189999999999E-2</v>
      </c>
      <c r="R4339">
        <v>-0.98898349999999902</v>
      </c>
      <c r="S4339">
        <v>0.74642940000000002</v>
      </c>
      <c r="T4339">
        <v>-0.3221598</v>
      </c>
      <c r="U4339">
        <v>-2.9167179999999999</v>
      </c>
      <c r="V4339">
        <v>-0.1020648</v>
      </c>
      <c r="W4339">
        <v>2.9104349999999998E-3</v>
      </c>
      <c r="X4339">
        <v>0.99477349999999998</v>
      </c>
      <c r="Y4339">
        <v>-0.20182049999999899</v>
      </c>
      <c r="Z4339">
        <v>0.1067847</v>
      </c>
      <c r="AA4339">
        <v>0.9735838</v>
      </c>
      <c r="AB4339">
        <v>22</v>
      </c>
      <c r="AC4339">
        <v>2.5489999999999702</v>
      </c>
      <c r="AD4339">
        <v>-1.104460884309</v>
      </c>
      <c r="AE4339">
        <v>-9.7784799999999894</v>
      </c>
      <c r="AF4339">
        <v>-2.0731280300113601</v>
      </c>
      <c r="AG4339">
        <v>-1.104460884309</v>
      </c>
      <c r="AH4339">
        <v>9.7683966636792601</v>
      </c>
      <c r="AI4339">
        <v>96.3113393141617</v>
      </c>
      <c r="AJ4339">
        <v>101.98199153136299</v>
      </c>
      <c r="AK4339">
        <v>10.046853589695001</v>
      </c>
    </row>
    <row r="4340" spans="1:37" x14ac:dyDescent="0.2">
      <c r="A4340" t="str">
        <f>"20200111160257502"</f>
        <v>20200111160257502</v>
      </c>
      <c r="B4340" t="str">
        <f>"1578729777497019"</f>
        <v>1578729777497019</v>
      </c>
      <c r="C4340" t="s">
        <v>37</v>
      </c>
      <c r="D4340">
        <v>5.534859</v>
      </c>
      <c r="E4340">
        <v>0.46244370000000001</v>
      </c>
      <c r="F4340" t="s">
        <v>64</v>
      </c>
      <c r="G4340">
        <v>-418.7527</v>
      </c>
      <c r="H4340" s="1">
        <v>-2.0057370000000001E-6</v>
      </c>
      <c r="I4340">
        <v>36.96275</v>
      </c>
      <c r="J4340">
        <v>-421.26220000000001</v>
      </c>
      <c r="K4340">
        <v>1.104449</v>
      </c>
      <c r="L4340">
        <v>46.728149999999999</v>
      </c>
      <c r="M4340">
        <v>4.5667979999999997E-2</v>
      </c>
      <c r="N4340">
        <v>0</v>
      </c>
      <c r="O4340">
        <v>-0.99885170000000001</v>
      </c>
      <c r="P4340">
        <v>0.14436199999999999</v>
      </c>
      <c r="Q4340">
        <v>-1.168509E-2</v>
      </c>
      <c r="R4340">
        <v>-0.98945649999999996</v>
      </c>
      <c r="S4340">
        <v>0.73687740000000002</v>
      </c>
      <c r="T4340">
        <v>-0.32305</v>
      </c>
      <c r="U4340">
        <v>-2.91967799999999</v>
      </c>
      <c r="V4340">
        <v>-9.9019060000000006E-2</v>
      </c>
      <c r="W4340">
        <v>2.78312E-3</v>
      </c>
      <c r="X4340">
        <v>0.99508169999999996</v>
      </c>
      <c r="Y4340">
        <v>-0.19876529999999901</v>
      </c>
      <c r="Z4340">
        <v>0.10704949999999901</v>
      </c>
      <c r="AA4340">
        <v>0.97418309999999997</v>
      </c>
      <c r="AB4340">
        <v>22</v>
      </c>
      <c r="AC4340">
        <v>2.5095000000000001</v>
      </c>
      <c r="AD4340">
        <v>-1.1044510057370001</v>
      </c>
      <c r="AE4340">
        <v>-9.7653999999999996</v>
      </c>
      <c r="AF4340">
        <v>-2.0364334722536399</v>
      </c>
      <c r="AG4340">
        <v>-1.1044510057370001</v>
      </c>
      <c r="AH4340">
        <v>9.7528026258051295</v>
      </c>
      <c r="AI4340">
        <v>96.325621090826601</v>
      </c>
      <c r="AJ4340">
        <v>101.794184150728</v>
      </c>
      <c r="AK4340">
        <v>10.0241724031912</v>
      </c>
    </row>
    <row r="4341" spans="1:37" x14ac:dyDescent="0.2">
      <c r="A4341" t="str">
        <f>"20200111160257525"</f>
        <v>20200111160257525</v>
      </c>
      <c r="B4341" t="str">
        <f>"1578729777517515"</f>
        <v>1578729777517515</v>
      </c>
      <c r="C4341" t="s">
        <v>37</v>
      </c>
      <c r="D4341">
        <v>5.5812049999999997</v>
      </c>
      <c r="E4341">
        <v>0.46197510000000003</v>
      </c>
      <c r="F4341" t="s">
        <v>64</v>
      </c>
      <c r="G4341">
        <v>-418.80509999999998</v>
      </c>
      <c r="H4341" s="1">
        <v>-2.031472E-6</v>
      </c>
      <c r="I4341">
        <v>36.90034</v>
      </c>
      <c r="J4341">
        <v>-421.25259999999997</v>
      </c>
      <c r="K4341">
        <v>1.1044419999999999</v>
      </c>
      <c r="L4341">
        <v>46.512630000000001</v>
      </c>
      <c r="M4341">
        <v>4.548394E-2</v>
      </c>
      <c r="N4341">
        <v>0</v>
      </c>
      <c r="O4341">
        <v>-0.99886019999999898</v>
      </c>
      <c r="P4341">
        <v>0.142666299999999</v>
      </c>
      <c r="Q4341">
        <v>-1.2450299999999999E-2</v>
      </c>
      <c r="R4341">
        <v>-0.98969319999999905</v>
      </c>
      <c r="S4341">
        <v>0.73043819999999904</v>
      </c>
      <c r="T4341">
        <v>-0.32832280000000003</v>
      </c>
      <c r="U4341">
        <v>-2.9215390000000001</v>
      </c>
      <c r="V4341">
        <v>-9.7497890000000004E-2</v>
      </c>
      <c r="W4341">
        <v>2.0135069999999999E-3</v>
      </c>
      <c r="X4341">
        <v>0.9952337</v>
      </c>
      <c r="Y4341">
        <v>-0.1967332</v>
      </c>
      <c r="Z4341">
        <v>0.1087617</v>
      </c>
      <c r="AA4341">
        <v>0.97440590000000005</v>
      </c>
      <c r="AB4341">
        <v>22</v>
      </c>
      <c r="AC4341">
        <v>2.44749999999999</v>
      </c>
      <c r="AD4341">
        <v>-1.1044440314720001</v>
      </c>
      <c r="AE4341">
        <v>-9.6122899999999998</v>
      </c>
      <c r="AF4341">
        <v>-1.9831289691537799</v>
      </c>
      <c r="AG4341">
        <v>-1.1044440314720001</v>
      </c>
      <c r="AH4341">
        <v>9.5947179332554793</v>
      </c>
      <c r="AI4341">
        <v>96.431623705396802</v>
      </c>
      <c r="AJ4341">
        <v>101.678001177875</v>
      </c>
      <c r="AK4341">
        <v>9.8595745012493001</v>
      </c>
    </row>
    <row r="4342" spans="1:37" x14ac:dyDescent="0.2">
      <c r="A4342" t="str">
        <f>"20200111160257547"</f>
        <v>20200111160257547</v>
      </c>
      <c r="B4342" t="str">
        <f>"1578729777537036"</f>
        <v>1578729777537036</v>
      </c>
      <c r="C4342" t="s">
        <v>37</v>
      </c>
      <c r="D4342">
        <v>5.5176550000000004</v>
      </c>
      <c r="E4342">
        <v>0.46161029999999997</v>
      </c>
      <c r="F4342" t="s">
        <v>64</v>
      </c>
      <c r="G4342">
        <v>-418.8424</v>
      </c>
      <c r="H4342" s="1">
        <v>-2.0597610000000001E-6</v>
      </c>
      <c r="I4342">
        <v>36.840209999999999</v>
      </c>
      <c r="J4342">
        <v>-421.24310000000003</v>
      </c>
      <c r="K4342">
        <v>1.1044510000000001</v>
      </c>
      <c r="L4342">
        <v>46.299770000000002</v>
      </c>
      <c r="M4342">
        <v>4.531694E-2</v>
      </c>
      <c r="N4342">
        <v>0</v>
      </c>
      <c r="O4342">
        <v>-0.99886759999999997</v>
      </c>
      <c r="P4342">
        <v>0.14253060000000001</v>
      </c>
      <c r="Q4342">
        <v>-1.354265E-2</v>
      </c>
      <c r="R4342">
        <v>-0.98969799999999997</v>
      </c>
      <c r="S4342">
        <v>0.72811890000000001</v>
      </c>
      <c r="T4342">
        <v>-0.33365840000000002</v>
      </c>
      <c r="U4342">
        <v>-2.9220890000000002</v>
      </c>
      <c r="V4342">
        <v>-9.7528870000000004E-2</v>
      </c>
      <c r="W4342">
        <v>9.1296819999999996E-4</v>
      </c>
      <c r="X4342">
        <v>0.99523229999999996</v>
      </c>
      <c r="Y4342">
        <v>-0.19607929999999901</v>
      </c>
      <c r="Z4342">
        <v>0.11050639999999901</v>
      </c>
      <c r="AA4342">
        <v>0.97434149999999997</v>
      </c>
      <c r="AB4342">
        <v>22</v>
      </c>
      <c r="AC4342">
        <v>2.40070000000002</v>
      </c>
      <c r="AD4342">
        <v>-1.1044530597610001</v>
      </c>
      <c r="AE4342">
        <v>-9.4595599999999997</v>
      </c>
      <c r="AF4342">
        <v>-1.9446054214277999</v>
      </c>
      <c r="AG4342">
        <v>-1.1044530597610001</v>
      </c>
      <c r="AH4342">
        <v>9.4377746926105903</v>
      </c>
      <c r="AI4342">
        <v>96.538538577339295</v>
      </c>
      <c r="AJ4342">
        <v>101.642568717109</v>
      </c>
      <c r="AK4342">
        <v>9.6991184112136093</v>
      </c>
    </row>
    <row r="4343" spans="1:37" x14ac:dyDescent="0.2">
      <c r="A4343" t="str">
        <f>"20200111160257571"</f>
        <v>20200111160257571</v>
      </c>
      <c r="B4343" t="str">
        <f>"1578729777567292"</f>
        <v>1578729777567292</v>
      </c>
      <c r="C4343" t="s">
        <v>37</v>
      </c>
      <c r="D4343">
        <v>5.5244269999999904</v>
      </c>
      <c r="E4343">
        <v>0.46096120000000002</v>
      </c>
      <c r="F4343" t="s">
        <v>64</v>
      </c>
      <c r="G4343">
        <v>-418.87090000000001</v>
      </c>
      <c r="H4343" s="1">
        <v>-2.070327E-6</v>
      </c>
      <c r="I4343">
        <v>36.811669999999999</v>
      </c>
      <c r="J4343">
        <v>-421.23329999999999</v>
      </c>
      <c r="K4343">
        <v>1.104468</v>
      </c>
      <c r="L4343">
        <v>46.079189999999997</v>
      </c>
      <c r="M4343">
        <v>4.517351E-2</v>
      </c>
      <c r="N4343">
        <v>0</v>
      </c>
      <c r="O4343">
        <v>-0.99887420000000005</v>
      </c>
      <c r="P4343">
        <v>0.143650799999999</v>
      </c>
      <c r="Q4343">
        <v>-1.430288E-2</v>
      </c>
      <c r="R4343">
        <v>-0.9895254</v>
      </c>
      <c r="S4343">
        <v>0.73040769999999899</v>
      </c>
      <c r="T4343">
        <v>-0.34006110000000001</v>
      </c>
      <c r="U4343">
        <v>-2.92138699999999</v>
      </c>
      <c r="V4343">
        <v>-9.8798780000000003E-2</v>
      </c>
      <c r="W4343">
        <v>1.4192259999999999E-4</v>
      </c>
      <c r="X4343">
        <v>0.99510739999999998</v>
      </c>
      <c r="Y4343">
        <v>-0.19693640000000001</v>
      </c>
      <c r="Z4343">
        <v>0.1126066</v>
      </c>
      <c r="AA4343">
        <v>0.97392800000000002</v>
      </c>
      <c r="AB4343">
        <v>22</v>
      </c>
      <c r="AC4343">
        <v>2.3623999999999801</v>
      </c>
      <c r="AD4343">
        <v>-1.1044700703270001</v>
      </c>
      <c r="AE4343">
        <v>-9.2675199999999993</v>
      </c>
      <c r="AF4343">
        <v>-1.9157483143343299</v>
      </c>
      <c r="AG4343">
        <v>-1.1044700703270001</v>
      </c>
      <c r="AH4343">
        <v>9.2415373555554492</v>
      </c>
      <c r="AI4343">
        <v>96.674598691876398</v>
      </c>
      <c r="AJ4343">
        <v>101.71140136721</v>
      </c>
      <c r="AK4343">
        <v>9.5024185570963908</v>
      </c>
    </row>
    <row r="4344" spans="1:37" x14ac:dyDescent="0.2">
      <c r="A4344" t="str">
        <f>"20200111160257592"</f>
        <v>20200111160257592</v>
      </c>
      <c r="B4344" t="str">
        <f>"1578729777586810"</f>
        <v>1578729777586810</v>
      </c>
      <c r="C4344" t="s">
        <v>37</v>
      </c>
      <c r="D4344">
        <v>5.562907</v>
      </c>
      <c r="E4344">
        <v>0.46040340000000002</v>
      </c>
      <c r="F4344" t="s">
        <v>64</v>
      </c>
      <c r="G4344">
        <v>-418.88139999999999</v>
      </c>
      <c r="H4344" s="1">
        <v>-2.086867E-6</v>
      </c>
      <c r="I4344">
        <v>36.781230000000001</v>
      </c>
      <c r="J4344">
        <v>-421.22370000000001</v>
      </c>
      <c r="K4344">
        <v>1.1044929999999999</v>
      </c>
      <c r="L4344">
        <v>45.864899999999999</v>
      </c>
      <c r="M4344">
        <v>4.5072950000000001E-2</v>
      </c>
      <c r="N4344">
        <v>0</v>
      </c>
      <c r="O4344">
        <v>-0.99887870000000001</v>
      </c>
      <c r="P4344">
        <v>0.1453219</v>
      </c>
      <c r="Q4344">
        <v>-1.42842E-2</v>
      </c>
      <c r="R4344">
        <v>-0.98928150000000004</v>
      </c>
      <c r="S4344">
        <v>0.73846440000000002</v>
      </c>
      <c r="T4344">
        <v>-0.34679929999999998</v>
      </c>
      <c r="U4344">
        <v>-2.9195250000000001</v>
      </c>
      <c r="V4344">
        <v>-0.1005799</v>
      </c>
      <c r="W4344">
        <v>1.4669100000000001E-4</v>
      </c>
      <c r="X4344">
        <v>0.99492899999999995</v>
      </c>
      <c r="Y4344">
        <v>-0.1996464</v>
      </c>
      <c r="Z4344">
        <v>0.1148096</v>
      </c>
      <c r="AA4344">
        <v>0.9731187</v>
      </c>
      <c r="AB4344">
        <v>22</v>
      </c>
      <c r="AC4344">
        <v>2.3423000000000198</v>
      </c>
      <c r="AD4344">
        <v>-1.104495086867</v>
      </c>
      <c r="AE4344">
        <v>-9.0836699999999908</v>
      </c>
      <c r="AF4344">
        <v>-1.90405295438612</v>
      </c>
      <c r="AG4344">
        <v>-1.104495086867</v>
      </c>
      <c r="AH4344">
        <v>9.0545019441021992</v>
      </c>
      <c r="AI4344">
        <v>96.807308087728302</v>
      </c>
      <c r="AJ4344">
        <v>101.875581511975</v>
      </c>
      <c r="AK4344">
        <v>9.3182258239307796</v>
      </c>
    </row>
    <row r="4345" spans="1:37" x14ac:dyDescent="0.2">
      <c r="A4345" t="str">
        <f>"20200111160257615"</f>
        <v>20200111160257615</v>
      </c>
      <c r="B4345" t="str">
        <f>"1578729777607307"</f>
        <v>1578729777607307</v>
      </c>
      <c r="C4345" t="s">
        <v>37</v>
      </c>
      <c r="D4345">
        <v>5.4760650000000002</v>
      </c>
      <c r="E4345">
        <v>0.459895</v>
      </c>
      <c r="F4345" t="s">
        <v>64</v>
      </c>
      <c r="G4345">
        <v>-418.85680000000002</v>
      </c>
      <c r="H4345" s="1">
        <v>-2.188757E-6</v>
      </c>
      <c r="I4345">
        <v>36.631239999999998</v>
      </c>
      <c r="J4345">
        <v>-421.21409999999997</v>
      </c>
      <c r="K4345">
        <v>1.104519</v>
      </c>
      <c r="L4345">
        <v>45.648769999999999</v>
      </c>
      <c r="M4345">
        <v>4.5005690000000001E-2</v>
      </c>
      <c r="N4345">
        <v>0</v>
      </c>
      <c r="O4345">
        <v>-0.99888180000000004</v>
      </c>
      <c r="P4345">
        <v>0.1475281</v>
      </c>
      <c r="Q4345">
        <v>-1.40888E-2</v>
      </c>
      <c r="R4345">
        <v>-0.98895750000000004</v>
      </c>
      <c r="S4345">
        <v>0.74786379999999997</v>
      </c>
      <c r="T4345">
        <v>-0.34899249999999998</v>
      </c>
      <c r="U4345">
        <v>-2.91760299999999</v>
      </c>
      <c r="V4345">
        <v>-0.1028649</v>
      </c>
      <c r="W4345">
        <v>3.2598179999999998E-4</v>
      </c>
      <c r="X4345">
        <v>0.99469529999999995</v>
      </c>
      <c r="Y4345">
        <v>-0.20278750000000001</v>
      </c>
      <c r="Z4345">
        <v>0.11551689999999901</v>
      </c>
      <c r="AA4345">
        <v>0.97238519999999995</v>
      </c>
      <c r="AB4345">
        <v>21</v>
      </c>
      <c r="AC4345">
        <v>2.3572999999999502</v>
      </c>
      <c r="AD4345">
        <v>-1.1045211887569999</v>
      </c>
      <c r="AE4345">
        <v>-9.0175299999999901</v>
      </c>
      <c r="AF4345">
        <v>-1.92203675022721</v>
      </c>
      <c r="AG4345">
        <v>-1.1045211887569999</v>
      </c>
      <c r="AH4345">
        <v>8.9882702466211093</v>
      </c>
      <c r="AI4345">
        <v>96.852261814141698</v>
      </c>
      <c r="AJ4345">
        <v>102.07024727341501</v>
      </c>
      <c r="AK4345">
        <v>9.2576019763182398</v>
      </c>
    </row>
    <row r="4346" spans="1:37" x14ac:dyDescent="0.2">
      <c r="A4346" t="str">
        <f>"20200111160257636"</f>
        <v>20200111160257636</v>
      </c>
      <c r="B4346" t="str">
        <f>"1578729777626827"</f>
        <v>1578729777626827</v>
      </c>
      <c r="C4346" t="s">
        <v>37</v>
      </c>
      <c r="D4346">
        <v>5.5552409999999997</v>
      </c>
      <c r="E4346">
        <v>0.4595148</v>
      </c>
      <c r="F4346" t="s">
        <v>64</v>
      </c>
      <c r="G4346">
        <v>-418.80430000000001</v>
      </c>
      <c r="H4346" s="1">
        <v>-2.3534740000000001E-6</v>
      </c>
      <c r="I4346">
        <v>36.394079999999903</v>
      </c>
      <c r="J4346">
        <v>-421.20479999999998</v>
      </c>
      <c r="K4346">
        <v>1.104535</v>
      </c>
      <c r="L4346">
        <v>45.443049999999999</v>
      </c>
      <c r="M4346">
        <v>4.4971520000000001E-2</v>
      </c>
      <c r="N4346">
        <v>0</v>
      </c>
      <c r="O4346">
        <v>-0.99888369999999904</v>
      </c>
      <c r="P4346">
        <v>0.1488128</v>
      </c>
      <c r="Q4346">
        <v>-1.4711810000000001E-2</v>
      </c>
      <c r="R4346">
        <v>-0.98875619999999997</v>
      </c>
      <c r="S4346">
        <v>0.75909419999999905</v>
      </c>
      <c r="T4346">
        <v>-0.34793469999999999</v>
      </c>
      <c r="U4346">
        <v>-2.915314</v>
      </c>
      <c r="V4346">
        <v>-0.10419149999999899</v>
      </c>
      <c r="W4346">
        <v>-3.1006769999999999E-4</v>
      </c>
      <c r="X4346">
        <v>0.99455720000000003</v>
      </c>
      <c r="Y4346">
        <v>-0.20652499999999999</v>
      </c>
      <c r="Z4346">
        <v>0.1151587</v>
      </c>
      <c r="AA4346">
        <v>0.97164079999999997</v>
      </c>
      <c r="AB4346">
        <v>21</v>
      </c>
      <c r="AC4346">
        <v>2.4004999999999601</v>
      </c>
      <c r="AD4346">
        <v>-1.1045373534739999</v>
      </c>
      <c r="AE4346">
        <v>-9.0489700000000006</v>
      </c>
      <c r="AF4346">
        <v>-1.9637477561088601</v>
      </c>
      <c r="AG4346">
        <v>-1.1045373534739999</v>
      </c>
      <c r="AH4346">
        <v>9.0221928660706805</v>
      </c>
      <c r="AI4346">
        <v>96.821518344564794</v>
      </c>
      <c r="AJ4346">
        <v>102.279335410502</v>
      </c>
      <c r="AK4346">
        <v>9.2992619130455001</v>
      </c>
    </row>
    <row r="4347" spans="1:37" x14ac:dyDescent="0.2">
      <c r="A4347" t="str">
        <f>"20200111160257660"</f>
        <v>20200111160257660</v>
      </c>
      <c r="B4347" t="str">
        <f>"1578729777657083"</f>
        <v>1578729777657083</v>
      </c>
      <c r="C4347" t="s">
        <v>37</v>
      </c>
      <c r="D4347">
        <v>5.5484970000000002</v>
      </c>
      <c r="E4347">
        <v>0.4589318</v>
      </c>
      <c r="F4347" t="s">
        <v>64</v>
      </c>
      <c r="G4347">
        <v>-418.79059999999998</v>
      </c>
      <c r="H4347" s="1">
        <v>-2.4404529999999999E-6</v>
      </c>
      <c r="I4347">
        <v>36.262990000000002</v>
      </c>
      <c r="J4347">
        <v>-421.19490000000002</v>
      </c>
      <c r="K4347">
        <v>1.104554</v>
      </c>
      <c r="L4347">
        <v>45.222349999999999</v>
      </c>
      <c r="M4347">
        <v>4.4966150000000003E-2</v>
      </c>
      <c r="N4347">
        <v>0</v>
      </c>
      <c r="O4347">
        <v>-0.99888390000000005</v>
      </c>
      <c r="P4347">
        <v>0.1498092</v>
      </c>
      <c r="Q4347">
        <v>-1.6113760000000001E-2</v>
      </c>
      <c r="R4347">
        <v>-0.98858389999999996</v>
      </c>
      <c r="S4347">
        <v>0.76623540000000001</v>
      </c>
      <c r="T4347">
        <v>-0.3505587</v>
      </c>
      <c r="U4347">
        <v>-2.9135740000000001</v>
      </c>
      <c r="V4347">
        <v>-0.1052005</v>
      </c>
      <c r="W4347">
        <v>-1.724459E-3</v>
      </c>
      <c r="X4347">
        <v>0.99444959999999905</v>
      </c>
      <c r="Y4347">
        <v>-0.20887459999999999</v>
      </c>
      <c r="Z4347">
        <v>0.1160173</v>
      </c>
      <c r="AA4347">
        <v>0.97103629999999996</v>
      </c>
      <c r="AB4347">
        <v>21</v>
      </c>
      <c r="AC4347">
        <v>2.4043000000000299</v>
      </c>
      <c r="AD4347">
        <v>-1.1045564404529999</v>
      </c>
      <c r="AE4347">
        <v>-8.9593599999999896</v>
      </c>
      <c r="AF4347">
        <v>-1.9710121411702799</v>
      </c>
      <c r="AG4347">
        <v>-1.1045564404529999</v>
      </c>
      <c r="AH4347">
        <v>8.9317826642358504</v>
      </c>
      <c r="AI4347">
        <v>96.885722040086605</v>
      </c>
      <c r="AJ4347">
        <v>102.44424746931</v>
      </c>
      <c r="AK4347">
        <v>9.2131251674950594</v>
      </c>
    </row>
    <row r="4348" spans="1:37" x14ac:dyDescent="0.2">
      <c r="A4348" t="str">
        <f>"20200111160257682"</f>
        <v>20200111160257682</v>
      </c>
      <c r="B4348" t="str">
        <f>"1578729777677579"</f>
        <v>1578729777677579</v>
      </c>
      <c r="C4348" t="s">
        <v>37</v>
      </c>
      <c r="D4348">
        <v>5.6116169999999999</v>
      </c>
      <c r="E4348">
        <v>0.45857100000000001</v>
      </c>
      <c r="F4348" t="s">
        <v>64</v>
      </c>
      <c r="G4348">
        <v>-418.79169999999999</v>
      </c>
      <c r="H4348" s="1">
        <v>-2.490457E-6</v>
      </c>
      <c r="I4348">
        <v>36.183859999999903</v>
      </c>
      <c r="J4348">
        <v>-421.18540000000002</v>
      </c>
      <c r="K4348">
        <v>1.1045579999999999</v>
      </c>
      <c r="L4348">
        <v>45.012239999999998</v>
      </c>
      <c r="M4348">
        <v>4.4996609999999999E-2</v>
      </c>
      <c r="N4348">
        <v>0</v>
      </c>
      <c r="O4348">
        <v>-0.99888250000000001</v>
      </c>
      <c r="P4348">
        <v>0.14972099999999999</v>
      </c>
      <c r="Q4348">
        <v>-1.668704E-2</v>
      </c>
      <c r="R4348">
        <v>-0.98858769999999996</v>
      </c>
      <c r="S4348">
        <v>0.77413940000000003</v>
      </c>
      <c r="T4348">
        <v>-0.35580600000000001</v>
      </c>
      <c r="U4348">
        <v>-2.91153</v>
      </c>
      <c r="V4348">
        <v>-0.1050818</v>
      </c>
      <c r="W4348">
        <v>-2.3076310000000001E-3</v>
      </c>
      <c r="X4348">
        <v>0.99446089999999998</v>
      </c>
      <c r="Y4348">
        <v>-0.21142359999999999</v>
      </c>
      <c r="Z4348">
        <v>0.1177357</v>
      </c>
      <c r="AA4348">
        <v>0.97027750000000001</v>
      </c>
      <c r="AB4348">
        <v>21</v>
      </c>
      <c r="AC4348">
        <v>2.3937000000000199</v>
      </c>
      <c r="AD4348">
        <v>-1.1045604904569899</v>
      </c>
      <c r="AE4348">
        <v>-8.8283800000000099</v>
      </c>
      <c r="AF4348">
        <v>-1.9653284378831799</v>
      </c>
      <c r="AG4348">
        <v>-1.1045604904569899</v>
      </c>
      <c r="AH4348">
        <v>8.7988534405710404</v>
      </c>
      <c r="AI4348">
        <v>96.984818385530204</v>
      </c>
      <c r="AJ4348">
        <v>102.591017372084</v>
      </c>
      <c r="AK4348">
        <v>9.0830827153824707</v>
      </c>
    </row>
    <row r="4349" spans="1:37" x14ac:dyDescent="0.2">
      <c r="A4349" t="str">
        <f>"20200111160257704"</f>
        <v>20200111160257704</v>
      </c>
      <c r="B4349" t="str">
        <f>"1578729777697099"</f>
        <v>1578729777697099</v>
      </c>
      <c r="C4349" t="s">
        <v>37</v>
      </c>
      <c r="D4349">
        <v>5.4934190000000003</v>
      </c>
      <c r="E4349">
        <v>0.45831189999999999</v>
      </c>
      <c r="F4349" t="s">
        <v>64</v>
      </c>
      <c r="G4349">
        <v>-418.791</v>
      </c>
      <c r="H4349" s="1">
        <v>-2.5840249999999998E-6</v>
      </c>
      <c r="I4349">
        <v>36.036940000000001</v>
      </c>
      <c r="J4349">
        <v>-421.17570000000001</v>
      </c>
      <c r="K4349">
        <v>1.1045750000000001</v>
      </c>
      <c r="L4349">
        <v>44.799160000000001</v>
      </c>
      <c r="M4349">
        <v>4.5077020000000002E-2</v>
      </c>
      <c r="N4349">
        <v>0</v>
      </c>
      <c r="O4349">
        <v>-0.99887909999999902</v>
      </c>
      <c r="P4349">
        <v>0.1489444</v>
      </c>
      <c r="Q4349">
        <v>-1.792825E-2</v>
      </c>
      <c r="R4349">
        <v>-0.98868339999999999</v>
      </c>
      <c r="S4349">
        <v>0.77658079999999996</v>
      </c>
      <c r="T4349">
        <v>-0.35824479999999997</v>
      </c>
      <c r="U4349">
        <v>-2.9109799999999999</v>
      </c>
      <c r="V4349">
        <v>-0.1042212</v>
      </c>
      <c r="W4349">
        <v>-3.5596640000000001E-3</v>
      </c>
      <c r="X4349">
        <v>0.99454779999999998</v>
      </c>
      <c r="Y4349">
        <v>-0.21212590000000001</v>
      </c>
      <c r="Z4349">
        <v>0.11853030000000001</v>
      </c>
      <c r="AA4349">
        <v>0.97002739999999998</v>
      </c>
      <c r="AB4349">
        <v>21</v>
      </c>
      <c r="AC4349">
        <v>2.3847</v>
      </c>
      <c r="AD4349">
        <v>-1.1045775840250001</v>
      </c>
      <c r="AE4349">
        <v>-8.7622199999999992</v>
      </c>
      <c r="AF4349">
        <v>-1.9582855554009899</v>
      </c>
      <c r="AG4349">
        <v>-1.1045775840250001</v>
      </c>
      <c r="AH4349">
        <v>8.7316284131025306</v>
      </c>
      <c r="AI4349">
        <v>97.036809349392897</v>
      </c>
      <c r="AJ4349">
        <v>102.64083697872</v>
      </c>
      <c r="AK4349">
        <v>9.0164465672526504</v>
      </c>
    </row>
    <row r="4350" spans="1:37" x14ac:dyDescent="0.2">
      <c r="A4350" t="str">
        <f>"20200111160257726"</f>
        <v>20200111160257726</v>
      </c>
      <c r="B4350" t="str">
        <f>"1578729777717596"</f>
        <v>1578729777717596</v>
      </c>
      <c r="C4350" t="s">
        <v>37</v>
      </c>
      <c r="D4350">
        <v>5.5357919999999998</v>
      </c>
      <c r="E4350">
        <v>0.45795010000000003</v>
      </c>
      <c r="F4350" t="s">
        <v>64</v>
      </c>
      <c r="G4350">
        <v>-418.80369999999999</v>
      </c>
      <c r="H4350" s="1">
        <v>-2.6634339999999999E-6</v>
      </c>
      <c r="I4350">
        <v>35.906700000000001</v>
      </c>
      <c r="J4350">
        <v>-421.16640000000001</v>
      </c>
      <c r="K4350">
        <v>1.104609</v>
      </c>
      <c r="L4350">
        <v>44.595859999999902</v>
      </c>
      <c r="M4350">
        <v>4.5217170000000001E-2</v>
      </c>
      <c r="N4350">
        <v>0</v>
      </c>
      <c r="O4350">
        <v>-0.9988726</v>
      </c>
      <c r="P4350">
        <v>0.1464732</v>
      </c>
      <c r="Q4350">
        <v>-1.912082E-2</v>
      </c>
      <c r="R4350">
        <v>-0.98902999999999996</v>
      </c>
      <c r="S4350">
        <v>0.77645869999999995</v>
      </c>
      <c r="T4350">
        <v>-0.36156859999999902</v>
      </c>
      <c r="U4350">
        <v>-2.910828</v>
      </c>
      <c r="V4350">
        <v>-0.1015963</v>
      </c>
      <c r="W4350">
        <v>-4.7630609999999999E-3</v>
      </c>
      <c r="X4350">
        <v>0.99481430000000004</v>
      </c>
      <c r="Y4350">
        <v>-0.211929799999999</v>
      </c>
      <c r="Z4350">
        <v>0.11962200000000001</v>
      </c>
      <c r="AA4350">
        <v>0.96993629999999997</v>
      </c>
      <c r="AB4350">
        <v>21</v>
      </c>
      <c r="AC4350">
        <v>2.36270000000001</v>
      </c>
      <c r="AD4350">
        <v>-1.104611663434</v>
      </c>
      <c r="AE4350">
        <v>-8.6891599999999904</v>
      </c>
      <c r="AF4350">
        <v>-1.9381765135589899</v>
      </c>
      <c r="AG4350">
        <v>-1.104611663434</v>
      </c>
      <c r="AH4350">
        <v>8.6568464195688701</v>
      </c>
      <c r="AI4350">
        <v>97.097774026476003</v>
      </c>
      <c r="AJ4350">
        <v>102.619804879097</v>
      </c>
      <c r="AK4350">
        <v>8.9396691804959101</v>
      </c>
    </row>
    <row r="4351" spans="1:37" x14ac:dyDescent="0.2">
      <c r="A4351" t="str">
        <f>"20200111160257748"</f>
        <v>20200111160257748</v>
      </c>
      <c r="B4351" t="str">
        <f>"1578729777737115"</f>
        <v>1578729777737115</v>
      </c>
      <c r="C4351" t="s">
        <v>37</v>
      </c>
      <c r="D4351">
        <v>5.6104719999999997</v>
      </c>
      <c r="E4351">
        <v>0.45765459999999902</v>
      </c>
      <c r="F4351" t="s">
        <v>64</v>
      </c>
      <c r="G4351">
        <v>-418.82420000000002</v>
      </c>
      <c r="H4351" s="1">
        <v>-2.7495379999999999E-6</v>
      </c>
      <c r="I4351">
        <v>35.762659999999997</v>
      </c>
      <c r="J4351">
        <v>-421.15660000000003</v>
      </c>
      <c r="K4351">
        <v>1.1046719999999901</v>
      </c>
      <c r="L4351">
        <v>44.383179999999903</v>
      </c>
      <c r="M4351">
        <v>4.5444619999999998E-2</v>
      </c>
      <c r="N4351">
        <v>0</v>
      </c>
      <c r="O4351">
        <v>-0.99886260000000004</v>
      </c>
      <c r="P4351">
        <v>0.14433850000000001</v>
      </c>
      <c r="Q4351">
        <v>-2.0268830000000002E-2</v>
      </c>
      <c r="R4351">
        <v>-0.98932109999999995</v>
      </c>
      <c r="S4351">
        <v>0.77212519999999996</v>
      </c>
      <c r="T4351">
        <v>-0.36413909999999899</v>
      </c>
      <c r="U4351">
        <v>-2.911896</v>
      </c>
      <c r="V4351">
        <v>-9.9223610000000004E-2</v>
      </c>
      <c r="W4351">
        <v>-5.9270619999999899E-3</v>
      </c>
      <c r="X4351">
        <v>0.99504749999999997</v>
      </c>
      <c r="Y4351">
        <v>-0.210244299999999</v>
      </c>
      <c r="Z4351">
        <v>0.1204605</v>
      </c>
      <c r="AA4351">
        <v>0.97019929999999999</v>
      </c>
      <c r="AB4351">
        <v>21</v>
      </c>
      <c r="AC4351">
        <v>2.3323999999999998</v>
      </c>
      <c r="AD4351">
        <v>-1.1046747495379901</v>
      </c>
      <c r="AE4351">
        <v>-8.6205199999999902</v>
      </c>
      <c r="AF4351">
        <v>-1.9089834151034499</v>
      </c>
      <c r="AG4351">
        <v>-1.1046747495379901</v>
      </c>
      <c r="AH4351">
        <v>8.5862400896370694</v>
      </c>
      <c r="AI4351">
        <v>97.158288923176599</v>
      </c>
      <c r="AJ4351">
        <v>102.534721794189</v>
      </c>
      <c r="AK4351">
        <v>8.8649897269143896</v>
      </c>
    </row>
    <row r="4352" spans="1:37" x14ac:dyDescent="0.2">
      <c r="A4352" t="str">
        <f>"20200111160257773"</f>
        <v>20200111160257773</v>
      </c>
      <c r="B4352" t="str">
        <f>"1578729777767372"</f>
        <v>1578729777767372</v>
      </c>
      <c r="C4352" t="s">
        <v>37</v>
      </c>
      <c r="D4352">
        <v>6.2978620000000003</v>
      </c>
      <c r="E4352">
        <v>0.4575456</v>
      </c>
      <c r="F4352" t="s">
        <v>64</v>
      </c>
      <c r="G4352">
        <v>-418.85410000000002</v>
      </c>
      <c r="H4352" s="1">
        <v>-2.8156330000000001E-6</v>
      </c>
      <c r="I4352">
        <v>35.646149999999999</v>
      </c>
      <c r="J4352">
        <v>-421.14620000000002</v>
      </c>
      <c r="K4352">
        <v>1.1047480000000001</v>
      </c>
      <c r="L4352">
        <v>44.162140000000001</v>
      </c>
      <c r="M4352">
        <v>4.580443E-2</v>
      </c>
      <c r="N4352">
        <v>0</v>
      </c>
      <c r="O4352">
        <v>-0.99884589999999995</v>
      </c>
      <c r="P4352">
        <v>0.14243610000000001</v>
      </c>
      <c r="Q4352">
        <v>-2.0813559999999998E-2</v>
      </c>
      <c r="R4352">
        <v>-0.98958519999999905</v>
      </c>
      <c r="S4352">
        <v>0.76763919999999997</v>
      </c>
      <c r="T4352">
        <v>-0.368288</v>
      </c>
      <c r="U4352">
        <v>-2.9128419999999999</v>
      </c>
      <c r="V4352">
        <v>-9.6951220000000005E-2</v>
      </c>
      <c r="W4352">
        <v>-6.4923019999999897E-3</v>
      </c>
      <c r="X4352">
        <v>0.99526800000000004</v>
      </c>
      <c r="Y4352">
        <v>-0.208374899999999</v>
      </c>
      <c r="Z4352">
        <v>0.12181939999999999</v>
      </c>
      <c r="AA4352">
        <v>0.97043289999999904</v>
      </c>
      <c r="AB4352">
        <v>21</v>
      </c>
      <c r="AC4352">
        <v>2.2921</v>
      </c>
      <c r="AD4352">
        <v>-1.1047508156329999</v>
      </c>
      <c r="AE4352">
        <v>-8.5159900000000004</v>
      </c>
      <c r="AF4352">
        <v>-1.8702348482811</v>
      </c>
      <c r="AG4352">
        <v>-1.1047508156329999</v>
      </c>
      <c r="AH4352">
        <v>8.4789950934514895</v>
      </c>
      <c r="AI4352">
        <v>97.251027677927894</v>
      </c>
      <c r="AJ4352">
        <v>102.43871325801599</v>
      </c>
      <c r="AK4352">
        <v>8.7528058671000704</v>
      </c>
    </row>
    <row r="4353" spans="1:37" x14ac:dyDescent="0.2">
      <c r="A4353" t="str">
        <f>"20200111160257793"</f>
        <v>20200111160257793</v>
      </c>
      <c r="B4353" t="str">
        <f>"1578729777786891"</f>
        <v>1578729777786891</v>
      </c>
      <c r="C4353" t="s">
        <v>37</v>
      </c>
      <c r="D4353">
        <v>5.464334</v>
      </c>
      <c r="E4353">
        <v>0.4573527</v>
      </c>
      <c r="F4353" t="s">
        <v>64</v>
      </c>
      <c r="G4353">
        <v>-418.87459999999999</v>
      </c>
      <c r="H4353" s="1">
        <v>-2.9193810000000001E-6</v>
      </c>
      <c r="I4353">
        <v>35.474359999999997</v>
      </c>
      <c r="J4353">
        <v>-421.13619999999997</v>
      </c>
      <c r="K4353">
        <v>1.1048309999999999</v>
      </c>
      <c r="L4353">
        <v>43.956389999999999</v>
      </c>
      <c r="M4353">
        <v>4.6263249999999999E-2</v>
      </c>
      <c r="N4353">
        <v>0</v>
      </c>
      <c r="O4353">
        <v>-0.99882499999999996</v>
      </c>
      <c r="P4353">
        <v>0.14086770000000001</v>
      </c>
      <c r="Q4353">
        <v>-2.0359160000000001E-2</v>
      </c>
      <c r="R4353">
        <v>-0.98981929999999996</v>
      </c>
      <c r="S4353">
        <v>0.7619629</v>
      </c>
      <c r="T4353">
        <v>-0.37056420000000001</v>
      </c>
      <c r="U4353">
        <v>-2.9141240000000002</v>
      </c>
      <c r="V4353">
        <v>-9.4915330000000006E-2</v>
      </c>
      <c r="W4353">
        <v>-6.0583069999999998E-3</v>
      </c>
      <c r="X4353">
        <v>0.99546689999999904</v>
      </c>
      <c r="Y4353">
        <v>-0.2060283</v>
      </c>
      <c r="Z4353">
        <v>0.1225658</v>
      </c>
      <c r="AA4353">
        <v>0.97083989999999998</v>
      </c>
      <c r="AB4353">
        <v>21</v>
      </c>
      <c r="AC4353">
        <v>2.2615999999999801</v>
      </c>
      <c r="AD4353">
        <v>-1.104833919381</v>
      </c>
      <c r="AE4353">
        <v>-8.48203</v>
      </c>
      <c r="AF4353">
        <v>-1.83762208736334</v>
      </c>
      <c r="AG4353">
        <v>-1.104833919381</v>
      </c>
      <c r="AH4353">
        <v>8.4438322138279798</v>
      </c>
      <c r="AI4353">
        <v>97.285876298023894</v>
      </c>
      <c r="AJ4353">
        <v>102.277773106439</v>
      </c>
      <c r="AK4353">
        <v>8.7118204401066208</v>
      </c>
    </row>
    <row r="4354" spans="1:37" x14ac:dyDescent="0.2">
      <c r="A4354" t="str">
        <f>"20200111160257838"</f>
        <v>20200111160257838</v>
      </c>
      <c r="B4354" t="str">
        <f>"1578729777826908"</f>
        <v>1578729777826908</v>
      </c>
      <c r="C4354" t="s">
        <v>37</v>
      </c>
      <c r="D4354">
        <v>5.4677429999999996</v>
      </c>
      <c r="E4354">
        <v>0.45692339999999998</v>
      </c>
      <c r="F4354" t="s">
        <v>64</v>
      </c>
      <c r="G4354">
        <v>-418.86869999999999</v>
      </c>
      <c r="H4354" s="1">
        <v>-3.0658290000000001E-6</v>
      </c>
      <c r="I4354">
        <v>35.246409999999997</v>
      </c>
      <c r="J4354">
        <v>-421.1155</v>
      </c>
      <c r="K4354">
        <v>1.1050149999999901</v>
      </c>
      <c r="L4354">
        <v>43.5426</v>
      </c>
      <c r="M4354">
        <v>4.7548989999999999E-2</v>
      </c>
      <c r="N4354">
        <v>0</v>
      </c>
      <c r="O4354">
        <v>-0.99876480000000001</v>
      </c>
      <c r="P4354">
        <v>0.1394388</v>
      </c>
      <c r="Q4354">
        <v>-1.3373929999999999E-2</v>
      </c>
      <c r="R4354">
        <v>-0.99014080000000004</v>
      </c>
      <c r="S4354">
        <v>0.75894169999999905</v>
      </c>
      <c r="T4354">
        <v>-0.36978709999999998</v>
      </c>
      <c r="U4354">
        <v>-2.915222</v>
      </c>
      <c r="V4354">
        <v>-9.2196760000000003E-2</v>
      </c>
      <c r="W4354">
        <v>8.8960329999999998E-4</v>
      </c>
      <c r="X4354">
        <v>0.99574039999999997</v>
      </c>
      <c r="Y4354">
        <v>-0.20374500000000001</v>
      </c>
      <c r="Z4354">
        <v>0.1223027</v>
      </c>
      <c r="AA4354">
        <v>0.97135469999999902</v>
      </c>
      <c r="AB4354">
        <v>21</v>
      </c>
      <c r="AC4354">
        <v>2.2467999999999999</v>
      </c>
      <c r="AD4354">
        <v>-1.1050180658290001</v>
      </c>
      <c r="AE4354">
        <v>-8.2961899999999993</v>
      </c>
      <c r="AF4354">
        <v>-1.81966473119206</v>
      </c>
      <c r="AG4354">
        <v>-1.1050180658290001</v>
      </c>
      <c r="AH4354">
        <v>8.2571671969711105</v>
      </c>
      <c r="AI4354">
        <v>97.445757412048394</v>
      </c>
      <c r="AJ4354">
        <v>102.427854739499</v>
      </c>
      <c r="AK4354">
        <v>8.5271950123407194</v>
      </c>
    </row>
    <row r="4355" spans="1:37" x14ac:dyDescent="0.2">
      <c r="A4355" t="str">
        <f>"20200111160257863"</f>
        <v>20200111160257863</v>
      </c>
      <c r="B4355" t="str">
        <f>"1578729777857163"</f>
        <v>1578729777857163</v>
      </c>
      <c r="C4355" t="s">
        <v>37</v>
      </c>
      <c r="D4355">
        <v>5.418056</v>
      </c>
      <c r="E4355">
        <v>0.45668350000000002</v>
      </c>
      <c r="F4355" t="s">
        <v>64</v>
      </c>
      <c r="G4355">
        <v>-418.71210000000002</v>
      </c>
      <c r="H4355" s="1">
        <v>-3.6160249999999998E-6</v>
      </c>
      <c r="I4355">
        <v>34.295909999999999</v>
      </c>
      <c r="J4355">
        <v>-421.10379999999998</v>
      </c>
      <c r="K4355">
        <v>1.1051040000000001</v>
      </c>
      <c r="L4355">
        <v>43.31955</v>
      </c>
      <c r="M4355">
        <v>4.8461810000000001E-2</v>
      </c>
      <c r="N4355">
        <v>0</v>
      </c>
      <c r="O4355">
        <v>-0.99872090000000002</v>
      </c>
      <c r="P4355">
        <v>0.1397099</v>
      </c>
      <c r="Q4355">
        <v>-1.0622909999999999E-2</v>
      </c>
      <c r="R4355">
        <v>-0.9901356</v>
      </c>
      <c r="S4355">
        <v>0.75854489999999997</v>
      </c>
      <c r="T4355">
        <v>-0.34875349999999999</v>
      </c>
      <c r="U4355">
        <v>-2.9183349999999999</v>
      </c>
      <c r="V4355">
        <v>-9.1562299999999999E-2</v>
      </c>
      <c r="W4355">
        <v>3.6209189999999998E-3</v>
      </c>
      <c r="X4355">
        <v>0.99579269999999998</v>
      </c>
      <c r="Y4355">
        <v>-0.20268369999999999</v>
      </c>
      <c r="Z4355">
        <v>0.1153333</v>
      </c>
      <c r="AA4355">
        <v>0.97242870000000003</v>
      </c>
      <c r="AB4355">
        <v>21</v>
      </c>
      <c r="AC4355">
        <v>2.39169999999995</v>
      </c>
      <c r="AD4355">
        <v>-1.105107616025</v>
      </c>
      <c r="AE4355">
        <v>-9.0236400000000003</v>
      </c>
      <c r="AF4355">
        <v>-1.9245710202038699</v>
      </c>
      <c r="AG4355">
        <v>-1.105107616025</v>
      </c>
      <c r="AH4355">
        <v>9.0027889952436499</v>
      </c>
      <c r="AI4355">
        <v>96.845001686651202</v>
      </c>
      <c r="AJ4355">
        <v>102.066775841161</v>
      </c>
      <c r="AK4355">
        <v>9.2722945459948107</v>
      </c>
    </row>
    <row r="4356" spans="1:37" x14ac:dyDescent="0.2">
      <c r="A4356" t="str">
        <f>"20200111160257883"</f>
        <v>20200111160257883</v>
      </c>
      <c r="B4356" t="str">
        <f>"1578729777877659"</f>
        <v>1578729777877659</v>
      </c>
      <c r="C4356" t="s">
        <v>37</v>
      </c>
      <c r="D4356">
        <v>5.4253419999999997</v>
      </c>
      <c r="E4356">
        <v>0.45655240000000002</v>
      </c>
      <c r="F4356" t="s">
        <v>64</v>
      </c>
      <c r="G4356">
        <v>-418.6259</v>
      </c>
      <c r="H4356" s="1">
        <v>-3.8757930000000002E-6</v>
      </c>
      <c r="I4356">
        <v>33.823590000000003</v>
      </c>
      <c r="J4356">
        <v>-421.09350000000001</v>
      </c>
      <c r="K4356">
        <v>1.1051799999999901</v>
      </c>
      <c r="L4356">
        <v>43.127229999999997</v>
      </c>
      <c r="M4356">
        <v>4.9380800000000002E-2</v>
      </c>
      <c r="N4356">
        <v>0</v>
      </c>
      <c r="O4356">
        <v>-0.99867619999999901</v>
      </c>
      <c r="P4356">
        <v>0.14035539999999999</v>
      </c>
      <c r="Q4356">
        <v>-9.3280780000000001E-3</v>
      </c>
      <c r="R4356">
        <v>-0.99005759999999898</v>
      </c>
      <c r="S4356">
        <v>0.76162719999999995</v>
      </c>
      <c r="T4356">
        <v>-0.33967570000000002</v>
      </c>
      <c r="U4356">
        <v>-2.9187620000000001</v>
      </c>
      <c r="V4356">
        <v>-9.1296840000000004E-2</v>
      </c>
      <c r="W4356">
        <v>4.8969240000000004E-3</v>
      </c>
      <c r="X4356">
        <v>0.99581169999999997</v>
      </c>
      <c r="Y4356">
        <v>-0.2027967</v>
      </c>
      <c r="Z4356">
        <v>0.1123313</v>
      </c>
      <c r="AA4356">
        <v>0.97275650000000002</v>
      </c>
      <c r="AB4356">
        <v>21</v>
      </c>
      <c r="AC4356">
        <v>2.4676</v>
      </c>
      <c r="AD4356">
        <v>-1.1051838757929999</v>
      </c>
      <c r="AE4356">
        <v>-9.3036399999999908</v>
      </c>
      <c r="AF4356">
        <v>-1.9790291146307399</v>
      </c>
      <c r="AG4356">
        <v>-1.1051838757929999</v>
      </c>
      <c r="AH4356">
        <v>9.2916533340120697</v>
      </c>
      <c r="AI4356">
        <v>96.635634393841201</v>
      </c>
      <c r="AJ4356">
        <v>102.02375781640001</v>
      </c>
      <c r="AK4356">
        <v>9.5641418493938293</v>
      </c>
    </row>
    <row r="4357" spans="1:37" x14ac:dyDescent="0.2">
      <c r="A4357" t="str">
        <f>"20200111160257904"</f>
        <v>20200111160257904</v>
      </c>
      <c r="B4357" t="str">
        <f>"1578729777897179"</f>
        <v>1578729777897179</v>
      </c>
      <c r="C4357" t="s">
        <v>37</v>
      </c>
      <c r="D4357">
        <v>5.4000029999999999</v>
      </c>
      <c r="E4357">
        <v>0.4472757</v>
      </c>
      <c r="F4357" t="s">
        <v>64</v>
      </c>
      <c r="G4357">
        <v>-418.57709999999997</v>
      </c>
      <c r="H4357" s="1">
        <v>-4.0402249999999999E-6</v>
      </c>
      <c r="I4357">
        <v>33.522129999999997</v>
      </c>
      <c r="J4357">
        <v>-421.08199999999999</v>
      </c>
      <c r="K4357">
        <v>1.105278</v>
      </c>
      <c r="L4357">
        <v>42.92062</v>
      </c>
      <c r="M4357">
        <v>5.0526630000000003E-2</v>
      </c>
      <c r="N4357">
        <v>0</v>
      </c>
      <c r="O4357">
        <v>-0.99861849999999996</v>
      </c>
      <c r="P4357">
        <v>0.14102190000000001</v>
      </c>
      <c r="Q4357">
        <v>-7.2115249999999999E-3</v>
      </c>
      <c r="R4357">
        <v>-0.98998019999999998</v>
      </c>
      <c r="S4357">
        <v>0.76461789999999996</v>
      </c>
      <c r="T4357">
        <v>-0.33581820000000001</v>
      </c>
      <c r="U4357">
        <v>-2.9185789999999998</v>
      </c>
      <c r="V4357">
        <v>-9.082846E-2</v>
      </c>
      <c r="W4357">
        <v>6.9916319999999898E-3</v>
      </c>
      <c r="X4357">
        <v>0.995842</v>
      </c>
      <c r="Y4357">
        <v>-0.2026577</v>
      </c>
      <c r="Z4357">
        <v>0.1110565</v>
      </c>
      <c r="AA4357">
        <v>0.97293180000000001</v>
      </c>
      <c r="AB4357">
        <v>21</v>
      </c>
      <c r="AC4357">
        <v>2.5049000000000201</v>
      </c>
      <c r="AD4357">
        <v>-1.1052820402249901</v>
      </c>
      <c r="AE4357">
        <v>-9.3984900000000007</v>
      </c>
      <c r="AF4357">
        <v>-2.0009383007321699</v>
      </c>
      <c r="AG4357">
        <v>-1.1052820402249901</v>
      </c>
      <c r="AH4357">
        <v>9.3917842274561796</v>
      </c>
      <c r="AI4357">
        <v>96.566005099105595</v>
      </c>
      <c r="AJ4357">
        <v>102.02715605854399</v>
      </c>
      <c r="AK4357">
        <v>9.6659719349310897</v>
      </c>
    </row>
    <row r="4358" spans="1:37" x14ac:dyDescent="0.2">
      <c r="A4358" t="str">
        <f>"20200111160257926"</f>
        <v>20200111160257926</v>
      </c>
      <c r="B4358" t="str">
        <f>"1578729777917676"</f>
        <v>1578729777917676</v>
      </c>
      <c r="C4358" t="s">
        <v>37</v>
      </c>
      <c r="D4358">
        <v>5.4122389999999996</v>
      </c>
      <c r="E4358">
        <v>0.44728440000000003</v>
      </c>
      <c r="F4358" t="s">
        <v>64</v>
      </c>
      <c r="G4358">
        <v>-418.40640000000002</v>
      </c>
      <c r="H4358" s="1">
        <v>-4.0105960000000001E-6</v>
      </c>
      <c r="I4358">
        <v>33.65455</v>
      </c>
      <c r="J4358">
        <v>-421.07049999999998</v>
      </c>
      <c r="K4358">
        <v>1.105394</v>
      </c>
      <c r="L4358">
        <v>42.72043</v>
      </c>
      <c r="M4358">
        <v>5.1802559999999997E-2</v>
      </c>
      <c r="N4358">
        <v>0</v>
      </c>
      <c r="O4358">
        <v>-0.99855360000000004</v>
      </c>
      <c r="P4358">
        <v>0.1421885</v>
      </c>
      <c r="Q4358">
        <v>-3.9783550000000003E-3</v>
      </c>
      <c r="R4358">
        <v>-0.98983169999999898</v>
      </c>
      <c r="S4358">
        <v>0.83975219999999995</v>
      </c>
      <c r="T4358">
        <v>-0.34690169999999998</v>
      </c>
      <c r="U4358">
        <v>-2.9082340000000002</v>
      </c>
      <c r="V4358">
        <v>-9.073668E-2</v>
      </c>
      <c r="W4358">
        <v>1.01992E-2</v>
      </c>
      <c r="X4358">
        <v>0.99582269999999995</v>
      </c>
      <c r="Y4358">
        <v>-0.2254507</v>
      </c>
      <c r="Z4358">
        <v>0.1143796</v>
      </c>
      <c r="AA4358">
        <v>0.96751710000000002</v>
      </c>
      <c r="AB4358">
        <v>21</v>
      </c>
      <c r="AC4358">
        <v>2.6640999999999599</v>
      </c>
      <c r="AD4358">
        <v>-1.105398010596</v>
      </c>
      <c r="AE4358">
        <v>-9.0658799999999999</v>
      </c>
      <c r="AF4358">
        <v>-2.1612608905638799</v>
      </c>
      <c r="AG4358">
        <v>-1.105398010596</v>
      </c>
      <c r="AH4358">
        <v>9.06763565274934</v>
      </c>
      <c r="AI4358">
        <v>96.762781324734604</v>
      </c>
      <c r="AJ4358">
        <v>103.406250460735</v>
      </c>
      <c r="AK4358">
        <v>9.3869574266596896</v>
      </c>
    </row>
    <row r="4359" spans="1:37" x14ac:dyDescent="0.2">
      <c r="A4359" t="str">
        <f>"20200111160257949"</f>
        <v>20200111160257949</v>
      </c>
      <c r="B4359" t="str">
        <f>"1578729777937195"</f>
        <v>1578729777937195</v>
      </c>
      <c r="C4359" t="s">
        <v>37</v>
      </c>
      <c r="D4359">
        <v>5.417529</v>
      </c>
      <c r="E4359">
        <v>0.446816299999999</v>
      </c>
      <c r="F4359" t="s">
        <v>64</v>
      </c>
      <c r="G4359">
        <v>-418.33229999999998</v>
      </c>
      <c r="H4359" s="1">
        <v>-4.2202900000000002E-6</v>
      </c>
      <c r="I4359">
        <v>33.275269999999999</v>
      </c>
      <c r="J4359">
        <v>-421.05810000000002</v>
      </c>
      <c r="K4359">
        <v>1.105523</v>
      </c>
      <c r="L4359">
        <v>42.5137</v>
      </c>
      <c r="M4359">
        <v>5.3285249999999999E-2</v>
      </c>
      <c r="N4359">
        <v>0</v>
      </c>
      <c r="O4359">
        <v>-0.99847569999999997</v>
      </c>
      <c r="P4359">
        <v>0.14327889999999999</v>
      </c>
      <c r="Q4359">
        <v>-6.6456920000000001E-4</v>
      </c>
      <c r="R4359">
        <v>-0.98968269999999903</v>
      </c>
      <c r="S4359">
        <v>0.84313959999999999</v>
      </c>
      <c r="T4359">
        <v>-0.34037099999999998</v>
      </c>
      <c r="U4359">
        <v>-2.908325</v>
      </c>
      <c r="V4359">
        <v>-9.0365150000000005E-2</v>
      </c>
      <c r="W4359">
        <v>1.348628E-2</v>
      </c>
      <c r="X4359">
        <v>0.99581739999999996</v>
      </c>
      <c r="Y4359">
        <v>-0.22510469999999999</v>
      </c>
      <c r="Z4359">
        <v>0.1122248</v>
      </c>
      <c r="AA4359">
        <v>0.96784989999999904</v>
      </c>
      <c r="AB4359">
        <v>21</v>
      </c>
      <c r="AC4359">
        <v>2.72580000000004</v>
      </c>
      <c r="AD4359">
        <v>-1.1055272202899999</v>
      </c>
      <c r="AE4359">
        <v>-9.2384299999999993</v>
      </c>
      <c r="AF4359">
        <v>-2.2006146110373499</v>
      </c>
      <c r="AG4359">
        <v>-1.1055272202899999</v>
      </c>
      <c r="AH4359">
        <v>9.2487272002644705</v>
      </c>
      <c r="AI4359">
        <v>96.632934435413404</v>
      </c>
      <c r="AJ4359">
        <v>103.38391868113899</v>
      </c>
      <c r="AK4359">
        <v>9.5709900180715408</v>
      </c>
    </row>
    <row r="4360" spans="1:37" x14ac:dyDescent="0.2">
      <c r="A4360" t="str">
        <f>"20200111160257972"</f>
        <v>20200111160257972</v>
      </c>
      <c r="B4360" t="str">
        <f>"1578729777967452"</f>
        <v>1578729777967452</v>
      </c>
      <c r="C4360" t="s">
        <v>37</v>
      </c>
      <c r="D4360">
        <v>5.4653109999999998</v>
      </c>
      <c r="E4360">
        <v>0.44596609999999998</v>
      </c>
      <c r="F4360" t="s">
        <v>64</v>
      </c>
      <c r="G4360">
        <v>-418.24689999999998</v>
      </c>
      <c r="H4360" s="1">
        <v>-4.4355369999999997E-6</v>
      </c>
      <c r="I4360">
        <v>32.889989999999997</v>
      </c>
      <c r="J4360">
        <v>-421.04489999999998</v>
      </c>
      <c r="K4360">
        <v>1.1056379999999999</v>
      </c>
      <c r="L4360">
        <v>42.304229999999997</v>
      </c>
      <c r="M4360">
        <v>5.4979189999999997E-2</v>
      </c>
      <c r="N4360">
        <v>0</v>
      </c>
      <c r="O4360">
        <v>-0.99838359999999904</v>
      </c>
      <c r="P4360">
        <v>0.14401800000000001</v>
      </c>
      <c r="Q4360">
        <v>5.1440649999999997E-4</v>
      </c>
      <c r="R4360">
        <v>-0.98957510000000004</v>
      </c>
      <c r="S4360">
        <v>0.84948729999999995</v>
      </c>
      <c r="T4360">
        <v>-0.33406669999999999</v>
      </c>
      <c r="U4360">
        <v>-2.9080810000000001</v>
      </c>
      <c r="V4360">
        <v>-8.9425850000000001E-2</v>
      </c>
      <c r="W4360">
        <v>1.4642499999999999E-2</v>
      </c>
      <c r="X4360">
        <v>0.99588580000000004</v>
      </c>
      <c r="Y4360">
        <v>-0.2254873</v>
      </c>
      <c r="Z4360">
        <v>0.1101285</v>
      </c>
      <c r="AA4360">
        <v>0.96800169999999996</v>
      </c>
      <c r="AB4360">
        <v>21</v>
      </c>
      <c r="AC4360">
        <v>2.798</v>
      </c>
      <c r="AD4360">
        <v>-1.10564243553699</v>
      </c>
      <c r="AE4360">
        <v>-9.4142399999999906</v>
      </c>
      <c r="AF4360">
        <v>-2.2476406595667302</v>
      </c>
      <c r="AG4360">
        <v>-1.10564243553699</v>
      </c>
      <c r="AH4360">
        <v>9.4342802977432694</v>
      </c>
      <c r="AI4360">
        <v>96.503835898761693</v>
      </c>
      <c r="AJ4360">
        <v>103.400448617894</v>
      </c>
      <c r="AK4360">
        <v>9.7611463704927903</v>
      </c>
    </row>
    <row r="4361" spans="1:37" x14ac:dyDescent="0.2">
      <c r="A4361" t="str">
        <f>"20200111160257995"</f>
        <v>20200111160257995</v>
      </c>
      <c r="B4361" t="str">
        <f>"1578729777986971"</f>
        <v>1578729777986971</v>
      </c>
      <c r="C4361" t="s">
        <v>37</v>
      </c>
      <c r="D4361">
        <v>5.3852830000000003</v>
      </c>
      <c r="E4361">
        <v>0.4455499</v>
      </c>
      <c r="F4361" t="s">
        <v>64</v>
      </c>
      <c r="G4361">
        <v>-418.21870000000001</v>
      </c>
      <c r="H4361" s="1">
        <v>-4.5257270000000002E-6</v>
      </c>
      <c r="I4361">
        <v>32.725270000000002</v>
      </c>
      <c r="J4361">
        <v>-421.03070000000002</v>
      </c>
      <c r="K4361">
        <v>1.1057349999999999</v>
      </c>
      <c r="L4361">
        <v>42.087009999999999</v>
      </c>
      <c r="M4361">
        <v>5.6918530000000002E-2</v>
      </c>
      <c r="N4361">
        <v>0</v>
      </c>
      <c r="O4361">
        <v>-0.99827509999999997</v>
      </c>
      <c r="P4361">
        <v>0.14370229999999901</v>
      </c>
      <c r="Q4361">
        <v>-9.8978439999999998E-4</v>
      </c>
      <c r="R4361">
        <v>-0.98962090000000003</v>
      </c>
      <c r="S4361">
        <v>0.85769649999999997</v>
      </c>
      <c r="T4361">
        <v>-0.33553240000000001</v>
      </c>
      <c r="U4361">
        <v>-2.906952</v>
      </c>
      <c r="V4361">
        <v>-8.7172739999999999E-2</v>
      </c>
      <c r="W4361">
        <v>1.3125349999999999E-2</v>
      </c>
      <c r="X4361">
        <v>0.99610669999999901</v>
      </c>
      <c r="Y4361">
        <v>-0.22619929999999999</v>
      </c>
      <c r="Z4361">
        <v>0.11057639999999901</v>
      </c>
      <c r="AA4361">
        <v>0.96778449999999905</v>
      </c>
      <c r="AB4361">
        <v>21</v>
      </c>
      <c r="AC4361">
        <v>2.81200000000001</v>
      </c>
      <c r="AD4361">
        <v>-1.105739525727</v>
      </c>
      <c r="AE4361">
        <v>-9.3617399999999904</v>
      </c>
      <c r="AF4361">
        <v>-2.2457913089028398</v>
      </c>
      <c r="AG4361">
        <v>-1.105739525727</v>
      </c>
      <c r="AH4361">
        <v>9.3865206031885702</v>
      </c>
      <c r="AI4361">
        <v>96.535725655159197</v>
      </c>
      <c r="AJ4361">
        <v>103.45547743336699</v>
      </c>
      <c r="AK4361">
        <v>9.7145770641846294</v>
      </c>
    </row>
    <row r="4362" spans="1:37" x14ac:dyDescent="0.2">
      <c r="A4362" t="str">
        <f>"20200111160258016"</f>
        <v>20200111160258016</v>
      </c>
      <c r="B4362" t="str">
        <f>"1578729778007467"</f>
        <v>1578729778007467</v>
      </c>
      <c r="C4362" t="s">
        <v>37</v>
      </c>
      <c r="D4362">
        <v>5.3954829999999996</v>
      </c>
      <c r="E4362">
        <v>0.44533879999999998</v>
      </c>
      <c r="F4362" t="s">
        <v>64</v>
      </c>
      <c r="G4362">
        <v>-418.24869999999999</v>
      </c>
      <c r="H4362" s="1">
        <v>-4.544145E-6</v>
      </c>
      <c r="I4362">
        <v>32.676049999999996</v>
      </c>
      <c r="J4362">
        <v>-421.0179</v>
      </c>
      <c r="K4362">
        <v>1.1057889999999999</v>
      </c>
      <c r="L4362">
        <v>41.898470000000003</v>
      </c>
      <c r="M4362">
        <v>5.8725300000000001E-2</v>
      </c>
      <c r="N4362">
        <v>0</v>
      </c>
      <c r="O4362">
        <v>-0.99817019999999901</v>
      </c>
      <c r="P4362">
        <v>0.14277390000000001</v>
      </c>
      <c r="Q4362">
        <v>-4.1312299999999996E-3</v>
      </c>
      <c r="R4362">
        <v>-0.98974669999999898</v>
      </c>
      <c r="S4362">
        <v>0.85916139999999996</v>
      </c>
      <c r="T4362">
        <v>-0.34148400000000001</v>
      </c>
      <c r="U4362">
        <v>-2.9063720000000002</v>
      </c>
      <c r="V4362">
        <v>-8.4428210000000004E-2</v>
      </c>
      <c r="W4362">
        <v>9.9808150000000005E-3</v>
      </c>
      <c r="X4362">
        <v>0.99637960000000003</v>
      </c>
      <c r="Y4362">
        <v>-0.22487570000000001</v>
      </c>
      <c r="Z4362">
        <v>0.1125258</v>
      </c>
      <c r="AA4362">
        <v>0.96786819999999896</v>
      </c>
      <c r="AB4362">
        <v>21</v>
      </c>
      <c r="AC4362">
        <v>2.7692000000000099</v>
      </c>
      <c r="AD4362">
        <v>-1.105793544145</v>
      </c>
      <c r="AE4362">
        <v>-9.2224199999999996</v>
      </c>
      <c r="AF4362">
        <v>-2.1938426177867201</v>
      </c>
      <c r="AG4362">
        <v>-1.105793544145</v>
      </c>
      <c r="AH4362">
        <v>9.2471906595738105</v>
      </c>
      <c r="AI4362">
        <v>96.636635387211797</v>
      </c>
      <c r="AJ4362">
        <v>103.346345519132</v>
      </c>
      <c r="AK4362">
        <v>9.5679809724099698</v>
      </c>
    </row>
    <row r="4363" spans="1:37" x14ac:dyDescent="0.2">
      <c r="A4363" t="str">
        <f>"20200111160258038"</f>
        <v>20200111160258038</v>
      </c>
      <c r="B4363" t="str">
        <f>"1578729778026987"</f>
        <v>1578729778026987</v>
      </c>
      <c r="C4363" t="s">
        <v>37</v>
      </c>
      <c r="D4363">
        <v>5.3685589999999896</v>
      </c>
      <c r="E4363">
        <v>0.44453500000000001</v>
      </c>
      <c r="F4363" t="s">
        <v>64</v>
      </c>
      <c r="G4363">
        <v>-418.36189999999999</v>
      </c>
      <c r="H4363" s="1">
        <v>-4.4069710000000002E-6</v>
      </c>
      <c r="I4363">
        <v>32.895980000000002</v>
      </c>
      <c r="J4363">
        <v>-421.00349999999997</v>
      </c>
      <c r="K4363">
        <v>1.1058250000000001</v>
      </c>
      <c r="L4363">
        <v>41.696109999999997</v>
      </c>
      <c r="M4363">
        <v>6.0785649999999997E-2</v>
      </c>
      <c r="N4363">
        <v>0</v>
      </c>
      <c r="O4363">
        <v>-0.99804699999999902</v>
      </c>
      <c r="P4363">
        <v>0.14161199999999999</v>
      </c>
      <c r="Q4363">
        <v>-8.2183139999999991E-3</v>
      </c>
      <c r="R4363">
        <v>-0.98988829999999906</v>
      </c>
      <c r="S4363">
        <v>0.85729979999999995</v>
      </c>
      <c r="T4363">
        <v>-0.35693940000000002</v>
      </c>
      <c r="U4363">
        <v>-2.9059140000000001</v>
      </c>
      <c r="V4363">
        <v>-8.1191570000000005E-2</v>
      </c>
      <c r="W4363">
        <v>5.8958830000000002E-3</v>
      </c>
      <c r="X4363">
        <v>0.99668109999999999</v>
      </c>
      <c r="Y4363">
        <v>-0.22216949999999999</v>
      </c>
      <c r="Z4363">
        <v>0.117591</v>
      </c>
      <c r="AA4363">
        <v>0.96789099999999995</v>
      </c>
      <c r="AB4363">
        <v>21</v>
      </c>
      <c r="AC4363">
        <v>2.64159999999998</v>
      </c>
      <c r="AD4363">
        <v>-1.105829406971</v>
      </c>
      <c r="AE4363">
        <v>-8.8001299999999905</v>
      </c>
      <c r="AF4363">
        <v>-2.0717274690776799</v>
      </c>
      <c r="AG4363">
        <v>-1.105829406971</v>
      </c>
      <c r="AH4363">
        <v>8.8167283651566901</v>
      </c>
      <c r="AI4363">
        <v>96.961272908559806</v>
      </c>
      <c r="AJ4363">
        <v>103.22329673341901</v>
      </c>
      <c r="AK4363">
        <v>9.1241225577263805</v>
      </c>
    </row>
    <row r="4364" spans="1:37" x14ac:dyDescent="0.2">
      <c r="A4364" t="str">
        <f>"20200111160258352"</f>
        <v>20200111160258352</v>
      </c>
      <c r="B4364" t="str">
        <f>"1578729778347116"</f>
        <v>1578729778347116</v>
      </c>
      <c r="C4364" t="s">
        <v>37</v>
      </c>
      <c r="D4364">
        <v>5.143929</v>
      </c>
      <c r="E4364">
        <v>0.42520669999999999</v>
      </c>
      <c r="F4364" t="s">
        <v>64</v>
      </c>
      <c r="G4364">
        <v>-418.43360000000001</v>
      </c>
      <c r="H4364" s="1">
        <v>-4.3305009999999997E-6</v>
      </c>
      <c r="I4364">
        <v>33.014870000000002</v>
      </c>
      <c r="J4364">
        <v>-420.73570000000001</v>
      </c>
      <c r="K4364">
        <v>1.1068420000000001</v>
      </c>
      <c r="L4364">
        <v>38.895870000000002</v>
      </c>
      <c r="M4364">
        <v>0.102656399999999</v>
      </c>
      <c r="N4364">
        <v>0</v>
      </c>
      <c r="O4364">
        <v>-0.9946123</v>
      </c>
      <c r="P4364">
        <v>0.22753309999999999</v>
      </c>
      <c r="Q4364">
        <v>-2.5445099999999998E-2</v>
      </c>
      <c r="R4364">
        <v>-0.97343780000000002</v>
      </c>
      <c r="S4364">
        <v>0.85983279999999995</v>
      </c>
      <c r="T4364">
        <v>-0.36998890000000001</v>
      </c>
      <c r="U4364">
        <v>-2.9045719999999999</v>
      </c>
      <c r="V4364">
        <v>-0.1263262</v>
      </c>
      <c r="W4364">
        <v>-1.1845430000000001E-2</v>
      </c>
      <c r="X4364">
        <v>0.99191799999999997</v>
      </c>
      <c r="Y4364">
        <v>-0.1817907</v>
      </c>
      <c r="Z4364">
        <v>0.1217506</v>
      </c>
      <c r="AA4364">
        <v>0.97577099999999894</v>
      </c>
      <c r="AB4364">
        <v>20</v>
      </c>
      <c r="AC4364">
        <v>2.30209999999999</v>
      </c>
      <c r="AD4364">
        <v>-1.1068463305009999</v>
      </c>
      <c r="AE4364">
        <v>-5.8810000000000002</v>
      </c>
      <c r="AF4364">
        <v>-1.6359026927213101</v>
      </c>
      <c r="AG4364">
        <v>-1.1068463305009999</v>
      </c>
      <c r="AH4364">
        <v>5.90490196630412</v>
      </c>
      <c r="AI4364">
        <v>100.23955460466701</v>
      </c>
      <c r="AJ4364">
        <v>105.48493799721101</v>
      </c>
      <c r="AK4364">
        <v>6.2264880672059997</v>
      </c>
    </row>
    <row r="4365" spans="1:37" x14ac:dyDescent="0.2">
      <c r="A4365" t="str">
        <f>"20200111160258375"</f>
        <v>20200111160258375</v>
      </c>
      <c r="B4365" t="str">
        <f>"1578729778367611"</f>
        <v>1578729778367611</v>
      </c>
      <c r="C4365" t="s">
        <v>37</v>
      </c>
      <c r="D4365">
        <v>5.0664400000000001</v>
      </c>
      <c r="E4365">
        <v>0.41994670000000001</v>
      </c>
      <c r="F4365" t="s">
        <v>64</v>
      </c>
      <c r="G4365">
        <v>-416.47210000000001</v>
      </c>
      <c r="H4365" s="1">
        <v>-8.4977199999999997E-6</v>
      </c>
      <c r="I4365">
        <v>29.50329</v>
      </c>
      <c r="J4365">
        <v>-420.70979999999997</v>
      </c>
      <c r="K4365">
        <v>1.1069799999999901</v>
      </c>
      <c r="L4365">
        <v>38.695650000000001</v>
      </c>
      <c r="M4365">
        <v>0.10701330000000001</v>
      </c>
      <c r="N4365">
        <v>0</v>
      </c>
      <c r="O4365">
        <v>-0.99415279999999995</v>
      </c>
      <c r="P4365">
        <v>0.2386556</v>
      </c>
      <c r="Q4365">
        <v>-2.356347E-2</v>
      </c>
      <c r="R4365">
        <v>-0.97081879999999998</v>
      </c>
      <c r="S4365">
        <v>1.261261</v>
      </c>
      <c r="T4365">
        <v>-0.32742719999999997</v>
      </c>
      <c r="U4365">
        <v>-2.77850299999999</v>
      </c>
      <c r="V4365">
        <v>-0.13332620000000001</v>
      </c>
      <c r="W4365">
        <v>-1.004702E-2</v>
      </c>
      <c r="X4365">
        <v>0.99102129999999999</v>
      </c>
      <c r="Y4365">
        <v>-0.31110199999999999</v>
      </c>
      <c r="Z4365">
        <v>0.10791050000000001</v>
      </c>
      <c r="AA4365">
        <v>0.94423029999999997</v>
      </c>
      <c r="AB4365">
        <v>20</v>
      </c>
      <c r="AC4365">
        <v>4.2376999999999603</v>
      </c>
      <c r="AD4365">
        <v>-1.10698849771999</v>
      </c>
      <c r="AE4365">
        <v>-9.1923599999999901</v>
      </c>
      <c r="AF4365">
        <v>-3.1913831182844201</v>
      </c>
      <c r="AG4365">
        <v>-1.10698849771999</v>
      </c>
      <c r="AH4365">
        <v>9.4797198713666102</v>
      </c>
      <c r="AI4365">
        <v>96.315291578339199</v>
      </c>
      <c r="AJ4365">
        <v>108.60599852123801</v>
      </c>
      <c r="AK4365">
        <v>10.063569872631501</v>
      </c>
    </row>
    <row r="4366" spans="1:37" x14ac:dyDescent="0.2">
      <c r="A4366" t="str">
        <f>"20200111160258398"</f>
        <v>20200111160258398</v>
      </c>
      <c r="B4366" t="str">
        <f>"1578729778387132"</f>
        <v>1578729778387132</v>
      </c>
      <c r="C4366" t="s">
        <v>37</v>
      </c>
      <c r="D4366">
        <v>5.0289039999999998</v>
      </c>
      <c r="E4366">
        <v>0.4160179</v>
      </c>
      <c r="F4366" t="s">
        <v>64</v>
      </c>
      <c r="G4366">
        <v>-415.63839999999999</v>
      </c>
      <c r="H4366" s="1">
        <v>-8.6462209999999994E-6</v>
      </c>
      <c r="I4366">
        <v>28.221769999999999</v>
      </c>
      <c r="J4366">
        <v>-420.68189999999998</v>
      </c>
      <c r="K4366">
        <v>1.1070869999999999</v>
      </c>
      <c r="L4366">
        <v>38.489350000000002</v>
      </c>
      <c r="M4366">
        <v>0.1117146</v>
      </c>
      <c r="N4366">
        <v>0</v>
      </c>
      <c r="O4366">
        <v>-0.99363539999999995</v>
      </c>
      <c r="P4366">
        <v>0.25020100000000001</v>
      </c>
      <c r="Q4366">
        <v>-2.1988420000000002E-2</v>
      </c>
      <c r="R4366">
        <v>-0.96794439999999904</v>
      </c>
      <c r="S4366">
        <v>1.3340449999999999</v>
      </c>
      <c r="T4366">
        <v>-0.2911937</v>
      </c>
      <c r="U4366">
        <v>-2.7551570000000001</v>
      </c>
      <c r="V4366">
        <v>-0.14043900000000001</v>
      </c>
      <c r="W4366">
        <v>-8.5549760000000006E-3</v>
      </c>
      <c r="X4366">
        <v>0.9900523</v>
      </c>
      <c r="Y4366">
        <v>-0.33050550000000001</v>
      </c>
      <c r="Z4366">
        <v>9.591189E-2</v>
      </c>
      <c r="AA4366">
        <v>0.93891800000000003</v>
      </c>
      <c r="AB4366">
        <v>20</v>
      </c>
      <c r="AC4366">
        <v>5.0434999999999901</v>
      </c>
      <c r="AD4366">
        <v>-1.107095646221</v>
      </c>
      <c r="AE4366">
        <v>-10.267580000000001</v>
      </c>
      <c r="AF4366">
        <v>-3.8289023121988199</v>
      </c>
      <c r="AG4366">
        <v>-1.107095646221</v>
      </c>
      <c r="AH4366">
        <v>10.6668782249386</v>
      </c>
      <c r="AI4366">
        <v>95.579267520137506</v>
      </c>
      <c r="AJ4366">
        <v>109.745725740357</v>
      </c>
      <c r="AK4366">
        <v>11.3872053091139</v>
      </c>
    </row>
    <row r="4367" spans="1:37" x14ac:dyDescent="0.2">
      <c r="A4367" t="str">
        <f>"20200111160258421"</f>
        <v>20200111160258421</v>
      </c>
      <c r="B4367" t="str">
        <f>"1578729778417387"</f>
        <v>1578729778417387</v>
      </c>
      <c r="C4367" t="s">
        <v>37</v>
      </c>
      <c r="D4367">
        <v>5.0192329999999998</v>
      </c>
      <c r="E4367">
        <v>0.41351139999999997</v>
      </c>
      <c r="F4367" t="s">
        <v>64</v>
      </c>
      <c r="G4367">
        <v>-414.8954</v>
      </c>
      <c r="H4367" s="1">
        <v>-8.7891459999999994E-6</v>
      </c>
      <c r="I4367">
        <v>27.174050000000001</v>
      </c>
      <c r="J4367">
        <v>-420.6551</v>
      </c>
      <c r="K4367">
        <v>1.1071759999999999</v>
      </c>
      <c r="L4367">
        <v>38.298609999999996</v>
      </c>
      <c r="M4367">
        <v>0.11624809999999999</v>
      </c>
      <c r="N4367">
        <v>0</v>
      </c>
      <c r="O4367">
        <v>-0.99311489999999902</v>
      </c>
      <c r="P4367">
        <v>0.26228010000000002</v>
      </c>
      <c r="Q4367">
        <v>-2.0684729999999998E-2</v>
      </c>
      <c r="R4367">
        <v>-0.96477000000000002</v>
      </c>
      <c r="S4367">
        <v>1.397186</v>
      </c>
      <c r="T4367">
        <v>-0.26731490000000002</v>
      </c>
      <c r="U4367">
        <v>-2.7321469999999999</v>
      </c>
      <c r="V4367">
        <v>-0.14829349999999999</v>
      </c>
      <c r="W4367">
        <v>-7.3384560000000001E-3</v>
      </c>
      <c r="X4367">
        <v>0.98891620000000002</v>
      </c>
      <c r="Y4367">
        <v>-0.3469428</v>
      </c>
      <c r="Z4367">
        <v>8.8006329999999994E-2</v>
      </c>
      <c r="AA4367">
        <v>0.93374809999999997</v>
      </c>
      <c r="AB4367">
        <v>20</v>
      </c>
      <c r="AC4367">
        <v>5.7596999999999996</v>
      </c>
      <c r="AD4367">
        <v>-1.107184789146</v>
      </c>
      <c r="AE4367">
        <v>-11.124559999999899</v>
      </c>
      <c r="AF4367">
        <v>-4.3929822195651802</v>
      </c>
      <c r="AG4367">
        <v>-1.107184789146</v>
      </c>
      <c r="AH4367">
        <v>11.6279147417393</v>
      </c>
      <c r="AI4367">
        <v>95.090078226021504</v>
      </c>
      <c r="AJ4367">
        <v>110.696375350911</v>
      </c>
      <c r="AK4367">
        <v>12.479284922618399</v>
      </c>
    </row>
    <row r="4368" spans="1:37" x14ac:dyDescent="0.2">
      <c r="A4368" t="str">
        <f>"20200111160258441"</f>
        <v>20200111160258441</v>
      </c>
      <c r="B4368" t="str">
        <f>"1578729778436907"</f>
        <v>1578729778436907</v>
      </c>
      <c r="C4368" t="s">
        <v>37</v>
      </c>
      <c r="D4368">
        <v>5.1102919999999896</v>
      </c>
      <c r="E4368">
        <v>0.4136474</v>
      </c>
      <c r="F4368" t="s">
        <v>64</v>
      </c>
      <c r="G4368">
        <v>-414.2296</v>
      </c>
      <c r="H4368" s="1">
        <v>-8.9238670000000008E-6</v>
      </c>
      <c r="I4368">
        <v>26.293779999999899</v>
      </c>
      <c r="J4368">
        <v>-420.62869999999998</v>
      </c>
      <c r="K4368">
        <v>1.1072629999999899</v>
      </c>
      <c r="L4368">
        <v>38.11853</v>
      </c>
      <c r="M4368">
        <v>0.1207038</v>
      </c>
      <c r="N4368">
        <v>0</v>
      </c>
      <c r="O4368">
        <v>-0.9925832</v>
      </c>
      <c r="P4368">
        <v>0.2737386</v>
      </c>
      <c r="Q4368">
        <v>-1.9049529999999999E-2</v>
      </c>
      <c r="R4368">
        <v>-0.96161540000000001</v>
      </c>
      <c r="S4368">
        <v>1.4504699999999999</v>
      </c>
      <c r="T4368">
        <v>-0.24992929999999899</v>
      </c>
      <c r="U4368">
        <v>-2.7099000000000002</v>
      </c>
      <c r="V4368">
        <v>-0.15561929999999999</v>
      </c>
      <c r="W4368">
        <v>-5.787085E-3</v>
      </c>
      <c r="X4368">
        <v>0.98780020000000002</v>
      </c>
      <c r="Y4368">
        <v>-0.36042269999999998</v>
      </c>
      <c r="Z4368">
        <v>8.2282899999999895E-2</v>
      </c>
      <c r="AA4368">
        <v>0.9291528</v>
      </c>
      <c r="AB4368">
        <v>20</v>
      </c>
      <c r="AC4368">
        <v>6.3990999999999696</v>
      </c>
      <c r="AD4368">
        <v>-1.1072719238669999</v>
      </c>
      <c r="AE4368">
        <v>-11.82475</v>
      </c>
      <c r="AF4368">
        <v>-4.8916853332576498</v>
      </c>
      <c r="AG4368">
        <v>-1.1072719238669999</v>
      </c>
      <c r="AH4368">
        <v>12.4264728806286</v>
      </c>
      <c r="AI4368">
        <v>94.739725787704899</v>
      </c>
      <c r="AJ4368">
        <v>111.48709646005901</v>
      </c>
      <c r="AK4368">
        <v>13.400442707835801</v>
      </c>
    </row>
    <row r="4369" spans="1:37" x14ac:dyDescent="0.2">
      <c r="A4369" t="str">
        <f>"20200111160258465"</f>
        <v>20200111160258465</v>
      </c>
      <c r="B4369" t="str">
        <f>"1578729778457403"</f>
        <v>1578729778457403</v>
      </c>
      <c r="C4369" t="s">
        <v>37</v>
      </c>
      <c r="D4369">
        <v>5.0721449999999999</v>
      </c>
      <c r="E4369">
        <v>0.414255599999999</v>
      </c>
      <c r="F4369" t="s">
        <v>64</v>
      </c>
      <c r="G4369">
        <v>-413.81380000000001</v>
      </c>
      <c r="H4369" s="1">
        <v>-9.0063149999999998E-6</v>
      </c>
      <c r="I4369">
        <v>25.725279999999898</v>
      </c>
      <c r="J4369">
        <v>-420.59699999999998</v>
      </c>
      <c r="K4369">
        <v>1.1073629999999901</v>
      </c>
      <c r="L4369">
        <v>37.910579999999896</v>
      </c>
      <c r="M4369">
        <v>0.1260541</v>
      </c>
      <c r="N4369">
        <v>0</v>
      </c>
      <c r="O4369">
        <v>-0.99191770000000001</v>
      </c>
      <c r="P4369">
        <v>0.28675240000000002</v>
      </c>
      <c r="Q4369">
        <v>-1.7137389999999999E-2</v>
      </c>
      <c r="R4369">
        <v>-0.95785159999999903</v>
      </c>
      <c r="S4369">
        <v>1.481079</v>
      </c>
      <c r="T4369">
        <v>-0.2406402</v>
      </c>
      <c r="U4369">
        <v>-2.69339</v>
      </c>
      <c r="V4369">
        <v>-0.16368779999999999</v>
      </c>
      <c r="W4369">
        <v>-3.9733650000000004E-3</v>
      </c>
      <c r="X4369">
        <v>0.98650419999999905</v>
      </c>
      <c r="Y4369">
        <v>-0.3660195</v>
      </c>
      <c r="Z4369">
        <v>7.929804E-2</v>
      </c>
      <c r="AA4369">
        <v>0.92722249999999995</v>
      </c>
      <c r="AB4369">
        <v>20</v>
      </c>
      <c r="AC4369">
        <v>6.7831999999999599</v>
      </c>
      <c r="AD4369">
        <v>-1.1073720063150001</v>
      </c>
      <c r="AE4369">
        <v>-12.1852999999999</v>
      </c>
      <c r="AF4369">
        <v>-5.1603774936146198</v>
      </c>
      <c r="AG4369">
        <v>-1.1073720063150001</v>
      </c>
      <c r="AH4369">
        <v>12.8621265065704</v>
      </c>
      <c r="AI4369">
        <v>94.568479558552596</v>
      </c>
      <c r="AJ4369">
        <v>111.861010750053</v>
      </c>
      <c r="AK4369">
        <v>13.9028798062846</v>
      </c>
    </row>
    <row r="4370" spans="1:37" x14ac:dyDescent="0.2">
      <c r="A4370" t="str">
        <f>"20200111160258490"</f>
        <v>20200111160258490</v>
      </c>
      <c r="B4370" t="str">
        <f>"1578729778487660"</f>
        <v>1578729778487660</v>
      </c>
      <c r="C4370" t="s">
        <v>37</v>
      </c>
      <c r="D4370">
        <v>5.0324059999999999</v>
      </c>
      <c r="E4370">
        <v>0.41494110000000001</v>
      </c>
      <c r="F4370" t="s">
        <v>64</v>
      </c>
      <c r="G4370">
        <v>-413.55790000000002</v>
      </c>
      <c r="H4370" s="1">
        <v>-9.0731960000000005E-6</v>
      </c>
      <c r="I4370">
        <v>25.463470000000001</v>
      </c>
      <c r="J4370">
        <v>-420.56450000000001</v>
      </c>
      <c r="K4370">
        <v>1.1074709999999901</v>
      </c>
      <c r="L4370">
        <v>37.705599999999997</v>
      </c>
      <c r="M4370">
        <v>0.1315366</v>
      </c>
      <c r="N4370">
        <v>0</v>
      </c>
      <c r="O4370">
        <v>-0.99120540000000001</v>
      </c>
      <c r="P4370">
        <v>0.29889759999999999</v>
      </c>
      <c r="Q4370">
        <v>-1.6178129999999999E-2</v>
      </c>
      <c r="R4370">
        <v>-0.95414809999999906</v>
      </c>
      <c r="S4370">
        <v>1.512726</v>
      </c>
      <c r="T4370">
        <v>-0.2379752</v>
      </c>
      <c r="U4370">
        <v>-2.6748959999999999</v>
      </c>
      <c r="V4370">
        <v>-0.17076359999999999</v>
      </c>
      <c r="W4370">
        <v>-3.108923E-3</v>
      </c>
      <c r="X4370">
        <v>0.98530720000000005</v>
      </c>
      <c r="Y4370">
        <v>-0.37195689999999998</v>
      </c>
      <c r="Z4370">
        <v>7.8503030000000001E-2</v>
      </c>
      <c r="AA4370">
        <v>0.92492450000000004</v>
      </c>
      <c r="AB4370">
        <v>20</v>
      </c>
      <c r="AC4370">
        <v>7.0065999999999899</v>
      </c>
      <c r="AD4370">
        <v>-1.1074800731959999</v>
      </c>
      <c r="AE4370">
        <v>-12.2421299999999</v>
      </c>
      <c r="AF4370">
        <v>-5.3025638573672902</v>
      </c>
      <c r="AG4370">
        <v>-1.1074800731959999</v>
      </c>
      <c r="AH4370">
        <v>12.977460478823399</v>
      </c>
      <c r="AI4370">
        <v>94.516908313843402</v>
      </c>
      <c r="AJ4370">
        <v>112.224824625031</v>
      </c>
      <c r="AK4370">
        <v>14.062651814412799</v>
      </c>
    </row>
    <row r="4371" spans="1:37" x14ac:dyDescent="0.2">
      <c r="A4371" t="str">
        <f>"20200111160258509"</f>
        <v>20200111160258509</v>
      </c>
      <c r="B4371" t="str">
        <f>"1578729778497420"</f>
        <v>1578729778497420</v>
      </c>
      <c r="C4371" t="s">
        <v>37</v>
      </c>
      <c r="D4371">
        <v>5.0822789999999998</v>
      </c>
      <c r="E4371">
        <v>0.41534019999999999</v>
      </c>
      <c r="F4371" t="s">
        <v>64</v>
      </c>
      <c r="G4371">
        <v>-413.57380000000001</v>
      </c>
      <c r="H4371" s="1">
        <v>-9.0858599999999994E-6</v>
      </c>
      <c r="I4371">
        <v>25.648250000000001</v>
      </c>
      <c r="J4371">
        <v>-420.53739999999999</v>
      </c>
      <c r="K4371">
        <v>1.107559</v>
      </c>
      <c r="L4371">
        <v>37.541899999999998</v>
      </c>
      <c r="M4371">
        <v>0.13607230000000001</v>
      </c>
      <c r="N4371">
        <v>0</v>
      </c>
      <c r="O4371">
        <v>-0.9905931</v>
      </c>
      <c r="P4371">
        <v>0.30901149999999999</v>
      </c>
      <c r="Q4371">
        <v>-1.5633379999999999E-2</v>
      </c>
      <c r="R4371">
        <v>-0.9509301</v>
      </c>
      <c r="S4371">
        <v>1.54071</v>
      </c>
      <c r="T4371">
        <v>-0.24408299999999999</v>
      </c>
      <c r="U4371">
        <v>-2.6573790000000002</v>
      </c>
      <c r="V4371">
        <v>-0.17671339999999999</v>
      </c>
      <c r="W4371">
        <v>-2.6465719999999998E-3</v>
      </c>
      <c r="X4371">
        <v>0.98425879999999999</v>
      </c>
      <c r="Y4371">
        <v>-0.37755159999999999</v>
      </c>
      <c r="Z4371">
        <v>8.0594349999999995E-2</v>
      </c>
      <c r="AA4371">
        <v>0.92247459999999903</v>
      </c>
      <c r="AB4371">
        <v>20</v>
      </c>
      <c r="AC4371">
        <v>6.96359999999998</v>
      </c>
      <c r="AD4371">
        <v>-1.1075680858600001</v>
      </c>
      <c r="AE4371">
        <v>-11.8936499999999</v>
      </c>
      <c r="AF4371">
        <v>-5.2463700837349698</v>
      </c>
      <c r="AG4371">
        <v>-1.1075680858600001</v>
      </c>
      <c r="AH4371">
        <v>12.648967761360099</v>
      </c>
      <c r="AI4371">
        <v>94.624065997494398</v>
      </c>
      <c r="AJ4371">
        <v>112.527043848096</v>
      </c>
      <c r="AK4371">
        <v>13.7385403718245</v>
      </c>
    </row>
    <row r="4372" spans="1:37" x14ac:dyDescent="0.2">
      <c r="A4372" t="str">
        <f>"20200111160258531"</f>
        <v>20200111160258531</v>
      </c>
      <c r="B4372" t="str">
        <f>"1578729778527675"</f>
        <v>1578729778527675</v>
      </c>
      <c r="C4372" t="s">
        <v>37</v>
      </c>
      <c r="D4372">
        <v>5.2250559999999897</v>
      </c>
      <c r="E4372">
        <v>0.41481659999999998</v>
      </c>
      <c r="F4372" t="s">
        <v>64</v>
      </c>
      <c r="G4372">
        <v>-413.54300000000001</v>
      </c>
      <c r="H4372" s="1">
        <v>-9.1058630000000008E-6</v>
      </c>
      <c r="I4372">
        <v>25.736470000000001</v>
      </c>
      <c r="J4372">
        <v>-420.50510000000003</v>
      </c>
      <c r="K4372">
        <v>1.10765</v>
      </c>
      <c r="L4372">
        <v>37.354100000000003</v>
      </c>
      <c r="M4372">
        <v>0.14141119999999999</v>
      </c>
      <c r="N4372">
        <v>0</v>
      </c>
      <c r="O4372">
        <v>-0.98984470000000002</v>
      </c>
      <c r="P4372">
        <v>0.31892900000000002</v>
      </c>
      <c r="Q4372">
        <v>-1.521843E-2</v>
      </c>
      <c r="R4372">
        <v>-0.94765650000000001</v>
      </c>
      <c r="S4372">
        <v>1.5653379999999999</v>
      </c>
      <c r="T4372">
        <v>-0.24787419999999999</v>
      </c>
      <c r="U4372">
        <v>-2.6420590000000002</v>
      </c>
      <c r="V4372">
        <v>-0.18168809999999999</v>
      </c>
      <c r="W4372">
        <v>-2.3055929999999999E-3</v>
      </c>
      <c r="X4372">
        <v>0.98335349999999999</v>
      </c>
      <c r="Y4372">
        <v>-0.38121300000000002</v>
      </c>
      <c r="Z4372">
        <v>8.1906389999999996E-2</v>
      </c>
      <c r="AA4372">
        <v>0.9208518</v>
      </c>
      <c r="AB4372">
        <v>20</v>
      </c>
      <c r="AC4372">
        <v>6.9621000000000199</v>
      </c>
      <c r="AD4372">
        <v>-1.1076591058630001</v>
      </c>
      <c r="AE4372">
        <v>-11.61763</v>
      </c>
      <c r="AF4372">
        <v>-5.2142124845275104</v>
      </c>
      <c r="AG4372">
        <v>-1.1076591058630001</v>
      </c>
      <c r="AH4372">
        <v>12.402529347068601</v>
      </c>
      <c r="AI4372">
        <v>94.706501649109796</v>
      </c>
      <c r="AJ4372">
        <v>112.80262723995099</v>
      </c>
      <c r="AK4372">
        <v>13.4995427601642</v>
      </c>
    </row>
    <row r="4373" spans="1:37" x14ac:dyDescent="0.2">
      <c r="A4373" t="str">
        <f>"20200111160258554"</f>
        <v>20200111160258554</v>
      </c>
      <c r="B4373" t="str">
        <f>"1578729778547195"</f>
        <v>1578729778547195</v>
      </c>
      <c r="C4373" t="s">
        <v>37</v>
      </c>
      <c r="D4373">
        <v>5.3027340000000001</v>
      </c>
      <c r="E4373">
        <v>0.43222100000000002</v>
      </c>
      <c r="F4373" t="s">
        <v>83</v>
      </c>
      <c r="G4373">
        <v>-398.16019999999997</v>
      </c>
      <c r="H4373">
        <v>0.56194849999999996</v>
      </c>
      <c r="I4373">
        <v>0.69949910000000004</v>
      </c>
      <c r="J4373">
        <v>-420.47050000000002</v>
      </c>
      <c r="K4373">
        <v>1.1077250000000001</v>
      </c>
      <c r="L4373">
        <v>37.159909999999897</v>
      </c>
      <c r="M4373">
        <v>0.14710299999999901</v>
      </c>
      <c r="N4373">
        <v>0</v>
      </c>
      <c r="O4373">
        <v>-0.98901459999999997</v>
      </c>
      <c r="P4373">
        <v>0.3282659</v>
      </c>
      <c r="Q4373">
        <v>-1.4988339999999999E-2</v>
      </c>
      <c r="R4373">
        <v>-0.94446640000000004</v>
      </c>
      <c r="S4373">
        <v>1.600983</v>
      </c>
      <c r="T4373">
        <v>-3.9100650000000001E-2</v>
      </c>
      <c r="U4373">
        <v>-2.6262509999999999</v>
      </c>
      <c r="V4373">
        <v>-0.1857346</v>
      </c>
      <c r="W4373">
        <v>-2.1394349999999999E-3</v>
      </c>
      <c r="X4373">
        <v>0.98259759999999996</v>
      </c>
      <c r="Y4373">
        <v>-0.38918999999999998</v>
      </c>
      <c r="Z4373">
        <v>1.295202E-2</v>
      </c>
      <c r="AA4373">
        <v>0.92106650000000001</v>
      </c>
      <c r="AB4373">
        <v>20</v>
      </c>
      <c r="AC4373">
        <v>22.310300000000002</v>
      </c>
      <c r="AD4373">
        <v>-0.5457765</v>
      </c>
      <c r="AE4373">
        <v>-36.460410899999999</v>
      </c>
      <c r="AF4373">
        <v>-16.700814772205501</v>
      </c>
      <c r="AG4373">
        <v>-0.5457765</v>
      </c>
      <c r="AH4373">
        <v>39.339525120532699</v>
      </c>
      <c r="AI4373">
        <v>90.731647987390502</v>
      </c>
      <c r="AJ4373">
        <v>113.002686648241</v>
      </c>
      <c r="AK4373">
        <v>42.741236794838898</v>
      </c>
    </row>
    <row r="4374" spans="1:37" x14ac:dyDescent="0.2">
      <c r="A4374" t="str">
        <f>"20200111160258575"</f>
        <v>20200111160258575</v>
      </c>
      <c r="B4374" t="str">
        <f>"1578729778567691"</f>
        <v>1578729778567691</v>
      </c>
      <c r="C4374" t="s">
        <v>37</v>
      </c>
      <c r="D4374">
        <v>5.3803169999999998</v>
      </c>
      <c r="E4374">
        <v>0.43422919999999998</v>
      </c>
      <c r="F4374" t="s">
        <v>64</v>
      </c>
      <c r="G4374">
        <v>-414.67910000000001</v>
      </c>
      <c r="H4374" s="1">
        <v>-8.8282210000000004E-6</v>
      </c>
      <c r="I4374">
        <v>26.84628</v>
      </c>
      <c r="J4374">
        <v>-420.43650000000002</v>
      </c>
      <c r="K4374">
        <v>1.107777</v>
      </c>
      <c r="L4374">
        <v>36.976439999999997</v>
      </c>
      <c r="M4374">
        <v>0.15262100000000001</v>
      </c>
      <c r="N4374">
        <v>0</v>
      </c>
      <c r="O4374">
        <v>-0.98817819999999901</v>
      </c>
      <c r="P4374">
        <v>0.33591509999999902</v>
      </c>
      <c r="Q4374">
        <v>-1.4888E-2</v>
      </c>
      <c r="R4374">
        <v>-0.94177479999999902</v>
      </c>
      <c r="S4374">
        <v>1.4902340000000001</v>
      </c>
      <c r="T4374">
        <v>-0.28504170000000001</v>
      </c>
      <c r="U4374">
        <v>-2.6539000000000001</v>
      </c>
      <c r="V4374">
        <v>-0.18821869999999999</v>
      </c>
      <c r="W4374">
        <v>-2.080569E-3</v>
      </c>
      <c r="X4374">
        <v>0.98212489999999997</v>
      </c>
      <c r="Y4374">
        <v>-0.3485819</v>
      </c>
      <c r="Z4374">
        <v>9.4722150000000005E-2</v>
      </c>
      <c r="AA4374">
        <v>0.93247969999999902</v>
      </c>
      <c r="AB4374">
        <v>19</v>
      </c>
      <c r="AC4374">
        <v>5.7574000000000103</v>
      </c>
      <c r="AD4374">
        <v>-1.107785828221</v>
      </c>
      <c r="AE4374">
        <v>-10.13016</v>
      </c>
      <c r="AF4374">
        <v>-4.1065796306918596</v>
      </c>
      <c r="AG4374">
        <v>-1.107785828221</v>
      </c>
      <c r="AH4374">
        <v>10.7926966945833</v>
      </c>
      <c r="AI4374">
        <v>95.479752762849103</v>
      </c>
      <c r="AJ4374">
        <v>110.831627692032</v>
      </c>
      <c r="AK4374">
        <v>11.600581349470801</v>
      </c>
    </row>
    <row r="4375" spans="1:37" x14ac:dyDescent="0.2">
      <c r="A4375" t="str">
        <f>"20200111160258596"</f>
        <v>20200111160258596</v>
      </c>
      <c r="B4375" t="str">
        <f>"1578729778587211"</f>
        <v>1578729778587211</v>
      </c>
      <c r="C4375" t="s">
        <v>37</v>
      </c>
      <c r="D4375">
        <v>5.4165519999999896</v>
      </c>
      <c r="E4375">
        <v>0.43682799999999999</v>
      </c>
      <c r="F4375" t="s">
        <v>64</v>
      </c>
      <c r="G4375">
        <v>-414.85140000000001</v>
      </c>
      <c r="H4375" s="1">
        <v>-8.7961629999999994E-6</v>
      </c>
      <c r="I4375">
        <v>27.098959999999899</v>
      </c>
      <c r="J4375">
        <v>-420.40140000000002</v>
      </c>
      <c r="K4375">
        <v>1.1078139999999901</v>
      </c>
      <c r="L4375">
        <v>36.793459999999897</v>
      </c>
      <c r="M4375">
        <v>0.158251</v>
      </c>
      <c r="N4375">
        <v>0</v>
      </c>
      <c r="O4375">
        <v>-0.9872919</v>
      </c>
      <c r="P4375">
        <v>0.34278799999999998</v>
      </c>
      <c r="Q4375">
        <v>-1.542487E-2</v>
      </c>
      <c r="R4375">
        <v>-0.93928650000000002</v>
      </c>
      <c r="S4375">
        <v>1.4966740000000001</v>
      </c>
      <c r="T4375">
        <v>-0.29685840000000002</v>
      </c>
      <c r="U4375">
        <v>-2.6469119999999999</v>
      </c>
      <c r="V4375">
        <v>-0.18979409999999999</v>
      </c>
      <c r="W4375">
        <v>-2.6457809999999998E-3</v>
      </c>
      <c r="X4375">
        <v>0.98182029999999998</v>
      </c>
      <c r="Y4375">
        <v>-0.34582170000000001</v>
      </c>
      <c r="Z4375">
        <v>9.8697359999999998E-2</v>
      </c>
      <c r="AA4375">
        <v>0.93309489999999995</v>
      </c>
      <c r="AB4375">
        <v>19</v>
      </c>
      <c r="AC4375">
        <v>5.5500000000000096</v>
      </c>
      <c r="AD4375">
        <v>-1.1078227961629901</v>
      </c>
      <c r="AE4375">
        <v>-9.6944999999999908</v>
      </c>
      <c r="AF4375">
        <v>-3.9072943382467198</v>
      </c>
      <c r="AG4375">
        <v>-1.1078227961629901</v>
      </c>
      <c r="AH4375">
        <v>10.348916859029799</v>
      </c>
      <c r="AI4375">
        <v>95.718934004516498</v>
      </c>
      <c r="AJ4375">
        <v>110.684323607793</v>
      </c>
      <c r="AK4375">
        <v>11.117297358103899</v>
      </c>
    </row>
    <row r="4376" spans="1:37" x14ac:dyDescent="0.2">
      <c r="A4376" t="str">
        <f>"20200111160258620"</f>
        <v>20200111160258620</v>
      </c>
      <c r="B4376" t="str">
        <f>"1578729778617468"</f>
        <v>1578729778617468</v>
      </c>
      <c r="C4376" t="s">
        <v>37</v>
      </c>
      <c r="D4376">
        <v>6.0254089999999998</v>
      </c>
      <c r="E4376">
        <v>0.43944480000000002</v>
      </c>
      <c r="F4376" t="s">
        <v>64</v>
      </c>
      <c r="G4376">
        <v>-415.01499999999999</v>
      </c>
      <c r="H4376" s="1">
        <v>-8.7589160000000006E-6</v>
      </c>
      <c r="I4376">
        <v>27.27854</v>
      </c>
      <c r="J4376">
        <v>-420.36360000000002</v>
      </c>
      <c r="K4376">
        <v>1.1078429999999999</v>
      </c>
      <c r="L4376">
        <v>36.60275</v>
      </c>
      <c r="M4376">
        <v>0.16425129999999999</v>
      </c>
      <c r="N4376">
        <v>0</v>
      </c>
      <c r="O4376">
        <v>-0.98631139999999995</v>
      </c>
      <c r="P4376">
        <v>0.34903259999999903</v>
      </c>
      <c r="Q4376">
        <v>-1.536118E-2</v>
      </c>
      <c r="R4376">
        <v>-0.93698510000000002</v>
      </c>
      <c r="S4376">
        <v>1.496124</v>
      </c>
      <c r="T4376">
        <v>-0.30771140000000002</v>
      </c>
      <c r="U4376">
        <v>-2.6428829999999999</v>
      </c>
      <c r="V4376">
        <v>-0.19035920000000001</v>
      </c>
      <c r="W4376">
        <v>-2.5989519999999999E-3</v>
      </c>
      <c r="X4376">
        <v>0.98171109999999995</v>
      </c>
      <c r="Y4376">
        <v>-0.34039350000000002</v>
      </c>
      <c r="Z4376">
        <v>0.10235710000000001</v>
      </c>
      <c r="AA4376">
        <v>0.93469530000000001</v>
      </c>
      <c r="AB4376">
        <v>19</v>
      </c>
      <c r="AC4376">
        <v>5.3486000000000304</v>
      </c>
      <c r="AD4376">
        <v>-1.107851758916</v>
      </c>
      <c r="AE4376">
        <v>-9.3242099999999901</v>
      </c>
      <c r="AF4376">
        <v>-3.7049142377148998</v>
      </c>
      <c r="AG4376">
        <v>-1.107851758916</v>
      </c>
      <c r="AH4376">
        <v>9.97025157928379</v>
      </c>
      <c r="AI4376">
        <v>95.946313360115596</v>
      </c>
      <c r="AJ4376">
        <v>110.384908299172</v>
      </c>
      <c r="AK4376">
        <v>10.693906750237099</v>
      </c>
    </row>
    <row r="4377" spans="1:37" x14ac:dyDescent="0.2">
      <c r="A4377" t="str">
        <f>"20200111160258776"</f>
        <v>20200111160258776</v>
      </c>
      <c r="B4377" t="str">
        <f>"1578729778767523"</f>
        <v>1578729778767523</v>
      </c>
      <c r="C4377" t="s">
        <v>37</v>
      </c>
      <c r="D4377">
        <v>5.6378639999999898</v>
      </c>
      <c r="E4377">
        <v>0.31059940000000003</v>
      </c>
      <c r="F4377" t="s">
        <v>64</v>
      </c>
      <c r="G4377">
        <v>-414.94699999999898</v>
      </c>
      <c r="H4377" s="1">
        <v>-8.7549050000000002E-6</v>
      </c>
      <c r="I4377">
        <v>27.030609999999999</v>
      </c>
      <c r="J4377">
        <v>-420.07080000000002</v>
      </c>
      <c r="K4377">
        <v>1.1081299999999901</v>
      </c>
      <c r="L4377">
        <v>35.316130000000001</v>
      </c>
      <c r="M4377">
        <v>0.208173</v>
      </c>
      <c r="N4377">
        <v>0</v>
      </c>
      <c r="O4377">
        <v>-0.97798320000000005</v>
      </c>
      <c r="P4377">
        <v>0.39069680000000001</v>
      </c>
      <c r="Q4377">
        <v>-2.59619E-2</v>
      </c>
      <c r="R4377">
        <v>-0.92015360000000002</v>
      </c>
      <c r="S4377">
        <v>1.494019</v>
      </c>
      <c r="T4377">
        <v>-0.30557240000000002</v>
      </c>
      <c r="U4377">
        <v>-2.640228</v>
      </c>
      <c r="V4377">
        <v>-0.19045390000000001</v>
      </c>
      <c r="W4377">
        <v>-1.3313999999999999E-2</v>
      </c>
      <c r="X4377">
        <v>0.98160590000000003</v>
      </c>
      <c r="Y4377">
        <v>-0.29793520000000001</v>
      </c>
      <c r="Z4377">
        <v>0.101226</v>
      </c>
      <c r="AA4377">
        <v>0.94920380000000004</v>
      </c>
      <c r="AB4377">
        <v>19</v>
      </c>
      <c r="AC4377">
        <v>5.1238000000000703</v>
      </c>
      <c r="AD4377">
        <v>-1.1081387549049999</v>
      </c>
      <c r="AE4377">
        <v>-8.28552</v>
      </c>
      <c r="AF4377">
        <v>-3.2445368464693201</v>
      </c>
      <c r="AG4377">
        <v>-1.1081387549049999</v>
      </c>
      <c r="AH4377">
        <v>9.0535663370763899</v>
      </c>
      <c r="AI4377">
        <v>96.572776118989594</v>
      </c>
      <c r="AJ4377">
        <v>109.716213923445</v>
      </c>
      <c r="AK4377">
        <v>9.6810151465671392</v>
      </c>
    </row>
    <row r="4378" spans="1:37" x14ac:dyDescent="0.2">
      <c r="A4378" t="str">
        <f>"20200111160258866"</f>
        <v>20200111160258866</v>
      </c>
      <c r="B4378" t="str">
        <f>"1578729778857315"</f>
        <v>1578729778857315</v>
      </c>
      <c r="C4378" t="s">
        <v>37</v>
      </c>
      <c r="D4378">
        <v>5.5169079999999999</v>
      </c>
      <c r="E4378">
        <v>0.31302039999999998</v>
      </c>
      <c r="F4378" t="s">
        <v>39</v>
      </c>
      <c r="G4378">
        <v>-355.90899999999999</v>
      </c>
      <c r="H4378">
        <v>-0.05</v>
      </c>
      <c r="I4378">
        <v>-19.034549999999999</v>
      </c>
      <c r="J4378">
        <v>-419.8741</v>
      </c>
      <c r="K4378">
        <v>1.108476</v>
      </c>
      <c r="L4378">
        <v>34.593959999999903</v>
      </c>
      <c r="M4378">
        <v>0.23619499999999999</v>
      </c>
      <c r="N4378">
        <v>0</v>
      </c>
      <c r="O4378">
        <v>-0.97159530000000005</v>
      </c>
      <c r="P4378">
        <v>0.428785999999999</v>
      </c>
      <c r="Q4378">
        <v>-2.2234940000000002E-2</v>
      </c>
      <c r="R4378">
        <v>-0.90313239999999995</v>
      </c>
      <c r="S4378">
        <v>2.5627439999999999</v>
      </c>
      <c r="T4378">
        <v>-4.6257850000000003E-2</v>
      </c>
      <c r="U4378">
        <v>-2.170868</v>
      </c>
      <c r="V4378">
        <v>-0.203228399999999</v>
      </c>
      <c r="W4378">
        <v>-9.8376309999999995E-3</v>
      </c>
      <c r="X4378">
        <v>0.97908189999999995</v>
      </c>
      <c r="Y4378">
        <v>-0.58867809999999998</v>
      </c>
      <c r="Z4378">
        <v>1.4440939999999999E-2</v>
      </c>
      <c r="AA4378">
        <v>0.80823859999999903</v>
      </c>
      <c r="AB4378">
        <v>19</v>
      </c>
      <c r="AC4378">
        <v>63.9651</v>
      </c>
      <c r="AD4378">
        <v>-1.1584760000000001</v>
      </c>
      <c r="AE4378">
        <v>-53.628509999999899</v>
      </c>
      <c r="AF4378">
        <v>-49.477182084075103</v>
      </c>
      <c r="AG4378">
        <v>-1.1584760000000001</v>
      </c>
      <c r="AH4378">
        <v>67.207709363423504</v>
      </c>
      <c r="AI4378">
        <v>90.795289674372398</v>
      </c>
      <c r="AJ4378">
        <v>126.359873698207</v>
      </c>
      <c r="AK4378">
        <v>83.463823369779206</v>
      </c>
    </row>
    <row r="4379" spans="1:37" x14ac:dyDescent="0.2">
      <c r="A4379" t="str">
        <f>"20200111160258887"</f>
        <v>20200111160258887</v>
      </c>
      <c r="B4379" t="str">
        <f>"1578729778876836"</f>
        <v>1578729778876836</v>
      </c>
      <c r="C4379" t="s">
        <v>37</v>
      </c>
      <c r="D4379">
        <v>5.5309710000000001</v>
      </c>
      <c r="E4379">
        <v>0.31491249999999998</v>
      </c>
      <c r="F4379" t="s">
        <v>38</v>
      </c>
      <c r="G4379">
        <v>-394.55790000000002</v>
      </c>
      <c r="H4379" s="1">
        <v>-3.42493E-6</v>
      </c>
      <c r="I4379">
        <v>14.70079</v>
      </c>
      <c r="J4379">
        <v>-419.8236</v>
      </c>
      <c r="K4379">
        <v>1.1085769999999999</v>
      </c>
      <c r="L4379">
        <v>34.422699999999999</v>
      </c>
      <c r="M4379">
        <v>0.2433062</v>
      </c>
      <c r="N4379">
        <v>0</v>
      </c>
      <c r="O4379">
        <v>-0.96983889999999995</v>
      </c>
      <c r="P4379">
        <v>0.43734259999999903</v>
      </c>
      <c r="Q4379">
        <v>-2.1041730000000002E-2</v>
      </c>
      <c r="R4379">
        <v>-0.89904910000000005</v>
      </c>
      <c r="S4379">
        <v>2.6328740000000002</v>
      </c>
      <c r="T4379">
        <v>-0.115281199999999</v>
      </c>
      <c r="U4379">
        <v>-2.06887799999999</v>
      </c>
      <c r="V4379">
        <v>-0.205354799999999</v>
      </c>
      <c r="W4379">
        <v>-8.7010390000000007E-3</v>
      </c>
      <c r="X4379">
        <v>0.97864889999999904</v>
      </c>
      <c r="Y4379">
        <v>-0.6117939</v>
      </c>
      <c r="Z4379">
        <v>3.6235469999999999E-2</v>
      </c>
      <c r="AA4379">
        <v>0.79018679999999997</v>
      </c>
      <c r="AB4379">
        <v>19</v>
      </c>
      <c r="AC4379">
        <v>25.265699999999899</v>
      </c>
      <c r="AD4379">
        <v>-1.10858042493</v>
      </c>
      <c r="AE4379">
        <v>-19.721910000000001</v>
      </c>
      <c r="AF4379">
        <v>-19.683763125079601</v>
      </c>
      <c r="AG4379">
        <v>-1.10858042493</v>
      </c>
      <c r="AH4379">
        <v>25.246886979243101</v>
      </c>
      <c r="AI4379">
        <v>91.983284170508597</v>
      </c>
      <c r="AJ4379">
        <v>127.941799849619</v>
      </c>
      <c r="AK4379">
        <v>32.032558178601001</v>
      </c>
    </row>
    <row r="4380" spans="1:37" x14ac:dyDescent="0.2">
      <c r="A4380" t="str">
        <f>"20200111160258910"</f>
        <v>20200111160258910</v>
      </c>
      <c r="B4380" t="str">
        <f>"1578729778907092"</f>
        <v>1578729778907092</v>
      </c>
      <c r="C4380" t="s">
        <v>37</v>
      </c>
      <c r="D4380">
        <v>5.4586990000000002</v>
      </c>
      <c r="E4380">
        <v>0.31621830000000001</v>
      </c>
      <c r="F4380" t="s">
        <v>42</v>
      </c>
      <c r="G4380">
        <v>-419.1096</v>
      </c>
      <c r="H4380">
        <v>1.069917</v>
      </c>
      <c r="I4380">
        <v>33.867809999999999</v>
      </c>
      <c r="J4380">
        <v>-419.76940000000002</v>
      </c>
      <c r="K4380">
        <v>1.108679</v>
      </c>
      <c r="L4380">
        <v>34.244570000000003</v>
      </c>
      <c r="M4380">
        <v>0.2509073</v>
      </c>
      <c r="N4380">
        <v>0</v>
      </c>
      <c r="O4380">
        <v>-0.96789979999999998</v>
      </c>
      <c r="P4380">
        <v>0.44533829999999902</v>
      </c>
      <c r="Q4380">
        <v>-2.072069E-2</v>
      </c>
      <c r="R4380">
        <v>-0.89512309999999995</v>
      </c>
      <c r="S4380">
        <v>2.638763</v>
      </c>
      <c r="T4380">
        <v>-0.142833399999999</v>
      </c>
      <c r="U4380">
        <v>-2.0498959999999999</v>
      </c>
      <c r="V4380">
        <v>-0.2063981</v>
      </c>
      <c r="W4380">
        <v>-8.4248689999999998E-3</v>
      </c>
      <c r="X4380">
        <v>0.97843179999999996</v>
      </c>
      <c r="Y4380">
        <v>-0.60969640000000003</v>
      </c>
      <c r="Z4380">
        <v>4.4989830000000001E-2</v>
      </c>
      <c r="AA4380">
        <v>0.79135719999999898</v>
      </c>
      <c r="AB4380">
        <v>19</v>
      </c>
      <c r="AC4380">
        <v>0.65980000000001804</v>
      </c>
      <c r="AD4380">
        <v>-3.8762000000000102E-2</v>
      </c>
      <c r="AE4380">
        <v>-0.37676000000000398</v>
      </c>
      <c r="AF4380">
        <v>-0.54273451914124404</v>
      </c>
      <c r="AG4380">
        <v>-3.8762000000000102E-2</v>
      </c>
      <c r="AH4380">
        <v>0.52889515505485996</v>
      </c>
      <c r="AI4380">
        <v>92.928090869632598</v>
      </c>
      <c r="AJ4380">
        <v>135.73989466220999</v>
      </c>
      <c r="AK4380">
        <v>0.75881047432938198</v>
      </c>
    </row>
    <row r="4381" spans="1:37" x14ac:dyDescent="0.2">
      <c r="A4381" t="str">
        <f>"20200111160258933"</f>
        <v>20200111160258933</v>
      </c>
      <c r="B4381" t="str">
        <f>"1578729778927587"</f>
        <v>1578729778927587</v>
      </c>
      <c r="C4381" t="s">
        <v>37</v>
      </c>
      <c r="D4381">
        <v>5.4795910000000001</v>
      </c>
      <c r="E4381">
        <v>0.31718689999999999</v>
      </c>
      <c r="F4381" t="s">
        <v>64</v>
      </c>
      <c r="G4381">
        <v>-401.6035</v>
      </c>
      <c r="H4381" s="1">
        <v>-5.5196590000000002E-6</v>
      </c>
      <c r="I4381">
        <v>20.314969999999999</v>
      </c>
      <c r="J4381">
        <v>-419.7106</v>
      </c>
      <c r="K4381">
        <v>1.1087739999999999</v>
      </c>
      <c r="L4381">
        <v>34.05856</v>
      </c>
      <c r="M4381">
        <v>0.2590846</v>
      </c>
      <c r="N4381">
        <v>0</v>
      </c>
      <c r="O4381">
        <v>-0.96574259999999901</v>
      </c>
      <c r="P4381">
        <v>0.45362370000000002</v>
      </c>
      <c r="Q4381">
        <v>-2.2539920000000001E-2</v>
      </c>
      <c r="R4381">
        <v>-0.89090820000000004</v>
      </c>
      <c r="S4381">
        <v>2.647888</v>
      </c>
      <c r="T4381">
        <v>-0.16160329999999901</v>
      </c>
      <c r="U4381">
        <v>-2.0303960000000001</v>
      </c>
      <c r="V4381">
        <v>-0.2071904</v>
      </c>
      <c r="W4381">
        <v>-1.0284410000000001E-2</v>
      </c>
      <c r="X4381">
        <v>0.97824659999999997</v>
      </c>
      <c r="Y4381">
        <v>-0.60774510000000004</v>
      </c>
      <c r="Z4381">
        <v>5.0975020000000003E-2</v>
      </c>
      <c r="AA4381">
        <v>0.79249449999999999</v>
      </c>
      <c r="AB4381">
        <v>19</v>
      </c>
      <c r="AC4381">
        <v>18.107099999999999</v>
      </c>
      <c r="AD4381">
        <v>-1.108779519659</v>
      </c>
      <c r="AE4381">
        <v>-13.7435899999999</v>
      </c>
      <c r="AF4381">
        <v>-13.894496391076</v>
      </c>
      <c r="AG4381">
        <v>-1.108779519659</v>
      </c>
      <c r="AH4381">
        <v>17.923344251727201</v>
      </c>
      <c r="AI4381">
        <v>92.799061781670304</v>
      </c>
      <c r="AJ4381">
        <v>127.78348160668</v>
      </c>
      <c r="AK4381">
        <v>22.7053449907893</v>
      </c>
    </row>
    <row r="4382" spans="1:37" x14ac:dyDescent="0.2">
      <c r="A4382" t="str">
        <f>"20200111160258977"</f>
        <v>20200111160258977</v>
      </c>
      <c r="B4382" t="str">
        <f>"1578729778967603"</f>
        <v>1578729778967603</v>
      </c>
      <c r="C4382" t="s">
        <v>37</v>
      </c>
      <c r="D4382">
        <v>5.4530640000000004</v>
      </c>
      <c r="E4382">
        <v>0.318005599999999</v>
      </c>
      <c r="F4382" t="s">
        <v>64</v>
      </c>
      <c r="G4382">
        <v>-402.86279999999999</v>
      </c>
      <c r="H4382" s="1">
        <v>-5.1148569999999998E-6</v>
      </c>
      <c r="I4382">
        <v>21.336269999999999</v>
      </c>
      <c r="J4382">
        <v>-419.59980000000002</v>
      </c>
      <c r="K4382">
        <v>1.1088899999999999</v>
      </c>
      <c r="L4382">
        <v>33.723570000000002</v>
      </c>
      <c r="M4382">
        <v>0.2743044</v>
      </c>
      <c r="N4382">
        <v>0</v>
      </c>
      <c r="O4382">
        <v>-0.96153009999999905</v>
      </c>
      <c r="P4382">
        <v>0.46841450000000001</v>
      </c>
      <c r="Q4382">
        <v>-2.7572449999999998E-2</v>
      </c>
      <c r="R4382">
        <v>-0.88307860000000005</v>
      </c>
      <c r="S4382">
        <v>2.6599119999999998</v>
      </c>
      <c r="T4382">
        <v>-0.17505229999999999</v>
      </c>
      <c r="U4382">
        <v>-2.008575</v>
      </c>
      <c r="V4382">
        <v>-0.2080341</v>
      </c>
      <c r="W4382">
        <v>-1.536092E-2</v>
      </c>
      <c r="X4382">
        <v>0.97800089999999995</v>
      </c>
      <c r="Y4382">
        <v>-0.60086379999999995</v>
      </c>
      <c r="Z4382">
        <v>5.5248360000000003E-2</v>
      </c>
      <c r="AA4382">
        <v>0.79743989999999998</v>
      </c>
      <c r="AB4382">
        <v>19</v>
      </c>
      <c r="AC4382">
        <v>16.736999999999998</v>
      </c>
      <c r="AD4382">
        <v>-1.1088951148569901</v>
      </c>
      <c r="AE4382">
        <v>-12.3873</v>
      </c>
      <c r="AF4382">
        <v>-12.6607089568726</v>
      </c>
      <c r="AG4382">
        <v>-1.1088951148569901</v>
      </c>
      <c r="AH4382">
        <v>16.456911769522002</v>
      </c>
      <c r="AI4382">
        <v>93.0570311794025</v>
      </c>
      <c r="AJ4382">
        <v>127.571973569127</v>
      </c>
      <c r="AK4382">
        <v>20.793103295473198</v>
      </c>
    </row>
    <row r="4383" spans="1:37" x14ac:dyDescent="0.2">
      <c r="A4383" t="str">
        <f>"20200111160258999"</f>
        <v>20200111160258999</v>
      </c>
      <c r="B4383" t="str">
        <f>"1578729778996884"</f>
        <v>1578729778996884</v>
      </c>
      <c r="C4383" t="s">
        <v>37</v>
      </c>
      <c r="D4383">
        <v>5.6876550000000003</v>
      </c>
      <c r="E4383">
        <v>0.31913759999999902</v>
      </c>
      <c r="F4383" t="s">
        <v>42</v>
      </c>
      <c r="G4383">
        <v>-418.79590000000002</v>
      </c>
      <c r="H4383">
        <v>1.0493319999999999</v>
      </c>
      <c r="I4383">
        <v>33.135249999999999</v>
      </c>
      <c r="J4383">
        <v>-419.53919999999999</v>
      </c>
      <c r="K4383">
        <v>1.108924</v>
      </c>
      <c r="L4383">
        <v>33.548340000000003</v>
      </c>
      <c r="M4383">
        <v>0.28253499999999998</v>
      </c>
      <c r="N4383">
        <v>0</v>
      </c>
      <c r="O4383">
        <v>-0.95914359999999999</v>
      </c>
      <c r="P4383">
        <v>0.47590509999999903</v>
      </c>
      <c r="Q4383">
        <v>-3.1425519999999998E-2</v>
      </c>
      <c r="R4383">
        <v>-0.87893519999999903</v>
      </c>
      <c r="S4383">
        <v>2.6867679999999998</v>
      </c>
      <c r="T4383">
        <v>-0.199020899999999</v>
      </c>
      <c r="U4383">
        <v>-1.96585099999999</v>
      </c>
      <c r="V4383">
        <v>-0.20795959999999999</v>
      </c>
      <c r="W4383">
        <v>-1.922666E-2</v>
      </c>
      <c r="X4383">
        <v>0.97794840000000005</v>
      </c>
      <c r="Y4383">
        <v>-0.60567850000000001</v>
      </c>
      <c r="Z4383">
        <v>6.2943639999999995E-2</v>
      </c>
      <c r="AA4383">
        <v>0.79321600000000003</v>
      </c>
      <c r="AB4383">
        <v>19</v>
      </c>
      <c r="AC4383">
        <v>0.74329999999997598</v>
      </c>
      <c r="AD4383">
        <v>-5.9591999999999999E-2</v>
      </c>
      <c r="AE4383">
        <v>-0.41309000000000301</v>
      </c>
      <c r="AF4383">
        <v>-0.59336997555226301</v>
      </c>
      <c r="AG4383">
        <v>-5.9591999999999999E-2</v>
      </c>
      <c r="AH4383">
        <v>0.60332402147268904</v>
      </c>
      <c r="AI4383">
        <v>94.028200500886797</v>
      </c>
      <c r="AJ4383">
        <v>134.523427318091</v>
      </c>
      <c r="AK4383">
        <v>0.84831539490738395</v>
      </c>
    </row>
    <row r="4384" spans="1:37" x14ac:dyDescent="0.2">
      <c r="A4384" t="str">
        <f>"20200111160259446"</f>
        <v>20200111160259446</v>
      </c>
      <c r="B4384" t="str">
        <f>"1578729779437059"</f>
        <v>1578729779437059</v>
      </c>
      <c r="C4384" t="s">
        <v>37</v>
      </c>
      <c r="D4384">
        <v>5.3871589999999996</v>
      </c>
      <c r="E4384">
        <v>0.31737650000000001</v>
      </c>
      <c r="F4384" t="s">
        <v>42</v>
      </c>
      <c r="G4384">
        <v>-417.33429999999998</v>
      </c>
      <c r="H4384">
        <v>1.026286</v>
      </c>
      <c r="I4384">
        <v>30.260999999999999</v>
      </c>
      <c r="J4384">
        <v>-418.0256</v>
      </c>
      <c r="K4384">
        <v>1.1094170000000001</v>
      </c>
      <c r="L4384">
        <v>30.36307</v>
      </c>
      <c r="M4384">
        <v>0.46611190000000002</v>
      </c>
      <c r="N4384">
        <v>0</v>
      </c>
      <c r="O4384">
        <v>-0.88459759999999998</v>
      </c>
      <c r="P4384">
        <v>0.65443229999999997</v>
      </c>
      <c r="Q4384">
        <v>-5.9976139999999997E-2</v>
      </c>
      <c r="R4384">
        <v>-0.75373840000000003</v>
      </c>
      <c r="S4384">
        <v>3.0269469999999998</v>
      </c>
      <c r="T4384">
        <v>-0.29124279999999902</v>
      </c>
      <c r="U4384">
        <v>-1.365936</v>
      </c>
      <c r="V4384">
        <v>-0.22703870000000001</v>
      </c>
      <c r="W4384">
        <v>-4.8104729999999998E-2</v>
      </c>
      <c r="X4384">
        <v>0.97269699999999903</v>
      </c>
      <c r="Y4384">
        <v>-0.61053970000000002</v>
      </c>
      <c r="Z4384">
        <v>9.1256190000000001E-2</v>
      </c>
      <c r="AA4384">
        <v>0.78671059999999904</v>
      </c>
      <c r="AB4384">
        <v>18</v>
      </c>
      <c r="AC4384">
        <v>0.69130000000001202</v>
      </c>
      <c r="AD4384">
        <v>-8.3130999999999997E-2</v>
      </c>
      <c r="AE4384">
        <v>-0.10207000000000099</v>
      </c>
      <c r="AF4384">
        <v>-0.55613958559495003</v>
      </c>
      <c r="AG4384">
        <v>-8.3130999999999997E-2</v>
      </c>
      <c r="AH4384">
        <v>0.40680361248278202</v>
      </c>
      <c r="AI4384">
        <v>96.879315974190305</v>
      </c>
      <c r="AJ4384">
        <v>143.81536837182199</v>
      </c>
      <c r="AK4384">
        <v>0.69403975459318201</v>
      </c>
    </row>
    <row r="4385" spans="1:37" x14ac:dyDescent="0.2">
      <c r="A4385" t="str">
        <f>"20200111160259469"</f>
        <v>20200111160259469</v>
      </c>
      <c r="B4385" t="str">
        <f>"1578729779457555"</f>
        <v>1578729779457555</v>
      </c>
      <c r="C4385" t="s">
        <v>37</v>
      </c>
      <c r="D4385">
        <v>5.4779309999999999</v>
      </c>
      <c r="E4385">
        <v>0.31742029999999999</v>
      </c>
      <c r="F4385" t="s">
        <v>42</v>
      </c>
      <c r="G4385">
        <v>-417.17939999999999</v>
      </c>
      <c r="H4385">
        <v>1.0265200000000001</v>
      </c>
      <c r="I4385">
        <v>30.003250000000001</v>
      </c>
      <c r="J4385">
        <v>-417.93439999999998</v>
      </c>
      <c r="K4385">
        <v>1.109381</v>
      </c>
      <c r="L4385">
        <v>30.216670000000001</v>
      </c>
      <c r="M4385">
        <v>0.47529159999999998</v>
      </c>
      <c r="N4385">
        <v>0</v>
      </c>
      <c r="O4385">
        <v>-0.87969979999999903</v>
      </c>
      <c r="P4385">
        <v>0.66230009999999995</v>
      </c>
      <c r="Q4385">
        <v>-5.940633E-2</v>
      </c>
      <c r="R4385">
        <v>-0.74688030000000005</v>
      </c>
      <c r="S4385">
        <v>3.0592039999999998</v>
      </c>
      <c r="T4385">
        <v>-0.29961850000000001</v>
      </c>
      <c r="U4385">
        <v>-1.300171</v>
      </c>
      <c r="V4385">
        <v>-0.22710669999999999</v>
      </c>
      <c r="W4385">
        <v>-4.7521639999999997E-2</v>
      </c>
      <c r="X4385">
        <v>0.97270979999999996</v>
      </c>
      <c r="Y4385">
        <v>-0.61936380000000002</v>
      </c>
      <c r="Z4385">
        <v>9.388929E-2</v>
      </c>
      <c r="AA4385">
        <v>0.77946979999999999</v>
      </c>
      <c r="AB4385">
        <v>18</v>
      </c>
      <c r="AC4385">
        <v>0.75499999999999501</v>
      </c>
      <c r="AD4385">
        <v>-8.2860999999999796E-2</v>
      </c>
      <c r="AE4385">
        <v>-0.213419999999999</v>
      </c>
      <c r="AF4385">
        <v>-0.55659217275222606</v>
      </c>
      <c r="AG4385">
        <v>-8.2860999999999796E-2</v>
      </c>
      <c r="AH4385">
        <v>0.54062254146899003</v>
      </c>
      <c r="AI4385">
        <v>96.095472742111298</v>
      </c>
      <c r="AJ4385">
        <v>135.83386401841599</v>
      </c>
      <c r="AK4385">
        <v>0.78034192789727397</v>
      </c>
    </row>
    <row r="4386" spans="1:37" x14ac:dyDescent="0.2">
      <c r="A4386" t="str">
        <f>"20200111160259492"</f>
        <v>20200111160259492</v>
      </c>
      <c r="B4386" t="str">
        <f>"1578729779487812"</f>
        <v>1578729779487812</v>
      </c>
      <c r="C4386" t="s">
        <v>37</v>
      </c>
      <c r="D4386">
        <v>5.4305680000000001</v>
      </c>
      <c r="E4386">
        <v>0.29857270000000002</v>
      </c>
      <c r="F4386" t="s">
        <v>42</v>
      </c>
      <c r="G4386">
        <v>-417.10309999999998</v>
      </c>
      <c r="H4386">
        <v>1.0291239999999999</v>
      </c>
      <c r="I4386">
        <v>29.873439999999999</v>
      </c>
      <c r="J4386">
        <v>-417.84010000000001</v>
      </c>
      <c r="K4386">
        <v>1.109356</v>
      </c>
      <c r="L4386">
        <v>30.068850000000001</v>
      </c>
      <c r="M4386">
        <v>0.48456459999999901</v>
      </c>
      <c r="N4386">
        <v>0</v>
      </c>
      <c r="O4386">
        <v>-0.87462629999999997</v>
      </c>
      <c r="P4386">
        <v>0.67080960000000001</v>
      </c>
      <c r="Q4386">
        <v>-5.879094E-2</v>
      </c>
      <c r="R4386">
        <v>-0.739295699999999</v>
      </c>
      <c r="S4386">
        <v>3.0725709999999999</v>
      </c>
      <c r="T4386">
        <v>-0.29660300000000001</v>
      </c>
      <c r="U4386">
        <v>-1.2684329999999999</v>
      </c>
      <c r="V4386">
        <v>-0.22794989999999901</v>
      </c>
      <c r="W4386">
        <v>-4.6907940000000002E-2</v>
      </c>
      <c r="X4386">
        <v>0.97254229999999997</v>
      </c>
      <c r="Y4386">
        <v>-0.61926230000000004</v>
      </c>
      <c r="Z4386">
        <v>9.2782580000000003E-2</v>
      </c>
      <c r="AA4386">
        <v>0.77968300000000001</v>
      </c>
      <c r="AB4386">
        <v>18</v>
      </c>
      <c r="AC4386">
        <v>0.73700000000002297</v>
      </c>
      <c r="AD4386">
        <v>-8.0231999999999998E-2</v>
      </c>
      <c r="AE4386">
        <v>-0.195409999999998</v>
      </c>
      <c r="AF4386">
        <v>-0.54394995227895804</v>
      </c>
      <c r="AG4386">
        <v>-8.0231999999999998E-2</v>
      </c>
      <c r="AH4386">
        <v>0.52231110196334696</v>
      </c>
      <c r="AI4386">
        <v>96.072976973686195</v>
      </c>
      <c r="AJ4386">
        <v>136.162608937974</v>
      </c>
      <c r="AK4386">
        <v>0.75837168436225699</v>
      </c>
    </row>
    <row r="4387" spans="1:37" x14ac:dyDescent="0.2">
      <c r="A4387" t="str">
        <f>"20200111160259514"</f>
        <v>20200111160259514</v>
      </c>
      <c r="B4387" t="str">
        <f>"1578729779507331"</f>
        <v>1578729779507331</v>
      </c>
      <c r="C4387" t="s">
        <v>37</v>
      </c>
      <c r="D4387">
        <v>5.4074580000000001</v>
      </c>
      <c r="E4387">
        <v>0.29526209999999897</v>
      </c>
      <c r="F4387" t="s">
        <v>38</v>
      </c>
      <c r="G4387">
        <v>-392.87520000000001</v>
      </c>
      <c r="H4387" s="1">
        <v>-3.7653440000000001E-6</v>
      </c>
      <c r="I4387">
        <v>21.183309999999999</v>
      </c>
      <c r="J4387">
        <v>-417.74439999999998</v>
      </c>
      <c r="K4387">
        <v>1.109327</v>
      </c>
      <c r="L4387">
        <v>29.922640000000001</v>
      </c>
      <c r="M4387">
        <v>0.49374049999999903</v>
      </c>
      <c r="N4387">
        <v>0</v>
      </c>
      <c r="O4387">
        <v>-0.86947949999999996</v>
      </c>
      <c r="P4387">
        <v>0.67973909999999904</v>
      </c>
      <c r="Q4387">
        <v>-5.7887229999999998E-2</v>
      </c>
      <c r="R4387">
        <v>-0.73116649999999905</v>
      </c>
      <c r="S4387">
        <v>3.2032470000000002</v>
      </c>
      <c r="T4387">
        <v>-0.14234229999999901</v>
      </c>
      <c r="U4387">
        <v>-1.1401059999999901</v>
      </c>
      <c r="V4387">
        <v>-0.22950670000000001</v>
      </c>
      <c r="W4387">
        <v>-4.6018120000000003E-2</v>
      </c>
      <c r="X4387">
        <v>0.97221859999999904</v>
      </c>
      <c r="Y4387">
        <v>-0.65265640000000003</v>
      </c>
      <c r="Z4387">
        <v>4.4053439999999999E-2</v>
      </c>
      <c r="AA4387">
        <v>0.7563723</v>
      </c>
      <c r="AB4387">
        <v>18</v>
      </c>
      <c r="AC4387">
        <v>24.8691999999999</v>
      </c>
      <c r="AD4387">
        <v>-1.1093307653440001</v>
      </c>
      <c r="AE4387">
        <v>-8.7393299999999901</v>
      </c>
      <c r="AF4387">
        <v>-17.279649136420201</v>
      </c>
      <c r="AG4387">
        <v>-1.1093307653440001</v>
      </c>
      <c r="AH4387">
        <v>19.8446974461087</v>
      </c>
      <c r="AI4387">
        <v>92.414063004587106</v>
      </c>
      <c r="AJ4387">
        <v>131.047519869734</v>
      </c>
      <c r="AK4387">
        <v>26.3368355303427</v>
      </c>
    </row>
    <row r="4388" spans="1:37" x14ac:dyDescent="0.2">
      <c r="A4388" t="str">
        <f>"20200111160259535"</f>
        <v>20200111160259535</v>
      </c>
      <c r="B4388" t="str">
        <f>"1578729779527827"</f>
        <v>1578729779527827</v>
      </c>
      <c r="C4388" t="s">
        <v>37</v>
      </c>
      <c r="D4388">
        <v>5.5164710000000001</v>
      </c>
      <c r="E4388">
        <v>0.29546790000000001</v>
      </c>
      <c r="F4388" t="s">
        <v>85</v>
      </c>
      <c r="G4388">
        <v>-381.56920000000002</v>
      </c>
      <c r="H4388" s="1">
        <v>-4.3089420000000003E-6</v>
      </c>
      <c r="I4388">
        <v>17.79421</v>
      </c>
      <c r="J4388">
        <v>-417.65390000000002</v>
      </c>
      <c r="K4388">
        <v>1.1093109999999999</v>
      </c>
      <c r="L4388">
        <v>29.78708</v>
      </c>
      <c r="M4388">
        <v>0.50225410000000004</v>
      </c>
      <c r="N4388">
        <v>0</v>
      </c>
      <c r="O4388">
        <v>-0.86458979999999996</v>
      </c>
      <c r="P4388">
        <v>0.68831589999999998</v>
      </c>
      <c r="Q4388">
        <v>-5.6696709999999997E-2</v>
      </c>
      <c r="R4388">
        <v>-0.72319250000000002</v>
      </c>
      <c r="S4388">
        <v>3.237457</v>
      </c>
      <c r="T4388">
        <v>-9.9278210000000006E-2</v>
      </c>
      <c r="U4388">
        <v>-1.0854189999999999</v>
      </c>
      <c r="V4388">
        <v>-0.23139570000000001</v>
      </c>
      <c r="W4388">
        <v>-4.4848069999999997E-2</v>
      </c>
      <c r="X4388">
        <v>0.97182539999999995</v>
      </c>
      <c r="Y4388">
        <v>-0.6596746</v>
      </c>
      <c r="Z4388">
        <v>3.063229E-2</v>
      </c>
      <c r="AA4388">
        <v>0.75092680000000001</v>
      </c>
      <c r="AB4388">
        <v>18</v>
      </c>
      <c r="AC4388">
        <v>36.084699999999998</v>
      </c>
      <c r="AD4388">
        <v>-1.109315308942</v>
      </c>
      <c r="AE4388">
        <v>-11.99287</v>
      </c>
      <c r="AF4388">
        <v>-25.156422145251401</v>
      </c>
      <c r="AG4388">
        <v>-1.109315308942</v>
      </c>
      <c r="AH4388">
        <v>28.471580693881101</v>
      </c>
      <c r="AI4388">
        <v>91.672435642070596</v>
      </c>
      <c r="AJ4388">
        <v>131.462609393468</v>
      </c>
      <c r="AK4388">
        <v>38.009302319470898</v>
      </c>
    </row>
    <row r="4389" spans="1:37" x14ac:dyDescent="0.2">
      <c r="A4389" t="str">
        <f>"20200111160259559"</f>
        <v>20200111160259559</v>
      </c>
      <c r="B4389" t="str">
        <f>"1578729779547348"</f>
        <v>1578729779547348</v>
      </c>
      <c r="C4389" t="s">
        <v>37</v>
      </c>
      <c r="D4389">
        <v>5.4897089999999897</v>
      </c>
      <c r="E4389">
        <v>0.29604730000000001</v>
      </c>
      <c r="F4389" t="s">
        <v>86</v>
      </c>
      <c r="G4389">
        <v>-372.20679999999999</v>
      </c>
      <c r="H4389" s="1">
        <v>-4.4637259999999996E-6</v>
      </c>
      <c r="I4389">
        <v>15.109959999999999</v>
      </c>
      <c r="J4389">
        <v>-417.55610000000001</v>
      </c>
      <c r="K4389">
        <v>1.1092899999999899</v>
      </c>
      <c r="L4389">
        <v>29.643709999999999</v>
      </c>
      <c r="M4389">
        <v>0.5112641</v>
      </c>
      <c r="N4389">
        <v>0</v>
      </c>
      <c r="O4389">
        <v>-0.85929259999999996</v>
      </c>
      <c r="P4389">
        <v>0.69721160000000004</v>
      </c>
      <c r="Q4389">
        <v>-5.4289270000000001E-2</v>
      </c>
      <c r="R4389">
        <v>-0.71480719999999998</v>
      </c>
      <c r="S4389">
        <v>3.2494509999999899</v>
      </c>
      <c r="T4389">
        <v>-7.9315540000000004E-2</v>
      </c>
      <c r="U4389">
        <v>-1.0494079999999999</v>
      </c>
      <c r="V4389">
        <v>-0.23319589999999901</v>
      </c>
      <c r="W4389">
        <v>-4.2459539999999997E-2</v>
      </c>
      <c r="X4389">
        <v>0.97150239999999999</v>
      </c>
      <c r="Y4389">
        <v>-0.66034700000000002</v>
      </c>
      <c r="Z4389">
        <v>2.4436309999999999E-2</v>
      </c>
      <c r="AA4389">
        <v>0.75056290000000003</v>
      </c>
      <c r="AB4389">
        <v>17</v>
      </c>
      <c r="AC4389">
        <v>45.349299999999999</v>
      </c>
      <c r="AD4389">
        <v>-1.1092944637259901</v>
      </c>
      <c r="AE4389">
        <v>-14.5337499999999</v>
      </c>
      <c r="AF4389">
        <v>-31.524180327519002</v>
      </c>
      <c r="AG4389">
        <v>-1.1092944637259901</v>
      </c>
      <c r="AH4389">
        <v>35.658882308387099</v>
      </c>
      <c r="AI4389">
        <v>91.335134866682495</v>
      </c>
      <c r="AJ4389">
        <v>131.47824104718799</v>
      </c>
      <c r="AK4389">
        <v>47.608406474199398</v>
      </c>
    </row>
    <row r="4390" spans="1:37" x14ac:dyDescent="0.2">
      <c r="A4390" t="str">
        <f>"20200111160259581"</f>
        <v>20200111160259581</v>
      </c>
      <c r="B4390" t="str">
        <f>"1578729779577603"</f>
        <v>1578729779577603</v>
      </c>
      <c r="C4390" t="s">
        <v>37</v>
      </c>
      <c r="D4390">
        <v>5.4801299999999999</v>
      </c>
      <c r="E4390">
        <v>0.297101</v>
      </c>
      <c r="F4390" t="s">
        <v>87</v>
      </c>
      <c r="G4390">
        <v>-363.53609999999998</v>
      </c>
      <c r="H4390" s="1">
        <v>-4.2830429999999996E-6</v>
      </c>
      <c r="I4390">
        <v>12.849919999999999</v>
      </c>
      <c r="J4390">
        <v>-417.45940000000002</v>
      </c>
      <c r="K4390">
        <v>1.1092759999999999</v>
      </c>
      <c r="L4390">
        <v>29.505099999999999</v>
      </c>
      <c r="M4390">
        <v>0.51998279999999997</v>
      </c>
      <c r="N4390">
        <v>0</v>
      </c>
      <c r="O4390">
        <v>-0.85404530000000001</v>
      </c>
      <c r="P4390">
        <v>0.70562209999999903</v>
      </c>
      <c r="Q4390">
        <v>-5.1941630000000003E-2</v>
      </c>
      <c r="R4390">
        <v>-0.70668240000000004</v>
      </c>
      <c r="S4390">
        <v>3.258972</v>
      </c>
      <c r="T4390">
        <v>-6.6922659999999995E-2</v>
      </c>
      <c r="U4390">
        <v>-1.013153</v>
      </c>
      <c r="V4390">
        <v>-0.23474320000000001</v>
      </c>
      <c r="W4390">
        <v>-4.0128129999999998E-2</v>
      </c>
      <c r="X4390">
        <v>0.9712288</v>
      </c>
      <c r="Y4390">
        <v>-0.66102830000000001</v>
      </c>
      <c r="Z4390">
        <v>2.0597499999999901E-2</v>
      </c>
      <c r="AA4390">
        <v>0.75007819999999903</v>
      </c>
      <c r="AB4390">
        <v>17</v>
      </c>
      <c r="AC4390">
        <v>53.923299999999998</v>
      </c>
      <c r="AD4390">
        <v>-1.109280283043</v>
      </c>
      <c r="AE4390">
        <v>-16.655179999999898</v>
      </c>
      <c r="AF4390">
        <v>-37.382290203537501</v>
      </c>
      <c r="AG4390">
        <v>-1.109280283043</v>
      </c>
      <c r="AH4390">
        <v>42.251888747961701</v>
      </c>
      <c r="AI4390">
        <v>91.126452797110304</v>
      </c>
      <c r="AJ4390">
        <v>131.500742965358</v>
      </c>
      <c r="AK4390">
        <v>56.425953482222802</v>
      </c>
    </row>
    <row r="4391" spans="1:37" x14ac:dyDescent="0.2">
      <c r="A4391" t="str">
        <f>"20200111160259603"</f>
        <v>20200111160259603</v>
      </c>
      <c r="B4391" t="str">
        <f>"1578729779597123"</f>
        <v>1578729779597123</v>
      </c>
      <c r="C4391" t="s">
        <v>37</v>
      </c>
      <c r="D4391">
        <v>5.5023780000000002</v>
      </c>
      <c r="E4391">
        <v>0.29833929999999997</v>
      </c>
      <c r="F4391" t="s">
        <v>87</v>
      </c>
      <c r="G4391">
        <v>-361.0317</v>
      </c>
      <c r="H4391" s="1">
        <v>-5.4930139999999997E-6</v>
      </c>
      <c r="I4391">
        <v>12.551259999999999</v>
      </c>
      <c r="J4391">
        <v>-417.35719999999998</v>
      </c>
      <c r="K4391">
        <v>1.109264</v>
      </c>
      <c r="L4391">
        <v>29.361689999999999</v>
      </c>
      <c r="M4391">
        <v>0.52901379999999998</v>
      </c>
      <c r="N4391">
        <v>0</v>
      </c>
      <c r="O4391">
        <v>-0.84848080000000003</v>
      </c>
      <c r="P4391">
        <v>0.71368369999999903</v>
      </c>
      <c r="Q4391">
        <v>-5.0245900000000003E-2</v>
      </c>
      <c r="R4391">
        <v>-0.69866349999999999</v>
      </c>
      <c r="S4391">
        <v>3.264526</v>
      </c>
      <c r="T4391">
        <v>-6.4175609999999994E-2</v>
      </c>
      <c r="U4391">
        <v>-0.98083500000000001</v>
      </c>
      <c r="V4391">
        <v>-0.2355391</v>
      </c>
      <c r="W4391">
        <v>-3.8438189999999997E-2</v>
      </c>
      <c r="X4391">
        <v>0.97110439999999998</v>
      </c>
      <c r="Y4391">
        <v>-0.66024110000000003</v>
      </c>
      <c r="Z4391">
        <v>1.9729679999999999E-2</v>
      </c>
      <c r="AA4391">
        <v>0.75079459999999998</v>
      </c>
      <c r="AB4391">
        <v>17</v>
      </c>
      <c r="AC4391">
        <v>56.325499999999899</v>
      </c>
      <c r="AD4391">
        <v>-1.1092694930139999</v>
      </c>
      <c r="AE4391">
        <v>-16.81043</v>
      </c>
      <c r="AF4391">
        <v>-38.888678030083</v>
      </c>
      <c r="AG4391">
        <v>-1.1092694930139999</v>
      </c>
      <c r="AH4391">
        <v>44.049558278074599</v>
      </c>
      <c r="AI4391">
        <v>91.081506526095197</v>
      </c>
      <c r="AJ4391">
        <v>131.439327552534</v>
      </c>
      <c r="AK4391">
        <v>58.770088839724302</v>
      </c>
    </row>
    <row r="4392" spans="1:37" x14ac:dyDescent="0.2">
      <c r="A4392" t="str">
        <f>"20200111160259626"</f>
        <v>20200111160259626</v>
      </c>
      <c r="B4392" t="str">
        <f>"1578729779617619"</f>
        <v>1578729779617619</v>
      </c>
      <c r="C4392" t="s">
        <v>37</v>
      </c>
      <c r="D4392">
        <v>5.5339749999999999</v>
      </c>
      <c r="E4392">
        <v>0.29950290000000002</v>
      </c>
      <c r="F4392" t="s">
        <v>38</v>
      </c>
      <c r="G4392">
        <v>-358.21980000000002</v>
      </c>
      <c r="H4392" s="1">
        <v>-2.5755199999999999E-6</v>
      </c>
      <c r="I4392">
        <v>12.160909999999999</v>
      </c>
      <c r="J4392">
        <v>-417.25920000000002</v>
      </c>
      <c r="K4392">
        <v>1.1092420000000001</v>
      </c>
      <c r="L4392">
        <v>29.2271099999999</v>
      </c>
      <c r="M4392">
        <v>0.53750189999999998</v>
      </c>
      <c r="N4392">
        <v>0</v>
      </c>
      <c r="O4392">
        <v>-0.84312949999999998</v>
      </c>
      <c r="P4392">
        <v>0.72002200000000005</v>
      </c>
      <c r="Q4392">
        <v>-5.0342730000000002E-2</v>
      </c>
      <c r="R4392">
        <v>-0.69212320000000005</v>
      </c>
      <c r="S4392">
        <v>3.2685240000000002</v>
      </c>
      <c r="T4392">
        <v>-6.1309219999999998E-2</v>
      </c>
      <c r="U4392">
        <v>-0.95068359999999996</v>
      </c>
      <c r="V4392">
        <v>-0.2346502</v>
      </c>
      <c r="W4392">
        <v>-3.8517549999999998E-2</v>
      </c>
      <c r="X4392">
        <v>0.97131650000000003</v>
      </c>
      <c r="Y4392">
        <v>-0.65934589999999904</v>
      </c>
      <c r="Z4392">
        <v>1.8829450000000001E-2</v>
      </c>
      <c r="AA4392">
        <v>0.75160400000000005</v>
      </c>
      <c r="AB4392">
        <v>17</v>
      </c>
      <c r="AC4392">
        <v>59.039400000000001</v>
      </c>
      <c r="AD4392">
        <v>-1.10924457552</v>
      </c>
      <c r="AE4392">
        <v>-17.066199999999899</v>
      </c>
      <c r="AF4392">
        <v>-40.596075348087297</v>
      </c>
      <c r="AG4392">
        <v>-1.10924457552</v>
      </c>
      <c r="AH4392">
        <v>46.112958656751402</v>
      </c>
      <c r="AI4392">
        <v>91.034370524147405</v>
      </c>
      <c r="AJ4392">
        <v>131.35944937125501</v>
      </c>
      <c r="AK4392">
        <v>61.446535404977702</v>
      </c>
    </row>
    <row r="4393" spans="1:37" x14ac:dyDescent="0.2">
      <c r="A4393" t="str">
        <f>"20200111160259647"</f>
        <v>20200111160259647</v>
      </c>
      <c r="B4393" t="str">
        <f>"1578729779637139"</f>
        <v>1578729779637139</v>
      </c>
      <c r="C4393" t="s">
        <v>37</v>
      </c>
      <c r="D4393">
        <v>5.5570329999999997</v>
      </c>
      <c r="E4393">
        <v>0.30055290000000001</v>
      </c>
      <c r="F4393" t="s">
        <v>87</v>
      </c>
      <c r="G4393">
        <v>-367.11840000000001</v>
      </c>
      <c r="H4393" s="1">
        <v>-2.332174E-6</v>
      </c>
      <c r="I4393">
        <v>15.01169</v>
      </c>
      <c r="J4393">
        <v>-417.16109999999998</v>
      </c>
      <c r="K4393">
        <v>1.109224</v>
      </c>
      <c r="L4393">
        <v>29.095369999999999</v>
      </c>
      <c r="M4393">
        <v>0.54582180000000002</v>
      </c>
      <c r="N4393">
        <v>0</v>
      </c>
      <c r="O4393">
        <v>-0.83776779999999995</v>
      </c>
      <c r="P4393">
        <v>0.72645579999999998</v>
      </c>
      <c r="Q4393">
        <v>-4.9773419999999999E-2</v>
      </c>
      <c r="R4393">
        <v>-0.68540889999999999</v>
      </c>
      <c r="S4393">
        <v>3.2702640000000001</v>
      </c>
      <c r="T4393">
        <v>-7.2346809999999998E-2</v>
      </c>
      <c r="U4393">
        <v>-0.92715449999999999</v>
      </c>
      <c r="V4393">
        <v>-0.234094</v>
      </c>
      <c r="W4393">
        <v>-3.79356E-2</v>
      </c>
      <c r="X4393">
        <v>0.97147359999999905</v>
      </c>
      <c r="Y4393">
        <v>-0.65692930000000005</v>
      </c>
      <c r="Z4393">
        <v>2.2181220000000001E-2</v>
      </c>
      <c r="AA4393">
        <v>0.75362589999999996</v>
      </c>
      <c r="AB4393">
        <v>17</v>
      </c>
      <c r="AC4393">
        <v>50.042699999999897</v>
      </c>
      <c r="AD4393">
        <v>-1.1092263321739999</v>
      </c>
      <c r="AE4393">
        <v>-14.083679999999999</v>
      </c>
      <c r="AF4393">
        <v>-34.225231534112403</v>
      </c>
      <c r="AG4393">
        <v>-1.1092263321739999</v>
      </c>
      <c r="AH4393">
        <v>39.099824876241598</v>
      </c>
      <c r="AI4393">
        <v>91.222874469490705</v>
      </c>
      <c r="AJ4393">
        <v>131.19661706870701</v>
      </c>
      <c r="AK4393">
        <v>51.9749282055527</v>
      </c>
    </row>
    <row r="4394" spans="1:37" x14ac:dyDescent="0.2">
      <c r="A4394" t="str">
        <f>"20200111160259671"</f>
        <v>20200111160259671</v>
      </c>
      <c r="B4394" t="str">
        <f>"1578729779667395"</f>
        <v>1578729779667395</v>
      </c>
      <c r="C4394" t="s">
        <v>37</v>
      </c>
      <c r="D4394">
        <v>5.6157510000000004</v>
      </c>
      <c r="E4394">
        <v>0.30217549999999999</v>
      </c>
      <c r="F4394" t="s">
        <v>86</v>
      </c>
      <c r="G4394">
        <v>-371.07650000000001</v>
      </c>
      <c r="H4394" s="1">
        <v>-4.7711519999999997E-6</v>
      </c>
      <c r="I4394">
        <v>16.388929999999998</v>
      </c>
      <c r="J4394">
        <v>-417.05990000000003</v>
      </c>
      <c r="K4394">
        <v>1.1092059999999999</v>
      </c>
      <c r="L4394">
        <v>28.9621</v>
      </c>
      <c r="M4394">
        <v>0.55425210000000003</v>
      </c>
      <c r="N4394">
        <v>0</v>
      </c>
      <c r="O4394">
        <v>-0.83221449999999997</v>
      </c>
      <c r="P4394">
        <v>0.73252220000000001</v>
      </c>
      <c r="Q4394">
        <v>-4.9557589999999999E-2</v>
      </c>
      <c r="R4394">
        <v>-0.67893729999999997</v>
      </c>
      <c r="S4394">
        <v>3.2727970000000002</v>
      </c>
      <c r="T4394">
        <v>-7.8774209999999997E-2</v>
      </c>
      <c r="U4394">
        <v>-0.90237429999999996</v>
      </c>
      <c r="V4394">
        <v>-0.23292159999999901</v>
      </c>
      <c r="W4394">
        <v>-3.7698089999999997E-2</v>
      </c>
      <c r="X4394">
        <v>0.97176459999999998</v>
      </c>
      <c r="Y4394">
        <v>-0.65471259999999998</v>
      </c>
      <c r="Z4394">
        <v>2.4104219999999999E-2</v>
      </c>
      <c r="AA4394">
        <v>0.75549359999999999</v>
      </c>
      <c r="AB4394">
        <v>17</v>
      </c>
      <c r="AC4394">
        <v>45.983400000000003</v>
      </c>
      <c r="AD4394">
        <v>-1.1092107711519901</v>
      </c>
      <c r="AE4394">
        <v>-12.573169999999999</v>
      </c>
      <c r="AF4394">
        <v>-31.285908779248</v>
      </c>
      <c r="AG4394">
        <v>-1.1092107711519901</v>
      </c>
      <c r="AH4394">
        <v>35.934536188231398</v>
      </c>
      <c r="AI4394">
        <v>91.333631585437701</v>
      </c>
      <c r="AJ4394">
        <v>131.04401083041401</v>
      </c>
      <c r="AK4394">
        <v>47.658465436284999</v>
      </c>
    </row>
    <row r="4395" spans="1:37" x14ac:dyDescent="0.2">
      <c r="A4395" t="str">
        <f>"20200111160259693"</f>
        <v>20200111160259693</v>
      </c>
      <c r="B4395" t="str">
        <f>"1578729779686915"</f>
        <v>1578729779686915</v>
      </c>
      <c r="C4395" t="s">
        <v>37</v>
      </c>
      <c r="D4395">
        <v>5.5912379999999997</v>
      </c>
      <c r="E4395">
        <v>0.30217549999999999</v>
      </c>
      <c r="F4395" t="s">
        <v>85</v>
      </c>
      <c r="G4395">
        <v>-380.26839999999999</v>
      </c>
      <c r="H4395" s="1">
        <v>-4.7022599999999996E-6</v>
      </c>
      <c r="I4395">
        <v>19.04346</v>
      </c>
      <c r="J4395">
        <v>-416.950999999999</v>
      </c>
      <c r="K4395">
        <v>1.1091850000000001</v>
      </c>
      <c r="L4395">
        <v>28.822050000000001</v>
      </c>
      <c r="M4395">
        <v>0.56312580000000001</v>
      </c>
      <c r="N4395">
        <v>0</v>
      </c>
      <c r="O4395">
        <v>-0.82623599999999997</v>
      </c>
      <c r="P4395">
        <v>0.73856069999999996</v>
      </c>
      <c r="Q4395">
        <v>-4.9944189999999999E-2</v>
      </c>
      <c r="R4395">
        <v>-0.67233469999999995</v>
      </c>
      <c r="S4395">
        <v>3.2713619999999999</v>
      </c>
      <c r="T4395">
        <v>-9.8626850000000002E-2</v>
      </c>
      <c r="U4395">
        <v>-0.88192749999999998</v>
      </c>
      <c r="V4395">
        <v>-0.23122219999999999</v>
      </c>
      <c r="W4395">
        <v>-3.805555E-2</v>
      </c>
      <c r="X4395">
        <v>0.97215640000000003</v>
      </c>
      <c r="Y4395">
        <v>-0.65074750000000003</v>
      </c>
      <c r="Z4395">
        <v>3.0109759999999999E-2</v>
      </c>
      <c r="AA4395">
        <v>0.75869699999999995</v>
      </c>
      <c r="AB4395">
        <v>17</v>
      </c>
      <c r="AC4395">
        <v>36.682599999999901</v>
      </c>
      <c r="AD4395">
        <v>-1.1091897022599999</v>
      </c>
      <c r="AE4395">
        <v>-9.7785899999999994</v>
      </c>
      <c r="AF4395">
        <v>-24.7835229607958</v>
      </c>
      <c r="AG4395">
        <v>-1.1091897022599999</v>
      </c>
      <c r="AH4395">
        <v>28.715039584654399</v>
      </c>
      <c r="AI4395">
        <v>91.674973919630602</v>
      </c>
      <c r="AJ4395">
        <v>130.79698777587899</v>
      </c>
      <c r="AK4395">
        <v>37.947421658027899</v>
      </c>
    </row>
    <row r="4396" spans="1:37" x14ac:dyDescent="0.2">
      <c r="A4396" t="str">
        <f>"20200111160259716"</f>
        <v>20200111160259716</v>
      </c>
      <c r="B4396" t="str">
        <f>"1578729779707411"</f>
        <v>1578729779707411</v>
      </c>
      <c r="C4396" t="s">
        <v>37</v>
      </c>
      <c r="D4396">
        <v>5.6564500000000004</v>
      </c>
      <c r="E4396">
        <v>0.3167082</v>
      </c>
      <c r="F4396" t="s">
        <v>86</v>
      </c>
      <c r="G4396">
        <v>-379.78989999999999</v>
      </c>
      <c r="H4396" s="1">
        <v>-1.865708E-7</v>
      </c>
      <c r="I4396">
        <v>19.158950000000001</v>
      </c>
      <c r="J4396">
        <v>-416.84620000000001</v>
      </c>
      <c r="K4396">
        <v>1.1091519999999999</v>
      </c>
      <c r="L4396">
        <v>28.69</v>
      </c>
      <c r="M4396">
        <v>0.5715036</v>
      </c>
      <c r="N4396">
        <v>0</v>
      </c>
      <c r="O4396">
        <v>-0.82046359999999996</v>
      </c>
      <c r="P4396">
        <v>0.74392579999999997</v>
      </c>
      <c r="Q4396">
        <v>-5.0288439999999997E-2</v>
      </c>
      <c r="R4396">
        <v>-0.66636739999999905</v>
      </c>
      <c r="S4396">
        <v>3.27905299999999</v>
      </c>
      <c r="T4396">
        <v>-9.7873210000000002E-2</v>
      </c>
      <c r="U4396">
        <v>-0.85266109999999995</v>
      </c>
      <c r="V4396">
        <v>-0.22913620000000001</v>
      </c>
      <c r="W4396">
        <v>-3.8365120000000003E-2</v>
      </c>
      <c r="X4396">
        <v>0.972637999999999</v>
      </c>
      <c r="Y4396">
        <v>-0.64980919999999998</v>
      </c>
      <c r="Z4396">
        <v>2.979159E-2</v>
      </c>
      <c r="AA4396">
        <v>0.75951329999999995</v>
      </c>
      <c r="AB4396">
        <v>17</v>
      </c>
      <c r="AC4396">
        <v>37.0563</v>
      </c>
      <c r="AD4396">
        <v>-1.1091521865708001</v>
      </c>
      <c r="AE4396">
        <v>-9.5310500000000005</v>
      </c>
      <c r="AF4396">
        <v>-24.9381447539891</v>
      </c>
      <c r="AG4396">
        <v>-1.1091521865708001</v>
      </c>
      <c r="AH4396">
        <v>28.9765746886968</v>
      </c>
      <c r="AI4396">
        <v>91.661822707472595</v>
      </c>
      <c r="AJ4396">
        <v>130.71631444731199</v>
      </c>
      <c r="AK4396">
        <v>38.246348362079097</v>
      </c>
    </row>
    <row r="4397" spans="1:37" x14ac:dyDescent="0.2">
      <c r="A4397" t="str">
        <f>"20200111160259760"</f>
        <v>20200111160259760</v>
      </c>
      <c r="B4397" t="str">
        <f>"1578729779757187"</f>
        <v>1578729779757187</v>
      </c>
      <c r="C4397" t="s">
        <v>37</v>
      </c>
      <c r="D4397">
        <v>5.6113599999999897</v>
      </c>
      <c r="E4397">
        <v>0.31713999999999998</v>
      </c>
      <c r="F4397" t="s">
        <v>64</v>
      </c>
      <c r="G4397">
        <v>-401.9273</v>
      </c>
      <c r="H4397" s="1">
        <v>-6.0489419999999997E-6</v>
      </c>
      <c r="I4397">
        <v>24.47391</v>
      </c>
      <c r="J4397">
        <v>-416.64010000000002</v>
      </c>
      <c r="K4397">
        <v>1.10911</v>
      </c>
      <c r="L4397">
        <v>28.438140000000001</v>
      </c>
      <c r="M4397">
        <v>0.58751390000000003</v>
      </c>
      <c r="N4397">
        <v>0</v>
      </c>
      <c r="O4397">
        <v>-0.80907640000000003</v>
      </c>
      <c r="P4397">
        <v>0.75351230000000002</v>
      </c>
      <c r="Q4397">
        <v>-5.1496E-2</v>
      </c>
      <c r="R4397">
        <v>-0.65541389999999999</v>
      </c>
      <c r="S4397">
        <v>3.2052</v>
      </c>
      <c r="T4397">
        <v>-0.23829349999999999</v>
      </c>
      <c r="U4397">
        <v>-0.90579219999999905</v>
      </c>
      <c r="V4397">
        <v>-0.22417799999999999</v>
      </c>
      <c r="W4397">
        <v>-3.9493170000000001E-2</v>
      </c>
      <c r="X4397">
        <v>0.97374769999999899</v>
      </c>
      <c r="Y4397">
        <v>-0.61594259999999901</v>
      </c>
      <c r="Z4397">
        <v>7.225637E-2</v>
      </c>
      <c r="AA4397">
        <v>0.78447040000000001</v>
      </c>
      <c r="AB4397">
        <v>17</v>
      </c>
      <c r="AC4397">
        <v>14.7128</v>
      </c>
      <c r="AD4397">
        <v>-1.109116048942</v>
      </c>
      <c r="AE4397">
        <v>-3.9642300000000001</v>
      </c>
      <c r="AF4397">
        <v>-9.5253389185428006</v>
      </c>
      <c r="AG4397">
        <v>-1.109116048942</v>
      </c>
      <c r="AH4397">
        <v>11.7901933930564</v>
      </c>
      <c r="AI4397">
        <v>94.185113757072401</v>
      </c>
      <c r="AJ4397">
        <v>128.93486713218499</v>
      </c>
      <c r="AK4397">
        <v>15.197726151263501</v>
      </c>
    </row>
    <row r="4398" spans="1:37" x14ac:dyDescent="0.2">
      <c r="A4398" t="str">
        <f>"20200111160259927"</f>
        <v>20200111160259927</v>
      </c>
      <c r="B4398" t="str">
        <f>"1578729779917251"</f>
        <v>1578729779917251</v>
      </c>
      <c r="C4398" t="s">
        <v>37</v>
      </c>
      <c r="D4398">
        <v>5.6315669999999898</v>
      </c>
      <c r="E4398">
        <v>0.31999329999999998</v>
      </c>
      <c r="F4398" t="s">
        <v>42</v>
      </c>
      <c r="G4398">
        <v>-415.02800000000002</v>
      </c>
      <c r="H4398">
        <v>1.048872</v>
      </c>
      <c r="I4398">
        <v>27.440570000000001</v>
      </c>
      <c r="J4398">
        <v>-415.81360000000001</v>
      </c>
      <c r="K4398">
        <v>1.1089990000000001</v>
      </c>
      <c r="L4398">
        <v>27.519870000000001</v>
      </c>
      <c r="M4398">
        <v>0.64623759999999997</v>
      </c>
      <c r="N4398">
        <v>0</v>
      </c>
      <c r="O4398">
        <v>-0.76299139999999999</v>
      </c>
      <c r="P4398">
        <v>0.79132190000000002</v>
      </c>
      <c r="Q4398">
        <v>-4.1317800000000002E-2</v>
      </c>
      <c r="R4398">
        <v>-0.61000180000000004</v>
      </c>
      <c r="S4398">
        <v>3.2499689999999899</v>
      </c>
      <c r="T4398">
        <v>-0.2180424</v>
      </c>
      <c r="U4398">
        <v>-0.70513919999999997</v>
      </c>
      <c r="V4398">
        <v>-0.20928530000000001</v>
      </c>
      <c r="W4398">
        <v>-2.90690999999999E-2</v>
      </c>
      <c r="X4398">
        <v>0.97742249999999997</v>
      </c>
      <c r="Y4398">
        <v>-0.60620299999999905</v>
      </c>
      <c r="Z4398">
        <v>6.4258170000000003E-2</v>
      </c>
      <c r="AA4398">
        <v>0.79270980000000002</v>
      </c>
      <c r="AB4398">
        <v>17</v>
      </c>
      <c r="AC4398">
        <v>0.78559999999998797</v>
      </c>
      <c r="AD4398">
        <v>-6.0127E-2</v>
      </c>
      <c r="AE4398">
        <v>-7.9299999999999898E-2</v>
      </c>
      <c r="AF4398">
        <v>-0.54505935240249503</v>
      </c>
      <c r="AG4398">
        <v>-6.0127E-2</v>
      </c>
      <c r="AH4398">
        <v>0.56497614913884497</v>
      </c>
      <c r="AI4398">
        <v>94.3797904832646</v>
      </c>
      <c r="AJ4398">
        <v>133.97208156065901</v>
      </c>
      <c r="AK4398">
        <v>0.78733919175040901</v>
      </c>
    </row>
    <row r="4399" spans="1:37" x14ac:dyDescent="0.2">
      <c r="A4399" t="str">
        <f>"20200111160259950"</f>
        <v>20200111160259950</v>
      </c>
      <c r="B4399" t="str">
        <f>"1578729779947507"</f>
        <v>1578729779947507</v>
      </c>
      <c r="C4399" t="s">
        <v>37</v>
      </c>
      <c r="D4399">
        <v>5.6603760000000003</v>
      </c>
      <c r="E4399">
        <v>0.321737099999999</v>
      </c>
      <c r="F4399" t="s">
        <v>42</v>
      </c>
      <c r="G4399">
        <v>-414.9323</v>
      </c>
      <c r="H4399">
        <v>1.0483309999999999</v>
      </c>
      <c r="I4399">
        <v>27.33333</v>
      </c>
      <c r="J4399">
        <v>-415.69929999999999</v>
      </c>
      <c r="K4399">
        <v>1.1089869999999999</v>
      </c>
      <c r="L4399">
        <v>27.403289999999998</v>
      </c>
      <c r="M4399">
        <v>0.65373709999999996</v>
      </c>
      <c r="N4399">
        <v>0</v>
      </c>
      <c r="O4399">
        <v>-0.75657619999999903</v>
      </c>
      <c r="P4399">
        <v>0.79608500000000004</v>
      </c>
      <c r="Q4399">
        <v>-3.9474969999999998E-2</v>
      </c>
      <c r="R4399">
        <v>-0.60389630000000005</v>
      </c>
      <c r="S4399">
        <v>3.2497859999999998</v>
      </c>
      <c r="T4399">
        <v>-0.22367199999999901</v>
      </c>
      <c r="U4399">
        <v>-0.68707280000000004</v>
      </c>
      <c r="V4399">
        <v>-0.20725059999999901</v>
      </c>
      <c r="W4399">
        <v>-2.7194059999999999E-2</v>
      </c>
      <c r="X4399">
        <v>0.9779099</v>
      </c>
      <c r="Y4399">
        <v>-0.60244419999999899</v>
      </c>
      <c r="Z4399">
        <v>6.5615329999999999E-2</v>
      </c>
      <c r="AA4399">
        <v>0.79545940000000004</v>
      </c>
      <c r="AB4399">
        <v>17</v>
      </c>
      <c r="AC4399">
        <v>0.76699999999999502</v>
      </c>
      <c r="AD4399">
        <v>-6.0656000000000203E-2</v>
      </c>
      <c r="AE4399">
        <v>-6.9960000000001799E-2</v>
      </c>
      <c r="AF4399">
        <v>-0.53132191617451296</v>
      </c>
      <c r="AG4399">
        <v>-6.0656000000000203E-2</v>
      </c>
      <c r="AH4399">
        <v>0.55099003532659396</v>
      </c>
      <c r="AI4399">
        <v>94.530860077808995</v>
      </c>
      <c r="AJ4399">
        <v>133.958917348406</v>
      </c>
      <c r="AK4399">
        <v>0.76783601632937104</v>
      </c>
    </row>
    <row r="4400" spans="1:37" x14ac:dyDescent="0.2">
      <c r="A4400" t="str">
        <f>"20200111160259963"</f>
        <v>20200111160259963</v>
      </c>
      <c r="B4400" t="str">
        <f>"1578729779957267"</f>
        <v>1578729779957267</v>
      </c>
      <c r="C4400" t="s">
        <v>37</v>
      </c>
      <c r="D4400">
        <v>5.6473459999999998</v>
      </c>
      <c r="E4400">
        <v>0.32204149999999998</v>
      </c>
      <c r="F4400" t="s">
        <v>38</v>
      </c>
      <c r="G4400">
        <v>-399.80430000000001</v>
      </c>
      <c r="H4400" s="1">
        <v>-1.26886E-6</v>
      </c>
      <c r="I4400">
        <v>24.110800000000001</v>
      </c>
      <c r="J4400">
        <v>-415.62830000000002</v>
      </c>
      <c r="K4400">
        <v>1.1089789999999999</v>
      </c>
      <c r="L4400">
        <v>27.332090000000001</v>
      </c>
      <c r="M4400">
        <v>0.65832789999999997</v>
      </c>
      <c r="N4400">
        <v>0</v>
      </c>
      <c r="O4400">
        <v>-0.75258480000000005</v>
      </c>
      <c r="P4400">
        <v>0.79892099999999999</v>
      </c>
      <c r="Q4400">
        <v>-3.8862210000000001E-2</v>
      </c>
      <c r="R4400">
        <v>-0.60017940000000003</v>
      </c>
      <c r="S4400">
        <v>3.2469790000000001</v>
      </c>
      <c r="T4400">
        <v>-0.22653979999999899</v>
      </c>
      <c r="U4400">
        <v>-0.67257690000000003</v>
      </c>
      <c r="V4400">
        <v>-0.20588909999999999</v>
      </c>
      <c r="W4400">
        <v>-2.6560380000000001E-2</v>
      </c>
      <c r="X4400">
        <v>0.97821480000000005</v>
      </c>
      <c r="Y4400">
        <v>-0.60079069999999901</v>
      </c>
      <c r="Z4400">
        <v>6.6350010000000001E-2</v>
      </c>
      <c r="AA4400">
        <v>0.79664809999999997</v>
      </c>
      <c r="AB4400">
        <v>17</v>
      </c>
      <c r="AC4400">
        <v>15.824</v>
      </c>
      <c r="AD4400">
        <v>-1.1089802688599999</v>
      </c>
      <c r="AE4400">
        <v>-3.2212900000000002</v>
      </c>
      <c r="AF4400">
        <v>-9.7433656744570794</v>
      </c>
      <c r="AG4400">
        <v>-1.1089802688599999</v>
      </c>
      <c r="AH4400">
        <v>12.782805926729001</v>
      </c>
      <c r="AI4400">
        <v>93.947012441729001</v>
      </c>
      <c r="AJ4400">
        <v>127.31553135762501</v>
      </c>
      <c r="AK4400">
        <v>16.110963325118899</v>
      </c>
    </row>
    <row r="4401" spans="1:37" x14ac:dyDescent="0.2">
      <c r="A4401" t="str">
        <f>"20200111160259984"</f>
        <v>20200111160259984</v>
      </c>
      <c r="B4401" t="str">
        <f>"1578729779977764"</f>
        <v>1578729779977764</v>
      </c>
      <c r="C4401" t="s">
        <v>37</v>
      </c>
      <c r="D4401">
        <v>5.5874139999999999</v>
      </c>
      <c r="E4401">
        <v>0.32245049999999997</v>
      </c>
      <c r="F4401" t="s">
        <v>42</v>
      </c>
      <c r="G4401">
        <v>-414.71949999999998</v>
      </c>
      <c r="H4401">
        <v>1.0457069999999999</v>
      </c>
      <c r="I4401">
        <v>27.147549999999999</v>
      </c>
      <c r="J4401">
        <v>-415.52</v>
      </c>
      <c r="K4401">
        <v>1.108965</v>
      </c>
      <c r="L4401">
        <v>27.22504</v>
      </c>
      <c r="M4401">
        <v>0.66522999999999999</v>
      </c>
      <c r="N4401">
        <v>0</v>
      </c>
      <c r="O4401">
        <v>-0.74649080000000001</v>
      </c>
      <c r="P4401">
        <v>0.80277229999999999</v>
      </c>
      <c r="Q4401">
        <v>-3.7534980000000003E-2</v>
      </c>
      <c r="R4401">
        <v>-0.5951033</v>
      </c>
      <c r="S4401">
        <v>3.2489319999999999</v>
      </c>
      <c r="T4401">
        <v>-0.226156</v>
      </c>
      <c r="U4401">
        <v>-0.65902709999999998</v>
      </c>
      <c r="V4401">
        <v>-0.20314570000000001</v>
      </c>
      <c r="W4401">
        <v>-2.519221E-2</v>
      </c>
      <c r="X4401">
        <v>0.97882440000000004</v>
      </c>
      <c r="Y4401">
        <v>-0.59674349999999998</v>
      </c>
      <c r="Z4401">
        <v>6.5869140000000007E-2</v>
      </c>
      <c r="AA4401">
        <v>0.79972399999999999</v>
      </c>
      <c r="AB4401">
        <v>17</v>
      </c>
      <c r="AC4401">
        <v>0.80049999999999899</v>
      </c>
      <c r="AD4401">
        <v>-6.3257999999999995E-2</v>
      </c>
      <c r="AE4401">
        <v>-7.74900000000045E-2</v>
      </c>
      <c r="AF4401">
        <v>-0.542719796823945</v>
      </c>
      <c r="AG4401">
        <v>-6.3257999999999995E-2</v>
      </c>
      <c r="AH4401">
        <v>0.58679697045952495</v>
      </c>
      <c r="AI4401">
        <v>94.525074223811998</v>
      </c>
      <c r="AJ4401">
        <v>132.76527860746901</v>
      </c>
      <c r="AK4401">
        <v>0.80179613179978604</v>
      </c>
    </row>
    <row r="4402" spans="1:37" x14ac:dyDescent="0.2">
      <c r="A4402" t="str">
        <f>"20200111160300051"</f>
        <v>20200111160300051</v>
      </c>
      <c r="B4402" t="str">
        <f>"1578729780047059"</f>
        <v>1578729780047059</v>
      </c>
      <c r="C4402" t="s">
        <v>37</v>
      </c>
      <c r="D4402">
        <v>5.3761229999999998</v>
      </c>
      <c r="E4402">
        <v>0.38694129999999999</v>
      </c>
      <c r="F4402" t="s">
        <v>42</v>
      </c>
      <c r="G4402">
        <v>-414.61869999999999</v>
      </c>
      <c r="H4402">
        <v>1.0475889999999899</v>
      </c>
      <c r="I4402">
        <v>27.04748</v>
      </c>
      <c r="J4402">
        <v>-415.16789999999997</v>
      </c>
      <c r="K4402">
        <v>1.1089180000000001</v>
      </c>
      <c r="L4402">
        <v>26.890049999999999</v>
      </c>
      <c r="M4402">
        <v>0.68688400000000005</v>
      </c>
      <c r="N4402">
        <v>0</v>
      </c>
      <c r="O4402">
        <v>-0.72661609999999999</v>
      </c>
      <c r="P4402">
        <v>0.81360390000000005</v>
      </c>
      <c r="Q4402">
        <v>-3.4376699999999899E-2</v>
      </c>
      <c r="R4402">
        <v>-0.58040259999999999</v>
      </c>
      <c r="S4402">
        <v>3.2515869999999998</v>
      </c>
      <c r="T4402">
        <v>-0.22145899999999999</v>
      </c>
      <c r="U4402">
        <v>-0.64089969999999996</v>
      </c>
      <c r="V4402">
        <v>-0.1923089</v>
      </c>
      <c r="W4402">
        <v>-2.187859E-2</v>
      </c>
      <c r="X4402">
        <v>0.98109049999999998</v>
      </c>
      <c r="Y4402">
        <v>-0.57761689999999999</v>
      </c>
      <c r="Z4402">
        <v>6.3077149999999998E-2</v>
      </c>
      <c r="AA4402">
        <v>0.81386729999999996</v>
      </c>
      <c r="AB4402">
        <v>17</v>
      </c>
      <c r="AC4402">
        <v>0.54919999999998403</v>
      </c>
      <c r="AD4402">
        <v>-6.1329000000000099E-2</v>
      </c>
      <c r="AE4402">
        <v>0.15743000000000101</v>
      </c>
      <c r="AF4402">
        <v>-0.50147078632385</v>
      </c>
      <c r="AG4402">
        <v>-6.1329000000000099E-2</v>
      </c>
      <c r="AH4402">
        <v>0.259879700839522</v>
      </c>
      <c r="AI4402">
        <v>96.197091639344904</v>
      </c>
      <c r="AJ4402">
        <v>152.60522949100999</v>
      </c>
      <c r="AK4402">
        <v>0.56812996284802597</v>
      </c>
    </row>
    <row r="4403" spans="1:37" x14ac:dyDescent="0.2">
      <c r="A4403" t="str">
        <f>"20200111160300096"</f>
        <v>20200111160300096</v>
      </c>
      <c r="B4403" t="str">
        <f>"1578729780087076"</f>
        <v>1578729780087076</v>
      </c>
      <c r="C4403" t="s">
        <v>37</v>
      </c>
      <c r="D4403">
        <v>5.3272320000000004</v>
      </c>
      <c r="E4403">
        <v>0.39086670000000001</v>
      </c>
      <c r="F4403" t="s">
        <v>42</v>
      </c>
      <c r="G4403">
        <v>-414.25889999999998</v>
      </c>
      <c r="H4403">
        <v>1.020375</v>
      </c>
      <c r="I4403">
        <v>26.58464</v>
      </c>
      <c r="J4403">
        <v>-414.92630000000003</v>
      </c>
      <c r="K4403">
        <v>1.108886</v>
      </c>
      <c r="L4403">
        <v>26.671389999999999</v>
      </c>
      <c r="M4403">
        <v>0.70107269999999999</v>
      </c>
      <c r="N4403">
        <v>0</v>
      </c>
      <c r="O4403">
        <v>-0.71293619999999902</v>
      </c>
      <c r="P4403">
        <v>0.82101380000000002</v>
      </c>
      <c r="Q4403">
        <v>-3.1123599999999901E-2</v>
      </c>
      <c r="R4403">
        <v>-0.57005950000000005</v>
      </c>
      <c r="S4403">
        <v>2.9645079999999999</v>
      </c>
      <c r="T4403">
        <v>-0.28877259999999999</v>
      </c>
      <c r="U4403">
        <v>-0.99606319999999904</v>
      </c>
      <c r="V4403">
        <v>-0.1855144</v>
      </c>
      <c r="W4403">
        <v>-1.8530189999999998E-2</v>
      </c>
      <c r="X4403">
        <v>0.98246679999999997</v>
      </c>
      <c r="Y4403">
        <v>-0.44841199999999998</v>
      </c>
      <c r="Z4403">
        <v>8.0947179999999994E-2</v>
      </c>
      <c r="AA4403">
        <v>0.890154</v>
      </c>
      <c r="AB4403">
        <v>16</v>
      </c>
      <c r="AC4403">
        <v>0.66740000000004296</v>
      </c>
      <c r="AD4403">
        <v>-8.8511000000000006E-2</v>
      </c>
      <c r="AE4403">
        <v>-8.6749999999998495E-2</v>
      </c>
      <c r="AF4403">
        <v>-0.40798451889403098</v>
      </c>
      <c r="AG4403">
        <v>-8.8511000000000006E-2</v>
      </c>
      <c r="AH4403">
        <v>0.52079351538584495</v>
      </c>
      <c r="AI4403">
        <v>97.620291009083601</v>
      </c>
      <c r="AJ4403">
        <v>128.074799850158</v>
      </c>
      <c r="AK4403">
        <v>0.66746644143817402</v>
      </c>
    </row>
    <row r="4404" spans="1:37" x14ac:dyDescent="0.2">
      <c r="A4404" t="str">
        <f>"20200111160300153"</f>
        <v>20200111160300153</v>
      </c>
      <c r="B4404" t="str">
        <f>"1578729780147587"</f>
        <v>1578729780147587</v>
      </c>
      <c r="C4404" t="s">
        <v>37</v>
      </c>
      <c r="D4404">
        <v>5.4913530000000002</v>
      </c>
      <c r="E4404">
        <v>0.39899970000000001</v>
      </c>
      <c r="F4404" t="s">
        <v>42</v>
      </c>
      <c r="G4404">
        <v>-414.00569999999999</v>
      </c>
      <c r="H4404">
        <v>1.0201199999999999</v>
      </c>
      <c r="I4404">
        <v>26.36533</v>
      </c>
      <c r="J4404">
        <v>-414.62520000000001</v>
      </c>
      <c r="K4404">
        <v>1.108849</v>
      </c>
      <c r="L4404">
        <v>26.410459999999901</v>
      </c>
      <c r="M4404">
        <v>0.7180337</v>
      </c>
      <c r="N4404">
        <v>0</v>
      </c>
      <c r="O4404">
        <v>-0.69585169999999996</v>
      </c>
      <c r="P4404">
        <v>0.82923609999999903</v>
      </c>
      <c r="Q4404">
        <v>-2.8679550000000002E-2</v>
      </c>
      <c r="R4404">
        <v>-0.55816250000000001</v>
      </c>
      <c r="S4404">
        <v>2.9599299999999999</v>
      </c>
      <c r="T4404">
        <v>-0.28539799999999999</v>
      </c>
      <c r="U4404">
        <v>-0.98410030000000004</v>
      </c>
      <c r="V4404">
        <v>-0.17611009999999999</v>
      </c>
      <c r="W4404">
        <v>-1.5956600000000001E-2</v>
      </c>
      <c r="X4404">
        <v>0.98424109999999998</v>
      </c>
      <c r="Y4404">
        <v>-0.42983359999999898</v>
      </c>
      <c r="Z4404">
        <v>7.8309039999999996E-2</v>
      </c>
      <c r="AA4404">
        <v>0.89950589999999997</v>
      </c>
      <c r="AB4404">
        <v>16</v>
      </c>
      <c r="AC4404">
        <v>0.61950000000001604</v>
      </c>
      <c r="AD4404">
        <v>-8.8728999999999794E-2</v>
      </c>
      <c r="AE4404">
        <v>-4.5129999999996701E-2</v>
      </c>
      <c r="AF4404">
        <v>-0.39074533163137598</v>
      </c>
      <c r="AG4404">
        <v>-8.8728999999999794E-2</v>
      </c>
      <c r="AH4404">
        <v>0.46675319598007498</v>
      </c>
      <c r="AI4404">
        <v>98.293207906914205</v>
      </c>
      <c r="AJ4404">
        <v>129.93459432046001</v>
      </c>
      <c r="AK4404">
        <v>0.61515306679746695</v>
      </c>
    </row>
    <row r="4405" spans="1:37" x14ac:dyDescent="0.2">
      <c r="A4405" t="str">
        <f>"20200111160300175"</f>
        <v>20200111160300175</v>
      </c>
      <c r="B4405" t="str">
        <f>"1578729780167107"</f>
        <v>1578729780167107</v>
      </c>
      <c r="C4405" t="s">
        <v>37</v>
      </c>
      <c r="D4405">
        <v>5.2821790000000002</v>
      </c>
      <c r="E4405">
        <v>0.40029779999999998</v>
      </c>
      <c r="F4405" t="s">
        <v>64</v>
      </c>
      <c r="G4405">
        <v>-402.5523</v>
      </c>
      <c r="H4405" s="1">
        <v>-5.435051E-6</v>
      </c>
      <c r="I4405">
        <v>22.322659999999999</v>
      </c>
      <c r="J4405">
        <v>-414.50009999999997</v>
      </c>
      <c r="K4405">
        <v>1.108819</v>
      </c>
      <c r="L4405">
        <v>26.305789999999998</v>
      </c>
      <c r="M4405">
        <v>0.72484589999999904</v>
      </c>
      <c r="N4405">
        <v>0</v>
      </c>
      <c r="O4405">
        <v>-0.68875280000000005</v>
      </c>
      <c r="P4405">
        <v>0.83298530000000004</v>
      </c>
      <c r="Q4405">
        <v>-2.805908E-2</v>
      </c>
      <c r="R4405">
        <v>-0.55258319999999905</v>
      </c>
      <c r="S4405">
        <v>2.9386899999999998</v>
      </c>
      <c r="T4405">
        <v>-0.26990969999999997</v>
      </c>
      <c r="U4405">
        <v>-0.99502559999999995</v>
      </c>
      <c r="V4405">
        <v>-0.17305479999999901</v>
      </c>
      <c r="W4405">
        <v>-1.5294250000000001E-2</v>
      </c>
      <c r="X4405">
        <v>0.98479340000000004</v>
      </c>
      <c r="Y4405">
        <v>-0.4164021</v>
      </c>
      <c r="Z4405">
        <v>7.3503760000000001E-2</v>
      </c>
      <c r="AA4405">
        <v>0.90620449999999997</v>
      </c>
      <c r="AB4405">
        <v>16</v>
      </c>
      <c r="AC4405">
        <v>11.9477999999999</v>
      </c>
      <c r="AD4405">
        <v>-1.1088244350509999</v>
      </c>
      <c r="AE4405">
        <v>-3.9831300000000001</v>
      </c>
      <c r="AF4405">
        <v>-5.3014141956774701</v>
      </c>
      <c r="AG4405">
        <v>-1.1088244350509999</v>
      </c>
      <c r="AH4405">
        <v>11.317224568222001</v>
      </c>
      <c r="AI4405">
        <v>95.070264768673695</v>
      </c>
      <c r="AJ4405">
        <v>115.100161183041</v>
      </c>
      <c r="AK4405">
        <v>12.5464758410266</v>
      </c>
    </row>
    <row r="4406" spans="1:37" x14ac:dyDescent="0.2">
      <c r="A4406" t="str">
        <f>"20200111160300197"</f>
        <v>20200111160300197</v>
      </c>
      <c r="B4406" t="str">
        <f>"1578729780187603"</f>
        <v>1578729780187603</v>
      </c>
      <c r="C4406" t="s">
        <v>37</v>
      </c>
      <c r="D4406">
        <v>5.3107300000000004</v>
      </c>
      <c r="E4406">
        <v>0.40147859999999902</v>
      </c>
      <c r="F4406" t="s">
        <v>64</v>
      </c>
      <c r="G4406">
        <v>-402.87270000000001</v>
      </c>
      <c r="H4406" s="1">
        <v>-5.3026809999999998E-6</v>
      </c>
      <c r="I4406">
        <v>22.417249999999999</v>
      </c>
      <c r="J4406">
        <v>-414.37990000000002</v>
      </c>
      <c r="K4406">
        <v>1.1087910000000001</v>
      </c>
      <c r="L4406">
        <v>26.207090000000001</v>
      </c>
      <c r="M4406">
        <v>0.7312708</v>
      </c>
      <c r="N4406">
        <v>0</v>
      </c>
      <c r="O4406">
        <v>-0.68192730000000001</v>
      </c>
      <c r="P4406">
        <v>0.83637549999999905</v>
      </c>
      <c r="Q4406">
        <v>-2.6936669999999999E-2</v>
      </c>
      <c r="R4406">
        <v>-0.54749459999999905</v>
      </c>
      <c r="S4406">
        <v>2.939819</v>
      </c>
      <c r="T4406">
        <v>-0.28034829999999999</v>
      </c>
      <c r="U4406">
        <v>-0.98315429999999904</v>
      </c>
      <c r="V4406">
        <v>-0.1698636</v>
      </c>
      <c r="W4406">
        <v>-1.412855E-2</v>
      </c>
      <c r="X4406">
        <v>0.98536630000000003</v>
      </c>
      <c r="Y4406">
        <v>-0.41102630000000001</v>
      </c>
      <c r="Z4406">
        <v>7.5706350000000006E-2</v>
      </c>
      <c r="AA4406">
        <v>0.90847449999999996</v>
      </c>
      <c r="AB4406">
        <v>16</v>
      </c>
      <c r="AC4406">
        <v>11.507199999999999</v>
      </c>
      <c r="AD4406">
        <v>-1.1087963026809999</v>
      </c>
      <c r="AE4406">
        <v>-3.7898399999999999</v>
      </c>
      <c r="AF4406">
        <v>-5.0340625537942403</v>
      </c>
      <c r="AG4406">
        <v>-1.1087963026809999</v>
      </c>
      <c r="AH4406">
        <v>10.9090992638421</v>
      </c>
      <c r="AI4406">
        <v>95.272750531182794</v>
      </c>
      <c r="AJ4406">
        <v>114.77121619726</v>
      </c>
      <c r="AK4406">
        <v>12.065639717176699</v>
      </c>
    </row>
    <row r="4407" spans="1:37" x14ac:dyDescent="0.2">
      <c r="A4407" t="str">
        <f>"20200111160300219"</f>
        <v>20200111160300219</v>
      </c>
      <c r="B4407" t="str">
        <f>"1578729780217860"</f>
        <v>1578729780217860</v>
      </c>
      <c r="C4407" t="s">
        <v>37</v>
      </c>
      <c r="D4407">
        <v>5.437252</v>
      </c>
      <c r="E4407">
        <v>0.40257979999999999</v>
      </c>
      <c r="F4407" t="s">
        <v>64</v>
      </c>
      <c r="G4407">
        <v>-403.0643</v>
      </c>
      <c r="H4407" s="1">
        <v>-5.2220089999999998E-6</v>
      </c>
      <c r="I4407">
        <v>22.465520000000001</v>
      </c>
      <c r="J4407">
        <v>-414.2568</v>
      </c>
      <c r="K4407">
        <v>1.1087659999999999</v>
      </c>
      <c r="L4407">
        <v>26.107939999999999</v>
      </c>
      <c r="M4407">
        <v>0.73772059999999995</v>
      </c>
      <c r="N4407">
        <v>0</v>
      </c>
      <c r="O4407">
        <v>-0.67494540000000003</v>
      </c>
      <c r="P4407">
        <v>0.83968430000000005</v>
      </c>
      <c r="Q4407">
        <v>-2.51072E-2</v>
      </c>
      <c r="R4407">
        <v>-0.54249459999999905</v>
      </c>
      <c r="S4407">
        <v>2.9410400000000001</v>
      </c>
      <c r="T4407">
        <v>-0.28818719999999998</v>
      </c>
      <c r="U4407">
        <v>-0.97247309999999998</v>
      </c>
      <c r="V4407">
        <v>-0.16643440000000001</v>
      </c>
      <c r="W4407">
        <v>-1.225242E-2</v>
      </c>
      <c r="X4407">
        <v>0.98597639999999998</v>
      </c>
      <c r="Y4407">
        <v>-0.40526820000000002</v>
      </c>
      <c r="Z4407">
        <v>7.7123189999999994E-2</v>
      </c>
      <c r="AA4407">
        <v>0.9109389</v>
      </c>
      <c r="AB4407">
        <v>16</v>
      </c>
      <c r="AC4407">
        <v>11.1924999999999</v>
      </c>
      <c r="AD4407">
        <v>-1.108771222009</v>
      </c>
      <c r="AE4407">
        <v>-3.6424199999999902</v>
      </c>
      <c r="AF4407">
        <v>-4.8249505822869301</v>
      </c>
      <c r="AG4407">
        <v>-1.108771222009</v>
      </c>
      <c r="AH4407">
        <v>10.622275138090901</v>
      </c>
      <c r="AI4407">
        <v>95.428908745858607</v>
      </c>
      <c r="AJ4407">
        <v>114.428949300586</v>
      </c>
      <c r="AK4407">
        <v>11.7193110229898</v>
      </c>
    </row>
    <row r="4408" spans="1:37" x14ac:dyDescent="0.2">
      <c r="A4408" t="str">
        <f>"20200111160300242"</f>
        <v>20200111160300242</v>
      </c>
      <c r="B4408" t="str">
        <f>"1578729780237380"</f>
        <v>1578729780237380</v>
      </c>
      <c r="C4408" t="s">
        <v>37</v>
      </c>
      <c r="D4408">
        <v>5.3821899999999996</v>
      </c>
      <c r="E4408">
        <v>0.4031073</v>
      </c>
      <c r="F4408" t="s">
        <v>64</v>
      </c>
      <c r="G4408">
        <v>-402.90769999999998</v>
      </c>
      <c r="H4408" s="1">
        <v>-5.2828289999999998E-6</v>
      </c>
      <c r="I4408">
        <v>22.397459999999999</v>
      </c>
      <c r="J4408">
        <v>-414.1336</v>
      </c>
      <c r="K4408">
        <v>1.1087340000000001</v>
      </c>
      <c r="L4408">
        <v>26.010560000000002</v>
      </c>
      <c r="M4408">
        <v>0.74403949999999996</v>
      </c>
      <c r="N4408">
        <v>0</v>
      </c>
      <c r="O4408">
        <v>-0.66797320000000004</v>
      </c>
      <c r="P4408">
        <v>0.84280880000000002</v>
      </c>
      <c r="Q4408">
        <v>-2.431405E-2</v>
      </c>
      <c r="R4408">
        <v>-0.53766369999999997</v>
      </c>
      <c r="S4408">
        <v>2.9426269999999999</v>
      </c>
      <c r="T4408">
        <v>-0.28748609999999902</v>
      </c>
      <c r="U4408">
        <v>-0.96206669999999905</v>
      </c>
      <c r="V4408">
        <v>-0.1628425</v>
      </c>
      <c r="W4408">
        <v>-1.1410490000000001E-2</v>
      </c>
      <c r="X4408">
        <v>0.98658609999999902</v>
      </c>
      <c r="Y4408">
        <v>-0.39977859999999998</v>
      </c>
      <c r="Z4408">
        <v>7.6242980000000002E-2</v>
      </c>
      <c r="AA4408">
        <v>0.91343529999999995</v>
      </c>
      <c r="AB4408">
        <v>16</v>
      </c>
      <c r="AC4408">
        <v>11.225899999999999</v>
      </c>
      <c r="AD4408">
        <v>-1.1087392828289999</v>
      </c>
      <c r="AE4408">
        <v>-3.6131000000000002</v>
      </c>
      <c r="AF4408">
        <v>-4.7686823631725197</v>
      </c>
      <c r="AG4408">
        <v>-1.1087392828289999</v>
      </c>
      <c r="AH4408">
        <v>10.6727973470151</v>
      </c>
      <c r="AI4408">
        <v>95.418158147776097</v>
      </c>
      <c r="AJ4408">
        <v>114.075434155906</v>
      </c>
      <c r="AK4408">
        <v>11.742156424122999</v>
      </c>
    </row>
    <row r="4409" spans="1:37" x14ac:dyDescent="0.2">
      <c r="A4409" t="str">
        <f>"20200111160300264"</f>
        <v>20200111160300264</v>
      </c>
      <c r="B4409" t="str">
        <f>"1578729780256900"</f>
        <v>1578729780256900</v>
      </c>
      <c r="C4409" t="s">
        <v>37</v>
      </c>
      <c r="D4409">
        <v>5.3237100000000002</v>
      </c>
      <c r="E4409">
        <v>0.40355209999999903</v>
      </c>
      <c r="F4409" t="s">
        <v>64</v>
      </c>
      <c r="G4409">
        <v>-402.67619999999999</v>
      </c>
      <c r="H4409" s="1">
        <v>-5.377165E-6</v>
      </c>
      <c r="I4409">
        <v>22.321579999999901</v>
      </c>
      <c r="J4409">
        <v>-414.00630000000001</v>
      </c>
      <c r="K4409">
        <v>1.108687</v>
      </c>
      <c r="L4409">
        <v>25.911829999999998</v>
      </c>
      <c r="M4409">
        <v>0.75041590000000002</v>
      </c>
      <c r="N4409">
        <v>0</v>
      </c>
      <c r="O4409">
        <v>-0.66080220000000001</v>
      </c>
      <c r="P4409">
        <v>0.84636409999999995</v>
      </c>
      <c r="Q4409">
        <v>-2.461404E-2</v>
      </c>
      <c r="R4409">
        <v>-0.53203630000000002</v>
      </c>
      <c r="S4409">
        <v>2.9461360000000001</v>
      </c>
      <c r="T4409">
        <v>-0.28509899999999999</v>
      </c>
      <c r="U4409">
        <v>-0.94857789999999997</v>
      </c>
      <c r="V4409">
        <v>-0.15994059999999999</v>
      </c>
      <c r="W4409">
        <v>-1.1668629999999999E-2</v>
      </c>
      <c r="X4409">
        <v>0.98705769999999904</v>
      </c>
      <c r="Y4409">
        <v>-0.39519529999999897</v>
      </c>
      <c r="Z4409">
        <v>7.4918040000000005E-2</v>
      </c>
      <c r="AA4409">
        <v>0.91553700000000005</v>
      </c>
      <c r="AB4409">
        <v>16</v>
      </c>
      <c r="AC4409">
        <v>11.3301</v>
      </c>
      <c r="AD4409">
        <v>-1.1086923771649999</v>
      </c>
      <c r="AE4409">
        <v>-3.5902500000000002</v>
      </c>
      <c r="AF4409">
        <v>-4.7519434911041101</v>
      </c>
      <c r="AG4409">
        <v>-1.1086923771649999</v>
      </c>
      <c r="AH4409">
        <v>10.782087752454601</v>
      </c>
      <c r="AI4409">
        <v>95.375369985109003</v>
      </c>
      <c r="AJ4409">
        <v>113.78432200272501</v>
      </c>
      <c r="AK4409">
        <v>11.8348460924281</v>
      </c>
    </row>
    <row r="4410" spans="1:37" x14ac:dyDescent="0.2">
      <c r="A4410" t="str">
        <f>"20200111160300287"</f>
        <v>20200111160300287</v>
      </c>
      <c r="B4410" t="str">
        <f>"1578729780277396"</f>
        <v>1578729780277396</v>
      </c>
      <c r="C4410" t="s">
        <v>37</v>
      </c>
      <c r="D4410">
        <v>5.2955550000000002</v>
      </c>
      <c r="E4410">
        <v>0.40421889999999999</v>
      </c>
      <c r="F4410" t="s">
        <v>64</v>
      </c>
      <c r="G4410">
        <v>-402.56450000000001</v>
      </c>
      <c r="H4410" s="1">
        <v>-5.4251909999999997E-6</v>
      </c>
      <c r="I4410">
        <v>22.299009999999999</v>
      </c>
      <c r="J4410">
        <v>-413.88099999999997</v>
      </c>
      <c r="K4410">
        <v>1.1086119999999999</v>
      </c>
      <c r="L4410">
        <v>25.816410000000001</v>
      </c>
      <c r="M4410">
        <v>0.75653239999999999</v>
      </c>
      <c r="N4410">
        <v>0</v>
      </c>
      <c r="O4410">
        <v>-0.65379119999999902</v>
      </c>
      <c r="P4410">
        <v>0.85080040000000001</v>
      </c>
      <c r="Q4410">
        <v>-2.5492379999999999E-2</v>
      </c>
      <c r="R4410">
        <v>-0.52487099999999998</v>
      </c>
      <c r="S4410">
        <v>2.95062299999999</v>
      </c>
      <c r="T4410">
        <v>-0.28590859999999901</v>
      </c>
      <c r="U4410">
        <v>-0.93167109999999997</v>
      </c>
      <c r="V4410">
        <v>-0.15906670000000001</v>
      </c>
      <c r="W4410">
        <v>-1.252727E-2</v>
      </c>
      <c r="X4410">
        <v>0.98718830000000002</v>
      </c>
      <c r="Y4410">
        <v>-0.39183449999999997</v>
      </c>
      <c r="Z4410">
        <v>7.4488739999999998E-2</v>
      </c>
      <c r="AA4410">
        <v>0.91701540000000004</v>
      </c>
      <c r="AB4410">
        <v>16</v>
      </c>
      <c r="AC4410">
        <v>11.3164999999999</v>
      </c>
      <c r="AD4410">
        <v>-1.1086174251909999</v>
      </c>
      <c r="AE4410">
        <v>-3.5173999999999999</v>
      </c>
      <c r="AF4410">
        <v>-4.6970060155209996</v>
      </c>
      <c r="AG4410">
        <v>-1.1086174251909999</v>
      </c>
      <c r="AH4410">
        <v>10.767880006861301</v>
      </c>
      <c r="AI4410">
        <v>95.390961315174195</v>
      </c>
      <c r="AJ4410">
        <v>113.56708347171801</v>
      </c>
      <c r="AK4410">
        <v>11.7999210992041</v>
      </c>
    </row>
    <row r="4411" spans="1:37" x14ac:dyDescent="0.2">
      <c r="A4411" t="str">
        <f>"20200111160300309"</f>
        <v>20200111160300309</v>
      </c>
      <c r="B4411" t="str">
        <f>"1578729780296916"</f>
        <v>1578729780296916</v>
      </c>
      <c r="C4411" t="s">
        <v>37</v>
      </c>
      <c r="D4411">
        <v>5.2283679999999997</v>
      </c>
      <c r="E4411">
        <v>0.40486659999999902</v>
      </c>
      <c r="F4411" t="s">
        <v>64</v>
      </c>
      <c r="G4411">
        <v>-402.87520000000001</v>
      </c>
      <c r="H4411" s="1">
        <v>-5.3025529999999996E-6</v>
      </c>
      <c r="I4411">
        <v>22.423100000000002</v>
      </c>
      <c r="J4411">
        <v>-413.75760000000002</v>
      </c>
      <c r="K4411">
        <v>1.1085160000000001</v>
      </c>
      <c r="L4411">
        <v>25.724060000000001</v>
      </c>
      <c r="M4411">
        <v>0.76238229999999996</v>
      </c>
      <c r="N4411">
        <v>0</v>
      </c>
      <c r="O4411">
        <v>-0.6469606</v>
      </c>
      <c r="P4411">
        <v>0.85599950000000002</v>
      </c>
      <c r="Q4411">
        <v>-2.715163E-2</v>
      </c>
      <c r="R4411">
        <v>-0.51626349999999999</v>
      </c>
      <c r="S4411">
        <v>2.9550779999999999</v>
      </c>
      <c r="T4411">
        <v>-0.29766359999999997</v>
      </c>
      <c r="U4411">
        <v>-0.91110230000000003</v>
      </c>
      <c r="V4411">
        <v>-0.1600973</v>
      </c>
      <c r="W4411">
        <v>-1.418548E-2</v>
      </c>
      <c r="X4411">
        <v>0.98699930000000002</v>
      </c>
      <c r="Y4411">
        <v>-0.38948690000000002</v>
      </c>
      <c r="Z4411">
        <v>7.6944090000000007E-2</v>
      </c>
      <c r="AA4411">
        <v>0.91781239999999997</v>
      </c>
      <c r="AB4411">
        <v>16</v>
      </c>
      <c r="AC4411">
        <v>10.882400000000001</v>
      </c>
      <c r="AD4411">
        <v>-1.1085213025530001</v>
      </c>
      <c r="AE4411">
        <v>-3.3009599999999999</v>
      </c>
      <c r="AF4411">
        <v>-4.4817916998620904</v>
      </c>
      <c r="AG4411">
        <v>-1.1085213025530001</v>
      </c>
      <c r="AH4411">
        <v>10.335059788360001</v>
      </c>
      <c r="AI4411">
        <v>95.620048210057703</v>
      </c>
      <c r="AJ4411">
        <v>113.44393378665001</v>
      </c>
      <c r="AK4411">
        <v>11.319396501057099</v>
      </c>
    </row>
    <row r="4412" spans="1:37" x14ac:dyDescent="0.2">
      <c r="A4412" t="str">
        <f>"20200111160300333"</f>
        <v>20200111160300333</v>
      </c>
      <c r="B4412" t="str">
        <f>"1578729780327173"</f>
        <v>1578729780327173</v>
      </c>
      <c r="C4412" t="s">
        <v>37</v>
      </c>
      <c r="D4412">
        <v>5.1784119999999998</v>
      </c>
      <c r="E4412">
        <v>0.4057656</v>
      </c>
      <c r="F4412" t="s">
        <v>64</v>
      </c>
      <c r="G4412">
        <v>-403.2079</v>
      </c>
      <c r="H4412" s="1">
        <v>-5.1732739999999998E-6</v>
      </c>
      <c r="I4412">
        <v>22.56758</v>
      </c>
      <c r="J4412">
        <v>-413.62619999999998</v>
      </c>
      <c r="K4412">
        <v>1.10839</v>
      </c>
      <c r="L4412">
        <v>25.627410000000001</v>
      </c>
      <c r="M4412">
        <v>0.76840159999999902</v>
      </c>
      <c r="N4412">
        <v>0</v>
      </c>
      <c r="O4412">
        <v>-0.63980029999999999</v>
      </c>
      <c r="P4412">
        <v>0.86179830000000002</v>
      </c>
      <c r="Q4412">
        <v>-2.8452729999999999E-2</v>
      </c>
      <c r="R4412">
        <v>-0.50645299999999904</v>
      </c>
      <c r="S4412">
        <v>2.9605709999999998</v>
      </c>
      <c r="T4412">
        <v>-0.31108449999999999</v>
      </c>
      <c r="U4412">
        <v>-0.88580319999999901</v>
      </c>
      <c r="V4412">
        <v>-0.1621011</v>
      </c>
      <c r="W4412">
        <v>-1.5491110000000001E-2</v>
      </c>
      <c r="X4412">
        <v>0.98665259999999999</v>
      </c>
      <c r="Y4412">
        <v>-0.38818520000000001</v>
      </c>
      <c r="Z4412">
        <v>7.9795539999999998E-2</v>
      </c>
      <c r="AA4412">
        <v>0.9181203</v>
      </c>
      <c r="AB4412">
        <v>16</v>
      </c>
      <c r="AC4412">
        <v>10.418299999999901</v>
      </c>
      <c r="AD4412">
        <v>-1.1083951732740001</v>
      </c>
      <c r="AE4412">
        <v>-3.0598299999999998</v>
      </c>
      <c r="AF4412">
        <v>-4.2704188981081597</v>
      </c>
      <c r="AG4412">
        <v>-1.1083951732740001</v>
      </c>
      <c r="AH4412">
        <v>9.8614326665140499</v>
      </c>
      <c r="AI4412">
        <v>95.888745000723702</v>
      </c>
      <c r="AJ4412">
        <v>113.414659434919</v>
      </c>
      <c r="AK4412">
        <v>10.803373161269899</v>
      </c>
    </row>
    <row r="4413" spans="1:37" x14ac:dyDescent="0.2">
      <c r="A4413" t="str">
        <f>"20200111160300354"</f>
        <v>20200111160300354</v>
      </c>
      <c r="B4413" t="str">
        <f>"1578729780347668"</f>
        <v>1578729780347668</v>
      </c>
      <c r="C4413" t="s">
        <v>37</v>
      </c>
      <c r="D4413">
        <v>5.0942720000000001</v>
      </c>
      <c r="E4413">
        <v>0.40639959999999897</v>
      </c>
      <c r="F4413" t="s">
        <v>64</v>
      </c>
      <c r="G4413">
        <v>-403.486999999999</v>
      </c>
      <c r="H4413" s="1">
        <v>-5.0659629999999999E-6</v>
      </c>
      <c r="I4413">
        <v>22.695060000000002</v>
      </c>
      <c r="J4413">
        <v>-413.4984</v>
      </c>
      <c r="K4413">
        <v>1.10825</v>
      </c>
      <c r="L4413">
        <v>25.5351</v>
      </c>
      <c r="M4413">
        <v>0.77404079999999997</v>
      </c>
      <c r="N4413">
        <v>0</v>
      </c>
      <c r="O4413">
        <v>-0.6329669</v>
      </c>
      <c r="P4413">
        <v>0.86720370000000002</v>
      </c>
      <c r="Q4413">
        <v>-2.9661219999999999E-2</v>
      </c>
      <c r="R4413">
        <v>-0.4970697</v>
      </c>
      <c r="S4413">
        <v>2.9661869999999899</v>
      </c>
      <c r="T4413">
        <v>-0.32425789999999999</v>
      </c>
      <c r="U4413">
        <v>-0.85784910000000003</v>
      </c>
      <c r="V4413">
        <v>-0.1640345</v>
      </c>
      <c r="W4413">
        <v>-1.6701179999999999E-2</v>
      </c>
      <c r="X4413">
        <v>0.9863132</v>
      </c>
      <c r="Y4413">
        <v>-0.3881019</v>
      </c>
      <c r="Z4413">
        <v>8.2621829999999993E-2</v>
      </c>
      <c r="AA4413">
        <v>0.91790559999999999</v>
      </c>
      <c r="AB4413">
        <v>16</v>
      </c>
      <c r="AC4413">
        <v>10.0114</v>
      </c>
      <c r="AD4413">
        <v>-1.1082550659629999</v>
      </c>
      <c r="AE4413">
        <v>-2.8400399999999899</v>
      </c>
      <c r="AF4413">
        <v>-4.0926035877968996</v>
      </c>
      <c r="AG4413">
        <v>-1.1082550659629999</v>
      </c>
      <c r="AH4413">
        <v>9.4408295013447496</v>
      </c>
      <c r="AI4413">
        <v>96.147339341445601</v>
      </c>
      <c r="AJ4413">
        <v>113.43675238234</v>
      </c>
      <c r="AK4413">
        <v>10.349246112231601</v>
      </c>
    </row>
    <row r="4414" spans="1:37" x14ac:dyDescent="0.2">
      <c r="A4414" t="str">
        <f>"20200111160300377"</f>
        <v>20200111160300377</v>
      </c>
      <c r="B4414" t="str">
        <f>"1578729780367187"</f>
        <v>1578729780367187</v>
      </c>
      <c r="C4414" t="s">
        <v>37</v>
      </c>
      <c r="D4414">
        <v>5.0487289999999998</v>
      </c>
      <c r="E4414">
        <v>0.41728759999999998</v>
      </c>
      <c r="F4414" t="s">
        <v>64</v>
      </c>
      <c r="G4414">
        <v>-403.58370000000002</v>
      </c>
      <c r="H4414" s="1">
        <v>-5.0337520000000004E-6</v>
      </c>
      <c r="I4414">
        <v>22.767189999999999</v>
      </c>
      <c r="J4414">
        <v>-413.36739999999998</v>
      </c>
      <c r="K4414">
        <v>1.1081219999999901</v>
      </c>
      <c r="L4414">
        <v>25.441859999999998</v>
      </c>
      <c r="M4414">
        <v>0.77962849999999995</v>
      </c>
      <c r="N4414">
        <v>0</v>
      </c>
      <c r="O4414">
        <v>-0.62607250000000003</v>
      </c>
      <c r="P4414">
        <v>0.87216970000000005</v>
      </c>
      <c r="Q4414">
        <v>-3.2110140000000002E-2</v>
      </c>
      <c r="R4414">
        <v>-0.48814869999999999</v>
      </c>
      <c r="S4414">
        <v>2.9723820000000001</v>
      </c>
      <c r="T4414">
        <v>-0.33224959999999998</v>
      </c>
      <c r="U4414">
        <v>-0.82980350000000003</v>
      </c>
      <c r="V4414">
        <v>-0.16532569999999999</v>
      </c>
      <c r="W4414">
        <v>-1.9148129999999999E-2</v>
      </c>
      <c r="X4414">
        <v>0.98605309999999902</v>
      </c>
      <c r="Y4414">
        <v>-0.38823970000000002</v>
      </c>
      <c r="Z4414">
        <v>8.4080799999999997E-2</v>
      </c>
      <c r="AA4414">
        <v>0.91771480000000005</v>
      </c>
      <c r="AB4414">
        <v>16</v>
      </c>
      <c r="AC4414">
        <v>9.7836999999999499</v>
      </c>
      <c r="AD4414">
        <v>-1.10812703375199</v>
      </c>
      <c r="AE4414">
        <v>-2.6746699999999999</v>
      </c>
      <c r="AF4414">
        <v>-3.99282645196016</v>
      </c>
      <c r="AG4414">
        <v>-1.10812703375199</v>
      </c>
      <c r="AH4414">
        <v>9.1934418550877197</v>
      </c>
      <c r="AI4414">
        <v>96.308862164272796</v>
      </c>
      <c r="AJ4414">
        <v>113.475907388235</v>
      </c>
      <c r="AK4414">
        <v>10.0841450674454</v>
      </c>
    </row>
    <row r="4415" spans="1:37" x14ac:dyDescent="0.2">
      <c r="A4415" t="str">
        <f>"20200111160300399"</f>
        <v>20200111160300399</v>
      </c>
      <c r="B4415" t="str">
        <f>"1578729780397444"</f>
        <v>1578729780397444</v>
      </c>
      <c r="C4415" t="s">
        <v>37</v>
      </c>
      <c r="D4415">
        <v>5.0846549999999997</v>
      </c>
      <c r="E4415">
        <v>0.4148829</v>
      </c>
      <c r="F4415" t="s">
        <v>64</v>
      </c>
      <c r="G4415">
        <v>-405.01769999999999</v>
      </c>
      <c r="H4415" s="1">
        <v>-4.3984089999999997E-6</v>
      </c>
      <c r="I4415">
        <v>22.963170000000002</v>
      </c>
      <c r="J4415">
        <v>-413.24290000000002</v>
      </c>
      <c r="K4415">
        <v>1.1080019999999999</v>
      </c>
      <c r="L4415">
        <v>25.354579999999999</v>
      </c>
      <c r="M4415">
        <v>0.78475399999999995</v>
      </c>
      <c r="N4415">
        <v>0</v>
      </c>
      <c r="O4415">
        <v>-0.61963619999999997</v>
      </c>
      <c r="P4415">
        <v>0.87636019999999903</v>
      </c>
      <c r="Q4415">
        <v>-3.4202110000000001E-2</v>
      </c>
      <c r="R4415">
        <v>-0.48044019999999998</v>
      </c>
      <c r="S4415">
        <v>2.9373469999999999</v>
      </c>
      <c r="T4415">
        <v>-0.38982739999999999</v>
      </c>
      <c r="U4415">
        <v>-0.87197880000000005</v>
      </c>
      <c r="V4415">
        <v>-0.1658434</v>
      </c>
      <c r="W4415">
        <v>-2.1234579999999999E-2</v>
      </c>
      <c r="X4415">
        <v>0.98592349999999995</v>
      </c>
      <c r="Y4415">
        <v>-0.36372880000000002</v>
      </c>
      <c r="Z4415">
        <v>9.7172010000000003E-2</v>
      </c>
      <c r="AA4415">
        <v>0.92642269999999904</v>
      </c>
      <c r="AB4415">
        <v>16</v>
      </c>
      <c r="AC4415">
        <v>8.2252000000000294</v>
      </c>
      <c r="AD4415">
        <v>-1.1080063984090001</v>
      </c>
      <c r="AE4415">
        <v>-2.3914099999999898</v>
      </c>
      <c r="AF4415">
        <v>-3.1673090633207002</v>
      </c>
      <c r="AG4415">
        <v>-1.1080063984090001</v>
      </c>
      <c r="AH4415">
        <v>7.8067811508509299</v>
      </c>
      <c r="AI4415">
        <v>97.492359804567798</v>
      </c>
      <c r="AJ4415">
        <v>112.083011832894</v>
      </c>
      <c r="AK4415">
        <v>8.4973735247304596</v>
      </c>
    </row>
    <row r="4416" spans="1:37" x14ac:dyDescent="0.2">
      <c r="A4416" t="str">
        <f>"20200111160300420"</f>
        <v>20200111160300420</v>
      </c>
      <c r="B4416" t="str">
        <f>"1578729780416964"</f>
        <v>1578729780416964</v>
      </c>
      <c r="C4416" t="s">
        <v>37</v>
      </c>
      <c r="D4416">
        <v>5.1136650000000001</v>
      </c>
      <c r="E4416">
        <v>0.4163675</v>
      </c>
      <c r="F4416" t="s">
        <v>64</v>
      </c>
      <c r="G4416">
        <v>-404.48559999999998</v>
      </c>
      <c r="H4416" s="1">
        <v>-4.636279E-6</v>
      </c>
      <c r="I4416">
        <v>22.894349999999999</v>
      </c>
      <c r="J4416">
        <v>-413.12360000000001</v>
      </c>
      <c r="K4416">
        <v>1.107898</v>
      </c>
      <c r="L4416">
        <v>25.27216</v>
      </c>
      <c r="M4416">
        <v>0.78948929999999995</v>
      </c>
      <c r="N4416">
        <v>0</v>
      </c>
      <c r="O4416">
        <v>-0.61359259999999904</v>
      </c>
      <c r="P4416">
        <v>0.87973140000000005</v>
      </c>
      <c r="Q4416">
        <v>-3.6193389999999999E-2</v>
      </c>
      <c r="R4416">
        <v>-0.47409209999999902</v>
      </c>
      <c r="S4416">
        <v>2.953735</v>
      </c>
      <c r="T4416">
        <v>-0.37371529999999997</v>
      </c>
      <c r="U4416">
        <v>-0.82980350000000003</v>
      </c>
      <c r="V4416">
        <v>-0.1653406</v>
      </c>
      <c r="W4416">
        <v>-2.3212859999999998E-2</v>
      </c>
      <c r="X4416">
        <v>0.98596329999999999</v>
      </c>
      <c r="Y4416">
        <v>-0.37077749999999998</v>
      </c>
      <c r="Z4416">
        <v>9.2826279999999997E-2</v>
      </c>
      <c r="AA4416">
        <v>0.92407109999999903</v>
      </c>
      <c r="AB4416">
        <v>16</v>
      </c>
      <c r="AC4416">
        <v>8.6380000000000301</v>
      </c>
      <c r="AD4416">
        <v>-1.1079026362790001</v>
      </c>
      <c r="AE4416">
        <v>-2.3778100000000002</v>
      </c>
      <c r="AF4416">
        <v>-3.37175825662246</v>
      </c>
      <c r="AG4416">
        <v>-1.1079026362790001</v>
      </c>
      <c r="AH4416">
        <v>8.1547873581197905</v>
      </c>
      <c r="AI4416">
        <v>97.156070061127906</v>
      </c>
      <c r="AJ4416">
        <v>112.463616485288</v>
      </c>
      <c r="AK4416">
        <v>8.8936358621615597</v>
      </c>
    </row>
    <row r="4417" spans="1:37" x14ac:dyDescent="0.2">
      <c r="A4417" t="str">
        <f>"20200111160300442"</f>
        <v>20200111160300442</v>
      </c>
      <c r="B4417" t="str">
        <f>"1578729780437460"</f>
        <v>1578729780437460</v>
      </c>
      <c r="C4417" t="s">
        <v>37</v>
      </c>
      <c r="D4417">
        <v>5.1183259999999997</v>
      </c>
      <c r="E4417">
        <v>0.41807889999999998</v>
      </c>
      <c r="F4417" t="s">
        <v>64</v>
      </c>
      <c r="G4417">
        <v>-404.26170000000002</v>
      </c>
      <c r="H4417" s="1">
        <v>-4.7262629999999996E-6</v>
      </c>
      <c r="I4417">
        <v>22.8139</v>
      </c>
      <c r="J4417">
        <v>-412.99740000000003</v>
      </c>
      <c r="K4417">
        <v>1.1077969999999999</v>
      </c>
      <c r="L4417">
        <v>25.1861</v>
      </c>
      <c r="M4417">
        <v>0.79431370000000001</v>
      </c>
      <c r="N4417">
        <v>0</v>
      </c>
      <c r="O4417">
        <v>-0.60733519999999996</v>
      </c>
      <c r="P4417">
        <v>0.88335390000000003</v>
      </c>
      <c r="Q4417">
        <v>-3.685298E-2</v>
      </c>
      <c r="R4417">
        <v>-0.4672559</v>
      </c>
      <c r="S4417">
        <v>2.9534609999999999</v>
      </c>
      <c r="T4417">
        <v>-0.3692357</v>
      </c>
      <c r="U4417">
        <v>-0.81927490000000003</v>
      </c>
      <c r="V4417">
        <v>-0.16517860000000001</v>
      </c>
      <c r="W4417">
        <v>-2.386369E-2</v>
      </c>
      <c r="X4417">
        <v>0.98597489999999999</v>
      </c>
      <c r="Y4417">
        <v>-0.36668410000000001</v>
      </c>
      <c r="Z4417">
        <v>9.0959650000000003E-2</v>
      </c>
      <c r="AA4417">
        <v>0.92588819999999905</v>
      </c>
      <c r="AB4417">
        <v>16</v>
      </c>
      <c r="AC4417">
        <v>8.7356999999999996</v>
      </c>
      <c r="AD4417">
        <v>-1.107801726263</v>
      </c>
      <c r="AE4417">
        <v>-2.3721999999999901</v>
      </c>
      <c r="AF4417">
        <v>-3.3710964957771798</v>
      </c>
      <c r="AG4417">
        <v>-1.107801726263</v>
      </c>
      <c r="AH4417">
        <v>8.25682181709114</v>
      </c>
      <c r="AI4417">
        <v>97.080675911543693</v>
      </c>
      <c r="AJ4417">
        <v>112.2092191965</v>
      </c>
      <c r="AK4417">
        <v>8.9870252457498303</v>
      </c>
    </row>
    <row r="4418" spans="1:37" x14ac:dyDescent="0.2">
      <c r="A4418" t="str">
        <f>"20200111160300465"</f>
        <v>20200111160300465</v>
      </c>
      <c r="B4418" t="str">
        <f>"1578729780456982"</f>
        <v>1578729780456982</v>
      </c>
      <c r="C4418" t="s">
        <v>37</v>
      </c>
      <c r="D4418">
        <v>5.1203609999999999</v>
      </c>
      <c r="E4418">
        <v>0.419516</v>
      </c>
      <c r="F4418" t="s">
        <v>64</v>
      </c>
      <c r="G4418">
        <v>-404.0351</v>
      </c>
      <c r="H4418" s="1">
        <v>-4.8169609999999998E-6</v>
      </c>
      <c r="I4418">
        <v>22.730519999999999</v>
      </c>
      <c r="J4418">
        <v>-412.8621</v>
      </c>
      <c r="K4418">
        <v>1.1076999999999999</v>
      </c>
      <c r="L4418">
        <v>25.09525</v>
      </c>
      <c r="M4418">
        <v>0.79929079999999997</v>
      </c>
      <c r="N4418">
        <v>0</v>
      </c>
      <c r="O4418">
        <v>-0.60077049999999999</v>
      </c>
      <c r="P4418">
        <v>0.88695190000000002</v>
      </c>
      <c r="Q4418">
        <v>-3.4873910000000001E-2</v>
      </c>
      <c r="R4418">
        <v>-0.4605438</v>
      </c>
      <c r="S4418">
        <v>2.9529719999999999</v>
      </c>
      <c r="T4418">
        <v>-0.36500659999999902</v>
      </c>
      <c r="U4418">
        <v>-0.80908199999999997</v>
      </c>
      <c r="V4418">
        <v>-0.16460169999999999</v>
      </c>
      <c r="W4418">
        <v>-2.1870750000000001E-2</v>
      </c>
      <c r="X4418">
        <v>0.98611759999999904</v>
      </c>
      <c r="Y4418">
        <v>-0.36215310000000001</v>
      </c>
      <c r="Z4418">
        <v>8.9114390000000002E-2</v>
      </c>
      <c r="AA4418">
        <v>0.92784899999999904</v>
      </c>
      <c r="AB4418">
        <v>16</v>
      </c>
      <c r="AC4418">
        <v>8.8269999999999893</v>
      </c>
      <c r="AD4418">
        <v>-1.107704816961</v>
      </c>
      <c r="AE4418">
        <v>-2.36472999999999</v>
      </c>
      <c r="AF4418">
        <v>-3.3638251729064899</v>
      </c>
      <c r="AG4418">
        <v>-1.107704816961</v>
      </c>
      <c r="AH4418">
        <v>8.3541357063719008</v>
      </c>
      <c r="AI4418">
        <v>97.012000619681899</v>
      </c>
      <c r="AJ4418">
        <v>111.932372373391</v>
      </c>
      <c r="AK4418">
        <v>9.0738036762912095</v>
      </c>
    </row>
    <row r="4419" spans="1:37" x14ac:dyDescent="0.2">
      <c r="A4419" t="str">
        <f>"20200111160300487"</f>
        <v>20200111160300487</v>
      </c>
      <c r="B4419" t="str">
        <f>"1578729780477475"</f>
        <v>1578729780477475</v>
      </c>
      <c r="C4419" t="s">
        <v>37</v>
      </c>
      <c r="D4419">
        <v>5.1415110000000004</v>
      </c>
      <c r="E4419">
        <v>0.42153679999999899</v>
      </c>
      <c r="F4419" t="s">
        <v>64</v>
      </c>
      <c r="G4419">
        <v>-403.72199999999998</v>
      </c>
      <c r="H4419" s="1">
        <v>-4.944699E-6</v>
      </c>
      <c r="I4419">
        <v>22.628969999999999</v>
      </c>
      <c r="J4419">
        <v>-412.73790000000002</v>
      </c>
      <c r="K4419">
        <v>1.107615</v>
      </c>
      <c r="L4419">
        <v>25.013030000000001</v>
      </c>
      <c r="M4419">
        <v>0.8036932</v>
      </c>
      <c r="N4419">
        <v>0</v>
      </c>
      <c r="O4419">
        <v>-0.59486890000000003</v>
      </c>
      <c r="P4419">
        <v>0.89001010000000003</v>
      </c>
      <c r="Q4419">
        <v>-3.3396299999999997E-2</v>
      </c>
      <c r="R4419">
        <v>-0.45471620000000001</v>
      </c>
      <c r="S4419">
        <v>2.9543459999999899</v>
      </c>
      <c r="T4419">
        <v>-0.35804619999999998</v>
      </c>
      <c r="U4419">
        <v>-0.79718020000000001</v>
      </c>
      <c r="V4419">
        <v>-0.1638578</v>
      </c>
      <c r="W4419">
        <v>-2.0379250000000002E-2</v>
      </c>
      <c r="X4419">
        <v>0.98627350000000003</v>
      </c>
      <c r="Y4419">
        <v>-0.3591625</v>
      </c>
      <c r="Z4419">
        <v>8.6734130000000006E-2</v>
      </c>
      <c r="AA4419">
        <v>0.92923599999999995</v>
      </c>
      <c r="AB4419">
        <v>16</v>
      </c>
      <c r="AC4419">
        <v>9.0159000000000393</v>
      </c>
      <c r="AD4419">
        <v>-1.107619944699</v>
      </c>
      <c r="AE4419">
        <v>-2.3840599999999901</v>
      </c>
      <c r="AF4419">
        <v>-3.3996287136844998</v>
      </c>
      <c r="AG4419">
        <v>-1.107619944699</v>
      </c>
      <c r="AH4419">
        <v>8.5445908961477297</v>
      </c>
      <c r="AI4419">
        <v>96.867910253114204</v>
      </c>
      <c r="AJ4419">
        <v>111.69608098979501</v>
      </c>
      <c r="AK4419">
        <v>9.2625229238762898</v>
      </c>
    </row>
    <row r="4420" spans="1:37" x14ac:dyDescent="0.2">
      <c r="A4420" t="str">
        <f>"20200111160300510"</f>
        <v>20200111160300510</v>
      </c>
      <c r="B4420" t="str">
        <f>"1578729780507731"</f>
        <v>1578729780507731</v>
      </c>
      <c r="C4420" t="s">
        <v>37</v>
      </c>
      <c r="D4420">
        <v>5.1525800000000004</v>
      </c>
      <c r="E4420">
        <v>0.42394939999999998</v>
      </c>
      <c r="F4420" t="s">
        <v>64</v>
      </c>
      <c r="G4420">
        <v>-403.44560000000001</v>
      </c>
      <c r="H4420" s="1">
        <v>-5.0542760000000002E-6</v>
      </c>
      <c r="I4420">
        <v>22.520969999999998</v>
      </c>
      <c r="J4420">
        <v>-412.60820000000001</v>
      </c>
      <c r="K4420">
        <v>1.1075269999999999</v>
      </c>
      <c r="L4420">
        <v>24.92822</v>
      </c>
      <c r="M4420">
        <v>0.80814469999999905</v>
      </c>
      <c r="N4420">
        <v>0</v>
      </c>
      <c r="O4420">
        <v>-0.58880829999999995</v>
      </c>
      <c r="P4420">
        <v>0.89331360000000004</v>
      </c>
      <c r="Q4420">
        <v>-3.1829690000000001E-2</v>
      </c>
      <c r="R4420">
        <v>-0.44830579999999998</v>
      </c>
      <c r="S4420">
        <v>2.95294199999999</v>
      </c>
      <c r="T4420">
        <v>-0.35198099999999999</v>
      </c>
      <c r="U4420">
        <v>-0.79193119999999995</v>
      </c>
      <c r="V4420">
        <v>-0.16358059999999999</v>
      </c>
      <c r="W4420">
        <v>-1.8804419999999999E-2</v>
      </c>
      <c r="X4420">
        <v>0.98635069999999903</v>
      </c>
      <c r="Y4420">
        <v>-0.35382559999999902</v>
      </c>
      <c r="Z4420">
        <v>8.4478490000000003E-2</v>
      </c>
      <c r="AA4420">
        <v>0.93148850000000005</v>
      </c>
      <c r="AB4420">
        <v>16</v>
      </c>
      <c r="AC4420">
        <v>9.1625999999999905</v>
      </c>
      <c r="AD4420">
        <v>-1.1075320542760001</v>
      </c>
      <c r="AE4420">
        <v>-2.4072499999999901</v>
      </c>
      <c r="AF4420">
        <v>-3.4034491099847202</v>
      </c>
      <c r="AG4420">
        <v>-1.1075320542760001</v>
      </c>
      <c r="AH4420">
        <v>8.7040659715681592</v>
      </c>
      <c r="AI4420">
        <v>96.758356135797101</v>
      </c>
      <c r="AJ4420">
        <v>111.356408020443</v>
      </c>
      <c r="AK4420">
        <v>9.4112091429802707</v>
      </c>
    </row>
    <row r="4421" spans="1:37" x14ac:dyDescent="0.2">
      <c r="A4421" t="str">
        <f>"20200111160300532"</f>
        <v>20200111160300532</v>
      </c>
      <c r="B4421" t="str">
        <f>"1578729780527251"</f>
        <v>1578729780527251</v>
      </c>
      <c r="C4421" t="s">
        <v>37</v>
      </c>
      <c r="D4421">
        <v>5.3049679999999997</v>
      </c>
      <c r="E4421">
        <v>0.42558839999999998</v>
      </c>
      <c r="F4421" t="s">
        <v>64</v>
      </c>
      <c r="G4421">
        <v>-403.22320000000002</v>
      </c>
      <c r="H4421" s="1">
        <v>-5.1401649999999996E-6</v>
      </c>
      <c r="I4421">
        <v>22.421579999999999</v>
      </c>
      <c r="J4421">
        <v>-412.47910000000002</v>
      </c>
      <c r="K4421">
        <v>1.1074469999999901</v>
      </c>
      <c r="L4421">
        <v>24.845120000000001</v>
      </c>
      <c r="M4421">
        <v>0.812419</v>
      </c>
      <c r="N4421">
        <v>0</v>
      </c>
      <c r="O4421">
        <v>-0.582897</v>
      </c>
      <c r="P4421">
        <v>0.89688369999999995</v>
      </c>
      <c r="Q4421">
        <v>-3.179593E-2</v>
      </c>
      <c r="R4421">
        <v>-0.44112230000000002</v>
      </c>
      <c r="S4421">
        <v>2.9504090000000001</v>
      </c>
      <c r="T4421">
        <v>-0.3481804</v>
      </c>
      <c r="U4421">
        <v>-0.78802490000000003</v>
      </c>
      <c r="V4421">
        <v>-0.16430449999999999</v>
      </c>
      <c r="W4421">
        <v>-1.877508E-2</v>
      </c>
      <c r="X4421">
        <v>0.98623099999999997</v>
      </c>
      <c r="Y4421">
        <v>-0.3481262</v>
      </c>
      <c r="Z4421">
        <v>8.2795019999999997E-2</v>
      </c>
      <c r="AA4421">
        <v>0.93378430000000001</v>
      </c>
      <c r="AB4421">
        <v>16</v>
      </c>
      <c r="AC4421">
        <v>9.2558999999999898</v>
      </c>
      <c r="AD4421">
        <v>-1.1074521401649999</v>
      </c>
      <c r="AE4421">
        <v>-2.42354</v>
      </c>
      <c r="AF4421">
        <v>-3.38135937887369</v>
      </c>
      <c r="AG4421">
        <v>-1.1074521401649999</v>
      </c>
      <c r="AH4421">
        <v>8.8151668286897493</v>
      </c>
      <c r="AI4421">
        <v>96.690051429805095</v>
      </c>
      <c r="AJ4421">
        <v>110.986028208625</v>
      </c>
      <c r="AK4421">
        <v>9.5061668252500802</v>
      </c>
    </row>
    <row r="4422" spans="1:37" x14ac:dyDescent="0.2">
      <c r="A4422" t="str">
        <f>"20200111160300554"</f>
        <v>20200111160300554</v>
      </c>
      <c r="B4422" t="str">
        <f>"1578729780547747"</f>
        <v>1578729780547747</v>
      </c>
      <c r="C4422" t="s">
        <v>37</v>
      </c>
      <c r="D4422">
        <v>5.1799970000000002</v>
      </c>
      <c r="E4422">
        <v>0.44649030000000001</v>
      </c>
      <c r="F4422" t="s">
        <v>64</v>
      </c>
      <c r="G4422">
        <v>-403.12709999999998</v>
      </c>
      <c r="H4422" s="1">
        <v>-5.1785280000000004E-6</v>
      </c>
      <c r="I4422">
        <v>22.385649999999998</v>
      </c>
      <c r="J4422">
        <v>-412.34469999999999</v>
      </c>
      <c r="K4422">
        <v>1.1073850000000001</v>
      </c>
      <c r="L4422">
        <v>24.75986</v>
      </c>
      <c r="M4422">
        <v>0.8167354</v>
      </c>
      <c r="N4422">
        <v>0</v>
      </c>
      <c r="O4422">
        <v>-0.57683430000000002</v>
      </c>
      <c r="P4422">
        <v>0.90016499999999999</v>
      </c>
      <c r="Q4422">
        <v>-3.1728029999999997E-2</v>
      </c>
      <c r="R4422">
        <v>-0.43439229999999901</v>
      </c>
      <c r="S4422">
        <v>2.950806</v>
      </c>
      <c r="T4422">
        <v>-0.34943200000000002</v>
      </c>
      <c r="U4422">
        <v>-0.77603149999999999</v>
      </c>
      <c r="V4422">
        <v>-0.16435549999999999</v>
      </c>
      <c r="W4422">
        <v>-1.871128E-2</v>
      </c>
      <c r="X4422">
        <v>0.98622369999999904</v>
      </c>
      <c r="Y4422">
        <v>-0.34473749999999997</v>
      </c>
      <c r="Z4422">
        <v>8.2387310000000005E-2</v>
      </c>
      <c r="AA4422">
        <v>0.93507669999999998</v>
      </c>
      <c r="AB4422">
        <v>16</v>
      </c>
      <c r="AC4422">
        <v>9.2175999999999991</v>
      </c>
      <c r="AD4422">
        <v>-1.107390178528</v>
      </c>
      <c r="AE4422">
        <v>-2.3742100000000002</v>
      </c>
      <c r="AF4422">
        <v>-3.3331582527399499</v>
      </c>
      <c r="AG4422">
        <v>-1.107390178528</v>
      </c>
      <c r="AH4422">
        <v>8.7799410482714997</v>
      </c>
      <c r="AI4422">
        <v>96.725039188333795</v>
      </c>
      <c r="AJ4422">
        <v>110.78843097156199</v>
      </c>
      <c r="AK4422">
        <v>9.4564063870178305</v>
      </c>
    </row>
    <row r="4423" spans="1:37" x14ac:dyDescent="0.2">
      <c r="A4423" t="str">
        <f>"20200111160300576"</f>
        <v>20200111160300576</v>
      </c>
      <c r="B4423" t="str">
        <f>"1578729780567267"</f>
        <v>1578729780567267</v>
      </c>
      <c r="C4423" t="s">
        <v>37</v>
      </c>
      <c r="D4423">
        <v>5.2139749999999996</v>
      </c>
      <c r="E4423">
        <v>0.44761279999999998</v>
      </c>
      <c r="F4423" t="s">
        <v>64</v>
      </c>
      <c r="G4423">
        <v>-404.20929999999998</v>
      </c>
      <c r="H4423" s="1">
        <v>-4.6441199999999998E-6</v>
      </c>
      <c r="I4423">
        <v>22.215420000000002</v>
      </c>
      <c r="J4423">
        <v>-412.21789999999999</v>
      </c>
      <c r="K4423">
        <v>1.107342</v>
      </c>
      <c r="L4423">
        <v>24.68045</v>
      </c>
      <c r="M4423">
        <v>0.82069709999999996</v>
      </c>
      <c r="N4423">
        <v>0</v>
      </c>
      <c r="O4423">
        <v>-0.57118409999999997</v>
      </c>
      <c r="P4423">
        <v>0.90350710000000001</v>
      </c>
      <c r="Q4423">
        <v>-3.2638609999999998E-2</v>
      </c>
      <c r="R4423">
        <v>-0.42732870000000001</v>
      </c>
      <c r="S4423">
        <v>2.8836360000000001</v>
      </c>
      <c r="T4423">
        <v>-0.39251789999999998</v>
      </c>
      <c r="U4423">
        <v>-0.90188599999999997</v>
      </c>
      <c r="V4423">
        <v>-0.165249799999999</v>
      </c>
      <c r="W4423">
        <v>-1.963734E-2</v>
      </c>
      <c r="X4423">
        <v>0.98605619999999905</v>
      </c>
      <c r="Y4423">
        <v>-0.29369459999999997</v>
      </c>
      <c r="Z4423">
        <v>8.9770279999999994E-2</v>
      </c>
      <c r="AA4423">
        <v>0.95167469999999998</v>
      </c>
      <c r="AB4423">
        <v>16</v>
      </c>
      <c r="AC4423">
        <v>8.0085999999999995</v>
      </c>
      <c r="AD4423">
        <v>-1.1073466441199999</v>
      </c>
      <c r="AE4423">
        <v>-2.4650299999999898</v>
      </c>
      <c r="AF4423">
        <v>-2.5078072642820599</v>
      </c>
      <c r="AG4423">
        <v>-1.1073466441199999</v>
      </c>
      <c r="AH4423">
        <v>7.8444436586110697</v>
      </c>
      <c r="AI4423">
        <v>97.658016573494294</v>
      </c>
      <c r="AJ4423">
        <v>107.72867146148801</v>
      </c>
      <c r="AK4423">
        <v>8.3096696792443598</v>
      </c>
    </row>
    <row r="4424" spans="1:37" x14ac:dyDescent="0.2">
      <c r="A4424" t="str">
        <f>"20200111160300598"</f>
        <v>20200111160300598</v>
      </c>
      <c r="B4424" t="str">
        <f>"1578729780587763"</f>
        <v>1578729780587763</v>
      </c>
      <c r="C4424" t="s">
        <v>37</v>
      </c>
      <c r="D4424">
        <v>5.2120639999999998</v>
      </c>
      <c r="E4424">
        <v>0.44779259999999899</v>
      </c>
      <c r="F4424" t="s">
        <v>64</v>
      </c>
      <c r="G4424">
        <v>-404.13929999999999</v>
      </c>
      <c r="H4424" s="1">
        <v>-4.6736259999999999E-6</v>
      </c>
      <c r="I4424">
        <v>22.198049999999999</v>
      </c>
      <c r="J4424">
        <v>-412.0917</v>
      </c>
      <c r="K4424">
        <v>1.1073090000000001</v>
      </c>
      <c r="L4424">
        <v>24.602509999999999</v>
      </c>
      <c r="M4424">
        <v>0.8245344</v>
      </c>
      <c r="N4424">
        <v>0</v>
      </c>
      <c r="O4424">
        <v>-0.56563140000000001</v>
      </c>
      <c r="P4424">
        <v>0.90688199999999997</v>
      </c>
      <c r="Q4424">
        <v>-3.3791179999999997E-2</v>
      </c>
      <c r="R4424">
        <v>-0.42002780000000001</v>
      </c>
      <c r="S4424">
        <v>2.8865970000000001</v>
      </c>
      <c r="T4424">
        <v>-0.39566889999999999</v>
      </c>
      <c r="U4424">
        <v>-0.88699340000000004</v>
      </c>
      <c r="V4424">
        <v>-0.1665152</v>
      </c>
      <c r="W4424">
        <v>-2.0809029999999999E-2</v>
      </c>
      <c r="X4424">
        <v>0.98581929999999995</v>
      </c>
      <c r="Y4424">
        <v>-0.29194969999999998</v>
      </c>
      <c r="Z4424">
        <v>8.9783440000000006E-2</v>
      </c>
      <c r="AA4424">
        <v>0.95221019999999901</v>
      </c>
      <c r="AB4424">
        <v>16</v>
      </c>
      <c r="AC4424">
        <v>7.9524000000000097</v>
      </c>
      <c r="AD4424">
        <v>-1.1073136736260001</v>
      </c>
      <c r="AE4424">
        <v>-2.4044599999999998</v>
      </c>
      <c r="AF4424">
        <v>-2.4719116724010202</v>
      </c>
      <c r="AG4424">
        <v>-1.1073136736260001</v>
      </c>
      <c r="AH4424">
        <v>7.77967162434516</v>
      </c>
      <c r="AI4424">
        <v>97.725092370711394</v>
      </c>
      <c r="AJ4424">
        <v>107.62712621941201</v>
      </c>
      <c r="AK4424">
        <v>8.2377048666842203</v>
      </c>
    </row>
    <row r="4425" spans="1:37" x14ac:dyDescent="0.2">
      <c r="A4425" t="str">
        <f>"20200111160300619"</f>
        <v>20200111160300619</v>
      </c>
      <c r="B4425" t="str">
        <f>"1578729780617043"</f>
        <v>1578729780617043</v>
      </c>
      <c r="C4425" t="s">
        <v>37</v>
      </c>
      <c r="D4425">
        <v>5.2473109999999998</v>
      </c>
      <c r="E4425">
        <v>0.44918350000000001</v>
      </c>
      <c r="F4425" t="s">
        <v>64</v>
      </c>
      <c r="G4425">
        <v>-404.11919999999998</v>
      </c>
      <c r="H4425" s="1">
        <v>-4.686762E-6</v>
      </c>
      <c r="I4425">
        <v>22.2193</v>
      </c>
      <c r="J4425">
        <v>-411.96249999999998</v>
      </c>
      <c r="K4425">
        <v>1.107262</v>
      </c>
      <c r="L4425">
        <v>24.52374</v>
      </c>
      <c r="M4425">
        <v>0.82835709999999996</v>
      </c>
      <c r="N4425">
        <v>0</v>
      </c>
      <c r="O4425">
        <v>-0.56001869999999998</v>
      </c>
      <c r="P4425">
        <v>0.91012959999999998</v>
      </c>
      <c r="Q4425">
        <v>-3.5296679999999997E-2</v>
      </c>
      <c r="R4425">
        <v>-0.41281790000000002</v>
      </c>
      <c r="S4425">
        <v>2.8926090000000002</v>
      </c>
      <c r="T4425">
        <v>-0.4017599</v>
      </c>
      <c r="U4425">
        <v>-0.86468509999999998</v>
      </c>
      <c r="V4425">
        <v>-0.16760249999999999</v>
      </c>
      <c r="W4425">
        <v>-2.232959E-2</v>
      </c>
      <c r="X4425">
        <v>0.98560170000000002</v>
      </c>
      <c r="Y4425">
        <v>-0.29257719999999998</v>
      </c>
      <c r="Z4425">
        <v>9.0544659999999999E-2</v>
      </c>
      <c r="AA4425">
        <v>0.9519455</v>
      </c>
      <c r="AB4425">
        <v>16</v>
      </c>
      <c r="AC4425">
        <v>7.8432999999999904</v>
      </c>
      <c r="AD4425">
        <v>-1.107266686762</v>
      </c>
      <c r="AE4425">
        <v>-2.30444</v>
      </c>
      <c r="AF4425">
        <v>-2.4390017201543199</v>
      </c>
      <c r="AG4425">
        <v>-1.107266686762</v>
      </c>
      <c r="AH4425">
        <v>7.6480622537772698</v>
      </c>
      <c r="AI4425">
        <v>97.853440652246206</v>
      </c>
      <c r="AJ4425">
        <v>107.68771807883</v>
      </c>
      <c r="AK4425">
        <v>8.1035563269580209</v>
      </c>
    </row>
    <row r="4426" spans="1:37" x14ac:dyDescent="0.2">
      <c r="A4426" t="str">
        <f>"20200111160300643"</f>
        <v>20200111160300643</v>
      </c>
      <c r="B4426" t="str">
        <f>"1578729780637539"</f>
        <v>1578729780637539</v>
      </c>
      <c r="C4426" t="s">
        <v>37</v>
      </c>
      <c r="D4426">
        <v>5.2835199999999896</v>
      </c>
      <c r="E4426">
        <v>0.44983019999999901</v>
      </c>
      <c r="F4426" t="s">
        <v>64</v>
      </c>
      <c r="G4426">
        <v>-404.13310000000001</v>
      </c>
      <c r="H4426" s="1">
        <v>-4.680686E-6</v>
      </c>
      <c r="I4426">
        <v>22.221429999999899</v>
      </c>
      <c r="J4426">
        <v>-411.82510000000002</v>
      </c>
      <c r="K4426">
        <v>1.10721</v>
      </c>
      <c r="L4426">
        <v>24.441220000000001</v>
      </c>
      <c r="M4426">
        <v>0.83230720000000002</v>
      </c>
      <c r="N4426">
        <v>0</v>
      </c>
      <c r="O4426">
        <v>-0.55413129999999999</v>
      </c>
      <c r="P4426">
        <v>0.91319069999999902</v>
      </c>
      <c r="Q4426">
        <v>-3.6473930000000002E-2</v>
      </c>
      <c r="R4426">
        <v>-0.40589730000000002</v>
      </c>
      <c r="S4426">
        <v>2.8943180000000002</v>
      </c>
      <c r="T4426">
        <v>-0.40932729999999901</v>
      </c>
      <c r="U4426">
        <v>-0.85110469999999905</v>
      </c>
      <c r="V4426">
        <v>-0.1680651</v>
      </c>
      <c r="W4426">
        <v>-2.3511460000000001E-2</v>
      </c>
      <c r="X4426">
        <v>0.98549540000000002</v>
      </c>
      <c r="Y4426">
        <v>-0.28986609999999902</v>
      </c>
      <c r="Z4426">
        <v>9.1423619999999997E-2</v>
      </c>
      <c r="AA4426">
        <v>0.95269059999999905</v>
      </c>
      <c r="AB4426">
        <v>16</v>
      </c>
      <c r="AC4426">
        <v>7.6920000000000002</v>
      </c>
      <c r="AD4426">
        <v>-1.1072146806859999</v>
      </c>
      <c r="AE4426">
        <v>-2.2197900000000002</v>
      </c>
      <c r="AF4426">
        <v>-2.3697502572587799</v>
      </c>
      <c r="AG4426">
        <v>-1.1072146806859999</v>
      </c>
      <c r="AH4426">
        <v>7.4896835010651799</v>
      </c>
      <c r="AI4426">
        <v>98.022718196528899</v>
      </c>
      <c r="AJ4426">
        <v>107.55747145119901</v>
      </c>
      <c r="AK4426">
        <v>7.9332842869162699</v>
      </c>
    </row>
    <row r="4427" spans="1:37" x14ac:dyDescent="0.2">
      <c r="A4427" t="str">
        <f>"20200111160300666"</f>
        <v>20200111160300666</v>
      </c>
      <c r="B4427" t="str">
        <f>"1578729780657601"</f>
        <v>1578729780657601</v>
      </c>
      <c r="C4427" t="s">
        <v>37</v>
      </c>
      <c r="D4427">
        <v>5.2246649999999999</v>
      </c>
      <c r="E4427">
        <v>0.45023239999999998</v>
      </c>
      <c r="F4427" t="s">
        <v>64</v>
      </c>
      <c r="G4427">
        <v>-403.96749999999997</v>
      </c>
      <c r="H4427" s="1">
        <v>-4.750572E-6</v>
      </c>
      <c r="I4427">
        <v>22.180779999999999</v>
      </c>
      <c r="J4427">
        <v>-411.68950000000001</v>
      </c>
      <c r="K4427">
        <v>1.107145</v>
      </c>
      <c r="L4427">
        <v>24.360900000000001</v>
      </c>
      <c r="M4427">
        <v>0.83609129999999998</v>
      </c>
      <c r="N4427">
        <v>0</v>
      </c>
      <c r="O4427">
        <v>-0.54840540000000004</v>
      </c>
      <c r="P4427">
        <v>0.9159659</v>
      </c>
      <c r="Q4427">
        <v>-3.7022279999999998E-2</v>
      </c>
      <c r="R4427">
        <v>-0.39954479999999998</v>
      </c>
      <c r="S4427">
        <v>2.898285</v>
      </c>
      <c r="T4427">
        <v>-0.40839949999999903</v>
      </c>
      <c r="U4427">
        <v>-0.83377080000000003</v>
      </c>
      <c r="V4427">
        <v>-0.16813339999999999</v>
      </c>
      <c r="W4427">
        <v>-2.4055960000000001E-2</v>
      </c>
      <c r="X4427">
        <v>0.98547070000000003</v>
      </c>
      <c r="Y4427">
        <v>-0.28899190000000002</v>
      </c>
      <c r="Z4427">
        <v>9.0503470000000003E-2</v>
      </c>
      <c r="AA4427">
        <v>0.953044</v>
      </c>
      <c r="AB4427">
        <v>16</v>
      </c>
      <c r="AC4427">
        <v>7.7220000000000297</v>
      </c>
      <c r="AD4427">
        <v>-1.107149750572</v>
      </c>
      <c r="AE4427">
        <v>-2.1801200000000001</v>
      </c>
      <c r="AF4427">
        <v>-2.36718273903106</v>
      </c>
      <c r="AG4427">
        <v>-1.107149750572</v>
      </c>
      <c r="AH4427">
        <v>7.5096850355892899</v>
      </c>
      <c r="AI4427">
        <v>98.003851232453201</v>
      </c>
      <c r="AJ4427">
        <v>107.495753800591</v>
      </c>
      <c r="AK4427">
        <v>7.9513963568615997</v>
      </c>
    </row>
    <row r="4428" spans="1:37" x14ac:dyDescent="0.2">
      <c r="A4428" t="str">
        <f>"20200111160300680"</f>
        <v>20200111160300680</v>
      </c>
      <c r="B4428" t="str">
        <f>"1578729780677122"</f>
        <v>1578729780677122</v>
      </c>
      <c r="C4428" t="s">
        <v>37</v>
      </c>
      <c r="D4428">
        <v>5.0154990000000002</v>
      </c>
      <c r="E4428">
        <v>0.42611559999999998</v>
      </c>
      <c r="F4428" t="s">
        <v>64</v>
      </c>
      <c r="G4428">
        <v>-403.8451</v>
      </c>
      <c r="H4428" s="1">
        <v>-4.8029409999999999E-6</v>
      </c>
      <c r="I4428">
        <v>22.154599999999999</v>
      </c>
      <c r="J4428">
        <v>-411.6157</v>
      </c>
      <c r="K4428">
        <v>1.107105</v>
      </c>
      <c r="L4428">
        <v>24.31766</v>
      </c>
      <c r="M4428">
        <v>0.83809699999999998</v>
      </c>
      <c r="N4428">
        <v>0</v>
      </c>
      <c r="O4428">
        <v>-0.54533589999999998</v>
      </c>
      <c r="P4428">
        <v>0.91718140000000004</v>
      </c>
      <c r="Q4428">
        <v>-3.6865849999999999E-2</v>
      </c>
      <c r="R4428">
        <v>-0.39676119999999998</v>
      </c>
      <c r="S4428">
        <v>2.9025880000000002</v>
      </c>
      <c r="T4428">
        <v>-0.40966649999999999</v>
      </c>
      <c r="U4428">
        <v>-0.81637569999999904</v>
      </c>
      <c r="V4428">
        <v>-0.16751939999999901</v>
      </c>
      <c r="W4428">
        <v>-2.388964E-2</v>
      </c>
      <c r="X4428">
        <v>0.98557929999999905</v>
      </c>
      <c r="Y4428">
        <v>-0.29110829999999999</v>
      </c>
      <c r="Z4428">
        <v>9.0554830000000003E-2</v>
      </c>
      <c r="AA4428">
        <v>0.95239479999999999</v>
      </c>
      <c r="AB4428">
        <v>16</v>
      </c>
      <c r="AC4428">
        <v>7.7706</v>
      </c>
      <c r="AD4428">
        <v>-1.107109802941</v>
      </c>
      <c r="AE4428">
        <v>-2.1630600000000002</v>
      </c>
      <c r="AF4428">
        <v>-2.38013851151026</v>
      </c>
      <c r="AG4428">
        <v>-1.107109802941</v>
      </c>
      <c r="AH4428">
        <v>7.5506411787601699</v>
      </c>
      <c r="AI4428">
        <v>97.960697695853895</v>
      </c>
      <c r="AJ4428">
        <v>107.49606914903499</v>
      </c>
      <c r="AK4428">
        <v>7.9939310517498896</v>
      </c>
    </row>
    <row r="4429" spans="1:37" x14ac:dyDescent="0.2">
      <c r="A4429" t="str">
        <f>"20200111160300700"</f>
        <v>20200111160300700</v>
      </c>
      <c r="B4429" t="str">
        <f>"1578729780697618"</f>
        <v>1578729780697618</v>
      </c>
      <c r="C4429" t="s">
        <v>37</v>
      </c>
      <c r="D4429">
        <v>5.0723159999999998</v>
      </c>
      <c r="E4429">
        <v>0.4237129</v>
      </c>
      <c r="F4429" t="s">
        <v>38</v>
      </c>
      <c r="G4429">
        <v>-396.83909999999997</v>
      </c>
      <c r="H4429" s="1">
        <v>-1.8798E-6</v>
      </c>
      <c r="I4429">
        <v>21.13899</v>
      </c>
      <c r="J4429">
        <v>-411.49029999999999</v>
      </c>
      <c r="K4429">
        <v>1.1070340000000001</v>
      </c>
      <c r="L4429">
        <v>24.244869999999999</v>
      </c>
      <c r="M4429">
        <v>0.84142680000000003</v>
      </c>
      <c r="N4429">
        <v>0</v>
      </c>
      <c r="O4429">
        <v>-0.54018459999999902</v>
      </c>
      <c r="P4429">
        <v>0.9190931</v>
      </c>
      <c r="Q4429">
        <v>-3.6986209999999999E-2</v>
      </c>
      <c r="R4429">
        <v>-0.39230169999999998</v>
      </c>
      <c r="S4429">
        <v>2.9841609999999998</v>
      </c>
      <c r="T4429">
        <v>-0.22358220000000001</v>
      </c>
      <c r="U4429">
        <v>-0.64193730000000004</v>
      </c>
      <c r="V4429">
        <v>-0.166261299999999</v>
      </c>
      <c r="W4429">
        <v>-2.3990049999999999E-2</v>
      </c>
      <c r="X4429">
        <v>0.9857899</v>
      </c>
      <c r="Y4429">
        <v>-0.348991099999999</v>
      </c>
      <c r="Z4429">
        <v>5.0599360000000003E-2</v>
      </c>
      <c r="AA4429">
        <v>0.93575900000000001</v>
      </c>
      <c r="AB4429">
        <v>16</v>
      </c>
      <c r="AC4429">
        <v>14.651199999999999</v>
      </c>
      <c r="AD4429">
        <v>-1.1070358798</v>
      </c>
      <c r="AE4429">
        <v>-3.10588</v>
      </c>
      <c r="AF4429">
        <v>-5.2727077551017096</v>
      </c>
      <c r="AG4429">
        <v>-1.1070358798</v>
      </c>
      <c r="AH4429">
        <v>13.9309579873267</v>
      </c>
      <c r="AI4429">
        <v>94.250444555294493</v>
      </c>
      <c r="AJ4429">
        <v>110.73107927423</v>
      </c>
      <c r="AK4429">
        <v>14.9364843907305</v>
      </c>
    </row>
    <row r="4430" spans="1:37" x14ac:dyDescent="0.2">
      <c r="A4430" t="str">
        <f>"20200111160300722"</f>
        <v>20200111160300722</v>
      </c>
      <c r="B4430" t="str">
        <f>"1578729780717138"</f>
        <v>1578729780717138</v>
      </c>
      <c r="C4430" t="s">
        <v>37</v>
      </c>
      <c r="D4430">
        <v>5.1028330000000004</v>
      </c>
      <c r="E4430">
        <v>0.4237997</v>
      </c>
      <c r="F4430" t="s">
        <v>38</v>
      </c>
      <c r="G4430">
        <v>-398.08350000000002</v>
      </c>
      <c r="H4430" s="1">
        <v>-1.393551E-6</v>
      </c>
      <c r="I4430">
        <v>21.522269999999999</v>
      </c>
      <c r="J4430">
        <v>-411.36450000000002</v>
      </c>
      <c r="K4430">
        <v>1.106962</v>
      </c>
      <c r="L4430">
        <v>24.172699999999999</v>
      </c>
      <c r="M4430">
        <v>0.84466399999999997</v>
      </c>
      <c r="N4430">
        <v>0</v>
      </c>
      <c r="O4430">
        <v>-0.5351089</v>
      </c>
      <c r="P4430">
        <v>0.92080689999999998</v>
      </c>
      <c r="Q4430">
        <v>-3.657842E-2</v>
      </c>
      <c r="R4430">
        <v>-0.38829989999999998</v>
      </c>
      <c r="S4430">
        <v>2.9945680000000001</v>
      </c>
      <c r="T4430">
        <v>-0.24726869999999901</v>
      </c>
      <c r="U4430">
        <v>-0.60812379999999999</v>
      </c>
      <c r="V4430">
        <v>-0.1646302</v>
      </c>
      <c r="W4430">
        <v>-2.3559009999999998E-2</v>
      </c>
      <c r="X4430">
        <v>0.98607400000000001</v>
      </c>
      <c r="Y4430">
        <v>-0.35365749999999901</v>
      </c>
      <c r="Z4430">
        <v>5.5695090000000003E-2</v>
      </c>
      <c r="AA4430">
        <v>0.93371539999999997</v>
      </c>
      <c r="AB4430">
        <v>15</v>
      </c>
      <c r="AC4430">
        <v>13.281000000000001</v>
      </c>
      <c r="AD4430">
        <v>-1.1069633935509999</v>
      </c>
      <c r="AE4430">
        <v>-2.6504299999999898</v>
      </c>
      <c r="AF4430">
        <v>-4.8362371792510004</v>
      </c>
      <c r="AG4430">
        <v>-1.1069633935509999</v>
      </c>
      <c r="AH4430">
        <v>12.5536511601386</v>
      </c>
      <c r="AI4430">
        <v>94.703913216412005</v>
      </c>
      <c r="AJ4430">
        <v>111.068953149911</v>
      </c>
      <c r="AK4430">
        <v>13.4984708563259</v>
      </c>
    </row>
    <row r="4431" spans="1:37" x14ac:dyDescent="0.2">
      <c r="A4431" t="str">
        <f>"20200111160300745"</f>
        <v>20200111160300745</v>
      </c>
      <c r="B4431" t="str">
        <f>"1578729780737634"</f>
        <v>1578729780737634</v>
      </c>
      <c r="C4431" t="s">
        <v>37</v>
      </c>
      <c r="D4431">
        <v>5.2040389999999999</v>
      </c>
      <c r="E4431">
        <v>0.424614099999999</v>
      </c>
      <c r="F4431" t="s">
        <v>38</v>
      </c>
      <c r="G4431">
        <v>-398.61520000000002</v>
      </c>
      <c r="H4431" s="1">
        <v>-1.1738540000000001E-6</v>
      </c>
      <c r="I4431">
        <v>21.641220000000001</v>
      </c>
      <c r="J4431">
        <v>-411.23050000000001</v>
      </c>
      <c r="K4431">
        <v>1.1068910000000001</v>
      </c>
      <c r="L4431">
        <v>24.096710000000002</v>
      </c>
      <c r="M4431">
        <v>0.84799880000000005</v>
      </c>
      <c r="N4431">
        <v>0</v>
      </c>
      <c r="O4431">
        <v>-0.52980909999999903</v>
      </c>
      <c r="P4431">
        <v>0.922537099999999</v>
      </c>
      <c r="Q4431">
        <v>-3.6166839999999999E-2</v>
      </c>
      <c r="R4431">
        <v>-0.38420989999999999</v>
      </c>
      <c r="S4431">
        <v>2.9967649999999999</v>
      </c>
      <c r="T4431">
        <v>-0.26019530000000002</v>
      </c>
      <c r="U4431">
        <v>-0.59503169999999905</v>
      </c>
      <c r="V4431">
        <v>-0.16284579999999901</v>
      </c>
      <c r="W4431">
        <v>-2.3124220000000001E-2</v>
      </c>
      <c r="X4431">
        <v>0.98638049999999999</v>
      </c>
      <c r="Y4431">
        <v>-0.35159299999999999</v>
      </c>
      <c r="Z4431">
        <v>5.812291E-2</v>
      </c>
      <c r="AA4431">
        <v>0.93434689999999998</v>
      </c>
      <c r="AB4431">
        <v>15</v>
      </c>
      <c r="AC4431">
        <v>12.6152999999999</v>
      </c>
      <c r="AD4431">
        <v>-1.1068921738540001</v>
      </c>
      <c r="AE4431">
        <v>-2.4554900000000002</v>
      </c>
      <c r="AF4431">
        <v>-4.5680252268838899</v>
      </c>
      <c r="AG4431">
        <v>-1.1068921738540001</v>
      </c>
      <c r="AH4431">
        <v>11.911546814730601</v>
      </c>
      <c r="AI4431">
        <v>94.958825004561504</v>
      </c>
      <c r="AJ4431">
        <v>110.98159666458101</v>
      </c>
      <c r="AK4431">
        <v>12.8053509236375</v>
      </c>
    </row>
    <row r="4432" spans="1:37" x14ac:dyDescent="0.2">
      <c r="A4432" t="str">
        <f>"20200111160300758"</f>
        <v>20200111160300758</v>
      </c>
      <c r="B4432" t="str">
        <f>"1578729780747348"</f>
        <v>1578729780747348</v>
      </c>
      <c r="C4432" t="s">
        <v>37</v>
      </c>
      <c r="D4432">
        <v>5.2011180000000001</v>
      </c>
      <c r="E4432">
        <v>0.42539300000000002</v>
      </c>
      <c r="F4432" t="s">
        <v>38</v>
      </c>
      <c r="G4432">
        <v>-398.75349999999997</v>
      </c>
      <c r="H4432" s="1">
        <v>-1.111129E-6</v>
      </c>
      <c r="I4432">
        <v>21.651129999999998</v>
      </c>
      <c r="J4432">
        <v>-411.15260000000001</v>
      </c>
      <c r="K4432">
        <v>1.1068519999999999</v>
      </c>
      <c r="L4432">
        <v>24.052949999999999</v>
      </c>
      <c r="M4432">
        <v>0.84988189999999997</v>
      </c>
      <c r="N4432">
        <v>0</v>
      </c>
      <c r="O4432">
        <v>-0.52678329999999995</v>
      </c>
      <c r="P4432">
        <v>0.92363459999999997</v>
      </c>
      <c r="Q4432">
        <v>-3.5525050000000002E-2</v>
      </c>
      <c r="R4432">
        <v>-0.38162509999999999</v>
      </c>
      <c r="S4432">
        <v>2.9968569999999999</v>
      </c>
      <c r="T4432">
        <v>-0.26586349999999997</v>
      </c>
      <c r="U4432">
        <v>-0.58740230000000004</v>
      </c>
      <c r="V4432">
        <v>-0.16211210000000001</v>
      </c>
      <c r="W4432">
        <v>-2.247207E-2</v>
      </c>
      <c r="X4432">
        <v>0.98651639999999996</v>
      </c>
      <c r="Y4432">
        <v>-0.350435099999999</v>
      </c>
      <c r="Z4432">
        <v>5.913061E-2</v>
      </c>
      <c r="AA4432">
        <v>0.93471849999999901</v>
      </c>
      <c r="AB4432">
        <v>15</v>
      </c>
      <c r="AC4432">
        <v>12.399100000000001</v>
      </c>
      <c r="AD4432">
        <v>-1.1068531111290001</v>
      </c>
      <c r="AE4432">
        <v>-2.4018199999999998</v>
      </c>
      <c r="AF4432">
        <v>-4.4565949753212601</v>
      </c>
      <c r="AG4432">
        <v>-1.1068531111290001</v>
      </c>
      <c r="AH4432">
        <v>11.7142168698257</v>
      </c>
      <c r="AI4432">
        <v>95.046859804140695</v>
      </c>
      <c r="AJ4432">
        <v>110.828980614418</v>
      </c>
      <c r="AK4432">
        <v>12.582099962128099</v>
      </c>
    </row>
    <row r="4433" spans="1:37" x14ac:dyDescent="0.2">
      <c r="A4433" t="str">
        <f>"20200111160300777"</f>
        <v>20200111160300777</v>
      </c>
      <c r="B4433" t="str">
        <f>"1578729780766871"</f>
        <v>1578729780766871</v>
      </c>
      <c r="C4433" t="s">
        <v>37</v>
      </c>
      <c r="D4433">
        <v>5.1711400000000003</v>
      </c>
      <c r="E4433">
        <v>0.4263749</v>
      </c>
      <c r="F4433" t="s">
        <v>38</v>
      </c>
      <c r="G4433">
        <v>-398.82690000000002</v>
      </c>
      <c r="H4433" s="1">
        <v>-1.0755469999999999E-6</v>
      </c>
      <c r="I4433">
        <v>21.647849999999998</v>
      </c>
      <c r="J4433">
        <v>-411.03629999999998</v>
      </c>
      <c r="K4433">
        <v>1.1067979999999999</v>
      </c>
      <c r="L4433">
        <v>23.988250000000001</v>
      </c>
      <c r="M4433">
        <v>0.85261830000000005</v>
      </c>
      <c r="N4433">
        <v>0</v>
      </c>
      <c r="O4433">
        <v>-0.5223428</v>
      </c>
      <c r="P4433">
        <v>0.924992499999999</v>
      </c>
      <c r="Q4433">
        <v>-3.4153940000000001E-2</v>
      </c>
      <c r="R4433">
        <v>-0.37844689999999997</v>
      </c>
      <c r="S4433">
        <v>2.9960939999999998</v>
      </c>
      <c r="T4433">
        <v>-0.26905129999999999</v>
      </c>
      <c r="U4433">
        <v>-0.58462519999999996</v>
      </c>
      <c r="V4433">
        <v>-0.16039500000000001</v>
      </c>
      <c r="W4433">
        <v>-2.108113E-2</v>
      </c>
      <c r="X4433">
        <v>0.98682780000000003</v>
      </c>
      <c r="Y4433">
        <v>-0.3462923</v>
      </c>
      <c r="Z4433">
        <v>5.9343640000000003E-2</v>
      </c>
      <c r="AA4433">
        <v>0.93624779999999996</v>
      </c>
      <c r="AB4433">
        <v>15</v>
      </c>
      <c r="AC4433">
        <v>12.209399999999899</v>
      </c>
      <c r="AD4433">
        <v>-1.1067990755470001</v>
      </c>
      <c r="AE4433">
        <v>-2.3403999999999998</v>
      </c>
      <c r="AF4433">
        <v>-4.3479985812963298</v>
      </c>
      <c r="AG4433">
        <v>-1.1067990755470001</v>
      </c>
      <c r="AH4433">
        <v>11.542124818885901</v>
      </c>
      <c r="AI4433">
        <v>95.127768266837094</v>
      </c>
      <c r="AJ4433">
        <v>110.64174019159999</v>
      </c>
      <c r="AK4433">
        <v>12.3834866330662</v>
      </c>
    </row>
    <row r="4434" spans="1:37" x14ac:dyDescent="0.2">
      <c r="A4434" t="str">
        <f>"20200111160300803"</f>
        <v>20200111160300803</v>
      </c>
      <c r="B4434" t="str">
        <f>"1578729780797125"</f>
        <v>1578729780797125</v>
      </c>
      <c r="C4434" t="s">
        <v>37</v>
      </c>
      <c r="D4434">
        <v>5.211017</v>
      </c>
      <c r="E4434">
        <v>0.42731549999999902</v>
      </c>
      <c r="F4434" t="s">
        <v>38</v>
      </c>
      <c r="G4434">
        <v>-398.96050000000002</v>
      </c>
      <c r="H4434" s="1">
        <v>-1.0117589999999999E-6</v>
      </c>
      <c r="I4434">
        <v>21.645510000000002</v>
      </c>
      <c r="J4434">
        <v>-410.88369999999998</v>
      </c>
      <c r="K4434">
        <v>1.1067209999999901</v>
      </c>
      <c r="L4434">
        <v>23.904239999999898</v>
      </c>
      <c r="M4434">
        <v>0.85608449999999903</v>
      </c>
      <c r="N4434">
        <v>0</v>
      </c>
      <c r="O4434">
        <v>-0.51664290000000002</v>
      </c>
      <c r="P4434">
        <v>0.92706759999999999</v>
      </c>
      <c r="Q4434">
        <v>-3.2742109999999998E-2</v>
      </c>
      <c r="R4434">
        <v>-0.3734613</v>
      </c>
      <c r="S4434">
        <v>2.9953919999999998</v>
      </c>
      <c r="T4434">
        <v>-0.27454070000000003</v>
      </c>
      <c r="U4434">
        <v>-0.58111569999999901</v>
      </c>
      <c r="V4434">
        <v>-0.15916240000000001</v>
      </c>
      <c r="W4434">
        <v>-1.9652260000000001E-2</v>
      </c>
      <c r="X4434">
        <v>0.98705679999999996</v>
      </c>
      <c r="Y4434">
        <v>-0.34095700000000001</v>
      </c>
      <c r="Z4434">
        <v>5.989477E-2</v>
      </c>
      <c r="AA4434">
        <v>0.93816889999999997</v>
      </c>
      <c r="AB4434">
        <v>15</v>
      </c>
      <c r="AC4434">
        <v>11.9231999999999</v>
      </c>
      <c r="AD4434">
        <v>-1.10672201175899</v>
      </c>
      <c r="AE4434">
        <v>-2.2587299999999901</v>
      </c>
      <c r="AF4434">
        <v>-4.1919291550429501</v>
      </c>
      <c r="AG4434">
        <v>-1.10672201175899</v>
      </c>
      <c r="AH4434">
        <v>11.2815268664546</v>
      </c>
      <c r="AI4434">
        <v>95.253993806110401</v>
      </c>
      <c r="AJ4434">
        <v>110.38378878029</v>
      </c>
      <c r="AK4434">
        <v>12.085940265066199</v>
      </c>
    </row>
    <row r="4435" spans="1:37" x14ac:dyDescent="0.2">
      <c r="A4435" t="str">
        <f>"20200111160300824"</f>
        <v>20200111160300824</v>
      </c>
      <c r="B4435" t="str">
        <f>"1578729780817621"</f>
        <v>1578729780817621</v>
      </c>
      <c r="C4435" t="s">
        <v>37</v>
      </c>
      <c r="D4435">
        <v>5.2386210000000002</v>
      </c>
      <c r="E4435">
        <v>0.42808439999999998</v>
      </c>
      <c r="F4435" t="s">
        <v>38</v>
      </c>
      <c r="G4435">
        <v>-398.98579999999998</v>
      </c>
      <c r="H4435" s="1">
        <v>-9.967421999999999E-7</v>
      </c>
      <c r="I4435">
        <v>21.633959999999998</v>
      </c>
      <c r="J4435">
        <v>-410.76229999999998</v>
      </c>
      <c r="K4435">
        <v>1.106668</v>
      </c>
      <c r="L4435">
        <v>23.838229999999999</v>
      </c>
      <c r="M4435">
        <v>0.85874030000000001</v>
      </c>
      <c r="N4435">
        <v>0</v>
      </c>
      <c r="O4435">
        <v>-0.51221740000000004</v>
      </c>
      <c r="P4435">
        <v>0.9287514</v>
      </c>
      <c r="Q4435">
        <v>-3.1206890000000001E-2</v>
      </c>
      <c r="R4435">
        <v>-0.36938739999999998</v>
      </c>
      <c r="S4435">
        <v>2.9958800000000001</v>
      </c>
      <c r="T4435">
        <v>-0.27867199999999998</v>
      </c>
      <c r="U4435">
        <v>-0.57165529999999998</v>
      </c>
      <c r="V4435">
        <v>-0.15843940000000001</v>
      </c>
      <c r="W4435">
        <v>-1.8105650000000001E-2</v>
      </c>
      <c r="X4435">
        <v>0.98720269999999999</v>
      </c>
      <c r="Y4435">
        <v>-0.33891679999999902</v>
      </c>
      <c r="Z4435">
        <v>6.036979E-2</v>
      </c>
      <c r="AA4435">
        <v>0.93887749999999903</v>
      </c>
      <c r="AB4435">
        <v>15</v>
      </c>
      <c r="AC4435">
        <v>11.7765</v>
      </c>
      <c r="AD4435">
        <v>-1.1066689967422001</v>
      </c>
      <c r="AE4435">
        <v>-2.20426999999999</v>
      </c>
      <c r="AF4435">
        <v>-4.1046230436956801</v>
      </c>
      <c r="AG4435">
        <v>-1.1066689967422001</v>
      </c>
      <c r="AH4435">
        <v>11.148021816189599</v>
      </c>
      <c r="AI4435">
        <v>95.322121361980294</v>
      </c>
      <c r="AJ4435">
        <v>110.213351225083</v>
      </c>
      <c r="AK4435">
        <v>11.931095381960001</v>
      </c>
    </row>
    <row r="4436" spans="1:37" x14ac:dyDescent="0.2">
      <c r="A4436" t="str">
        <f>"20200111160300845"</f>
        <v>20200111160300845</v>
      </c>
      <c r="B4436" t="str">
        <f>"1578729780837141"</f>
        <v>1578729780837141</v>
      </c>
      <c r="C4436" t="s">
        <v>37</v>
      </c>
      <c r="D4436">
        <v>7.9460709999999999</v>
      </c>
      <c r="E4436">
        <v>0.42833779999999999</v>
      </c>
      <c r="F4436" t="s">
        <v>38</v>
      </c>
      <c r="G4436">
        <v>-398.9076</v>
      </c>
      <c r="H4436" s="1">
        <v>-1.0261739999999999E-6</v>
      </c>
      <c r="I4436">
        <v>21.605599999999999</v>
      </c>
      <c r="J4436">
        <v>-410.63249999999999</v>
      </c>
      <c r="K4436">
        <v>1.1066129999999901</v>
      </c>
      <c r="L4436">
        <v>23.7684</v>
      </c>
      <c r="M4436">
        <v>0.86148530000000001</v>
      </c>
      <c r="N4436">
        <v>0</v>
      </c>
      <c r="O4436">
        <v>-0.50758740000000002</v>
      </c>
      <c r="P4436">
        <v>0.93056679999999903</v>
      </c>
      <c r="Q4436">
        <v>-2.965779E-2</v>
      </c>
      <c r="R4436">
        <v>-0.3649193</v>
      </c>
      <c r="S4436">
        <v>2.9963069999999998</v>
      </c>
      <c r="T4436">
        <v>-0.27971259999999998</v>
      </c>
      <c r="U4436">
        <v>-0.56430049999999998</v>
      </c>
      <c r="V4436">
        <v>-0.15790689999999999</v>
      </c>
      <c r="W4436">
        <v>-1.6545799999999999E-2</v>
      </c>
      <c r="X4436">
        <v>0.98731539999999995</v>
      </c>
      <c r="Y4436">
        <v>-0.3361055</v>
      </c>
      <c r="Z4436">
        <v>6.0112039999999999E-2</v>
      </c>
      <c r="AA4436">
        <v>0.93990399999999996</v>
      </c>
      <c r="AB4436">
        <v>15</v>
      </c>
      <c r="AC4436">
        <v>11.7248999999999</v>
      </c>
      <c r="AD4436">
        <v>-1.1066140261739901</v>
      </c>
      <c r="AE4436">
        <v>-2.1627999999999998</v>
      </c>
      <c r="AF4436">
        <v>-4.0536747360804002</v>
      </c>
      <c r="AG4436">
        <v>-1.1066140261739901</v>
      </c>
      <c r="AH4436">
        <v>11.104089554718399</v>
      </c>
      <c r="AI4436">
        <v>95.348170962550995</v>
      </c>
      <c r="AJ4436">
        <v>110.055187637023</v>
      </c>
      <c r="AK4436">
        <v>11.8725598885863</v>
      </c>
    </row>
    <row r="4437" spans="1:37" x14ac:dyDescent="0.2">
      <c r="A4437" t="str">
        <f>"20200111160300871"</f>
        <v>20200111160300871</v>
      </c>
      <c r="B4437" t="str">
        <f>"1578729780867397"</f>
        <v>1578729780867397</v>
      </c>
      <c r="C4437" t="s">
        <v>37</v>
      </c>
      <c r="D4437">
        <v>6.8529780000000002</v>
      </c>
      <c r="E4437">
        <v>0.42880879999999999</v>
      </c>
      <c r="F4437" t="s">
        <v>38</v>
      </c>
      <c r="G4437">
        <v>-398.73739999999998</v>
      </c>
      <c r="H4437" s="1">
        <v>-1.0996469999999901E-6</v>
      </c>
      <c r="I4437">
        <v>21.579360000000001</v>
      </c>
      <c r="J4437">
        <v>-410.48680000000002</v>
      </c>
      <c r="K4437">
        <v>1.10654599999999</v>
      </c>
      <c r="L4437">
        <v>23.690770000000001</v>
      </c>
      <c r="M4437">
        <v>0.86445239999999901</v>
      </c>
      <c r="N4437">
        <v>0</v>
      </c>
      <c r="O4437">
        <v>-0.50251809999999997</v>
      </c>
      <c r="P4437">
        <v>0.93254059999999905</v>
      </c>
      <c r="Q4437">
        <v>-2.8391610000000001E-2</v>
      </c>
      <c r="R4437">
        <v>-0.35994759999999998</v>
      </c>
      <c r="S4437">
        <v>2.9985659999999998</v>
      </c>
      <c r="T4437">
        <v>-0.27895809999999999</v>
      </c>
      <c r="U4437">
        <v>-0.55181880000000005</v>
      </c>
      <c r="V4437">
        <v>-0.15740499999999999</v>
      </c>
      <c r="W4437">
        <v>-1.526717E-2</v>
      </c>
      <c r="X4437">
        <v>0.98741610000000002</v>
      </c>
      <c r="Y4437">
        <v>-0.33452969999999999</v>
      </c>
      <c r="Z4437">
        <v>5.9468470000000002E-2</v>
      </c>
      <c r="AA4437">
        <v>0.94050699999999998</v>
      </c>
      <c r="AB4437">
        <v>15</v>
      </c>
      <c r="AC4437">
        <v>11.7494</v>
      </c>
      <c r="AD4437">
        <v>-1.1065470996469899</v>
      </c>
      <c r="AE4437">
        <v>-2.1114099999999998</v>
      </c>
      <c r="AF4437">
        <v>-4.0447226709967996</v>
      </c>
      <c r="AG4437">
        <v>-1.1065470996469899</v>
      </c>
      <c r="AH4437">
        <v>11.1233530235729</v>
      </c>
      <c r="AI4437">
        <v>95.341095387570107</v>
      </c>
      <c r="AJ4437">
        <v>109.98250157129399</v>
      </c>
      <c r="AK4437">
        <v>11.887523310431</v>
      </c>
    </row>
    <row r="4438" spans="1:37" x14ac:dyDescent="0.2">
      <c r="A4438" t="str">
        <f>"20200111160300891"</f>
        <v>20200111160300891</v>
      </c>
      <c r="B4438" t="str">
        <f>"1578729780886917"</f>
        <v>1578729780886917</v>
      </c>
      <c r="C4438" t="s">
        <v>37</v>
      </c>
      <c r="D4438">
        <v>5.3520890000000003</v>
      </c>
      <c r="E4438">
        <v>0.4297125</v>
      </c>
      <c r="F4438" t="s">
        <v>38</v>
      </c>
      <c r="G4438">
        <v>-397.95979999999997</v>
      </c>
      <c r="H4438" s="1">
        <v>-1.4289269999999899E-6</v>
      </c>
      <c r="I4438">
        <v>21.435569999999998</v>
      </c>
      <c r="J4438">
        <v>-410.36750000000001</v>
      </c>
      <c r="K4438">
        <v>1.1064889999999901</v>
      </c>
      <c r="L4438">
        <v>23.627929999999999</v>
      </c>
      <c r="M4438">
        <v>0.86679019999999996</v>
      </c>
      <c r="N4438">
        <v>0</v>
      </c>
      <c r="O4438">
        <v>-0.49847529999999901</v>
      </c>
      <c r="P4438">
        <v>0.93416299999999997</v>
      </c>
      <c r="Q4438">
        <v>-2.7745829999999999E-2</v>
      </c>
      <c r="R4438">
        <v>-0.35576639999999998</v>
      </c>
      <c r="S4438">
        <v>3.0004270000000002</v>
      </c>
      <c r="T4438">
        <v>-0.26503789999999999</v>
      </c>
      <c r="U4438">
        <v>-0.54016109999999995</v>
      </c>
      <c r="V4438">
        <v>-0.15723129999999999</v>
      </c>
      <c r="W4438">
        <v>-1.461253E-2</v>
      </c>
      <c r="X4438">
        <v>0.98745369999999999</v>
      </c>
      <c r="Y4438">
        <v>-0.33410499999999999</v>
      </c>
      <c r="Z4438">
        <v>5.6185350000000002E-2</v>
      </c>
      <c r="AA4438">
        <v>0.94085969999999997</v>
      </c>
      <c r="AB4438">
        <v>15</v>
      </c>
      <c r="AC4438">
        <v>12.4077</v>
      </c>
      <c r="AD4438">
        <v>-1.1064904289269999</v>
      </c>
      <c r="AE4438">
        <v>-2.1923599999999901</v>
      </c>
      <c r="AF4438">
        <v>-4.2522453061763903</v>
      </c>
      <c r="AG4438">
        <v>-1.1064904289269999</v>
      </c>
      <c r="AH4438">
        <v>11.7581999648013</v>
      </c>
      <c r="AI4438">
        <v>95.057195446800904</v>
      </c>
      <c r="AJ4438">
        <v>109.88205976018099</v>
      </c>
      <c r="AK4438">
        <v>12.5523375363101</v>
      </c>
    </row>
    <row r="4439" spans="1:37" x14ac:dyDescent="0.2">
      <c r="A4439" t="str">
        <f>"20200111160300912"</f>
        <v>20200111160300912</v>
      </c>
      <c r="B4439" t="str">
        <f>"1578729780907413"</f>
        <v>1578729780907413</v>
      </c>
      <c r="C4439" t="s">
        <v>37</v>
      </c>
      <c r="D4439">
        <v>5.5190159999999997</v>
      </c>
      <c r="E4439">
        <v>0.43054330000000002</v>
      </c>
      <c r="F4439" t="s">
        <v>38</v>
      </c>
      <c r="G4439">
        <v>-397.80329999999998</v>
      </c>
      <c r="H4439" s="1">
        <v>-1.491835E-6</v>
      </c>
      <c r="I4439">
        <v>21.39385</v>
      </c>
      <c r="J4439">
        <v>-410.2432</v>
      </c>
      <c r="K4439">
        <v>1.1064419999999999</v>
      </c>
      <c r="L4439">
        <v>23.56305</v>
      </c>
      <c r="M4439">
        <v>0.86915589999999998</v>
      </c>
      <c r="N4439">
        <v>0</v>
      </c>
      <c r="O4439">
        <v>-0.49433919999999998</v>
      </c>
      <c r="P4439">
        <v>0.93588199999999999</v>
      </c>
      <c r="Q4439">
        <v>-2.6783370000000001E-2</v>
      </c>
      <c r="R4439">
        <v>-0.35129379999999999</v>
      </c>
      <c r="S4439">
        <v>3.000397</v>
      </c>
      <c r="T4439">
        <v>-0.26423479999999999</v>
      </c>
      <c r="U4439">
        <v>-0.53350830000000005</v>
      </c>
      <c r="V4439">
        <v>-0.1572693</v>
      </c>
      <c r="W4439">
        <v>-1.364523E-2</v>
      </c>
      <c r="X4439">
        <v>0.98746149999999999</v>
      </c>
      <c r="Y4439">
        <v>-0.3316731</v>
      </c>
      <c r="Z4439">
        <v>5.5615459999999999E-2</v>
      </c>
      <c r="AA4439">
        <v>0.94175359999999997</v>
      </c>
      <c r="AB4439">
        <v>15</v>
      </c>
      <c r="AC4439">
        <v>12.4399</v>
      </c>
      <c r="AD4439">
        <v>-1.1064434918349999</v>
      </c>
      <c r="AE4439">
        <v>-2.1692</v>
      </c>
      <c r="AF4439">
        <v>-4.2320852824250998</v>
      </c>
      <c r="AG4439">
        <v>-1.1064434918349999</v>
      </c>
      <c r="AH4439">
        <v>11.7951460806095</v>
      </c>
      <c r="AI4439">
        <v>95.045770297939697</v>
      </c>
      <c r="AJ4439">
        <v>109.737929958489</v>
      </c>
      <c r="AK4439">
        <v>12.5801523878394</v>
      </c>
    </row>
    <row r="4440" spans="1:37" x14ac:dyDescent="0.2">
      <c r="A4440" t="str">
        <f>"20200111160300935"</f>
        <v>20200111160300935</v>
      </c>
      <c r="B4440" t="str">
        <f>"1578729780926932"</f>
        <v>1578729780926932</v>
      </c>
      <c r="C4440" t="s">
        <v>37</v>
      </c>
      <c r="D4440">
        <v>5.4324269999999997</v>
      </c>
      <c r="E4440">
        <v>0.43157609999999902</v>
      </c>
      <c r="F4440" t="s">
        <v>38</v>
      </c>
      <c r="G4440">
        <v>-397.9169</v>
      </c>
      <c r="H4440" s="1">
        <v>-1.4413869999999999E-6</v>
      </c>
      <c r="I4440">
        <v>21.406110000000002</v>
      </c>
      <c r="J4440">
        <v>-410.10410000000002</v>
      </c>
      <c r="K4440">
        <v>1.1064000000000001</v>
      </c>
      <c r="L4440">
        <v>23.491209999999999</v>
      </c>
      <c r="M4440">
        <v>0.87172070000000001</v>
      </c>
      <c r="N4440">
        <v>0</v>
      </c>
      <c r="O4440">
        <v>-0.48980299999999999</v>
      </c>
      <c r="P4440">
        <v>0.93780030000000003</v>
      </c>
      <c r="Q4440">
        <v>-2.5639260000000001E-2</v>
      </c>
      <c r="R4440">
        <v>-0.34622750000000002</v>
      </c>
      <c r="S4440">
        <v>3.000702</v>
      </c>
      <c r="T4440">
        <v>-0.26935229999999999</v>
      </c>
      <c r="U4440">
        <v>-0.52508540000000004</v>
      </c>
      <c r="V4440">
        <v>-0.15748589999999901</v>
      </c>
      <c r="W4440">
        <v>-1.250008E-2</v>
      </c>
      <c r="X4440">
        <v>0.98744209999999999</v>
      </c>
      <c r="Y4440">
        <v>-0.32924799999999999</v>
      </c>
      <c r="Z4440">
        <v>5.624651E-2</v>
      </c>
      <c r="AA4440">
        <v>0.94256679999999904</v>
      </c>
      <c r="AB4440">
        <v>15</v>
      </c>
      <c r="AC4440">
        <v>12.187200000000001</v>
      </c>
      <c r="AD4440">
        <v>-1.106401441387</v>
      </c>
      <c r="AE4440">
        <v>-2.08509999999999</v>
      </c>
      <c r="AF4440">
        <v>-4.1191261110732</v>
      </c>
      <c r="AG4440">
        <v>-1.106401441387</v>
      </c>
      <c r="AH4440">
        <v>11.5537497240033</v>
      </c>
      <c r="AI4440">
        <v>95.154142763603701</v>
      </c>
      <c r="AJ4440">
        <v>109.622094075739</v>
      </c>
      <c r="AK4440">
        <v>12.3158619979819</v>
      </c>
    </row>
    <row r="4441" spans="1:37" x14ac:dyDescent="0.2">
      <c r="A4441" t="str">
        <f>"20200111160300958"</f>
        <v>20200111160300958</v>
      </c>
      <c r="B4441" t="str">
        <f>"1578729780947428"</f>
        <v>1578729780947428</v>
      </c>
      <c r="C4441" t="s">
        <v>37</v>
      </c>
      <c r="D4441">
        <v>5.4603109999999999</v>
      </c>
      <c r="E4441">
        <v>0.43261529999999998</v>
      </c>
      <c r="F4441" t="s">
        <v>38</v>
      </c>
      <c r="G4441">
        <v>-398.00729999999999</v>
      </c>
      <c r="H4441" s="1">
        <v>-1.399926E-6</v>
      </c>
      <c r="I4441">
        <v>21.410910000000001</v>
      </c>
      <c r="J4441">
        <v>-409.97230000000002</v>
      </c>
      <c r="K4441">
        <v>1.1063689999999999</v>
      </c>
      <c r="L4441">
        <v>23.423829999999999</v>
      </c>
      <c r="M4441">
        <v>0.87407330000000005</v>
      </c>
      <c r="N4441">
        <v>0</v>
      </c>
      <c r="O4441">
        <v>-0.48559219999999997</v>
      </c>
      <c r="P4441">
        <v>0.93967719999999899</v>
      </c>
      <c r="Q4441">
        <v>-2.455098E-2</v>
      </c>
      <c r="R4441">
        <v>-0.34118039999999999</v>
      </c>
      <c r="S4441">
        <v>3.0009769999999998</v>
      </c>
      <c r="T4441">
        <v>-0.27447749999999999</v>
      </c>
      <c r="U4441">
        <v>-0.51608279999999995</v>
      </c>
      <c r="V4441">
        <v>-0.158051</v>
      </c>
      <c r="W4441">
        <v>-1.141465E-2</v>
      </c>
      <c r="X4441">
        <v>0.98736489999999999</v>
      </c>
      <c r="Y4441">
        <v>-0.3273604</v>
      </c>
      <c r="Z4441">
        <v>5.6912450000000003E-2</v>
      </c>
      <c r="AA4441">
        <v>0.94318409999999997</v>
      </c>
      <c r="AB4441">
        <v>15</v>
      </c>
      <c r="AC4441">
        <v>11.965</v>
      </c>
      <c r="AD4441">
        <v>-1.1063703999259999</v>
      </c>
      <c r="AE4441">
        <v>-2.0129199999999901</v>
      </c>
      <c r="AF4441">
        <v>-4.0176619555281698</v>
      </c>
      <c r="AG4441">
        <v>-1.1063703999259999</v>
      </c>
      <c r="AH4441">
        <v>11.342554911572501</v>
      </c>
      <c r="AI4441">
        <v>95.253234884815498</v>
      </c>
      <c r="AJ4441">
        <v>109.504724502708</v>
      </c>
      <c r="AK4441">
        <v>12.083841068665601</v>
      </c>
    </row>
    <row r="4442" spans="1:37" x14ac:dyDescent="0.2">
      <c r="A4442" t="str">
        <f>"20200111160300979"</f>
        <v>20200111160300979</v>
      </c>
      <c r="B4442" t="str">
        <f>"1578729780966949"</f>
        <v>1578729780966949</v>
      </c>
      <c r="C4442" t="s">
        <v>37</v>
      </c>
      <c r="D4442">
        <v>5.4679289999999998</v>
      </c>
      <c r="E4442">
        <v>0.43364929999999902</v>
      </c>
      <c r="F4442" t="s">
        <v>38</v>
      </c>
      <c r="G4442">
        <v>-398.05</v>
      </c>
      <c r="H4442" s="1">
        <v>-1.379298E-6</v>
      </c>
      <c r="I4442">
        <v>21.40917</v>
      </c>
      <c r="J4442">
        <v>-409.84440000000001</v>
      </c>
      <c r="K4442">
        <v>1.1063399999999901</v>
      </c>
      <c r="L4442">
        <v>23.35904</v>
      </c>
      <c r="M4442">
        <v>0.87628459999999997</v>
      </c>
      <c r="N4442">
        <v>0</v>
      </c>
      <c r="O4442">
        <v>-0.48159109999999999</v>
      </c>
      <c r="P4442">
        <v>0.94140040000000003</v>
      </c>
      <c r="Q4442">
        <v>-2.420831E-2</v>
      </c>
      <c r="R4442">
        <v>-0.33642179999999999</v>
      </c>
      <c r="S4442">
        <v>3.00116</v>
      </c>
      <c r="T4442">
        <v>-0.27850239999999998</v>
      </c>
      <c r="U4442">
        <v>-0.50714110000000001</v>
      </c>
      <c r="V4442">
        <v>-0.1585394</v>
      </c>
      <c r="W4442">
        <v>-1.10738E-2</v>
      </c>
      <c r="X4442">
        <v>0.98729059999999902</v>
      </c>
      <c r="Y4442">
        <v>-0.32571079999999902</v>
      </c>
      <c r="Z4442">
        <v>5.7365399999999997E-2</v>
      </c>
      <c r="AA4442">
        <v>0.9437276</v>
      </c>
      <c r="AB4442">
        <v>15</v>
      </c>
      <c r="AC4442">
        <v>11.7943999999999</v>
      </c>
      <c r="AD4442">
        <v>-1.1063413792979999</v>
      </c>
      <c r="AE4442">
        <v>-1.94987</v>
      </c>
      <c r="AF4442">
        <v>-3.9380959912183702</v>
      </c>
      <c r="AG4442">
        <v>-1.1063413792979999</v>
      </c>
      <c r="AH4442">
        <v>11.179641145654299</v>
      </c>
      <c r="AI4442">
        <v>95.332464958546794</v>
      </c>
      <c r="AJ4442">
        <v>109.40511960959699</v>
      </c>
      <c r="AK4442">
        <v>11.904493581383599</v>
      </c>
    </row>
    <row r="4443" spans="1:37" x14ac:dyDescent="0.2">
      <c r="A4443" t="str">
        <f>"20200111160301002"</f>
        <v>20200111160301002</v>
      </c>
      <c r="B4443" t="str">
        <f>"1578729780997205"</f>
        <v>1578729780997205</v>
      </c>
      <c r="C4443" t="s">
        <v>37</v>
      </c>
      <c r="D4443">
        <v>5.4937969999999998</v>
      </c>
      <c r="E4443">
        <v>0.43519340000000001</v>
      </c>
      <c r="F4443" t="s">
        <v>38</v>
      </c>
      <c r="G4443">
        <v>-398.19240000000002</v>
      </c>
      <c r="H4443" s="1">
        <v>-1.315128E-6</v>
      </c>
      <c r="I4443">
        <v>21.421029999999998</v>
      </c>
      <c r="J4443">
        <v>-409.7115</v>
      </c>
      <c r="K4443">
        <v>1.1063000000000001</v>
      </c>
      <c r="L4443">
        <v>23.29242</v>
      </c>
      <c r="M4443">
        <v>0.87850779999999995</v>
      </c>
      <c r="N4443">
        <v>0</v>
      </c>
      <c r="O4443">
        <v>-0.4775239</v>
      </c>
      <c r="P4443">
        <v>0.94315559999999998</v>
      </c>
      <c r="Q4443">
        <v>-2.3588939999999999E-2</v>
      </c>
      <c r="R4443">
        <v>-0.33151329999999901</v>
      </c>
      <c r="S4443">
        <v>3.0010379999999999</v>
      </c>
      <c r="T4443">
        <v>-0.28494429999999998</v>
      </c>
      <c r="U4443">
        <v>-0.49914550000000002</v>
      </c>
      <c r="V4443">
        <v>-0.1591167</v>
      </c>
      <c r="W4443">
        <v>-1.04543E-2</v>
      </c>
      <c r="X4443">
        <v>0.98720439999999998</v>
      </c>
      <c r="Y4443">
        <v>-0.32364290000000001</v>
      </c>
      <c r="Z4443">
        <v>5.827653E-2</v>
      </c>
      <c r="AA4443">
        <v>0.94438290000000003</v>
      </c>
      <c r="AB4443">
        <v>15</v>
      </c>
      <c r="AC4443">
        <v>11.5190999999999</v>
      </c>
      <c r="AD4443">
        <v>-1.1063013151279999</v>
      </c>
      <c r="AE4443">
        <v>-1.8713900000000001</v>
      </c>
      <c r="AF4443">
        <v>-3.8226382937626702</v>
      </c>
      <c r="AG4443">
        <v>-1.1063013151279999</v>
      </c>
      <c r="AH4443">
        <v>10.9162265394391</v>
      </c>
      <c r="AI4443">
        <v>95.463699798304205</v>
      </c>
      <c r="AJ4443">
        <v>109.29920578682599</v>
      </c>
      <c r="AK4443">
        <v>11.6189701774792</v>
      </c>
    </row>
    <row r="4444" spans="1:37" x14ac:dyDescent="0.2">
      <c r="A4444" t="str">
        <f>"20200111160301025"</f>
        <v>20200111160301025</v>
      </c>
      <c r="B4444" t="str">
        <f>"1578729781017701"</f>
        <v>1578729781017701</v>
      </c>
      <c r="C4444" t="s">
        <v>37</v>
      </c>
      <c r="D4444">
        <v>5.4698699999999896</v>
      </c>
      <c r="E4444">
        <v>0.43598379999999998</v>
      </c>
      <c r="F4444" t="s">
        <v>38</v>
      </c>
      <c r="G4444">
        <v>-398.404</v>
      </c>
      <c r="H4444" s="1">
        <v>-1.217169E-6</v>
      </c>
      <c r="I4444">
        <v>21.428820000000002</v>
      </c>
      <c r="J4444">
        <v>-409.56790000000001</v>
      </c>
      <c r="K4444">
        <v>1.106252</v>
      </c>
      <c r="L4444">
        <v>23.2211</v>
      </c>
      <c r="M4444">
        <v>0.88082990000000005</v>
      </c>
      <c r="N4444">
        <v>0</v>
      </c>
      <c r="O4444">
        <v>-0.47322709999999901</v>
      </c>
      <c r="P4444">
        <v>0.94495560000000001</v>
      </c>
      <c r="Q4444">
        <v>-2.2829229999999999E-2</v>
      </c>
      <c r="R4444">
        <v>-0.326401</v>
      </c>
      <c r="S4444">
        <v>2.999695</v>
      </c>
      <c r="T4444">
        <v>-0.29348419999999997</v>
      </c>
      <c r="U4444">
        <v>-0.49438480000000001</v>
      </c>
      <c r="V4444">
        <v>-0.15965309999999999</v>
      </c>
      <c r="W4444">
        <v>-9.6907929999999996E-3</v>
      </c>
      <c r="X4444">
        <v>0.98712559999999905</v>
      </c>
      <c r="Y4444">
        <v>-0.32024049999999998</v>
      </c>
      <c r="Z4444">
        <v>5.9522760000000001E-2</v>
      </c>
      <c r="AA4444">
        <v>0.94546450000000004</v>
      </c>
      <c r="AB4444">
        <v>15</v>
      </c>
      <c r="AC4444">
        <v>11.1639</v>
      </c>
      <c r="AD4444">
        <v>-1.106253217169</v>
      </c>
      <c r="AE4444">
        <v>-1.7922799999999901</v>
      </c>
      <c r="AF4444">
        <v>-3.6695998040440401</v>
      </c>
      <c r="AG4444">
        <v>-1.106253217169</v>
      </c>
      <c r="AH4444">
        <v>10.581402404959199</v>
      </c>
      <c r="AI4444">
        <v>95.641134488802706</v>
      </c>
      <c r="AJ4444">
        <v>109.12639823032301</v>
      </c>
      <c r="AK4444">
        <v>11.2541474913924</v>
      </c>
    </row>
    <row r="4445" spans="1:37" x14ac:dyDescent="0.2">
      <c r="A4445" t="str">
        <f>"20200111160301046"</f>
        <v>20200111160301046</v>
      </c>
      <c r="B4445" t="str">
        <f>"1578729781037220"</f>
        <v>1578729781037220</v>
      </c>
      <c r="C4445" t="s">
        <v>37</v>
      </c>
      <c r="D4445">
        <v>5.4958910000000003</v>
      </c>
      <c r="E4445">
        <v>0.43677650000000001</v>
      </c>
      <c r="F4445" t="s">
        <v>38</v>
      </c>
      <c r="G4445">
        <v>-398.39870000000002</v>
      </c>
      <c r="H4445" s="1">
        <v>-1.217738E-6</v>
      </c>
      <c r="I4445">
        <v>21.42146</v>
      </c>
      <c r="J4445">
        <v>-409.44549999999998</v>
      </c>
      <c r="K4445">
        <v>1.1062080000000001</v>
      </c>
      <c r="L4445">
        <v>23.16086</v>
      </c>
      <c r="M4445">
        <v>0.88274540000000001</v>
      </c>
      <c r="N4445">
        <v>0</v>
      </c>
      <c r="O4445">
        <v>-0.46964479999999997</v>
      </c>
      <c r="P4445">
        <v>0.94626939999999904</v>
      </c>
      <c r="Q4445">
        <v>-2.1996290000000002E-2</v>
      </c>
      <c r="R4445">
        <v>-0.322631</v>
      </c>
      <c r="S4445">
        <v>3.0005489999999999</v>
      </c>
      <c r="T4445">
        <v>-0.2971876</v>
      </c>
      <c r="U4445">
        <v>-0.48345949999999999</v>
      </c>
      <c r="V4445">
        <v>-0.15959219999999999</v>
      </c>
      <c r="W4445">
        <v>-8.8501969999999902E-3</v>
      </c>
      <c r="X4445">
        <v>0.98714329999999995</v>
      </c>
      <c r="Y4445">
        <v>-0.31971909999999998</v>
      </c>
      <c r="Z4445">
        <v>5.9945430000000001E-2</v>
      </c>
      <c r="AA4445">
        <v>0.94561419999999996</v>
      </c>
      <c r="AB4445">
        <v>15</v>
      </c>
      <c r="AC4445">
        <v>11.0467999999999</v>
      </c>
      <c r="AD4445">
        <v>-1.1062092177380001</v>
      </c>
      <c r="AE4445">
        <v>-1.7393999999999901</v>
      </c>
      <c r="AF4445">
        <v>-3.6175813564396901</v>
      </c>
      <c r="AG4445">
        <v>-1.1062092177380001</v>
      </c>
      <c r="AH4445">
        <v>10.467018158244199</v>
      </c>
      <c r="AI4445">
        <v>95.704218431765</v>
      </c>
      <c r="AJ4445">
        <v>109.066029174739</v>
      </c>
      <c r="AK4445">
        <v>11.129647920257099</v>
      </c>
    </row>
    <row r="4446" spans="1:37" x14ac:dyDescent="0.2">
      <c r="A4446" t="str">
        <f>"20200111160301061"</f>
        <v>20200111160301061</v>
      </c>
      <c r="B4446" t="str">
        <f>"1578729781057717"</f>
        <v>1578729781057717</v>
      </c>
      <c r="C4446" t="s">
        <v>37</v>
      </c>
      <c r="D4446">
        <v>5.5340809999999996</v>
      </c>
      <c r="E4446">
        <v>0.43754969999999999</v>
      </c>
      <c r="F4446" t="s">
        <v>38</v>
      </c>
      <c r="G4446">
        <v>-398.38139999999999</v>
      </c>
      <c r="H4446" s="1">
        <v>-1.2206809999999999E-6</v>
      </c>
      <c r="I4446">
        <v>21.401910000000001</v>
      </c>
      <c r="J4446">
        <v>-409.36090000000002</v>
      </c>
      <c r="K4446">
        <v>1.106179</v>
      </c>
      <c r="L4446">
        <v>23.119540000000001</v>
      </c>
      <c r="M4446">
        <v>0.88403240000000005</v>
      </c>
      <c r="N4446">
        <v>0</v>
      </c>
      <c r="O4446">
        <v>-0.46721839999999998</v>
      </c>
      <c r="P4446">
        <v>0.94716819999999902</v>
      </c>
      <c r="Q4446">
        <v>-2.141086E-2</v>
      </c>
      <c r="R4446">
        <v>-0.3200229</v>
      </c>
      <c r="S4446">
        <v>3.0007320000000002</v>
      </c>
      <c r="T4446">
        <v>-0.30001990000000001</v>
      </c>
      <c r="U4446">
        <v>-0.4770508</v>
      </c>
      <c r="V4446">
        <v>-0.15960949999999999</v>
      </c>
      <c r="W4446">
        <v>-8.2598050000000003E-3</v>
      </c>
      <c r="X4446">
        <v>0.98714570000000001</v>
      </c>
      <c r="Y4446">
        <v>-0.31904060000000001</v>
      </c>
      <c r="Z4446">
        <v>6.0280319999999998E-2</v>
      </c>
      <c r="AA4446">
        <v>0.9458221</v>
      </c>
      <c r="AB4446">
        <v>15</v>
      </c>
      <c r="AC4446">
        <v>10.9795</v>
      </c>
      <c r="AD4446">
        <v>-1.1061802206810001</v>
      </c>
      <c r="AE4446">
        <v>-1.71762999999999</v>
      </c>
      <c r="AF4446">
        <v>-3.5762996585412301</v>
      </c>
      <c r="AG4446">
        <v>-1.1061802206810001</v>
      </c>
      <c r="AH4446">
        <v>10.4066508139968</v>
      </c>
      <c r="AI4446">
        <v>95.740383436202293</v>
      </c>
      <c r="AJ4446">
        <v>108.965549984915</v>
      </c>
      <c r="AK4446">
        <v>11.0594726408074</v>
      </c>
    </row>
    <row r="4447" spans="1:37" x14ac:dyDescent="0.2">
      <c r="A4447" t="str">
        <f>"20200111160301080"</f>
        <v>20200111160301080</v>
      </c>
      <c r="B4447" t="str">
        <f>"1578729781077237"</f>
        <v>1578729781077237</v>
      </c>
      <c r="C4447" t="s">
        <v>37</v>
      </c>
      <c r="D4447">
        <v>5.5087779999999897</v>
      </c>
      <c r="E4447">
        <v>0.4383782</v>
      </c>
      <c r="F4447" t="s">
        <v>38</v>
      </c>
      <c r="G4447">
        <v>-398.43680000000001</v>
      </c>
      <c r="H4447" s="1">
        <v>-1.1922110000000001E-6</v>
      </c>
      <c r="I4447">
        <v>21.393239999999999</v>
      </c>
      <c r="J4447">
        <v>-409.2518</v>
      </c>
      <c r="K4447">
        <v>1.1061510000000001</v>
      </c>
      <c r="L4447">
        <v>23.066559999999999</v>
      </c>
      <c r="M4447">
        <v>0.885656</v>
      </c>
      <c r="N4447">
        <v>0</v>
      </c>
      <c r="O4447">
        <v>-0.46413339999999997</v>
      </c>
      <c r="P4447">
        <v>0.94812369999999901</v>
      </c>
      <c r="Q4447">
        <v>-2.0678620000000002E-2</v>
      </c>
      <c r="R4447">
        <v>-0.31722939999999999</v>
      </c>
      <c r="S4447">
        <v>3.0002749999999998</v>
      </c>
      <c r="T4447">
        <v>-0.30380889999999999</v>
      </c>
      <c r="U4447">
        <v>-0.47412109999999902</v>
      </c>
      <c r="V4447">
        <v>-0.15908889999999901</v>
      </c>
      <c r="W4447">
        <v>-7.5188310000000001E-3</v>
      </c>
      <c r="X4447">
        <v>0.98723570000000005</v>
      </c>
      <c r="Y4447">
        <v>-0.31654829999999901</v>
      </c>
      <c r="Z4447">
        <v>6.0655460000000001E-2</v>
      </c>
      <c r="AA4447">
        <v>0.94663509999999995</v>
      </c>
      <c r="AB4447">
        <v>15</v>
      </c>
      <c r="AC4447">
        <v>10.8149999999999</v>
      </c>
      <c r="AD4447">
        <v>-1.106152192211</v>
      </c>
      <c r="AE4447">
        <v>-1.6733199999999999</v>
      </c>
      <c r="AF4447">
        <v>-3.5021793209946801</v>
      </c>
      <c r="AG4447">
        <v>-1.106152192211</v>
      </c>
      <c r="AH4447">
        <v>10.251283676197501</v>
      </c>
      <c r="AI4447">
        <v>95.830231984513304</v>
      </c>
      <c r="AJ4447">
        <v>108.861872857064</v>
      </c>
      <c r="AK4447">
        <v>10.889336512323</v>
      </c>
    </row>
    <row r="4448" spans="1:37" x14ac:dyDescent="0.2">
      <c r="A4448" t="str">
        <f>"20200111160301105"</f>
        <v>20200111160301105</v>
      </c>
      <c r="B4448" t="str">
        <f>"1578729781097733"</f>
        <v>1578729781097733</v>
      </c>
      <c r="C4448" t="s">
        <v>37</v>
      </c>
      <c r="D4448">
        <v>5.5301559999999998</v>
      </c>
      <c r="E4448">
        <v>0.43913549999999901</v>
      </c>
      <c r="F4448" t="s">
        <v>38</v>
      </c>
      <c r="G4448">
        <v>-398.39550000000003</v>
      </c>
      <c r="H4448" s="1">
        <v>-1.2037869999999899E-6</v>
      </c>
      <c r="I4448">
        <v>21.363409999999998</v>
      </c>
      <c r="J4448">
        <v>-409.1001</v>
      </c>
      <c r="K4448">
        <v>1.1061099999999999</v>
      </c>
      <c r="L4448">
        <v>22.993500000000001</v>
      </c>
      <c r="M4448">
        <v>0.887845</v>
      </c>
      <c r="N4448">
        <v>0</v>
      </c>
      <c r="O4448">
        <v>-0.45993249999999902</v>
      </c>
      <c r="P4448">
        <v>0.94942649999999995</v>
      </c>
      <c r="Q4448">
        <v>-2.0601029999999999E-2</v>
      </c>
      <c r="R4448">
        <v>-0.313312799999999</v>
      </c>
      <c r="S4448">
        <v>3</v>
      </c>
      <c r="T4448">
        <v>-0.30567109999999997</v>
      </c>
      <c r="U4448">
        <v>-0.47064209999999901</v>
      </c>
      <c r="V4448">
        <v>-0.15848870000000001</v>
      </c>
      <c r="W4448">
        <v>-7.4335829999999997E-3</v>
      </c>
      <c r="X4448">
        <v>0.98733280000000001</v>
      </c>
      <c r="Y4448">
        <v>-0.3131024</v>
      </c>
      <c r="Z4448">
        <v>6.0489590000000003E-2</v>
      </c>
      <c r="AA4448">
        <v>0.94779099999999905</v>
      </c>
      <c r="AB4448">
        <v>15</v>
      </c>
      <c r="AC4448">
        <v>10.7045999999999</v>
      </c>
      <c r="AD4448">
        <v>-1.106111203787</v>
      </c>
      <c r="AE4448">
        <v>-1.63008999999999</v>
      </c>
      <c r="AF4448">
        <v>-3.4405593599961701</v>
      </c>
      <c r="AG4448">
        <v>-1.106111203787</v>
      </c>
      <c r="AH4448">
        <v>10.1488431685239</v>
      </c>
      <c r="AI4448">
        <v>95.893133039860501</v>
      </c>
      <c r="AJ4448">
        <v>108.727172954445</v>
      </c>
      <c r="AK4448">
        <v>10.7731122877325</v>
      </c>
    </row>
    <row r="4449" spans="1:37" x14ac:dyDescent="0.2">
      <c r="A4449" t="str">
        <f>"20200111160301126"</f>
        <v>20200111160301126</v>
      </c>
      <c r="B4449" t="str">
        <f>"1578729781117253"</f>
        <v>1578729781117253</v>
      </c>
      <c r="C4449" t="s">
        <v>37</v>
      </c>
      <c r="D4449">
        <v>5.5955719999999998</v>
      </c>
      <c r="E4449">
        <v>0.43978689999999998</v>
      </c>
      <c r="F4449" t="s">
        <v>38</v>
      </c>
      <c r="G4449">
        <v>-398.37400000000002</v>
      </c>
      <c r="H4449" s="1">
        <v>-1.207013E-6</v>
      </c>
      <c r="I4449">
        <v>21.337309999999999</v>
      </c>
      <c r="J4449">
        <v>-408.97719999999998</v>
      </c>
      <c r="K4449">
        <v>1.106087</v>
      </c>
      <c r="L4449">
        <v>22.93488</v>
      </c>
      <c r="M4449">
        <v>0.88956329999999995</v>
      </c>
      <c r="N4449">
        <v>0</v>
      </c>
      <c r="O4449">
        <v>-0.45660070000000003</v>
      </c>
      <c r="P4449">
        <v>0.95037870000000002</v>
      </c>
      <c r="Q4449">
        <v>-1.985555E-2</v>
      </c>
      <c r="R4449">
        <v>-0.31046200000000002</v>
      </c>
      <c r="S4449">
        <v>3.0002439999999999</v>
      </c>
      <c r="T4449">
        <v>-0.30939410000000001</v>
      </c>
      <c r="U4449">
        <v>-0.46325680000000002</v>
      </c>
      <c r="V4449">
        <v>-0.1577607</v>
      </c>
      <c r="W4449">
        <v>-6.6834719999999898E-3</v>
      </c>
      <c r="X4449">
        <v>0.98745479999999997</v>
      </c>
      <c r="Y4449">
        <v>-0.31176369999999998</v>
      </c>
      <c r="Z4449">
        <v>6.0864580000000001E-2</v>
      </c>
      <c r="AA4449">
        <v>0.94820819999999995</v>
      </c>
      <c r="AB4449">
        <v>15</v>
      </c>
      <c r="AC4449">
        <v>10.6031999999999</v>
      </c>
      <c r="AD4449">
        <v>-1.106088207013</v>
      </c>
      <c r="AE4449">
        <v>-1.5975699999999899</v>
      </c>
      <c r="AF4449">
        <v>-3.3846054277819202</v>
      </c>
      <c r="AG4449">
        <v>-1.106088207013</v>
      </c>
      <c r="AH4449">
        <v>10.0556536593408</v>
      </c>
      <c r="AI4449">
        <v>95.951573333014593</v>
      </c>
      <c r="AJ4449">
        <v>108.60257998343801</v>
      </c>
      <c r="AK4449">
        <v>10.667481218173201</v>
      </c>
    </row>
    <row r="4450" spans="1:37" x14ac:dyDescent="0.2">
      <c r="A4450" t="str">
        <f>"20200111160301158"</f>
        <v>20200111160301158</v>
      </c>
      <c r="B4450" t="str">
        <f>"1578729781147182"</f>
        <v>1578729781147182</v>
      </c>
      <c r="C4450" t="s">
        <v>37</v>
      </c>
      <c r="D4450">
        <v>5.5629850000000003</v>
      </c>
      <c r="E4450">
        <v>0.44072939999999999</v>
      </c>
      <c r="F4450" t="s">
        <v>38</v>
      </c>
      <c r="G4450">
        <v>-398.33780000000002</v>
      </c>
      <c r="H4450" s="1">
        <v>-1.2163379999999899E-6</v>
      </c>
      <c r="I4450">
        <v>21.308129999999998</v>
      </c>
      <c r="J4450">
        <v>-408.7885</v>
      </c>
      <c r="K4450">
        <v>1.1060459999999901</v>
      </c>
      <c r="L4450">
        <v>22.845859999999998</v>
      </c>
      <c r="M4450">
        <v>0.89211289999999999</v>
      </c>
      <c r="N4450">
        <v>0</v>
      </c>
      <c r="O4450">
        <v>-0.45159959999999999</v>
      </c>
      <c r="P4450">
        <v>0.95191099999999995</v>
      </c>
      <c r="Q4450">
        <v>-2.0139850000000001E-2</v>
      </c>
      <c r="R4450">
        <v>-0.3057126</v>
      </c>
      <c r="S4450">
        <v>3.000305</v>
      </c>
      <c r="T4450">
        <v>-0.31191639999999998</v>
      </c>
      <c r="U4450">
        <v>-0.45874019999999999</v>
      </c>
      <c r="V4450">
        <v>-0.15714500000000001</v>
      </c>
      <c r="W4450">
        <v>-6.9657009999999899E-3</v>
      </c>
      <c r="X4450">
        <v>0.98755099999999996</v>
      </c>
      <c r="Y4450">
        <v>-0.3078091</v>
      </c>
      <c r="Z4450">
        <v>6.0705080000000002E-2</v>
      </c>
      <c r="AA4450">
        <v>0.94950959999999995</v>
      </c>
      <c r="AB4450">
        <v>15</v>
      </c>
      <c r="AC4450">
        <v>10.4506999999999</v>
      </c>
      <c r="AD4450">
        <v>-1.106047216338</v>
      </c>
      <c r="AE4450">
        <v>-1.53773</v>
      </c>
      <c r="AF4450">
        <v>-3.3117168010718001</v>
      </c>
      <c r="AG4450">
        <v>-1.106047216338</v>
      </c>
      <c r="AH4450">
        <v>9.9099571891493099</v>
      </c>
      <c r="AI4450">
        <v>96.042559558885898</v>
      </c>
      <c r="AJ4450">
        <v>108.478635117374</v>
      </c>
      <c r="AK4450">
        <v>10.5070481157193</v>
      </c>
    </row>
    <row r="4451" spans="1:37" x14ac:dyDescent="0.2">
      <c r="A4451" t="str">
        <f>"20200111160301183"</f>
        <v>20200111160301183</v>
      </c>
      <c r="B4451" t="str">
        <f>"1578729781177439"</f>
        <v>1578729781177439</v>
      </c>
      <c r="C4451" t="s">
        <v>37</v>
      </c>
      <c r="D4451">
        <v>5.6547640000000001</v>
      </c>
      <c r="E4451">
        <v>0.44126080000000001</v>
      </c>
      <c r="F4451" t="s">
        <v>38</v>
      </c>
      <c r="G4451">
        <v>-398.40129999999999</v>
      </c>
      <c r="H4451" s="1">
        <v>-1.1804500000000001E-6</v>
      </c>
      <c r="I4451">
        <v>21.285959999999999</v>
      </c>
      <c r="J4451">
        <v>-408.63810000000001</v>
      </c>
      <c r="K4451">
        <v>1.1060140000000001</v>
      </c>
      <c r="L4451">
        <v>22.775670000000002</v>
      </c>
      <c r="M4451">
        <v>0.89407800000000004</v>
      </c>
      <c r="N4451">
        <v>0</v>
      </c>
      <c r="O4451">
        <v>-0.44769680000000001</v>
      </c>
      <c r="P4451">
        <v>0.95307469999999905</v>
      </c>
      <c r="Q4451">
        <v>-2.2936080000000001E-2</v>
      </c>
      <c r="R4451">
        <v>-0.30186639999999998</v>
      </c>
      <c r="S4451">
        <v>3.0000610000000001</v>
      </c>
      <c r="T4451">
        <v>-0.31945050000000003</v>
      </c>
      <c r="U4451">
        <v>-0.45053100000000001</v>
      </c>
      <c r="V4451">
        <v>-0.15678010000000001</v>
      </c>
      <c r="W4451">
        <v>-9.7610259999999904E-3</v>
      </c>
      <c r="X4451">
        <v>0.9875853</v>
      </c>
      <c r="Y4451">
        <v>-0.30602269999999998</v>
      </c>
      <c r="Z4451">
        <v>6.1725629999999997E-2</v>
      </c>
      <c r="AA4451">
        <v>0.95002109999999995</v>
      </c>
      <c r="AB4451">
        <v>15</v>
      </c>
      <c r="AC4451">
        <v>10.236800000000001</v>
      </c>
      <c r="AD4451">
        <v>-1.10601518045</v>
      </c>
      <c r="AE4451">
        <v>-1.4897100000000001</v>
      </c>
      <c r="AF4451">
        <v>-3.2146308382984699</v>
      </c>
      <c r="AG4451">
        <v>-1.10601518045</v>
      </c>
      <c r="AH4451">
        <v>9.7093892465983398</v>
      </c>
      <c r="AI4451">
        <v>96.171928171427695</v>
      </c>
      <c r="AJ4451">
        <v>108.31892048481799</v>
      </c>
      <c r="AK4451">
        <v>10.2873398188202</v>
      </c>
    </row>
    <row r="4452" spans="1:37" x14ac:dyDescent="0.2">
      <c r="A4452" t="str">
        <f>"20200111160301202"</f>
        <v>20200111160301202</v>
      </c>
      <c r="B4452" t="str">
        <f>"1578729781196959"</f>
        <v>1578729781196959</v>
      </c>
      <c r="C4452" t="s">
        <v>37</v>
      </c>
      <c r="D4452">
        <v>5.6309550000000002</v>
      </c>
      <c r="E4452">
        <v>0.4416292</v>
      </c>
      <c r="F4452" t="s">
        <v>38</v>
      </c>
      <c r="G4452">
        <v>-398.44990000000001</v>
      </c>
      <c r="H4452" s="1">
        <v>-1.1542749999999901E-6</v>
      </c>
      <c r="I4452">
        <v>21.27394</v>
      </c>
      <c r="J4452">
        <v>-408.52609999999999</v>
      </c>
      <c r="K4452">
        <v>1.1059909999999999</v>
      </c>
      <c r="L4452">
        <v>22.72391</v>
      </c>
      <c r="M4452">
        <v>0.895503099999999</v>
      </c>
      <c r="N4452">
        <v>0</v>
      </c>
      <c r="O4452">
        <v>-0.444839599999999</v>
      </c>
      <c r="P4452">
        <v>0.95382889999999998</v>
      </c>
      <c r="Q4452">
        <v>-2.7351549999999999E-2</v>
      </c>
      <c r="R4452">
        <v>-0.29910300000000001</v>
      </c>
      <c r="S4452">
        <v>2.99981699999999</v>
      </c>
      <c r="T4452">
        <v>-0.32565620000000001</v>
      </c>
      <c r="U4452">
        <v>-0.44216919999999998</v>
      </c>
      <c r="V4452">
        <v>-0.15642239999999999</v>
      </c>
      <c r="W4452">
        <v>-1.4174930000000001E-2</v>
      </c>
      <c r="X4452">
        <v>0.98758849999999998</v>
      </c>
      <c r="Y4452">
        <v>-0.30542409999999998</v>
      </c>
      <c r="Z4452">
        <v>6.2635270000000007E-2</v>
      </c>
      <c r="AA4452">
        <v>0.95015419999999995</v>
      </c>
      <c r="AB4452">
        <v>15</v>
      </c>
      <c r="AC4452">
        <v>10.076199999999901</v>
      </c>
      <c r="AD4452">
        <v>-1.105992154275</v>
      </c>
      <c r="AE4452">
        <v>-1.44997</v>
      </c>
      <c r="AF4452">
        <v>-3.1470002378550301</v>
      </c>
      <c r="AG4452">
        <v>-1.105992154275</v>
      </c>
      <c r="AH4452">
        <v>9.5564017559035292</v>
      </c>
      <c r="AI4452">
        <v>96.273114719047598</v>
      </c>
      <c r="AJ4452">
        <v>108.22713134196</v>
      </c>
      <c r="AK4452">
        <v>10.1218399346469</v>
      </c>
    </row>
    <row r="4453" spans="1:37" x14ac:dyDescent="0.2">
      <c r="A4453" t="str">
        <f>"20200111160301225"</f>
        <v>20200111160301225</v>
      </c>
      <c r="B4453" t="str">
        <f>"1578729781217454"</f>
        <v>1578729781217454</v>
      </c>
      <c r="C4453" t="s">
        <v>37</v>
      </c>
      <c r="D4453">
        <v>5.4163040000000002</v>
      </c>
      <c r="E4453">
        <v>0.44109559999999998</v>
      </c>
      <c r="F4453" t="s">
        <v>38</v>
      </c>
      <c r="G4453">
        <v>-398.85590000000002</v>
      </c>
      <c r="H4453" s="1">
        <v>-9.7423769999999904E-7</v>
      </c>
      <c r="I4453">
        <v>21.3186</v>
      </c>
      <c r="J4453">
        <v>-408.38940000000002</v>
      </c>
      <c r="K4453">
        <v>1.1059540000000001</v>
      </c>
      <c r="L4453">
        <v>22.661159999999999</v>
      </c>
      <c r="M4453">
        <v>0.89719380000000004</v>
      </c>
      <c r="N4453">
        <v>0</v>
      </c>
      <c r="O4453">
        <v>-0.44141989999999998</v>
      </c>
      <c r="P4453">
        <v>0.95480540000000003</v>
      </c>
      <c r="Q4453">
        <v>-3.1932679999999998E-2</v>
      </c>
      <c r="R4453">
        <v>-0.29551169999999999</v>
      </c>
      <c r="S4453">
        <v>2.9987490000000001</v>
      </c>
      <c r="T4453">
        <v>-0.34297100000000003</v>
      </c>
      <c r="U4453">
        <v>-0.43579099999999998</v>
      </c>
      <c r="V4453">
        <v>-0.1562943</v>
      </c>
      <c r="W4453">
        <v>-1.875162E-2</v>
      </c>
      <c r="X4453">
        <v>0.98753250000000004</v>
      </c>
      <c r="Y4453">
        <v>-0.30330370000000001</v>
      </c>
      <c r="Z4453">
        <v>6.551535E-2</v>
      </c>
      <c r="AA4453">
        <v>0.95063909999999996</v>
      </c>
      <c r="AB4453">
        <v>15</v>
      </c>
      <c r="AC4453">
        <v>9.5335000000000001</v>
      </c>
      <c r="AD4453">
        <v>-1.1059549742377</v>
      </c>
      <c r="AE4453">
        <v>-1.34255999999999</v>
      </c>
      <c r="AF4453">
        <v>-2.96490334423151</v>
      </c>
      <c r="AG4453">
        <v>-1.1059549742377</v>
      </c>
      <c r="AH4453">
        <v>9.0277764855539608</v>
      </c>
      <c r="AI4453">
        <v>96.638764132657002</v>
      </c>
      <c r="AJ4453">
        <v>108.18122021412999</v>
      </c>
      <c r="AK4453">
        <v>9.5663230406879602</v>
      </c>
    </row>
    <row r="4454" spans="1:37" x14ac:dyDescent="0.2">
      <c r="A4454" t="str">
        <f>"20200111160301269"</f>
        <v>20200111160301269</v>
      </c>
      <c r="B4454" t="str">
        <f>"1578729781257470"</f>
        <v>1578729781257470</v>
      </c>
      <c r="C4454" t="s">
        <v>37</v>
      </c>
      <c r="D4454">
        <v>5.2946629999999999</v>
      </c>
      <c r="E4454">
        <v>0.41670429999999897</v>
      </c>
      <c r="F4454" t="s">
        <v>38</v>
      </c>
      <c r="G4454">
        <v>-399.05860000000001</v>
      </c>
      <c r="H4454" s="1">
        <v>-8.8765030000000001E-7</v>
      </c>
      <c r="I4454">
        <v>21.353259999999999</v>
      </c>
      <c r="J4454">
        <v>-408.13409999999999</v>
      </c>
      <c r="K4454">
        <v>1.105834</v>
      </c>
      <c r="L4454">
        <v>22.545259999999999</v>
      </c>
      <c r="M4454">
        <v>0.90016509999999905</v>
      </c>
      <c r="N4454">
        <v>0</v>
      </c>
      <c r="O4454">
        <v>-0.43532939999999998</v>
      </c>
      <c r="P4454">
        <v>0.95676049999999901</v>
      </c>
      <c r="Q4454">
        <v>-3.1238889999999998E-2</v>
      </c>
      <c r="R4454">
        <v>-0.289195599999999</v>
      </c>
      <c r="S4454">
        <v>2.9999389999999999</v>
      </c>
      <c r="T4454">
        <v>-0.35557349999999999</v>
      </c>
      <c r="U4454">
        <v>-0.42050169999999998</v>
      </c>
      <c r="V4454">
        <v>-0.15614620000000001</v>
      </c>
      <c r="W4454">
        <v>-1.802807E-2</v>
      </c>
      <c r="X4454">
        <v>0.98756939999999904</v>
      </c>
      <c r="Y4454">
        <v>-0.30136360000000001</v>
      </c>
      <c r="Z4454">
        <v>6.7160159999999997E-2</v>
      </c>
      <c r="AA4454">
        <v>0.95114109999999996</v>
      </c>
      <c r="AB4454">
        <v>15</v>
      </c>
      <c r="AC4454">
        <v>9.0754999999999697</v>
      </c>
      <c r="AD4454">
        <v>-1.1058348876502999</v>
      </c>
      <c r="AE4454">
        <v>-1.19199999999999</v>
      </c>
      <c r="AF4454">
        <v>-2.8367077527202</v>
      </c>
      <c r="AG4454">
        <v>-1.1058348876502999</v>
      </c>
      <c r="AH4454">
        <v>8.5641948113349802</v>
      </c>
      <c r="AI4454">
        <v>96.988117039692298</v>
      </c>
      <c r="AJ4454">
        <v>108.326356290771</v>
      </c>
      <c r="AK4454">
        <v>9.0892911956645097</v>
      </c>
    </row>
    <row r="4455" spans="1:37" x14ac:dyDescent="0.2">
      <c r="A4455" t="str">
        <f>"20200111160301292"</f>
        <v>20200111160301292</v>
      </c>
      <c r="B4455" t="str">
        <f>"1578729781287727"</f>
        <v>1578729781287727</v>
      </c>
      <c r="C4455" t="s">
        <v>37</v>
      </c>
      <c r="D4455">
        <v>5.2890610000000002</v>
      </c>
      <c r="E4455">
        <v>0.41472129999999902</v>
      </c>
      <c r="F4455" t="s">
        <v>38</v>
      </c>
      <c r="G4455">
        <v>-392.92540000000002</v>
      </c>
      <c r="H4455" s="1">
        <v>-3.8089749999999998E-6</v>
      </c>
      <c r="I4455">
        <v>21.436339999999898</v>
      </c>
      <c r="J4455">
        <v>-408.00110000000001</v>
      </c>
      <c r="K4455">
        <v>1.105731</v>
      </c>
      <c r="L4455">
        <v>22.485379999999999</v>
      </c>
      <c r="M4455">
        <v>0.90157940000000003</v>
      </c>
      <c r="N4455">
        <v>0</v>
      </c>
      <c r="O4455">
        <v>-0.43239309999999997</v>
      </c>
      <c r="P4455">
        <v>0.95759660000000002</v>
      </c>
      <c r="Q4455">
        <v>-2.5294529999999999E-2</v>
      </c>
      <c r="R4455">
        <v>-0.2870008</v>
      </c>
      <c r="S4455">
        <v>3.0608520000000001</v>
      </c>
      <c r="T4455">
        <v>-0.222555899999999</v>
      </c>
      <c r="U4455">
        <v>-0.22317500000000001</v>
      </c>
      <c r="V4455">
        <v>-0.15528800000000001</v>
      </c>
      <c r="W4455">
        <v>-1.2048939999999999E-2</v>
      </c>
      <c r="X4455">
        <v>0.9877958</v>
      </c>
      <c r="Y4455">
        <v>-0.3637049</v>
      </c>
      <c r="Z4455">
        <v>4.3613579999999999E-2</v>
      </c>
      <c r="AA4455">
        <v>0.9304926</v>
      </c>
      <c r="AB4455">
        <v>15</v>
      </c>
      <c r="AC4455">
        <v>15.0756999999999</v>
      </c>
      <c r="AD4455">
        <v>-1.1057348089750001</v>
      </c>
      <c r="AE4455">
        <v>-1.04904</v>
      </c>
      <c r="AF4455">
        <v>-5.5436885930527398</v>
      </c>
      <c r="AG4455">
        <v>-1.1057348089750001</v>
      </c>
      <c r="AH4455">
        <v>13.972076828306401</v>
      </c>
      <c r="AI4455">
        <v>94.207116840691697</v>
      </c>
      <c r="AJ4455">
        <v>111.641649212841</v>
      </c>
      <c r="AK4455">
        <v>15.072294569196099</v>
      </c>
    </row>
    <row r="4456" spans="1:37" x14ac:dyDescent="0.2">
      <c r="A4456" t="str">
        <f>"20200111160301315"</f>
        <v>20200111160301315</v>
      </c>
      <c r="B4456" t="str">
        <f>"1578729781307246"</f>
        <v>1578729781307246</v>
      </c>
      <c r="C4456" t="s">
        <v>37</v>
      </c>
      <c r="D4456">
        <v>5.2684110000000004</v>
      </c>
      <c r="E4456">
        <v>0.41529240000000001</v>
      </c>
      <c r="F4456" t="s">
        <v>38</v>
      </c>
      <c r="G4456">
        <v>-392.68990000000002</v>
      </c>
      <c r="H4456" s="1">
        <v>-3.9328639999999999E-6</v>
      </c>
      <c r="I4456">
        <v>21.483619999999998</v>
      </c>
      <c r="J4456">
        <v>-407.86340000000001</v>
      </c>
      <c r="K4456">
        <v>1.1055919999999999</v>
      </c>
      <c r="L4456">
        <v>22.423679999999901</v>
      </c>
      <c r="M4456">
        <v>0.90293060000000003</v>
      </c>
      <c r="N4456">
        <v>0</v>
      </c>
      <c r="O4456">
        <v>-0.42956469999999902</v>
      </c>
      <c r="P4456">
        <v>0.9581596</v>
      </c>
      <c r="Q4456">
        <v>-2.1523839999999999E-2</v>
      </c>
      <c r="R4456">
        <v>-0.28542489999999998</v>
      </c>
      <c r="S4456">
        <v>3.0668329999999999</v>
      </c>
      <c r="T4456">
        <v>-0.2214786</v>
      </c>
      <c r="U4456">
        <v>-0.2006531</v>
      </c>
      <c r="V4456">
        <v>-0.153868899999999</v>
      </c>
      <c r="W4456">
        <v>-8.2333049999999998E-3</v>
      </c>
      <c r="X4456">
        <v>0.98805699999999996</v>
      </c>
      <c r="Y4456">
        <v>-0.36773719999999999</v>
      </c>
      <c r="Z4456">
        <v>4.330175E-2</v>
      </c>
      <c r="AA4456">
        <v>0.928920999999999</v>
      </c>
      <c r="AB4456">
        <v>15</v>
      </c>
      <c r="AC4456">
        <v>15.173499999999899</v>
      </c>
      <c r="AD4456">
        <v>-1.1055959328639999</v>
      </c>
      <c r="AE4456">
        <v>-0.94005999999999501</v>
      </c>
      <c r="AF4456">
        <v>-5.6399027570593798</v>
      </c>
      <c r="AG4456">
        <v>-1.1055959328639999</v>
      </c>
      <c r="AH4456">
        <v>14.031567465477</v>
      </c>
      <c r="AI4456">
        <v>94.181386312750703</v>
      </c>
      <c r="AJ4456">
        <v>111.897359285382</v>
      </c>
      <c r="AK4456">
        <v>15.1629723673851</v>
      </c>
    </row>
    <row r="4457" spans="1:37" x14ac:dyDescent="0.2">
      <c r="A4457" t="str">
        <f>"20200111160301337"</f>
        <v>20200111160301337</v>
      </c>
      <c r="B4457" t="str">
        <f>"1578729781327742"</f>
        <v>1578729781327742</v>
      </c>
      <c r="C4457" t="s">
        <v>37</v>
      </c>
      <c r="D4457">
        <v>5.2029439999999996</v>
      </c>
      <c r="E4457">
        <v>0.41581990000000002</v>
      </c>
      <c r="F4457" t="s">
        <v>38</v>
      </c>
      <c r="G4457">
        <v>-392.25369999999998</v>
      </c>
      <c r="H4457" s="1">
        <v>-4.117971E-6</v>
      </c>
      <c r="I4457">
        <v>21.404429999999898</v>
      </c>
      <c r="J4457">
        <v>-407.73239999999998</v>
      </c>
      <c r="K4457">
        <v>1.1054440000000001</v>
      </c>
      <c r="L4457">
        <v>22.365110000000001</v>
      </c>
      <c r="M4457">
        <v>0.90411779999999997</v>
      </c>
      <c r="N4457">
        <v>0</v>
      </c>
      <c r="O4457">
        <v>-0.42706080000000002</v>
      </c>
      <c r="P4457">
        <v>0.95847490000000002</v>
      </c>
      <c r="Q4457">
        <v>-2.087762E-2</v>
      </c>
      <c r="R4457">
        <v>-0.284412099999999</v>
      </c>
      <c r="S4457">
        <v>3.0664669999999998</v>
      </c>
      <c r="T4457">
        <v>-0.21718989999999999</v>
      </c>
      <c r="U4457">
        <v>-0.20022579999999901</v>
      </c>
      <c r="V4457">
        <v>-0.15218470000000001</v>
      </c>
      <c r="W4457">
        <v>-7.5452999999999996E-3</v>
      </c>
      <c r="X4457">
        <v>0.98832330000000002</v>
      </c>
      <c r="Y4457">
        <v>-0.36536940000000001</v>
      </c>
      <c r="Z4457">
        <v>4.2225840000000001E-2</v>
      </c>
      <c r="AA4457">
        <v>0.92990439999999996</v>
      </c>
      <c r="AB4457">
        <v>15</v>
      </c>
      <c r="AC4457">
        <v>15.4787</v>
      </c>
      <c r="AD4457">
        <v>-1.1054481179709901</v>
      </c>
      <c r="AE4457">
        <v>-0.96068000000000298</v>
      </c>
      <c r="AF4457">
        <v>-5.7132953742232102</v>
      </c>
      <c r="AG4457">
        <v>-1.1054481179709901</v>
      </c>
      <c r="AH4457">
        <v>14.3333801300279</v>
      </c>
      <c r="AI4457">
        <v>94.097805067755999</v>
      </c>
      <c r="AJ4457">
        <v>111.732260723252</v>
      </c>
      <c r="AK4457">
        <v>15.469633012018299</v>
      </c>
    </row>
    <row r="4458" spans="1:37" x14ac:dyDescent="0.2">
      <c r="A4458" t="str">
        <f>"20200111160301359"</f>
        <v>20200111160301359</v>
      </c>
      <c r="B4458" t="str">
        <f>"1578729781347770"</f>
        <v>1578729781347770</v>
      </c>
      <c r="C4458" t="s">
        <v>37</v>
      </c>
      <c r="D4458">
        <v>5.2380870000000002</v>
      </c>
      <c r="E4458">
        <v>0.41634589999999999</v>
      </c>
      <c r="F4458" t="s">
        <v>38</v>
      </c>
      <c r="G4458">
        <v>-392.21289999999999</v>
      </c>
      <c r="H4458" s="1">
        <v>-4.1217669999999998E-6</v>
      </c>
      <c r="I4458">
        <v>21.34619</v>
      </c>
      <c r="J4458">
        <v>-407.6071</v>
      </c>
      <c r="K4458">
        <v>1.1052930000000001</v>
      </c>
      <c r="L4458">
        <v>22.309229999999999</v>
      </c>
      <c r="M4458">
        <v>0.90515179999999995</v>
      </c>
      <c r="N4458">
        <v>0</v>
      </c>
      <c r="O4458">
        <v>-0.42486549999999901</v>
      </c>
      <c r="P4458">
        <v>0.95903090000000002</v>
      </c>
      <c r="Q4458">
        <v>-2.416484E-2</v>
      </c>
      <c r="R4458">
        <v>-0.28227009999999902</v>
      </c>
      <c r="S4458">
        <v>3.0654910000000002</v>
      </c>
      <c r="T4458">
        <v>-0.2183533</v>
      </c>
      <c r="U4458">
        <v>-0.20126340000000001</v>
      </c>
      <c r="V4458">
        <v>-0.1519587</v>
      </c>
      <c r="W4458">
        <v>-1.0799919999999999E-2</v>
      </c>
      <c r="X4458">
        <v>0.98832790000000004</v>
      </c>
      <c r="Y4458">
        <v>-0.36276759999999902</v>
      </c>
      <c r="Z4458">
        <v>4.2229009999999997E-2</v>
      </c>
      <c r="AA4458">
        <v>0.93092229999999998</v>
      </c>
      <c r="AB4458">
        <v>14</v>
      </c>
      <c r="AC4458">
        <v>15.3942</v>
      </c>
      <c r="AD4458">
        <v>-1.105297121767</v>
      </c>
      <c r="AE4458">
        <v>-0.96303999999999901</v>
      </c>
      <c r="AF4458">
        <v>-5.64034073605354</v>
      </c>
      <c r="AG4458">
        <v>-1.105297121767</v>
      </c>
      <c r="AH4458">
        <v>14.271325267268701</v>
      </c>
      <c r="AI4458">
        <v>94.119755700769502</v>
      </c>
      <c r="AJ4458">
        <v>111.56501861806299</v>
      </c>
      <c r="AK4458">
        <v>15.3852478117954</v>
      </c>
    </row>
    <row r="4459" spans="1:37" x14ac:dyDescent="0.2">
      <c r="A4459" t="str">
        <f>"20200111160301384"</f>
        <v>20200111160301384</v>
      </c>
      <c r="B4459" t="str">
        <f>"1578729781377052"</f>
        <v>1578729781377052</v>
      </c>
      <c r="C4459" t="s">
        <v>37</v>
      </c>
      <c r="D4459">
        <v>5.2221479999999998</v>
      </c>
      <c r="E4459">
        <v>0.41654920000000001</v>
      </c>
      <c r="F4459" t="s">
        <v>38</v>
      </c>
      <c r="G4459">
        <v>-393.47820000000002</v>
      </c>
      <c r="H4459" s="1">
        <v>-3.5369969999999999E-6</v>
      </c>
      <c r="I4459">
        <v>21.396450000000002</v>
      </c>
      <c r="J4459">
        <v>-407.45429999999999</v>
      </c>
      <c r="K4459">
        <v>1.1051040000000001</v>
      </c>
      <c r="L4459">
        <v>22.24109</v>
      </c>
      <c r="M4459">
        <v>0.90625650000000002</v>
      </c>
      <c r="N4459">
        <v>0</v>
      </c>
      <c r="O4459">
        <v>-0.42250459999999901</v>
      </c>
      <c r="P4459">
        <v>0.95995059999999999</v>
      </c>
      <c r="Q4459">
        <v>-3.0065990000000001E-2</v>
      </c>
      <c r="R4459">
        <v>-0.27855180000000002</v>
      </c>
      <c r="S4459">
        <v>3.0638429999999999</v>
      </c>
      <c r="T4459">
        <v>-0.2396827</v>
      </c>
      <c r="U4459">
        <v>-0.197937</v>
      </c>
      <c r="V4459">
        <v>-0.15313759999999901</v>
      </c>
      <c r="W4459">
        <v>-1.6664020000000002E-2</v>
      </c>
      <c r="X4459">
        <v>0.98806430000000001</v>
      </c>
      <c r="Y4459">
        <v>-0.36092940000000001</v>
      </c>
      <c r="Z4459">
        <v>4.61301E-2</v>
      </c>
      <c r="AA4459">
        <v>0.93145159999999905</v>
      </c>
      <c r="AB4459">
        <v>14</v>
      </c>
      <c r="AC4459">
        <v>13.976099999999899</v>
      </c>
      <c r="AD4459">
        <v>-1.105107536997</v>
      </c>
      <c r="AE4459">
        <v>-0.84463999999999795</v>
      </c>
      <c r="AF4459">
        <v>-5.1081704602134401</v>
      </c>
      <c r="AG4459">
        <v>-1.105107536997</v>
      </c>
      <c r="AH4459">
        <v>12.9433957153037</v>
      </c>
      <c r="AI4459">
        <v>94.540837640334502</v>
      </c>
      <c r="AJ4459">
        <v>111.536898166014</v>
      </c>
      <c r="AK4459">
        <v>13.958730628601799</v>
      </c>
    </row>
    <row r="4460" spans="1:37" x14ac:dyDescent="0.2">
      <c r="A4460" t="str">
        <f>"20200111160301404"</f>
        <v>20200111160301404</v>
      </c>
      <c r="B4460" t="str">
        <f>"1578729781397547"</f>
        <v>1578729781397547</v>
      </c>
      <c r="C4460" t="s">
        <v>37</v>
      </c>
      <c r="D4460">
        <v>5.1992979999999998</v>
      </c>
      <c r="E4460">
        <v>0.41671399999999997</v>
      </c>
      <c r="F4460" t="s">
        <v>38</v>
      </c>
      <c r="G4460">
        <v>-394.69979999999998</v>
      </c>
      <c r="H4460" s="1">
        <v>-2.9766719999999999E-6</v>
      </c>
      <c r="I4460">
        <v>21.460709999999999</v>
      </c>
      <c r="J4460">
        <v>-407.34109999999998</v>
      </c>
      <c r="K4460">
        <v>1.1049629999999999</v>
      </c>
      <c r="L4460">
        <v>22.19061</v>
      </c>
      <c r="M4460">
        <v>0.90694989999999998</v>
      </c>
      <c r="N4460">
        <v>0</v>
      </c>
      <c r="O4460">
        <v>-0.42101420000000001</v>
      </c>
      <c r="P4460">
        <v>0.96089080000000004</v>
      </c>
      <c r="Q4460">
        <v>-3.4353549999999997E-2</v>
      </c>
      <c r="R4460">
        <v>-0.27478920000000001</v>
      </c>
      <c r="S4460">
        <v>3.0625</v>
      </c>
      <c r="T4460">
        <v>-0.26534770000000002</v>
      </c>
      <c r="U4460">
        <v>-0.18737789999999999</v>
      </c>
      <c r="V4460">
        <v>-0.15532370000000001</v>
      </c>
      <c r="W4460">
        <v>-2.092372E-2</v>
      </c>
      <c r="X4460">
        <v>0.98764200000000002</v>
      </c>
      <c r="Y4460">
        <v>-0.36204730000000002</v>
      </c>
      <c r="Z4460">
        <v>5.1016569999999997E-2</v>
      </c>
      <c r="AA4460">
        <v>0.9307626</v>
      </c>
      <c r="AB4460">
        <v>14</v>
      </c>
      <c r="AC4460">
        <v>12.641299999999999</v>
      </c>
      <c r="AD4460">
        <v>-1.1049659766719999</v>
      </c>
      <c r="AE4460">
        <v>-0.72989999999999999</v>
      </c>
      <c r="AF4460">
        <v>-4.6254019903227004</v>
      </c>
      <c r="AG4460">
        <v>-1.1049659766719999</v>
      </c>
      <c r="AH4460">
        <v>11.6844592733647</v>
      </c>
      <c r="AI4460">
        <v>95.025001389628898</v>
      </c>
      <c r="AJ4460">
        <v>111.596597198743</v>
      </c>
      <c r="AK4460">
        <v>12.6151449414029</v>
      </c>
    </row>
    <row r="4461" spans="1:37" x14ac:dyDescent="0.2">
      <c r="A4461" t="str">
        <f>"20200111160301426"</f>
        <v>20200111160301426</v>
      </c>
      <c r="B4461" t="str">
        <f>"1578729781417069"</f>
        <v>1578729781417069</v>
      </c>
      <c r="C4461" t="s">
        <v>37</v>
      </c>
      <c r="D4461">
        <v>5.2276530000000001</v>
      </c>
      <c r="E4461">
        <v>0.41698499999999999</v>
      </c>
      <c r="F4461" t="s">
        <v>38</v>
      </c>
      <c r="G4461">
        <v>-395.29750000000001</v>
      </c>
      <c r="H4461" s="1">
        <v>-2.7035340000000001E-6</v>
      </c>
      <c r="I4461">
        <v>21.496120000000001</v>
      </c>
      <c r="J4461">
        <v>-407.2106</v>
      </c>
      <c r="K4461">
        <v>1.104814</v>
      </c>
      <c r="L4461">
        <v>22.132349999999999</v>
      </c>
      <c r="M4461">
        <v>0.9076301</v>
      </c>
      <c r="N4461">
        <v>0</v>
      </c>
      <c r="O4461">
        <v>-0.41954629999999998</v>
      </c>
      <c r="P4461">
        <v>0.96216599999999997</v>
      </c>
      <c r="Q4461">
        <v>-3.6162119999999999E-2</v>
      </c>
      <c r="R4461">
        <v>-0.27005390000000001</v>
      </c>
      <c r="S4461">
        <v>3.0615540000000001</v>
      </c>
      <c r="T4461">
        <v>-0.28089019999999998</v>
      </c>
      <c r="U4461">
        <v>-0.17654420000000001</v>
      </c>
      <c r="V4461">
        <v>-0.15856619999999999</v>
      </c>
      <c r="W4461">
        <v>-2.2696770000000002E-2</v>
      </c>
      <c r="X4461">
        <v>0.98708739999999995</v>
      </c>
      <c r="Y4461">
        <v>-0.36346030000000001</v>
      </c>
      <c r="Z4461">
        <v>5.3963329999999997E-2</v>
      </c>
      <c r="AA4461">
        <v>0.93004549999999997</v>
      </c>
      <c r="AB4461">
        <v>14</v>
      </c>
      <c r="AC4461">
        <v>11.913099999999901</v>
      </c>
      <c r="AD4461">
        <v>-1.104816703534</v>
      </c>
      <c r="AE4461">
        <v>-0.63622999999999696</v>
      </c>
      <c r="AF4461">
        <v>-4.3834589011789502</v>
      </c>
      <c r="AG4461">
        <v>-1.104816703534</v>
      </c>
      <c r="AH4461">
        <v>10.9864388161955</v>
      </c>
      <c r="AI4461">
        <v>95.336053231641102</v>
      </c>
      <c r="AJ4461">
        <v>111.75141384814</v>
      </c>
      <c r="AK4461">
        <v>11.8801165713448</v>
      </c>
    </row>
    <row r="4462" spans="1:37" x14ac:dyDescent="0.2">
      <c r="A4462" t="str">
        <f>"20200111160301447"</f>
        <v>20200111160301447</v>
      </c>
      <c r="B4462" t="str">
        <f>"1578729781437562"</f>
        <v>1578729781437562</v>
      </c>
      <c r="C4462" t="s">
        <v>37</v>
      </c>
      <c r="D4462">
        <v>5.194496</v>
      </c>
      <c r="E4462">
        <v>0.41724440000000002</v>
      </c>
      <c r="F4462" t="s">
        <v>38</v>
      </c>
      <c r="G4462">
        <v>-395.39280000000002</v>
      </c>
      <c r="H4462" s="1">
        <v>-2.6597949999999898E-6</v>
      </c>
      <c r="I4462">
        <v>21.501010000000001</v>
      </c>
      <c r="J4462">
        <v>-407.08659999999998</v>
      </c>
      <c r="K4462">
        <v>1.104711</v>
      </c>
      <c r="L4462">
        <v>22.076840000000001</v>
      </c>
      <c r="M4462">
        <v>0.90816919999999901</v>
      </c>
      <c r="N4462">
        <v>0</v>
      </c>
      <c r="O4462">
        <v>-0.41837869999999999</v>
      </c>
      <c r="P4462">
        <v>0.96350879999999905</v>
      </c>
      <c r="Q4462">
        <v>-3.4676039999999998E-2</v>
      </c>
      <c r="R4462">
        <v>-0.26542139999999997</v>
      </c>
      <c r="S4462">
        <v>3.06130999999999</v>
      </c>
      <c r="T4462">
        <v>-0.28619359999999999</v>
      </c>
      <c r="U4462">
        <v>-0.16354369999999999</v>
      </c>
      <c r="V4462">
        <v>-0.16207379999999999</v>
      </c>
      <c r="W4462">
        <v>-2.1177689999999999E-2</v>
      </c>
      <c r="X4462">
        <v>0.98655130000000002</v>
      </c>
      <c r="Y4462">
        <v>-0.36606539999999999</v>
      </c>
      <c r="Z4462">
        <v>5.5018659999999997E-2</v>
      </c>
      <c r="AA4462">
        <v>0.92896129999999999</v>
      </c>
      <c r="AB4462">
        <v>14</v>
      </c>
      <c r="AC4462">
        <v>11.6937999999999</v>
      </c>
      <c r="AD4462">
        <v>-1.104713659795</v>
      </c>
      <c r="AE4462">
        <v>-0.57582999999999895</v>
      </c>
      <c r="AF4462">
        <v>-4.3313346230051799</v>
      </c>
      <c r="AG4462">
        <v>-1.104713659795</v>
      </c>
      <c r="AH4462">
        <v>10.766034890154801</v>
      </c>
      <c r="AI4462">
        <v>95.437927782759303</v>
      </c>
      <c r="AJ4462">
        <v>111.915650338733</v>
      </c>
      <c r="AK4462">
        <v>11.657116244707</v>
      </c>
    </row>
    <row r="4463" spans="1:37" x14ac:dyDescent="0.2">
      <c r="A4463" t="str">
        <f>"20200111160301473"</f>
        <v>20200111160301473</v>
      </c>
      <c r="B4463" t="str">
        <f>"1578729781467350"</f>
        <v>1578729781467350</v>
      </c>
      <c r="C4463" t="s">
        <v>37</v>
      </c>
      <c r="D4463">
        <v>5.4063559999999997</v>
      </c>
      <c r="E4463">
        <v>0.41738649999999999</v>
      </c>
      <c r="F4463" t="s">
        <v>38</v>
      </c>
      <c r="G4463">
        <v>-395.04790000000003</v>
      </c>
      <c r="H4463" s="1">
        <v>-2.818154E-6</v>
      </c>
      <c r="I4463">
        <v>21.483519999999999</v>
      </c>
      <c r="J4463">
        <v>-406.94439999999997</v>
      </c>
      <c r="K4463">
        <v>1.104635</v>
      </c>
      <c r="L4463">
        <v>22.013059999999999</v>
      </c>
      <c r="M4463">
        <v>0.90867540000000002</v>
      </c>
      <c r="N4463">
        <v>0</v>
      </c>
      <c r="O4463">
        <v>-0.41727829999999899</v>
      </c>
      <c r="P4463">
        <v>0.9647348</v>
      </c>
      <c r="Q4463">
        <v>-2.9990599999999999E-2</v>
      </c>
      <c r="R4463">
        <v>-0.2615111</v>
      </c>
      <c r="S4463">
        <v>3.0619809999999998</v>
      </c>
      <c r="T4463">
        <v>-0.28098010000000001</v>
      </c>
      <c r="U4463">
        <v>-0.1509094</v>
      </c>
      <c r="V4463">
        <v>-0.16495029999999999</v>
      </c>
      <c r="W4463">
        <v>-1.6463499999999999E-2</v>
      </c>
      <c r="X4463">
        <v>0.9861645</v>
      </c>
      <c r="Y4463">
        <v>-0.36888300000000002</v>
      </c>
      <c r="Z4463">
        <v>5.4059179999999998E-2</v>
      </c>
      <c r="AA4463">
        <v>0.92790249999999996</v>
      </c>
      <c r="AB4463">
        <v>14</v>
      </c>
      <c r="AC4463">
        <v>11.8964999999999</v>
      </c>
      <c r="AD4463">
        <v>-1.104637818154</v>
      </c>
      <c r="AE4463">
        <v>-0.52953999999999701</v>
      </c>
      <c r="AF4463">
        <v>-4.4451427686059297</v>
      </c>
      <c r="AG4463">
        <v>-1.104637818154</v>
      </c>
      <c r="AH4463">
        <v>10.9379396186478</v>
      </c>
      <c r="AI4463">
        <v>95.345054394207907</v>
      </c>
      <c r="AJ4463">
        <v>112.11666348638801</v>
      </c>
      <c r="AK4463">
        <v>11.8582478488084</v>
      </c>
    </row>
    <row r="4464" spans="1:37" x14ac:dyDescent="0.2">
      <c r="A4464" t="str">
        <f>"20200111160301494"</f>
        <v>20200111160301494</v>
      </c>
      <c r="B4464" t="str">
        <f>"1578729781487848"</f>
        <v>1578729781487848</v>
      </c>
      <c r="C4464" t="s">
        <v>37</v>
      </c>
      <c r="D4464">
        <v>5.3599160000000001</v>
      </c>
      <c r="E4464">
        <v>0.41816300000000001</v>
      </c>
      <c r="F4464" t="s">
        <v>38</v>
      </c>
      <c r="G4464">
        <v>-393.96640000000002</v>
      </c>
      <c r="H4464" s="1">
        <v>-3.3127009999999999E-6</v>
      </c>
      <c r="I4464">
        <v>21.420719999999999</v>
      </c>
      <c r="J4464">
        <v>-406.81639999999999</v>
      </c>
      <c r="K4464">
        <v>1.104609</v>
      </c>
      <c r="L4464">
        <v>21.95551</v>
      </c>
      <c r="M4464">
        <v>0.90905429999999998</v>
      </c>
      <c r="N4464">
        <v>0</v>
      </c>
      <c r="O4464">
        <v>-0.4164524</v>
      </c>
      <c r="P4464">
        <v>0.96536710000000003</v>
      </c>
      <c r="Q4464">
        <v>-2.4966539999999999E-2</v>
      </c>
      <c r="R4464">
        <v>-0.25969789999999998</v>
      </c>
      <c r="S4464">
        <v>3.06366</v>
      </c>
      <c r="T4464">
        <v>-0.26076660000000002</v>
      </c>
      <c r="U4464">
        <v>-0.1398315</v>
      </c>
      <c r="V4464">
        <v>-0.16596729999999901</v>
      </c>
      <c r="W4464">
        <v>-1.1428020000000001E-2</v>
      </c>
      <c r="X4464">
        <v>0.98606499999999997</v>
      </c>
      <c r="Y4464">
        <v>-0.37184709999999899</v>
      </c>
      <c r="Z4464">
        <v>5.0229889999999999E-2</v>
      </c>
      <c r="AA4464">
        <v>0.92693409999999998</v>
      </c>
      <c r="AB4464">
        <v>14</v>
      </c>
      <c r="AC4464">
        <v>12.8499999999999</v>
      </c>
      <c r="AD4464">
        <v>-1.1046123127009999</v>
      </c>
      <c r="AE4464">
        <v>-0.53478999999999699</v>
      </c>
      <c r="AF4464">
        <v>-4.8300867213377803</v>
      </c>
      <c r="AG4464">
        <v>-1.1046123127009999</v>
      </c>
      <c r="AH4464">
        <v>11.818001741596399</v>
      </c>
      <c r="AI4464">
        <v>94.9449886660788</v>
      </c>
      <c r="AJ4464">
        <v>112.230122893914</v>
      </c>
      <c r="AK4464">
        <v>12.814642845643</v>
      </c>
    </row>
    <row r="4465" spans="1:37" x14ac:dyDescent="0.2">
      <c r="A4465" t="str">
        <f>"20200111160301517"</f>
        <v>20200111160301517</v>
      </c>
      <c r="B4465" t="str">
        <f>"1578729781507365"</f>
        <v>1578729781507365</v>
      </c>
      <c r="C4465" t="s">
        <v>37</v>
      </c>
      <c r="D4465">
        <v>5.2059730000000002</v>
      </c>
      <c r="E4465">
        <v>0.41833930000000003</v>
      </c>
      <c r="F4465" t="s">
        <v>38</v>
      </c>
      <c r="G4465">
        <v>-392.6866</v>
      </c>
      <c r="H4465" s="1">
        <v>-3.8883949999999902E-6</v>
      </c>
      <c r="I4465">
        <v>21.31063</v>
      </c>
      <c r="J4465">
        <v>-406.68869999999998</v>
      </c>
      <c r="K4465">
        <v>1.1046320000000001</v>
      </c>
      <c r="L4465">
        <v>21.898099999999999</v>
      </c>
      <c r="M4465">
        <v>0.90938220000000003</v>
      </c>
      <c r="N4465">
        <v>0</v>
      </c>
      <c r="O4465">
        <v>-0.41573649999999901</v>
      </c>
      <c r="P4465">
        <v>0.96565089999999998</v>
      </c>
      <c r="Q4465">
        <v>-1.7896189999999999E-2</v>
      </c>
      <c r="R4465">
        <v>-0.25922729999999999</v>
      </c>
      <c r="S4465">
        <v>3.0638429999999999</v>
      </c>
      <c r="T4465">
        <v>-0.23951929999999899</v>
      </c>
      <c r="U4465">
        <v>-0.1398315</v>
      </c>
      <c r="V4465">
        <v>-0.16573579999999999</v>
      </c>
      <c r="W4465">
        <v>-4.3623189999999999E-3</v>
      </c>
      <c r="X4465">
        <v>0.98616059999999905</v>
      </c>
      <c r="Y4465">
        <v>-0.37155290000000002</v>
      </c>
      <c r="Z4465">
        <v>4.6084739999999999E-2</v>
      </c>
      <c r="AA4465">
        <v>0.92726730000000002</v>
      </c>
      <c r="AB4465">
        <v>14</v>
      </c>
      <c r="AC4465">
        <v>14.002099999999899</v>
      </c>
      <c r="AD4465">
        <v>-1.104635888395</v>
      </c>
      <c r="AE4465">
        <v>-0.58746999999999905</v>
      </c>
      <c r="AF4465">
        <v>-5.2547970918742699</v>
      </c>
      <c r="AG4465">
        <v>-1.104635888395</v>
      </c>
      <c r="AH4465">
        <v>12.8985715524586</v>
      </c>
      <c r="AI4465">
        <v>94.534698399885002</v>
      </c>
      <c r="AJ4465">
        <v>112.165673395005</v>
      </c>
      <c r="AK4465">
        <v>13.971623420941301</v>
      </c>
    </row>
    <row r="4466" spans="1:37" x14ac:dyDescent="0.2">
      <c r="A4466" t="str">
        <f>"20200111160301695"</f>
        <v>20200111160301695</v>
      </c>
      <c r="B4466" t="str">
        <f>"1578729781686988"</f>
        <v>1578729781686988</v>
      </c>
      <c r="C4466" t="s">
        <v>37</v>
      </c>
      <c r="D4466">
        <v>5.3332569999999997</v>
      </c>
      <c r="E4466">
        <v>0.41833930000000003</v>
      </c>
      <c r="F4466" t="s">
        <v>38</v>
      </c>
      <c r="G4466">
        <v>-390.83150000000001</v>
      </c>
      <c r="H4466" s="1">
        <v>-4.668973E-6</v>
      </c>
      <c r="I4466">
        <v>21.17775</v>
      </c>
      <c r="J4466">
        <v>-405.66680000000002</v>
      </c>
      <c r="K4466">
        <v>1.1047199999999999</v>
      </c>
      <c r="L4466">
        <v>21.441099999999999</v>
      </c>
      <c r="M4466">
        <v>0.91165569999999896</v>
      </c>
      <c r="N4466">
        <v>0</v>
      </c>
      <c r="O4466">
        <v>-0.41072789999999998</v>
      </c>
      <c r="P4466">
        <v>0.96747129999999903</v>
      </c>
      <c r="Q4466">
        <v>-4.2198630000000001E-2</v>
      </c>
      <c r="R4466">
        <v>-0.249437399999999</v>
      </c>
      <c r="S4466">
        <v>3.065369</v>
      </c>
      <c r="T4466">
        <v>-0.21353710000000001</v>
      </c>
      <c r="U4466">
        <v>-0.13925170000000001</v>
      </c>
      <c r="V4466">
        <v>-0.1699717</v>
      </c>
      <c r="W4466">
        <v>-2.8805299999999999E-2</v>
      </c>
      <c r="X4466">
        <v>0.98502780000000001</v>
      </c>
      <c r="Y4466">
        <v>-0.367141</v>
      </c>
      <c r="Z4466">
        <v>4.0604649999999999E-2</v>
      </c>
      <c r="AA4466">
        <v>0.92927859999999995</v>
      </c>
      <c r="AB4466">
        <v>14</v>
      </c>
      <c r="AC4466">
        <v>14.8353</v>
      </c>
      <c r="AD4466">
        <v>-1.1047246689729999</v>
      </c>
      <c r="AE4466">
        <v>-0.26334999999999897</v>
      </c>
      <c r="AF4466">
        <v>-5.8214620343913701</v>
      </c>
      <c r="AG4466">
        <v>-1.1047246689729999</v>
      </c>
      <c r="AH4466">
        <v>13.5589591344855</v>
      </c>
      <c r="AI4466">
        <v>94.2815726404706</v>
      </c>
      <c r="AJ4466">
        <v>113.235991697484</v>
      </c>
      <c r="AK4466">
        <v>14.797135182958399</v>
      </c>
    </row>
    <row r="4467" spans="1:37" x14ac:dyDescent="0.2">
      <c r="A4467" t="str">
        <f>"20200111160301717"</f>
        <v>20200111160301717</v>
      </c>
      <c r="B4467" t="str">
        <f>"1578729781707485"</f>
        <v>1578729781707485</v>
      </c>
      <c r="C4467" t="s">
        <v>37</v>
      </c>
      <c r="D4467">
        <v>5.3217819999999998</v>
      </c>
      <c r="E4467">
        <v>0.39710509999999999</v>
      </c>
      <c r="F4467" t="s">
        <v>38</v>
      </c>
      <c r="G4467">
        <v>-393.91860000000003</v>
      </c>
      <c r="H4467" s="1">
        <v>-3.2308249999999899E-6</v>
      </c>
      <c r="I4467">
        <v>21.02805</v>
      </c>
      <c r="J4467">
        <v>-405.54349999999999</v>
      </c>
      <c r="K4467">
        <v>1.1047659999999999</v>
      </c>
      <c r="L4467">
        <v>21.386379999999999</v>
      </c>
      <c r="M4467">
        <v>0.9119313</v>
      </c>
      <c r="N4467">
        <v>0</v>
      </c>
      <c r="O4467">
        <v>-0.41011559999999903</v>
      </c>
      <c r="P4467">
        <v>0.96692289999999903</v>
      </c>
      <c r="Q4467">
        <v>-4.0471100000000003E-2</v>
      </c>
      <c r="R4467">
        <v>-0.25183759999999999</v>
      </c>
      <c r="S4467">
        <v>3.0605769999999999</v>
      </c>
      <c r="T4467">
        <v>-0.28779589999999999</v>
      </c>
      <c r="U4467">
        <v>-0.10760499999999899</v>
      </c>
      <c r="V4467">
        <v>-0.1668953</v>
      </c>
      <c r="W4467">
        <v>-2.708321E-2</v>
      </c>
      <c r="X4467">
        <v>0.9856026</v>
      </c>
      <c r="Y4467">
        <v>-0.37449399999999999</v>
      </c>
      <c r="Z4467">
        <v>5.5078929999999998E-2</v>
      </c>
      <c r="AA4467">
        <v>0.92559199999999997</v>
      </c>
      <c r="AB4467">
        <v>14</v>
      </c>
      <c r="AC4467">
        <v>11.624899999999901</v>
      </c>
      <c r="AD4467">
        <v>-1.1047692308249999</v>
      </c>
      <c r="AE4467">
        <v>-0.35832999999999798</v>
      </c>
      <c r="AF4467">
        <v>-4.4014799820446404</v>
      </c>
      <c r="AG4467">
        <v>-1.1047692308249999</v>
      </c>
      <c r="AH4467">
        <v>10.652947453247201</v>
      </c>
      <c r="AI4467">
        <v>95.474887516526394</v>
      </c>
      <c r="AJ4467">
        <v>112.44895348270801</v>
      </c>
      <c r="AK4467">
        <v>11.5792413623416</v>
      </c>
    </row>
    <row r="4468" spans="1:37" x14ac:dyDescent="0.2">
      <c r="A4468" t="str">
        <f>"20200111160301738"</f>
        <v>20200111160301738</v>
      </c>
      <c r="B4468" t="str">
        <f>"1578729781727007"</f>
        <v>1578729781727007</v>
      </c>
      <c r="C4468" t="s">
        <v>37</v>
      </c>
      <c r="D4468">
        <v>5.8989050000000001</v>
      </c>
      <c r="E4468">
        <v>0.39717429999999998</v>
      </c>
      <c r="F4468" t="s">
        <v>38</v>
      </c>
      <c r="G4468">
        <v>-346.24930000000001</v>
      </c>
      <c r="H4468" s="1">
        <v>-2.2439580000000001E-6</v>
      </c>
      <c r="I4468">
        <v>22.068899999999999</v>
      </c>
      <c r="J4468">
        <v>-405.42419999999998</v>
      </c>
      <c r="K4468">
        <v>1.104808</v>
      </c>
      <c r="L4468">
        <v>21.333590000000001</v>
      </c>
      <c r="M4468">
        <v>0.91220949999999901</v>
      </c>
      <c r="N4468">
        <v>0</v>
      </c>
      <c r="O4468">
        <v>-0.40949679999999999</v>
      </c>
      <c r="P4468">
        <v>0.96608919999999998</v>
      </c>
      <c r="Q4468">
        <v>-3.9377330000000002E-2</v>
      </c>
      <c r="R4468">
        <v>-0.2551889</v>
      </c>
      <c r="S4468">
        <v>3.1095280000000001</v>
      </c>
      <c r="T4468">
        <v>-5.7936550000000003E-2</v>
      </c>
      <c r="U4468">
        <v>3.5797120000000002E-2</v>
      </c>
      <c r="V4468">
        <v>-0.16282629999999901</v>
      </c>
      <c r="W4468">
        <v>-2.5994759999999999E-2</v>
      </c>
      <c r="X4468">
        <v>0.98631229999999903</v>
      </c>
      <c r="Y4468">
        <v>-0.41986869999999998</v>
      </c>
      <c r="Z4468">
        <v>1.137005E-2</v>
      </c>
      <c r="AA4468">
        <v>0.90751360000000003</v>
      </c>
      <c r="AB4468">
        <v>14</v>
      </c>
      <c r="AC4468">
        <v>59.174899999999901</v>
      </c>
      <c r="AD4468">
        <v>-1.1048102439580001</v>
      </c>
      <c r="AE4468">
        <v>0.73530999999999802</v>
      </c>
      <c r="AF4468">
        <v>-24.8963307279231</v>
      </c>
      <c r="AG4468">
        <v>-1.1048102439580001</v>
      </c>
      <c r="AH4468">
        <v>53.665093416313503</v>
      </c>
      <c r="AI4468">
        <v>91.069892443142606</v>
      </c>
      <c r="AJ4468">
        <v>114.88754645681</v>
      </c>
      <c r="AK4468">
        <v>59.1691654560967</v>
      </c>
    </row>
    <row r="4469" spans="1:37" x14ac:dyDescent="0.2">
      <c r="A4469" t="str">
        <f>"20200111160301761"</f>
        <v>20200111160301761</v>
      </c>
      <c r="B4469" t="str">
        <f>"1578729781757769"</f>
        <v>1578729781757769</v>
      </c>
      <c r="C4469" t="s">
        <v>37</v>
      </c>
      <c r="D4469">
        <v>5.3867799999999999</v>
      </c>
      <c r="E4469">
        <v>0.3972347</v>
      </c>
      <c r="F4469" t="s">
        <v>38</v>
      </c>
      <c r="G4469">
        <v>-349.59100000000001</v>
      </c>
      <c r="H4469" s="1">
        <v>-7.3382489999999998E-7</v>
      </c>
      <c r="I4469">
        <v>21.781210000000002</v>
      </c>
      <c r="J4469">
        <v>-405.29480000000001</v>
      </c>
      <c r="K4469">
        <v>1.1048579999999999</v>
      </c>
      <c r="L4469">
        <v>21.27646</v>
      </c>
      <c r="M4469">
        <v>0.912533499999999</v>
      </c>
      <c r="N4469">
        <v>0</v>
      </c>
      <c r="O4469">
        <v>-0.40877429999999998</v>
      </c>
      <c r="P4469">
        <v>0.96522330000000001</v>
      </c>
      <c r="Q4469">
        <v>-3.8863189999999999E-2</v>
      </c>
      <c r="R4469">
        <v>-0.25852259999999999</v>
      </c>
      <c r="S4469">
        <v>3.1093439999999899</v>
      </c>
      <c r="T4469">
        <v>-6.1526659999999997E-2</v>
      </c>
      <c r="U4469">
        <v>2.4932860000000001E-2</v>
      </c>
      <c r="V4469">
        <v>-0.15864629999999999</v>
      </c>
      <c r="W4469">
        <v>-2.5490479999999999E-2</v>
      </c>
      <c r="X4469">
        <v>0.98700639999999995</v>
      </c>
      <c r="Y4469">
        <v>-0.41595909999999903</v>
      </c>
      <c r="Z4469">
        <v>1.2022E-2</v>
      </c>
      <c r="AA4469">
        <v>0.9093038</v>
      </c>
      <c r="AB4469">
        <v>14</v>
      </c>
      <c r="AC4469">
        <v>55.703800000000001</v>
      </c>
      <c r="AD4469">
        <v>-1.1048587338248901</v>
      </c>
      <c r="AE4469">
        <v>0.50475000000000103</v>
      </c>
      <c r="AF4469">
        <v>-23.223910300525201</v>
      </c>
      <c r="AG4469">
        <v>-1.1048587338248901</v>
      </c>
      <c r="AH4469">
        <v>50.610059390950397</v>
      </c>
      <c r="AI4469">
        <v>91.136686126485898</v>
      </c>
      <c r="AJ4469">
        <v>114.649412071966</v>
      </c>
      <c r="AK4469">
        <v>55.695141924804197</v>
      </c>
    </row>
    <row r="4470" spans="1:37" x14ac:dyDescent="0.2">
      <c r="A4470" t="str">
        <f>"20200111160302096"</f>
        <v>20200111160302096</v>
      </c>
      <c r="B4470" t="str">
        <f>"1578729782087698"</f>
        <v>1578729782087698</v>
      </c>
      <c r="C4470" t="s">
        <v>37</v>
      </c>
      <c r="D4470">
        <v>5.6561029999999999</v>
      </c>
      <c r="E4470">
        <v>0.3972347</v>
      </c>
      <c r="F4470" t="s">
        <v>38</v>
      </c>
      <c r="G4470">
        <v>-357.38979999999998</v>
      </c>
      <c r="H4470" s="1">
        <v>-1.602979E-6</v>
      </c>
      <c r="I4470">
        <v>21.49879</v>
      </c>
      <c r="J4470">
        <v>-403.33139999999997</v>
      </c>
      <c r="K4470">
        <v>1.1048169999999999</v>
      </c>
      <c r="L4470">
        <v>20.45496</v>
      </c>
      <c r="M4470">
        <v>0.92322559999999998</v>
      </c>
      <c r="N4470">
        <v>0</v>
      </c>
      <c r="O4470">
        <v>-0.38418669999999999</v>
      </c>
      <c r="P4470">
        <v>0.97154569999999996</v>
      </c>
      <c r="Q4470">
        <v>-1.7171490000000001E-2</v>
      </c>
      <c r="R4470">
        <v>-0.23622969999999999</v>
      </c>
      <c r="S4470">
        <v>3.10907</v>
      </c>
      <c r="T4470">
        <v>-7.1706300000000001E-2</v>
      </c>
      <c r="U4470">
        <v>1.4434809999999999E-2</v>
      </c>
      <c r="V4470">
        <v>-0.15513940000000001</v>
      </c>
      <c r="W4470">
        <v>-1.0234999999999999E-2</v>
      </c>
      <c r="X4470">
        <v>0.98783960000000004</v>
      </c>
      <c r="Y4470">
        <v>-0.38827820000000002</v>
      </c>
      <c r="Z4470">
        <v>1.3161839999999999E-2</v>
      </c>
      <c r="AA4470">
        <v>0.92144820000000005</v>
      </c>
      <c r="AB4470">
        <v>15</v>
      </c>
      <c r="AC4470">
        <v>45.941600000000001</v>
      </c>
      <c r="AD4470">
        <v>-1.1048186029789999</v>
      </c>
      <c r="AE4470">
        <v>1.04382999999999</v>
      </c>
      <c r="AF4470">
        <v>-18.6036015167793</v>
      </c>
      <c r="AG4470">
        <v>-1.1048186029789999</v>
      </c>
      <c r="AH4470">
        <v>41.990321134297602</v>
      </c>
      <c r="AI4470">
        <v>91.378042561383296</v>
      </c>
      <c r="AJ4470">
        <v>113.89549753690299</v>
      </c>
      <c r="AK4470">
        <v>45.940196805216701</v>
      </c>
    </row>
    <row r="4471" spans="1:37" x14ac:dyDescent="0.2">
      <c r="A4471" t="str">
        <f>"20200111160302120"</f>
        <v>20200111160302120</v>
      </c>
      <c r="B4471" t="str">
        <f>"1578729782117956"</f>
        <v>1578729782117956</v>
      </c>
      <c r="C4471" t="s">
        <v>37</v>
      </c>
      <c r="D4471">
        <v>5.6126740000000002</v>
      </c>
      <c r="E4471">
        <v>0.33190449999999999</v>
      </c>
      <c r="F4471" t="s">
        <v>88</v>
      </c>
      <c r="G4471">
        <v>-279.68</v>
      </c>
      <c r="H4471">
        <v>0.5073628</v>
      </c>
      <c r="I4471">
        <v>23.904820000000001</v>
      </c>
      <c r="J4471">
        <v>-403.17989999999998</v>
      </c>
      <c r="K4471">
        <v>1.104759</v>
      </c>
      <c r="L4471">
        <v>20.395229999999898</v>
      </c>
      <c r="M4471">
        <v>0.92425210000000002</v>
      </c>
      <c r="N4471">
        <v>0</v>
      </c>
      <c r="O4471">
        <v>-0.3817218</v>
      </c>
      <c r="P4471">
        <v>0.9722653</v>
      </c>
      <c r="Q4471">
        <v>-1.465496E-2</v>
      </c>
      <c r="R4471">
        <v>-0.2334222</v>
      </c>
      <c r="S4471">
        <v>3.1086429999999998</v>
      </c>
      <c r="T4471">
        <v>-1.502013E-2</v>
      </c>
      <c r="U4471">
        <v>8.6730959999999996E-2</v>
      </c>
      <c r="V4471">
        <v>-0.15537629999999999</v>
      </c>
      <c r="W4471">
        <v>-8.3147510000000004E-3</v>
      </c>
      <c r="X4471">
        <v>0.98782039999999904</v>
      </c>
      <c r="Y4471">
        <v>-0.407350299999999</v>
      </c>
      <c r="Z4471">
        <v>2.7941300000000001E-3</v>
      </c>
      <c r="AA4471">
        <v>0.91326770000000002</v>
      </c>
      <c r="AB4471">
        <v>15</v>
      </c>
      <c r="AC4471">
        <v>123.499899999999</v>
      </c>
      <c r="AD4471">
        <v>-0.59739619999999904</v>
      </c>
      <c r="AE4471">
        <v>3.5095900000000002</v>
      </c>
      <c r="AF4471">
        <v>-50.3863441361718</v>
      </c>
      <c r="AG4471">
        <v>-0.59739619999999904</v>
      </c>
      <c r="AH4471">
        <v>112.80534166058101</v>
      </c>
      <c r="AI4471">
        <v>90.277044772880103</v>
      </c>
      <c r="AJ4471">
        <v>114.06870559985801</v>
      </c>
      <c r="AK4471">
        <v>123.548313079495</v>
      </c>
    </row>
    <row r="4472" spans="1:37" x14ac:dyDescent="0.2">
      <c r="A4472" t="str">
        <f>"20200111160302141"</f>
        <v>20200111160302141</v>
      </c>
      <c r="B4472" t="str">
        <f>"1578729782137475"</f>
        <v>1578729782137475</v>
      </c>
      <c r="C4472" t="s">
        <v>37</v>
      </c>
      <c r="D4472">
        <v>5.6729880000000001</v>
      </c>
      <c r="E4472">
        <v>0.33291920000000003</v>
      </c>
      <c r="F4472" t="s">
        <v>42</v>
      </c>
      <c r="G4472">
        <v>-402.24599999999998</v>
      </c>
      <c r="H4472">
        <v>1.070759</v>
      </c>
      <c r="I4472">
        <v>20.57067</v>
      </c>
      <c r="J4472">
        <v>-403.05070000000001</v>
      </c>
      <c r="K4472">
        <v>1.104714</v>
      </c>
      <c r="L4472">
        <v>20.344670000000001</v>
      </c>
      <c r="M4472">
        <v>0.92511589999999999</v>
      </c>
      <c r="N4472">
        <v>0</v>
      </c>
      <c r="O4472">
        <v>-0.37963190000000002</v>
      </c>
      <c r="P4472">
        <v>0.97298689999999999</v>
      </c>
      <c r="Q4472">
        <v>-1.229892E-2</v>
      </c>
      <c r="R4472">
        <v>-0.23053360000000001</v>
      </c>
      <c r="S4472">
        <v>3.2296749999999999</v>
      </c>
      <c r="T4472">
        <v>-0.11757670000000001</v>
      </c>
      <c r="U4472">
        <v>0.60751339999999998</v>
      </c>
      <c r="V4472">
        <v>-0.1560935</v>
      </c>
      <c r="W4472">
        <v>-6.4417379999999998E-3</v>
      </c>
      <c r="X4472">
        <v>0.98772130000000002</v>
      </c>
      <c r="Y4472">
        <v>-0.54352609999999901</v>
      </c>
      <c r="Z4472">
        <v>2.3357490000000002E-2</v>
      </c>
      <c r="AA4472">
        <v>0.83906729999999996</v>
      </c>
      <c r="AB4472">
        <v>15</v>
      </c>
      <c r="AC4472">
        <v>0.80470000000002495</v>
      </c>
      <c r="AD4472">
        <v>-3.3954999999999902E-2</v>
      </c>
      <c r="AE4472">
        <v>0.22599999999999901</v>
      </c>
      <c r="AF4472">
        <v>-0.51372850896045597</v>
      </c>
      <c r="AG4472">
        <v>-3.3954999999999902E-2</v>
      </c>
      <c r="AH4472">
        <v>0.65757198895618696</v>
      </c>
      <c r="AI4472">
        <v>92.330145614028197</v>
      </c>
      <c r="AJ4472">
        <v>127.99875368453399</v>
      </c>
      <c r="AK4472">
        <v>0.83514719876410404</v>
      </c>
    </row>
    <row r="4473" spans="1:37" x14ac:dyDescent="0.2">
      <c r="A4473" t="str">
        <f>"20200111160302308"</f>
        <v>20200111160302308</v>
      </c>
      <c r="B4473" t="str">
        <f>"1578729782297538"</f>
        <v>1578729782297538</v>
      </c>
      <c r="C4473" t="s">
        <v>37</v>
      </c>
      <c r="D4473">
        <v>5.6056339999999896</v>
      </c>
      <c r="E4473">
        <v>0.33428839999999999</v>
      </c>
      <c r="F4473" t="s">
        <v>42</v>
      </c>
      <c r="G4473">
        <v>-401.20060000000001</v>
      </c>
      <c r="H4473">
        <v>1.0728959999999901</v>
      </c>
      <c r="I4473">
        <v>20.147950000000002</v>
      </c>
      <c r="J4473">
        <v>-401.91899999999998</v>
      </c>
      <c r="K4473">
        <v>1.104538</v>
      </c>
      <c r="L4473">
        <v>19.915040000000001</v>
      </c>
      <c r="M4473">
        <v>0.93228449999999996</v>
      </c>
      <c r="N4473">
        <v>0</v>
      </c>
      <c r="O4473">
        <v>-0.3617108</v>
      </c>
      <c r="P4473">
        <v>0.9771145</v>
      </c>
      <c r="Q4473">
        <v>-9.927412E-3</v>
      </c>
      <c r="R4473">
        <v>-0.21248229999999901</v>
      </c>
      <c r="S4473">
        <v>3.2141109999999999</v>
      </c>
      <c r="T4473">
        <v>-0.11732039999999901</v>
      </c>
      <c r="U4473">
        <v>0.66049190000000002</v>
      </c>
      <c r="V4473">
        <v>-0.15531979999999901</v>
      </c>
      <c r="W4473">
        <v>-7.1280450000000004E-3</v>
      </c>
      <c r="X4473">
        <v>0.98783849999999995</v>
      </c>
      <c r="Y4473">
        <v>-0.54139079999999995</v>
      </c>
      <c r="Z4473">
        <v>2.2731189999999998E-2</v>
      </c>
      <c r="AA4473">
        <v>0.84046379999999998</v>
      </c>
      <c r="AB4473">
        <v>17</v>
      </c>
      <c r="AC4473">
        <v>0.71840000000003001</v>
      </c>
      <c r="AD4473">
        <v>-3.1642000000000101E-2</v>
      </c>
      <c r="AE4473">
        <v>0.23291000000000001</v>
      </c>
      <c r="AF4473">
        <v>-0.47615814893107999</v>
      </c>
      <c r="AG4473">
        <v>-3.1642000000000101E-2</v>
      </c>
      <c r="AH4473">
        <v>0.58448427988637497</v>
      </c>
      <c r="AI4473">
        <v>92.403390773309397</v>
      </c>
      <c r="AJ4473">
        <v>129.16845542381199</v>
      </c>
      <c r="AK4473">
        <v>0.75455263063073796</v>
      </c>
    </row>
    <row r="4474" spans="1:37" x14ac:dyDescent="0.2">
      <c r="A4474" t="str">
        <f>"20200111160302353"</f>
        <v>20200111160302353</v>
      </c>
      <c r="B4474" t="str">
        <f>"1578729782347314"</f>
        <v>1578729782347314</v>
      </c>
      <c r="C4474" t="s">
        <v>37</v>
      </c>
      <c r="D4474">
        <v>5.5727589999999996</v>
      </c>
      <c r="E4474">
        <v>0.3347868</v>
      </c>
      <c r="F4474" t="s">
        <v>42</v>
      </c>
      <c r="G4474">
        <v>-401.07260000000002</v>
      </c>
      <c r="H4474">
        <v>1.0730999999999999</v>
      </c>
      <c r="I4474">
        <v>20.088570000000001</v>
      </c>
      <c r="J4474">
        <v>-401.59249999999997</v>
      </c>
      <c r="K4474">
        <v>1.1045339999999999</v>
      </c>
      <c r="L4474">
        <v>19.795559999999998</v>
      </c>
      <c r="M4474">
        <v>0.93425429999999998</v>
      </c>
      <c r="N4474">
        <v>0</v>
      </c>
      <c r="O4474">
        <v>-0.35659659999999999</v>
      </c>
      <c r="P4474">
        <v>0.97743230000000003</v>
      </c>
      <c r="Q4474">
        <v>-1.407491E-2</v>
      </c>
      <c r="R4474">
        <v>-0.210780299999999</v>
      </c>
      <c r="S4474">
        <v>3.2122799999999998</v>
      </c>
      <c r="T4474">
        <v>-0.11931310000000001</v>
      </c>
      <c r="U4474">
        <v>0.65863039999999995</v>
      </c>
      <c r="V4474">
        <v>-0.15159229999999899</v>
      </c>
      <c r="W4474">
        <v>-1.174392E-2</v>
      </c>
      <c r="X4474">
        <v>0.98837330000000001</v>
      </c>
      <c r="Y4474">
        <v>-0.53638859999999999</v>
      </c>
      <c r="Z4474">
        <v>2.2857789999999999E-2</v>
      </c>
      <c r="AA4474">
        <v>0.84366149999999995</v>
      </c>
      <c r="AB4474">
        <v>17</v>
      </c>
      <c r="AC4474">
        <v>0.51989999999994996</v>
      </c>
      <c r="AD4474">
        <v>-3.14339999999999E-2</v>
      </c>
      <c r="AE4474">
        <v>0.29300999999999799</v>
      </c>
      <c r="AF4474">
        <v>-0.457871899330763</v>
      </c>
      <c r="AG4474">
        <v>-3.14339999999999E-2</v>
      </c>
      <c r="AH4474">
        <v>0.380179161614696</v>
      </c>
      <c r="AI4474">
        <v>93.023466269543803</v>
      </c>
      <c r="AJ4474">
        <v>140.29654916110201</v>
      </c>
      <c r="AK4474">
        <v>0.59596221984183995</v>
      </c>
    </row>
    <row r="4475" spans="1:37" x14ac:dyDescent="0.2">
      <c r="A4475" t="str">
        <f>"20200111160302376"</f>
        <v>20200111160302376</v>
      </c>
      <c r="B4475" t="str">
        <f>"1578729782367810"</f>
        <v>1578729782367810</v>
      </c>
      <c r="C4475" t="s">
        <v>37</v>
      </c>
      <c r="D4475">
        <v>5.2876919999999998</v>
      </c>
      <c r="E4475">
        <v>0.41311419999999999</v>
      </c>
      <c r="F4475" t="s">
        <v>42</v>
      </c>
      <c r="G4475">
        <v>-400.63310000000001</v>
      </c>
      <c r="H4475">
        <v>1.0662129999999901</v>
      </c>
      <c r="I4475">
        <v>19.99278</v>
      </c>
      <c r="J4475">
        <v>-401.423</v>
      </c>
      <c r="K4475">
        <v>1.1045320000000001</v>
      </c>
      <c r="L4475">
        <v>19.734379999999899</v>
      </c>
      <c r="M4475">
        <v>0.93526260000000006</v>
      </c>
      <c r="N4475">
        <v>0</v>
      </c>
      <c r="O4475">
        <v>-0.35394490000000001</v>
      </c>
      <c r="P4475">
        <v>0.97758419999999902</v>
      </c>
      <c r="Q4475">
        <v>-1.547609E-2</v>
      </c>
      <c r="R4475">
        <v>-0.20997550000000001</v>
      </c>
      <c r="S4475">
        <v>3.2099000000000002</v>
      </c>
      <c r="T4475">
        <v>-0.12820139999999999</v>
      </c>
      <c r="U4475">
        <v>0.66055299999999995</v>
      </c>
      <c r="V4475">
        <v>-0.14958840000000001</v>
      </c>
      <c r="W4475">
        <v>-1.3333090000000001E-2</v>
      </c>
      <c r="X4475">
        <v>0.988658499999999</v>
      </c>
      <c r="Y4475">
        <v>-0.53451280000000001</v>
      </c>
      <c r="Z4475">
        <v>2.443793E-2</v>
      </c>
      <c r="AA4475">
        <v>0.84480699999999997</v>
      </c>
      <c r="AB4475">
        <v>17</v>
      </c>
      <c r="AC4475">
        <v>0.78989999999998795</v>
      </c>
      <c r="AD4475">
        <v>-3.83190000000002E-2</v>
      </c>
      <c r="AE4475">
        <v>0.25840000000000102</v>
      </c>
      <c r="AF4475">
        <v>-0.52014897013248995</v>
      </c>
      <c r="AG4475">
        <v>-3.83190000000002E-2</v>
      </c>
      <c r="AH4475">
        <v>0.64593363845561103</v>
      </c>
      <c r="AI4475">
        <v>92.645462499061793</v>
      </c>
      <c r="AJ4475">
        <v>128.84334241930699</v>
      </c>
      <c r="AK4475">
        <v>0.83021296194373795</v>
      </c>
    </row>
    <row r="4476" spans="1:37" x14ac:dyDescent="0.2">
      <c r="A4476" t="str">
        <f>"20200111160302399"</f>
        <v>20200111160302399</v>
      </c>
      <c r="B4476" t="str">
        <f>"1578729782387330"</f>
        <v>1578729782387330</v>
      </c>
      <c r="C4476" t="s">
        <v>37</v>
      </c>
      <c r="D4476">
        <v>5.2365719999999998</v>
      </c>
      <c r="E4476">
        <v>0.41385680000000002</v>
      </c>
      <c r="F4476" t="s">
        <v>39</v>
      </c>
      <c r="G4476">
        <v>-379.00639999999999</v>
      </c>
      <c r="H4476">
        <v>-0.05</v>
      </c>
      <c r="I4476">
        <v>20.120909999999999</v>
      </c>
      <c r="J4476">
        <v>-401.25990000000002</v>
      </c>
      <c r="K4476">
        <v>1.104538</v>
      </c>
      <c r="L4476">
        <v>19.675929999999902</v>
      </c>
      <c r="M4476">
        <v>0.93622569999999905</v>
      </c>
      <c r="N4476">
        <v>0</v>
      </c>
      <c r="O4476">
        <v>-0.35139039999999999</v>
      </c>
      <c r="P4476">
        <v>0.97775230000000002</v>
      </c>
      <c r="Q4476">
        <v>-1.593549E-2</v>
      </c>
      <c r="R4476">
        <v>-0.20915729999999999</v>
      </c>
      <c r="S4476">
        <v>3.0776669999999999</v>
      </c>
      <c r="T4476">
        <v>-0.15851029999999999</v>
      </c>
      <c r="U4476">
        <v>5.3070069999999997E-2</v>
      </c>
      <c r="V4476">
        <v>-0.1477115</v>
      </c>
      <c r="W4476">
        <v>-1.394519E-2</v>
      </c>
      <c r="X4476">
        <v>0.98893220000000004</v>
      </c>
      <c r="Y4476">
        <v>-0.36654350000000002</v>
      </c>
      <c r="Z4476">
        <v>2.7232389999999999E-2</v>
      </c>
      <c r="AA4476">
        <v>0.93000229999999995</v>
      </c>
      <c r="AB4476">
        <v>17</v>
      </c>
      <c r="AC4476">
        <v>22.253499999999999</v>
      </c>
      <c r="AD4476">
        <v>-1.1545379999999901</v>
      </c>
      <c r="AE4476">
        <v>0.44498000000000398</v>
      </c>
      <c r="AF4476">
        <v>-8.2141926585389395</v>
      </c>
      <c r="AG4476">
        <v>-1.1545379999999901</v>
      </c>
      <c r="AH4476">
        <v>20.622514717184</v>
      </c>
      <c r="AI4476">
        <v>92.977292649944204</v>
      </c>
      <c r="AJ4476">
        <v>111.71797993787899</v>
      </c>
      <c r="AK4476">
        <v>22.228226026507599</v>
      </c>
    </row>
    <row r="4477" spans="1:37" x14ac:dyDescent="0.2">
      <c r="A4477" t="str">
        <f>"20200111160302465"</f>
        <v>20200111160302465</v>
      </c>
      <c r="B4477" t="str">
        <f>"1578729782457603"</f>
        <v>1578729782457603</v>
      </c>
      <c r="C4477" t="s">
        <v>37</v>
      </c>
      <c r="D4477">
        <v>5.0958329999999998</v>
      </c>
      <c r="E4477">
        <v>0.41534779999999999</v>
      </c>
      <c r="F4477" t="s">
        <v>39</v>
      </c>
      <c r="G4477">
        <v>-379.0172</v>
      </c>
      <c r="H4477">
        <v>-0.05</v>
      </c>
      <c r="I4477">
        <v>20.037579999999998</v>
      </c>
      <c r="J4477">
        <v>-400.75420000000003</v>
      </c>
      <c r="K4477">
        <v>1.104541</v>
      </c>
      <c r="L4477">
        <v>19.497989999999898</v>
      </c>
      <c r="M4477">
        <v>0.93915709999999997</v>
      </c>
      <c r="N4477">
        <v>0</v>
      </c>
      <c r="O4477">
        <v>-0.34348139999999999</v>
      </c>
      <c r="P4477">
        <v>0.97915049999999904</v>
      </c>
      <c r="Q4477">
        <v>-2.149684E-2</v>
      </c>
      <c r="R4477">
        <v>-0.20199610000000001</v>
      </c>
      <c r="S4477">
        <v>3.0763849999999899</v>
      </c>
      <c r="T4477">
        <v>-0.15968370000000001</v>
      </c>
      <c r="U4477">
        <v>5.0018310000000003E-2</v>
      </c>
      <c r="V4477">
        <v>-0.1465485</v>
      </c>
      <c r="W4477">
        <v>-1.9855669999999999E-2</v>
      </c>
      <c r="X4477">
        <v>0.9890042</v>
      </c>
      <c r="Y4477">
        <v>-0.35777369999999997</v>
      </c>
      <c r="Z4477">
        <v>2.6826969999999999E-2</v>
      </c>
      <c r="AA4477">
        <v>0.93342289999999895</v>
      </c>
      <c r="AB4477">
        <v>18</v>
      </c>
      <c r="AC4477">
        <v>21.736999999999998</v>
      </c>
      <c r="AD4477">
        <v>-1.154541</v>
      </c>
      <c r="AE4477">
        <v>0.53959000000000001</v>
      </c>
      <c r="AF4477">
        <v>-7.9506170625085497</v>
      </c>
      <c r="AG4477">
        <v>-1.154541</v>
      </c>
      <c r="AH4477">
        <v>20.1722908213269</v>
      </c>
      <c r="AI4477">
        <v>93.047974905879798</v>
      </c>
      <c r="AJ4477">
        <v>111.51116305635099</v>
      </c>
      <c r="AK4477">
        <v>21.713281501779498</v>
      </c>
    </row>
    <row r="4478" spans="1:37" x14ac:dyDescent="0.2">
      <c r="A4478" t="str">
        <f>"20200111160302487"</f>
        <v>20200111160302487</v>
      </c>
      <c r="B4478" t="str">
        <f>"1578729782477126"</f>
        <v>1578729782477126</v>
      </c>
      <c r="C4478" t="s">
        <v>37</v>
      </c>
      <c r="D4478">
        <v>5.0707430000000002</v>
      </c>
      <c r="E4478">
        <v>0.415653299999999</v>
      </c>
      <c r="F4478" t="s">
        <v>85</v>
      </c>
      <c r="G4478">
        <v>-382.27210000000002</v>
      </c>
      <c r="H4478" s="1">
        <v>-3.7205979999999999E-6</v>
      </c>
      <c r="I4478">
        <v>19.86861</v>
      </c>
      <c r="J4478">
        <v>-400.58120000000002</v>
      </c>
      <c r="K4478">
        <v>1.1045529999999999</v>
      </c>
      <c r="L4478">
        <v>19.43817</v>
      </c>
      <c r="M4478">
        <v>0.94013989999999903</v>
      </c>
      <c r="N4478">
        <v>0</v>
      </c>
      <c r="O4478">
        <v>-0.34078199999999997</v>
      </c>
      <c r="P4478">
        <v>0.97989799999999905</v>
      </c>
      <c r="Q4478">
        <v>-2.2863609999999999E-2</v>
      </c>
      <c r="R4478">
        <v>-0.198184</v>
      </c>
      <c r="S4478">
        <v>3.0725709999999999</v>
      </c>
      <c r="T4478">
        <v>-0.18362600000000001</v>
      </c>
      <c r="U4478">
        <v>6.1614990000000001E-2</v>
      </c>
      <c r="V4478">
        <v>-0.14753910000000001</v>
      </c>
      <c r="W4478">
        <v>-2.1307739999999999E-2</v>
      </c>
      <c r="X4478">
        <v>0.98882669999999995</v>
      </c>
      <c r="Y4478">
        <v>-0.35833309999999902</v>
      </c>
      <c r="Z4478">
        <v>3.0746160000000002E-2</v>
      </c>
      <c r="AA4478">
        <v>0.93308729999999995</v>
      </c>
      <c r="AB4478">
        <v>18</v>
      </c>
      <c r="AC4478">
        <v>18.309100000000001</v>
      </c>
      <c r="AD4478">
        <v>-1.104556720598</v>
      </c>
      <c r="AE4478">
        <v>0.43043999999999999</v>
      </c>
      <c r="AF4478">
        <v>-6.620020532232</v>
      </c>
      <c r="AG4478">
        <v>-1.104556720598</v>
      </c>
      <c r="AH4478">
        <v>17.004614311949801</v>
      </c>
      <c r="AI4478">
        <v>93.463944871730405</v>
      </c>
      <c r="AJ4478">
        <v>111.27132659823801</v>
      </c>
      <c r="AK4478">
        <v>18.281182272882699</v>
      </c>
    </row>
    <row r="4479" spans="1:37" x14ac:dyDescent="0.2">
      <c r="A4479" t="str">
        <f>"20200111160302532"</f>
        <v>20200111160302532</v>
      </c>
      <c r="B4479" t="str">
        <f>"1578729782527874"</f>
        <v>1578729782527874</v>
      </c>
      <c r="C4479" t="s">
        <v>37</v>
      </c>
      <c r="D4479">
        <v>4.9465159999999999</v>
      </c>
      <c r="E4479">
        <v>0.41612199999999999</v>
      </c>
      <c r="F4479" t="s">
        <v>85</v>
      </c>
      <c r="G4479">
        <v>-382.24439999999998</v>
      </c>
      <c r="H4479" s="1">
        <v>-3.7321650000000001E-6</v>
      </c>
      <c r="I4479">
        <v>19.862839999999998</v>
      </c>
      <c r="J4479">
        <v>-400.23090000000002</v>
      </c>
      <c r="K4479">
        <v>1.1045780000000001</v>
      </c>
      <c r="L4479">
        <v>19.318850000000001</v>
      </c>
      <c r="M4479">
        <v>0.94210199999999999</v>
      </c>
      <c r="N4479">
        <v>0</v>
      </c>
      <c r="O4479">
        <v>-0.33532119999999999</v>
      </c>
      <c r="P4479">
        <v>0.98138409999999998</v>
      </c>
      <c r="Q4479">
        <v>-2.3305820000000001E-2</v>
      </c>
      <c r="R4479">
        <v>-0.1906371</v>
      </c>
      <c r="S4479">
        <v>3.0715939999999899</v>
      </c>
      <c r="T4479">
        <v>-0.18502399999999999</v>
      </c>
      <c r="U4479">
        <v>7.1136469999999993E-2</v>
      </c>
      <c r="V4479">
        <v>-0.149402799999999</v>
      </c>
      <c r="W4479">
        <v>-2.1874359999999999E-2</v>
      </c>
      <c r="X4479">
        <v>0.98853449999999998</v>
      </c>
      <c r="Y4479">
        <v>-0.35580830000000002</v>
      </c>
      <c r="Z4479">
        <v>3.0601699999999999E-2</v>
      </c>
      <c r="AA4479">
        <v>0.93405780000000005</v>
      </c>
      <c r="AB4479">
        <v>19</v>
      </c>
      <c r="AC4479">
        <v>17.986499999999999</v>
      </c>
      <c r="AD4479">
        <v>-1.104581732165</v>
      </c>
      <c r="AE4479">
        <v>0.54398999999999698</v>
      </c>
      <c r="AF4479">
        <v>-6.5191963135759901</v>
      </c>
      <c r="AG4479">
        <v>-1.104581732165</v>
      </c>
      <c r="AH4479">
        <v>16.699811617705802</v>
      </c>
      <c r="AI4479">
        <v>93.525818326126796</v>
      </c>
      <c r="AJ4479">
        <v>111.324452493522</v>
      </c>
      <c r="AK4479">
        <v>17.961172830437199</v>
      </c>
    </row>
    <row r="4480" spans="1:37" x14ac:dyDescent="0.2">
      <c r="A4480" t="str">
        <f>"20200111160302555"</f>
        <v>20200111160302555</v>
      </c>
      <c r="B4480" t="str">
        <f>"1578729782547394"</f>
        <v>1578729782547394</v>
      </c>
      <c r="C4480" t="s">
        <v>37</v>
      </c>
      <c r="D4480">
        <v>4.9739570000000004</v>
      </c>
      <c r="E4480">
        <v>0.41647600000000001</v>
      </c>
      <c r="F4480" t="s">
        <v>85</v>
      </c>
      <c r="G4480">
        <v>-381.22579999999999</v>
      </c>
      <c r="H4480" s="1">
        <v>-4.2189030000000003E-6</v>
      </c>
      <c r="I4480">
        <v>19.88252</v>
      </c>
      <c r="J4480">
        <v>-400.04669999999999</v>
      </c>
      <c r="K4480">
        <v>1.1045929999999999</v>
      </c>
      <c r="L4480">
        <v>19.256959999999999</v>
      </c>
      <c r="M4480">
        <v>0.94312019999999996</v>
      </c>
      <c r="N4480">
        <v>0</v>
      </c>
      <c r="O4480">
        <v>-0.33244600000000002</v>
      </c>
      <c r="P4480">
        <v>0.98186770000000001</v>
      </c>
      <c r="Q4480">
        <v>-2.3730810000000001E-2</v>
      </c>
      <c r="R4480">
        <v>-0.18807670000000001</v>
      </c>
      <c r="S4480">
        <v>3.0703740000000002</v>
      </c>
      <c r="T4480">
        <v>-0.17845059999999999</v>
      </c>
      <c r="U4480">
        <v>9.1064450000000005E-2</v>
      </c>
      <c r="V4480">
        <v>-0.1489596</v>
      </c>
      <c r="W4480">
        <v>-2.2339640000000001E-2</v>
      </c>
      <c r="X4480">
        <v>0.98859089999999905</v>
      </c>
      <c r="Y4480">
        <v>-0.35910789999999998</v>
      </c>
      <c r="Z4480">
        <v>2.9467030000000002E-2</v>
      </c>
      <c r="AA4480">
        <v>0.93283079999999996</v>
      </c>
      <c r="AB4480">
        <v>19</v>
      </c>
      <c r="AC4480">
        <v>18.820899999999899</v>
      </c>
      <c r="AD4480">
        <v>-1.104597218903</v>
      </c>
      <c r="AE4480">
        <v>0.62556</v>
      </c>
      <c r="AF4480">
        <v>-6.8234472229619101</v>
      </c>
      <c r="AG4480">
        <v>-1.104597218903</v>
      </c>
      <c r="AH4480">
        <v>17.482289236113299</v>
      </c>
      <c r="AI4480">
        <v>93.368506370103503</v>
      </c>
      <c r="AJ4480">
        <v>111.321013678209</v>
      </c>
      <c r="AK4480">
        <v>18.799202215936699</v>
      </c>
    </row>
    <row r="4481" spans="1:37" x14ac:dyDescent="0.2">
      <c r="A4481" t="str">
        <f>"20200111160302577"</f>
        <v>20200111160302577</v>
      </c>
      <c r="B4481" t="str">
        <f>"1578729782567890"</f>
        <v>1578729782567890</v>
      </c>
      <c r="C4481" t="s">
        <v>37</v>
      </c>
      <c r="D4481">
        <v>5.0133669999999997</v>
      </c>
      <c r="E4481">
        <v>0.41640260000000001</v>
      </c>
      <c r="F4481" t="s">
        <v>85</v>
      </c>
      <c r="G4481">
        <v>-381.13350000000003</v>
      </c>
      <c r="H4481" s="1">
        <v>-4.2541079999999999E-6</v>
      </c>
      <c r="I4481">
        <v>19.850960000000001</v>
      </c>
      <c r="J4481">
        <v>-399.86689999999999</v>
      </c>
      <c r="K4481">
        <v>1.104603</v>
      </c>
      <c r="L4481">
        <v>19.197140000000001</v>
      </c>
      <c r="M4481">
        <v>0.94410499999999997</v>
      </c>
      <c r="N4481">
        <v>0</v>
      </c>
      <c r="O4481">
        <v>-0.32963930000000002</v>
      </c>
      <c r="P4481">
        <v>0.98229</v>
      </c>
      <c r="Q4481">
        <v>-2.4640269999999999E-2</v>
      </c>
      <c r="R4481">
        <v>-0.18573979999999901</v>
      </c>
      <c r="S4481">
        <v>3.06955</v>
      </c>
      <c r="T4481">
        <v>-0.1792725</v>
      </c>
      <c r="U4481">
        <v>9.6405030000000003E-2</v>
      </c>
      <c r="V4481">
        <v>-0.14835909999999999</v>
      </c>
      <c r="W4481">
        <v>-2.3277780000000001E-2</v>
      </c>
      <c r="X4481">
        <v>0.98865959999999997</v>
      </c>
      <c r="Y4481">
        <v>-0.35795690000000002</v>
      </c>
      <c r="Z4481">
        <v>2.9420749999999999E-2</v>
      </c>
      <c r="AA4481">
        <v>0.93327450000000001</v>
      </c>
      <c r="AB4481">
        <v>19</v>
      </c>
      <c r="AC4481">
        <v>18.7333999999999</v>
      </c>
      <c r="AD4481">
        <v>-1.1046072541080001</v>
      </c>
      <c r="AE4481">
        <v>0.65381999999999896</v>
      </c>
      <c r="AF4481">
        <v>-6.7690459538619301</v>
      </c>
      <c r="AG4481">
        <v>-1.1046072541080001</v>
      </c>
      <c r="AH4481">
        <v>17.410344952995299</v>
      </c>
      <c r="AI4481">
        <v>93.384150313435399</v>
      </c>
      <c r="AJ4481">
        <v>111.245806554447</v>
      </c>
      <c r="AK4481">
        <v>18.712569350402202</v>
      </c>
    </row>
    <row r="4482" spans="1:37" x14ac:dyDescent="0.2">
      <c r="A4482" t="str">
        <f>"20200111160302601"</f>
        <v>20200111160302601</v>
      </c>
      <c r="B4482" t="str">
        <f>"1578729782597172"</f>
        <v>1578729782597172</v>
      </c>
      <c r="C4482" t="s">
        <v>37</v>
      </c>
      <c r="D4482">
        <v>4.9433489999999898</v>
      </c>
      <c r="E4482">
        <v>0.41680200000000001</v>
      </c>
      <c r="F4482" t="s">
        <v>85</v>
      </c>
      <c r="G4482">
        <v>-380.95659999999998</v>
      </c>
      <c r="H4482" s="1">
        <v>-4.334653E-6</v>
      </c>
      <c r="I4482">
        <v>19.83942</v>
      </c>
      <c r="J4482">
        <v>-399.68119999999999</v>
      </c>
      <c r="K4482">
        <v>1.104616</v>
      </c>
      <c r="L4482">
        <v>19.136019999999998</v>
      </c>
      <c r="M4482">
        <v>0.9451119</v>
      </c>
      <c r="N4482">
        <v>0</v>
      </c>
      <c r="O4482">
        <v>-0.32674130000000001</v>
      </c>
      <c r="P4482">
        <v>0.98256529999999997</v>
      </c>
      <c r="Q4482">
        <v>-2.5166830000000001E-2</v>
      </c>
      <c r="R4482">
        <v>-0.1842066</v>
      </c>
      <c r="S4482">
        <v>3.0693359999999998</v>
      </c>
      <c r="T4482">
        <v>-0.17928910000000001</v>
      </c>
      <c r="U4482">
        <v>0.10424799999999999</v>
      </c>
      <c r="V4482">
        <v>-0.1468612</v>
      </c>
      <c r="W4482">
        <v>-2.3819380000000001E-2</v>
      </c>
      <c r="X4482">
        <v>0.98887029999999998</v>
      </c>
      <c r="Y4482">
        <v>-0.35748279999999999</v>
      </c>
      <c r="Z4482">
        <v>2.9250439999999999E-2</v>
      </c>
      <c r="AA4482">
        <v>0.93346149999999894</v>
      </c>
      <c r="AB4482">
        <v>19</v>
      </c>
      <c r="AC4482">
        <v>18.724599999999999</v>
      </c>
      <c r="AD4482">
        <v>-1.1046203346529999</v>
      </c>
      <c r="AE4482">
        <v>0.70339999999999803</v>
      </c>
      <c r="AF4482">
        <v>-6.7594133456230603</v>
      </c>
      <c r="AG4482">
        <v>-1.1046203346529999</v>
      </c>
      <c r="AH4482">
        <v>17.4065515973511</v>
      </c>
      <c r="AI4482">
        <v>93.385460431467294</v>
      </c>
      <c r="AJ4482">
        <v>111.222476589677</v>
      </c>
      <c r="AK4482">
        <v>18.7055578203903</v>
      </c>
    </row>
    <row r="4483" spans="1:37" x14ac:dyDescent="0.2">
      <c r="A4483" t="str">
        <f>"20200111160302622"</f>
        <v>20200111160302622</v>
      </c>
      <c r="B4483" t="str">
        <f>"1578729782617666"</f>
        <v>1578729782617666</v>
      </c>
      <c r="C4483" t="s">
        <v>37</v>
      </c>
      <c r="D4483">
        <v>4.9144800000000002</v>
      </c>
      <c r="E4483">
        <v>0.41680029999999901</v>
      </c>
      <c r="F4483" t="s">
        <v>85</v>
      </c>
      <c r="G4483">
        <v>-380.60090000000002</v>
      </c>
      <c r="H4483" s="1">
        <v>-4.4905069999999996E-6</v>
      </c>
      <c r="I4483">
        <v>19.79317</v>
      </c>
      <c r="J4483">
        <v>-399.49869999999999</v>
      </c>
      <c r="K4483">
        <v>1.1046309999999999</v>
      </c>
      <c r="L4483">
        <v>19.076450000000001</v>
      </c>
      <c r="M4483">
        <v>0.94609140000000003</v>
      </c>
      <c r="N4483">
        <v>0</v>
      </c>
      <c r="O4483">
        <v>-0.32389409999999902</v>
      </c>
      <c r="P4483">
        <v>0.98288899999999901</v>
      </c>
      <c r="Q4483">
        <v>-2.4905099999999999E-2</v>
      </c>
      <c r="R4483">
        <v>-0.18250720000000001</v>
      </c>
      <c r="S4483">
        <v>3.068451</v>
      </c>
      <c r="T4483">
        <v>-0.1776422</v>
      </c>
      <c r="U4483">
        <v>0.105682399999999</v>
      </c>
      <c r="V4483">
        <v>-0.145595</v>
      </c>
      <c r="W4483">
        <v>-2.3563210000000001E-2</v>
      </c>
      <c r="X4483">
        <v>0.98906360000000004</v>
      </c>
      <c r="Y4483">
        <v>-0.35514459999999998</v>
      </c>
      <c r="Z4483">
        <v>2.8765160000000001E-2</v>
      </c>
      <c r="AA4483">
        <v>0.93436869999999905</v>
      </c>
      <c r="AB4483">
        <v>19</v>
      </c>
      <c r="AC4483">
        <v>18.897799999999901</v>
      </c>
      <c r="AD4483">
        <v>-1.1046354905069999</v>
      </c>
      <c r="AE4483">
        <v>0.71671999999999803</v>
      </c>
      <c r="AF4483">
        <v>-6.7758627460319198</v>
      </c>
      <c r="AG4483">
        <v>-1.1046354905069999</v>
      </c>
      <c r="AH4483">
        <v>17.586932944434299</v>
      </c>
      <c r="AI4483">
        <v>93.354292520664202</v>
      </c>
      <c r="AJ4483">
        <v>111.07058880840999</v>
      </c>
      <c r="AK4483">
        <v>18.879426524976299</v>
      </c>
    </row>
    <row r="4484" spans="1:37" x14ac:dyDescent="0.2">
      <c r="A4484" t="str">
        <f>"20200111160302644"</f>
        <v>20200111160302644</v>
      </c>
      <c r="B4484" t="str">
        <f>"1578729782637186"</f>
        <v>1578729782637186</v>
      </c>
      <c r="C4484" t="s">
        <v>37</v>
      </c>
      <c r="D4484">
        <v>5.0613269999999897</v>
      </c>
      <c r="E4484">
        <v>0.41680029999999901</v>
      </c>
      <c r="F4484" t="s">
        <v>85</v>
      </c>
      <c r="G4484">
        <v>-380.18220000000002</v>
      </c>
      <c r="H4484" s="1">
        <v>-4.6834919999999999E-6</v>
      </c>
      <c r="I4484">
        <v>19.774609999999999</v>
      </c>
      <c r="J4484">
        <v>-399.30250000000001</v>
      </c>
      <c r="K4484">
        <v>1.104657</v>
      </c>
      <c r="L4484">
        <v>19.013089999999998</v>
      </c>
      <c r="M4484">
        <v>0.94713269999999905</v>
      </c>
      <c r="N4484">
        <v>0</v>
      </c>
      <c r="O4484">
        <v>-0.32083679999999998</v>
      </c>
      <c r="P4484">
        <v>0.98325079999999998</v>
      </c>
      <c r="Q4484">
        <v>-2.4717030000000001E-2</v>
      </c>
      <c r="R4484">
        <v>-0.18057490000000001</v>
      </c>
      <c r="S4484">
        <v>3.0683590000000001</v>
      </c>
      <c r="T4484">
        <v>-0.1754674</v>
      </c>
      <c r="U4484">
        <v>0.1109009</v>
      </c>
      <c r="V4484">
        <v>-0.14434520000000001</v>
      </c>
      <c r="W4484">
        <v>-2.3371469999999998E-2</v>
      </c>
      <c r="X4484">
        <v>0.9892514</v>
      </c>
      <c r="Y4484">
        <v>-0.35374859999999902</v>
      </c>
      <c r="Z4484">
        <v>2.8207299999999901E-2</v>
      </c>
      <c r="AA4484">
        <v>0.9349151</v>
      </c>
      <c r="AB4484">
        <v>20</v>
      </c>
      <c r="AC4484">
        <v>19.120299999999901</v>
      </c>
      <c r="AD4484">
        <v>-1.104661683492</v>
      </c>
      <c r="AE4484">
        <v>0.76151999999999997</v>
      </c>
      <c r="AF4484">
        <v>-6.8329964832613497</v>
      </c>
      <c r="AG4484">
        <v>-1.104661683492</v>
      </c>
      <c r="AH4484">
        <v>17.805828681310199</v>
      </c>
      <c r="AI4484">
        <v>93.314919611392696</v>
      </c>
      <c r="AJ4484">
        <v>110.99433244864299</v>
      </c>
      <c r="AK4484">
        <v>19.103864881311502</v>
      </c>
    </row>
    <row r="4485" spans="1:37" x14ac:dyDescent="0.2">
      <c r="A4485" t="str">
        <f>"20200111160302667"</f>
        <v>20200111160302667</v>
      </c>
      <c r="B4485" t="str">
        <f>"1578729782657682"</f>
        <v>1578729782657682</v>
      </c>
      <c r="C4485" t="s">
        <v>37</v>
      </c>
      <c r="D4485">
        <v>5.0085230000000003</v>
      </c>
      <c r="E4485">
        <v>0.40669939999999999</v>
      </c>
      <c r="F4485" t="s">
        <v>86</v>
      </c>
      <c r="G4485">
        <v>-379.9237</v>
      </c>
      <c r="H4485" s="1">
        <v>-5.25727799999999E-8</v>
      </c>
      <c r="I4485">
        <v>19.751719999999999</v>
      </c>
      <c r="J4485">
        <v>-399.11169999999998</v>
      </c>
      <c r="K4485">
        <v>1.1046879999999999</v>
      </c>
      <c r="L4485">
        <v>18.952120000000001</v>
      </c>
      <c r="M4485">
        <v>0.94813419999999904</v>
      </c>
      <c r="N4485">
        <v>0</v>
      </c>
      <c r="O4485">
        <v>-0.3178647</v>
      </c>
      <c r="P4485">
        <v>0.98371039999999998</v>
      </c>
      <c r="Q4485">
        <v>-2.4375069999999999E-2</v>
      </c>
      <c r="R4485">
        <v>-0.17810090000000001</v>
      </c>
      <c r="S4485">
        <v>3.068146</v>
      </c>
      <c r="T4485">
        <v>-0.17489440000000001</v>
      </c>
      <c r="U4485">
        <v>0.1169434</v>
      </c>
      <c r="V4485">
        <v>-0.14373359999999999</v>
      </c>
      <c r="W4485">
        <v>-2.3019230000000002E-2</v>
      </c>
      <c r="X4485">
        <v>0.98934859999999902</v>
      </c>
      <c r="Y4485">
        <v>-0.35267029999999999</v>
      </c>
      <c r="Z4485">
        <v>2.7924350000000001E-2</v>
      </c>
      <c r="AA4485">
        <v>0.93533089999999997</v>
      </c>
      <c r="AB4485">
        <v>20</v>
      </c>
      <c r="AC4485">
        <v>19.187999999999899</v>
      </c>
      <c r="AD4485">
        <v>-1.10468805257277</v>
      </c>
      <c r="AE4485">
        <v>0.79960000000000098</v>
      </c>
      <c r="AF4485">
        <v>-6.8347137294862197</v>
      </c>
      <c r="AG4485">
        <v>-1.10468805257277</v>
      </c>
      <c r="AH4485">
        <v>17.8795072978306</v>
      </c>
      <c r="AI4485">
        <v>93.303002897356706</v>
      </c>
      <c r="AJ4485">
        <v>110.92011645113899</v>
      </c>
      <c r="AK4485">
        <v>19.173169499868902</v>
      </c>
    </row>
    <row r="4486" spans="1:37" x14ac:dyDescent="0.2">
      <c r="A4486" t="str">
        <f>"20200111160302687"</f>
        <v>20200111160302687</v>
      </c>
      <c r="B4486" t="str">
        <f>"1578729782677205"</f>
        <v>1578729782677205</v>
      </c>
      <c r="C4486" t="s">
        <v>37</v>
      </c>
      <c r="D4486">
        <v>4.9564120000000003</v>
      </c>
      <c r="E4486">
        <v>0.4063524</v>
      </c>
      <c r="F4486" t="s">
        <v>85</v>
      </c>
      <c r="G4486">
        <v>-381.54539999999997</v>
      </c>
      <c r="H4486" s="1">
        <v>-4.1312210000000003E-6</v>
      </c>
      <c r="I4486">
        <v>20.120809999999999</v>
      </c>
      <c r="J4486">
        <v>-398.93869999999998</v>
      </c>
      <c r="K4486">
        <v>1.1047169999999999</v>
      </c>
      <c r="L4486">
        <v>18.897459999999999</v>
      </c>
      <c r="M4486">
        <v>0.94903340000000003</v>
      </c>
      <c r="N4486">
        <v>0</v>
      </c>
      <c r="O4486">
        <v>-0.31516929999999999</v>
      </c>
      <c r="P4486">
        <v>0.98417919999999903</v>
      </c>
      <c r="Q4486">
        <v>-2.4597230000000001E-2</v>
      </c>
      <c r="R4486">
        <v>-0.1754607</v>
      </c>
      <c r="S4486">
        <v>3.082001</v>
      </c>
      <c r="T4486">
        <v>-0.19381779999999901</v>
      </c>
      <c r="U4486">
        <v>0.2050476</v>
      </c>
      <c r="V4486">
        <v>-0.14357300000000001</v>
      </c>
      <c r="W4486">
        <v>-2.3227319999999999E-2</v>
      </c>
      <c r="X4486">
        <v>0.98936710000000005</v>
      </c>
      <c r="Y4486">
        <v>-0.37612489999999998</v>
      </c>
      <c r="Z4486">
        <v>3.137388E-2</v>
      </c>
      <c r="AA4486">
        <v>0.92603769999999996</v>
      </c>
      <c r="AB4486">
        <v>20</v>
      </c>
      <c r="AC4486">
        <v>17.3933</v>
      </c>
      <c r="AD4486">
        <v>-1.1047211312209999</v>
      </c>
      <c r="AE4486">
        <v>1.2233499999999999</v>
      </c>
      <c r="AF4486">
        <v>-6.6162881537564298</v>
      </c>
      <c r="AG4486">
        <v>-1.1047211312209999</v>
      </c>
      <c r="AH4486">
        <v>16.056836619416899</v>
      </c>
      <c r="AI4486">
        <v>93.639794176532106</v>
      </c>
      <c r="AJ4486">
        <v>112.394319421284</v>
      </c>
      <c r="AK4486">
        <v>17.4016573904313</v>
      </c>
    </row>
    <row r="4487" spans="1:37" x14ac:dyDescent="0.2">
      <c r="A4487" t="str">
        <f>"20200111160302711"</f>
        <v>20200111160302711</v>
      </c>
      <c r="B4487" t="str">
        <f>"1578729782707458"</f>
        <v>1578729782707458</v>
      </c>
      <c r="C4487" t="s">
        <v>37</v>
      </c>
      <c r="D4487">
        <v>4.9341850000000003</v>
      </c>
      <c r="E4487">
        <v>0.40630659999999902</v>
      </c>
      <c r="F4487" t="s">
        <v>85</v>
      </c>
      <c r="G4487">
        <v>-381.54950000000002</v>
      </c>
      <c r="H4487" s="1">
        <v>-4.128081E-6</v>
      </c>
      <c r="I4487">
        <v>20.116250000000001</v>
      </c>
      <c r="J4487">
        <v>-398.74450000000002</v>
      </c>
      <c r="K4487">
        <v>1.1047480000000001</v>
      </c>
      <c r="L4487">
        <v>18.836760000000002</v>
      </c>
      <c r="M4487">
        <v>0.950036199999999</v>
      </c>
      <c r="N4487">
        <v>0</v>
      </c>
      <c r="O4487">
        <v>-0.31213400000000002</v>
      </c>
      <c r="P4487">
        <v>0.98466589999999998</v>
      </c>
      <c r="Q4487">
        <v>-2.4565759999999999E-2</v>
      </c>
      <c r="R4487">
        <v>-0.17271420000000001</v>
      </c>
      <c r="S4487">
        <v>3.0818479999999999</v>
      </c>
      <c r="T4487">
        <v>-0.19578679999999901</v>
      </c>
      <c r="U4487">
        <v>0.21600340000000001</v>
      </c>
      <c r="V4487">
        <v>-0.14316889999999999</v>
      </c>
      <c r="W4487">
        <v>-2.3175359999999999E-2</v>
      </c>
      <c r="X4487">
        <v>0.9894269</v>
      </c>
      <c r="Y4487">
        <v>-0.37642199999999998</v>
      </c>
      <c r="Z4487">
        <v>3.1516210000000003E-2</v>
      </c>
      <c r="AA4487">
        <v>0.92591209999999902</v>
      </c>
      <c r="AB4487">
        <v>20</v>
      </c>
      <c r="AC4487">
        <v>17.194999999999901</v>
      </c>
      <c r="AD4487">
        <v>-1.104752128081</v>
      </c>
      <c r="AE4487">
        <v>1.27948999999999</v>
      </c>
      <c r="AF4487">
        <v>-6.5558052890015199</v>
      </c>
      <c r="AG4487">
        <v>-1.104752128081</v>
      </c>
      <c r="AH4487">
        <v>15.8713745769039</v>
      </c>
      <c r="AI4487">
        <v>93.681013214280199</v>
      </c>
      <c r="AJ4487">
        <v>112.44348587275201</v>
      </c>
      <c r="AK4487">
        <v>17.2075446014878</v>
      </c>
    </row>
    <row r="4488" spans="1:37" x14ac:dyDescent="0.2">
      <c r="A4488" t="str">
        <f>"20200111160302733"</f>
        <v>20200111160302733</v>
      </c>
      <c r="B4488" t="str">
        <f>"1578729782727955"</f>
        <v>1578729782727955</v>
      </c>
      <c r="C4488" t="s">
        <v>37</v>
      </c>
      <c r="D4488">
        <v>4.908296</v>
      </c>
      <c r="E4488">
        <v>0.40609200000000001</v>
      </c>
      <c r="F4488" t="s">
        <v>85</v>
      </c>
      <c r="G4488">
        <v>-381.27910000000003</v>
      </c>
      <c r="H4488" s="1">
        <v>-4.2545139999999996E-6</v>
      </c>
      <c r="I4488">
        <v>20.1111</v>
      </c>
      <c r="J4488">
        <v>-398.54390000000001</v>
      </c>
      <c r="K4488">
        <v>1.1047830000000001</v>
      </c>
      <c r="L4488">
        <v>18.774750000000001</v>
      </c>
      <c r="M4488">
        <v>0.95106639999999998</v>
      </c>
      <c r="N4488">
        <v>0</v>
      </c>
      <c r="O4488">
        <v>-0.30897989999999997</v>
      </c>
      <c r="P4488">
        <v>0.98516789999999999</v>
      </c>
      <c r="Q4488">
        <v>-2.488334E-2</v>
      </c>
      <c r="R4488">
        <v>-0.1697786</v>
      </c>
      <c r="S4488">
        <v>3.081299</v>
      </c>
      <c r="T4488">
        <v>-0.19490360000000001</v>
      </c>
      <c r="U4488">
        <v>0.224823</v>
      </c>
      <c r="V4488">
        <v>-0.14282909999999999</v>
      </c>
      <c r="W4488">
        <v>-2.3470439999999999E-2</v>
      </c>
      <c r="X4488">
        <v>0.98946909999999899</v>
      </c>
      <c r="Y4488">
        <v>-0.37601679999999998</v>
      </c>
      <c r="Z4488">
        <v>3.117381E-2</v>
      </c>
      <c r="AA4488">
        <v>0.92608829999999998</v>
      </c>
      <c r="AB4488">
        <v>20</v>
      </c>
      <c r="AC4488">
        <v>17.264799999999902</v>
      </c>
      <c r="AD4488">
        <v>-1.1047872545140001</v>
      </c>
      <c r="AE4488">
        <v>1.3363499999999899</v>
      </c>
      <c r="AF4488">
        <v>-6.5786693866248003</v>
      </c>
      <c r="AG4488">
        <v>-1.1047872545140001</v>
      </c>
      <c r="AH4488">
        <v>15.9422073053696</v>
      </c>
      <c r="AI4488">
        <v>93.665336089165393</v>
      </c>
      <c r="AJ4488">
        <v>112.423852697402</v>
      </c>
      <c r="AK4488">
        <v>17.281591927355301</v>
      </c>
    </row>
    <row r="4489" spans="1:37" x14ac:dyDescent="0.2">
      <c r="A4489" t="str">
        <f>"20200111160302756"</f>
        <v>20200111160302756</v>
      </c>
      <c r="B4489" t="str">
        <f>"1578729782747474"</f>
        <v>1578729782747474</v>
      </c>
      <c r="C4489" t="s">
        <v>37</v>
      </c>
      <c r="D4489">
        <v>5.543139</v>
      </c>
      <c r="E4489">
        <v>0.40615709999999999</v>
      </c>
      <c r="F4489" t="s">
        <v>85</v>
      </c>
      <c r="G4489">
        <v>-381.15410000000003</v>
      </c>
      <c r="H4489" s="1">
        <v>-4.312009E-6</v>
      </c>
      <c r="I4489">
        <v>20.105090000000001</v>
      </c>
      <c r="J4489">
        <v>-398.34300000000002</v>
      </c>
      <c r="K4489">
        <v>1.1048249999999999</v>
      </c>
      <c r="L4489">
        <v>18.713439999999999</v>
      </c>
      <c r="M4489">
        <v>0.95209189999999999</v>
      </c>
      <c r="N4489">
        <v>0</v>
      </c>
      <c r="O4489">
        <v>-0.30580499999999999</v>
      </c>
      <c r="P4489">
        <v>0.98566739999999997</v>
      </c>
      <c r="Q4489">
        <v>-2.5640030000000001E-2</v>
      </c>
      <c r="R4489">
        <v>-0.16674140000000001</v>
      </c>
      <c r="S4489">
        <v>3.0808409999999999</v>
      </c>
      <c r="T4489">
        <v>-0.19572819999999999</v>
      </c>
      <c r="U4489">
        <v>0.23568729999999999</v>
      </c>
      <c r="V4489">
        <v>-0.1425662</v>
      </c>
      <c r="W4489">
        <v>-2.4203140000000001E-2</v>
      </c>
      <c r="X4489">
        <v>0.98948930000000002</v>
      </c>
      <c r="Y4489">
        <v>-0.37617869999999998</v>
      </c>
      <c r="Z4489">
        <v>3.1119150000000002E-2</v>
      </c>
      <c r="AA4489">
        <v>0.92602439999999997</v>
      </c>
      <c r="AB4489">
        <v>20</v>
      </c>
      <c r="AC4489">
        <v>17.188899999999901</v>
      </c>
      <c r="AD4489">
        <v>-1.104829312009</v>
      </c>
      <c r="AE4489">
        <v>1.3916500000000001</v>
      </c>
      <c r="AF4489">
        <v>-6.5545415611004296</v>
      </c>
      <c r="AG4489">
        <v>-1.104829312009</v>
      </c>
      <c r="AH4489">
        <v>15.8747160834145</v>
      </c>
      <c r="AI4489">
        <v>93.680712612553094</v>
      </c>
      <c r="AJ4489">
        <v>112.43533351891899</v>
      </c>
      <c r="AK4489">
        <v>17.210150307707501</v>
      </c>
    </row>
    <row r="4490" spans="1:37" x14ac:dyDescent="0.2">
      <c r="A4490" t="str">
        <f>"20200111160302802"</f>
        <v>20200111160302802</v>
      </c>
      <c r="B4490" t="str">
        <f>"1578729782797252"</f>
        <v>1578729782797252</v>
      </c>
      <c r="C4490" t="s">
        <v>37</v>
      </c>
      <c r="D4490">
        <v>4.9853709999999998</v>
      </c>
      <c r="E4490">
        <v>0.4072287</v>
      </c>
      <c r="F4490" t="s">
        <v>85</v>
      </c>
      <c r="G4490">
        <v>-381.14980000000003</v>
      </c>
      <c r="H4490" s="1">
        <v>-4.3069140000000002E-6</v>
      </c>
      <c r="I4490">
        <v>20.078399999999998</v>
      </c>
      <c r="J4490">
        <v>-397.94400000000002</v>
      </c>
      <c r="K4490">
        <v>1.104927</v>
      </c>
      <c r="L4490">
        <v>18.593810000000001</v>
      </c>
      <c r="M4490">
        <v>0.95412640000000004</v>
      </c>
      <c r="N4490">
        <v>0</v>
      </c>
      <c r="O4490">
        <v>-0.29939670000000002</v>
      </c>
      <c r="P4490">
        <v>0.9864579</v>
      </c>
      <c r="Q4490">
        <v>-2.6271280000000001E-2</v>
      </c>
      <c r="R4490">
        <v>-0.16189819999999999</v>
      </c>
      <c r="S4490">
        <v>3.079834</v>
      </c>
      <c r="T4490">
        <v>-0.1979091</v>
      </c>
      <c r="U4490">
        <v>0.244506799999999</v>
      </c>
      <c r="V4490">
        <v>-0.14075969999999999</v>
      </c>
      <c r="W4490">
        <v>-2.4774419999999998E-2</v>
      </c>
      <c r="X4490">
        <v>0.9897338</v>
      </c>
      <c r="Y4490">
        <v>-0.37259740000000002</v>
      </c>
      <c r="Z4490">
        <v>3.0961410000000002E-2</v>
      </c>
      <c r="AA4490">
        <v>0.92747649999999904</v>
      </c>
      <c r="AB4490">
        <v>21</v>
      </c>
      <c r="AC4490">
        <v>16.794199999999901</v>
      </c>
      <c r="AD4490">
        <v>-1.1049313069140001</v>
      </c>
      <c r="AE4490">
        <v>1.4845899999999901</v>
      </c>
      <c r="AF4490">
        <v>-6.4170670193619204</v>
      </c>
      <c r="AG4490">
        <v>-1.1049313069140001</v>
      </c>
      <c r="AH4490">
        <v>15.5127143734114</v>
      </c>
      <c r="AI4490">
        <v>93.765682464243298</v>
      </c>
      <c r="AJ4490">
        <v>112.47316743982201</v>
      </c>
      <c r="AK4490">
        <v>16.8239094610922</v>
      </c>
    </row>
    <row r="4491" spans="1:37" x14ac:dyDescent="0.2">
      <c r="A4491" t="str">
        <f>"20200111160302823"</f>
        <v>20200111160302823</v>
      </c>
      <c r="B4491" t="str">
        <f>"1578729782817746"</f>
        <v>1578729782817746</v>
      </c>
      <c r="C4491" t="s">
        <v>37</v>
      </c>
      <c r="D4491">
        <v>4.9945040000000001</v>
      </c>
      <c r="E4491">
        <v>0.40679529999999903</v>
      </c>
      <c r="F4491" t="s">
        <v>85</v>
      </c>
      <c r="G4491">
        <v>-381.61860000000001</v>
      </c>
      <c r="H4491" s="1">
        <v>-4.0456729999999902E-6</v>
      </c>
      <c r="I4491">
        <v>19.929310000000001</v>
      </c>
      <c r="J4491">
        <v>-397.74149999999997</v>
      </c>
      <c r="K4491">
        <v>1.105003</v>
      </c>
      <c r="L4491">
        <v>18.53424</v>
      </c>
      <c r="M4491">
        <v>0.95516869999999998</v>
      </c>
      <c r="N4491">
        <v>0</v>
      </c>
      <c r="O4491">
        <v>-0.29605419999999999</v>
      </c>
      <c r="P4491">
        <v>0.98671919999999902</v>
      </c>
      <c r="Q4491">
        <v>-2.519567E-2</v>
      </c>
      <c r="R4491">
        <v>-0.1604701</v>
      </c>
      <c r="S4491">
        <v>3.07693499999999</v>
      </c>
      <c r="T4491">
        <v>-0.2082514</v>
      </c>
      <c r="U4491">
        <v>0.25170900000000002</v>
      </c>
      <c r="V4491">
        <v>-0.13873569999999999</v>
      </c>
      <c r="W4491">
        <v>-2.3661749999999999E-2</v>
      </c>
      <c r="X4491">
        <v>0.99004669999999895</v>
      </c>
      <c r="Y4491">
        <v>-0.37143609999999999</v>
      </c>
      <c r="Z4491">
        <v>3.2347050000000002E-2</v>
      </c>
      <c r="AA4491">
        <v>0.92789480000000002</v>
      </c>
      <c r="AB4491">
        <v>21</v>
      </c>
      <c r="AC4491">
        <v>16.122899999999898</v>
      </c>
      <c r="AD4491">
        <v>-1.1050070456729999</v>
      </c>
      <c r="AE4491">
        <v>1.39507</v>
      </c>
      <c r="AF4491">
        <v>-6.0774584981001603</v>
      </c>
      <c r="AG4491">
        <v>-1.1050070456729999</v>
      </c>
      <c r="AH4491">
        <v>14.9175572717976</v>
      </c>
      <c r="AI4491">
        <v>93.924325839509095</v>
      </c>
      <c r="AJ4491">
        <v>112.166132250866</v>
      </c>
      <c r="AK4491">
        <v>16.1458990869038</v>
      </c>
    </row>
    <row r="4492" spans="1:37" x14ac:dyDescent="0.2">
      <c r="A4492" t="str">
        <f>"20200111160302847"</f>
        <v>20200111160302847</v>
      </c>
      <c r="B4492" t="str">
        <f>"1578729782837267"</f>
        <v>1578729782837267</v>
      </c>
      <c r="C4492" t="s">
        <v>37</v>
      </c>
      <c r="D4492">
        <v>5.0197279999999997</v>
      </c>
      <c r="E4492">
        <v>0.4062692</v>
      </c>
      <c r="F4492" t="s">
        <v>85</v>
      </c>
      <c r="G4492">
        <v>-380.73820000000001</v>
      </c>
      <c r="H4492" s="1">
        <v>-4.4720099999999902E-6</v>
      </c>
      <c r="I4492">
        <v>19.96763</v>
      </c>
      <c r="J4492">
        <v>-397.53489999999999</v>
      </c>
      <c r="K4492">
        <v>1.1051010000000001</v>
      </c>
      <c r="L4492">
        <v>18.47437</v>
      </c>
      <c r="M4492">
        <v>0.95624589999999998</v>
      </c>
      <c r="N4492">
        <v>0</v>
      </c>
      <c r="O4492">
        <v>-0.29255549999999902</v>
      </c>
      <c r="P4492">
        <v>0.9869597</v>
      </c>
      <c r="Q4492">
        <v>-2.4017299999999998E-2</v>
      </c>
      <c r="R4492">
        <v>-0.15916649999999999</v>
      </c>
      <c r="S4492">
        <v>3.077423</v>
      </c>
      <c r="T4492">
        <v>-0.19999610000000001</v>
      </c>
      <c r="U4492">
        <v>0.25942989999999999</v>
      </c>
      <c r="V4492">
        <v>-0.13642870000000001</v>
      </c>
      <c r="W4492">
        <v>-2.2443660000000001E-2</v>
      </c>
      <c r="X4492">
        <v>0.99039560000000004</v>
      </c>
      <c r="Y4492">
        <v>-0.37046630000000003</v>
      </c>
      <c r="Z4492">
        <v>3.0809590000000001E-2</v>
      </c>
      <c r="AA4492">
        <v>0.92833480000000002</v>
      </c>
      <c r="AB4492">
        <v>21</v>
      </c>
      <c r="AC4492">
        <v>16.796699999999898</v>
      </c>
      <c r="AD4492">
        <v>-1.10510547201</v>
      </c>
      <c r="AE4492">
        <v>1.49325999999999</v>
      </c>
      <c r="AF4492">
        <v>-6.3147861647563097</v>
      </c>
      <c r="AG4492">
        <v>-1.10510547201</v>
      </c>
      <c r="AH4492">
        <v>15.5581348904631</v>
      </c>
      <c r="AI4492">
        <v>93.765548098175699</v>
      </c>
      <c r="AJ4492">
        <v>112.09140894128799</v>
      </c>
      <c r="AK4492">
        <v>16.827160891864999</v>
      </c>
    </row>
    <row r="4493" spans="1:37" x14ac:dyDescent="0.2">
      <c r="A4493" t="str">
        <f>"20200111160302868"</f>
        <v>20200111160302868</v>
      </c>
      <c r="B4493" t="str">
        <f>"1578729782857762"</f>
        <v>1578729782857762</v>
      </c>
      <c r="C4493" t="s">
        <v>37</v>
      </c>
      <c r="D4493">
        <v>5.0637230000000004</v>
      </c>
      <c r="E4493">
        <v>0.4064567</v>
      </c>
      <c r="F4493" t="s">
        <v>86</v>
      </c>
      <c r="G4493">
        <v>-379.54579999999999</v>
      </c>
      <c r="H4493" s="1">
        <v>-3.0719990000000001E-7</v>
      </c>
      <c r="I4493">
        <v>20.037389999999998</v>
      </c>
      <c r="J4493">
        <v>-397.33339999999998</v>
      </c>
      <c r="K4493">
        <v>1.1052059999999999</v>
      </c>
      <c r="L4493">
        <v>18.416929999999901</v>
      </c>
      <c r="M4493">
        <v>0.95731690000000003</v>
      </c>
      <c r="N4493">
        <v>0</v>
      </c>
      <c r="O4493">
        <v>-0.28903129999999999</v>
      </c>
      <c r="P4493">
        <v>0.98731610000000003</v>
      </c>
      <c r="Q4493">
        <v>-2.4074450000000001E-2</v>
      </c>
      <c r="R4493">
        <v>-0.15693280000000001</v>
      </c>
      <c r="S4493">
        <v>3.0781860000000001</v>
      </c>
      <c r="T4493">
        <v>-0.18909899999999999</v>
      </c>
      <c r="U4493">
        <v>0.26745609999999997</v>
      </c>
      <c r="V4493">
        <v>-0.13501559999999899</v>
      </c>
      <c r="W4493">
        <v>-2.2465180000000001E-2</v>
      </c>
      <c r="X4493">
        <v>0.99058880000000005</v>
      </c>
      <c r="Y4493">
        <v>-0.36958579999999902</v>
      </c>
      <c r="Z4493">
        <v>2.8888580000000001E-2</v>
      </c>
      <c r="AA4493">
        <v>0.9287474</v>
      </c>
      <c r="AB4493">
        <v>21</v>
      </c>
      <c r="AC4493">
        <v>17.787599999999902</v>
      </c>
      <c r="AD4493">
        <v>-1.1052063071998901</v>
      </c>
      <c r="AE4493">
        <v>1.62046</v>
      </c>
      <c r="AF4493">
        <v>-6.6669580587414501</v>
      </c>
      <c r="AG4493">
        <v>-1.1052063071998901</v>
      </c>
      <c r="AH4493">
        <v>16.496886729955101</v>
      </c>
      <c r="AI4493">
        <v>93.554315310360096</v>
      </c>
      <c r="AJ4493">
        <v>112.005323902242</v>
      </c>
      <c r="AK4493">
        <v>17.8274250109056</v>
      </c>
    </row>
    <row r="4494" spans="1:37" x14ac:dyDescent="0.2">
      <c r="A4494" t="str">
        <f>"20200111160302888"</f>
        <v>20200111160302888</v>
      </c>
      <c r="B4494" t="str">
        <f>"1578729782877282"</f>
        <v>1578729782877282</v>
      </c>
      <c r="C4494" t="s">
        <v>37</v>
      </c>
      <c r="D4494">
        <v>5.6239480000000004</v>
      </c>
      <c r="E4494">
        <v>0.40630549999999999</v>
      </c>
      <c r="F4494" t="s">
        <v>86</v>
      </c>
      <c r="G4494">
        <v>-379.42430000000002</v>
      </c>
      <c r="H4494" s="1">
        <v>-3.562916E-7</v>
      </c>
      <c r="I4494">
        <v>20.005960000000002</v>
      </c>
      <c r="J4494">
        <v>-397.13979999999998</v>
      </c>
      <c r="K4494">
        <v>1.1053280000000001</v>
      </c>
      <c r="L4494">
        <v>18.362579999999902</v>
      </c>
      <c r="M4494">
        <v>0.95837090000000003</v>
      </c>
      <c r="N4494">
        <v>0</v>
      </c>
      <c r="O4494">
        <v>-0.2855164</v>
      </c>
      <c r="P4494">
        <v>0.98776249999999999</v>
      </c>
      <c r="Q4494">
        <v>-2.5068630000000001E-2</v>
      </c>
      <c r="R4494">
        <v>-0.15393760000000001</v>
      </c>
      <c r="S4494">
        <v>3.0773009999999998</v>
      </c>
      <c r="T4494">
        <v>-0.18990609999999999</v>
      </c>
      <c r="U4494">
        <v>0.27304079999999997</v>
      </c>
      <c r="V4494">
        <v>-0.1343654</v>
      </c>
      <c r="W4494">
        <v>-2.3427880000000002E-2</v>
      </c>
      <c r="X4494">
        <v>0.9906549</v>
      </c>
      <c r="Y4494">
        <v>-0.36787140000000002</v>
      </c>
      <c r="Z4494">
        <v>2.8755639999999999E-2</v>
      </c>
      <c r="AA4494">
        <v>0.92943199999999904</v>
      </c>
      <c r="AB4494">
        <v>21</v>
      </c>
      <c r="AC4494">
        <v>17.715499999999899</v>
      </c>
      <c r="AD4494">
        <v>-1.1053283562916001</v>
      </c>
      <c r="AE4494">
        <v>1.6433800000000001</v>
      </c>
      <c r="AF4494">
        <v>-6.6075487246848903</v>
      </c>
      <c r="AG4494">
        <v>-1.1053283562916001</v>
      </c>
      <c r="AH4494">
        <v>16.445379616389499</v>
      </c>
      <c r="AI4494">
        <v>93.568706172636297</v>
      </c>
      <c r="AJ4494">
        <v>111.889647148751</v>
      </c>
      <c r="AK4494">
        <v>17.757588846785101</v>
      </c>
    </row>
    <row r="4495" spans="1:37" x14ac:dyDescent="0.2">
      <c r="A4495" t="str">
        <f>"20200111160302912"</f>
        <v>20200111160302912</v>
      </c>
      <c r="B4495" t="str">
        <f>"1578729782907538"</f>
        <v>1578729782907538</v>
      </c>
      <c r="C4495" t="s">
        <v>37</v>
      </c>
      <c r="D4495">
        <v>5.1021739999999998</v>
      </c>
      <c r="E4495">
        <v>0.4066708</v>
      </c>
      <c r="F4495" t="s">
        <v>85</v>
      </c>
      <c r="G4495">
        <v>-380.08179999999999</v>
      </c>
      <c r="H4495" s="1">
        <v>-4.753113E-6</v>
      </c>
      <c r="I4495">
        <v>19.93779</v>
      </c>
      <c r="J4495">
        <v>-396.9264</v>
      </c>
      <c r="K4495">
        <v>1.105475</v>
      </c>
      <c r="L4495">
        <v>18.303829999999898</v>
      </c>
      <c r="M4495">
        <v>0.95956589999999997</v>
      </c>
      <c r="N4495">
        <v>0</v>
      </c>
      <c r="O4495">
        <v>-0.28147339999999998</v>
      </c>
      <c r="P4495">
        <v>0.98838749999999997</v>
      </c>
      <c r="Q4495">
        <v>-2.6582649999999999E-2</v>
      </c>
      <c r="R4495">
        <v>-0.1496131</v>
      </c>
      <c r="S4495">
        <v>3.0763849999999899</v>
      </c>
      <c r="T4495">
        <v>-0.1993453</v>
      </c>
      <c r="U4495">
        <v>0.28408810000000001</v>
      </c>
      <c r="V4495">
        <v>-0.13449710000000001</v>
      </c>
      <c r="W4495">
        <v>-2.491254E-2</v>
      </c>
      <c r="X4495">
        <v>0.99060079999999995</v>
      </c>
      <c r="Y4495">
        <v>-0.3671719</v>
      </c>
      <c r="Z4495">
        <v>2.9911440000000001E-2</v>
      </c>
      <c r="AA4495">
        <v>0.9296721</v>
      </c>
      <c r="AB4495">
        <v>22</v>
      </c>
      <c r="AC4495">
        <v>16.8446</v>
      </c>
      <c r="AD4495">
        <v>-1.1054797531129901</v>
      </c>
      <c r="AE4495">
        <v>1.6339600000000001</v>
      </c>
      <c r="AF4495">
        <v>-6.2824116411376902</v>
      </c>
      <c r="AG4495">
        <v>-1.1054797531129901</v>
      </c>
      <c r="AH4495">
        <v>15.6369134575801</v>
      </c>
      <c r="AI4495">
        <v>93.753240394071199</v>
      </c>
      <c r="AJ4495">
        <v>111.888683498538</v>
      </c>
      <c r="AK4495">
        <v>16.887979275007801</v>
      </c>
    </row>
    <row r="4496" spans="1:37" x14ac:dyDescent="0.2">
      <c r="A4496" t="str">
        <f>"20200111160302934"</f>
        <v>20200111160302934</v>
      </c>
      <c r="B4496" t="str">
        <f>"1578729782927059"</f>
        <v>1578729782927059</v>
      </c>
      <c r="C4496" t="s">
        <v>37</v>
      </c>
      <c r="D4496">
        <v>5.1120330000000003</v>
      </c>
      <c r="E4496">
        <v>0.40685450000000001</v>
      </c>
      <c r="F4496" t="s">
        <v>86</v>
      </c>
      <c r="G4496">
        <v>-379.84589999999997</v>
      </c>
      <c r="H4496" s="1">
        <v>-1.3994120000000001E-7</v>
      </c>
      <c r="I4496">
        <v>19.941929999999999</v>
      </c>
      <c r="J4496">
        <v>-396.71069999999997</v>
      </c>
      <c r="K4496">
        <v>1.1056280000000001</v>
      </c>
      <c r="L4496">
        <v>18.245609999999999</v>
      </c>
      <c r="M4496">
        <v>0.96080529999999997</v>
      </c>
      <c r="N4496">
        <v>0</v>
      </c>
      <c r="O4496">
        <v>-0.27721230000000002</v>
      </c>
      <c r="P4496">
        <v>0.9889985</v>
      </c>
      <c r="Q4496">
        <v>-2.8532599999999901E-2</v>
      </c>
      <c r="R4496">
        <v>-0.14514939999999901</v>
      </c>
      <c r="S4496">
        <v>3.0745239999999998</v>
      </c>
      <c r="T4496">
        <v>-0.19898840000000001</v>
      </c>
      <c r="U4496">
        <v>0.29486079999999998</v>
      </c>
      <c r="V4496">
        <v>-0.1345372</v>
      </c>
      <c r="W4496">
        <v>-2.6832709999999999E-2</v>
      </c>
      <c r="X4496">
        <v>0.99054519999999902</v>
      </c>
      <c r="Y4496">
        <v>-0.36634040000000001</v>
      </c>
      <c r="Z4496">
        <v>2.9578460000000001E-2</v>
      </c>
      <c r="AA4496">
        <v>0.93001069999999997</v>
      </c>
      <c r="AB4496">
        <v>22</v>
      </c>
      <c r="AC4496">
        <v>16.864799999999999</v>
      </c>
      <c r="AD4496">
        <v>-1.1056281399412</v>
      </c>
      <c r="AE4496">
        <v>1.6963200000000001</v>
      </c>
      <c r="AF4496">
        <v>-6.2782706963997601</v>
      </c>
      <c r="AG4496">
        <v>-1.1056281399412</v>
      </c>
      <c r="AH4496">
        <v>15.666939266430299</v>
      </c>
      <c r="AI4496">
        <v>93.747904858024</v>
      </c>
      <c r="AJ4496">
        <v>111.83764038887701</v>
      </c>
      <c r="AK4496">
        <v>16.914256782345401</v>
      </c>
    </row>
    <row r="4497" spans="1:37" x14ac:dyDescent="0.2">
      <c r="A4497" t="str">
        <f>"20200111160303080"</f>
        <v>20200111160303080</v>
      </c>
      <c r="B4497" t="str">
        <f>"1578729783077363"</f>
        <v>1578729783077363</v>
      </c>
      <c r="C4497" t="s">
        <v>37</v>
      </c>
      <c r="D4497">
        <v>5.2133320000000003</v>
      </c>
      <c r="E4497">
        <v>0.40738340000000001</v>
      </c>
      <c r="F4497" t="s">
        <v>86</v>
      </c>
      <c r="G4497">
        <v>-379.86959999999999</v>
      </c>
      <c r="H4497" s="1">
        <v>-1.25601399999999E-7</v>
      </c>
      <c r="I4497">
        <v>19.930129999999998</v>
      </c>
      <c r="J4497">
        <v>-395.3005</v>
      </c>
      <c r="K4497">
        <v>1.106576</v>
      </c>
      <c r="L4497">
        <v>17.895900000000001</v>
      </c>
      <c r="M4497">
        <v>0.96937359999999995</v>
      </c>
      <c r="N4497">
        <v>0</v>
      </c>
      <c r="O4497">
        <v>-0.24557100000000001</v>
      </c>
      <c r="P4497">
        <v>0.9927494</v>
      </c>
      <c r="Q4497">
        <v>-2.1685699999999999E-2</v>
      </c>
      <c r="R4497">
        <v>-0.1182303</v>
      </c>
      <c r="S4497">
        <v>3.0726619999999998</v>
      </c>
      <c r="T4497">
        <v>-0.2017227</v>
      </c>
      <c r="U4497">
        <v>0.30734250000000002</v>
      </c>
      <c r="V4497">
        <v>-0.12901989999999999</v>
      </c>
      <c r="W4497">
        <v>-1.968876E-2</v>
      </c>
      <c r="X4497">
        <v>0.99144659999999996</v>
      </c>
      <c r="Y4497">
        <v>-0.33958649999999901</v>
      </c>
      <c r="Z4497">
        <v>2.709659E-2</v>
      </c>
      <c r="AA4497">
        <v>0.94018440000000003</v>
      </c>
      <c r="AB4497">
        <v>23</v>
      </c>
      <c r="AC4497">
        <v>15.430899999999999</v>
      </c>
      <c r="AD4497">
        <v>-1.10657612560139</v>
      </c>
      <c r="AE4497">
        <v>2.0342299999999902</v>
      </c>
      <c r="AF4497">
        <v>-5.7323628555127897</v>
      </c>
      <c r="AG4497">
        <v>-1.10657612560139</v>
      </c>
      <c r="AH4497">
        <v>14.3861115483831</v>
      </c>
      <c r="AI4497">
        <v>94.087177751071295</v>
      </c>
      <c r="AJ4497">
        <v>111.725554409141</v>
      </c>
      <c r="AK4497">
        <v>15.5256143231608</v>
      </c>
    </row>
    <row r="4498" spans="1:37" x14ac:dyDescent="0.2">
      <c r="A4498" t="str">
        <f>"20200111160303102"</f>
        <v>20200111160303102</v>
      </c>
      <c r="B4498" t="str">
        <f>"1578729783097859"</f>
        <v>1578729783097859</v>
      </c>
      <c r="C4498" t="s">
        <v>37</v>
      </c>
      <c r="D4498">
        <v>5.2404449999999896</v>
      </c>
      <c r="E4498">
        <v>0.40775070000000002</v>
      </c>
      <c r="F4498" t="s">
        <v>86</v>
      </c>
      <c r="G4498">
        <v>-376.5059</v>
      </c>
      <c r="H4498" s="1">
        <v>-1.8054210000000001E-6</v>
      </c>
      <c r="I4498">
        <v>20.26746</v>
      </c>
      <c r="J4498">
        <v>-395.06959999999998</v>
      </c>
      <c r="K4498">
        <v>1.106738</v>
      </c>
      <c r="L4498">
        <v>17.844059999999999</v>
      </c>
      <c r="M4498">
        <v>0.97082019999999902</v>
      </c>
      <c r="N4498">
        <v>0</v>
      </c>
      <c r="O4498">
        <v>-0.23978749999999999</v>
      </c>
      <c r="P4498">
        <v>0.99320679999999995</v>
      </c>
      <c r="Q4498">
        <v>-1.9028349999999999E-2</v>
      </c>
      <c r="R4498">
        <v>-0.1147982</v>
      </c>
      <c r="S4498">
        <v>3.0640259999999899</v>
      </c>
      <c r="T4498">
        <v>-0.18040139999999999</v>
      </c>
      <c r="U4498">
        <v>0.3866272</v>
      </c>
      <c r="V4498">
        <v>-0.1265666</v>
      </c>
      <c r="W4498">
        <v>-1.695263E-2</v>
      </c>
      <c r="X4498">
        <v>0.99181319999999995</v>
      </c>
      <c r="Y4498">
        <v>-0.35841849999999997</v>
      </c>
      <c r="Z4498">
        <v>2.450022E-2</v>
      </c>
      <c r="AA4498">
        <v>0.9332395</v>
      </c>
      <c r="AB4498">
        <v>23</v>
      </c>
      <c r="AC4498">
        <v>18.563699999999901</v>
      </c>
      <c r="AD4498">
        <v>-1.106739805421</v>
      </c>
      <c r="AE4498">
        <v>2.4234</v>
      </c>
      <c r="AF4498">
        <v>-6.7803671587724699</v>
      </c>
      <c r="AG4498">
        <v>-1.106739805421</v>
      </c>
      <c r="AH4498">
        <v>17.380261302658798</v>
      </c>
      <c r="AI4498">
        <v>93.395006494603905</v>
      </c>
      <c r="AJ4498">
        <v>111.31169285565601</v>
      </c>
      <c r="AK4498">
        <v>18.688813091081101</v>
      </c>
    </row>
    <row r="4499" spans="1:37" x14ac:dyDescent="0.2">
      <c r="A4499" t="str">
        <f>"20200111160303127"</f>
        <v>20200111160303127</v>
      </c>
      <c r="B4499" t="str">
        <f>"1578729783117378"</f>
        <v>1578729783117378</v>
      </c>
      <c r="C4499" t="s">
        <v>37</v>
      </c>
      <c r="D4499">
        <v>5.2374019999999897</v>
      </c>
      <c r="E4499">
        <v>0.40826829999999997</v>
      </c>
      <c r="F4499" t="s">
        <v>86</v>
      </c>
      <c r="G4499">
        <v>-375.29289999999997</v>
      </c>
      <c r="H4499" s="1">
        <v>-2.4112190000000002E-6</v>
      </c>
      <c r="I4499">
        <v>20.389389999999999</v>
      </c>
      <c r="J4499">
        <v>-394.83019999999999</v>
      </c>
      <c r="K4499">
        <v>1.1069059999999999</v>
      </c>
      <c r="L4499">
        <v>17.791989999999998</v>
      </c>
      <c r="M4499">
        <v>0.9723214</v>
      </c>
      <c r="N4499">
        <v>0</v>
      </c>
      <c r="O4499">
        <v>-0.23362339999999901</v>
      </c>
      <c r="P4499">
        <v>0.99358880000000005</v>
      </c>
      <c r="Q4499">
        <v>-1.7222910000000001E-2</v>
      </c>
      <c r="R4499">
        <v>-0.11173379999999999</v>
      </c>
      <c r="S4499">
        <v>3.062805</v>
      </c>
      <c r="T4499">
        <v>-0.17140079999999999</v>
      </c>
      <c r="U4499">
        <v>0.39419559999999998</v>
      </c>
      <c r="V4499">
        <v>-0.1233523</v>
      </c>
      <c r="W4499">
        <v>-1.5048219999999999E-2</v>
      </c>
      <c r="X4499">
        <v>0.99224880000000004</v>
      </c>
      <c r="Y4499">
        <v>-0.35492439999999997</v>
      </c>
      <c r="Z4499">
        <v>2.2850760000000001E-2</v>
      </c>
      <c r="AA4499">
        <v>0.93461569999999905</v>
      </c>
      <c r="AB4499">
        <v>23</v>
      </c>
      <c r="AC4499">
        <v>19.537299999999998</v>
      </c>
      <c r="AD4499">
        <v>-1.106908411219</v>
      </c>
      <c r="AE4499">
        <v>2.5973999999999999</v>
      </c>
      <c r="AF4499">
        <v>-7.0676252627325598</v>
      </c>
      <c r="AG4499">
        <v>-1.106908411219</v>
      </c>
      <c r="AH4499">
        <v>18.332002184116501</v>
      </c>
      <c r="AI4499">
        <v>93.224587248324298</v>
      </c>
      <c r="AJ4499">
        <v>111.08338829342</v>
      </c>
      <c r="AK4499">
        <v>19.678386040620701</v>
      </c>
    </row>
    <row r="4500" spans="1:37" x14ac:dyDescent="0.2">
      <c r="A4500" t="str">
        <f>"20200111160303149"</f>
        <v>20200111160303149</v>
      </c>
      <c r="B4500" t="str">
        <f>"1578729783137874"</f>
        <v>1578729783137874</v>
      </c>
      <c r="C4500" t="s">
        <v>37</v>
      </c>
      <c r="D4500">
        <v>5.2631030000000001</v>
      </c>
      <c r="E4500">
        <v>0.4083852</v>
      </c>
      <c r="F4500" t="s">
        <v>86</v>
      </c>
      <c r="G4500">
        <v>-374.22160000000002</v>
      </c>
      <c r="H4500" s="1">
        <v>-2.9422109999999899E-6</v>
      </c>
      <c r="I4500">
        <v>20.48171</v>
      </c>
      <c r="J4500">
        <v>-394.59719999999999</v>
      </c>
      <c r="K4500">
        <v>1.1070759999999999</v>
      </c>
      <c r="L4500">
        <v>17.743010000000002</v>
      </c>
      <c r="M4500">
        <v>0.97377999999999998</v>
      </c>
      <c r="N4500">
        <v>0</v>
      </c>
      <c r="O4500">
        <v>-0.2274659</v>
      </c>
      <c r="P4500">
        <v>0.99395659999999897</v>
      </c>
      <c r="Q4500">
        <v>-1.581718E-2</v>
      </c>
      <c r="R4500">
        <v>-0.108630399999999</v>
      </c>
      <c r="S4500">
        <v>3.0614619999999899</v>
      </c>
      <c r="T4500">
        <v>-0.16443469999999999</v>
      </c>
      <c r="U4500">
        <v>0.3995667</v>
      </c>
      <c r="V4500">
        <v>-0.1201866</v>
      </c>
      <c r="W4500">
        <v>-1.3533969999999999E-2</v>
      </c>
      <c r="X4500">
        <v>0.99265899999999996</v>
      </c>
      <c r="Y4500">
        <v>-0.35075770000000001</v>
      </c>
      <c r="Z4500">
        <v>2.149508E-2</v>
      </c>
      <c r="AA4500">
        <v>0.93621949999999998</v>
      </c>
      <c r="AB4500">
        <v>23</v>
      </c>
      <c r="AC4500">
        <v>20.375599999999899</v>
      </c>
      <c r="AD4500">
        <v>-1.1070789422109999</v>
      </c>
      <c r="AE4500">
        <v>2.7386999999999899</v>
      </c>
      <c r="AF4500">
        <v>-7.2805766294488103</v>
      </c>
      <c r="AG4500">
        <v>-1.1070789422109999</v>
      </c>
      <c r="AH4500">
        <v>19.162936370823701</v>
      </c>
      <c r="AI4500">
        <v>93.091282039736896</v>
      </c>
      <c r="AJ4500">
        <v>110.803292080924</v>
      </c>
      <c r="AK4500">
        <v>20.529260829211601</v>
      </c>
    </row>
    <row r="4501" spans="1:37" x14ac:dyDescent="0.2">
      <c r="A4501" t="str">
        <f>"20200111160303171"</f>
        <v>20200111160303171</v>
      </c>
      <c r="B4501" t="str">
        <f>"1578729783167155"</f>
        <v>1578729783167155</v>
      </c>
      <c r="C4501" t="s">
        <v>37</v>
      </c>
      <c r="D4501">
        <v>5.2584530000000003</v>
      </c>
      <c r="E4501">
        <v>0.40860580000000002</v>
      </c>
      <c r="F4501" t="s">
        <v>86</v>
      </c>
      <c r="G4501">
        <v>-373.42500000000001</v>
      </c>
      <c r="H4501" s="1">
        <v>-3.3415990000000001E-6</v>
      </c>
      <c r="I4501">
        <v>20.567489999999999</v>
      </c>
      <c r="J4501">
        <v>-394.3793</v>
      </c>
      <c r="K4501">
        <v>1.1072309999999901</v>
      </c>
      <c r="L4501">
        <v>17.69885</v>
      </c>
      <c r="M4501">
        <v>0.97514149999999999</v>
      </c>
      <c r="N4501">
        <v>0</v>
      </c>
      <c r="O4501">
        <v>-0.221554</v>
      </c>
      <c r="P4501">
        <v>0.9942995</v>
      </c>
      <c r="Q4501">
        <v>-1.463211E-2</v>
      </c>
      <c r="R4501">
        <v>-0.10561469999999901</v>
      </c>
      <c r="S4501">
        <v>3.060333</v>
      </c>
      <c r="T4501">
        <v>-0.16002239999999901</v>
      </c>
      <c r="U4501">
        <v>0.40826420000000002</v>
      </c>
      <c r="V4501">
        <v>-0.1171876</v>
      </c>
      <c r="W4501">
        <v>-1.223316E-2</v>
      </c>
      <c r="X4501">
        <v>0.99303449999999904</v>
      </c>
      <c r="Y4501">
        <v>-0.34779099999999902</v>
      </c>
      <c r="Z4501">
        <v>2.0542870000000001E-2</v>
      </c>
      <c r="AA4501">
        <v>0.93734699999999904</v>
      </c>
      <c r="AB4501">
        <v>23</v>
      </c>
      <c r="AC4501">
        <v>20.9542999999999</v>
      </c>
      <c r="AD4501">
        <v>-1.10723434159899</v>
      </c>
      <c r="AE4501">
        <v>2.8686399999999899</v>
      </c>
      <c r="AF4501">
        <v>-7.4195517029452702</v>
      </c>
      <c r="AG4501">
        <v>-1.10723434159899</v>
      </c>
      <c r="AH4501">
        <v>19.743863456296701</v>
      </c>
      <c r="AI4501">
        <v>93.005018892645296</v>
      </c>
      <c r="AJ4501">
        <v>110.595731484976</v>
      </c>
      <c r="AK4501">
        <v>21.1209815004128</v>
      </c>
    </row>
    <row r="4502" spans="1:37" x14ac:dyDescent="0.2">
      <c r="A4502" t="str">
        <f>"20200111160303269"</f>
        <v>20200111160303269</v>
      </c>
      <c r="B4502" t="str">
        <f>"1578729783257922"</f>
        <v>1578729783257922</v>
      </c>
      <c r="C4502" t="s">
        <v>37</v>
      </c>
      <c r="D4502">
        <v>5.391038</v>
      </c>
      <c r="E4502">
        <v>0.40817890000000001</v>
      </c>
      <c r="F4502" t="s">
        <v>86</v>
      </c>
      <c r="G4502">
        <v>-373.12180000000001</v>
      </c>
      <c r="H4502" s="1">
        <v>-3.4908199999999998E-6</v>
      </c>
      <c r="I4502">
        <v>20.589590000000001</v>
      </c>
      <c r="J4502">
        <v>-393.3503</v>
      </c>
      <c r="K4502">
        <v>1.1078219999999901</v>
      </c>
      <c r="L4502">
        <v>17.51071</v>
      </c>
      <c r="M4502">
        <v>0.9813539</v>
      </c>
      <c r="N4502">
        <v>0</v>
      </c>
      <c r="O4502">
        <v>-0.19216340000000001</v>
      </c>
      <c r="P4502">
        <v>0.99611090000000002</v>
      </c>
      <c r="Q4502">
        <v>-1.312259E-2</v>
      </c>
      <c r="R4502">
        <v>-8.712599E-2</v>
      </c>
      <c r="S4502">
        <v>3.059021</v>
      </c>
      <c r="T4502">
        <v>-0.15933420000000001</v>
      </c>
      <c r="U4502">
        <v>0.415985099999999</v>
      </c>
      <c r="V4502">
        <v>-0.10581019999999899</v>
      </c>
      <c r="W4502">
        <v>-1.0088140000000001E-2</v>
      </c>
      <c r="X4502">
        <v>0.99433519999999898</v>
      </c>
      <c r="Y4502">
        <v>-0.3219611</v>
      </c>
      <c r="Z4502">
        <v>1.828339E-2</v>
      </c>
      <c r="AA4502">
        <v>0.94657639999999998</v>
      </c>
      <c r="AB4502">
        <v>24</v>
      </c>
      <c r="AC4502">
        <v>20.2285</v>
      </c>
      <c r="AD4502">
        <v>-1.10782549081999</v>
      </c>
      <c r="AE4502">
        <v>3.0788799999999998</v>
      </c>
      <c r="AF4502">
        <v>-6.8885168304319198</v>
      </c>
      <c r="AG4502">
        <v>-1.10782549081999</v>
      </c>
      <c r="AH4502">
        <v>19.203547752665401</v>
      </c>
      <c r="AI4502">
        <v>93.108150803880605</v>
      </c>
      <c r="AJ4502">
        <v>109.733450146587</v>
      </c>
      <c r="AK4502">
        <v>20.431720136350599</v>
      </c>
    </row>
    <row r="4503" spans="1:37" x14ac:dyDescent="0.2">
      <c r="A4503" t="str">
        <f>"20200111160303292"</f>
        <v>20200111160303292</v>
      </c>
      <c r="B4503" t="str">
        <f>"1578729783287202"</f>
        <v>1578729783287202</v>
      </c>
      <c r="C4503" t="s">
        <v>37</v>
      </c>
      <c r="D4503">
        <v>5.3322209999999997</v>
      </c>
      <c r="E4503">
        <v>0.40794340000000001</v>
      </c>
      <c r="F4503" t="s">
        <v>86</v>
      </c>
      <c r="G4503">
        <v>-370.09129999999999</v>
      </c>
      <c r="H4503" s="1">
        <v>-4.9457619999999902E-6</v>
      </c>
      <c r="I4503">
        <v>21.135870000000001</v>
      </c>
      <c r="J4503">
        <v>-393.11270000000002</v>
      </c>
      <c r="K4503">
        <v>1.107944</v>
      </c>
      <c r="L4503">
        <v>17.472259999999999</v>
      </c>
      <c r="M4503">
        <v>0.9827169</v>
      </c>
      <c r="N4503">
        <v>0</v>
      </c>
      <c r="O4503">
        <v>-0.1850628</v>
      </c>
      <c r="P4503">
        <v>0.99665119999999896</v>
      </c>
      <c r="Q4503">
        <v>-1.370614E-2</v>
      </c>
      <c r="R4503">
        <v>-8.0613489999999996E-2</v>
      </c>
      <c r="S4503">
        <v>3.051361</v>
      </c>
      <c r="T4503">
        <v>-0.145336299999999</v>
      </c>
      <c r="U4503">
        <v>0.47558590000000001</v>
      </c>
      <c r="V4503">
        <v>-0.10511089999999999</v>
      </c>
      <c r="W4503">
        <v>-1.053306E-2</v>
      </c>
      <c r="X4503">
        <v>0.99440469999999903</v>
      </c>
      <c r="Y4503">
        <v>-0.33362120000000001</v>
      </c>
      <c r="Z4503">
        <v>1.6643390000000001E-2</v>
      </c>
      <c r="AA4503">
        <v>0.94256030000000002</v>
      </c>
      <c r="AB4503">
        <v>24</v>
      </c>
      <c r="AC4503">
        <v>23.0214</v>
      </c>
      <c r="AD4503">
        <v>-1.107948945762</v>
      </c>
      <c r="AE4503">
        <v>3.6636099999999998</v>
      </c>
      <c r="AF4503">
        <v>-7.8430545005041399</v>
      </c>
      <c r="AG4503">
        <v>-1.107948945762</v>
      </c>
      <c r="AH4503">
        <v>21.896268738103</v>
      </c>
      <c r="AI4503">
        <v>92.727291693968795</v>
      </c>
      <c r="AJ4503">
        <v>109.70708586782401</v>
      </c>
      <c r="AK4503">
        <v>23.2849230064332</v>
      </c>
    </row>
    <row r="4504" spans="1:37" x14ac:dyDescent="0.2">
      <c r="A4504" t="str">
        <f>"20200111160303315"</f>
        <v>20200111160303315</v>
      </c>
      <c r="B4504" t="str">
        <f>"1578729783307698"</f>
        <v>1578729783307698</v>
      </c>
      <c r="C4504" t="s">
        <v>37</v>
      </c>
      <c r="D4504">
        <v>5.2610979999999996</v>
      </c>
      <c r="E4504">
        <v>0.40770240000000002</v>
      </c>
      <c r="F4504" t="s">
        <v>87</v>
      </c>
      <c r="G4504">
        <v>-369.5369</v>
      </c>
      <c r="H4504" s="1">
        <v>-6.7189680000000001E-7</v>
      </c>
      <c r="I4504">
        <v>21.317070000000001</v>
      </c>
      <c r="J4504">
        <v>-392.86149999999998</v>
      </c>
      <c r="K4504">
        <v>1.1080649999999901</v>
      </c>
      <c r="L4504">
        <v>17.433589999999999</v>
      </c>
      <c r="M4504">
        <v>0.98411859999999995</v>
      </c>
      <c r="N4504">
        <v>0</v>
      </c>
      <c r="O4504">
        <v>-0.17745359999999999</v>
      </c>
      <c r="P4504">
        <v>0.99718899999999999</v>
      </c>
      <c r="Q4504">
        <v>-1.402403E-2</v>
      </c>
      <c r="R4504">
        <v>-7.3601970000000003E-2</v>
      </c>
      <c r="S4504">
        <v>3.04834</v>
      </c>
      <c r="T4504">
        <v>-0.14325650000000001</v>
      </c>
      <c r="U4504">
        <v>0.4971313</v>
      </c>
      <c r="V4504">
        <v>-0.1044051</v>
      </c>
      <c r="W4504">
        <v>-1.070511E-2</v>
      </c>
      <c r="X4504">
        <v>0.99447719999999995</v>
      </c>
      <c r="Y4504">
        <v>-0.33299229999999902</v>
      </c>
      <c r="Z4504">
        <v>1.6046049999999999E-2</v>
      </c>
      <c r="AA4504">
        <v>0.94279299999999999</v>
      </c>
      <c r="AB4504">
        <v>24</v>
      </c>
      <c r="AC4504">
        <v>23.324599999999901</v>
      </c>
      <c r="AD4504">
        <v>-1.1080656718967901</v>
      </c>
      <c r="AE4504">
        <v>3.88348</v>
      </c>
      <c r="AF4504">
        <v>-7.94347826400712</v>
      </c>
      <c r="AG4504">
        <v>-1.1080656718967901</v>
      </c>
      <c r="AH4504">
        <v>22.216479945496499</v>
      </c>
      <c r="AI4504">
        <v>92.688870637387595</v>
      </c>
      <c r="AJ4504">
        <v>109.67445489095201</v>
      </c>
      <c r="AK4504">
        <v>23.619878019004201</v>
      </c>
    </row>
    <row r="4505" spans="1:37" x14ac:dyDescent="0.2">
      <c r="A4505" t="str">
        <f>"20200111160303337"</f>
        <v>20200111160303337</v>
      </c>
      <c r="B4505" t="str">
        <f>"1578729783327233"</f>
        <v>1578729783327233</v>
      </c>
      <c r="C4505" t="s">
        <v>37</v>
      </c>
      <c r="D4505">
        <v>5.3083799999999997</v>
      </c>
      <c r="E4505">
        <v>0.40767419999999999</v>
      </c>
      <c r="F4505" t="s">
        <v>87</v>
      </c>
      <c r="G4505">
        <v>-368.99630000000002</v>
      </c>
      <c r="H4505" s="1">
        <v>-9.7885860000000002E-7</v>
      </c>
      <c r="I4505">
        <v>21.510400000000001</v>
      </c>
      <c r="J4505">
        <v>-392.61689999999999</v>
      </c>
      <c r="K4505">
        <v>1.1081749999999999</v>
      </c>
      <c r="L4505">
        <v>17.39789</v>
      </c>
      <c r="M4505">
        <v>0.98543769999999997</v>
      </c>
      <c r="N4505">
        <v>0</v>
      </c>
      <c r="O4505">
        <v>-0.16997200000000001</v>
      </c>
      <c r="P4505">
        <v>0.99766299999999997</v>
      </c>
      <c r="Q4505">
        <v>-1.4671740000000001E-2</v>
      </c>
      <c r="R4505">
        <v>-6.673374E-2</v>
      </c>
      <c r="S4505">
        <v>3.044861</v>
      </c>
      <c r="T4505">
        <v>-0.14137349999999901</v>
      </c>
      <c r="U4505">
        <v>0.52014159999999998</v>
      </c>
      <c r="V4505">
        <v>-0.1036884</v>
      </c>
      <c r="W4505">
        <v>-1.1214170000000001E-2</v>
      </c>
      <c r="X4505">
        <v>0.99454659999999995</v>
      </c>
      <c r="Y4505">
        <v>-0.33295439999999998</v>
      </c>
      <c r="Z4505">
        <v>1.5500679999999999E-2</v>
      </c>
      <c r="AA4505">
        <v>0.94281550000000003</v>
      </c>
      <c r="AB4505">
        <v>24</v>
      </c>
      <c r="AC4505">
        <v>23.6205999999999</v>
      </c>
      <c r="AD4505">
        <v>-1.1081759788586001</v>
      </c>
      <c r="AE4505">
        <v>4.1125099999999897</v>
      </c>
      <c r="AF4505">
        <v>-8.0503538655639897</v>
      </c>
      <c r="AG4505">
        <v>-1.1081759788586001</v>
      </c>
      <c r="AH4505">
        <v>22.529736476259099</v>
      </c>
      <c r="AI4505">
        <v>92.651992594143806</v>
      </c>
      <c r="AJ4505">
        <v>109.662889063229</v>
      </c>
      <c r="AK4505">
        <v>23.950475507818201</v>
      </c>
    </row>
    <row r="4506" spans="1:37" x14ac:dyDescent="0.2">
      <c r="A4506" t="str">
        <f>"20200111160303359"</f>
        <v>20200111160303359</v>
      </c>
      <c r="B4506" t="str">
        <f>"1578729783357232"</f>
        <v>1578729783357232</v>
      </c>
      <c r="C4506" t="s">
        <v>37</v>
      </c>
      <c r="D4506">
        <v>5.305307</v>
      </c>
      <c r="E4506">
        <v>0.40797620000000001</v>
      </c>
      <c r="F4506" t="s">
        <v>87</v>
      </c>
      <c r="G4506">
        <v>-368.62830000000002</v>
      </c>
      <c r="H4506" s="1">
        <v>-1.1945120000000001E-6</v>
      </c>
      <c r="I4506">
        <v>21.66703</v>
      </c>
      <c r="J4506">
        <v>-392.3845</v>
      </c>
      <c r="K4506">
        <v>1.108263</v>
      </c>
      <c r="L4506">
        <v>17.365779999999901</v>
      </c>
      <c r="M4506">
        <v>0.98664459999999998</v>
      </c>
      <c r="N4506">
        <v>0</v>
      </c>
      <c r="O4506">
        <v>-0.16281489999999901</v>
      </c>
      <c r="P4506">
        <v>0.99809230000000004</v>
      </c>
      <c r="Q4506">
        <v>-1.4382219999999999E-2</v>
      </c>
      <c r="R4506">
        <v>-6.0039189999999999E-2</v>
      </c>
      <c r="S4506">
        <v>3.0411990000000002</v>
      </c>
      <c r="T4506">
        <v>-0.14049110000000001</v>
      </c>
      <c r="U4506">
        <v>0.54122919999999997</v>
      </c>
      <c r="V4506">
        <v>-0.103144899999999</v>
      </c>
      <c r="W4506">
        <v>-1.0797660000000001E-2</v>
      </c>
      <c r="X4506">
        <v>0.99460769999999998</v>
      </c>
      <c r="Y4506">
        <v>-0.33265809999999901</v>
      </c>
      <c r="Z4506">
        <v>1.508076E-2</v>
      </c>
      <c r="AA4506">
        <v>0.94292690000000001</v>
      </c>
      <c r="AB4506">
        <v>25</v>
      </c>
      <c r="AC4506">
        <v>23.7561999999999</v>
      </c>
      <c r="AD4506">
        <v>-1.108264194512</v>
      </c>
      <c r="AE4506">
        <v>4.3012499999999996</v>
      </c>
      <c r="AF4506">
        <v>-8.0947068242584699</v>
      </c>
      <c r="AG4506">
        <v>-1.108264194512</v>
      </c>
      <c r="AH4506">
        <v>22.6910721529594</v>
      </c>
      <c r="AI4506">
        <v>92.633860597248997</v>
      </c>
      <c r="AJ4506">
        <v>109.63311251031</v>
      </c>
      <c r="AK4506">
        <v>24.117157451622401</v>
      </c>
    </row>
    <row r="4507" spans="1:37" x14ac:dyDescent="0.2">
      <c r="A4507" t="str">
        <f>"20200111160303427"</f>
        <v>20200111160303427</v>
      </c>
      <c r="B4507" t="str">
        <f>"1578729783417743"</f>
        <v>1578729783417743</v>
      </c>
      <c r="C4507" t="s">
        <v>37</v>
      </c>
      <c r="D4507">
        <v>5.2855230000000004</v>
      </c>
      <c r="E4507">
        <v>0.39802179999999998</v>
      </c>
      <c r="F4507" t="s">
        <v>87</v>
      </c>
      <c r="G4507">
        <v>-367.92140000000001</v>
      </c>
      <c r="H4507" s="1">
        <v>-1.5825370000000001E-6</v>
      </c>
      <c r="I4507">
        <v>21.869610000000002</v>
      </c>
      <c r="J4507">
        <v>-391.64440000000002</v>
      </c>
      <c r="K4507">
        <v>1.1084689999999999</v>
      </c>
      <c r="L4507">
        <v>17.274899999999999</v>
      </c>
      <c r="M4507">
        <v>0.99016029999999999</v>
      </c>
      <c r="N4507">
        <v>0</v>
      </c>
      <c r="O4507">
        <v>-0.13983989999999999</v>
      </c>
      <c r="P4507">
        <v>0.99938259999999901</v>
      </c>
      <c r="Q4507">
        <v>-1.1615500000000001E-2</v>
      </c>
      <c r="R4507">
        <v>-3.3166389999999997E-2</v>
      </c>
      <c r="S4507">
        <v>3.0373839999999999</v>
      </c>
      <c r="T4507">
        <v>-0.13760439999999999</v>
      </c>
      <c r="U4507">
        <v>0.55920409999999998</v>
      </c>
      <c r="V4507">
        <v>-0.10682709999999999</v>
      </c>
      <c r="W4507">
        <v>-7.7155169999999999E-3</v>
      </c>
      <c r="X4507">
        <v>0.99424769999999896</v>
      </c>
      <c r="Y4507">
        <v>-0.31636049999999999</v>
      </c>
      <c r="Z4507">
        <v>1.338691E-2</v>
      </c>
      <c r="AA4507">
        <v>0.94854459999999996</v>
      </c>
      <c r="AB4507">
        <v>25</v>
      </c>
      <c r="AC4507">
        <v>23.722999999999999</v>
      </c>
      <c r="AD4507">
        <v>-1.108470582537</v>
      </c>
      <c r="AE4507">
        <v>4.5947100000000001</v>
      </c>
      <c r="AF4507">
        <v>-7.8505089565698896</v>
      </c>
      <c r="AG4507">
        <v>-1.108470582537</v>
      </c>
      <c r="AH4507">
        <v>22.799384184326499</v>
      </c>
      <c r="AI4507">
        <v>92.632011687807704</v>
      </c>
      <c r="AJ4507">
        <v>109.00011551458999</v>
      </c>
      <c r="AK4507">
        <v>24.138581505425101</v>
      </c>
    </row>
    <row r="4508" spans="1:37" x14ac:dyDescent="0.2">
      <c r="A4508" t="str">
        <f>"20200111160303450"</f>
        <v>20200111160303450</v>
      </c>
      <c r="B4508" t="str">
        <f>"1578729783447024"</f>
        <v>1578729783447024</v>
      </c>
      <c r="C4508" t="s">
        <v>37</v>
      </c>
      <c r="D4508">
        <v>5.218394</v>
      </c>
      <c r="E4508">
        <v>0.41639199999999998</v>
      </c>
      <c r="F4508" t="s">
        <v>89</v>
      </c>
      <c r="G4508">
        <v>-280.04239999999999</v>
      </c>
      <c r="H4508">
        <v>11.27712</v>
      </c>
      <c r="I4508">
        <v>43.004459999999902</v>
      </c>
      <c r="J4508">
        <v>-391.38569999999999</v>
      </c>
      <c r="K4508">
        <v>1.1085129999999901</v>
      </c>
      <c r="L4508">
        <v>17.247250000000001</v>
      </c>
      <c r="M4508">
        <v>0.99126239999999999</v>
      </c>
      <c r="N4508">
        <v>0</v>
      </c>
      <c r="O4508">
        <v>-0.13179440000000001</v>
      </c>
      <c r="P4508">
        <v>0.99966840000000001</v>
      </c>
      <c r="Q4508">
        <v>-1.088215E-2</v>
      </c>
      <c r="R4508">
        <v>-2.3340429999999999E-2</v>
      </c>
      <c r="S4508">
        <v>3.0282290000000001</v>
      </c>
      <c r="T4508">
        <v>0.275918</v>
      </c>
      <c r="U4508">
        <v>0.69815059999999995</v>
      </c>
      <c r="V4508">
        <v>-0.1085381</v>
      </c>
      <c r="W4508">
        <v>-6.8906330000000002E-3</v>
      </c>
      <c r="X4508">
        <v>0.99406839999999996</v>
      </c>
      <c r="Y4508">
        <v>-0.34921760000000002</v>
      </c>
      <c r="Z4508">
        <v>-2.7520599999999899E-2</v>
      </c>
      <c r="AA4508">
        <v>0.93663750000000001</v>
      </c>
      <c r="AB4508">
        <v>25</v>
      </c>
      <c r="AC4508">
        <v>111.3433</v>
      </c>
      <c r="AD4508">
        <v>10.168607</v>
      </c>
      <c r="AE4508">
        <v>25.757209999999901</v>
      </c>
      <c r="AF4508">
        <v>-39.891346843469798</v>
      </c>
      <c r="AG4508">
        <v>10.168607</v>
      </c>
      <c r="AH4508">
        <v>106.13705193852201</v>
      </c>
      <c r="AI4508">
        <v>84.875349495372802</v>
      </c>
      <c r="AJ4508">
        <v>110.598605477105</v>
      </c>
      <c r="AK4508">
        <v>113.841090628591</v>
      </c>
    </row>
    <row r="4509" spans="1:37" x14ac:dyDescent="0.2">
      <c r="A4509" t="str">
        <f>"20200111160303471"</f>
        <v>20200111160303471</v>
      </c>
      <c r="B4509" t="str">
        <f>"1578729783467520"</f>
        <v>1578729783467520</v>
      </c>
      <c r="C4509" t="s">
        <v>37</v>
      </c>
      <c r="D4509">
        <v>5.1409669999999998</v>
      </c>
      <c r="E4509">
        <v>0.41737049999999998</v>
      </c>
      <c r="F4509" t="s">
        <v>38</v>
      </c>
      <c r="G4509">
        <v>-345.82150000000001</v>
      </c>
      <c r="H4509" s="1">
        <v>-3.482604E-6</v>
      </c>
      <c r="I4509">
        <v>26.311669999999999</v>
      </c>
      <c r="J4509">
        <v>-391.15300000000002</v>
      </c>
      <c r="K4509">
        <v>1.1085510000000001</v>
      </c>
      <c r="L4509">
        <v>17.22418</v>
      </c>
      <c r="M4509">
        <v>0.99219599999999997</v>
      </c>
      <c r="N4509">
        <v>0</v>
      </c>
      <c r="O4509">
        <v>-0.124567</v>
      </c>
      <c r="P4509">
        <v>0.99983569999999999</v>
      </c>
      <c r="Q4509">
        <v>-1.031265E-2</v>
      </c>
      <c r="R4509">
        <v>-1.4914180000000001E-2</v>
      </c>
      <c r="S4509">
        <v>3.0141909999999998</v>
      </c>
      <c r="T4509">
        <v>-7.3331240000000006E-2</v>
      </c>
      <c r="U4509">
        <v>0.5996399</v>
      </c>
      <c r="V4509">
        <v>-0.1096809</v>
      </c>
      <c r="W4509">
        <v>-6.242399E-3</v>
      </c>
      <c r="X4509">
        <v>0.99394729999999998</v>
      </c>
      <c r="Y4509">
        <v>-0.31564439999999999</v>
      </c>
      <c r="Z4509">
        <v>6.8059540000000003E-3</v>
      </c>
      <c r="AA4509">
        <v>0.94885309999999901</v>
      </c>
      <c r="AB4509">
        <v>25</v>
      </c>
      <c r="AC4509">
        <v>45.331499999999998</v>
      </c>
      <c r="AD4509">
        <v>-1.1085544826039999</v>
      </c>
      <c r="AE4509">
        <v>9.0874899999999901</v>
      </c>
      <c r="AF4509">
        <v>-14.655175861612999</v>
      </c>
      <c r="AG4509">
        <v>-1.1085544826039999</v>
      </c>
      <c r="AH4509">
        <v>43.821199424833402</v>
      </c>
      <c r="AI4509">
        <v>91.374327196328693</v>
      </c>
      <c r="AJ4509">
        <v>108.491542452267</v>
      </c>
      <c r="AK4509">
        <v>46.220131886513698</v>
      </c>
    </row>
    <row r="4510" spans="1:37" x14ac:dyDescent="0.2">
      <c r="A4510" t="str">
        <f>"20200111160303494"</f>
        <v>20200111160303494</v>
      </c>
      <c r="B4510" t="str">
        <f>"1578729783487039"</f>
        <v>1578729783487039</v>
      </c>
      <c r="C4510" t="s">
        <v>37</v>
      </c>
      <c r="D4510">
        <v>6.24871</v>
      </c>
      <c r="E4510">
        <v>0.41731549999999901</v>
      </c>
      <c r="F4510" t="s">
        <v>38</v>
      </c>
      <c r="G4510">
        <v>-350.08190000000002</v>
      </c>
      <c r="H4510" s="1">
        <v>-5.3196010000000001E-6</v>
      </c>
      <c r="I4510">
        <v>25.656579999999899</v>
      </c>
      <c r="J4510">
        <v>-390.89850000000001</v>
      </c>
      <c r="K4510">
        <v>1.108589</v>
      </c>
      <c r="L4510">
        <v>17.200959999999998</v>
      </c>
      <c r="M4510">
        <v>0.99315419999999999</v>
      </c>
      <c r="N4510">
        <v>0</v>
      </c>
      <c r="O4510">
        <v>-0.1166782</v>
      </c>
      <c r="P4510">
        <v>0.99992269999999905</v>
      </c>
      <c r="Q4510">
        <v>-9.6605489999999992E-3</v>
      </c>
      <c r="R4510">
        <v>-7.8515089999999996E-3</v>
      </c>
      <c r="S4510">
        <v>3.0088810000000001</v>
      </c>
      <c r="T4510">
        <v>-8.1213359999999998E-2</v>
      </c>
      <c r="U4510">
        <v>0.61776730000000002</v>
      </c>
      <c r="V4510">
        <v>-0.1088126</v>
      </c>
      <c r="W4510">
        <v>-5.4854209999999999E-3</v>
      </c>
      <c r="X4510">
        <v>0.99404720000000002</v>
      </c>
      <c r="Y4510">
        <v>-0.31389029999999901</v>
      </c>
      <c r="Z4510">
        <v>7.311901E-3</v>
      </c>
      <c r="AA4510">
        <v>0.94943109999999997</v>
      </c>
      <c r="AB4510">
        <v>25</v>
      </c>
      <c r="AC4510">
        <v>40.816600000000001</v>
      </c>
      <c r="AD4510">
        <v>-1.108594319601</v>
      </c>
      <c r="AE4510">
        <v>8.4556199999999908</v>
      </c>
      <c r="AF4510">
        <v>-13.151043344252599</v>
      </c>
      <c r="AG4510">
        <v>-1.108594319601</v>
      </c>
      <c r="AH4510">
        <v>39.523246916236801</v>
      </c>
      <c r="AI4510">
        <v>91.524538521837002</v>
      </c>
      <c r="AJ4510">
        <v>108.404449451511</v>
      </c>
      <c r="AK4510">
        <v>41.668524922412203</v>
      </c>
    </row>
    <row r="4511" spans="1:37" x14ac:dyDescent="0.2">
      <c r="A4511" t="str">
        <f>"20200111160303516"</f>
        <v>20200111160303516</v>
      </c>
      <c r="B4511" t="str">
        <f>"1578729783507535"</f>
        <v>1578729783507535</v>
      </c>
      <c r="C4511" t="s">
        <v>37</v>
      </c>
      <c r="D4511">
        <v>7.0443030000000002</v>
      </c>
      <c r="E4511">
        <v>0.4061632</v>
      </c>
      <c r="F4511" t="s">
        <v>38</v>
      </c>
      <c r="G4511">
        <v>-351.03500000000003</v>
      </c>
      <c r="H4511" s="1">
        <v>-5.0014829999999996E-6</v>
      </c>
      <c r="I4511">
        <v>25.691559999999999</v>
      </c>
      <c r="J4511">
        <v>-390.65469999999999</v>
      </c>
      <c r="K4511">
        <v>1.1086259999999999</v>
      </c>
      <c r="L4511">
        <v>17.180510000000002</v>
      </c>
      <c r="M4511">
        <v>0.99401170000000005</v>
      </c>
      <c r="N4511">
        <v>0</v>
      </c>
      <c r="O4511">
        <v>-0.1091256</v>
      </c>
      <c r="P4511">
        <v>0.99994780000000005</v>
      </c>
      <c r="Q4511">
        <v>-9.9671989999999995E-3</v>
      </c>
      <c r="R4511">
        <v>-2.2314460000000002E-3</v>
      </c>
      <c r="S4511">
        <v>3.0044249999999999</v>
      </c>
      <c r="T4511">
        <v>-8.355224E-2</v>
      </c>
      <c r="U4511">
        <v>0.63992309999999997</v>
      </c>
      <c r="V4511">
        <v>-0.106839899999999</v>
      </c>
      <c r="W4511">
        <v>-5.6843600000000003E-3</v>
      </c>
      <c r="X4511">
        <v>0.99426000000000003</v>
      </c>
      <c r="Y4511">
        <v>-0.3136524</v>
      </c>
      <c r="Z4511">
        <v>7.316871E-3</v>
      </c>
      <c r="AA4511">
        <v>0.94950970000000001</v>
      </c>
      <c r="AB4511">
        <v>25</v>
      </c>
      <c r="AC4511">
        <v>39.619699999999902</v>
      </c>
      <c r="AD4511">
        <v>-1.1086310014830001</v>
      </c>
      <c r="AE4511">
        <v>8.5110499999999902</v>
      </c>
      <c r="AF4511">
        <v>-12.7742527484878</v>
      </c>
      <c r="AG4511">
        <v>-1.1086310014830001</v>
      </c>
      <c r="AH4511">
        <v>38.425534458422803</v>
      </c>
      <c r="AI4511">
        <v>91.568261748630405</v>
      </c>
      <c r="AJ4511">
        <v>108.388962078665</v>
      </c>
      <c r="AK4511">
        <v>40.508422511807801</v>
      </c>
    </row>
    <row r="4512" spans="1:37" x14ac:dyDescent="0.2">
      <c r="A4512" t="str">
        <f>"20200111160303538"</f>
        <v>20200111160303538</v>
      </c>
      <c r="B4512" t="str">
        <f>"1578729783527058"</f>
        <v>1578729783527058</v>
      </c>
      <c r="C4512" t="s">
        <v>37</v>
      </c>
      <c r="D4512">
        <v>2.9841739999999999</v>
      </c>
      <c r="E4512">
        <v>0.47416350000000002</v>
      </c>
      <c r="F4512" t="s">
        <v>89</v>
      </c>
      <c r="G4512">
        <v>-280.04239999999999</v>
      </c>
      <c r="H4512">
        <v>9.4076089999999901</v>
      </c>
      <c r="I4512">
        <v>43.995309999999897</v>
      </c>
      <c r="J4512">
        <v>-390.40300000000002</v>
      </c>
      <c r="K4512">
        <v>1.108662</v>
      </c>
      <c r="L4512">
        <v>17.161349999999999</v>
      </c>
      <c r="M4512">
        <v>0.99483489999999997</v>
      </c>
      <c r="N4512">
        <v>0</v>
      </c>
      <c r="O4512">
        <v>-0.1013428</v>
      </c>
      <c r="P4512">
        <v>0.99992389999999998</v>
      </c>
      <c r="Q4512">
        <v>-1.2019190000000001E-2</v>
      </c>
      <c r="R4512">
        <v>2.7790709999999902E-3</v>
      </c>
      <c r="S4512">
        <v>3.0040279999999999</v>
      </c>
      <c r="T4512">
        <v>0.22538539999999899</v>
      </c>
      <c r="U4512">
        <v>0.72824100000000003</v>
      </c>
      <c r="V4512">
        <v>-0.10401199999999999</v>
      </c>
      <c r="W4512">
        <v>-7.622495E-3</v>
      </c>
      <c r="X4512">
        <v>0.99454679999999995</v>
      </c>
      <c r="Y4512">
        <v>-0.33171999999999902</v>
      </c>
      <c r="Z4512">
        <v>-1.974807E-2</v>
      </c>
      <c r="AA4512">
        <v>0.94317109999999904</v>
      </c>
      <c r="AB4512">
        <v>25</v>
      </c>
      <c r="AC4512">
        <v>110.36060000000001</v>
      </c>
      <c r="AD4512">
        <v>8.2989469999999894</v>
      </c>
      <c r="AE4512">
        <v>26.833959999999902</v>
      </c>
      <c r="AF4512">
        <v>-37.679065886153097</v>
      </c>
      <c r="AG4512">
        <v>8.2989469999999894</v>
      </c>
      <c r="AH4512">
        <v>106.504280451241</v>
      </c>
      <c r="AI4512">
        <v>85.798619548466505</v>
      </c>
      <c r="AJ4512">
        <v>109.482752112486</v>
      </c>
      <c r="AK4512">
        <v>113.27729817487</v>
      </c>
    </row>
    <row r="4513" spans="1:37" x14ac:dyDescent="0.2">
      <c r="A4513" t="str">
        <f>"20200111160303560"</f>
        <v>20200111160303560</v>
      </c>
      <c r="B4513" t="str">
        <f>"1578729783557312"</f>
        <v>1578729783557312</v>
      </c>
      <c r="C4513" t="s">
        <v>37</v>
      </c>
      <c r="D4513">
        <v>5.7541630000000001</v>
      </c>
      <c r="E4513">
        <v>0.53057100000000001</v>
      </c>
      <c r="F4513" t="s">
        <v>86</v>
      </c>
      <c r="G4513">
        <v>-370.33569999999997</v>
      </c>
      <c r="H4513" s="1">
        <v>-4.7206610000000004E-6</v>
      </c>
      <c r="I4513">
        <v>18.647819999999999</v>
      </c>
      <c r="J4513">
        <v>-390.15809999999999</v>
      </c>
      <c r="K4513">
        <v>1.1087</v>
      </c>
      <c r="L4513">
        <v>17.14453</v>
      </c>
      <c r="M4513">
        <v>0.99557640000000003</v>
      </c>
      <c r="N4513">
        <v>0</v>
      </c>
      <c r="O4513">
        <v>-9.3773510000000004E-2</v>
      </c>
      <c r="P4513">
        <v>0.99986989999999998</v>
      </c>
      <c r="Q4513">
        <v>-1.367788E-2</v>
      </c>
      <c r="R4513">
        <v>8.5600550000000004E-3</v>
      </c>
      <c r="S4513">
        <v>2.99762</v>
      </c>
      <c r="T4513">
        <v>-0.16561029999999999</v>
      </c>
      <c r="U4513">
        <v>0.22204589999999999</v>
      </c>
      <c r="V4513">
        <v>-0.10217469999999999</v>
      </c>
      <c r="W4513">
        <v>-9.1877460000000001E-3</v>
      </c>
      <c r="X4513">
        <v>0.99472399999999905</v>
      </c>
      <c r="Y4513">
        <v>-0.1666697</v>
      </c>
      <c r="Z4513">
        <v>9.762817E-3</v>
      </c>
      <c r="AA4513">
        <v>0.98596450000000002</v>
      </c>
      <c r="AB4513">
        <v>26</v>
      </c>
      <c r="AC4513">
        <v>19.822399999999998</v>
      </c>
      <c r="AD4513">
        <v>-1.1087047206609999</v>
      </c>
      <c r="AE4513">
        <v>1.50328999999999</v>
      </c>
      <c r="AF4513">
        <v>-3.3451084613211002</v>
      </c>
      <c r="AG4513">
        <v>-1.1087047206609999</v>
      </c>
      <c r="AH4513">
        <v>19.5333213444863</v>
      </c>
      <c r="AI4513">
        <v>93.202087992479605</v>
      </c>
      <c r="AJ4513">
        <v>99.7177164171691</v>
      </c>
      <c r="AK4513">
        <v>19.848667953355999</v>
      </c>
    </row>
    <row r="4514" spans="1:37" x14ac:dyDescent="0.2">
      <c r="A4514" t="str">
        <f>"20200111160303583"</f>
        <v>20200111160303583</v>
      </c>
      <c r="B4514" t="str">
        <f>"1578729783577808"</f>
        <v>1578729783577808</v>
      </c>
      <c r="C4514" t="s">
        <v>37</v>
      </c>
      <c r="D4514">
        <v>5.5770179999999998</v>
      </c>
      <c r="E4514">
        <v>0.53375329999999999</v>
      </c>
      <c r="F4514" t="s">
        <v>90</v>
      </c>
      <c r="G4514">
        <v>-241.07</v>
      </c>
      <c r="H4514">
        <v>1.8941129999999999</v>
      </c>
      <c r="I4514">
        <v>6.1386279999999998</v>
      </c>
      <c r="J4514">
        <v>-389.8965</v>
      </c>
      <c r="K4514">
        <v>1.108735</v>
      </c>
      <c r="L4514">
        <v>17.12857</v>
      </c>
      <c r="M4514">
        <v>0.99630359999999996</v>
      </c>
      <c r="N4514">
        <v>0</v>
      </c>
      <c r="O4514">
        <v>-8.5698780000000002E-2</v>
      </c>
      <c r="P4514">
        <v>0.9997819</v>
      </c>
      <c r="Q4514">
        <v>-1.518564E-2</v>
      </c>
      <c r="R4514">
        <v>1.434706E-2</v>
      </c>
      <c r="S4514">
        <v>3.0025019999999998</v>
      </c>
      <c r="T4514">
        <v>1.5817399999999999E-2</v>
      </c>
      <c r="U4514">
        <v>-0.22164919999999999</v>
      </c>
      <c r="V4514">
        <v>-9.984606E-2</v>
      </c>
      <c r="W4514">
        <v>-1.059293E-2</v>
      </c>
      <c r="X4514">
        <v>0.99494649999999996</v>
      </c>
      <c r="Y4514">
        <v>-1.211608E-2</v>
      </c>
      <c r="Z4514">
        <v>-4.819585E-4</v>
      </c>
      <c r="AA4514">
        <v>0.99992649999999905</v>
      </c>
      <c r="AB4514">
        <v>26</v>
      </c>
      <c r="AC4514">
        <v>148.82650000000001</v>
      </c>
      <c r="AD4514">
        <v>0.78537800000000002</v>
      </c>
      <c r="AE4514">
        <v>-10.989941999999999</v>
      </c>
      <c r="AF4514">
        <v>-1.80491216925866</v>
      </c>
      <c r="AG4514">
        <v>0.78537800000000002</v>
      </c>
      <c r="AH4514">
        <v>149.216670092584</v>
      </c>
      <c r="AI4514">
        <v>89.698457701095407</v>
      </c>
      <c r="AJ4514">
        <v>90.693011086062796</v>
      </c>
      <c r="AK4514">
        <v>149.229652415533</v>
      </c>
    </row>
    <row r="4515" spans="1:37" x14ac:dyDescent="0.2">
      <c r="A4515" t="str">
        <f>"20200111160303607"</f>
        <v>20200111160303607</v>
      </c>
      <c r="B4515" t="str">
        <f>"1578729783597328"</f>
        <v>1578729783597328</v>
      </c>
      <c r="C4515" t="s">
        <v>37</v>
      </c>
      <c r="D4515">
        <v>5.0298749999999997</v>
      </c>
      <c r="E4515">
        <v>0.54175079999999998</v>
      </c>
      <c r="F4515" t="s">
        <v>39</v>
      </c>
      <c r="G4515">
        <v>-253.3708</v>
      </c>
      <c r="H4515">
        <v>-0.05</v>
      </c>
      <c r="I4515">
        <v>6.7815250000000002</v>
      </c>
      <c r="J4515">
        <v>-389.6277</v>
      </c>
      <c r="K4515">
        <v>1.108776</v>
      </c>
      <c r="L4515">
        <v>17.114319999999999</v>
      </c>
      <c r="M4515">
        <v>0.99698059999999999</v>
      </c>
      <c r="N4515">
        <v>0</v>
      </c>
      <c r="O4515">
        <v>-7.7417929999999996E-2</v>
      </c>
      <c r="P4515">
        <v>0.99965009999999999</v>
      </c>
      <c r="Q4515">
        <v>-1.6621980000000001E-2</v>
      </c>
      <c r="R4515">
        <v>2.0583710000000002E-2</v>
      </c>
      <c r="S4515">
        <v>3.0035099999999999</v>
      </c>
      <c r="T4515">
        <v>-2.5491710000000001E-2</v>
      </c>
      <c r="U4515">
        <v>-0.22763059999999999</v>
      </c>
      <c r="V4515">
        <v>-9.7765900000000003E-2</v>
      </c>
      <c r="W4515">
        <v>-1.1930110000000001E-2</v>
      </c>
      <c r="X4515">
        <v>0.99513790000000002</v>
      </c>
      <c r="Y4515">
        <v>-1.850441E-3</v>
      </c>
      <c r="Z4515">
        <v>6.6299759999999903E-4</v>
      </c>
      <c r="AA4515">
        <v>0.9999981</v>
      </c>
      <c r="AB4515">
        <v>26</v>
      </c>
      <c r="AC4515">
        <v>136.2569</v>
      </c>
      <c r="AD4515">
        <v>-1.158776</v>
      </c>
      <c r="AE4515">
        <v>-10.332795000000001</v>
      </c>
      <c r="AF4515">
        <v>-0.24711768379576701</v>
      </c>
      <c r="AG4515">
        <v>-1.158776</v>
      </c>
      <c r="AH4515">
        <v>136.63807357023001</v>
      </c>
      <c r="AI4515">
        <v>90.485891466991006</v>
      </c>
      <c r="AJ4515">
        <v>90.103622544707903</v>
      </c>
      <c r="AK4515">
        <v>136.64321050806601</v>
      </c>
    </row>
    <row r="4516" spans="1:37" x14ac:dyDescent="0.2">
      <c r="A4516" t="str">
        <f>"20200111160303628"</f>
        <v>20200111160303628</v>
      </c>
      <c r="B4516" t="str">
        <f>"1578729783617823"</f>
        <v>1578729783617823</v>
      </c>
      <c r="C4516" t="s">
        <v>37</v>
      </c>
      <c r="D4516">
        <v>5.2390889999999999</v>
      </c>
      <c r="E4516">
        <v>0.55017579999999999</v>
      </c>
      <c r="F4516" t="s">
        <v>38</v>
      </c>
      <c r="G4516">
        <v>-345.22030000000001</v>
      </c>
      <c r="H4516" s="1">
        <v>-3.3408829999999998E-6</v>
      </c>
      <c r="I4516">
        <v>13.1207799999999</v>
      </c>
      <c r="J4516">
        <v>-389.3777</v>
      </c>
      <c r="K4516">
        <v>1.10880499999999</v>
      </c>
      <c r="L4516">
        <v>17.103059999999999</v>
      </c>
      <c r="M4516">
        <v>0.99754730000000003</v>
      </c>
      <c r="N4516">
        <v>0</v>
      </c>
      <c r="O4516">
        <v>-6.9732370000000002E-2</v>
      </c>
      <c r="P4516">
        <v>0.99948219999999999</v>
      </c>
      <c r="Q4516">
        <v>-1.78677E-2</v>
      </c>
      <c r="R4516">
        <v>2.6760590000000001E-2</v>
      </c>
      <c r="S4516">
        <v>3.005341</v>
      </c>
      <c r="T4516">
        <v>-7.5038430000000003E-2</v>
      </c>
      <c r="U4516">
        <v>-0.2702637</v>
      </c>
      <c r="V4516">
        <v>-9.6228359999999999E-2</v>
      </c>
      <c r="W4516">
        <v>-1.309193E-2</v>
      </c>
      <c r="X4516">
        <v>0.99527319999999997</v>
      </c>
      <c r="Y4516">
        <v>1.9910310000000001E-2</v>
      </c>
      <c r="Z4516">
        <v>1.486919E-3</v>
      </c>
      <c r="AA4516">
        <v>0.99980069999999999</v>
      </c>
      <c r="AB4516">
        <v>26</v>
      </c>
      <c r="AC4516">
        <v>44.157400000000003</v>
      </c>
      <c r="AD4516">
        <v>-1.1088083408829901</v>
      </c>
      <c r="AE4516">
        <v>-3.9822799999999998</v>
      </c>
      <c r="AF4516">
        <v>0.89277055808335604</v>
      </c>
      <c r="AG4516">
        <v>-1.1088083408829901</v>
      </c>
      <c r="AH4516">
        <v>44.299897094224903</v>
      </c>
      <c r="AI4516">
        <v>91.433499660181795</v>
      </c>
      <c r="AJ4516">
        <v>88.845481250265706</v>
      </c>
      <c r="AK4516">
        <v>44.322763652158599</v>
      </c>
    </row>
    <row r="4517" spans="1:37" x14ac:dyDescent="0.2">
      <c r="A4517" t="str">
        <f>"20200111160303650"</f>
        <v>20200111160303650</v>
      </c>
      <c r="B4517" t="str">
        <f>"1578729783647104"</f>
        <v>1578729783647104</v>
      </c>
      <c r="C4517" t="s">
        <v>37</v>
      </c>
      <c r="D4517">
        <v>5.5956849999999996</v>
      </c>
      <c r="E4517">
        <v>0.54472500000000001</v>
      </c>
      <c r="F4517" t="s">
        <v>38</v>
      </c>
      <c r="G4517">
        <v>-348.67070000000001</v>
      </c>
      <c r="H4517" s="1">
        <v>-2.254669E-6</v>
      </c>
      <c r="I4517">
        <v>12.79011</v>
      </c>
      <c r="J4517">
        <v>-389.1275</v>
      </c>
      <c r="K4517">
        <v>1.1088229999999999</v>
      </c>
      <c r="L4517">
        <v>17.093720000000001</v>
      </c>
      <c r="M4517">
        <v>0.99805279999999996</v>
      </c>
      <c r="N4517">
        <v>0</v>
      </c>
      <c r="O4517">
        <v>-6.2073929999999999E-2</v>
      </c>
      <c r="P4517">
        <v>0.99927410000000005</v>
      </c>
      <c r="Q4517">
        <v>-1.771756E-2</v>
      </c>
      <c r="R4517">
        <v>3.372849E-2</v>
      </c>
      <c r="S4517">
        <v>3.008575</v>
      </c>
      <c r="T4517">
        <v>-8.1949949999999994E-2</v>
      </c>
      <c r="U4517">
        <v>-0.31875609999999999</v>
      </c>
      <c r="V4517">
        <v>-9.5530980000000001E-2</v>
      </c>
      <c r="W4517">
        <v>-1.2872359999999999E-2</v>
      </c>
      <c r="X4517">
        <v>0.99534319999999898</v>
      </c>
      <c r="Y4517">
        <v>4.3433510000000002E-2</v>
      </c>
      <c r="Z4517">
        <v>1.0938499999999999E-3</v>
      </c>
      <c r="AA4517">
        <v>0.99905569999999899</v>
      </c>
      <c r="AB4517">
        <v>26</v>
      </c>
      <c r="AC4517">
        <v>40.456799999999902</v>
      </c>
      <c r="AD4517">
        <v>-1.1088252546689901</v>
      </c>
      <c r="AE4517">
        <v>-4.3036099999999999</v>
      </c>
      <c r="AF4517">
        <v>1.7826267434635801</v>
      </c>
      <c r="AG4517">
        <v>-1.1088252546689901</v>
      </c>
      <c r="AH4517">
        <v>40.615757007218598</v>
      </c>
      <c r="AI4517">
        <v>91.562304345399795</v>
      </c>
      <c r="AJ4517">
        <v>87.486899451677601</v>
      </c>
      <c r="AK4517">
        <v>40.669976257939098</v>
      </c>
    </row>
    <row r="4518" spans="1:37" x14ac:dyDescent="0.2">
      <c r="A4518" t="str">
        <f>"20200111160303672"</f>
        <v>20200111160303672</v>
      </c>
      <c r="B4518" t="str">
        <f>"1578729783667579"</f>
        <v>1578729783667579</v>
      </c>
      <c r="C4518" t="s">
        <v>37</v>
      </c>
      <c r="D4518">
        <v>5.5772329999999997</v>
      </c>
      <c r="E4518">
        <v>0.54409919999999901</v>
      </c>
      <c r="F4518" t="s">
        <v>42</v>
      </c>
      <c r="G4518">
        <v>-388.18329999999997</v>
      </c>
      <c r="H4518">
        <v>1.0486799999999901</v>
      </c>
      <c r="I4518">
        <v>17.015629999999899</v>
      </c>
      <c r="J4518">
        <v>-388.86989999999997</v>
      </c>
      <c r="K4518">
        <v>1.1088420000000001</v>
      </c>
      <c r="L4518">
        <v>17.08615</v>
      </c>
      <c r="M4518">
        <v>0.99850839999999996</v>
      </c>
      <c r="N4518">
        <v>0</v>
      </c>
      <c r="O4518">
        <v>-5.4245839999999997E-2</v>
      </c>
      <c r="P4518">
        <v>0.99902800000000003</v>
      </c>
      <c r="Q4518">
        <v>-1.6546749999999999E-2</v>
      </c>
      <c r="R4518">
        <v>4.0859899999999998E-2</v>
      </c>
      <c r="S4518">
        <v>3.0071720000000002</v>
      </c>
      <c r="T4518">
        <v>-0.191889</v>
      </c>
      <c r="U4518">
        <v>-0.2482605</v>
      </c>
      <c r="V4518">
        <v>-9.4848000000000002E-2</v>
      </c>
      <c r="W4518">
        <v>-1.16329E-2</v>
      </c>
      <c r="X4518">
        <v>0.99542379999999997</v>
      </c>
      <c r="Y4518">
        <v>2.814473E-2</v>
      </c>
      <c r="Z4518">
        <v>2.5534160000000002E-3</v>
      </c>
      <c r="AA4518">
        <v>0.99960059999999995</v>
      </c>
      <c r="AB4518">
        <v>26</v>
      </c>
      <c r="AC4518">
        <v>0.68659999999999799</v>
      </c>
      <c r="AD4518">
        <v>-6.0162000000000201E-2</v>
      </c>
      <c r="AE4518">
        <v>-7.0520000000001901E-2</v>
      </c>
      <c r="AF4518">
        <v>3.2920139084057803E-2</v>
      </c>
      <c r="AG4518">
        <v>-6.0162000000000201E-2</v>
      </c>
      <c r="AH4518">
        <v>0.68421607175530597</v>
      </c>
      <c r="AI4518">
        <v>95.019224179041203</v>
      </c>
      <c r="AJ4518">
        <v>87.245414616732504</v>
      </c>
      <c r="AK4518">
        <v>0.68764441003295895</v>
      </c>
    </row>
    <row r="4519" spans="1:37" x14ac:dyDescent="0.2">
      <c r="A4519" t="str">
        <f>"20200111160303695"</f>
        <v>20200111160303695</v>
      </c>
      <c r="B4519" t="str">
        <f>"1578729783687099"</f>
        <v>1578729783687099</v>
      </c>
      <c r="C4519" t="s">
        <v>37</v>
      </c>
      <c r="D4519">
        <v>5.65313</v>
      </c>
      <c r="E4519">
        <v>0.5441281</v>
      </c>
      <c r="F4519" t="s">
        <v>42</v>
      </c>
      <c r="G4519">
        <v>-387.9513</v>
      </c>
      <c r="H4519">
        <v>1.0462089999999999</v>
      </c>
      <c r="I4519">
        <v>17.018350000000002</v>
      </c>
      <c r="J4519">
        <v>-388.5924</v>
      </c>
      <c r="K4519">
        <v>1.108841</v>
      </c>
      <c r="L4519">
        <v>17.08014</v>
      </c>
      <c r="M4519">
        <v>0.99892749999999997</v>
      </c>
      <c r="N4519">
        <v>0</v>
      </c>
      <c r="O4519">
        <v>-4.587691E-2</v>
      </c>
      <c r="P4519">
        <v>0.99876089999999995</v>
      </c>
      <c r="Q4519">
        <v>-1.440163E-2</v>
      </c>
      <c r="R4519">
        <v>4.7636480000000002E-2</v>
      </c>
      <c r="S4519">
        <v>3.0085139999999999</v>
      </c>
      <c r="T4519">
        <v>-0.20572370000000001</v>
      </c>
      <c r="U4519">
        <v>-0.22109989999999999</v>
      </c>
      <c r="V4519">
        <v>-9.3290830000000005E-2</v>
      </c>
      <c r="W4519">
        <v>-9.4058289999999992E-3</v>
      </c>
      <c r="X4519">
        <v>0.99559439999999999</v>
      </c>
      <c r="Y4519">
        <v>2.75047E-2</v>
      </c>
      <c r="Z4519">
        <v>2.1891089999999998E-3</v>
      </c>
      <c r="AA4519">
        <v>0.99961929999999999</v>
      </c>
      <c r="AB4519">
        <v>26</v>
      </c>
      <c r="AC4519">
        <v>0.64109999999999401</v>
      </c>
      <c r="AD4519">
        <v>-6.2631999999999993E-2</v>
      </c>
      <c r="AE4519">
        <v>-6.1789999999998402E-2</v>
      </c>
      <c r="AF4519">
        <v>3.2009977104983503E-2</v>
      </c>
      <c r="AG4519">
        <v>-6.2631999999999993E-2</v>
      </c>
      <c r="AH4519">
        <v>0.63723381855663097</v>
      </c>
      <c r="AI4519">
        <v>95.606394816733399</v>
      </c>
      <c r="AJ4519">
        <v>87.124295281787099</v>
      </c>
      <c r="AK4519">
        <v>0.64110400526788702</v>
      </c>
    </row>
    <row r="4520" spans="1:37" x14ac:dyDescent="0.2">
      <c r="A4520" t="str">
        <f>"20200111160303718"</f>
        <v>20200111160303718</v>
      </c>
      <c r="B4520" t="str">
        <f>"1578729783707594"</f>
        <v>1578729783707594</v>
      </c>
      <c r="C4520" t="s">
        <v>37</v>
      </c>
      <c r="D4520">
        <v>5.6539029999999997</v>
      </c>
      <c r="E4520">
        <v>0.54373159999999998</v>
      </c>
      <c r="F4520" t="s">
        <v>42</v>
      </c>
      <c r="G4520">
        <v>-387.7167</v>
      </c>
      <c r="H4520">
        <v>1.047331</v>
      </c>
      <c r="I4520">
        <v>17.021750000000001</v>
      </c>
      <c r="J4520">
        <v>-388.33530000000002</v>
      </c>
      <c r="K4520">
        <v>1.1088209999999901</v>
      </c>
      <c r="L4520">
        <v>17.076509999999999</v>
      </c>
      <c r="M4520">
        <v>0.99924919999999995</v>
      </c>
      <c r="N4520">
        <v>0</v>
      </c>
      <c r="O4520">
        <v>-3.8226459999999997E-2</v>
      </c>
      <c r="P4520">
        <v>0.99844580000000005</v>
      </c>
      <c r="Q4520">
        <v>-1.4686060000000001E-2</v>
      </c>
      <c r="R4520">
        <v>5.376326E-2</v>
      </c>
      <c r="S4520">
        <v>3.0102229999999999</v>
      </c>
      <c r="T4520">
        <v>-0.21168609999999999</v>
      </c>
      <c r="U4520">
        <v>-0.2004089</v>
      </c>
      <c r="V4520">
        <v>-9.1772800000000002E-2</v>
      </c>
      <c r="W4520">
        <v>-9.6151680000000003E-3</v>
      </c>
      <c r="X4520">
        <v>0.995733599999999</v>
      </c>
      <c r="Y4520">
        <v>2.8262160000000001E-2</v>
      </c>
      <c r="Z4520">
        <v>1.68920299999999E-3</v>
      </c>
      <c r="AA4520">
        <v>0.99959909999999996</v>
      </c>
      <c r="AB4520">
        <v>26</v>
      </c>
      <c r="AC4520">
        <v>0.61860000000001403</v>
      </c>
      <c r="AD4520">
        <v>-6.1489999999999802E-2</v>
      </c>
      <c r="AE4520">
        <v>-5.4759999999998102E-2</v>
      </c>
      <c r="AF4520">
        <v>3.07709405402979E-2</v>
      </c>
      <c r="AG4520">
        <v>-6.1489999999999802E-2</v>
      </c>
      <c r="AH4520">
        <v>0.61421942077770098</v>
      </c>
      <c r="AI4520">
        <v>95.709765592603603</v>
      </c>
      <c r="AJ4520">
        <v>87.1320146604358</v>
      </c>
      <c r="AK4520">
        <v>0.61805612022067102</v>
      </c>
    </row>
    <row r="4521" spans="1:37" x14ac:dyDescent="0.2">
      <c r="A4521" t="str">
        <f>"20200111160303738"</f>
        <v>20200111160303738</v>
      </c>
      <c r="B4521" t="str">
        <f>"1578729783727118"</f>
        <v>1578729783727118</v>
      </c>
      <c r="C4521" t="s">
        <v>37</v>
      </c>
      <c r="D4521">
        <v>5.6635540000000004</v>
      </c>
      <c r="E4521">
        <v>0.54392609999999997</v>
      </c>
      <c r="F4521" t="s">
        <v>42</v>
      </c>
      <c r="G4521">
        <v>-387.4828</v>
      </c>
      <c r="H4521">
        <v>1.0457879999999999</v>
      </c>
      <c r="I4521">
        <v>17.025980000000001</v>
      </c>
      <c r="J4521">
        <v>-388.08949999999999</v>
      </c>
      <c r="K4521">
        <v>1.1087559999999901</v>
      </c>
      <c r="L4521">
        <v>17.074649999999998</v>
      </c>
      <c r="M4521">
        <v>0.99949750000000004</v>
      </c>
      <c r="N4521">
        <v>0</v>
      </c>
      <c r="O4521">
        <v>-3.1055619999999999E-2</v>
      </c>
      <c r="P4521">
        <v>0.99817099999999903</v>
      </c>
      <c r="Q4521">
        <v>-1.6886620000000001E-2</v>
      </c>
      <c r="R4521">
        <v>5.8046680000000003E-2</v>
      </c>
      <c r="S4521">
        <v>3.0109859999999999</v>
      </c>
      <c r="T4521">
        <v>-0.22293279999999999</v>
      </c>
      <c r="U4521">
        <v>-0.17807010000000001</v>
      </c>
      <c r="V4521">
        <v>-8.8871749999999999E-2</v>
      </c>
      <c r="W4521">
        <v>-1.172467E-2</v>
      </c>
      <c r="X4521">
        <v>0.99597409999999997</v>
      </c>
      <c r="Y4521">
        <v>2.801468E-2</v>
      </c>
      <c r="Z4521">
        <v>1.258674E-3</v>
      </c>
      <c r="AA4521">
        <v>0.99960669999999996</v>
      </c>
      <c r="AB4521">
        <v>26</v>
      </c>
      <c r="AC4521">
        <v>0.60669999999998903</v>
      </c>
      <c r="AD4521">
        <v>-6.2967999999999899E-2</v>
      </c>
      <c r="AE4521">
        <v>-4.8669999999997701E-2</v>
      </c>
      <c r="AF4521">
        <v>2.94890773074836E-2</v>
      </c>
      <c r="AG4521">
        <v>-6.2967999999999899E-2</v>
      </c>
      <c r="AH4521">
        <v>0.60148119975140801</v>
      </c>
      <c r="AI4521">
        <v>95.969305851691303</v>
      </c>
      <c r="AJ4521">
        <v>87.193182656578998</v>
      </c>
      <c r="AK4521">
        <v>0.60548675324802903</v>
      </c>
    </row>
    <row r="4522" spans="1:37" x14ac:dyDescent="0.2">
      <c r="A4522" t="str">
        <f>"20200111160303762"</f>
        <v>20200111160303762</v>
      </c>
      <c r="B4522" t="str">
        <f>"1578729783757371"</f>
        <v>1578729783757371</v>
      </c>
      <c r="C4522" t="s">
        <v>37</v>
      </c>
      <c r="D4522">
        <v>5.611853</v>
      </c>
      <c r="E4522">
        <v>0.54478000000000004</v>
      </c>
      <c r="F4522" t="s">
        <v>42</v>
      </c>
      <c r="G4522">
        <v>-387.24900000000002</v>
      </c>
      <c r="H4522">
        <v>1.042292</v>
      </c>
      <c r="I4522">
        <v>17.028110000000002</v>
      </c>
      <c r="J4522">
        <v>-387.81909999999999</v>
      </c>
      <c r="K4522">
        <v>1.108638</v>
      </c>
      <c r="L4522">
        <v>17.074459999999998</v>
      </c>
      <c r="M4522">
        <v>0.99970619999999999</v>
      </c>
      <c r="N4522">
        <v>0</v>
      </c>
      <c r="O4522">
        <v>-2.3387160000000001E-2</v>
      </c>
      <c r="P4522">
        <v>0.99776450000000005</v>
      </c>
      <c r="Q4522">
        <v>-2.0691600000000001E-2</v>
      </c>
      <c r="R4522">
        <v>6.3548080000000007E-2</v>
      </c>
      <c r="S4522">
        <v>3.0112000000000001</v>
      </c>
      <c r="T4522">
        <v>-0.23836849999999901</v>
      </c>
      <c r="U4522">
        <v>-0.16616819999999999</v>
      </c>
      <c r="V4522">
        <v>-8.6674940000000006E-2</v>
      </c>
      <c r="W4522">
        <v>-1.5443449999999999E-2</v>
      </c>
      <c r="X4522">
        <v>0.99611689999999997</v>
      </c>
      <c r="Y4522">
        <v>3.1706430000000001E-2</v>
      </c>
      <c r="Z4522">
        <v>5.9462399999999998E-4</v>
      </c>
      <c r="AA4522">
        <v>0.99949709999999903</v>
      </c>
      <c r="AB4522">
        <v>27</v>
      </c>
      <c r="AC4522">
        <v>0.57009999999996797</v>
      </c>
      <c r="AD4522">
        <v>-6.6346000000000002E-2</v>
      </c>
      <c r="AE4522">
        <v>-4.6350000000000301E-2</v>
      </c>
      <c r="AF4522">
        <v>3.2565875500963501E-2</v>
      </c>
      <c r="AG4522">
        <v>-6.6346000000000002E-2</v>
      </c>
      <c r="AH4522">
        <v>0.56344720199870502</v>
      </c>
      <c r="AI4522">
        <v>96.704576474155203</v>
      </c>
      <c r="AJ4522">
        <v>86.692123647926806</v>
      </c>
      <c r="AK4522">
        <v>0.56827376976534305</v>
      </c>
    </row>
    <row r="4523" spans="1:37" x14ac:dyDescent="0.2">
      <c r="A4523" t="str">
        <f>"20200111160303785"</f>
        <v>20200111160303785</v>
      </c>
      <c r="B4523" t="str">
        <f>"1578729783777867"</f>
        <v>1578729783777867</v>
      </c>
      <c r="C4523" t="s">
        <v>37</v>
      </c>
      <c r="D4523">
        <v>5.6431779999999998</v>
      </c>
      <c r="E4523">
        <v>0.54543409999999903</v>
      </c>
      <c r="F4523" t="s">
        <v>42</v>
      </c>
      <c r="G4523">
        <v>-387.0138</v>
      </c>
      <c r="H4523">
        <v>1.039757</v>
      </c>
      <c r="I4523">
        <v>17.032260000000001</v>
      </c>
      <c r="J4523">
        <v>-387.53660000000002</v>
      </c>
      <c r="K4523">
        <v>1.1084590000000001</v>
      </c>
      <c r="L4523">
        <v>17.076079999999902</v>
      </c>
      <c r="M4523">
        <v>0.99985650000000004</v>
      </c>
      <c r="N4523">
        <v>0</v>
      </c>
      <c r="O4523">
        <v>-1.568081E-2</v>
      </c>
      <c r="P4523">
        <v>0.997282</v>
      </c>
      <c r="Q4523">
        <v>-2.3727379999999999E-2</v>
      </c>
      <c r="R4523">
        <v>6.9753090000000004E-2</v>
      </c>
      <c r="S4523">
        <v>3.0113219999999998</v>
      </c>
      <c r="T4523">
        <v>-0.258439799999999</v>
      </c>
      <c r="U4523">
        <v>-0.15631099999999901</v>
      </c>
      <c r="V4523">
        <v>-8.5160589999999994E-2</v>
      </c>
      <c r="W4523">
        <v>-1.83987E-2</v>
      </c>
      <c r="X4523">
        <v>0.99619729999999995</v>
      </c>
      <c r="Y4523">
        <v>3.609673E-2</v>
      </c>
      <c r="Z4523">
        <v>-2.0283089999999999E-4</v>
      </c>
      <c r="AA4523">
        <v>0.99934829999999997</v>
      </c>
      <c r="AB4523">
        <v>27</v>
      </c>
      <c r="AC4523">
        <v>0.52280000000001703</v>
      </c>
      <c r="AD4523">
        <v>-6.8701999999999999E-2</v>
      </c>
      <c r="AE4523">
        <v>-4.3819999999996598E-2</v>
      </c>
      <c r="AF4523">
        <v>3.5016042127791198E-2</v>
      </c>
      <c r="AG4523">
        <v>-6.8701999999999999E-2</v>
      </c>
      <c r="AH4523">
        <v>0.51459825657612301</v>
      </c>
      <c r="AI4523">
        <v>97.587029071673697</v>
      </c>
      <c r="AJ4523">
        <v>86.107286578772403</v>
      </c>
      <c r="AK4523">
        <v>0.52034359194812896</v>
      </c>
    </row>
    <row r="4524" spans="1:37" x14ac:dyDescent="0.2">
      <c r="A4524" t="str">
        <f>"20200111160303809"</f>
        <v>20200111160303809</v>
      </c>
      <c r="B4524" t="str">
        <f>"1578729783797387"</f>
        <v>1578729783797387</v>
      </c>
      <c r="C4524" t="s">
        <v>37</v>
      </c>
      <c r="D4524">
        <v>5.5945239999999998</v>
      </c>
      <c r="E4524">
        <v>0.54624669999999997</v>
      </c>
      <c r="F4524" t="s">
        <v>42</v>
      </c>
      <c r="G4524">
        <v>-386.77629999999999</v>
      </c>
      <c r="H4524">
        <v>1.0399700000000001</v>
      </c>
      <c r="I4524">
        <v>17.0398</v>
      </c>
      <c r="J4524">
        <v>-387.2645</v>
      </c>
      <c r="K4524">
        <v>1.1082350000000001</v>
      </c>
      <c r="L4524">
        <v>17.079279999999901</v>
      </c>
      <c r="M4524">
        <v>0.999942199999999</v>
      </c>
      <c r="N4524">
        <v>0</v>
      </c>
      <c r="O4524">
        <v>-8.6248430000000001E-3</v>
      </c>
      <c r="P4524">
        <v>0.99676419999999999</v>
      </c>
      <c r="Q4524">
        <v>-2.6644439999999998E-2</v>
      </c>
      <c r="R4524">
        <v>7.5837699999999994E-2</v>
      </c>
      <c r="S4524">
        <v>3.0117189999999998</v>
      </c>
      <c r="T4524">
        <v>-0.27160450000000003</v>
      </c>
      <c r="U4524">
        <v>-0.14315799999999901</v>
      </c>
      <c r="V4524">
        <v>-8.418486E-2</v>
      </c>
      <c r="W4524">
        <v>-2.124173E-2</v>
      </c>
      <c r="X4524">
        <v>0.99622369999999905</v>
      </c>
      <c r="Y4524">
        <v>3.8741049999999999E-2</v>
      </c>
      <c r="Z4524">
        <v>-9.6659929999999995E-4</v>
      </c>
      <c r="AA4524">
        <v>0.99924880000000005</v>
      </c>
      <c r="AB4524">
        <v>27</v>
      </c>
      <c r="AC4524">
        <v>0.48820000000000602</v>
      </c>
      <c r="AD4524">
        <v>-6.8265000000000006E-2</v>
      </c>
      <c r="AE4524">
        <v>-3.9479999999997503E-2</v>
      </c>
      <c r="AF4524">
        <v>3.4595760281133203E-2</v>
      </c>
      <c r="AG4524">
        <v>-6.8265000000000006E-2</v>
      </c>
      <c r="AH4524">
        <v>0.47921344899025398</v>
      </c>
      <c r="AI4524">
        <v>98.086596362945599</v>
      </c>
      <c r="AJ4524">
        <v>85.870820839470696</v>
      </c>
      <c r="AK4524">
        <v>0.48528600489563301</v>
      </c>
    </row>
    <row r="4525" spans="1:37" x14ac:dyDescent="0.2">
      <c r="A4525" t="str">
        <f>"20200111160303831"</f>
        <v>20200111160303831</v>
      </c>
      <c r="B4525" t="str">
        <f>"1578729783827643"</f>
        <v>1578729783827643</v>
      </c>
      <c r="C4525" t="s">
        <v>37</v>
      </c>
      <c r="D4525">
        <v>5.5521469999999997</v>
      </c>
      <c r="E4525">
        <v>0.54733669999999901</v>
      </c>
      <c r="F4525" t="s">
        <v>42</v>
      </c>
      <c r="G4525">
        <v>-386.53789999999998</v>
      </c>
      <c r="H4525">
        <v>1.039984</v>
      </c>
      <c r="I4525">
        <v>17.047260000000001</v>
      </c>
      <c r="J4525">
        <v>-386.99959999999999</v>
      </c>
      <c r="K4525">
        <v>1.1079680000000001</v>
      </c>
      <c r="L4525">
        <v>17.08389</v>
      </c>
      <c r="M4525">
        <v>0.9999768</v>
      </c>
      <c r="N4525">
        <v>0</v>
      </c>
      <c r="O4525">
        <v>-2.2028740000000001E-3</v>
      </c>
      <c r="P4525">
        <v>0.99627969999999899</v>
      </c>
      <c r="Q4525">
        <v>-2.857084E-2</v>
      </c>
      <c r="R4525">
        <v>8.1306749999999997E-2</v>
      </c>
      <c r="S4525">
        <v>3.012146</v>
      </c>
      <c r="T4525">
        <v>-0.283468</v>
      </c>
      <c r="U4525">
        <v>-0.1315308</v>
      </c>
      <c r="V4525">
        <v>-8.3245600000000003E-2</v>
      </c>
      <c r="W4525">
        <v>-2.3088930000000001E-2</v>
      </c>
      <c r="X4525">
        <v>0.99626150000000002</v>
      </c>
      <c r="Y4525">
        <v>4.1252079999999997E-2</v>
      </c>
      <c r="Z4525">
        <v>-1.7291310000000001E-3</v>
      </c>
      <c r="AA4525">
        <v>0.99914729999999996</v>
      </c>
      <c r="AB4525">
        <v>27</v>
      </c>
      <c r="AC4525">
        <v>0.46170000000000699</v>
      </c>
      <c r="AD4525">
        <v>-6.7984000000000003E-2</v>
      </c>
      <c r="AE4525">
        <v>-3.6629999999998802E-2</v>
      </c>
      <c r="AF4525">
        <v>3.4861689694532398E-2</v>
      </c>
      <c r="AG4525">
        <v>-6.7984000000000003E-2</v>
      </c>
      <c r="AH4525">
        <v>0.45203987732279299</v>
      </c>
      <c r="AI4525">
        <v>98.527882794254694</v>
      </c>
      <c r="AJ4525">
        <v>85.590031153847605</v>
      </c>
      <c r="AK4525">
        <v>0.45845088325180899</v>
      </c>
    </row>
    <row r="4526" spans="1:37" x14ac:dyDescent="0.2">
      <c r="A4526" t="str">
        <f>"20200111160303853"</f>
        <v>20200111160303853</v>
      </c>
      <c r="B4526" t="str">
        <f>"1578729783847163"</f>
        <v>1578729783847163</v>
      </c>
      <c r="C4526" t="s">
        <v>37</v>
      </c>
      <c r="D4526">
        <v>5.5278260000000001</v>
      </c>
      <c r="E4526">
        <v>0.54816450000000005</v>
      </c>
      <c r="F4526" t="s">
        <v>42</v>
      </c>
      <c r="G4526">
        <v>-386.06950000000001</v>
      </c>
      <c r="H4526">
        <v>1.0176019999999999</v>
      </c>
      <c r="I4526">
        <v>17.04552</v>
      </c>
      <c r="J4526">
        <v>-386.73450000000003</v>
      </c>
      <c r="K4526">
        <v>1.1076809999999999</v>
      </c>
      <c r="L4526">
        <v>17.089690000000001</v>
      </c>
      <c r="M4526">
        <v>0.99997199999999997</v>
      </c>
      <c r="N4526">
        <v>0</v>
      </c>
      <c r="O4526">
        <v>3.7690890000000002E-3</v>
      </c>
      <c r="P4526">
        <v>0.99577870000000002</v>
      </c>
      <c r="Q4526">
        <v>-2.9424559999999999E-2</v>
      </c>
      <c r="R4526">
        <v>8.6942790000000006E-2</v>
      </c>
      <c r="S4526">
        <v>3.01287799999999</v>
      </c>
      <c r="T4526">
        <v>-0.29302339999999999</v>
      </c>
      <c r="U4526">
        <v>-0.1235962</v>
      </c>
      <c r="V4526">
        <v>-8.2940050000000001E-2</v>
      </c>
      <c r="W4526">
        <v>-2.3865170000000002E-2</v>
      </c>
      <c r="X4526">
        <v>0.99626870000000001</v>
      </c>
      <c r="Y4526">
        <v>4.4526360000000001E-2</v>
      </c>
      <c r="Z4526">
        <v>-2.5248200000000001E-3</v>
      </c>
      <c r="AA4526">
        <v>0.99900499999999903</v>
      </c>
      <c r="AB4526">
        <v>27</v>
      </c>
      <c r="AC4526">
        <v>0.66500000000002002</v>
      </c>
      <c r="AD4526">
        <v>-9.0078999999999798E-2</v>
      </c>
      <c r="AE4526">
        <v>-4.4170000000001097E-2</v>
      </c>
      <c r="AF4526">
        <v>4.5838797663375903E-2</v>
      </c>
      <c r="AG4526">
        <v>-9.0078999999999798E-2</v>
      </c>
      <c r="AH4526">
        <v>0.65290155814218598</v>
      </c>
      <c r="AI4526">
        <v>97.836297914481904</v>
      </c>
      <c r="AJ4526">
        <v>85.983977856605193</v>
      </c>
      <c r="AK4526">
        <v>0.66067833795025999</v>
      </c>
    </row>
    <row r="4527" spans="1:37" x14ac:dyDescent="0.2">
      <c r="A4527" t="str">
        <f>"20200111160303874"</f>
        <v>20200111160303874</v>
      </c>
      <c r="B4527" t="str">
        <f>"1578729783867659"</f>
        <v>1578729783867659</v>
      </c>
      <c r="C4527" t="s">
        <v>37</v>
      </c>
      <c r="D4527">
        <v>5.5860729999999998</v>
      </c>
      <c r="E4527">
        <v>0.54889759999999999</v>
      </c>
      <c r="F4527" t="s">
        <v>42</v>
      </c>
      <c r="G4527">
        <v>-385.82760000000002</v>
      </c>
      <c r="H4527">
        <v>1.018891</v>
      </c>
      <c r="I4527">
        <v>17.05537</v>
      </c>
      <c r="J4527">
        <v>-386.48099999999999</v>
      </c>
      <c r="K4527">
        <v>1.107424</v>
      </c>
      <c r="L4527">
        <v>17.096250000000001</v>
      </c>
      <c r="M4527">
        <v>0.99993719999999997</v>
      </c>
      <c r="N4527">
        <v>0</v>
      </c>
      <c r="O4527">
        <v>9.1280570000000002E-3</v>
      </c>
      <c r="P4527">
        <v>0.99531950000000002</v>
      </c>
      <c r="Q4527">
        <v>-2.9719059999999999E-2</v>
      </c>
      <c r="R4527">
        <v>9.1955499999999996E-2</v>
      </c>
      <c r="S4527">
        <v>3.0138849999999899</v>
      </c>
      <c r="T4527">
        <v>-0.29542959999999902</v>
      </c>
      <c r="U4527">
        <v>-0.1132507</v>
      </c>
      <c r="V4527">
        <v>-8.2629389999999997E-2</v>
      </c>
      <c r="W4527">
        <v>-2.4087239999999999E-2</v>
      </c>
      <c r="X4527">
        <v>0.99628919999999999</v>
      </c>
      <c r="Y4527">
        <v>4.6404269999999997E-2</v>
      </c>
      <c r="Z4527">
        <v>-3.1604609999999998E-3</v>
      </c>
      <c r="AA4527">
        <v>0.99891779999999997</v>
      </c>
      <c r="AB4527">
        <v>27</v>
      </c>
      <c r="AC4527">
        <v>0.653399999999976</v>
      </c>
      <c r="AD4527">
        <v>-8.8532999999999903E-2</v>
      </c>
      <c r="AE4527">
        <v>-4.0880000000001297E-2</v>
      </c>
      <c r="AF4527">
        <v>4.6001441849395898E-2</v>
      </c>
      <c r="AG4527">
        <v>-8.8532999999999903E-2</v>
      </c>
      <c r="AH4527">
        <v>0.64127231750739999</v>
      </c>
      <c r="AI4527">
        <v>97.840575971779401</v>
      </c>
      <c r="AJ4527">
        <v>85.896935912470298</v>
      </c>
      <c r="AK4527">
        <v>0.648987218628021</v>
      </c>
    </row>
    <row r="4528" spans="1:37" x14ac:dyDescent="0.2">
      <c r="A4528" t="str">
        <f>"20200111160303896"</f>
        <v>20200111160303896</v>
      </c>
      <c r="B4528" t="str">
        <f>"1578729783887179"</f>
        <v>1578729783887179</v>
      </c>
      <c r="C4528" t="s">
        <v>37</v>
      </c>
      <c r="D4528">
        <v>5.443346</v>
      </c>
      <c r="E4528">
        <v>0.54975600000000002</v>
      </c>
      <c r="F4528" t="s">
        <v>42</v>
      </c>
      <c r="G4528">
        <v>-385.58510000000001</v>
      </c>
      <c r="H4528">
        <v>1.019598</v>
      </c>
      <c r="I4528">
        <v>17.06494</v>
      </c>
      <c r="J4528">
        <v>-386.20409999999998</v>
      </c>
      <c r="K4528">
        <v>1.1071690000000001</v>
      </c>
      <c r="L4528">
        <v>17.104520000000001</v>
      </c>
      <c r="M4528">
        <v>0.99987269999999995</v>
      </c>
      <c r="N4528">
        <v>0</v>
      </c>
      <c r="O4528">
        <v>1.456614E-2</v>
      </c>
      <c r="P4528">
        <v>0.99486200000000002</v>
      </c>
      <c r="Q4528">
        <v>-2.999042E-2</v>
      </c>
      <c r="R4528">
        <v>9.6697699999999998E-2</v>
      </c>
      <c r="S4528">
        <v>3.0148320000000002</v>
      </c>
      <c r="T4528">
        <v>-0.2959658</v>
      </c>
      <c r="U4528">
        <v>-0.10385129999999999</v>
      </c>
      <c r="V4528">
        <v>-8.1971970000000005E-2</v>
      </c>
      <c r="W4528">
        <v>-2.4278649999999999E-2</v>
      </c>
      <c r="X4528">
        <v>0.99633879999999997</v>
      </c>
      <c r="Y4528">
        <v>4.8676860000000002E-2</v>
      </c>
      <c r="Z4528">
        <v>-3.8090620000000002E-3</v>
      </c>
      <c r="AA4528">
        <v>0.99880729999999995</v>
      </c>
      <c r="AB4528">
        <v>27</v>
      </c>
      <c r="AC4528">
        <v>0.61899999999997102</v>
      </c>
      <c r="AD4528">
        <v>-8.7570999999999996E-2</v>
      </c>
      <c r="AE4528">
        <v>-3.9580000000000802E-2</v>
      </c>
      <c r="AF4528">
        <v>4.7642780755763503E-2</v>
      </c>
      <c r="AG4528">
        <v>-8.7570999999999996E-2</v>
      </c>
      <c r="AH4528">
        <v>0.60627309402705898</v>
      </c>
      <c r="AI4528">
        <v>98.194127422110299</v>
      </c>
      <c r="AJ4528">
        <v>85.506757508652001</v>
      </c>
      <c r="AK4528">
        <v>0.61441482659542401</v>
      </c>
    </row>
    <row r="4529" spans="1:37" x14ac:dyDescent="0.2">
      <c r="A4529" t="str">
        <f>"20200111160303918"</f>
        <v>20200111160303918</v>
      </c>
      <c r="B4529" t="str">
        <f>"1578729783907674"</f>
        <v>1578729783907674</v>
      </c>
      <c r="C4529" t="s">
        <v>37</v>
      </c>
      <c r="D4529">
        <v>5.3935120000000003</v>
      </c>
      <c r="E4529">
        <v>0.55081659999999999</v>
      </c>
      <c r="F4529" t="s">
        <v>42</v>
      </c>
      <c r="G4529">
        <v>-385.34089999999998</v>
      </c>
      <c r="H4529">
        <v>1.022438</v>
      </c>
      <c r="I4529">
        <v>17.076969999999999</v>
      </c>
      <c r="J4529">
        <v>-385.93770000000001</v>
      </c>
      <c r="K4529">
        <v>1.1069279999999999</v>
      </c>
      <c r="L4529">
        <v>17.113489999999999</v>
      </c>
      <c r="M4529">
        <v>0.99979119999999999</v>
      </c>
      <c r="N4529">
        <v>0</v>
      </c>
      <c r="O4529">
        <v>1.9363970000000001E-2</v>
      </c>
      <c r="P4529">
        <v>0.99448139999999996</v>
      </c>
      <c r="Q4529">
        <v>-2.9815080000000001E-2</v>
      </c>
      <c r="R4529">
        <v>0.1005872</v>
      </c>
      <c r="S4529">
        <v>3.01593</v>
      </c>
      <c r="T4529">
        <v>-0.29608899999999999</v>
      </c>
      <c r="U4529">
        <v>-9.6160889999999999E-2</v>
      </c>
      <c r="V4529">
        <v>-8.1103010000000003E-2</v>
      </c>
      <c r="W4529">
        <v>-2.402557E-2</v>
      </c>
      <c r="X4529">
        <v>0.99641610000000003</v>
      </c>
      <c r="Y4529">
        <v>5.0879300000000002E-2</v>
      </c>
      <c r="Z4529">
        <v>-4.3870389999999997E-3</v>
      </c>
      <c r="AA4529">
        <v>0.99869519999999901</v>
      </c>
      <c r="AB4529">
        <v>27</v>
      </c>
      <c r="AC4529">
        <v>0.59680000000002997</v>
      </c>
      <c r="AD4529">
        <v>-8.4490000000000107E-2</v>
      </c>
      <c r="AE4529">
        <v>-3.6519999999995799E-2</v>
      </c>
      <c r="AF4529">
        <v>4.7128758977663797E-2</v>
      </c>
      <c r="AG4529">
        <v>-8.4490000000000107E-2</v>
      </c>
      <c r="AH4529">
        <v>0.58431346591382805</v>
      </c>
      <c r="AI4529">
        <v>98.201503593210603</v>
      </c>
      <c r="AJ4529">
        <v>85.388697434108806</v>
      </c>
      <c r="AK4529">
        <v>0.59226844122492694</v>
      </c>
    </row>
    <row r="4530" spans="1:37" x14ac:dyDescent="0.2">
      <c r="A4530" t="str">
        <f>"20200111160303939"</f>
        <v>20200111160303939</v>
      </c>
      <c r="B4530" t="str">
        <f>"1578729783937932"</f>
        <v>1578729783937932</v>
      </c>
      <c r="C4530" t="s">
        <v>37</v>
      </c>
      <c r="D4530">
        <v>5.4816120000000002</v>
      </c>
      <c r="E4530">
        <v>0.55233929999999998</v>
      </c>
      <c r="F4530" t="s">
        <v>42</v>
      </c>
      <c r="G4530">
        <v>-385.09589999999997</v>
      </c>
      <c r="H4530">
        <v>1.0245299999999999</v>
      </c>
      <c r="I4530">
        <v>17.087610000000002</v>
      </c>
      <c r="J4530">
        <v>-385.67689999999999</v>
      </c>
      <c r="K4530">
        <v>1.1066780000000001</v>
      </c>
      <c r="L4530">
        <v>17.123079999999899</v>
      </c>
      <c r="M4530">
        <v>0.99969929999999996</v>
      </c>
      <c r="N4530">
        <v>0</v>
      </c>
      <c r="O4530">
        <v>2.3635590000000001E-2</v>
      </c>
      <c r="P4530">
        <v>0.99418130000000005</v>
      </c>
      <c r="Q4530">
        <v>-2.899419E-2</v>
      </c>
      <c r="R4530">
        <v>0.1037448</v>
      </c>
      <c r="S4530">
        <v>3.0171199999999998</v>
      </c>
      <c r="T4530">
        <v>-0.29537429999999998</v>
      </c>
      <c r="U4530">
        <v>-9.2620850000000005E-2</v>
      </c>
      <c r="V4530">
        <v>-8.0031829999999998E-2</v>
      </c>
      <c r="W4530">
        <v>-2.312643E-2</v>
      </c>
      <c r="X4530">
        <v>0.99652399999999997</v>
      </c>
      <c r="Y4530">
        <v>5.392984E-2</v>
      </c>
      <c r="Z4530">
        <v>-4.9408880000000001E-3</v>
      </c>
      <c r="AA4530">
        <v>0.99853250000000005</v>
      </c>
      <c r="AB4530">
        <v>27</v>
      </c>
      <c r="AC4530">
        <v>0.58100000000001695</v>
      </c>
      <c r="AD4530">
        <v>-8.2148000000000096E-2</v>
      </c>
      <c r="AE4530">
        <v>-3.5469999999996497E-2</v>
      </c>
      <c r="AF4530">
        <v>4.8232019561266999E-2</v>
      </c>
      <c r="AG4530">
        <v>-8.2148000000000096E-2</v>
      </c>
      <c r="AH4530">
        <v>0.56867299663975002</v>
      </c>
      <c r="AI4530">
        <v>98.190828666174994</v>
      </c>
      <c r="AJ4530">
        <v>85.152058994947296</v>
      </c>
      <c r="AK4530">
        <v>0.57659656495871603</v>
      </c>
    </row>
    <row r="4531" spans="1:37" x14ac:dyDescent="0.2">
      <c r="A4531" t="str">
        <f>"20200111160303963"</f>
        <v>20200111160303963</v>
      </c>
      <c r="B4531" t="str">
        <f>"1578729783957958"</f>
        <v>1578729783957958</v>
      </c>
      <c r="C4531" t="s">
        <v>37</v>
      </c>
      <c r="D4531">
        <v>6.0366580000000001</v>
      </c>
      <c r="E4531">
        <v>0.55310579999999998</v>
      </c>
      <c r="F4531" t="s">
        <v>42</v>
      </c>
      <c r="G4531">
        <v>-384.85</v>
      </c>
      <c r="H4531">
        <v>1.026802</v>
      </c>
      <c r="I4531">
        <v>17.096989999999899</v>
      </c>
      <c r="J4531">
        <v>-385.39229999999998</v>
      </c>
      <c r="K4531">
        <v>1.106385</v>
      </c>
      <c r="L4531">
        <v>17.134339999999899</v>
      </c>
      <c r="M4531">
        <v>0.99959109999999995</v>
      </c>
      <c r="N4531">
        <v>0</v>
      </c>
      <c r="O4531">
        <v>2.783103E-2</v>
      </c>
      <c r="P4531">
        <v>0.99389019999999995</v>
      </c>
      <c r="Q4531">
        <v>-2.8406099999999899E-2</v>
      </c>
      <c r="R4531">
        <v>0.10665470000000001</v>
      </c>
      <c r="S4531">
        <v>3.0189509999999999</v>
      </c>
      <c r="T4531">
        <v>-0.29176740000000001</v>
      </c>
      <c r="U4531">
        <v>-9.4848630000000003E-2</v>
      </c>
      <c r="V4531">
        <v>-7.8787049999999997E-2</v>
      </c>
      <c r="W4531">
        <v>-2.2449279999999999E-2</v>
      </c>
      <c r="X4531">
        <v>0.99663869999999899</v>
      </c>
      <c r="Y4531">
        <v>5.880465E-2</v>
      </c>
      <c r="Z4531">
        <v>-5.5172149999999998E-3</v>
      </c>
      <c r="AA4531">
        <v>0.99825419999999998</v>
      </c>
      <c r="AB4531">
        <v>27</v>
      </c>
      <c r="AC4531">
        <v>0.54229999999995404</v>
      </c>
      <c r="AD4531">
        <v>-7.9582999999999904E-2</v>
      </c>
      <c r="AE4531">
        <v>-3.7350000000000001E-2</v>
      </c>
      <c r="AF4531">
        <v>5.1328442790937401E-2</v>
      </c>
      <c r="AG4531">
        <v>-7.9582999999999904E-2</v>
      </c>
      <c r="AH4531">
        <v>0.52969681638988897</v>
      </c>
      <c r="AI4531">
        <v>98.505105252759193</v>
      </c>
      <c r="AJ4531">
        <v>84.465230626408797</v>
      </c>
      <c r="AK4531">
        <v>0.538095512174117</v>
      </c>
    </row>
    <row r="4532" spans="1:37" x14ac:dyDescent="0.2">
      <c r="A4532" t="str">
        <f>"20200111160303986"</f>
        <v>20200111160303986</v>
      </c>
      <c r="B4532" t="str">
        <f>"1578729783977478"</f>
        <v>1578729783977478</v>
      </c>
      <c r="C4532" t="s">
        <v>37</v>
      </c>
      <c r="D4532">
        <v>5.2053669999999999</v>
      </c>
      <c r="E4532">
        <v>0.55184809999999995</v>
      </c>
      <c r="F4532" t="s">
        <v>42</v>
      </c>
      <c r="G4532">
        <v>-384.60149999999999</v>
      </c>
      <c r="H4532">
        <v>1.0326360000000001</v>
      </c>
      <c r="I4532">
        <v>17.109960000000001</v>
      </c>
      <c r="J4532">
        <v>-385.11189999999999</v>
      </c>
      <c r="K4532">
        <v>1.10609</v>
      </c>
      <c r="L4532">
        <v>17.14612</v>
      </c>
      <c r="M4532">
        <v>0.99948169999999903</v>
      </c>
      <c r="N4532">
        <v>0</v>
      </c>
      <c r="O4532">
        <v>3.1511539999999998E-2</v>
      </c>
      <c r="P4532">
        <v>0.99365130000000002</v>
      </c>
      <c r="Q4532">
        <v>-2.8114360000000001E-2</v>
      </c>
      <c r="R4532">
        <v>0.108934999999999</v>
      </c>
      <c r="S4532">
        <v>3.0203250000000001</v>
      </c>
      <c r="T4532">
        <v>-0.28179850000000001</v>
      </c>
      <c r="U4532">
        <v>-9.2468259999999997E-2</v>
      </c>
      <c r="V4532">
        <v>-7.7423249999999999E-2</v>
      </c>
      <c r="W4532">
        <v>-2.206435E-2</v>
      </c>
      <c r="X4532">
        <v>0.99675409999999998</v>
      </c>
      <c r="Y4532">
        <v>6.167885E-2</v>
      </c>
      <c r="Z4532">
        <v>-5.8034860000000001E-3</v>
      </c>
      <c r="AA4532">
        <v>0.99807919999999895</v>
      </c>
      <c r="AB4532">
        <v>28</v>
      </c>
      <c r="AC4532">
        <v>0.51040000000000396</v>
      </c>
      <c r="AD4532">
        <v>-7.3453999999999894E-2</v>
      </c>
      <c r="AE4532">
        <v>-3.6159999999998797E-2</v>
      </c>
      <c r="AF4532">
        <v>5.1171342924069198E-2</v>
      </c>
      <c r="AG4532">
        <v>-7.3453999999999894E-2</v>
      </c>
      <c r="AH4532">
        <v>0.498729239283834</v>
      </c>
      <c r="AI4532">
        <v>98.335279866358903</v>
      </c>
      <c r="AJ4532">
        <v>84.1417551819262</v>
      </c>
      <c r="AK4532">
        <v>0.50669996109066795</v>
      </c>
    </row>
    <row r="4533" spans="1:37" x14ac:dyDescent="0.2">
      <c r="A4533" t="str">
        <f>"20200111160304008"</f>
        <v>20200111160304008</v>
      </c>
      <c r="B4533" t="str">
        <f>"1578729783996997"</f>
        <v>1578729783996997</v>
      </c>
      <c r="C4533" t="s">
        <v>37</v>
      </c>
      <c r="D4533">
        <v>5.2479480000000001</v>
      </c>
      <c r="E4533">
        <v>0.45361170000000001</v>
      </c>
      <c r="F4533" t="s">
        <v>42</v>
      </c>
      <c r="G4533">
        <v>-384.35340000000002</v>
      </c>
      <c r="H4533">
        <v>1.03623</v>
      </c>
      <c r="I4533">
        <v>17.127079999999999</v>
      </c>
      <c r="J4533">
        <v>-384.83749999999998</v>
      </c>
      <c r="K4533">
        <v>1.1058139999999901</v>
      </c>
      <c r="L4533">
        <v>17.15814</v>
      </c>
      <c r="M4533">
        <v>0.99937580000000004</v>
      </c>
      <c r="N4533">
        <v>0</v>
      </c>
      <c r="O4533">
        <v>3.4703779999999997E-2</v>
      </c>
      <c r="P4533">
        <v>0.99347559999999902</v>
      </c>
      <c r="Q4533">
        <v>-2.7951739999999999E-2</v>
      </c>
      <c r="R4533">
        <v>0.1105698</v>
      </c>
      <c r="S4533">
        <v>3.0195919999999998</v>
      </c>
      <c r="T4533">
        <v>-0.27812389999999998</v>
      </c>
      <c r="U4533">
        <v>-7.5683589999999995E-2</v>
      </c>
      <c r="V4533">
        <v>-7.5896489999999997E-2</v>
      </c>
      <c r="W4533">
        <v>-2.1809129999999999E-2</v>
      </c>
      <c r="X4533">
        <v>0.99687719999999902</v>
      </c>
      <c r="Y4533">
        <v>5.9337000000000001E-2</v>
      </c>
      <c r="Z4533">
        <v>-5.9155900000000001E-3</v>
      </c>
      <c r="AA4533">
        <v>0.99822049999999996</v>
      </c>
      <c r="AB4533">
        <v>28</v>
      </c>
      <c r="AC4533">
        <v>0.48409999999995501</v>
      </c>
      <c r="AD4533">
        <v>-6.9583999999999799E-2</v>
      </c>
      <c r="AE4533">
        <v>-3.1060000000000001E-2</v>
      </c>
      <c r="AF4533">
        <v>4.68772033930882E-2</v>
      </c>
      <c r="AG4533">
        <v>-6.9583999999999799E-2</v>
      </c>
      <c r="AH4533">
        <v>0.47299797727209703</v>
      </c>
      <c r="AI4533">
        <v>98.328680358158806</v>
      </c>
      <c r="AJ4533">
        <v>84.340094721893493</v>
      </c>
      <c r="AK4533">
        <v>0.48038161055295597</v>
      </c>
    </row>
    <row r="4534" spans="1:37" x14ac:dyDescent="0.2">
      <c r="A4534" t="str">
        <f>"20200111160304031"</f>
        <v>20200111160304031</v>
      </c>
      <c r="B4534" t="str">
        <f>"1578729784027255"</f>
        <v>1578729784027255</v>
      </c>
      <c r="C4534" t="s">
        <v>37</v>
      </c>
      <c r="D4534">
        <v>5.1339009999999998</v>
      </c>
      <c r="E4534">
        <v>0.44871250000000001</v>
      </c>
      <c r="F4534" t="s">
        <v>38</v>
      </c>
      <c r="G4534">
        <v>-322.53530000000001</v>
      </c>
      <c r="H4534">
        <v>7.9985890000000004E-2</v>
      </c>
      <c r="I4534">
        <v>31.95073</v>
      </c>
      <c r="J4534">
        <v>-384.56670000000003</v>
      </c>
      <c r="K4534">
        <v>1.105572</v>
      </c>
      <c r="L4534">
        <v>17.170500000000001</v>
      </c>
      <c r="M4534">
        <v>0.99927549999999898</v>
      </c>
      <c r="N4534">
        <v>0</v>
      </c>
      <c r="O4534">
        <v>3.7475939999999999E-2</v>
      </c>
      <c r="P4534">
        <v>0.99330110000000005</v>
      </c>
      <c r="Q4534">
        <v>-2.6732780000000001E-2</v>
      </c>
      <c r="R4534">
        <v>0.1124212</v>
      </c>
      <c r="S4534">
        <v>2.940674</v>
      </c>
      <c r="T4534">
        <v>-4.8419240000000002E-2</v>
      </c>
      <c r="U4534">
        <v>0.69821169999999899</v>
      </c>
      <c r="V4534">
        <v>-7.5008649999999996E-2</v>
      </c>
      <c r="W4534">
        <v>-2.0507239999999999E-2</v>
      </c>
      <c r="X4534">
        <v>0.99697199999999997</v>
      </c>
      <c r="Y4534">
        <v>-0.19436489999999901</v>
      </c>
      <c r="Z4534">
        <v>9.703073E-4</v>
      </c>
      <c r="AA4534">
        <v>0.98092880000000005</v>
      </c>
      <c r="AB4534">
        <v>28</v>
      </c>
      <c r="AC4534">
        <v>62.031399999999998</v>
      </c>
      <c r="AD4534">
        <v>-1.0255861100000001</v>
      </c>
      <c r="AE4534">
        <v>14.78023</v>
      </c>
      <c r="AF4534">
        <v>-12.441892379016601</v>
      </c>
      <c r="AG4534">
        <v>-1.0255861100000001</v>
      </c>
      <c r="AH4534">
        <v>62.525564859809798</v>
      </c>
      <c r="AI4534">
        <v>90.921652610984196</v>
      </c>
      <c r="AJ4534">
        <v>101.254217163942</v>
      </c>
      <c r="AK4534">
        <v>63.759695528431898</v>
      </c>
    </row>
    <row r="4535" spans="1:37" x14ac:dyDescent="0.2">
      <c r="A4535" t="str">
        <f>"20200111160304052"</f>
        <v>20200111160304052</v>
      </c>
      <c r="B4535" t="str">
        <f>"1578729784047749"</f>
        <v>1578729784047749</v>
      </c>
      <c r="C4535" t="s">
        <v>37</v>
      </c>
      <c r="D4535">
        <v>5.2521379999999898</v>
      </c>
      <c r="E4535">
        <v>0.44832870000000002</v>
      </c>
      <c r="F4535" t="s">
        <v>38</v>
      </c>
      <c r="G4535">
        <v>-352.13670000000002</v>
      </c>
      <c r="H4535" s="1">
        <v>-4.5763630000000004E-6</v>
      </c>
      <c r="I4535">
        <v>25.40849</v>
      </c>
      <c r="J4535">
        <v>-384.27980000000002</v>
      </c>
      <c r="K4535">
        <v>1.1053549999999901</v>
      </c>
      <c r="L4535">
        <v>17.184079999999899</v>
      </c>
      <c r="M4535">
        <v>0.99917540000000005</v>
      </c>
      <c r="N4535">
        <v>0</v>
      </c>
      <c r="O4535">
        <v>4.0048739999999999E-2</v>
      </c>
      <c r="P4535">
        <v>0.99318770000000001</v>
      </c>
      <c r="Q4535">
        <v>-2.4039129999999999E-2</v>
      </c>
      <c r="R4535">
        <v>0.114019</v>
      </c>
      <c r="S4535">
        <v>2.93322799999999</v>
      </c>
      <c r="T4535">
        <v>-9.9997279999999994E-2</v>
      </c>
      <c r="U4535">
        <v>0.74511719999999904</v>
      </c>
      <c r="V4535">
        <v>-7.4067499999999994E-2</v>
      </c>
      <c r="W4535">
        <v>-1.7733639999999998E-2</v>
      </c>
      <c r="X4535">
        <v>0.99709550000000002</v>
      </c>
      <c r="Y4535">
        <v>-0.2071016</v>
      </c>
      <c r="Z4535">
        <v>2.1323470000000001E-3</v>
      </c>
      <c r="AA4535">
        <v>0.97831710000000005</v>
      </c>
      <c r="AB4535">
        <v>28</v>
      </c>
      <c r="AC4535">
        <v>32.143099999999997</v>
      </c>
      <c r="AD4535">
        <v>-1.105359576363</v>
      </c>
      <c r="AE4535">
        <v>8.2244100000000007</v>
      </c>
      <c r="AF4535">
        <v>-6.9228083623375598</v>
      </c>
      <c r="AG4535">
        <v>-1.105359576363</v>
      </c>
      <c r="AH4535">
        <v>32.410722679347501</v>
      </c>
      <c r="AI4535">
        <v>91.910244255793202</v>
      </c>
      <c r="AJ4535">
        <v>102.056981867567</v>
      </c>
      <c r="AK4535">
        <v>33.160247888281603</v>
      </c>
    </row>
    <row r="4536" spans="1:37" x14ac:dyDescent="0.2">
      <c r="A4536" t="str">
        <f>"20200111160304076"</f>
        <v>20200111160304076</v>
      </c>
      <c r="B4536" t="str">
        <f>"1578729784067637"</f>
        <v>1578729784067637</v>
      </c>
      <c r="C4536" t="s">
        <v>37</v>
      </c>
      <c r="D4536">
        <v>5.1629209999999999</v>
      </c>
      <c r="E4536">
        <v>0.448795</v>
      </c>
      <c r="F4536" t="s">
        <v>38</v>
      </c>
      <c r="G4536">
        <v>-351.50319999999999</v>
      </c>
      <c r="H4536" s="1">
        <v>-4.8268600000000001E-6</v>
      </c>
      <c r="I4536">
        <v>25.605439999999899</v>
      </c>
      <c r="J4536">
        <v>-383.986999999999</v>
      </c>
      <c r="K4536">
        <v>1.105192</v>
      </c>
      <c r="L4536">
        <v>17.1983</v>
      </c>
      <c r="M4536">
        <v>0.99907829999999997</v>
      </c>
      <c r="N4536">
        <v>0</v>
      </c>
      <c r="O4536">
        <v>4.2400970000000003E-2</v>
      </c>
      <c r="P4536">
        <v>0.99301079999999997</v>
      </c>
      <c r="Q4536">
        <v>-2.017977E-2</v>
      </c>
      <c r="R4536">
        <v>0.1162874</v>
      </c>
      <c r="S4536">
        <v>2.9317319999999998</v>
      </c>
      <c r="T4536">
        <v>-9.8870159999999999E-2</v>
      </c>
      <c r="U4536">
        <v>0.75326539999999997</v>
      </c>
      <c r="V4536">
        <v>-7.4019290000000001E-2</v>
      </c>
      <c r="W4536">
        <v>-1.380501E-2</v>
      </c>
      <c r="X4536">
        <v>0.99716130000000003</v>
      </c>
      <c r="Y4536">
        <v>-0.20747280000000001</v>
      </c>
      <c r="Z4536">
        <v>2.037044E-3</v>
      </c>
      <c r="AA4536">
        <v>0.97823859999999996</v>
      </c>
      <c r="AB4536">
        <v>28</v>
      </c>
      <c r="AC4536">
        <v>32.483799999999903</v>
      </c>
      <c r="AD4536">
        <v>-1.1051968268600001</v>
      </c>
      <c r="AE4536">
        <v>8.4071399999999894</v>
      </c>
      <c r="AF4536">
        <v>-7.0145933805404299</v>
      </c>
      <c r="AG4536">
        <v>-1.1051968268600001</v>
      </c>
      <c r="AH4536">
        <v>32.775506019014301</v>
      </c>
      <c r="AI4536">
        <v>91.888557987942704</v>
      </c>
      <c r="AJ4536">
        <v>102.080166232572</v>
      </c>
      <c r="AK4536">
        <v>33.535947505965403</v>
      </c>
    </row>
    <row r="4537" spans="1:37" x14ac:dyDescent="0.2">
      <c r="A4537" t="str">
        <f>"20200111160304098"</f>
        <v>20200111160304098</v>
      </c>
      <c r="B4537" t="str">
        <f>"1578729784087160"</f>
        <v>1578729784087160</v>
      </c>
      <c r="C4537" t="s">
        <v>37</v>
      </c>
      <c r="D4537">
        <v>5.1110329999999999</v>
      </c>
      <c r="E4537">
        <v>0.44811450000000003</v>
      </c>
      <c r="F4537" t="s">
        <v>38</v>
      </c>
      <c r="G4537">
        <v>-351.00099999999998</v>
      </c>
      <c r="H4537" s="1">
        <v>-5.0175529999999998E-6</v>
      </c>
      <c r="I4537">
        <v>25.716950000000001</v>
      </c>
      <c r="J4537">
        <v>-383.71550000000002</v>
      </c>
      <c r="K4537">
        <v>1.105081</v>
      </c>
      <c r="L4537">
        <v>17.211939999999998</v>
      </c>
      <c r="M4537">
        <v>0.99899210000000005</v>
      </c>
      <c r="N4537">
        <v>0</v>
      </c>
      <c r="O4537">
        <v>4.4374160000000003E-2</v>
      </c>
      <c r="P4537">
        <v>0.99291469999999904</v>
      </c>
      <c r="Q4537">
        <v>-1.515413E-2</v>
      </c>
      <c r="R4537">
        <v>0.11785909999999999</v>
      </c>
      <c r="S4537">
        <v>2.9304809999999999</v>
      </c>
      <c r="T4537">
        <v>-9.8185899999999895E-2</v>
      </c>
      <c r="U4537">
        <v>0.75680539999999996</v>
      </c>
      <c r="V4537">
        <v>-7.3648359999999996E-2</v>
      </c>
      <c r="W4537">
        <v>-8.7061710000000004E-3</v>
      </c>
      <c r="X4537">
        <v>0.99724629999999903</v>
      </c>
      <c r="Y4537">
        <v>-0.20675209999999999</v>
      </c>
      <c r="Z4537">
        <v>1.9468160000000001E-3</v>
      </c>
      <c r="AA4537">
        <v>0.97839140000000002</v>
      </c>
      <c r="AB4537">
        <v>28</v>
      </c>
      <c r="AC4537">
        <v>32.714500000000001</v>
      </c>
      <c r="AD4537">
        <v>-1.105086017553</v>
      </c>
      <c r="AE4537">
        <v>8.5050100000000004</v>
      </c>
      <c r="AF4537">
        <v>-7.0373986142277696</v>
      </c>
      <c r="AG4537">
        <v>-1.105086017553</v>
      </c>
      <c r="AH4537">
        <v>33.024388050605502</v>
      </c>
      <c r="AI4537">
        <v>91.874500472797905</v>
      </c>
      <c r="AJ4537">
        <v>102.029624037085</v>
      </c>
      <c r="AK4537">
        <v>33.783966618481998</v>
      </c>
    </row>
    <row r="4538" spans="1:37" x14ac:dyDescent="0.2">
      <c r="A4538" t="str">
        <f>"20200111160304209"</f>
        <v>20200111160304209</v>
      </c>
      <c r="B4538" t="str">
        <f>"1578729784197444"</f>
        <v>1578729784197444</v>
      </c>
      <c r="C4538" t="s">
        <v>37</v>
      </c>
      <c r="D4538">
        <v>5.2382460000000002</v>
      </c>
      <c r="E4538">
        <v>0.44954549999999999</v>
      </c>
      <c r="F4538" t="s">
        <v>38</v>
      </c>
      <c r="G4538">
        <v>-343.59269999999998</v>
      </c>
      <c r="H4538" s="1">
        <v>-4.4901959999999997E-6</v>
      </c>
      <c r="I4538">
        <v>27.716109999999901</v>
      </c>
      <c r="J4538">
        <v>-382.31880000000001</v>
      </c>
      <c r="K4538">
        <v>1.1048229999999899</v>
      </c>
      <c r="L4538">
        <v>17.287320000000001</v>
      </c>
      <c r="M4538">
        <v>0.99860119999999897</v>
      </c>
      <c r="N4538">
        <v>0</v>
      </c>
      <c r="O4538">
        <v>5.2284520000000001E-2</v>
      </c>
      <c r="P4538">
        <v>0.99252649999999998</v>
      </c>
      <c r="Q4538">
        <v>-1.449778E-2</v>
      </c>
      <c r="R4538">
        <v>0.1211672</v>
      </c>
      <c r="S4538">
        <v>2.9291079999999998</v>
      </c>
      <c r="T4538">
        <v>-8.0675010000000005E-2</v>
      </c>
      <c r="U4538">
        <v>0.76684569999999996</v>
      </c>
      <c r="V4538">
        <v>-6.9087389999999999E-2</v>
      </c>
      <c r="W4538">
        <v>-6.8197479999999996E-3</v>
      </c>
      <c r="X4538">
        <v>0.99758729999999995</v>
      </c>
      <c r="Y4538">
        <v>-0.202285299999999</v>
      </c>
      <c r="Z4538">
        <v>1.325952E-3</v>
      </c>
      <c r="AA4538">
        <v>0.97932569999999997</v>
      </c>
      <c r="AB4538">
        <v>28</v>
      </c>
      <c r="AC4538">
        <v>38.726100000000002</v>
      </c>
      <c r="AD4538">
        <v>-1.10482749019599</v>
      </c>
      <c r="AE4538">
        <v>10.4287899999999</v>
      </c>
      <c r="AF4538">
        <v>-8.3833246492438391</v>
      </c>
      <c r="AG4538">
        <v>-1.10482749019599</v>
      </c>
      <c r="AH4538">
        <v>39.188669772117201</v>
      </c>
      <c r="AI4538">
        <v>91.579174129299602</v>
      </c>
      <c r="AJ4538">
        <v>102.074839631599</v>
      </c>
      <c r="AK4538">
        <v>40.090555177819198</v>
      </c>
    </row>
    <row r="4539" spans="1:37" x14ac:dyDescent="0.2">
      <c r="A4539" t="str">
        <f>"20200111160304231"</f>
        <v>20200111160304231</v>
      </c>
      <c r="B4539" t="str">
        <f>"1578729784227700"</f>
        <v>1578729784227700</v>
      </c>
      <c r="C4539" t="s">
        <v>37</v>
      </c>
      <c r="D4539">
        <v>5.3208060000000001</v>
      </c>
      <c r="E4539">
        <v>0.45198579999999999</v>
      </c>
      <c r="F4539" t="s">
        <v>38</v>
      </c>
      <c r="G4539">
        <v>-347.25199999999899</v>
      </c>
      <c r="H4539" s="1">
        <v>-2.9848089999999998E-6</v>
      </c>
      <c r="I4539">
        <v>26.469929999999898</v>
      </c>
      <c r="J4539">
        <v>-382.04410000000001</v>
      </c>
      <c r="K4539">
        <v>1.1048899999999999</v>
      </c>
      <c r="L4539">
        <v>17.303159999999998</v>
      </c>
      <c r="M4539">
        <v>0.99852819999999998</v>
      </c>
      <c r="N4539">
        <v>0</v>
      </c>
      <c r="O4539">
        <v>5.357543E-2</v>
      </c>
      <c r="P4539">
        <v>0.99282289999999995</v>
      </c>
      <c r="Q4539">
        <v>-1.3054349999999999E-2</v>
      </c>
      <c r="R4539">
        <v>0.1188789</v>
      </c>
      <c r="S4539">
        <v>2.9276119999999999</v>
      </c>
      <c r="T4539">
        <v>-9.2238189999999998E-2</v>
      </c>
      <c r="U4539">
        <v>0.76663210000000004</v>
      </c>
      <c r="V4539">
        <v>-6.5502930000000001E-2</v>
      </c>
      <c r="W4539">
        <v>-4.8177910000000001E-3</v>
      </c>
      <c r="X4539">
        <v>0.99784079999999997</v>
      </c>
      <c r="Y4539">
        <v>-0.2010593</v>
      </c>
      <c r="Z4539">
        <v>1.4578729999999999E-3</v>
      </c>
      <c r="AA4539">
        <v>0.97957799999999995</v>
      </c>
      <c r="AB4539">
        <v>28</v>
      </c>
      <c r="AC4539">
        <v>34.792099999999998</v>
      </c>
      <c r="AD4539">
        <v>-1.1048929848089999</v>
      </c>
      <c r="AE4539">
        <v>9.1667699999999908</v>
      </c>
      <c r="AF4539">
        <v>-7.2826679310196996</v>
      </c>
      <c r="AG4539">
        <v>-1.1048929848089999</v>
      </c>
      <c r="AH4539">
        <v>35.200064131558499</v>
      </c>
      <c r="AI4539">
        <v>91.760601746632901</v>
      </c>
      <c r="AJ4539">
        <v>101.689206906696</v>
      </c>
      <c r="AK4539">
        <v>35.962515979380697</v>
      </c>
    </row>
    <row r="4540" spans="1:37" x14ac:dyDescent="0.2">
      <c r="A4540" t="str">
        <f>"20200111160304265"</f>
        <v>20200111160304265</v>
      </c>
      <c r="B4540" t="str">
        <f>"1578729784257957"</f>
        <v>1578729784257957</v>
      </c>
      <c r="C4540" t="s">
        <v>37</v>
      </c>
      <c r="D4540">
        <v>5.3262179999999999</v>
      </c>
      <c r="E4540">
        <v>0.45347680000000001</v>
      </c>
      <c r="F4540" t="s">
        <v>38</v>
      </c>
      <c r="G4540">
        <v>-352.8931</v>
      </c>
      <c r="H4540" s="1">
        <v>-4.1904309999999902E-6</v>
      </c>
      <c r="I4540">
        <v>24.684059999999999</v>
      </c>
      <c r="J4540">
        <v>-381.6053</v>
      </c>
      <c r="K4540">
        <v>1.105019</v>
      </c>
      <c r="L4540">
        <v>17.329129999999999</v>
      </c>
      <c r="M4540">
        <v>0.99840949999999995</v>
      </c>
      <c r="N4540">
        <v>0</v>
      </c>
      <c r="O4540">
        <v>5.5583239999999999E-2</v>
      </c>
      <c r="P4540">
        <v>0.99313410000000002</v>
      </c>
      <c r="Q4540">
        <v>-1.2944519999999999E-2</v>
      </c>
      <c r="R4540">
        <v>0.11626449999999899</v>
      </c>
      <c r="S4540">
        <v>2.9313660000000001</v>
      </c>
      <c r="T4540">
        <v>-0.111106</v>
      </c>
      <c r="U4540">
        <v>0.74221800000000004</v>
      </c>
      <c r="V4540">
        <v>-6.0871519999999998E-2</v>
      </c>
      <c r="W4540">
        <v>-3.6755939999999999E-3</v>
      </c>
      <c r="X4540">
        <v>0.99813879999999999</v>
      </c>
      <c r="Y4540">
        <v>-0.19109709999999999</v>
      </c>
      <c r="Z4540">
        <v>1.495031E-3</v>
      </c>
      <c r="AA4540">
        <v>0.98157000000000005</v>
      </c>
      <c r="AB4540">
        <v>28</v>
      </c>
      <c r="AC4540">
        <v>28.712199999999999</v>
      </c>
      <c r="AD4540">
        <v>-1.1050231904309999</v>
      </c>
      <c r="AE4540">
        <v>7.3549300000000004</v>
      </c>
      <c r="AF4540">
        <v>-5.73959266441135</v>
      </c>
      <c r="AG4540">
        <v>-1.1050231904309999</v>
      </c>
      <c r="AH4540">
        <v>29.036277827561101</v>
      </c>
      <c r="AI4540">
        <v>92.138101546955795</v>
      </c>
      <c r="AJ4540">
        <v>101.18149466097699</v>
      </c>
      <c r="AK4540">
        <v>29.618734447711802</v>
      </c>
    </row>
    <row r="4541" spans="1:37" x14ac:dyDescent="0.2">
      <c r="A4541" t="str">
        <f>"20200111160304287"</f>
        <v>20200111160304287</v>
      </c>
      <c r="B4541" t="str">
        <f>"1578729784277476"</f>
        <v>1578729784277476</v>
      </c>
      <c r="C4541" t="s">
        <v>37</v>
      </c>
      <c r="D4541">
        <v>5.3070919999999999</v>
      </c>
      <c r="E4541">
        <v>0.45433570000000001</v>
      </c>
      <c r="F4541" t="s">
        <v>38</v>
      </c>
      <c r="G4541">
        <v>-356.3605</v>
      </c>
      <c r="H4541" s="1">
        <v>-2.5917999999999999E-6</v>
      </c>
      <c r="I4541">
        <v>23.555520000000001</v>
      </c>
      <c r="J4541">
        <v>-381.33</v>
      </c>
      <c r="K4541">
        <v>1.1051010000000001</v>
      </c>
      <c r="L4541">
        <v>17.345859999999998</v>
      </c>
      <c r="M4541">
        <v>0.99833269999999996</v>
      </c>
      <c r="N4541">
        <v>0</v>
      </c>
      <c r="O4541">
        <v>5.683759E-2</v>
      </c>
      <c r="P4541">
        <v>0.99328609999999995</v>
      </c>
      <c r="Q4541">
        <v>-1.3849149999999999E-2</v>
      </c>
      <c r="R4541">
        <v>0.1148528</v>
      </c>
      <c r="S4541">
        <v>2.9342959999999998</v>
      </c>
      <c r="T4541">
        <v>-0.12844049999999901</v>
      </c>
      <c r="U4541">
        <v>0.72372440000000005</v>
      </c>
      <c r="V4541">
        <v>-5.8198779999999999E-2</v>
      </c>
      <c r="W4541">
        <v>-3.9332639999999997E-3</v>
      </c>
      <c r="X4541">
        <v>0.99829729999999905</v>
      </c>
      <c r="Y4541">
        <v>-0.1837791</v>
      </c>
      <c r="Z4541">
        <v>1.5160389999999901E-3</v>
      </c>
      <c r="AA4541">
        <v>0.98296640000000002</v>
      </c>
      <c r="AB4541">
        <v>28</v>
      </c>
      <c r="AC4541">
        <v>24.969499999999901</v>
      </c>
      <c r="AD4541">
        <v>-1.1051035918000001</v>
      </c>
      <c r="AE4541">
        <v>6.2096599999999897</v>
      </c>
      <c r="AF4541">
        <v>-4.7715405455373396</v>
      </c>
      <c r="AG4541">
        <v>-1.1051035918000001</v>
      </c>
      <c r="AH4541">
        <v>25.235539273567799</v>
      </c>
      <c r="AI4541">
        <v>92.463868172081405</v>
      </c>
      <c r="AJ4541">
        <v>100.707093483356</v>
      </c>
      <c r="AK4541">
        <v>25.706444630755499</v>
      </c>
    </row>
    <row r="4542" spans="1:37" x14ac:dyDescent="0.2">
      <c r="A4542" t="str">
        <f>"20200111160304309"</f>
        <v>20200111160304309</v>
      </c>
      <c r="B4542" t="str">
        <f>"1578729784297972"</f>
        <v>1578729784297972</v>
      </c>
      <c r="C4542" t="s">
        <v>37</v>
      </c>
      <c r="D4542">
        <v>5.3327849999999897</v>
      </c>
      <c r="E4542">
        <v>0.476052999999999</v>
      </c>
      <c r="F4542" t="s">
        <v>38</v>
      </c>
      <c r="G4542">
        <v>-358.29410000000001</v>
      </c>
      <c r="H4542" s="1">
        <v>-1.599027E-6</v>
      </c>
      <c r="I4542">
        <v>22.941979999999901</v>
      </c>
      <c r="J4542">
        <v>-381.05900000000003</v>
      </c>
      <c r="K4542">
        <v>1.10517</v>
      </c>
      <c r="L4542">
        <v>17.3627</v>
      </c>
      <c r="M4542">
        <v>0.99825529999999996</v>
      </c>
      <c r="N4542">
        <v>0</v>
      </c>
      <c r="O4542">
        <v>5.807491E-2</v>
      </c>
      <c r="P4542">
        <v>0.99340379999999995</v>
      </c>
      <c r="Q4542">
        <v>-1.428403E-2</v>
      </c>
      <c r="R4542">
        <v>0.11377669999999999</v>
      </c>
      <c r="S4542">
        <v>2.935883</v>
      </c>
      <c r="T4542">
        <v>-0.1408433</v>
      </c>
      <c r="U4542">
        <v>0.71322629999999998</v>
      </c>
      <c r="V4542">
        <v>-5.588042E-2</v>
      </c>
      <c r="W4542">
        <v>-3.767505E-3</v>
      </c>
      <c r="X4542">
        <v>0.99843040000000005</v>
      </c>
      <c r="Y4542">
        <v>-0.17910179999999901</v>
      </c>
      <c r="Z4542">
        <v>1.4932929999999999E-3</v>
      </c>
      <c r="AA4542">
        <v>0.98382939999999997</v>
      </c>
      <c r="AB4542">
        <v>28</v>
      </c>
      <c r="AC4542">
        <v>22.764900000000001</v>
      </c>
      <c r="AD4542">
        <v>-1.1051715990269999</v>
      </c>
      <c r="AE4542">
        <v>5.57927999999999</v>
      </c>
      <c r="AF4542">
        <v>-4.2382947782897302</v>
      </c>
      <c r="AG4542">
        <v>-1.1051715990269999</v>
      </c>
      <c r="AH4542">
        <v>22.9993740932868</v>
      </c>
      <c r="AI4542">
        <v>92.705588683973104</v>
      </c>
      <c r="AJ4542">
        <v>100.441253220392</v>
      </c>
      <c r="AK4542">
        <v>23.4127263592672</v>
      </c>
    </row>
    <row r="4543" spans="1:37" x14ac:dyDescent="0.2">
      <c r="A4543" t="str">
        <f>"20200111160304332"</f>
        <v>20200111160304332</v>
      </c>
      <c r="B4543" t="str">
        <f>"1578729784327252"</f>
        <v>1578729784327252</v>
      </c>
      <c r="C4543" t="s">
        <v>37</v>
      </c>
      <c r="D4543">
        <v>5.294524</v>
      </c>
      <c r="E4543">
        <v>0.47651120000000002</v>
      </c>
      <c r="F4543" t="s">
        <v>87</v>
      </c>
      <c r="G4543">
        <v>-367.34719999999999</v>
      </c>
      <c r="H4543" s="1">
        <v>-1.3257009999999899E-6</v>
      </c>
      <c r="I4543">
        <v>19.88419</v>
      </c>
      <c r="J4543">
        <v>-380.78190000000001</v>
      </c>
      <c r="K4543">
        <v>1.105227</v>
      </c>
      <c r="L4543">
        <v>17.380310000000001</v>
      </c>
      <c r="M4543">
        <v>0.99817449999999996</v>
      </c>
      <c r="N4543">
        <v>0</v>
      </c>
      <c r="O4543">
        <v>5.934466E-2</v>
      </c>
      <c r="P4543">
        <v>0.99341619999999997</v>
      </c>
      <c r="Q4543">
        <v>-1.4014860000000001E-2</v>
      </c>
      <c r="R4543">
        <v>0.11370039999999999</v>
      </c>
      <c r="S4543">
        <v>2.9543149999999998</v>
      </c>
      <c r="T4543">
        <v>-0.23811779999999999</v>
      </c>
      <c r="U4543">
        <v>0.54327389999999998</v>
      </c>
      <c r="V4543">
        <v>-5.4535090000000001E-2</v>
      </c>
      <c r="W4543">
        <v>-2.939044E-3</v>
      </c>
      <c r="X4543">
        <v>0.99850749999999999</v>
      </c>
      <c r="Y4543">
        <v>-0.1219746</v>
      </c>
      <c r="Z4543">
        <v>1.392621E-4</v>
      </c>
      <c r="AA4543">
        <v>0.9925332</v>
      </c>
      <c r="AB4543">
        <v>28</v>
      </c>
      <c r="AC4543">
        <v>13.434699999999999</v>
      </c>
      <c r="AD4543">
        <v>-1.105228325701</v>
      </c>
      <c r="AE4543">
        <v>2.5038799999999899</v>
      </c>
      <c r="AF4543">
        <v>-1.69107790338571</v>
      </c>
      <c r="AG4543">
        <v>-1.105228325701</v>
      </c>
      <c r="AH4543">
        <v>13.4715083309787</v>
      </c>
      <c r="AI4543">
        <v>94.653790234085207</v>
      </c>
      <c r="AJ4543">
        <v>97.154911727941894</v>
      </c>
      <c r="AK4543">
        <v>13.622144135152899</v>
      </c>
    </row>
    <row r="4544" spans="1:37" x14ac:dyDescent="0.2">
      <c r="A4544" t="str">
        <f>"20200111160304354"</f>
        <v>20200111160304354</v>
      </c>
      <c r="B4544" t="str">
        <f>"1578729784347749"</f>
        <v>1578729784347749</v>
      </c>
      <c r="C4544" t="s">
        <v>37</v>
      </c>
      <c r="D4544">
        <v>5.2395829999999997</v>
      </c>
      <c r="E4544">
        <v>0.47704999999999997</v>
      </c>
      <c r="F4544" t="s">
        <v>87</v>
      </c>
      <c r="G4544">
        <v>-367.19970000000001</v>
      </c>
      <c r="H4544" s="1">
        <v>-1.388757E-6</v>
      </c>
      <c r="I4544">
        <v>19.859059999999999</v>
      </c>
      <c r="J4544">
        <v>-380.48790000000002</v>
      </c>
      <c r="K4544">
        <v>1.105272</v>
      </c>
      <c r="L4544">
        <v>17.399379999999901</v>
      </c>
      <c r="M4544">
        <v>0.9980869</v>
      </c>
      <c r="N4544">
        <v>0</v>
      </c>
      <c r="O4544">
        <v>6.0699389999999999E-2</v>
      </c>
      <c r="P4544">
        <v>0.9933033</v>
      </c>
      <c r="Q4544">
        <v>-1.3581090000000001E-2</v>
      </c>
      <c r="R4544">
        <v>0.11473460000000001</v>
      </c>
      <c r="S4544">
        <v>2.9547729999999999</v>
      </c>
      <c r="T4544">
        <v>-0.24043929999999999</v>
      </c>
      <c r="U4544">
        <v>0.53924559999999999</v>
      </c>
      <c r="V4544">
        <v>-5.4221449999999997E-2</v>
      </c>
      <c r="W4544">
        <v>-1.9733929999999999E-3</v>
      </c>
      <c r="X4544">
        <v>0.99852700000000005</v>
      </c>
      <c r="Y4544">
        <v>-0.11929910000000001</v>
      </c>
      <c r="Z4544" s="1">
        <v>-7.5981489999999997E-5</v>
      </c>
      <c r="AA4544">
        <v>0.99285840000000003</v>
      </c>
      <c r="AB4544">
        <v>28</v>
      </c>
      <c r="AC4544">
        <v>13.2882</v>
      </c>
      <c r="AD4544">
        <v>-1.1052733887570001</v>
      </c>
      <c r="AE4544">
        <v>2.4596800000000001</v>
      </c>
      <c r="AF4544">
        <v>-1.63754866488349</v>
      </c>
      <c r="AG4544">
        <v>-1.1052733887570001</v>
      </c>
      <c r="AH4544">
        <v>13.3238792859096</v>
      </c>
      <c r="AI4544">
        <v>94.706820469121098</v>
      </c>
      <c r="AJ4544">
        <v>97.006701821320704</v>
      </c>
      <c r="AK4544">
        <v>13.4695565672833</v>
      </c>
    </row>
    <row r="4545" spans="1:37" x14ac:dyDescent="0.2">
      <c r="A4545" t="str">
        <f>"20200111160304376"</f>
        <v>20200111160304376</v>
      </c>
      <c r="B4545" t="str">
        <f>"1578729784367268"</f>
        <v>1578729784367268</v>
      </c>
      <c r="C4545" t="s">
        <v>37</v>
      </c>
      <c r="D4545">
        <v>5.2658370000000003</v>
      </c>
      <c r="E4545">
        <v>0.47714799999999902</v>
      </c>
      <c r="F4545" t="s">
        <v>87</v>
      </c>
      <c r="G4545">
        <v>-366.88130000000001</v>
      </c>
      <c r="H4545" s="1">
        <v>-1.5438970000000001E-6</v>
      </c>
      <c r="I4545">
        <v>19.87641</v>
      </c>
      <c r="J4545">
        <v>-380.2199</v>
      </c>
      <c r="K4545">
        <v>1.1053059999999999</v>
      </c>
      <c r="L4545">
        <v>17.41714</v>
      </c>
      <c r="M4545">
        <v>0.99800540000000004</v>
      </c>
      <c r="N4545">
        <v>0</v>
      </c>
      <c r="O4545">
        <v>6.1941110000000001E-2</v>
      </c>
      <c r="P4545">
        <v>0.99307809999999896</v>
      </c>
      <c r="Q4545">
        <v>-1.166677E-2</v>
      </c>
      <c r="R4545">
        <v>0.1168759</v>
      </c>
      <c r="S4545">
        <v>2.9547729999999999</v>
      </c>
      <c r="T4545">
        <v>-0.24001810000000001</v>
      </c>
      <c r="U4545">
        <v>0.53790280000000001</v>
      </c>
      <c r="V4545">
        <v>-5.5135699999999899E-2</v>
      </c>
      <c r="W4545">
        <v>3.7080419999999998E-4</v>
      </c>
      <c r="X4545">
        <v>0.9984788</v>
      </c>
      <c r="Y4545">
        <v>-0.1176365</v>
      </c>
      <c r="Z4545">
        <v>-2.4223469999999999E-4</v>
      </c>
      <c r="AA4545">
        <v>0.99305669999999902</v>
      </c>
      <c r="AB4545">
        <v>28</v>
      </c>
      <c r="AC4545">
        <v>13.3385999999999</v>
      </c>
      <c r="AD4545">
        <v>-1.1053075438969999</v>
      </c>
      <c r="AE4545">
        <v>2.4592700000000001</v>
      </c>
      <c r="AF4545">
        <v>-1.61753604739416</v>
      </c>
      <c r="AG4545">
        <v>-1.1053075438969999</v>
      </c>
      <c r="AH4545">
        <v>13.376492532595799</v>
      </c>
      <c r="AI4545">
        <v>94.689644308128095</v>
      </c>
      <c r="AJ4545">
        <v>96.894945068819396</v>
      </c>
      <c r="AK4545">
        <v>13.5191967256123</v>
      </c>
    </row>
    <row r="4546" spans="1:37" x14ac:dyDescent="0.2">
      <c r="A4546" t="str">
        <f>"20200111160304399"</f>
        <v>20200111160304399</v>
      </c>
      <c r="B4546" t="str">
        <f>"1578729784387764"</f>
        <v>1578729784387764</v>
      </c>
      <c r="C4546" t="s">
        <v>37</v>
      </c>
      <c r="D4546">
        <v>5.2917110000000003</v>
      </c>
      <c r="E4546">
        <v>0.47707450000000001</v>
      </c>
      <c r="F4546" t="s">
        <v>87</v>
      </c>
      <c r="G4546">
        <v>-366.36559999999997</v>
      </c>
      <c r="H4546" s="1">
        <v>-1.811458E-6</v>
      </c>
      <c r="I4546">
        <v>19.965969999999999</v>
      </c>
      <c r="J4546">
        <v>-379.93790000000001</v>
      </c>
      <c r="K4546">
        <v>1.1053280000000001</v>
      </c>
      <c r="L4546">
        <v>17.436160000000001</v>
      </c>
      <c r="M4546">
        <v>0.99791799999999997</v>
      </c>
      <c r="N4546">
        <v>0</v>
      </c>
      <c r="O4546">
        <v>6.3254569999999996E-2</v>
      </c>
      <c r="P4546">
        <v>0.99273750000000005</v>
      </c>
      <c r="Q4546">
        <v>-1.050008E-2</v>
      </c>
      <c r="R4546">
        <v>0.1198414</v>
      </c>
      <c r="S4546">
        <v>2.9541629999999999</v>
      </c>
      <c r="T4546">
        <v>-0.2356856</v>
      </c>
      <c r="U4546">
        <v>0.54348750000000001</v>
      </c>
      <c r="V4546">
        <v>-5.6806210000000003E-2</v>
      </c>
      <c r="W4546">
        <v>1.9343520000000001E-3</v>
      </c>
      <c r="X4546">
        <v>0.99838329999999997</v>
      </c>
      <c r="Y4546">
        <v>-0.1181905</v>
      </c>
      <c r="Z4546">
        <v>-3.192723E-4</v>
      </c>
      <c r="AA4546">
        <v>0.99299090000000001</v>
      </c>
      <c r="AB4546">
        <v>28</v>
      </c>
      <c r="AC4546">
        <v>13.5723</v>
      </c>
      <c r="AD4546">
        <v>-1.1053298114579999</v>
      </c>
      <c r="AE4546">
        <v>2.5298099999999999</v>
      </c>
      <c r="AF4546">
        <v>-1.6555532433406901</v>
      </c>
      <c r="AG4546">
        <v>-1.1053298114579999</v>
      </c>
      <c r="AH4546">
        <v>13.6178631142577</v>
      </c>
      <c r="AI4546">
        <v>94.606620465538995</v>
      </c>
      <c r="AJ4546">
        <v>96.931557121189996</v>
      </c>
      <c r="AK4546">
        <v>13.762587196174101</v>
      </c>
    </row>
    <row r="4547" spans="1:37" x14ac:dyDescent="0.2">
      <c r="A4547" t="str">
        <f>"20200111160304420"</f>
        <v>20200111160304420</v>
      </c>
      <c r="B4547" t="str">
        <f>"1578729784418021"</f>
        <v>1578729784418021</v>
      </c>
      <c r="C4547" t="s">
        <v>37</v>
      </c>
      <c r="D4547">
        <v>5.2328060000000001</v>
      </c>
      <c r="E4547">
        <v>0.47699639999999999</v>
      </c>
      <c r="F4547" t="s">
        <v>87</v>
      </c>
      <c r="G4547">
        <v>-365.97129999999999</v>
      </c>
      <c r="H4547" s="1">
        <v>-2.0207189999999999E-6</v>
      </c>
      <c r="I4547">
        <v>20.05179</v>
      </c>
      <c r="J4547">
        <v>-379.67169999999999</v>
      </c>
      <c r="K4547">
        <v>1.1053409999999999</v>
      </c>
      <c r="L4547">
        <v>17.454470000000001</v>
      </c>
      <c r="M4547">
        <v>0.99783419999999901</v>
      </c>
      <c r="N4547">
        <v>0</v>
      </c>
      <c r="O4547">
        <v>6.4497739999999998E-2</v>
      </c>
      <c r="P4547">
        <v>0.99236429999999998</v>
      </c>
      <c r="Q4547">
        <v>-9.1332140000000006E-3</v>
      </c>
      <c r="R4547">
        <v>0.12300270000000001</v>
      </c>
      <c r="S4547">
        <v>2.952728</v>
      </c>
      <c r="T4547">
        <v>-0.233681</v>
      </c>
      <c r="U4547">
        <v>0.55297850000000004</v>
      </c>
      <c r="V4547">
        <v>-5.874484E-2</v>
      </c>
      <c r="W4547">
        <v>3.6299790000000002E-3</v>
      </c>
      <c r="X4547">
        <v>0.99826649999999995</v>
      </c>
      <c r="Y4547">
        <v>-0.120125</v>
      </c>
      <c r="Z4547">
        <v>-3.37707799999999E-4</v>
      </c>
      <c r="AA4547">
        <v>0.99275869999999999</v>
      </c>
      <c r="AB4547">
        <v>28</v>
      </c>
      <c r="AC4547">
        <v>13.7004</v>
      </c>
      <c r="AD4547">
        <v>-1.10534302071899</v>
      </c>
      <c r="AE4547">
        <v>2.5973199999999999</v>
      </c>
      <c r="AF4547">
        <v>-1.6975262946927001</v>
      </c>
      <c r="AG4547">
        <v>-1.10534302071899</v>
      </c>
      <c r="AH4547">
        <v>13.7529890841449</v>
      </c>
      <c r="AI4547">
        <v>94.560587531029896</v>
      </c>
      <c r="AJ4547">
        <v>97.036407716366597</v>
      </c>
      <c r="AK4547">
        <v>13.9013699851214</v>
      </c>
    </row>
    <row r="4548" spans="1:37" x14ac:dyDescent="0.2">
      <c r="A4548" t="str">
        <f>"20200111160304443"</f>
        <v>20200111160304443</v>
      </c>
      <c r="B4548" t="str">
        <f>"1578729784437541"</f>
        <v>1578729784437541</v>
      </c>
      <c r="C4548" t="s">
        <v>37</v>
      </c>
      <c r="D4548">
        <v>5.2145570000000001</v>
      </c>
      <c r="E4548">
        <v>0.4770741</v>
      </c>
      <c r="F4548" t="s">
        <v>87</v>
      </c>
      <c r="G4548">
        <v>-365.58300000000003</v>
      </c>
      <c r="H4548" s="1">
        <v>-2.228387E-6</v>
      </c>
      <c r="I4548">
        <v>20.142440000000001</v>
      </c>
      <c r="J4548">
        <v>-379.3877</v>
      </c>
      <c r="K4548">
        <v>1.105353</v>
      </c>
      <c r="L4548">
        <v>17.47437</v>
      </c>
      <c r="M4548">
        <v>0.99774339999999995</v>
      </c>
      <c r="N4548">
        <v>0</v>
      </c>
      <c r="O4548">
        <v>6.5825369999999994E-2</v>
      </c>
      <c r="P4548">
        <v>0.99207529999999999</v>
      </c>
      <c r="Q4548">
        <v>-7.3586779999999996E-3</v>
      </c>
      <c r="R4548">
        <v>0.12542980000000001</v>
      </c>
      <c r="S4548">
        <v>2.9511720000000001</v>
      </c>
      <c r="T4548">
        <v>-0.23153609999999999</v>
      </c>
      <c r="U4548">
        <v>0.56304929999999997</v>
      </c>
      <c r="V4548">
        <v>-5.9861890000000001E-2</v>
      </c>
      <c r="W4548">
        <v>5.7137330000000004E-3</v>
      </c>
      <c r="X4548">
        <v>0.99819029999999997</v>
      </c>
      <c r="Y4548">
        <v>-0.12217</v>
      </c>
      <c r="Z4548">
        <v>-3.5778760000000002E-4</v>
      </c>
      <c r="AA4548">
        <v>0.99250910000000003</v>
      </c>
      <c r="AB4548">
        <v>28</v>
      </c>
      <c r="AC4548">
        <v>13.804699999999899</v>
      </c>
      <c r="AD4548">
        <v>-1.1053552283870001</v>
      </c>
      <c r="AE4548">
        <v>2.6680700000000002</v>
      </c>
      <c r="AF4548">
        <v>-1.74273236441428</v>
      </c>
      <c r="AG4548">
        <v>-1.1053552283870001</v>
      </c>
      <c r="AH4548">
        <v>13.8647059850208</v>
      </c>
      <c r="AI4548">
        <v>94.522790817858905</v>
      </c>
      <c r="AJ4548">
        <v>97.164254070115007</v>
      </c>
      <c r="AK4548">
        <v>14.0174533466665</v>
      </c>
    </row>
    <row r="4549" spans="1:37" x14ac:dyDescent="0.2">
      <c r="A4549" t="str">
        <f>"20200111160304465"</f>
        <v>20200111160304465</v>
      </c>
      <c r="B4549" t="str">
        <f>"1578729784458037"</f>
        <v>1578729784458037</v>
      </c>
      <c r="C4549" t="s">
        <v>37</v>
      </c>
      <c r="D4549">
        <v>5.2051350000000003</v>
      </c>
      <c r="E4549">
        <v>0.47704020000000003</v>
      </c>
      <c r="F4549" t="s">
        <v>87</v>
      </c>
      <c r="G4549">
        <v>-364.97699999999998</v>
      </c>
      <c r="H4549" s="1">
        <v>-2.5452729999999999E-6</v>
      </c>
      <c r="I4549">
        <v>20.256789999999999</v>
      </c>
      <c r="J4549">
        <v>-379.11799999999999</v>
      </c>
      <c r="K4549">
        <v>1.1053580000000001</v>
      </c>
      <c r="L4549">
        <v>17.493590000000001</v>
      </c>
      <c r="M4549">
        <v>0.99765599999999999</v>
      </c>
      <c r="N4549">
        <v>0</v>
      </c>
      <c r="O4549">
        <v>6.7086060000000003E-2</v>
      </c>
      <c r="P4549">
        <v>0.99183220000000005</v>
      </c>
      <c r="Q4549">
        <v>-5.0183850000000002E-3</v>
      </c>
      <c r="R4549">
        <v>0.1274515</v>
      </c>
      <c r="S4549">
        <v>2.9502869999999999</v>
      </c>
      <c r="T4549">
        <v>-0.22629730000000001</v>
      </c>
      <c r="U4549">
        <v>0.56964110000000001</v>
      </c>
      <c r="V4549">
        <v>-6.0639940000000003E-2</v>
      </c>
      <c r="W4549">
        <v>8.3090950000000007E-3</v>
      </c>
      <c r="X4549">
        <v>0.99812509999999999</v>
      </c>
      <c r="Y4549">
        <v>-0.12311749999999901</v>
      </c>
      <c r="Z4549">
        <v>-4.089419E-4</v>
      </c>
      <c r="AA4549">
        <v>0.99239200000000005</v>
      </c>
      <c r="AB4549">
        <v>28</v>
      </c>
      <c r="AC4549">
        <v>14.141</v>
      </c>
      <c r="AD4549">
        <v>-1.105360545273</v>
      </c>
      <c r="AE4549">
        <v>2.7631999999999901</v>
      </c>
      <c r="AF4549">
        <v>-1.79764380631103</v>
      </c>
      <c r="AG4549">
        <v>-1.105360545273</v>
      </c>
      <c r="AH4549">
        <v>14.210889933443999</v>
      </c>
      <c r="AI4549">
        <v>94.4126377131185</v>
      </c>
      <c r="AJ4549">
        <v>97.209488115564795</v>
      </c>
      <c r="AK4549">
        <v>14.366723282985401</v>
      </c>
    </row>
    <row r="4550" spans="1:37" x14ac:dyDescent="0.2">
      <c r="A4550" t="str">
        <f>"20200111160304623"</f>
        <v>20200111160304623</v>
      </c>
      <c r="B4550" t="str">
        <f>"1578729784618100"</f>
        <v>1578729784618100</v>
      </c>
      <c r="C4550" t="s">
        <v>37</v>
      </c>
      <c r="D4550">
        <v>4.3115579999999998</v>
      </c>
      <c r="E4550">
        <v>0.41402250000000002</v>
      </c>
      <c r="F4550" t="s">
        <v>87</v>
      </c>
      <c r="G4550">
        <v>-364.25760000000002</v>
      </c>
      <c r="H4550" s="1">
        <v>-2.9223899999999999E-6</v>
      </c>
      <c r="I4550">
        <v>20.396139999999999</v>
      </c>
      <c r="J4550">
        <v>-377.19119999999998</v>
      </c>
      <c r="K4550">
        <v>1.105356</v>
      </c>
      <c r="L4550">
        <v>17.64105</v>
      </c>
      <c r="M4550">
        <v>0.99699590000000005</v>
      </c>
      <c r="N4550">
        <v>0</v>
      </c>
      <c r="O4550">
        <v>7.6075050000000005E-2</v>
      </c>
      <c r="P4550">
        <v>0.99009720000000001</v>
      </c>
      <c r="Q4550">
        <v>-8.1347150000000007E-3</v>
      </c>
      <c r="R4550">
        <v>0.14014839999999901</v>
      </c>
      <c r="S4550">
        <v>2.949554</v>
      </c>
      <c r="T4550">
        <v>-0.21939729999999999</v>
      </c>
      <c r="U4550">
        <v>0.57611080000000003</v>
      </c>
      <c r="V4550">
        <v>-6.4427070000000003E-2</v>
      </c>
      <c r="W4550">
        <v>6.2468280000000003E-3</v>
      </c>
      <c r="X4550">
        <v>0.99790290000000004</v>
      </c>
      <c r="Y4550">
        <v>-0.116364</v>
      </c>
      <c r="Z4550">
        <v>-1.3029889999999901E-3</v>
      </c>
      <c r="AA4550">
        <v>0.99320580000000003</v>
      </c>
      <c r="AB4550">
        <v>27</v>
      </c>
      <c r="AC4550">
        <v>12.933599999999901</v>
      </c>
      <c r="AD4550">
        <v>-1.10535892239</v>
      </c>
      <c r="AE4550">
        <v>2.7550899999999898</v>
      </c>
      <c r="AF4550">
        <v>-1.75084259703823</v>
      </c>
      <c r="AG4550">
        <v>-1.10535892239</v>
      </c>
      <c r="AH4550">
        <v>13.0147922623607</v>
      </c>
      <c r="AI4550">
        <v>94.811400258500001</v>
      </c>
      <c r="AJ4550">
        <v>97.661837356810295</v>
      </c>
      <c r="AK4550">
        <v>13.178470540215001</v>
      </c>
    </row>
    <row r="4551" spans="1:37" x14ac:dyDescent="0.2">
      <c r="A4551" t="str">
        <f>"20200111160304647"</f>
        <v>20200111160304647</v>
      </c>
      <c r="B4551" t="str">
        <f>"1578729784637621"</f>
        <v>1578729784637621</v>
      </c>
      <c r="C4551" t="s">
        <v>37</v>
      </c>
      <c r="D4551">
        <v>5.0474610000000002</v>
      </c>
      <c r="E4551">
        <v>0.47010370000000001</v>
      </c>
      <c r="F4551" t="s">
        <v>38</v>
      </c>
      <c r="G4551">
        <v>-346.024</v>
      </c>
      <c r="H4551">
        <v>4.0496509999999999E-2</v>
      </c>
      <c r="I4551">
        <v>29.61627</v>
      </c>
      <c r="J4551">
        <v>-376.91140000000001</v>
      </c>
      <c r="K4551">
        <v>1.1053580000000001</v>
      </c>
      <c r="L4551">
        <v>17.66385</v>
      </c>
      <c r="M4551">
        <v>0.99689539999999999</v>
      </c>
      <c r="N4551">
        <v>0</v>
      </c>
      <c r="O4551">
        <v>7.7366950000000004E-2</v>
      </c>
      <c r="P4551">
        <v>0.98996609999999996</v>
      </c>
      <c r="Q4551">
        <v>-8.3657750000000006E-3</v>
      </c>
      <c r="R4551">
        <v>0.14105809999999999</v>
      </c>
      <c r="S4551">
        <v>2.872986</v>
      </c>
      <c r="T4551">
        <v>-9.8158599999999999E-2</v>
      </c>
      <c r="U4551">
        <v>1.103882</v>
      </c>
      <c r="V4551">
        <v>-6.4050259999999998E-2</v>
      </c>
      <c r="W4551">
        <v>6.0975809999999899E-3</v>
      </c>
      <c r="X4551">
        <v>0.99792800000000004</v>
      </c>
      <c r="Y4551">
        <v>-0.28525669999999997</v>
      </c>
      <c r="Z4551">
        <v>2.1631630000000001E-3</v>
      </c>
      <c r="AA4551">
        <v>0.95844869999999904</v>
      </c>
      <c r="AB4551">
        <v>27</v>
      </c>
      <c r="AC4551">
        <v>30.8874</v>
      </c>
      <c r="AD4551">
        <v>-1.06486149</v>
      </c>
      <c r="AE4551">
        <v>11.95242</v>
      </c>
      <c r="AF4551">
        <v>-9.5168294164634801</v>
      </c>
      <c r="AG4551">
        <v>-1.06486149</v>
      </c>
      <c r="AH4551">
        <v>31.686865296271399</v>
      </c>
      <c r="AI4551">
        <v>91.843455617876899</v>
      </c>
      <c r="AJ4551">
        <v>106.71710849143901</v>
      </c>
      <c r="AK4551">
        <v>33.102286997109402</v>
      </c>
    </row>
    <row r="4552" spans="1:37" x14ac:dyDescent="0.2">
      <c r="A4552" t="str">
        <f>"20200111160304667"</f>
        <v>20200111160304667</v>
      </c>
      <c r="B4552" t="str">
        <f>"1578729784658117"</f>
        <v>1578729784658117</v>
      </c>
      <c r="C4552" t="s">
        <v>37</v>
      </c>
      <c r="D4552">
        <v>5.0760420000000002</v>
      </c>
      <c r="E4552">
        <v>0.47827979999999998</v>
      </c>
      <c r="F4552" t="s">
        <v>87</v>
      </c>
      <c r="G4552">
        <v>-361.20659999999998</v>
      </c>
      <c r="H4552" s="1">
        <v>-4.5527219999999998E-6</v>
      </c>
      <c r="I4552">
        <v>21.243129999999901</v>
      </c>
      <c r="J4552">
        <v>-376.65629999999999</v>
      </c>
      <c r="K4552">
        <v>1.1053629999999901</v>
      </c>
      <c r="L4552">
        <v>17.685029999999902</v>
      </c>
      <c r="M4552">
        <v>0.99680299999999999</v>
      </c>
      <c r="N4552">
        <v>0</v>
      </c>
      <c r="O4552">
        <v>7.8535209999999994E-2</v>
      </c>
      <c r="P4552">
        <v>0.98986569999999996</v>
      </c>
      <c r="Q4552">
        <v>-8.5353679999999998E-3</v>
      </c>
      <c r="R4552">
        <v>0.14175019999999999</v>
      </c>
      <c r="S4552">
        <v>2.9333800000000001</v>
      </c>
      <c r="T4552">
        <v>-0.20646249999999999</v>
      </c>
      <c r="U4552">
        <v>0.66854859999999905</v>
      </c>
      <c r="V4552">
        <v>-6.357778E-2</v>
      </c>
      <c r="W4552">
        <v>5.9926789999999999E-3</v>
      </c>
      <c r="X4552">
        <v>0.99795889999999998</v>
      </c>
      <c r="Y4552">
        <v>-0.14479069999999999</v>
      </c>
      <c r="Z4552">
        <v>-4.1056049999999998E-4</v>
      </c>
      <c r="AA4552">
        <v>0.98946229999999902</v>
      </c>
      <c r="AB4552">
        <v>27</v>
      </c>
      <c r="AC4552">
        <v>15.4497</v>
      </c>
      <c r="AD4552">
        <v>-1.1053675527219999</v>
      </c>
      <c r="AE4552">
        <v>3.5581</v>
      </c>
      <c r="AF4552">
        <v>-2.3223423766226698</v>
      </c>
      <c r="AG4552">
        <v>-1.1053675527219999</v>
      </c>
      <c r="AH4552">
        <v>15.6055778531355</v>
      </c>
      <c r="AI4552">
        <v>94.0075965308002</v>
      </c>
      <c r="AJ4552">
        <v>98.464346552693698</v>
      </c>
      <c r="AK4552">
        <v>15.816104819807601</v>
      </c>
    </row>
    <row r="4553" spans="1:37" x14ac:dyDescent="0.2">
      <c r="A4553" t="str">
        <f>"20200111160304690"</f>
        <v>20200111160304690</v>
      </c>
      <c r="B4553" t="str">
        <f>"1578729784687397"</f>
        <v>1578729784687397</v>
      </c>
      <c r="C4553" t="s">
        <v>37</v>
      </c>
      <c r="D4553">
        <v>5.0526770000000001</v>
      </c>
      <c r="E4553">
        <v>0.48135859999999903</v>
      </c>
      <c r="F4553" t="s">
        <v>87</v>
      </c>
      <c r="G4553">
        <v>-361.24939999999998</v>
      </c>
      <c r="H4553" s="1">
        <v>-4.4673630000000002E-6</v>
      </c>
      <c r="I4553">
        <v>20.85821</v>
      </c>
      <c r="J4553">
        <v>-376.39550000000003</v>
      </c>
      <c r="K4553">
        <v>1.1053629999999901</v>
      </c>
      <c r="L4553">
        <v>17.706910000000001</v>
      </c>
      <c r="M4553">
        <v>0.99670859999999994</v>
      </c>
      <c r="N4553">
        <v>0</v>
      </c>
      <c r="O4553">
        <v>7.9715400000000006E-2</v>
      </c>
      <c r="P4553">
        <v>0.98977139999999997</v>
      </c>
      <c r="Q4553">
        <v>-8.1794880000000004E-3</v>
      </c>
      <c r="R4553">
        <v>0.14242869999999999</v>
      </c>
      <c r="S4553">
        <v>2.9421390000000001</v>
      </c>
      <c r="T4553">
        <v>-0.21108339999999901</v>
      </c>
      <c r="U4553">
        <v>0.60595699999999997</v>
      </c>
      <c r="V4553">
        <v>-6.3080799999999895E-2</v>
      </c>
      <c r="W4553">
        <v>6.4056119999999998E-3</v>
      </c>
      <c r="X4553">
        <v>0.99798790000000004</v>
      </c>
      <c r="Y4553">
        <v>-0.1228905</v>
      </c>
      <c r="Z4553">
        <v>-1.280244E-3</v>
      </c>
      <c r="AA4553">
        <v>0.99241939999999995</v>
      </c>
      <c r="AB4553">
        <v>27</v>
      </c>
      <c r="AC4553">
        <v>15.146100000000001</v>
      </c>
      <c r="AD4553">
        <v>-1.1053674673629901</v>
      </c>
      <c r="AE4553">
        <v>3.1512999999999902</v>
      </c>
      <c r="AF4553">
        <v>-1.92393866032795</v>
      </c>
      <c r="AG4553">
        <v>-1.1053674673629901</v>
      </c>
      <c r="AH4553">
        <v>15.271162654260401</v>
      </c>
      <c r="AI4553">
        <v>94.107643231242093</v>
      </c>
      <c r="AJ4553">
        <v>97.180582242160298</v>
      </c>
      <c r="AK4553">
        <v>15.4315192388658</v>
      </c>
    </row>
    <row r="4554" spans="1:37" x14ac:dyDescent="0.2">
      <c r="A4554" t="str">
        <f>"20200111160304711"</f>
        <v>20200111160304711</v>
      </c>
      <c r="B4554" t="str">
        <f>"1578729784707893"</f>
        <v>1578729784707893</v>
      </c>
      <c r="C4554" t="s">
        <v>37</v>
      </c>
      <c r="D4554">
        <v>5.1057499999999996</v>
      </c>
      <c r="E4554">
        <v>0.48240899999999998</v>
      </c>
      <c r="F4554" t="s">
        <v>87</v>
      </c>
      <c r="G4554">
        <v>-360.64699999999999</v>
      </c>
      <c r="H4554" s="1">
        <v>-4.6936369999999998E-6</v>
      </c>
      <c r="I4554">
        <v>20.826160000000002</v>
      </c>
      <c r="J4554">
        <v>-376.12939999999998</v>
      </c>
      <c r="K4554">
        <v>1.1053489999999999</v>
      </c>
      <c r="L4554">
        <v>17.729520000000001</v>
      </c>
      <c r="M4554">
        <v>0.99661239999999995</v>
      </c>
      <c r="N4554">
        <v>0</v>
      </c>
      <c r="O4554">
        <v>8.0898670000000006E-2</v>
      </c>
      <c r="P4554">
        <v>0.98970159999999996</v>
      </c>
      <c r="Q4554">
        <v>-8.654775E-3</v>
      </c>
      <c r="R4554">
        <v>0.14288389999999901</v>
      </c>
      <c r="S4554">
        <v>2.9453429999999998</v>
      </c>
      <c r="T4554">
        <v>-0.2067301</v>
      </c>
      <c r="U4554">
        <v>0.58337399999999995</v>
      </c>
      <c r="V4554">
        <v>-6.2354279999999998E-2</v>
      </c>
      <c r="W4554">
        <v>5.9807580000000001E-3</v>
      </c>
      <c r="X4554">
        <v>0.99803609999999898</v>
      </c>
      <c r="Y4554">
        <v>-0.1142106</v>
      </c>
      <c r="Z4554">
        <v>-1.636899E-3</v>
      </c>
      <c r="AA4554">
        <v>0.99345519999999998</v>
      </c>
      <c r="AB4554">
        <v>27</v>
      </c>
      <c r="AC4554">
        <v>15.482399999999901</v>
      </c>
      <c r="AD4554">
        <v>-1.1053536936370001</v>
      </c>
      <c r="AE4554">
        <v>3.0966399999999998</v>
      </c>
      <c r="AF4554">
        <v>-1.82490122106224</v>
      </c>
      <c r="AG4554">
        <v>-1.1053536936370001</v>
      </c>
      <c r="AH4554">
        <v>15.6056995616953</v>
      </c>
      <c r="AI4554">
        <v>94.024171205575897</v>
      </c>
      <c r="AJ4554">
        <v>96.669769035981602</v>
      </c>
      <c r="AK4554">
        <v>15.750870771629399</v>
      </c>
    </row>
    <row r="4555" spans="1:37" x14ac:dyDescent="0.2">
      <c r="A4555" t="str">
        <f>"20200111160304734"</f>
        <v>20200111160304734</v>
      </c>
      <c r="B4555" t="str">
        <f>"1578729784727413"</f>
        <v>1578729784727413</v>
      </c>
      <c r="C4555" t="s">
        <v>37</v>
      </c>
      <c r="D4555">
        <v>5.0955729999999999</v>
      </c>
      <c r="E4555">
        <v>0.48332449999999999</v>
      </c>
      <c r="F4555" t="s">
        <v>87</v>
      </c>
      <c r="G4555">
        <v>-360.7002</v>
      </c>
      <c r="H4555" s="1">
        <v>-4.6597870000000001E-6</v>
      </c>
      <c r="I4555">
        <v>20.75038</v>
      </c>
      <c r="J4555">
        <v>-375.85539999999997</v>
      </c>
      <c r="K4555">
        <v>1.1053329999999999</v>
      </c>
      <c r="L4555">
        <v>17.753170000000001</v>
      </c>
      <c r="M4555">
        <v>0.99651409999999996</v>
      </c>
      <c r="N4555">
        <v>0</v>
      </c>
      <c r="O4555">
        <v>8.2095710000000002E-2</v>
      </c>
      <c r="P4555">
        <v>0.98977859999999995</v>
      </c>
      <c r="Q4555">
        <v>-8.8377000000000004E-3</v>
      </c>
      <c r="R4555">
        <v>0.142339299999999</v>
      </c>
      <c r="S4555">
        <v>2.9461059999999999</v>
      </c>
      <c r="T4555">
        <v>-0.21105960000000001</v>
      </c>
      <c r="U4555">
        <v>0.57681269999999996</v>
      </c>
      <c r="V4555">
        <v>-6.0605779999999998E-2</v>
      </c>
      <c r="W4555">
        <v>5.8462929999999998E-3</v>
      </c>
      <c r="X4555">
        <v>0.9981447</v>
      </c>
      <c r="Y4555">
        <v>-0.1108455</v>
      </c>
      <c r="Z4555">
        <v>-1.8747220000000001E-3</v>
      </c>
      <c r="AA4555">
        <v>0.99383589999999999</v>
      </c>
      <c r="AB4555">
        <v>27</v>
      </c>
      <c r="AC4555">
        <v>15.155199999999899</v>
      </c>
      <c r="AD4555">
        <v>-1.1053376597869999</v>
      </c>
      <c r="AE4555">
        <v>2.9972099999999902</v>
      </c>
      <c r="AF4555">
        <v>-1.73390056111145</v>
      </c>
      <c r="AG4555">
        <v>-1.1053376597869999</v>
      </c>
      <c r="AH4555">
        <v>15.271936265301401</v>
      </c>
      <c r="AI4555">
        <v>94.113346456900302</v>
      </c>
      <c r="AJ4555">
        <v>96.477344690102797</v>
      </c>
      <c r="AK4555">
        <v>15.409744312914301</v>
      </c>
    </row>
    <row r="4556" spans="1:37" x14ac:dyDescent="0.2">
      <c r="A4556" t="str">
        <f>"20200111160304756"</f>
        <v>20200111160304756</v>
      </c>
      <c r="B4556" t="str">
        <f>"1578729784747909"</f>
        <v>1578729784747909</v>
      </c>
      <c r="C4556" t="s">
        <v>37</v>
      </c>
      <c r="D4556">
        <v>5.0657459999999999</v>
      </c>
      <c r="E4556">
        <v>0.4835352</v>
      </c>
      <c r="F4556" t="s">
        <v>87</v>
      </c>
      <c r="G4556">
        <v>-360.50990000000002</v>
      </c>
      <c r="H4556" s="1">
        <v>-4.7258510000000001E-6</v>
      </c>
      <c r="I4556">
        <v>20.710750000000001</v>
      </c>
      <c r="J4556">
        <v>-375.59109999999998</v>
      </c>
      <c r="K4556">
        <v>1.1053120000000001</v>
      </c>
      <c r="L4556">
        <v>17.776250000000001</v>
      </c>
      <c r="M4556">
        <v>0.99642070000000005</v>
      </c>
      <c r="N4556">
        <v>0</v>
      </c>
      <c r="O4556">
        <v>8.3215280000000003E-2</v>
      </c>
      <c r="P4556">
        <v>0.98988240000000005</v>
      </c>
      <c r="Q4556">
        <v>-8.5809579999999996E-3</v>
      </c>
      <c r="R4556">
        <v>0.1416308</v>
      </c>
      <c r="S4556">
        <v>2.9473880000000001</v>
      </c>
      <c r="T4556">
        <v>-0.2122996</v>
      </c>
      <c r="U4556">
        <v>0.56805419999999995</v>
      </c>
      <c r="V4556">
        <v>-5.8769830000000002E-2</v>
      </c>
      <c r="W4556">
        <v>6.14431E-3</v>
      </c>
      <c r="X4556">
        <v>0.99825259999999905</v>
      </c>
      <c r="Y4556">
        <v>-0.1068125</v>
      </c>
      <c r="Z4556">
        <v>-2.1086539999999902E-3</v>
      </c>
      <c r="AA4556">
        <v>0.99427690000000002</v>
      </c>
      <c r="AB4556">
        <v>27</v>
      </c>
      <c r="AC4556">
        <v>15.0811999999999</v>
      </c>
      <c r="AD4556">
        <v>-1.1053167258509999</v>
      </c>
      <c r="AE4556">
        <v>2.9344999999999999</v>
      </c>
      <c r="AF4556">
        <v>-1.6606000903767799</v>
      </c>
      <c r="AG4556">
        <v>-1.1053167258509999</v>
      </c>
      <c r="AH4556">
        <v>15.194462161884699</v>
      </c>
      <c r="AI4556">
        <v>94.136094302691802</v>
      </c>
      <c r="AJ4556">
        <v>96.237091750265805</v>
      </c>
      <c r="AK4556">
        <v>15.324849040481601</v>
      </c>
    </row>
    <row r="4557" spans="1:37" x14ac:dyDescent="0.2">
      <c r="A4557" t="str">
        <f>"20200111160304780"</f>
        <v>20200111160304780</v>
      </c>
      <c r="B4557" t="str">
        <f>"1578729784767428"</f>
        <v>1578729784767428</v>
      </c>
      <c r="C4557" t="s">
        <v>37</v>
      </c>
      <c r="D4557">
        <v>5.126601</v>
      </c>
      <c r="E4557">
        <v>0.48382199999999997</v>
      </c>
      <c r="F4557" t="s">
        <v>87</v>
      </c>
      <c r="G4557">
        <v>-360.16219999999998</v>
      </c>
      <c r="H4557" s="1">
        <v>-4.8628250000000003E-6</v>
      </c>
      <c r="I4557">
        <v>20.730360000000001</v>
      </c>
      <c r="J4557">
        <v>-375.31650000000002</v>
      </c>
      <c r="K4557">
        <v>1.105267</v>
      </c>
      <c r="L4557">
        <v>17.80048</v>
      </c>
      <c r="M4557">
        <v>0.99632779999999999</v>
      </c>
      <c r="N4557">
        <v>0</v>
      </c>
      <c r="O4557">
        <v>8.4316630000000004E-2</v>
      </c>
      <c r="P4557">
        <v>0.99016059999999995</v>
      </c>
      <c r="Q4557">
        <v>-9.4560530000000007E-3</v>
      </c>
      <c r="R4557">
        <v>0.139616299999999</v>
      </c>
      <c r="S4557">
        <v>2.9480590000000002</v>
      </c>
      <c r="T4557">
        <v>-0.211196999999999</v>
      </c>
      <c r="U4557">
        <v>0.56445310000000004</v>
      </c>
      <c r="V4557">
        <v>-5.5633420000000003E-2</v>
      </c>
      <c r="W4557">
        <v>5.3112899999999998E-3</v>
      </c>
      <c r="X4557">
        <v>0.99843709999999997</v>
      </c>
      <c r="Y4557">
        <v>-0.1045088</v>
      </c>
      <c r="Z4557">
        <v>-2.2568359999999999E-3</v>
      </c>
      <c r="AA4557">
        <v>0.9945214</v>
      </c>
      <c r="AB4557">
        <v>27</v>
      </c>
      <c r="AC4557">
        <v>15.154299999999999</v>
      </c>
      <c r="AD4557">
        <v>-1.105271862825</v>
      </c>
      <c r="AE4557">
        <v>2.9298799999999998</v>
      </c>
      <c r="AF4557">
        <v>-1.6331687759298701</v>
      </c>
      <c r="AG4557">
        <v>-1.105271862825</v>
      </c>
      <c r="AH4557">
        <v>15.2690922544445</v>
      </c>
      <c r="AI4557">
        <v>94.116803467278501</v>
      </c>
      <c r="AJ4557">
        <v>96.105095869543206</v>
      </c>
      <c r="AK4557">
        <v>15.3959099898695</v>
      </c>
    </row>
    <row r="4558" spans="1:37" x14ac:dyDescent="0.2">
      <c r="A4558" t="str">
        <f>"20200111160304801"</f>
        <v>20200111160304801</v>
      </c>
      <c r="B4558" t="str">
        <f>"1578729784797685"</f>
        <v>1578729784797685</v>
      </c>
      <c r="C4558" t="s">
        <v>37</v>
      </c>
      <c r="D4558">
        <v>5.1337080000000004</v>
      </c>
      <c r="E4558">
        <v>0.48420619999999998</v>
      </c>
      <c r="F4558" t="s">
        <v>87</v>
      </c>
      <c r="G4558">
        <v>-360.0557</v>
      </c>
      <c r="H4558" s="1">
        <v>-4.8944659999999998E-6</v>
      </c>
      <c r="I4558">
        <v>20.678170000000001</v>
      </c>
      <c r="J4558">
        <v>-375.05380000000002</v>
      </c>
      <c r="K4558">
        <v>1.1052029999999999</v>
      </c>
      <c r="L4558">
        <v>17.82385</v>
      </c>
      <c r="M4558">
        <v>0.996245099999999</v>
      </c>
      <c r="N4558">
        <v>0</v>
      </c>
      <c r="O4558">
        <v>8.5283780000000003E-2</v>
      </c>
      <c r="P4558">
        <v>0.99047680000000005</v>
      </c>
      <c r="Q4558">
        <v>-1.1339490000000001E-2</v>
      </c>
      <c r="R4558">
        <v>0.1372128</v>
      </c>
      <c r="S4558">
        <v>2.949341</v>
      </c>
      <c r="T4558">
        <v>-0.2136083</v>
      </c>
      <c r="U4558">
        <v>0.55615230000000004</v>
      </c>
      <c r="V4558">
        <v>-5.2238039999999999E-2</v>
      </c>
      <c r="W4558">
        <v>3.4669009999999901E-3</v>
      </c>
      <c r="X4558">
        <v>0.99862859999999998</v>
      </c>
      <c r="Y4558">
        <v>-0.1007719</v>
      </c>
      <c r="Z4558">
        <v>-2.4851999999999899E-3</v>
      </c>
      <c r="AA4558">
        <v>0.99490639999999997</v>
      </c>
      <c r="AB4558">
        <v>27</v>
      </c>
      <c r="AC4558">
        <v>14.998100000000001</v>
      </c>
      <c r="AD4558">
        <v>-1.105207894466</v>
      </c>
      <c r="AE4558">
        <v>2.85432</v>
      </c>
      <c r="AF4558">
        <v>-1.5565248324540799</v>
      </c>
      <c r="AG4558">
        <v>-1.105207894466</v>
      </c>
      <c r="AH4558">
        <v>15.1077290689205</v>
      </c>
      <c r="AI4558">
        <v>94.162073473088498</v>
      </c>
      <c r="AJ4558">
        <v>95.882336494587904</v>
      </c>
      <c r="AK4558">
        <v>15.227860377083299</v>
      </c>
    </row>
    <row r="4559" spans="1:37" x14ac:dyDescent="0.2">
      <c r="A4559" t="str">
        <f>"20200111160304825"</f>
        <v>20200111160304825</v>
      </c>
      <c r="B4559" t="str">
        <f>"1578729784817205"</f>
        <v>1578729784817205</v>
      </c>
      <c r="C4559" t="s">
        <v>37</v>
      </c>
      <c r="D4559">
        <v>5.1602189999999997</v>
      </c>
      <c r="E4559">
        <v>0.48423299999999903</v>
      </c>
      <c r="F4559" t="s">
        <v>87</v>
      </c>
      <c r="G4559">
        <v>-360.26549999999997</v>
      </c>
      <c r="H4559" s="1">
        <v>-4.7930179999999998E-6</v>
      </c>
      <c r="I4559">
        <v>20.560379999999999</v>
      </c>
      <c r="J4559">
        <v>-374.76929999999999</v>
      </c>
      <c r="K4559">
        <v>1.1051029999999999</v>
      </c>
      <c r="L4559">
        <v>17.849329999999998</v>
      </c>
      <c r="M4559">
        <v>0.99616589999999905</v>
      </c>
      <c r="N4559">
        <v>0</v>
      </c>
      <c r="O4559">
        <v>8.6201330000000007E-2</v>
      </c>
      <c r="P4559">
        <v>0.99080619999999997</v>
      </c>
      <c r="Q4559">
        <v>-1.419467E-2</v>
      </c>
      <c r="R4559">
        <v>0.134543</v>
      </c>
      <c r="S4559">
        <v>2.9507140000000001</v>
      </c>
      <c r="T4559">
        <v>-0.22052260000000001</v>
      </c>
      <c r="U4559">
        <v>0.54602050000000002</v>
      </c>
      <c r="V4559">
        <v>-4.8625170000000002E-2</v>
      </c>
      <c r="W4559">
        <v>6.5023100000000003E-4</v>
      </c>
      <c r="X4559">
        <v>0.99881690000000001</v>
      </c>
      <c r="Y4559">
        <v>-9.6480570000000002E-2</v>
      </c>
      <c r="Z4559">
        <v>-2.7915370000000002E-3</v>
      </c>
      <c r="AA4559">
        <v>0.99533090000000002</v>
      </c>
      <c r="AB4559">
        <v>27</v>
      </c>
      <c r="AC4559">
        <v>14.5038</v>
      </c>
      <c r="AD4559">
        <v>-1.105107793018</v>
      </c>
      <c r="AE4559">
        <v>2.7110500000000002</v>
      </c>
      <c r="AF4559">
        <v>-1.44247862827886</v>
      </c>
      <c r="AG4559">
        <v>-1.105107793018</v>
      </c>
      <c r="AH4559">
        <v>14.601614129225499</v>
      </c>
      <c r="AI4559">
        <v>94.307232230586607</v>
      </c>
      <c r="AJ4559">
        <v>95.641885832017607</v>
      </c>
      <c r="AK4559">
        <v>14.714249658274399</v>
      </c>
    </row>
    <row r="4560" spans="1:37" x14ac:dyDescent="0.2">
      <c r="A4560" t="str">
        <f>"20200111160304847"</f>
        <v>20200111160304847</v>
      </c>
      <c r="B4560" t="str">
        <f>"1578729784837701"</f>
        <v>1578729784837701</v>
      </c>
      <c r="C4560" t="s">
        <v>37</v>
      </c>
      <c r="D4560">
        <v>5.1862760000000003</v>
      </c>
      <c r="E4560">
        <v>0.48420360000000001</v>
      </c>
      <c r="F4560" t="s">
        <v>87</v>
      </c>
      <c r="G4560">
        <v>-360.55290000000002</v>
      </c>
      <c r="H4560" s="1">
        <v>-4.6610139999999999E-6</v>
      </c>
      <c r="I4560">
        <v>20.438410000000001</v>
      </c>
      <c r="J4560">
        <v>-374.50830000000002</v>
      </c>
      <c r="K4560">
        <v>1.1049910000000001</v>
      </c>
      <c r="L4560">
        <v>17.872769999999999</v>
      </c>
      <c r="M4560">
        <v>0.99610580000000004</v>
      </c>
      <c r="N4560">
        <v>0</v>
      </c>
      <c r="O4560">
        <v>8.6889419999999995E-2</v>
      </c>
      <c r="P4560">
        <v>0.99107889999999998</v>
      </c>
      <c r="Q4560">
        <v>-1.7018330000000002E-2</v>
      </c>
      <c r="R4560">
        <v>0.132187</v>
      </c>
      <c r="S4560">
        <v>2.9515689999999899</v>
      </c>
      <c r="T4560">
        <v>-0.22943920000000001</v>
      </c>
      <c r="U4560">
        <v>0.53753660000000003</v>
      </c>
      <c r="V4560">
        <v>-4.556052E-2</v>
      </c>
      <c r="W4560">
        <v>-2.1403379999999999E-3</v>
      </c>
      <c r="X4560">
        <v>0.99895929999999999</v>
      </c>
      <c r="Y4560">
        <v>-9.2983010000000005E-2</v>
      </c>
      <c r="Z4560">
        <v>-3.091468E-3</v>
      </c>
      <c r="AA4560">
        <v>0.99566290000000002</v>
      </c>
      <c r="AB4560">
        <v>27</v>
      </c>
      <c r="AC4560">
        <v>13.9553999999999</v>
      </c>
      <c r="AD4560">
        <v>-1.1049956610139999</v>
      </c>
      <c r="AE4560">
        <v>2.5656399999999899</v>
      </c>
      <c r="AF4560">
        <v>-1.3351253941832599</v>
      </c>
      <c r="AG4560">
        <v>-1.1049956610139999</v>
      </c>
      <c r="AH4560">
        <v>14.0404110932847</v>
      </c>
      <c r="AI4560">
        <v>94.479839006020001</v>
      </c>
      <c r="AJ4560">
        <v>95.432014770121299</v>
      </c>
      <c r="AK4560">
        <v>14.1469685409095</v>
      </c>
    </row>
    <row r="4561" spans="1:37" x14ac:dyDescent="0.2">
      <c r="A4561" t="str">
        <f>"20200111160304868"</f>
        <v>20200111160304868</v>
      </c>
      <c r="B4561" t="str">
        <f>"1578729784857222"</f>
        <v>1578729784857222</v>
      </c>
      <c r="C4561" t="s">
        <v>37</v>
      </c>
      <c r="D4561">
        <v>5.2421739999999897</v>
      </c>
      <c r="E4561">
        <v>0.48387570000000002</v>
      </c>
      <c r="F4561" t="s">
        <v>87</v>
      </c>
      <c r="G4561">
        <v>-360.81569999999999</v>
      </c>
      <c r="H4561" s="1">
        <v>-4.532807E-6</v>
      </c>
      <c r="I4561">
        <v>20.33381</v>
      </c>
      <c r="J4561">
        <v>-374.2534</v>
      </c>
      <c r="K4561">
        <v>1.1048610000000001</v>
      </c>
      <c r="L4561">
        <v>17.895630000000001</v>
      </c>
      <c r="M4561">
        <v>0.99606149999999904</v>
      </c>
      <c r="N4561">
        <v>0</v>
      </c>
      <c r="O4561">
        <v>8.7393150000000003E-2</v>
      </c>
      <c r="P4561">
        <v>0.99139330000000003</v>
      </c>
      <c r="Q4561">
        <v>-1.9121269999999999E-2</v>
      </c>
      <c r="R4561">
        <v>0.12951379999999901</v>
      </c>
      <c r="S4561">
        <v>2.9521790000000001</v>
      </c>
      <c r="T4561">
        <v>-0.23824139999999899</v>
      </c>
      <c r="U4561">
        <v>0.53060909999999994</v>
      </c>
      <c r="V4561">
        <v>-4.2363770000000002E-2</v>
      </c>
      <c r="W4561">
        <v>-4.2132719999999997E-3</v>
      </c>
      <c r="X4561">
        <v>0.99909340000000002</v>
      </c>
      <c r="Y4561">
        <v>-9.0189370000000005E-2</v>
      </c>
      <c r="Z4561">
        <v>-3.3615359999999901E-3</v>
      </c>
      <c r="AA4561">
        <v>0.995919</v>
      </c>
      <c r="AB4561">
        <v>27</v>
      </c>
      <c r="AC4561">
        <v>13.4377</v>
      </c>
      <c r="AD4561">
        <v>-1.1048655328070001</v>
      </c>
      <c r="AE4561">
        <v>2.4381799999999898</v>
      </c>
      <c r="AF4561">
        <v>-1.2461985273006699</v>
      </c>
      <c r="AG4561">
        <v>-1.1048655328070001</v>
      </c>
      <c r="AH4561">
        <v>13.510951025897</v>
      </c>
      <c r="AI4561">
        <v>94.655318566350104</v>
      </c>
      <c r="AJ4561">
        <v>95.269833264149497</v>
      </c>
      <c r="AK4561">
        <v>13.6132118267225</v>
      </c>
    </row>
    <row r="4562" spans="1:37" x14ac:dyDescent="0.2">
      <c r="A4562" t="str">
        <f>"20200111160304890"</f>
        <v>20200111160304890</v>
      </c>
      <c r="B4562" t="str">
        <f>"1578729784887477"</f>
        <v>1578729784887477</v>
      </c>
      <c r="C4562" t="s">
        <v>37</v>
      </c>
      <c r="D4562">
        <v>5.2704599999999999</v>
      </c>
      <c r="E4562">
        <v>0.48312519999999998</v>
      </c>
      <c r="F4562" t="s">
        <v>87</v>
      </c>
      <c r="G4562">
        <v>-361.03789999999998</v>
      </c>
      <c r="H4562" s="1">
        <v>-4.4043789999999998E-6</v>
      </c>
      <c r="I4562">
        <v>20.24577</v>
      </c>
      <c r="J4562">
        <v>-374.00630000000001</v>
      </c>
      <c r="K4562">
        <v>1.10473</v>
      </c>
      <c r="L4562">
        <v>17.917719999999999</v>
      </c>
      <c r="M4562">
        <v>0.99603390000000003</v>
      </c>
      <c r="N4562">
        <v>0</v>
      </c>
      <c r="O4562">
        <v>8.7707010000000002E-2</v>
      </c>
      <c r="P4562">
        <v>0.99172099999999996</v>
      </c>
      <c r="Q4562">
        <v>-1.9702310000000001E-2</v>
      </c>
      <c r="R4562">
        <v>0.12689249999999999</v>
      </c>
      <c r="S4562">
        <v>2.9526979999999998</v>
      </c>
      <c r="T4562">
        <v>-0.24685670000000001</v>
      </c>
      <c r="U4562">
        <v>0.52508540000000004</v>
      </c>
      <c r="V4562">
        <v>-3.9410250000000001E-2</v>
      </c>
      <c r="W4562">
        <v>-4.7684429999999998E-3</v>
      </c>
      <c r="X4562">
        <v>0.99921170000000004</v>
      </c>
      <c r="Y4562">
        <v>-8.804708E-2</v>
      </c>
      <c r="Z4562">
        <v>-3.5973259999999901E-3</v>
      </c>
      <c r="AA4562">
        <v>0.99610980000000005</v>
      </c>
      <c r="AB4562">
        <v>27</v>
      </c>
      <c r="AC4562">
        <v>12.968400000000001</v>
      </c>
      <c r="AD4562">
        <v>-1.1047344043789999</v>
      </c>
      <c r="AE4562">
        <v>2.32804999999999</v>
      </c>
      <c r="AF4562">
        <v>-1.17328103542232</v>
      </c>
      <c r="AG4562">
        <v>-1.1047344043789999</v>
      </c>
      <c r="AH4562">
        <v>13.0310111420676</v>
      </c>
      <c r="AI4562">
        <v>94.826365614232898</v>
      </c>
      <c r="AJ4562">
        <v>95.144901852778801</v>
      </c>
      <c r="AK4562">
        <v>13.1302809519443</v>
      </c>
    </row>
    <row r="4563" spans="1:37" x14ac:dyDescent="0.2">
      <c r="A4563" t="str">
        <f>"20200111160304912"</f>
        <v>20200111160304912</v>
      </c>
      <c r="B4563" t="str">
        <f>"1578729784907973"</f>
        <v>1578729784907973</v>
      </c>
      <c r="C4563" t="s">
        <v>37</v>
      </c>
      <c r="D4563">
        <v>5.242934</v>
      </c>
      <c r="E4563">
        <v>0.48290290000000002</v>
      </c>
      <c r="F4563" t="s">
        <v>87</v>
      </c>
      <c r="G4563">
        <v>-360.9282</v>
      </c>
      <c r="H4563" s="1">
        <v>-4.4533059999999999E-6</v>
      </c>
      <c r="I4563">
        <v>20.234829999999999</v>
      </c>
      <c r="J4563">
        <v>-373.73790000000002</v>
      </c>
      <c r="K4563">
        <v>1.1046119999999999</v>
      </c>
      <c r="L4563">
        <v>17.94162</v>
      </c>
      <c r="M4563">
        <v>0.99601849999999903</v>
      </c>
      <c r="N4563">
        <v>0</v>
      </c>
      <c r="O4563">
        <v>8.7879959999999993E-2</v>
      </c>
      <c r="P4563">
        <v>0.99210509999999996</v>
      </c>
      <c r="Q4563">
        <v>-1.8870769999999999E-2</v>
      </c>
      <c r="R4563">
        <v>0.12398199999999999</v>
      </c>
      <c r="S4563">
        <v>2.9531559999999999</v>
      </c>
      <c r="T4563">
        <v>-0.249459499999999</v>
      </c>
      <c r="U4563">
        <v>0.52322389999999996</v>
      </c>
      <c r="V4563">
        <v>-3.63051E-2</v>
      </c>
      <c r="W4563">
        <v>-3.9144469999999997E-3</v>
      </c>
      <c r="X4563">
        <v>0.99933309999999997</v>
      </c>
      <c r="Y4563">
        <v>-8.7242E-2</v>
      </c>
      <c r="Z4563">
        <v>-3.682879E-3</v>
      </c>
      <c r="AA4563">
        <v>0.99618039999999997</v>
      </c>
      <c r="AB4563">
        <v>27</v>
      </c>
      <c r="AC4563">
        <v>12.809699999999999</v>
      </c>
      <c r="AD4563">
        <v>-1.1046164533059999</v>
      </c>
      <c r="AE4563">
        <v>2.29320999999999</v>
      </c>
      <c r="AF4563">
        <v>-1.15020612615429</v>
      </c>
      <c r="AG4563">
        <v>-1.1046164533059999</v>
      </c>
      <c r="AH4563">
        <v>12.8689556968397</v>
      </c>
      <c r="AI4563">
        <v>94.886616335973301</v>
      </c>
      <c r="AJ4563">
        <v>95.107431307675299</v>
      </c>
      <c r="AK4563">
        <v>12.9673888030235</v>
      </c>
    </row>
    <row r="4564" spans="1:37" x14ac:dyDescent="0.2">
      <c r="A4564" t="str">
        <f>"20200111160304936"</f>
        <v>20200111160304936</v>
      </c>
      <c r="B4564" t="str">
        <f>"1578729784927493"</f>
        <v>1578729784927493</v>
      </c>
      <c r="C4564" t="s">
        <v>37</v>
      </c>
      <c r="D4564">
        <v>5.2796900000000004</v>
      </c>
      <c r="E4564">
        <v>0.4824695</v>
      </c>
      <c r="F4564" t="s">
        <v>87</v>
      </c>
      <c r="G4564">
        <v>-360.53030000000001</v>
      </c>
      <c r="H4564" s="1">
        <v>-4.6361249999999996E-6</v>
      </c>
      <c r="I4564">
        <v>20.24926</v>
      </c>
      <c r="J4564">
        <v>-373.45650000000001</v>
      </c>
      <c r="K4564">
        <v>1.1045180000000001</v>
      </c>
      <c r="L4564">
        <v>17.966519999999999</v>
      </c>
      <c r="M4564">
        <v>0.99601499999999998</v>
      </c>
      <c r="N4564">
        <v>0</v>
      </c>
      <c r="O4564">
        <v>8.7920349999999994E-2</v>
      </c>
      <c r="P4564">
        <v>0.99256049999999996</v>
      </c>
      <c r="Q4564">
        <v>-1.7835429999999999E-2</v>
      </c>
      <c r="R4564">
        <v>0.120439899999999</v>
      </c>
      <c r="S4564">
        <v>2.9546199999999998</v>
      </c>
      <c r="T4564">
        <v>-0.2471102</v>
      </c>
      <c r="U4564">
        <v>0.51623540000000001</v>
      </c>
      <c r="V4564">
        <v>-3.2697259999999999E-2</v>
      </c>
      <c r="W4564">
        <v>-2.8622249999999999E-3</v>
      </c>
      <c r="X4564">
        <v>0.99946119999999905</v>
      </c>
      <c r="Y4564">
        <v>-8.4839209999999998E-2</v>
      </c>
      <c r="Z4564">
        <v>-3.7503459999999999E-3</v>
      </c>
      <c r="AA4564">
        <v>0.99638760000000004</v>
      </c>
      <c r="AB4564">
        <v>27</v>
      </c>
      <c r="AC4564">
        <v>12.9261999999999</v>
      </c>
      <c r="AD4564">
        <v>-1.104522636125</v>
      </c>
      <c r="AE4564">
        <v>2.2827399999999902</v>
      </c>
      <c r="AF4564">
        <v>-1.1292985988598501</v>
      </c>
      <c r="AG4564">
        <v>-1.104522636125</v>
      </c>
      <c r="AH4564">
        <v>12.9849129522903</v>
      </c>
      <c r="AI4564">
        <v>94.843792904845699</v>
      </c>
      <c r="AJ4564">
        <v>94.970510329714301</v>
      </c>
      <c r="AK4564">
        <v>13.080644095672699</v>
      </c>
    </row>
    <row r="4565" spans="1:37" x14ac:dyDescent="0.2">
      <c r="A4565" t="str">
        <f>"20200111160304980"</f>
        <v>20200111160304980</v>
      </c>
      <c r="B4565" t="str">
        <f>"1578729784977269"</f>
        <v>1578729784977269</v>
      </c>
      <c r="C4565" t="s">
        <v>37</v>
      </c>
      <c r="D4565">
        <v>5.2191070000000002</v>
      </c>
      <c r="E4565">
        <v>0.48162450000000001</v>
      </c>
      <c r="F4565" t="s">
        <v>87</v>
      </c>
      <c r="G4565">
        <v>-360.07319999999999</v>
      </c>
      <c r="H4565" s="1">
        <v>-4.8156519999999998E-6</v>
      </c>
      <c r="I4565">
        <v>20.27177</v>
      </c>
      <c r="J4565">
        <v>-372.9486</v>
      </c>
      <c r="K4565">
        <v>1.104414</v>
      </c>
      <c r="L4565">
        <v>18.011140000000001</v>
      </c>
      <c r="M4565">
        <v>0.99603709999999901</v>
      </c>
      <c r="N4565">
        <v>0</v>
      </c>
      <c r="O4565">
        <v>8.7667549999999997E-2</v>
      </c>
      <c r="P4565">
        <v>0.9936488</v>
      </c>
      <c r="Q4565">
        <v>-1.4654489999999999E-2</v>
      </c>
      <c r="R4565">
        <v>0.1115694</v>
      </c>
      <c r="S4565">
        <v>2.956299</v>
      </c>
      <c r="T4565">
        <v>-0.243982899999999</v>
      </c>
      <c r="U4565">
        <v>0.50921629999999996</v>
      </c>
      <c r="V4565">
        <v>-2.4019619999999998E-2</v>
      </c>
      <c r="W4565">
        <v>3.3599539999999998E-4</v>
      </c>
      <c r="X4565">
        <v>0.99971149999999998</v>
      </c>
      <c r="Y4565">
        <v>-8.2705280000000006E-2</v>
      </c>
      <c r="Z4565">
        <v>-3.7686350000000002E-3</v>
      </c>
      <c r="AA4565">
        <v>0.99656699999999998</v>
      </c>
      <c r="AB4565">
        <v>26</v>
      </c>
      <c r="AC4565">
        <v>12.875400000000001</v>
      </c>
      <c r="AD4565">
        <v>-1.1044188156520001</v>
      </c>
      <c r="AE4565">
        <v>2.2606299999999901</v>
      </c>
      <c r="AF4565">
        <v>-1.1150834769043201</v>
      </c>
      <c r="AG4565">
        <v>-1.1044188156520001</v>
      </c>
      <c r="AH4565">
        <v>12.9317188467706</v>
      </c>
      <c r="AI4565">
        <v>94.863475780541506</v>
      </c>
      <c r="AJ4565">
        <v>94.928341935944204</v>
      </c>
      <c r="AK4565">
        <v>13.026607555797201</v>
      </c>
    </row>
    <row r="4566" spans="1:37" x14ac:dyDescent="0.2">
      <c r="A4566" t="str">
        <f>"20200111160305024"</f>
        <v>20200111160305024</v>
      </c>
      <c r="B4566" t="str">
        <f>"1578729785017285"</f>
        <v>1578729785017285</v>
      </c>
      <c r="C4566" t="s">
        <v>37</v>
      </c>
      <c r="D4566">
        <v>5.2604110000000004</v>
      </c>
      <c r="E4566">
        <v>0.53601940000000003</v>
      </c>
      <c r="F4566" t="s">
        <v>38</v>
      </c>
      <c r="G4566">
        <v>-358.9821</v>
      </c>
      <c r="H4566" s="1">
        <v>-6.0700480000000002E-7</v>
      </c>
      <c r="I4566">
        <v>20.32291</v>
      </c>
      <c r="J4566">
        <v>-372.42410000000001</v>
      </c>
      <c r="K4566">
        <v>1.1042969999999901</v>
      </c>
      <c r="L4566">
        <v>18.056550000000001</v>
      </c>
      <c r="M4566">
        <v>0.99609380000000003</v>
      </c>
      <c r="N4566">
        <v>0</v>
      </c>
      <c r="O4566">
        <v>8.702066E-2</v>
      </c>
      <c r="P4566">
        <v>0.99522759999999999</v>
      </c>
      <c r="Q4566">
        <v>-1.0570899999999999E-2</v>
      </c>
      <c r="R4566">
        <v>9.7007389999999999E-2</v>
      </c>
      <c r="S4566">
        <v>2.960693</v>
      </c>
      <c r="T4566">
        <v>-0.23412079999999999</v>
      </c>
      <c r="U4566">
        <v>0.49008180000000001</v>
      </c>
      <c r="V4566">
        <v>-1.002172E-2</v>
      </c>
      <c r="W4566">
        <v>4.423906E-3</v>
      </c>
      <c r="X4566">
        <v>0.99993999999999905</v>
      </c>
      <c r="Y4566">
        <v>-7.6855809999999997E-2</v>
      </c>
      <c r="Z4566">
        <v>-3.792868E-3</v>
      </c>
      <c r="AA4566">
        <v>0.997035</v>
      </c>
      <c r="AB4566">
        <v>26</v>
      </c>
      <c r="AC4566">
        <v>13.442</v>
      </c>
      <c r="AD4566">
        <v>-1.1042976070047901</v>
      </c>
      <c r="AE4566">
        <v>2.2663599999999899</v>
      </c>
      <c r="AF4566">
        <v>-1.0808047719768701</v>
      </c>
      <c r="AG4566">
        <v>-1.1042976070047901</v>
      </c>
      <c r="AH4566">
        <v>13.499646898846301</v>
      </c>
      <c r="AI4566">
        <v>94.661644364818699</v>
      </c>
      <c r="AJ4566">
        <v>94.577434298559695</v>
      </c>
      <c r="AK4566">
        <v>13.5877915259801</v>
      </c>
    </row>
    <row r="4567" spans="1:37" x14ac:dyDescent="0.2">
      <c r="A4567" t="str">
        <f>"20200111160305047"</f>
        <v>20200111160305047</v>
      </c>
      <c r="B4567" t="str">
        <f>"1578729785037781"</f>
        <v>1578729785037781</v>
      </c>
      <c r="C4567" t="s">
        <v>37</v>
      </c>
      <c r="D4567">
        <v>5.4815300000000002</v>
      </c>
      <c r="E4567">
        <v>0.6058673</v>
      </c>
      <c r="F4567" t="s">
        <v>42</v>
      </c>
      <c r="G4567">
        <v>-371.64400000000001</v>
      </c>
      <c r="H4567">
        <v>1.035102</v>
      </c>
      <c r="I4567">
        <v>18.060960000000001</v>
      </c>
      <c r="J4567">
        <v>-372.15800000000002</v>
      </c>
      <c r="K4567">
        <v>1.1042099999999999</v>
      </c>
      <c r="L4567">
        <v>18.079319999999999</v>
      </c>
      <c r="M4567">
        <v>0.99613359999999995</v>
      </c>
      <c r="N4567">
        <v>0</v>
      </c>
      <c r="O4567">
        <v>8.6564820000000001E-2</v>
      </c>
      <c r="P4567">
        <v>0.9959962</v>
      </c>
      <c r="Q4567">
        <v>-1.076363E-2</v>
      </c>
      <c r="R4567">
        <v>8.8747519999999996E-2</v>
      </c>
      <c r="S4567">
        <v>3.0098569999999998</v>
      </c>
      <c r="T4567">
        <v>-0.26689959999999902</v>
      </c>
      <c r="U4567">
        <v>1.7791749999999999E-2</v>
      </c>
      <c r="V4567">
        <v>-2.1832420000000002E-3</v>
      </c>
      <c r="W4567">
        <v>4.226975E-3</v>
      </c>
      <c r="X4567">
        <v>0.99998869999999895</v>
      </c>
      <c r="Y4567">
        <v>8.0031149999999995E-2</v>
      </c>
      <c r="Z4567">
        <v>-1.119561E-2</v>
      </c>
      <c r="AA4567">
        <v>0.99672950000000005</v>
      </c>
      <c r="AB4567">
        <v>26</v>
      </c>
      <c r="AC4567">
        <v>0.51400000000001</v>
      </c>
      <c r="AD4567">
        <v>-6.91080000000001E-2</v>
      </c>
      <c r="AE4567">
        <v>-1.8360000000001198E-2</v>
      </c>
      <c r="AF4567">
        <v>6.1676853184723802E-2</v>
      </c>
      <c r="AG4567">
        <v>-6.91080000000001E-2</v>
      </c>
      <c r="AH4567">
        <v>0.50142777124912297</v>
      </c>
      <c r="AI4567">
        <v>97.789233341190794</v>
      </c>
      <c r="AJ4567">
        <v>82.987700621461997</v>
      </c>
      <c r="AK4567">
        <v>0.50991152140605001</v>
      </c>
    </row>
    <row r="4568" spans="1:37" x14ac:dyDescent="0.2">
      <c r="A4568" t="str">
        <f>"20200111160305069"</f>
        <v>20200111160305069</v>
      </c>
      <c r="B4568" t="str">
        <f>"1578729785068037"</f>
        <v>1578729785068037</v>
      </c>
      <c r="C4568" t="s">
        <v>37</v>
      </c>
      <c r="D4568">
        <v>5.2503440000000001</v>
      </c>
      <c r="E4568">
        <v>0.60164669999999998</v>
      </c>
      <c r="F4568" t="s">
        <v>87</v>
      </c>
      <c r="G4568">
        <v>-360.55650000000003</v>
      </c>
      <c r="H4568" s="1">
        <v>-5.1147770000000001E-6</v>
      </c>
      <c r="I4568">
        <v>15.950100000000001</v>
      </c>
      <c r="J4568">
        <v>-371.89819999999997</v>
      </c>
      <c r="K4568">
        <v>1.1041299999999901</v>
      </c>
      <c r="L4568">
        <v>18.101289999999999</v>
      </c>
      <c r="M4568">
        <v>0.996179699999999</v>
      </c>
      <c r="N4568">
        <v>0</v>
      </c>
      <c r="O4568">
        <v>8.6031679999999999E-2</v>
      </c>
      <c r="P4568">
        <v>0.99667649999999997</v>
      </c>
      <c r="Q4568">
        <v>-1.365894E-2</v>
      </c>
      <c r="R4568">
        <v>8.0310060000000003E-2</v>
      </c>
      <c r="S4568">
        <v>3.058929</v>
      </c>
      <c r="T4568">
        <v>-0.29114390000000001</v>
      </c>
      <c r="U4568">
        <v>-0.56140140000000005</v>
      </c>
      <c r="V4568">
        <v>5.7442480000000004E-3</v>
      </c>
      <c r="W4568">
        <v>1.322571E-3</v>
      </c>
      <c r="X4568">
        <v>0.999982699999999</v>
      </c>
      <c r="Y4568">
        <v>0.26294099999999998</v>
      </c>
      <c r="Z4568">
        <v>-2.0494160000000001E-2</v>
      </c>
      <c r="AA4568">
        <v>0.96459419999999996</v>
      </c>
      <c r="AB4568">
        <v>26</v>
      </c>
      <c r="AC4568">
        <v>11.3416999999999</v>
      </c>
      <c r="AD4568">
        <v>-1.10413511477699</v>
      </c>
      <c r="AE4568">
        <v>-2.1511899999999899</v>
      </c>
      <c r="AF4568">
        <v>3.0907921426982901</v>
      </c>
      <c r="AG4568">
        <v>-1.10413511477699</v>
      </c>
      <c r="AH4568">
        <v>11.0137916898163</v>
      </c>
      <c r="AI4568">
        <v>95.513200126243703</v>
      </c>
      <c r="AJ4568">
        <v>74.324326530932794</v>
      </c>
      <c r="AK4568">
        <v>11.492420015284599</v>
      </c>
    </row>
    <row r="4569" spans="1:37" x14ac:dyDescent="0.2">
      <c r="A4569" t="str">
        <f>"20200111160305090"</f>
        <v>20200111160305090</v>
      </c>
      <c r="B4569" t="str">
        <f>"1578729785087557"</f>
        <v>1578729785087557</v>
      </c>
      <c r="C4569" t="s">
        <v>37</v>
      </c>
      <c r="D4569">
        <v>5.2902050000000003</v>
      </c>
      <c r="E4569">
        <v>0.60038780000000003</v>
      </c>
      <c r="F4569" t="s">
        <v>87</v>
      </c>
      <c r="G4569">
        <v>-361.72199999999998</v>
      </c>
      <c r="H4569" s="1">
        <v>-4.5087669999999997E-6</v>
      </c>
      <c r="I4569">
        <v>16.260429999999999</v>
      </c>
      <c r="J4569">
        <v>-371.65519999999998</v>
      </c>
      <c r="K4569">
        <v>1.1040540000000001</v>
      </c>
      <c r="L4569">
        <v>18.121579999999899</v>
      </c>
      <c r="M4569">
        <v>0.99623019999999995</v>
      </c>
      <c r="N4569">
        <v>0</v>
      </c>
      <c r="O4569">
        <v>8.5445729999999998E-2</v>
      </c>
      <c r="P4569">
        <v>0.99727520000000003</v>
      </c>
      <c r="Q4569">
        <v>-1.606929E-2</v>
      </c>
      <c r="R4569">
        <v>7.200028E-2</v>
      </c>
      <c r="S4569">
        <v>3.0499269999999998</v>
      </c>
      <c r="T4569">
        <v>-0.33092240000000001</v>
      </c>
      <c r="U4569">
        <v>-0.55172730000000003</v>
      </c>
      <c r="V4569">
        <v>1.348422E-2</v>
      </c>
      <c r="W4569">
        <v>-1.100651E-3</v>
      </c>
      <c r="X4569">
        <v>0.99990849999999898</v>
      </c>
      <c r="Y4569">
        <v>0.25948139999999997</v>
      </c>
      <c r="Z4569">
        <v>-2.310419E-2</v>
      </c>
      <c r="AA4569">
        <v>0.96547169999999904</v>
      </c>
      <c r="AB4569">
        <v>26</v>
      </c>
      <c r="AC4569">
        <v>9.9331999999999994</v>
      </c>
      <c r="AD4569">
        <v>-1.1040585087670001</v>
      </c>
      <c r="AE4569">
        <v>-1.8611499999999901</v>
      </c>
      <c r="AF4569">
        <v>2.6713047879073</v>
      </c>
      <c r="AG4569">
        <v>-1.1040585087670001</v>
      </c>
      <c r="AH4569">
        <v>9.6229694888080406</v>
      </c>
      <c r="AI4569">
        <v>96.308494470795907</v>
      </c>
      <c r="AJ4569">
        <v>74.485520070204402</v>
      </c>
      <c r="AK4569">
        <v>10.047704028443899</v>
      </c>
    </row>
    <row r="4570" spans="1:37" x14ac:dyDescent="0.2">
      <c r="A4570" t="str">
        <f>"20200111160305113"</f>
        <v>20200111160305113</v>
      </c>
      <c r="B4570" t="str">
        <f>"1578729785108054"</f>
        <v>1578729785108054</v>
      </c>
      <c r="C4570" t="s">
        <v>37</v>
      </c>
      <c r="D4570">
        <v>5.2798119999999997</v>
      </c>
      <c r="E4570">
        <v>0.59917739999999997</v>
      </c>
      <c r="F4570" t="s">
        <v>87</v>
      </c>
      <c r="G4570">
        <v>-361.81459999999998</v>
      </c>
      <c r="H4570" s="1">
        <v>-4.4600300000000001E-6</v>
      </c>
      <c r="I4570">
        <v>16.288519999999998</v>
      </c>
      <c r="J4570">
        <v>-371.38459999999998</v>
      </c>
      <c r="K4570">
        <v>1.103993</v>
      </c>
      <c r="L4570">
        <v>18.14395</v>
      </c>
      <c r="M4570">
        <v>0.99629279999999998</v>
      </c>
      <c r="N4570">
        <v>0</v>
      </c>
      <c r="O4570">
        <v>8.4712469999999998E-2</v>
      </c>
      <c r="P4570">
        <v>0.99773279999999998</v>
      </c>
      <c r="Q4570">
        <v>-1.8147409999999999E-2</v>
      </c>
      <c r="R4570">
        <v>6.4807820000000002E-2</v>
      </c>
      <c r="S4570">
        <v>3.0436399999999999</v>
      </c>
      <c r="T4570">
        <v>-0.34147929999999999</v>
      </c>
      <c r="U4570">
        <v>-0.5669556</v>
      </c>
      <c r="V4570">
        <v>1.9951010000000002E-2</v>
      </c>
      <c r="W4570">
        <v>-3.1930470000000001E-3</v>
      </c>
      <c r="X4570">
        <v>0.99979589999999996</v>
      </c>
      <c r="Y4570">
        <v>0.26363629999999999</v>
      </c>
      <c r="Z4570">
        <v>-2.4023880000000001E-2</v>
      </c>
      <c r="AA4570">
        <v>0.96432289999999998</v>
      </c>
      <c r="AB4570">
        <v>26</v>
      </c>
      <c r="AC4570">
        <v>9.5699999999999896</v>
      </c>
      <c r="AD4570">
        <v>-1.10399746003</v>
      </c>
      <c r="AE4570">
        <v>-1.8554299999999899</v>
      </c>
      <c r="AF4570">
        <v>2.6258693256305001</v>
      </c>
      <c r="AG4570">
        <v>-1.10399746003</v>
      </c>
      <c r="AH4570">
        <v>9.2596337702755296</v>
      </c>
      <c r="AI4570">
        <v>96.543451632526697</v>
      </c>
      <c r="AJ4570">
        <v>74.1675960116862</v>
      </c>
      <c r="AK4570">
        <v>9.6878696144542999</v>
      </c>
    </row>
    <row r="4571" spans="1:37" x14ac:dyDescent="0.2">
      <c r="A4571" t="str">
        <f>"20200111160305137"</f>
        <v>20200111160305137</v>
      </c>
      <c r="B4571" t="str">
        <f>"1578729785127573"</f>
        <v>1578729785127573</v>
      </c>
      <c r="C4571" t="s">
        <v>37</v>
      </c>
      <c r="D4571">
        <v>5.2633269999999897</v>
      </c>
      <c r="E4571">
        <v>0.59820969999999996</v>
      </c>
      <c r="F4571" t="s">
        <v>87</v>
      </c>
      <c r="G4571">
        <v>-361.79750000000001</v>
      </c>
      <c r="H4571" s="1">
        <v>-4.4632760000000003E-6</v>
      </c>
      <c r="I4571">
        <v>16.315909999999999</v>
      </c>
      <c r="J4571">
        <v>-371.11079999999998</v>
      </c>
      <c r="K4571">
        <v>1.103934</v>
      </c>
      <c r="L4571">
        <v>18.166260000000001</v>
      </c>
      <c r="M4571">
        <v>0.99636239999999998</v>
      </c>
      <c r="N4571">
        <v>0</v>
      </c>
      <c r="O4571">
        <v>8.3890309999999996E-2</v>
      </c>
      <c r="P4571">
        <v>0.99806319999999904</v>
      </c>
      <c r="Q4571">
        <v>-1.9000340000000001E-2</v>
      </c>
      <c r="R4571">
        <v>5.923722E-2</v>
      </c>
      <c r="S4571">
        <v>3.0380549999999999</v>
      </c>
      <c r="T4571">
        <v>-0.34984359999999998</v>
      </c>
      <c r="U4571">
        <v>-0.57928469999999999</v>
      </c>
      <c r="V4571">
        <v>2.470323E-2</v>
      </c>
      <c r="W4571">
        <v>-4.0593579999999999E-3</v>
      </c>
      <c r="X4571">
        <v>0.99968659999999998</v>
      </c>
      <c r="Y4571">
        <v>0.26681149999999998</v>
      </c>
      <c r="Z4571">
        <v>-2.4731090000000001E-2</v>
      </c>
      <c r="AA4571">
        <v>0.96343140000000005</v>
      </c>
      <c r="AB4571">
        <v>26</v>
      </c>
      <c r="AC4571">
        <v>9.3132999999999697</v>
      </c>
      <c r="AD4571">
        <v>-1.1039384632760001</v>
      </c>
      <c r="AE4571">
        <v>-1.8503499999999899</v>
      </c>
      <c r="AF4571">
        <v>2.5901985081045802</v>
      </c>
      <c r="AG4571">
        <v>-1.1039384632760001</v>
      </c>
      <c r="AH4571">
        <v>9.0035218154821894</v>
      </c>
      <c r="AI4571">
        <v>96.7203235255013</v>
      </c>
      <c r="AJ4571">
        <v>73.950147187432904</v>
      </c>
      <c r="AK4571">
        <v>9.4335154382632602</v>
      </c>
    </row>
    <row r="4572" spans="1:37" x14ac:dyDescent="0.2">
      <c r="A4572" t="str">
        <f>"20200111160305158"</f>
        <v>20200111160305158</v>
      </c>
      <c r="B4572" t="str">
        <f>"1578729785148068"</f>
        <v>1578729785148068</v>
      </c>
      <c r="C4572" t="s">
        <v>37</v>
      </c>
      <c r="D4572">
        <v>5.0761379999999896</v>
      </c>
      <c r="E4572">
        <v>0.59881219999999902</v>
      </c>
      <c r="F4572" t="s">
        <v>87</v>
      </c>
      <c r="G4572">
        <v>-361.60160000000002</v>
      </c>
      <c r="H4572" s="1">
        <v>-4.5552309999999998E-6</v>
      </c>
      <c r="I4572">
        <v>16.319410000000001</v>
      </c>
      <c r="J4572">
        <v>-370.86219999999997</v>
      </c>
      <c r="K4572">
        <v>1.10389</v>
      </c>
      <c r="L4572">
        <v>18.18628</v>
      </c>
      <c r="M4572">
        <v>0.99643060000000006</v>
      </c>
      <c r="N4572">
        <v>0</v>
      </c>
      <c r="O4572">
        <v>8.3078310000000002E-2</v>
      </c>
      <c r="P4572">
        <v>0.99831360000000002</v>
      </c>
      <c r="Q4572">
        <v>-1.9030180000000001E-2</v>
      </c>
      <c r="R4572">
        <v>5.484605E-2</v>
      </c>
      <c r="S4572">
        <v>3.0340579999999999</v>
      </c>
      <c r="T4572">
        <v>-0.35222759999999997</v>
      </c>
      <c r="U4572">
        <v>-0.58926389999999995</v>
      </c>
      <c r="V4572">
        <v>2.828495E-2</v>
      </c>
      <c r="W4572">
        <v>-4.1012009999999996E-3</v>
      </c>
      <c r="X4572">
        <v>0.99959149999999997</v>
      </c>
      <c r="Y4572">
        <v>0.26926919999999999</v>
      </c>
      <c r="Z4572">
        <v>-2.497094E-2</v>
      </c>
      <c r="AA4572">
        <v>0.96274110000000002</v>
      </c>
      <c r="AB4572">
        <v>26</v>
      </c>
      <c r="AC4572">
        <v>9.2605999999999504</v>
      </c>
      <c r="AD4572">
        <v>-1.103894555231</v>
      </c>
      <c r="AE4572">
        <v>-1.86686999999999</v>
      </c>
      <c r="AF4572">
        <v>2.5944303120496901</v>
      </c>
      <c r="AG4572">
        <v>-1.103894555231</v>
      </c>
      <c r="AH4572">
        <v>8.9512404121522593</v>
      </c>
      <c r="AI4572">
        <v>96.755104553309806</v>
      </c>
      <c r="AJ4572">
        <v>73.836281027313504</v>
      </c>
      <c r="AK4572">
        <v>9.3847939108591394</v>
      </c>
    </row>
    <row r="4573" spans="1:37" x14ac:dyDescent="0.2">
      <c r="A4573" t="str">
        <f>"20200111160305179"</f>
        <v>20200111160305179</v>
      </c>
      <c r="B4573" t="str">
        <f>"1578729785167588"</f>
        <v>1578729785167588</v>
      </c>
      <c r="C4573" t="s">
        <v>37</v>
      </c>
      <c r="D4573">
        <v>5.0477780000000001</v>
      </c>
      <c r="E4573">
        <v>0.59908619999999901</v>
      </c>
      <c r="F4573" t="s">
        <v>87</v>
      </c>
      <c r="G4573">
        <v>-361.03570000000002</v>
      </c>
      <c r="H4573" s="1">
        <v>-4.8411979999999999E-6</v>
      </c>
      <c r="I4573">
        <v>16.215389999999999</v>
      </c>
      <c r="J4573">
        <v>-370.62549999999999</v>
      </c>
      <c r="K4573">
        <v>1.103866</v>
      </c>
      <c r="L4573">
        <v>18.205079999999999</v>
      </c>
      <c r="M4573">
        <v>0.99649880000000002</v>
      </c>
      <c r="N4573">
        <v>0</v>
      </c>
      <c r="O4573">
        <v>8.2255300000000003E-2</v>
      </c>
      <c r="P4573">
        <v>0.99846590000000002</v>
      </c>
      <c r="Q4573">
        <v>-2.012823E-2</v>
      </c>
      <c r="R4573">
        <v>5.15824E-2</v>
      </c>
      <c r="S4573">
        <v>3.0320130000000001</v>
      </c>
      <c r="T4573">
        <v>-0.34060990000000002</v>
      </c>
      <c r="U4573">
        <v>-0.60812379999999999</v>
      </c>
      <c r="V4573">
        <v>3.0722679999999999E-2</v>
      </c>
      <c r="W4573">
        <v>-5.2099420000000004E-3</v>
      </c>
      <c r="X4573">
        <v>0.99951429999999997</v>
      </c>
      <c r="Y4573">
        <v>0.27447729999999998</v>
      </c>
      <c r="Z4573">
        <v>-2.4351950000000001E-2</v>
      </c>
      <c r="AA4573">
        <v>0.96128519999999895</v>
      </c>
      <c r="AB4573">
        <v>26</v>
      </c>
      <c r="AC4573">
        <v>9.5897999999999595</v>
      </c>
      <c r="AD4573">
        <v>-1.1038708411980001</v>
      </c>
      <c r="AE4573">
        <v>-1.98968999999999</v>
      </c>
      <c r="AF4573">
        <v>2.7370766885610802</v>
      </c>
      <c r="AG4573">
        <v>-1.1038708411980001</v>
      </c>
      <c r="AH4573">
        <v>9.27578262760386</v>
      </c>
      <c r="AI4573">
        <v>96.511573890844303</v>
      </c>
      <c r="AJ4573">
        <v>73.559844904643796</v>
      </c>
      <c r="AK4573">
        <v>9.7339746757256993</v>
      </c>
    </row>
    <row r="4574" spans="1:37" x14ac:dyDescent="0.2">
      <c r="A4574" t="str">
        <f>"20200111160305202"</f>
        <v>20200111160305202</v>
      </c>
      <c r="B4574" t="str">
        <f>"1578729785197844"</f>
        <v>1578729785197844</v>
      </c>
      <c r="C4574" t="s">
        <v>37</v>
      </c>
      <c r="D4574">
        <v>5.1058009999999996</v>
      </c>
      <c r="E4574">
        <v>0.59855459999999905</v>
      </c>
      <c r="F4574" t="s">
        <v>87</v>
      </c>
      <c r="G4574">
        <v>-360.70609999999999</v>
      </c>
      <c r="H4574" s="1">
        <v>-5.0042819999999996E-6</v>
      </c>
      <c r="I4574">
        <v>16.174469999999999</v>
      </c>
      <c r="J4574">
        <v>-370.36110000000002</v>
      </c>
      <c r="K4574">
        <v>1.1038330000000001</v>
      </c>
      <c r="L4574">
        <v>18.225829999999998</v>
      </c>
      <c r="M4574">
        <v>0.99657759999999995</v>
      </c>
      <c r="N4574">
        <v>0</v>
      </c>
      <c r="O4574">
        <v>8.1296149999999998E-2</v>
      </c>
      <c r="P4574">
        <v>0.99858499999999994</v>
      </c>
      <c r="Q4574">
        <v>-2.1213249999999999E-2</v>
      </c>
      <c r="R4574">
        <v>4.8768260000000001E-2</v>
      </c>
      <c r="S4574">
        <v>3.029846</v>
      </c>
      <c r="T4574">
        <v>-0.33717199999999897</v>
      </c>
      <c r="U4574">
        <v>-0.62023930000000005</v>
      </c>
      <c r="V4574">
        <v>3.2573030000000003E-2</v>
      </c>
      <c r="W4574">
        <v>-6.3054599999999997E-3</v>
      </c>
      <c r="X4574">
        <v>0.99944949999999999</v>
      </c>
      <c r="Y4574">
        <v>0.2774066</v>
      </c>
      <c r="Z4574">
        <v>-2.417074E-2</v>
      </c>
      <c r="AA4574">
        <v>0.96044850000000004</v>
      </c>
      <c r="AB4574">
        <v>26</v>
      </c>
      <c r="AC4574">
        <v>9.6550000000000296</v>
      </c>
      <c r="AD4574">
        <v>-1.103838004282</v>
      </c>
      <c r="AE4574">
        <v>-2.0513599999999901</v>
      </c>
      <c r="AF4574">
        <v>2.7946201924153602</v>
      </c>
      <c r="AG4574">
        <v>-1.103838004282</v>
      </c>
      <c r="AH4574">
        <v>9.3394458621799998</v>
      </c>
      <c r="AI4574">
        <v>96.460111629997598</v>
      </c>
      <c r="AJ4574">
        <v>73.341364299803999</v>
      </c>
      <c r="AK4574">
        <v>9.8108923840873992</v>
      </c>
    </row>
    <row r="4575" spans="1:37" x14ac:dyDescent="0.2">
      <c r="A4575" t="str">
        <f>"20200111160305225"</f>
        <v>20200111160305225</v>
      </c>
      <c r="B4575" t="str">
        <f>"1578729785217365"</f>
        <v>1578729785217365</v>
      </c>
      <c r="C4575" t="s">
        <v>37</v>
      </c>
      <c r="D4575">
        <v>5.1773129999999998</v>
      </c>
      <c r="E4575">
        <v>0.59789619999999999</v>
      </c>
      <c r="F4575" t="s">
        <v>87</v>
      </c>
      <c r="G4575">
        <v>-360.39940000000001</v>
      </c>
      <c r="H4575" s="1">
        <v>-5.1498719999999997E-6</v>
      </c>
      <c r="I4575">
        <v>16.170829999999999</v>
      </c>
      <c r="J4575">
        <v>-370.0992</v>
      </c>
      <c r="K4575">
        <v>1.103817</v>
      </c>
      <c r="L4575">
        <v>18.246029999999902</v>
      </c>
      <c r="M4575">
        <v>0.99665700000000002</v>
      </c>
      <c r="N4575">
        <v>0</v>
      </c>
      <c r="O4575">
        <v>8.0318760000000003E-2</v>
      </c>
      <c r="P4575">
        <v>0.99868199999999996</v>
      </c>
      <c r="Q4575">
        <v>-2.0659130000000001E-2</v>
      </c>
      <c r="R4575">
        <v>4.6986779999999999E-2</v>
      </c>
      <c r="S4575">
        <v>3.0276179999999999</v>
      </c>
      <c r="T4575">
        <v>-0.33548719999999999</v>
      </c>
      <c r="U4575">
        <v>-0.62457280000000004</v>
      </c>
      <c r="V4575">
        <v>3.3377110000000001E-2</v>
      </c>
      <c r="W4575">
        <v>-5.7589750000000004E-3</v>
      </c>
      <c r="X4575">
        <v>0.99942619999999904</v>
      </c>
      <c r="Y4575">
        <v>0.27794429999999998</v>
      </c>
      <c r="Z4575">
        <v>-2.398699E-2</v>
      </c>
      <c r="AA4575">
        <v>0.96029759999999997</v>
      </c>
      <c r="AB4575">
        <v>26</v>
      </c>
      <c r="AC4575">
        <v>9.6997999999999802</v>
      </c>
      <c r="AD4575">
        <v>-1.103822149872</v>
      </c>
      <c r="AE4575">
        <v>-2.0751999999999899</v>
      </c>
      <c r="AF4575">
        <v>2.81282505754332</v>
      </c>
      <c r="AG4575">
        <v>-1.103822149872</v>
      </c>
      <c r="AH4575">
        <v>9.3855352478797496</v>
      </c>
      <c r="AI4575">
        <v>96.427738939818695</v>
      </c>
      <c r="AJ4575">
        <v>73.3166377743472</v>
      </c>
      <c r="AK4575">
        <v>9.85995334837264</v>
      </c>
    </row>
    <row r="4576" spans="1:37" x14ac:dyDescent="0.2">
      <c r="A4576" t="str">
        <f>"20200111160305248"</f>
        <v>20200111160305248</v>
      </c>
      <c r="B4576" t="str">
        <f>"1578729785237860"</f>
        <v>1578729785237860</v>
      </c>
      <c r="C4576" t="s">
        <v>37</v>
      </c>
      <c r="D4576">
        <v>5.1409390000000004</v>
      </c>
      <c r="E4576">
        <v>0.59739370000000003</v>
      </c>
      <c r="F4576" t="s">
        <v>87</v>
      </c>
      <c r="G4576">
        <v>-360.09949999999998</v>
      </c>
      <c r="H4576" s="1">
        <v>-5.2892869999999998E-6</v>
      </c>
      <c r="I4576">
        <v>16.184139999999999</v>
      </c>
      <c r="J4576">
        <v>-369.83120000000002</v>
      </c>
      <c r="K4576">
        <v>1.1038159999999999</v>
      </c>
      <c r="L4576">
        <v>18.266449999999999</v>
      </c>
      <c r="M4576">
        <v>0.99673869999999898</v>
      </c>
      <c r="N4576">
        <v>0</v>
      </c>
      <c r="O4576">
        <v>7.9299709999999995E-2</v>
      </c>
      <c r="P4576">
        <v>0.99878940000000005</v>
      </c>
      <c r="Q4576">
        <v>-1.8590260000000001E-2</v>
      </c>
      <c r="R4576">
        <v>4.5543099999999899E-2</v>
      </c>
      <c r="S4576">
        <v>3.026367</v>
      </c>
      <c r="T4576">
        <v>-0.33406649999999999</v>
      </c>
      <c r="U4576">
        <v>-0.62402340000000001</v>
      </c>
      <c r="V4576">
        <v>3.3806610000000001E-2</v>
      </c>
      <c r="W4576">
        <v>-3.696165E-3</v>
      </c>
      <c r="X4576">
        <v>0.99942149999999996</v>
      </c>
      <c r="Y4576">
        <v>0.27690209999999998</v>
      </c>
      <c r="Z4576">
        <v>-2.3728099999999998E-2</v>
      </c>
      <c r="AA4576">
        <v>0.96060509999999999</v>
      </c>
      <c r="AB4576">
        <v>26</v>
      </c>
      <c r="AC4576">
        <v>9.7317000000000409</v>
      </c>
      <c r="AD4576">
        <v>-1.1038212892870001</v>
      </c>
      <c r="AE4576">
        <v>-2.0823099999999899</v>
      </c>
      <c r="AF4576">
        <v>2.8129530703990402</v>
      </c>
      <c r="AG4576">
        <v>-1.1038212892870001</v>
      </c>
      <c r="AH4576">
        <v>9.4200155452524807</v>
      </c>
      <c r="AI4576">
        <v>96.406291874114899</v>
      </c>
      <c r="AJ4576">
        <v>73.373613129684202</v>
      </c>
      <c r="AK4576">
        <v>9.8928165497874705</v>
      </c>
    </row>
    <row r="4577" spans="1:37" x14ac:dyDescent="0.2">
      <c r="A4577" t="str">
        <f>"20200111160305270"</f>
        <v>20200111160305270</v>
      </c>
      <c r="B4577" t="str">
        <f>"1578729785257380"</f>
        <v>1578729785257380</v>
      </c>
      <c r="C4577" t="s">
        <v>37</v>
      </c>
      <c r="D4577">
        <v>5.2462739999999997</v>
      </c>
      <c r="E4577">
        <v>0.59667590000000004</v>
      </c>
      <c r="F4577" t="s">
        <v>38</v>
      </c>
      <c r="G4577">
        <v>-359.67349999999999</v>
      </c>
      <c r="H4577" s="1">
        <v>-1.013541E-6</v>
      </c>
      <c r="I4577">
        <v>16.172229999999999</v>
      </c>
      <c r="J4577">
        <v>-369.58940000000001</v>
      </c>
      <c r="K4577">
        <v>1.103828</v>
      </c>
      <c r="L4577">
        <v>18.284610000000001</v>
      </c>
      <c r="M4577">
        <v>0.99681200000000003</v>
      </c>
      <c r="N4577">
        <v>0</v>
      </c>
      <c r="O4577">
        <v>7.8370750000000003E-2</v>
      </c>
      <c r="P4577">
        <v>0.99895330000000004</v>
      </c>
      <c r="Q4577">
        <v>-1.393106E-2</v>
      </c>
      <c r="R4577">
        <v>4.3567340000000003E-2</v>
      </c>
      <c r="S4577">
        <v>3.02597</v>
      </c>
      <c r="T4577">
        <v>-0.32882499999999998</v>
      </c>
      <c r="U4577">
        <v>-0.62384030000000001</v>
      </c>
      <c r="V4577">
        <v>3.4865859999999999E-2</v>
      </c>
      <c r="W4577">
        <v>9.5731429999999903E-4</v>
      </c>
      <c r="X4577">
        <v>0.99939159999999905</v>
      </c>
      <c r="Y4577">
        <v>0.27605049999999998</v>
      </c>
      <c r="Z4577">
        <v>-2.3215599999999999E-2</v>
      </c>
      <c r="AA4577">
        <v>0.96086269999999996</v>
      </c>
      <c r="AB4577">
        <v>26</v>
      </c>
      <c r="AC4577">
        <v>9.9159000000000201</v>
      </c>
      <c r="AD4577">
        <v>-1.103829013541</v>
      </c>
      <c r="AE4577">
        <v>-2.1123799999999999</v>
      </c>
      <c r="AF4577">
        <v>2.8493092993415798</v>
      </c>
      <c r="AG4577">
        <v>-1.103829013541</v>
      </c>
      <c r="AH4577">
        <v>9.6059584026915097</v>
      </c>
      <c r="AI4577">
        <v>96.286731714774703</v>
      </c>
      <c r="AJ4577">
        <v>73.478645384309104</v>
      </c>
      <c r="AK4577">
        <v>10.0802499378085</v>
      </c>
    </row>
    <row r="4578" spans="1:37" x14ac:dyDescent="0.2">
      <c r="A4578" t="str">
        <f>"20200111160305303"</f>
        <v>20200111160305303</v>
      </c>
      <c r="B4578" t="str">
        <f>"1578729785297397"</f>
        <v>1578729785297397</v>
      </c>
      <c r="C4578" t="s">
        <v>37</v>
      </c>
      <c r="D4578">
        <v>5.151872</v>
      </c>
      <c r="E4578">
        <v>0.54880150000000005</v>
      </c>
      <c r="F4578" t="s">
        <v>38</v>
      </c>
      <c r="G4578">
        <v>-359.0496</v>
      </c>
      <c r="H4578" s="1">
        <v>-1.241503E-6</v>
      </c>
      <c r="I4578">
        <v>16.113350000000001</v>
      </c>
      <c r="J4578">
        <v>-369.20269999999999</v>
      </c>
      <c r="K4578">
        <v>1.1038379999999901</v>
      </c>
      <c r="L4578">
        <v>18.31317</v>
      </c>
      <c r="M4578">
        <v>0.99692819999999904</v>
      </c>
      <c r="N4578">
        <v>0</v>
      </c>
      <c r="O4578">
        <v>7.6882039999999999E-2</v>
      </c>
      <c r="P4578">
        <v>0.9990909</v>
      </c>
      <c r="Q4578">
        <v>-1.172058E-2</v>
      </c>
      <c r="R4578">
        <v>4.0988940000000001E-2</v>
      </c>
      <c r="S4578">
        <v>3.0258790000000002</v>
      </c>
      <c r="T4578">
        <v>-0.31689840000000002</v>
      </c>
      <c r="U4578">
        <v>-0.62332149999999997</v>
      </c>
      <c r="V4578">
        <v>3.595864E-2</v>
      </c>
      <c r="W4578">
        <v>3.1579120000000001E-3</v>
      </c>
      <c r="X4578">
        <v>0.99934829999999997</v>
      </c>
      <c r="Y4578">
        <v>0.27462140000000002</v>
      </c>
      <c r="Z4578">
        <v>-2.21511E-2</v>
      </c>
      <c r="AA4578">
        <v>0.96129730000000002</v>
      </c>
      <c r="AB4578">
        <v>26</v>
      </c>
      <c r="AC4578">
        <v>10.153099999999901</v>
      </c>
      <c r="AD4578">
        <v>-1.1038392415029901</v>
      </c>
      <c r="AE4578">
        <v>-2.1998199999999901</v>
      </c>
      <c r="AF4578">
        <v>2.9407844876365599</v>
      </c>
      <c r="AG4578">
        <v>-1.1038392415029901</v>
      </c>
      <c r="AH4578">
        <v>9.8427723997998395</v>
      </c>
      <c r="AI4578">
        <v>96.133108250380701</v>
      </c>
      <c r="AJ4578">
        <v>73.365115185768602</v>
      </c>
      <c r="AK4578">
        <v>10.3318363802408</v>
      </c>
    </row>
    <row r="4579" spans="1:37" x14ac:dyDescent="0.2">
      <c r="A4579" t="str">
        <f>"20200111160305325"</f>
        <v>20200111160305325</v>
      </c>
      <c r="B4579" t="str">
        <f>"1578729785317893"</f>
        <v>1578729785317893</v>
      </c>
      <c r="C4579" t="s">
        <v>37</v>
      </c>
      <c r="D4579">
        <v>4.9920179999999998</v>
      </c>
      <c r="E4579">
        <v>0.55097549999999995</v>
      </c>
      <c r="F4579" t="s">
        <v>42</v>
      </c>
      <c r="G4579">
        <v>-368.40809999999999</v>
      </c>
      <c r="H4579">
        <v>1.0306040000000001</v>
      </c>
      <c r="I4579">
        <v>18.246870000000001</v>
      </c>
      <c r="J4579">
        <v>-368.94889999999998</v>
      </c>
      <c r="K4579">
        <v>1.103834</v>
      </c>
      <c r="L4579">
        <v>18.331630000000001</v>
      </c>
      <c r="M4579">
        <v>0.99700259999999996</v>
      </c>
      <c r="N4579">
        <v>0</v>
      </c>
      <c r="O4579">
        <v>7.5911480000000003E-2</v>
      </c>
      <c r="P4579">
        <v>0.99913859999999999</v>
      </c>
      <c r="Q4579">
        <v>-1.3972699999999999E-2</v>
      </c>
      <c r="R4579">
        <v>3.9072309999999999E-2</v>
      </c>
      <c r="S4579">
        <v>3.0097659999999999</v>
      </c>
      <c r="T4579">
        <v>-0.27730050000000001</v>
      </c>
      <c r="U4579">
        <v>-0.25085449999999998</v>
      </c>
      <c r="V4579">
        <v>3.6896690000000003E-2</v>
      </c>
      <c r="W4579">
        <v>8.9913979999999905E-4</v>
      </c>
      <c r="X4579">
        <v>0.9993187</v>
      </c>
      <c r="Y4579">
        <v>0.15749389999999999</v>
      </c>
      <c r="Z4579">
        <v>-1.4195899999999999E-2</v>
      </c>
      <c r="AA4579">
        <v>0.98741789999999996</v>
      </c>
      <c r="AB4579">
        <v>26</v>
      </c>
      <c r="AC4579">
        <v>0.54079999999998996</v>
      </c>
      <c r="AD4579">
        <v>-7.3229999999999906E-2</v>
      </c>
      <c r="AE4579">
        <v>-8.4759999999999197E-2</v>
      </c>
      <c r="AF4579">
        <v>0.123365097778565</v>
      </c>
      <c r="AG4579">
        <v>-7.3229999999999906E-2</v>
      </c>
      <c r="AH4579">
        <v>0.52343660551266302</v>
      </c>
      <c r="AI4579">
        <v>97.754358877968997</v>
      </c>
      <c r="AJ4579">
        <v>76.738370669759107</v>
      </c>
      <c r="AK4579">
        <v>0.54274069337072395</v>
      </c>
    </row>
    <row r="4580" spans="1:37" x14ac:dyDescent="0.2">
      <c r="A4580" t="str">
        <f>"20200111160305347"</f>
        <v>20200111160305347</v>
      </c>
      <c r="B4580" t="str">
        <f>"1578729785337412"</f>
        <v>1578729785337412</v>
      </c>
      <c r="C4580" t="s">
        <v>37</v>
      </c>
      <c r="D4580">
        <v>4.9920689999999999</v>
      </c>
      <c r="E4580">
        <v>0.55194460000000001</v>
      </c>
      <c r="F4580" t="s">
        <v>42</v>
      </c>
      <c r="G4580">
        <v>-368.17849999999999</v>
      </c>
      <c r="H4580">
        <v>1.0334319999999999</v>
      </c>
      <c r="I4580">
        <v>18.261009999999999</v>
      </c>
      <c r="J4580">
        <v>-368.70339999999999</v>
      </c>
      <c r="K4580">
        <v>1.103826</v>
      </c>
      <c r="L4580">
        <v>18.349239999999899</v>
      </c>
      <c r="M4580">
        <v>0.99707319999999999</v>
      </c>
      <c r="N4580">
        <v>0</v>
      </c>
      <c r="O4580">
        <v>7.4980119999999997E-2</v>
      </c>
      <c r="P4580">
        <v>0.99917509999999998</v>
      </c>
      <c r="Q4580">
        <v>-1.7726280000000001E-2</v>
      </c>
      <c r="R4580">
        <v>3.6539120000000001E-2</v>
      </c>
      <c r="S4580">
        <v>3.0094599999999998</v>
      </c>
      <c r="T4580">
        <v>-0.27491739999999998</v>
      </c>
      <c r="U4580">
        <v>-0.27444459999999998</v>
      </c>
      <c r="V4580">
        <v>3.8485470000000001E-2</v>
      </c>
      <c r="W4580">
        <v>-2.8630650000000001E-3</v>
      </c>
      <c r="X4580">
        <v>0.99925509999999995</v>
      </c>
      <c r="Y4580">
        <v>0.164250799999999</v>
      </c>
      <c r="Z4580">
        <v>-1.429422E-2</v>
      </c>
      <c r="AA4580">
        <v>0.98631499999999905</v>
      </c>
      <c r="AB4580">
        <v>26</v>
      </c>
      <c r="AC4580">
        <v>0.52490000000000203</v>
      </c>
      <c r="AD4580">
        <v>-7.0393999999999998E-2</v>
      </c>
      <c r="AE4580">
        <v>-8.8229999999999295E-2</v>
      </c>
      <c r="AF4580">
        <v>0.12515395052679801</v>
      </c>
      <c r="AG4580">
        <v>-7.0393999999999998E-2</v>
      </c>
      <c r="AH4580">
        <v>0.50792173507875604</v>
      </c>
      <c r="AI4580">
        <v>97.664097637855704</v>
      </c>
      <c r="AJ4580">
        <v>76.157835532272898</v>
      </c>
      <c r="AK4580">
        <v>0.52782886955326602</v>
      </c>
    </row>
    <row r="4581" spans="1:37" x14ac:dyDescent="0.2">
      <c r="A4581" t="str">
        <f>"20200111160305370"</f>
        <v>20200111160305370</v>
      </c>
      <c r="B4581" t="str">
        <f>"1578729785367669"</f>
        <v>1578729785367669</v>
      </c>
      <c r="C4581" t="s">
        <v>37</v>
      </c>
      <c r="D4581">
        <v>4.9272460000000002</v>
      </c>
      <c r="E4581">
        <v>0.55177480000000001</v>
      </c>
      <c r="F4581" t="s">
        <v>42</v>
      </c>
      <c r="G4581">
        <v>-367.95119999999997</v>
      </c>
      <c r="H4581">
        <v>1.0332589999999999</v>
      </c>
      <c r="I4581">
        <v>18.276479999999999</v>
      </c>
      <c r="J4581">
        <v>-368.44569999999999</v>
      </c>
      <c r="K4581">
        <v>1.1038299999999901</v>
      </c>
      <c r="L4581">
        <v>18.36749</v>
      </c>
      <c r="M4581">
        <v>0.99714579999999997</v>
      </c>
      <c r="N4581">
        <v>0</v>
      </c>
      <c r="O4581">
        <v>7.4008829999999998E-2</v>
      </c>
      <c r="P4581">
        <v>0.99919460000000004</v>
      </c>
      <c r="Q4581">
        <v>-1.9497790000000001E-2</v>
      </c>
      <c r="R4581">
        <v>3.5073609999999998E-2</v>
      </c>
      <c r="S4581">
        <v>3.0081180000000001</v>
      </c>
      <c r="T4581">
        <v>-0.28220959999999901</v>
      </c>
      <c r="U4581">
        <v>-0.29003909999999899</v>
      </c>
      <c r="V4581">
        <v>3.8972340000000001E-2</v>
      </c>
      <c r="W4581">
        <v>-4.6409420000000003E-3</v>
      </c>
      <c r="X4581">
        <v>0.99922949999999999</v>
      </c>
      <c r="Y4581">
        <v>0.16833000000000001</v>
      </c>
      <c r="Z4581">
        <v>-1.4774860000000001E-2</v>
      </c>
      <c r="AA4581">
        <v>0.98562000000000005</v>
      </c>
      <c r="AB4581">
        <v>26</v>
      </c>
      <c r="AC4581">
        <v>0.49450000000001598</v>
      </c>
      <c r="AD4581">
        <v>-7.0570999999999898E-2</v>
      </c>
      <c r="AE4581">
        <v>-9.1010000000000701E-2</v>
      </c>
      <c r="AF4581">
        <v>0.12490132268791999</v>
      </c>
      <c r="AG4581">
        <v>-7.0570999999999898E-2</v>
      </c>
      <c r="AH4581">
        <v>0.47701045863805203</v>
      </c>
      <c r="AI4581">
        <v>98.144830614779593</v>
      </c>
      <c r="AJ4581">
        <v>75.326977676751397</v>
      </c>
      <c r="AK4581">
        <v>0.49811603477530803</v>
      </c>
    </row>
    <row r="4582" spans="1:37" x14ac:dyDescent="0.2">
      <c r="A4582" t="str">
        <f>"20200111160305391"</f>
        <v>20200111160305391</v>
      </c>
      <c r="B4582" t="str">
        <f>"1578729785387188"</f>
        <v>1578729785387188</v>
      </c>
      <c r="C4582" t="s">
        <v>37</v>
      </c>
      <c r="D4582">
        <v>4.8744579999999997</v>
      </c>
      <c r="E4582">
        <v>0.55243949999999997</v>
      </c>
      <c r="F4582" t="s">
        <v>42</v>
      </c>
      <c r="G4582">
        <v>-367.50259999999997</v>
      </c>
      <c r="H4582">
        <v>1.017636</v>
      </c>
      <c r="I4582">
        <v>18.27533</v>
      </c>
      <c r="J4582">
        <v>-368.20150000000001</v>
      </c>
      <c r="K4582">
        <v>1.103837</v>
      </c>
      <c r="L4582">
        <v>18.384519999999998</v>
      </c>
      <c r="M4582">
        <v>0.99721360000000003</v>
      </c>
      <c r="N4582">
        <v>0</v>
      </c>
      <c r="O4582">
        <v>7.3091100000000006E-2</v>
      </c>
      <c r="P4582">
        <v>0.99922339999999998</v>
      </c>
      <c r="Q4582">
        <v>-2.0151740000000001E-2</v>
      </c>
      <c r="R4582">
        <v>3.3862509999999998E-2</v>
      </c>
      <c r="S4582">
        <v>3.00738499999999</v>
      </c>
      <c r="T4582">
        <v>-0.27483000000000002</v>
      </c>
      <c r="U4582">
        <v>-0.29418949999999999</v>
      </c>
      <c r="V4582">
        <v>3.9261799999999999E-2</v>
      </c>
      <c r="W4582">
        <v>-5.3005819999999999E-3</v>
      </c>
      <c r="X4582">
        <v>0.99921489999999902</v>
      </c>
      <c r="Y4582">
        <v>0.1688491</v>
      </c>
      <c r="Z4582">
        <v>-1.4332859999999999E-2</v>
      </c>
      <c r="AA4582">
        <v>0.98553769999999996</v>
      </c>
      <c r="AB4582">
        <v>25</v>
      </c>
      <c r="AC4582">
        <v>0.69890000000003705</v>
      </c>
      <c r="AD4582">
        <v>-8.6201000000000194E-2</v>
      </c>
      <c r="AE4582">
        <v>-0.10919000000000099</v>
      </c>
      <c r="AF4582">
        <v>0.157645925279536</v>
      </c>
      <c r="AG4582">
        <v>-8.6201000000000194E-2</v>
      </c>
      <c r="AH4582">
        <v>0.67896597760709998</v>
      </c>
      <c r="AI4582">
        <v>97.0499435801148</v>
      </c>
      <c r="AJ4582">
        <v>76.928374191010107</v>
      </c>
      <c r="AK4582">
        <v>0.70233727574877103</v>
      </c>
    </row>
    <row r="4583" spans="1:37" x14ac:dyDescent="0.2">
      <c r="A4583" t="str">
        <f>"20200111160305415"</f>
        <v>20200111160305415</v>
      </c>
      <c r="B4583" t="str">
        <f>"1578729785407685"</f>
        <v>1578729785407685</v>
      </c>
      <c r="C4583" t="s">
        <v>37</v>
      </c>
      <c r="D4583">
        <v>4.8783909999999997</v>
      </c>
      <c r="E4583">
        <v>0.55277739999999997</v>
      </c>
      <c r="F4583" t="s">
        <v>42</v>
      </c>
      <c r="G4583">
        <v>-367.27589999999998</v>
      </c>
      <c r="H4583">
        <v>1.018705</v>
      </c>
      <c r="I4583">
        <v>18.290979999999902</v>
      </c>
      <c r="J4583">
        <v>-367.93349999999998</v>
      </c>
      <c r="K4583">
        <v>1.1038479999999999</v>
      </c>
      <c r="L4583">
        <v>18.402979999999999</v>
      </c>
      <c r="M4583">
        <v>0.99728689999999998</v>
      </c>
      <c r="N4583">
        <v>0</v>
      </c>
      <c r="O4583">
        <v>7.2085410000000003E-2</v>
      </c>
      <c r="P4583">
        <v>0.99926389999999998</v>
      </c>
      <c r="Q4583">
        <v>-1.9661330000000001E-2</v>
      </c>
      <c r="R4583">
        <v>3.2942539999999999E-2</v>
      </c>
      <c r="S4583">
        <v>3.00705</v>
      </c>
      <c r="T4583">
        <v>-0.27657700000000002</v>
      </c>
      <c r="U4583">
        <v>-0.30349729999999903</v>
      </c>
      <c r="V4583">
        <v>3.9175599999999998E-2</v>
      </c>
      <c r="W4583">
        <v>-4.81540599999999E-3</v>
      </c>
      <c r="X4583">
        <v>0.99922069999999996</v>
      </c>
      <c r="Y4583">
        <v>0.17086950000000001</v>
      </c>
      <c r="Z4583">
        <v>-1.4423599999999899E-2</v>
      </c>
      <c r="AA4583">
        <v>0.98518809999999901</v>
      </c>
      <c r="AB4583">
        <v>25</v>
      </c>
      <c r="AC4583">
        <v>0.65760000000000196</v>
      </c>
      <c r="AD4583">
        <v>-8.5142999999999899E-2</v>
      </c>
      <c r="AE4583">
        <v>-0.112000000000001</v>
      </c>
      <c r="AF4583">
        <v>0.156566531772594</v>
      </c>
      <c r="AG4583">
        <v>-8.5142999999999899E-2</v>
      </c>
      <c r="AH4583">
        <v>0.63742982427939199</v>
      </c>
      <c r="AI4583">
        <v>97.390952091984104</v>
      </c>
      <c r="AJ4583">
        <v>76.200105958956001</v>
      </c>
      <c r="AK4583">
        <v>0.66187550959463304</v>
      </c>
    </row>
    <row r="4584" spans="1:37" x14ac:dyDescent="0.2">
      <c r="A4584" t="str">
        <f>"20200111160305436"</f>
        <v>20200111160305436</v>
      </c>
      <c r="B4584" t="str">
        <f>"1578729785427207"</f>
        <v>1578729785427207</v>
      </c>
      <c r="C4584" t="s">
        <v>37</v>
      </c>
      <c r="D4584">
        <v>4.8785809999999996</v>
      </c>
      <c r="E4584">
        <v>0.55285680000000004</v>
      </c>
      <c r="F4584" t="s">
        <v>42</v>
      </c>
      <c r="G4584">
        <v>-367.04930000000002</v>
      </c>
      <c r="H4584">
        <v>1.022149</v>
      </c>
      <c r="I4584">
        <v>18.311969999999999</v>
      </c>
      <c r="J4584">
        <v>-367.68540000000002</v>
      </c>
      <c r="K4584">
        <v>1.1038459999999899</v>
      </c>
      <c r="L4584">
        <v>18.419829999999902</v>
      </c>
      <c r="M4584">
        <v>0.99735390000000002</v>
      </c>
      <c r="N4584">
        <v>0</v>
      </c>
      <c r="O4584">
        <v>7.1153729999999998E-2</v>
      </c>
      <c r="P4584">
        <v>0.9992588</v>
      </c>
      <c r="Q4584">
        <v>-1.903005E-2</v>
      </c>
      <c r="R4584">
        <v>3.3460429999999999E-2</v>
      </c>
      <c r="S4584">
        <v>3.0068969999999999</v>
      </c>
      <c r="T4584">
        <v>-0.27779690000000001</v>
      </c>
      <c r="U4584">
        <v>-0.30874629999999997</v>
      </c>
      <c r="V4584">
        <v>3.7726509999999998E-2</v>
      </c>
      <c r="W4584">
        <v>-4.1859799999999997E-3</v>
      </c>
      <c r="X4584">
        <v>0.99927929999999998</v>
      </c>
      <c r="Y4584">
        <v>0.1716481</v>
      </c>
      <c r="Z4584">
        <v>-1.4436640000000001E-2</v>
      </c>
      <c r="AA4584">
        <v>0.9850525</v>
      </c>
      <c r="AB4584">
        <v>25</v>
      </c>
      <c r="AC4584">
        <v>0.636099999999999</v>
      </c>
      <c r="AD4584">
        <v>-8.1696999999999895E-2</v>
      </c>
      <c r="AE4584">
        <v>-0.107859999999995</v>
      </c>
      <c r="AF4584">
        <v>0.15044026514482201</v>
      </c>
      <c r="AG4584">
        <v>-8.1696999999999895E-2</v>
      </c>
      <c r="AH4584">
        <v>0.61691996735685295</v>
      </c>
      <c r="AI4584">
        <v>97.331234756048801</v>
      </c>
      <c r="AJ4584">
        <v>76.295495195794402</v>
      </c>
      <c r="AK4584">
        <v>0.64023192618724101</v>
      </c>
    </row>
    <row r="4585" spans="1:37" x14ac:dyDescent="0.2">
      <c r="A4585" t="str">
        <f>"20200111160305460"</f>
        <v>20200111160305460</v>
      </c>
      <c r="B4585" t="str">
        <f>"1578729785447700"</f>
        <v>1578729785447700</v>
      </c>
      <c r="C4585" t="s">
        <v>37</v>
      </c>
      <c r="D4585">
        <v>5.0172349999999897</v>
      </c>
      <c r="E4585">
        <v>0.55284719999999998</v>
      </c>
      <c r="F4585" t="s">
        <v>42</v>
      </c>
      <c r="G4585">
        <v>-366.82350000000002</v>
      </c>
      <c r="H4585">
        <v>1.0240769999999999</v>
      </c>
      <c r="I4585">
        <v>18.331399999999999</v>
      </c>
      <c r="J4585">
        <v>-367.43790000000001</v>
      </c>
      <c r="K4585">
        <v>1.1038490000000001</v>
      </c>
      <c r="L4585">
        <v>18.436399999999999</v>
      </c>
      <c r="M4585">
        <v>0.99741990000000003</v>
      </c>
      <c r="N4585">
        <v>0</v>
      </c>
      <c r="O4585">
        <v>7.0224019999999998E-2</v>
      </c>
      <c r="P4585">
        <v>0.9992221</v>
      </c>
      <c r="Q4585">
        <v>-1.9456040000000001E-2</v>
      </c>
      <c r="R4585">
        <v>3.4308690000000003E-2</v>
      </c>
      <c r="S4585">
        <v>3.0072329999999998</v>
      </c>
      <c r="T4585">
        <v>-0.27833039999999998</v>
      </c>
      <c r="U4585">
        <v>-0.30773929999999999</v>
      </c>
      <c r="V4585">
        <v>3.5945560000000001E-2</v>
      </c>
      <c r="W4585">
        <v>-4.6133650000000003E-3</v>
      </c>
      <c r="X4585">
        <v>0.99934310000000004</v>
      </c>
      <c r="Y4585">
        <v>0.17039770000000001</v>
      </c>
      <c r="Z4585">
        <v>-1.431964E-2</v>
      </c>
      <c r="AA4585">
        <v>0.98527129999999996</v>
      </c>
      <c r="AB4585">
        <v>25</v>
      </c>
      <c r="AC4585">
        <v>0.61439999999998895</v>
      </c>
      <c r="AD4585">
        <v>-7.9771999999999899E-2</v>
      </c>
      <c r="AE4585">
        <v>-0.105</v>
      </c>
      <c r="AF4585">
        <v>0.14550783308635901</v>
      </c>
      <c r="AG4585">
        <v>-7.9771999999999899E-2</v>
      </c>
      <c r="AH4585">
        <v>0.59575052484450097</v>
      </c>
      <c r="AI4585">
        <v>97.411307455125197</v>
      </c>
      <c r="AJ4585">
        <v>76.274628996902507</v>
      </c>
      <c r="AK4585">
        <v>0.61842929209893205</v>
      </c>
    </row>
    <row r="4586" spans="1:37" x14ac:dyDescent="0.2">
      <c r="A4586" t="str">
        <f>"20200111160305480"</f>
        <v>20200111160305480</v>
      </c>
      <c r="B4586" t="str">
        <f>"1578729785477940"</f>
        <v>1578729785477940</v>
      </c>
      <c r="C4586" t="s">
        <v>37</v>
      </c>
      <c r="D4586">
        <v>4.8300419999999997</v>
      </c>
      <c r="E4586">
        <v>0.552836199999999</v>
      </c>
      <c r="F4586" t="s">
        <v>42</v>
      </c>
      <c r="G4586">
        <v>-366.59859999999998</v>
      </c>
      <c r="H4586">
        <v>1.0251920000000001</v>
      </c>
      <c r="I4586">
        <v>18.351220000000001</v>
      </c>
      <c r="J4586">
        <v>-367.19319999999999</v>
      </c>
      <c r="K4586">
        <v>1.10385</v>
      </c>
      <c r="L4586">
        <v>18.452579999999902</v>
      </c>
      <c r="M4586">
        <v>0.99748419999999904</v>
      </c>
      <c r="N4586">
        <v>0</v>
      </c>
      <c r="O4586">
        <v>6.9304649999999995E-2</v>
      </c>
      <c r="P4586">
        <v>0.99920019999999998</v>
      </c>
      <c r="Q4586">
        <v>-1.9289069999999998E-2</v>
      </c>
      <c r="R4586">
        <v>3.5031029999999998E-2</v>
      </c>
      <c r="S4586">
        <v>3.0072939999999999</v>
      </c>
      <c r="T4586">
        <v>-0.28180309999999997</v>
      </c>
      <c r="U4586">
        <v>-0.30480959999999901</v>
      </c>
      <c r="V4586">
        <v>3.4303010000000002E-2</v>
      </c>
      <c r="W4586">
        <v>-4.4480489999999999E-3</v>
      </c>
      <c r="X4586">
        <v>0.9994016</v>
      </c>
      <c r="Y4586">
        <v>0.168523799999999</v>
      </c>
      <c r="Z4586">
        <v>-1.4324770000000001E-2</v>
      </c>
      <c r="AA4586">
        <v>0.98559349999999901</v>
      </c>
      <c r="AB4586">
        <v>25</v>
      </c>
      <c r="AC4586">
        <v>0.59460000000001401</v>
      </c>
      <c r="AD4586">
        <v>-7.8657999999999895E-2</v>
      </c>
      <c r="AE4586">
        <v>-0.10135999999999599</v>
      </c>
      <c r="AF4586">
        <v>0.13994940871539099</v>
      </c>
      <c r="AG4586">
        <v>-7.8657999999999895E-2</v>
      </c>
      <c r="AH4586">
        <v>0.57634334420817201</v>
      </c>
      <c r="AI4586">
        <v>97.5546923190999</v>
      </c>
      <c r="AJ4586">
        <v>76.351429216182197</v>
      </c>
      <c r="AK4586">
        <v>0.59828468840247595</v>
      </c>
    </row>
    <row r="4587" spans="1:37" x14ac:dyDescent="0.2">
      <c r="A4587" t="str">
        <f>"20200111160305505"</f>
        <v>20200111160305505</v>
      </c>
      <c r="B4587" t="str">
        <f>"1578729785497460"</f>
        <v>1578729785497460</v>
      </c>
      <c r="C4587" t="s">
        <v>37</v>
      </c>
      <c r="D4587">
        <v>4.7708449999999996</v>
      </c>
      <c r="E4587">
        <v>0.55289119999999903</v>
      </c>
      <c r="F4587" t="s">
        <v>42</v>
      </c>
      <c r="G4587">
        <v>-366.37360000000001</v>
      </c>
      <c r="H4587">
        <v>1.0271349999999999</v>
      </c>
      <c r="I4587">
        <v>18.36993</v>
      </c>
      <c r="J4587">
        <v>-366.92500000000001</v>
      </c>
      <c r="K4587">
        <v>1.10386299999999</v>
      </c>
      <c r="L4587">
        <v>18.47</v>
      </c>
      <c r="M4587">
        <v>0.99755380000000005</v>
      </c>
      <c r="N4587">
        <v>0</v>
      </c>
      <c r="O4587">
        <v>6.829673E-2</v>
      </c>
      <c r="P4587">
        <v>0.99921849999999901</v>
      </c>
      <c r="Q4587">
        <v>-1.8969130000000001E-2</v>
      </c>
      <c r="R4587">
        <v>3.4683199999999997E-2</v>
      </c>
      <c r="S4587">
        <v>3.007568</v>
      </c>
      <c r="T4587">
        <v>-0.28146579999999999</v>
      </c>
      <c r="U4587">
        <v>-0.3024597</v>
      </c>
      <c r="V4587">
        <v>3.364193E-2</v>
      </c>
      <c r="W4587">
        <v>-4.1324370000000001E-3</v>
      </c>
      <c r="X4587">
        <v>0.99942540000000002</v>
      </c>
      <c r="Y4587">
        <v>0.166771</v>
      </c>
      <c r="Z4587">
        <v>-1.4131380000000001E-2</v>
      </c>
      <c r="AA4587">
        <v>0.98589439999999995</v>
      </c>
      <c r="AB4587">
        <v>25</v>
      </c>
      <c r="AC4587">
        <v>0.551400000000001</v>
      </c>
      <c r="AD4587">
        <v>-7.6727999999999602E-2</v>
      </c>
      <c r="AE4587">
        <v>-0.10006999999999799</v>
      </c>
      <c r="AF4587">
        <v>0.13496920049386499</v>
      </c>
      <c r="AG4587">
        <v>-7.6727999999999602E-2</v>
      </c>
      <c r="AH4587">
        <v>0.53328032028277805</v>
      </c>
      <c r="AI4587">
        <v>97.940462817869999</v>
      </c>
      <c r="AJ4587">
        <v>75.797118781932696</v>
      </c>
      <c r="AK4587">
        <v>0.55542035528674605</v>
      </c>
    </row>
    <row r="4588" spans="1:37" x14ac:dyDescent="0.2">
      <c r="A4588" t="str">
        <f>"20200111160305526"</f>
        <v>20200111160305526</v>
      </c>
      <c r="B4588" t="str">
        <f>"1578729785517956"</f>
        <v>1578729785517956</v>
      </c>
      <c r="C4588" t="s">
        <v>37</v>
      </c>
      <c r="D4588">
        <v>4.9553599999999998</v>
      </c>
      <c r="E4588">
        <v>0.55311069999999996</v>
      </c>
      <c r="F4588" t="s">
        <v>42</v>
      </c>
      <c r="G4588">
        <v>-366.1481</v>
      </c>
      <c r="H4588">
        <v>1.0315259999999999</v>
      </c>
      <c r="I4588">
        <v>18.391359999999999</v>
      </c>
      <c r="J4588">
        <v>-366.67649999999998</v>
      </c>
      <c r="K4588">
        <v>1.1038680000000001</v>
      </c>
      <c r="L4588">
        <v>18.485959999999999</v>
      </c>
      <c r="M4588">
        <v>0.99761749999999905</v>
      </c>
      <c r="N4588">
        <v>0</v>
      </c>
      <c r="O4588">
        <v>6.7362099999999994E-2</v>
      </c>
      <c r="P4588">
        <v>0.99926990000000004</v>
      </c>
      <c r="Q4588">
        <v>-1.761588E-2</v>
      </c>
      <c r="R4588">
        <v>3.390365E-2</v>
      </c>
      <c r="S4588">
        <v>3.0075989999999999</v>
      </c>
      <c r="T4588">
        <v>-0.28002100000000002</v>
      </c>
      <c r="U4588">
        <v>-0.30401609999999901</v>
      </c>
      <c r="V4588">
        <v>3.3489310000000001E-2</v>
      </c>
      <c r="W4588">
        <v>-2.784258E-3</v>
      </c>
      <c r="X4588">
        <v>0.99943519999999897</v>
      </c>
      <c r="Y4588">
        <v>0.16636770000000001</v>
      </c>
      <c r="Z4588">
        <v>-1.395338E-2</v>
      </c>
      <c r="AA4588">
        <v>0.98596510000000004</v>
      </c>
      <c r="AB4588">
        <v>25</v>
      </c>
      <c r="AC4588">
        <v>0.528399999999976</v>
      </c>
      <c r="AD4588">
        <v>-7.2342000000000101E-2</v>
      </c>
      <c r="AE4588">
        <v>-9.4600000000003306E-2</v>
      </c>
      <c r="AF4588">
        <v>0.12766456567677001</v>
      </c>
      <c r="AG4588">
        <v>-7.2342000000000101E-2</v>
      </c>
      <c r="AH4588">
        <v>0.511536055441704</v>
      </c>
      <c r="AI4588">
        <v>97.812907568595804</v>
      </c>
      <c r="AJ4588">
        <v>75.986892797111096</v>
      </c>
      <c r="AK4588">
        <v>0.53216608526877796</v>
      </c>
    </row>
    <row r="4589" spans="1:37" x14ac:dyDescent="0.2">
      <c r="A4589" t="str">
        <f>"20200111160305548"</f>
        <v>20200111160305548</v>
      </c>
      <c r="B4589" t="str">
        <f>"1578729785537476"</f>
        <v>1578729785537476</v>
      </c>
      <c r="C4589" t="s">
        <v>37</v>
      </c>
      <c r="D4589">
        <v>4.7830059999999897</v>
      </c>
      <c r="E4589">
        <v>0.55316469999999995</v>
      </c>
      <c r="F4589" t="s">
        <v>42</v>
      </c>
      <c r="G4589">
        <v>-365.92219999999998</v>
      </c>
      <c r="H4589">
        <v>1.035101</v>
      </c>
      <c r="I4589">
        <v>18.40851</v>
      </c>
      <c r="J4589">
        <v>-366.43970000000002</v>
      </c>
      <c r="K4589">
        <v>1.1038709999999901</v>
      </c>
      <c r="L4589">
        <v>18.50095</v>
      </c>
      <c r="M4589">
        <v>0.99767729999999999</v>
      </c>
      <c r="N4589">
        <v>0</v>
      </c>
      <c r="O4589">
        <v>6.6471329999999995E-2</v>
      </c>
      <c r="P4589">
        <v>0.99932369999999904</v>
      </c>
      <c r="Q4589">
        <v>-1.813029E-2</v>
      </c>
      <c r="R4589">
        <v>3.1998890000000002E-2</v>
      </c>
      <c r="S4589">
        <v>3.0078130000000001</v>
      </c>
      <c r="T4589">
        <v>-0.27413539999999997</v>
      </c>
      <c r="U4589">
        <v>-0.30816650000000001</v>
      </c>
      <c r="V4589">
        <v>3.450027E-2</v>
      </c>
      <c r="W4589">
        <v>-3.3061700000000002E-3</v>
      </c>
      <c r="X4589">
        <v>0.99939920000000004</v>
      </c>
      <c r="Y4589">
        <v>0.1668704</v>
      </c>
      <c r="Z4589">
        <v>-1.3601459999999999E-2</v>
      </c>
      <c r="AA4589">
        <v>0.98588500000000001</v>
      </c>
      <c r="AB4589">
        <v>25</v>
      </c>
      <c r="AC4589">
        <v>0.51750000000004004</v>
      </c>
      <c r="AD4589">
        <v>-6.8769999999999706E-2</v>
      </c>
      <c r="AE4589">
        <v>-9.24399999999998E-2</v>
      </c>
      <c r="AF4589">
        <v>0.124507486340734</v>
      </c>
      <c r="AG4589">
        <v>-6.8769999999999706E-2</v>
      </c>
      <c r="AH4589">
        <v>0.501625401487518</v>
      </c>
      <c r="AI4589">
        <v>97.579083812761993</v>
      </c>
      <c r="AJ4589">
        <v>76.060426352316298</v>
      </c>
      <c r="AK4589">
        <v>0.52140144847555103</v>
      </c>
    </row>
    <row r="4590" spans="1:37" x14ac:dyDescent="0.2">
      <c r="A4590" t="str">
        <f>"20200111160305570"</f>
        <v>20200111160305570</v>
      </c>
      <c r="B4590" t="str">
        <f>"1578729785567732"</f>
        <v>1578729785567732</v>
      </c>
      <c r="C4590" t="s">
        <v>37</v>
      </c>
      <c r="D4590">
        <v>4.8070820000000003</v>
      </c>
      <c r="E4590">
        <v>0.55337349999999996</v>
      </c>
      <c r="F4590" t="s">
        <v>42</v>
      </c>
      <c r="G4590">
        <v>-365.6986</v>
      </c>
      <c r="H4590">
        <v>1.035936</v>
      </c>
      <c r="I4590">
        <v>18.42334</v>
      </c>
      <c r="J4590">
        <v>-366.19290000000001</v>
      </c>
      <c r="K4590">
        <v>1.103874</v>
      </c>
      <c r="L4590">
        <v>18.516269999999999</v>
      </c>
      <c r="M4590">
        <v>0.99773880000000004</v>
      </c>
      <c r="N4590">
        <v>0</v>
      </c>
      <c r="O4590">
        <v>6.5542180000000005E-2</v>
      </c>
      <c r="P4590">
        <v>0.99933760000000005</v>
      </c>
      <c r="Q4590">
        <v>-1.933619E-2</v>
      </c>
      <c r="R4590">
        <v>3.0828640000000001E-2</v>
      </c>
      <c r="S4590">
        <v>3.00707999999999</v>
      </c>
      <c r="T4590">
        <v>-0.27560950000000001</v>
      </c>
      <c r="U4590">
        <v>-0.3142395</v>
      </c>
      <c r="V4590">
        <v>3.4736419999999997E-2</v>
      </c>
      <c r="W4590">
        <v>-4.518284E-3</v>
      </c>
      <c r="X4590">
        <v>0.99938629999999995</v>
      </c>
      <c r="Y4590">
        <v>0.16793540000000001</v>
      </c>
      <c r="Z4590">
        <v>-1.3640090000000001E-2</v>
      </c>
      <c r="AA4590">
        <v>0.98570360000000001</v>
      </c>
      <c r="AB4590">
        <v>25</v>
      </c>
      <c r="AC4590">
        <v>0.49430000000000901</v>
      </c>
      <c r="AD4590">
        <v>-6.7937999999999998E-2</v>
      </c>
      <c r="AE4590">
        <v>-9.2930000000002594E-2</v>
      </c>
      <c r="AF4590">
        <v>0.12288903672821801</v>
      </c>
      <c r="AG4590">
        <v>-6.7937999999999998E-2</v>
      </c>
      <c r="AH4590">
        <v>0.47841639715816398</v>
      </c>
      <c r="AI4590">
        <v>97.831380935431994</v>
      </c>
      <c r="AJ4590">
        <v>75.594092124747803</v>
      </c>
      <c r="AK4590">
        <v>0.498597569450341</v>
      </c>
    </row>
    <row r="4591" spans="1:37" x14ac:dyDescent="0.2">
      <c r="A4591" t="str">
        <f>"20200111160305593"</f>
        <v>20200111160305593</v>
      </c>
      <c r="B4591" t="str">
        <f>"1578729785587252"</f>
        <v>1578729785587252</v>
      </c>
      <c r="C4591" t="s">
        <v>37</v>
      </c>
      <c r="D4591">
        <v>4.9032919999999898</v>
      </c>
      <c r="E4591">
        <v>0.55343469999999995</v>
      </c>
      <c r="F4591" t="s">
        <v>42</v>
      </c>
      <c r="G4591">
        <v>-365.2604</v>
      </c>
      <c r="H4591">
        <v>1.017414</v>
      </c>
      <c r="I4591">
        <v>18.417010000000001</v>
      </c>
      <c r="J4591">
        <v>-365.94170000000003</v>
      </c>
      <c r="K4591">
        <v>1.1038779999999999</v>
      </c>
      <c r="L4591">
        <v>18.531679999999898</v>
      </c>
      <c r="M4591">
        <v>0.99780069999999998</v>
      </c>
      <c r="N4591">
        <v>0</v>
      </c>
      <c r="O4591">
        <v>6.4595929999999996E-2</v>
      </c>
      <c r="P4591">
        <v>0.99933890000000003</v>
      </c>
      <c r="Q4591">
        <v>-1.947521E-2</v>
      </c>
      <c r="R4591">
        <v>3.070531E-2</v>
      </c>
      <c r="S4591">
        <v>3.0064700000000002</v>
      </c>
      <c r="T4591">
        <v>-0.27874879999999902</v>
      </c>
      <c r="U4591">
        <v>-0.3196716</v>
      </c>
      <c r="V4591">
        <v>3.3911810000000001E-2</v>
      </c>
      <c r="W4591">
        <v>-4.6610970000000003E-3</v>
      </c>
      <c r="X4591">
        <v>0.99941399999999903</v>
      </c>
      <c r="Y4591">
        <v>0.16876089999999999</v>
      </c>
      <c r="Z4591">
        <v>-1.374713E-2</v>
      </c>
      <c r="AA4591">
        <v>0.98556109999999897</v>
      </c>
      <c r="AB4591">
        <v>25</v>
      </c>
      <c r="AC4591">
        <v>0.681300000000021</v>
      </c>
      <c r="AD4591">
        <v>-8.6464000000000096E-2</v>
      </c>
      <c r="AE4591">
        <v>-0.114669999999996</v>
      </c>
      <c r="AF4591">
        <v>0.15600115927953601</v>
      </c>
      <c r="AG4591">
        <v>-8.6464000000000096E-2</v>
      </c>
      <c r="AH4591">
        <v>0.66209861505776102</v>
      </c>
      <c r="AI4591">
        <v>97.244031365203597</v>
      </c>
      <c r="AJ4591">
        <v>76.741995492880307</v>
      </c>
      <c r="AK4591">
        <v>0.68570180184535401</v>
      </c>
    </row>
    <row r="4592" spans="1:37" x14ac:dyDescent="0.2">
      <c r="A4592" t="str">
        <f>"20200111160305616"</f>
        <v>20200111160305616</v>
      </c>
      <c r="B4592" t="str">
        <f>"1578729785607748"</f>
        <v>1578729785607748</v>
      </c>
      <c r="C4592" t="s">
        <v>37</v>
      </c>
      <c r="D4592">
        <v>4.8527100000000001</v>
      </c>
      <c r="E4592">
        <v>0.55336509999999905</v>
      </c>
      <c r="F4592" t="s">
        <v>42</v>
      </c>
      <c r="G4592">
        <v>-365.0376</v>
      </c>
      <c r="H4592">
        <v>1.0201020000000001</v>
      </c>
      <c r="I4592">
        <v>18.43515</v>
      </c>
      <c r="J4592">
        <v>-365.68560000000002</v>
      </c>
      <c r="K4592">
        <v>1.1038840000000001</v>
      </c>
      <c r="L4592">
        <v>18.54712</v>
      </c>
      <c r="M4592">
        <v>0.99786280000000005</v>
      </c>
      <c r="N4592">
        <v>0</v>
      </c>
      <c r="O4592">
        <v>6.3630969999999995E-2</v>
      </c>
      <c r="P4592">
        <v>0.9993495</v>
      </c>
      <c r="Q4592">
        <v>-1.8952400000000001E-2</v>
      </c>
      <c r="R4592">
        <v>3.0687989999999998E-2</v>
      </c>
      <c r="S4592">
        <v>3.00637799999999</v>
      </c>
      <c r="T4592">
        <v>-0.2786035</v>
      </c>
      <c r="U4592">
        <v>-0.32089229999999902</v>
      </c>
      <c r="V4592">
        <v>3.2964159999999999E-2</v>
      </c>
      <c r="W4592">
        <v>-4.1420210000000001E-3</v>
      </c>
      <c r="X4592">
        <v>0.99944789999999994</v>
      </c>
      <c r="Y4592">
        <v>0.16821410000000001</v>
      </c>
      <c r="Z4592">
        <v>-1.362592E-2</v>
      </c>
      <c r="AA4592">
        <v>0.98565630000000004</v>
      </c>
      <c r="AB4592">
        <v>25</v>
      </c>
      <c r="AC4592">
        <v>0.648000000000024</v>
      </c>
      <c r="AD4592">
        <v>-8.3781999999999995E-2</v>
      </c>
      <c r="AE4592">
        <v>-0.111969999999999</v>
      </c>
      <c r="AF4592">
        <v>0.150536938015291</v>
      </c>
      <c r="AG4592">
        <v>-8.3781999999999995E-2</v>
      </c>
      <c r="AH4592">
        <v>0.62934540046467302</v>
      </c>
      <c r="AI4592">
        <v>97.377231216585599</v>
      </c>
      <c r="AJ4592">
        <v>76.547828520821099</v>
      </c>
      <c r="AK4592">
        <v>0.65250013510884397</v>
      </c>
    </row>
    <row r="4593" spans="1:37" x14ac:dyDescent="0.2">
      <c r="A4593" t="str">
        <f>"20200111160305638"</f>
        <v>20200111160305638</v>
      </c>
      <c r="B4593" t="str">
        <f>"1578729785627272"</f>
        <v>1578729785627272</v>
      </c>
      <c r="C4593" t="s">
        <v>37</v>
      </c>
      <c r="D4593">
        <v>4.9104049999999999</v>
      </c>
      <c r="E4593">
        <v>0.55348059999999999</v>
      </c>
      <c r="F4593" t="s">
        <v>42</v>
      </c>
      <c r="G4593">
        <v>-364.81490000000002</v>
      </c>
      <c r="H4593">
        <v>1.023601</v>
      </c>
      <c r="I4593">
        <v>18.454429999999999</v>
      </c>
      <c r="J4593">
        <v>-365.4452</v>
      </c>
      <c r="K4593">
        <v>1.1038859999999999</v>
      </c>
      <c r="L4593">
        <v>18.561399999999999</v>
      </c>
      <c r="M4593">
        <v>0.99792029999999998</v>
      </c>
      <c r="N4593">
        <v>0</v>
      </c>
      <c r="O4593">
        <v>6.2724349999999998E-2</v>
      </c>
      <c r="P4593">
        <v>0.9993725</v>
      </c>
      <c r="Q4593">
        <v>-1.8218439999999999E-2</v>
      </c>
      <c r="R4593">
        <v>3.037933E-2</v>
      </c>
      <c r="S4593">
        <v>3.0065309999999998</v>
      </c>
      <c r="T4593">
        <v>-0.27727229999999897</v>
      </c>
      <c r="U4593">
        <v>-0.32040409999999903</v>
      </c>
      <c r="V4593">
        <v>3.236725E-2</v>
      </c>
      <c r="W4593">
        <v>-3.4121770000000002E-3</v>
      </c>
      <c r="X4593">
        <v>0.99947019999999998</v>
      </c>
      <c r="Y4593">
        <v>0.1671726</v>
      </c>
      <c r="Z4593">
        <v>-1.34294999999999E-2</v>
      </c>
      <c r="AA4593">
        <v>0.98583609999999899</v>
      </c>
      <c r="AB4593">
        <v>25</v>
      </c>
      <c r="AC4593">
        <v>0.63029999999997699</v>
      </c>
      <c r="AD4593">
        <v>-8.0285000000000106E-2</v>
      </c>
      <c r="AE4593">
        <v>-0.10697</v>
      </c>
      <c r="AF4593">
        <v>0.14402747123457799</v>
      </c>
      <c r="AG4593">
        <v>-8.0285000000000106E-2</v>
      </c>
      <c r="AH4593">
        <v>0.61268593938132099</v>
      </c>
      <c r="AI4593">
        <v>97.269426704304493</v>
      </c>
      <c r="AJ4593">
        <v>76.771347869128803</v>
      </c>
      <c r="AK4593">
        <v>0.63448692185954403</v>
      </c>
    </row>
    <row r="4594" spans="1:37" x14ac:dyDescent="0.2">
      <c r="A4594" t="str">
        <f>"20200111160305659"</f>
        <v>20200111160305659</v>
      </c>
      <c r="B4594" t="str">
        <f>"1578729785647764"</f>
        <v>1578729785647764</v>
      </c>
      <c r="C4594" t="s">
        <v>37</v>
      </c>
      <c r="D4594">
        <v>4.8917039999999998</v>
      </c>
      <c r="E4594">
        <v>0.55347449999999998</v>
      </c>
      <c r="F4594" t="s">
        <v>42</v>
      </c>
      <c r="G4594">
        <v>-364.59289999999999</v>
      </c>
      <c r="H4594">
        <v>1.025841</v>
      </c>
      <c r="I4594">
        <v>18.469860000000001</v>
      </c>
      <c r="J4594">
        <v>-365.20769999999999</v>
      </c>
      <c r="K4594">
        <v>1.1038870000000001</v>
      </c>
      <c r="L4594">
        <v>18.575289999999999</v>
      </c>
      <c r="M4594">
        <v>0.99797619999999898</v>
      </c>
      <c r="N4594">
        <v>0</v>
      </c>
      <c r="O4594">
        <v>6.1829120000000001E-2</v>
      </c>
      <c r="P4594">
        <v>0.99938890000000002</v>
      </c>
      <c r="Q4594">
        <v>-1.756112E-2</v>
      </c>
      <c r="R4594">
        <v>3.0224460000000002E-2</v>
      </c>
      <c r="S4594">
        <v>3.006653</v>
      </c>
      <c r="T4594">
        <v>-0.27523239999999999</v>
      </c>
      <c r="U4594">
        <v>-0.32220460000000001</v>
      </c>
      <c r="V4594">
        <v>3.1627170000000003E-2</v>
      </c>
      <c r="W4594">
        <v>-2.758679E-3</v>
      </c>
      <c r="X4594">
        <v>0.99949589999999999</v>
      </c>
      <c r="Y4594">
        <v>0.16688699999999901</v>
      </c>
      <c r="Z4594">
        <v>-1.32356E-2</v>
      </c>
      <c r="AA4594">
        <v>0.98588719999999996</v>
      </c>
      <c r="AB4594">
        <v>25</v>
      </c>
      <c r="AC4594">
        <v>0.61480000000000201</v>
      </c>
      <c r="AD4594">
        <v>-7.8046000000000004E-2</v>
      </c>
      <c r="AE4594">
        <v>-0.105429999999998</v>
      </c>
      <c r="AF4594">
        <v>0.141037078703839</v>
      </c>
      <c r="AG4594">
        <v>-7.8046000000000004E-2</v>
      </c>
      <c r="AH4594">
        <v>0.59774653686797796</v>
      </c>
      <c r="AI4594">
        <v>97.242195723834897</v>
      </c>
      <c r="AJ4594">
        <v>76.723987848803503</v>
      </c>
      <c r="AK4594">
        <v>0.61909898887251802</v>
      </c>
    </row>
    <row r="4595" spans="1:37" x14ac:dyDescent="0.2">
      <c r="A4595" t="str">
        <f>"20200111160305681"</f>
        <v>20200111160305681</v>
      </c>
      <c r="B4595" t="str">
        <f>"1578729785678021"</f>
        <v>1578729785678021</v>
      </c>
      <c r="C4595" t="s">
        <v>37</v>
      </c>
      <c r="D4595">
        <v>4.9420479999999998</v>
      </c>
      <c r="E4595">
        <v>0.51197199999999998</v>
      </c>
      <c r="F4595" t="s">
        <v>42</v>
      </c>
      <c r="G4595">
        <v>-364.37139999999999</v>
      </c>
      <c r="H4595">
        <v>1.0279290000000001</v>
      </c>
      <c r="I4595">
        <v>18.485610000000001</v>
      </c>
      <c r="J4595">
        <v>-364.95519999999999</v>
      </c>
      <c r="K4595">
        <v>1.1038829999999999</v>
      </c>
      <c r="L4595">
        <v>18.58981</v>
      </c>
      <c r="M4595">
        <v>0.9980348</v>
      </c>
      <c r="N4595">
        <v>0</v>
      </c>
      <c r="O4595">
        <v>6.0877090000000002E-2</v>
      </c>
      <c r="P4595">
        <v>0.99940260000000003</v>
      </c>
      <c r="Q4595">
        <v>-1.8016299999999999E-2</v>
      </c>
      <c r="R4595">
        <v>2.9495960000000002E-2</v>
      </c>
      <c r="S4595">
        <v>3.0068049999999999</v>
      </c>
      <c r="T4595">
        <v>-0.27313100000000001</v>
      </c>
      <c r="U4595">
        <v>-0.32263179999999902</v>
      </c>
      <c r="V4595">
        <v>3.140109E-2</v>
      </c>
      <c r="W4595">
        <v>-3.21929099999999E-3</v>
      </c>
      <c r="X4595">
        <v>0.99950169999999905</v>
      </c>
      <c r="Y4595">
        <v>0.16610129999999901</v>
      </c>
      <c r="Z4595">
        <v>-1.3012599999999999E-2</v>
      </c>
      <c r="AA4595">
        <v>0.98602279999999998</v>
      </c>
      <c r="AB4595">
        <v>25</v>
      </c>
      <c r="AC4595">
        <v>0.58379999999999599</v>
      </c>
      <c r="AD4595">
        <v>-7.5953999999999799E-2</v>
      </c>
      <c r="AE4595">
        <v>-0.104199999999998</v>
      </c>
      <c r="AF4595">
        <v>0.13729839641185301</v>
      </c>
      <c r="AG4595">
        <v>-7.5953999999999799E-2</v>
      </c>
      <c r="AH4595">
        <v>0.567070570832787</v>
      </c>
      <c r="AI4595">
        <v>97.417035577407106</v>
      </c>
      <c r="AJ4595">
        <v>76.389540192133495</v>
      </c>
      <c r="AK4595">
        <v>0.58837818796917396</v>
      </c>
    </row>
    <row r="4596" spans="1:37" x14ac:dyDescent="0.2">
      <c r="A4596" t="str">
        <f>"20200111160305705"</f>
        <v>20200111160305705</v>
      </c>
      <c r="B4596" t="str">
        <f>"1578729785697540"</f>
        <v>1578729785697540</v>
      </c>
      <c r="C4596" t="s">
        <v>37</v>
      </c>
      <c r="D4596">
        <v>5.0053080000000003</v>
      </c>
      <c r="E4596">
        <v>0.45686459999999901</v>
      </c>
      <c r="F4596" t="s">
        <v>42</v>
      </c>
      <c r="G4596">
        <v>-364.1429</v>
      </c>
      <c r="H4596">
        <v>1.050549</v>
      </c>
      <c r="I4596">
        <v>18.59</v>
      </c>
      <c r="J4596">
        <v>-364.70429999999999</v>
      </c>
      <c r="K4596">
        <v>1.1038920000000001</v>
      </c>
      <c r="L4596">
        <v>18.604029999999899</v>
      </c>
      <c r="M4596">
        <v>0.99809219999999899</v>
      </c>
      <c r="N4596">
        <v>0</v>
      </c>
      <c r="O4596">
        <v>5.9930600000000001E-2</v>
      </c>
      <c r="P4596">
        <v>0.99942600000000004</v>
      </c>
      <c r="Q4596">
        <v>-1.818229E-2</v>
      </c>
      <c r="R4596">
        <v>2.8587919999999999E-2</v>
      </c>
      <c r="S4596">
        <v>2.99823</v>
      </c>
      <c r="T4596">
        <v>-0.19678199999999901</v>
      </c>
      <c r="U4596">
        <v>1.8005370000000001E-3</v>
      </c>
      <c r="V4596">
        <v>3.1360979999999997E-2</v>
      </c>
      <c r="W4596">
        <v>-3.3910440000000002E-3</v>
      </c>
      <c r="X4596">
        <v>0.99950239999999901</v>
      </c>
      <c r="Y4596">
        <v>5.9081790000000002E-2</v>
      </c>
      <c r="Z4596">
        <v>-5.8645919999999897E-3</v>
      </c>
      <c r="AA4596">
        <v>0.99823589999999995</v>
      </c>
      <c r="AB4596">
        <v>25</v>
      </c>
      <c r="AC4596">
        <v>0.56139999999999102</v>
      </c>
      <c r="AD4596">
        <v>-5.3343000000000099E-2</v>
      </c>
      <c r="AE4596">
        <v>-1.40299999999982E-2</v>
      </c>
      <c r="AF4596">
        <v>4.72274003335761E-2</v>
      </c>
      <c r="AG4596">
        <v>-5.3343000000000099E-2</v>
      </c>
      <c r="AH4596">
        <v>0.55454623616037702</v>
      </c>
      <c r="AI4596">
        <v>95.474802428402199</v>
      </c>
      <c r="AJ4596">
        <v>85.132205573811802</v>
      </c>
      <c r="AK4596">
        <v>0.55910413254679903</v>
      </c>
    </row>
    <row r="4597" spans="1:37" x14ac:dyDescent="0.2">
      <c r="A4597" t="str">
        <f>"20200111160305727"</f>
        <v>20200111160305727</v>
      </c>
      <c r="B4597" t="str">
        <f>"1578729785718036"</f>
        <v>1578729785718036</v>
      </c>
      <c r="C4597" t="s">
        <v>37</v>
      </c>
      <c r="D4597">
        <v>4.9916029999999996</v>
      </c>
      <c r="E4597">
        <v>0.4552274</v>
      </c>
      <c r="F4597" t="s">
        <v>38</v>
      </c>
      <c r="G4597">
        <v>-345.34960000000001</v>
      </c>
      <c r="H4597" s="1">
        <v>-2.462397E-6</v>
      </c>
      <c r="I4597">
        <v>21.439440000000001</v>
      </c>
      <c r="J4597">
        <v>-364.45690000000002</v>
      </c>
      <c r="K4597">
        <v>1.1039019999999999</v>
      </c>
      <c r="L4597">
        <v>18.617829999999898</v>
      </c>
      <c r="M4597">
        <v>0.99814780000000003</v>
      </c>
      <c r="N4597">
        <v>0</v>
      </c>
      <c r="O4597">
        <v>5.899687E-2</v>
      </c>
      <c r="P4597">
        <v>0.99947600000000003</v>
      </c>
      <c r="Q4597">
        <v>-1.7020879999999999E-2</v>
      </c>
      <c r="R4597">
        <v>2.7536209999999998E-2</v>
      </c>
      <c r="S4597">
        <v>2.9861149999999999</v>
      </c>
      <c r="T4597">
        <v>-0.17031279999999999</v>
      </c>
      <c r="U4597">
        <v>0.43746949999999901</v>
      </c>
      <c r="V4597">
        <v>3.1480769999999998E-2</v>
      </c>
      <c r="W4597">
        <v>-2.2353059999999998E-3</v>
      </c>
      <c r="X4597">
        <v>0.99950190000000005</v>
      </c>
      <c r="Y4597">
        <v>-8.6277839999999995E-2</v>
      </c>
      <c r="Z4597">
        <v>-8.9426179999999998E-4</v>
      </c>
      <c r="AA4597">
        <v>0.99627069999999995</v>
      </c>
      <c r="AB4597">
        <v>25</v>
      </c>
      <c r="AC4597">
        <v>19.107299999999999</v>
      </c>
      <c r="AD4597">
        <v>-1.103904462397</v>
      </c>
      <c r="AE4597">
        <v>2.8216100000000002</v>
      </c>
      <c r="AF4597">
        <v>-1.6837987481830901</v>
      </c>
      <c r="AG4597">
        <v>-1.103904462397</v>
      </c>
      <c r="AH4597">
        <v>19.177849154802701</v>
      </c>
      <c r="AI4597">
        <v>93.281794744868705</v>
      </c>
      <c r="AJ4597">
        <v>95.017653640803999</v>
      </c>
      <c r="AK4597">
        <v>19.283248727609401</v>
      </c>
    </row>
    <row r="4598" spans="1:37" x14ac:dyDescent="0.2">
      <c r="A4598" t="str">
        <f>"20200111160305749"</f>
        <v>20200111160305749</v>
      </c>
      <c r="B4598" t="str">
        <f>"1578729785737556"</f>
        <v>1578729785737556</v>
      </c>
      <c r="C4598" t="s">
        <v>37</v>
      </c>
      <c r="D4598">
        <v>4.9126219999999998</v>
      </c>
      <c r="E4598">
        <v>0.45549889999999998</v>
      </c>
      <c r="F4598" t="s">
        <v>38</v>
      </c>
      <c r="G4598">
        <v>-341.33280000000002</v>
      </c>
      <c r="H4598" s="1">
        <v>-4.2575679999999997E-6</v>
      </c>
      <c r="I4598">
        <v>22.069099999999999</v>
      </c>
      <c r="J4598">
        <v>-364.2251</v>
      </c>
      <c r="K4598">
        <v>1.103918</v>
      </c>
      <c r="L4598">
        <v>18.630520000000001</v>
      </c>
      <c r="M4598">
        <v>0.99819930000000001</v>
      </c>
      <c r="N4598">
        <v>0</v>
      </c>
      <c r="O4598">
        <v>5.8121890000000002E-2</v>
      </c>
      <c r="P4598">
        <v>0.99952369999999902</v>
      </c>
      <c r="Q4598">
        <v>-1.50566E-2</v>
      </c>
      <c r="R4598">
        <v>2.6944799999999901E-2</v>
      </c>
      <c r="S4598">
        <v>2.9868769999999998</v>
      </c>
      <c r="T4598">
        <v>-0.142588299999999</v>
      </c>
      <c r="U4598">
        <v>0.4458008</v>
      </c>
      <c r="V4598">
        <v>3.1200869999999999E-2</v>
      </c>
      <c r="W4598">
        <v>-2.7558699999999999E-4</v>
      </c>
      <c r="X4598">
        <v>0.99951309999999904</v>
      </c>
      <c r="Y4598">
        <v>-8.9841599999999994E-2</v>
      </c>
      <c r="Z4598">
        <v>-6.2254420000000001E-4</v>
      </c>
      <c r="AA4598">
        <v>0.99595590000000001</v>
      </c>
      <c r="AB4598">
        <v>25</v>
      </c>
      <c r="AC4598">
        <v>22.892299999999899</v>
      </c>
      <c r="AD4598">
        <v>-1.1039222575679899</v>
      </c>
      <c r="AE4598">
        <v>3.4385799999999902</v>
      </c>
      <c r="AF4598">
        <v>-2.0973061795207699</v>
      </c>
      <c r="AG4598">
        <v>-1.1039222575679899</v>
      </c>
      <c r="AH4598">
        <v>23.001163853001199</v>
      </c>
      <c r="AI4598">
        <v>92.736421368003406</v>
      </c>
      <c r="AJ4598">
        <v>95.209971623877806</v>
      </c>
      <c r="AK4598">
        <v>23.122951285552201</v>
      </c>
    </row>
    <row r="4599" spans="1:37" x14ac:dyDescent="0.2">
      <c r="A4599" t="str">
        <f>"20200111160305772"</f>
        <v>20200111160305772</v>
      </c>
      <c r="B4599" t="str">
        <f>"1578729785767518"</f>
        <v>1578729785767518</v>
      </c>
      <c r="C4599" t="s">
        <v>37</v>
      </c>
      <c r="D4599">
        <v>4.97309</v>
      </c>
      <c r="E4599">
        <v>0.45585639999999999</v>
      </c>
      <c r="F4599" t="s">
        <v>38</v>
      </c>
      <c r="G4599">
        <v>-339.79500000000002</v>
      </c>
      <c r="H4599" s="1">
        <v>-7.6897780000000001E-7</v>
      </c>
      <c r="I4599">
        <v>22.24222</v>
      </c>
      <c r="J4599">
        <v>-363.96730000000002</v>
      </c>
      <c r="K4599">
        <v>1.103931</v>
      </c>
      <c r="L4599">
        <v>18.644379999999899</v>
      </c>
      <c r="M4599">
        <v>0.99825569999999897</v>
      </c>
      <c r="N4599">
        <v>0</v>
      </c>
      <c r="O4599">
        <v>5.7148829999999998E-2</v>
      </c>
      <c r="P4599">
        <v>0.99956970000000001</v>
      </c>
      <c r="Q4599">
        <v>-1.2795559999999999E-2</v>
      </c>
      <c r="R4599">
        <v>2.639903E-2</v>
      </c>
      <c r="S4599">
        <v>2.987549</v>
      </c>
      <c r="T4599">
        <v>-0.13499749999999999</v>
      </c>
      <c r="U4599">
        <v>0.44168089999999999</v>
      </c>
      <c r="V4599">
        <v>3.0777780000000001E-2</v>
      </c>
      <c r="W4599">
        <v>1.9806060000000002E-3</v>
      </c>
      <c r="X4599">
        <v>0.99952430000000003</v>
      </c>
      <c r="Y4599">
        <v>-8.9439069999999996E-2</v>
      </c>
      <c r="Z4599">
        <v>-5.548641E-4</v>
      </c>
      <c r="AA4599">
        <v>0.99599210000000005</v>
      </c>
      <c r="AB4599">
        <v>25</v>
      </c>
      <c r="AC4599">
        <v>24.1723</v>
      </c>
      <c r="AD4599">
        <v>-1.1039317689778001</v>
      </c>
      <c r="AE4599">
        <v>3.5978400000000001</v>
      </c>
      <c r="AF4599">
        <v>-2.2058872354949601</v>
      </c>
      <c r="AG4599">
        <v>-1.1039317689778001</v>
      </c>
      <c r="AH4599">
        <v>24.288859802389702</v>
      </c>
      <c r="AI4599">
        <v>92.591658072454294</v>
      </c>
      <c r="AJ4599">
        <v>95.189302976783793</v>
      </c>
      <c r="AK4599">
        <v>24.413793526332999</v>
      </c>
    </row>
    <row r="4600" spans="1:37" x14ac:dyDescent="0.2">
      <c r="A4600" t="str">
        <f>"20200111160305794"</f>
        <v>20200111160305794</v>
      </c>
      <c r="B4600" t="str">
        <f>"1578729785788014"</f>
        <v>1578729785788014</v>
      </c>
      <c r="C4600" t="s">
        <v>37</v>
      </c>
      <c r="D4600">
        <v>5.0645930000000003</v>
      </c>
      <c r="E4600">
        <v>0.45625009999999999</v>
      </c>
      <c r="F4600" t="s">
        <v>38</v>
      </c>
      <c r="G4600">
        <v>-338.62520000000001</v>
      </c>
      <c r="H4600" s="1">
        <v>-1.3001409999999999E-6</v>
      </c>
      <c r="I4600">
        <v>22.352460000000001</v>
      </c>
      <c r="J4600">
        <v>-363.7251</v>
      </c>
      <c r="K4600">
        <v>1.1039399999999999</v>
      </c>
      <c r="L4600">
        <v>18.657170000000001</v>
      </c>
      <c r="M4600">
        <v>0.99830750000000001</v>
      </c>
      <c r="N4600">
        <v>0</v>
      </c>
      <c r="O4600">
        <v>5.6233869999999998E-2</v>
      </c>
      <c r="P4600">
        <v>0.99960039999999994</v>
      </c>
      <c r="Q4600">
        <v>-1.1796020000000001E-2</v>
      </c>
      <c r="R4600">
        <v>2.5688780000000001E-2</v>
      </c>
      <c r="S4600">
        <v>2.9880680000000002</v>
      </c>
      <c r="T4600">
        <v>-0.13016330000000001</v>
      </c>
      <c r="U4600">
        <v>0.43722529999999998</v>
      </c>
      <c r="V4600">
        <v>3.0574009999999999E-2</v>
      </c>
      <c r="W4600">
        <v>2.9748079999999998E-3</v>
      </c>
      <c r="X4600">
        <v>0.99952809999999903</v>
      </c>
      <c r="Y4600">
        <v>-8.887515E-2</v>
      </c>
      <c r="Z4600">
        <v>-5.0771529999999896E-4</v>
      </c>
      <c r="AA4600">
        <v>0.99604269999999995</v>
      </c>
      <c r="AB4600">
        <v>24</v>
      </c>
      <c r="AC4600">
        <v>25.099899999999899</v>
      </c>
      <c r="AD4600">
        <v>-1.1039413001409999</v>
      </c>
      <c r="AE4600">
        <v>3.69529</v>
      </c>
      <c r="AF4600">
        <v>-2.2735170463822798</v>
      </c>
      <c r="AG4600">
        <v>-1.1039413001409999</v>
      </c>
      <c r="AH4600">
        <v>25.220245844995699</v>
      </c>
      <c r="AI4600">
        <v>92.4962432284497</v>
      </c>
      <c r="AJ4600">
        <v>95.151091184634495</v>
      </c>
      <c r="AK4600">
        <v>25.3465651841896</v>
      </c>
    </row>
    <row r="4601" spans="1:37" x14ac:dyDescent="0.2">
      <c r="A4601" t="str">
        <f>"20200111160305818"</f>
        <v>20200111160305818</v>
      </c>
      <c r="B4601" t="str">
        <f>"1578729785807534"</f>
        <v>1578729785807534</v>
      </c>
      <c r="C4601" t="s">
        <v>37</v>
      </c>
      <c r="D4601">
        <v>6.5590429999999902</v>
      </c>
      <c r="E4601">
        <v>0.45649319999999999</v>
      </c>
      <c r="F4601" t="s">
        <v>38</v>
      </c>
      <c r="G4601">
        <v>-338.14499999999998</v>
      </c>
      <c r="H4601" s="1">
        <v>-1.506451E-6</v>
      </c>
      <c r="I4601">
        <v>22.353660000000001</v>
      </c>
      <c r="J4601">
        <v>-363.46690000000001</v>
      </c>
      <c r="K4601">
        <v>1.103944</v>
      </c>
      <c r="L4601">
        <v>18.670559999999998</v>
      </c>
      <c r="M4601">
        <v>0.99836219999999998</v>
      </c>
      <c r="N4601">
        <v>0</v>
      </c>
      <c r="O4601">
        <v>5.5258540000000002E-2</v>
      </c>
      <c r="P4601">
        <v>0.99962960000000001</v>
      </c>
      <c r="Q4601">
        <v>-1.043705E-2</v>
      </c>
      <c r="R4601">
        <v>2.5136760000000001E-2</v>
      </c>
      <c r="S4601">
        <v>2.9886169999999899</v>
      </c>
      <c r="T4601">
        <v>-0.12897749999999999</v>
      </c>
      <c r="U4601">
        <v>0.43188480000000001</v>
      </c>
      <c r="V4601">
        <v>3.0152479999999999E-2</v>
      </c>
      <c r="W4601">
        <v>4.3285399999999996E-3</v>
      </c>
      <c r="X4601">
        <v>0.99953590000000003</v>
      </c>
      <c r="Y4601">
        <v>-8.8079329999999997E-2</v>
      </c>
      <c r="Z4601">
        <v>-4.7844579999999998E-4</v>
      </c>
      <c r="AA4601">
        <v>0.99611340000000004</v>
      </c>
      <c r="AB4601">
        <v>24</v>
      </c>
      <c r="AC4601">
        <v>25.321899999999999</v>
      </c>
      <c r="AD4601">
        <v>-1.103945506451</v>
      </c>
      <c r="AE4601">
        <v>3.6831</v>
      </c>
      <c r="AF4601">
        <v>-2.2738342940597498</v>
      </c>
      <c r="AG4601">
        <v>-1.103945506451</v>
      </c>
      <c r="AH4601">
        <v>25.439396997492</v>
      </c>
      <c r="AI4601">
        <v>92.474943454328695</v>
      </c>
      <c r="AJ4601">
        <v>95.107660932607402</v>
      </c>
      <c r="AK4601">
        <v>25.564661892425999</v>
      </c>
    </row>
    <row r="4602" spans="1:37" x14ac:dyDescent="0.2">
      <c r="A4602" t="str">
        <f>"20200111160305839"</f>
        <v>20200111160305839</v>
      </c>
      <c r="B4602" t="str">
        <f>"1578729785828031"</f>
        <v>1578729785828031</v>
      </c>
      <c r="C4602" t="s">
        <v>37</v>
      </c>
      <c r="D4602">
        <v>6.5797149999999904</v>
      </c>
      <c r="E4602">
        <v>0.45649319999999999</v>
      </c>
      <c r="F4602" t="s">
        <v>38</v>
      </c>
      <c r="G4602">
        <v>-337.23410000000001</v>
      </c>
      <c r="H4602" s="1">
        <v>-1.9170270000000001E-6</v>
      </c>
      <c r="I4602">
        <v>22.428159999999998</v>
      </c>
      <c r="J4602">
        <v>-363.23439999999999</v>
      </c>
      <c r="K4602">
        <v>1.103958</v>
      </c>
      <c r="L4602">
        <v>18.682400000000001</v>
      </c>
      <c r="M4602">
        <v>0.99841049999999998</v>
      </c>
      <c r="N4602">
        <v>0</v>
      </c>
      <c r="O4602">
        <v>5.4380169999999999E-2</v>
      </c>
      <c r="P4602">
        <v>0.99967059999999996</v>
      </c>
      <c r="Q4602">
        <v>-8.6142590000000008E-3</v>
      </c>
      <c r="R4602">
        <v>2.4174950000000001E-2</v>
      </c>
      <c r="S4602">
        <v>2.9890439999999998</v>
      </c>
      <c r="T4602">
        <v>-0.12578710000000001</v>
      </c>
      <c r="U4602">
        <v>0.42816159999999998</v>
      </c>
      <c r="V4602">
        <v>3.023841E-2</v>
      </c>
      <c r="W4602">
        <v>6.1462180000000002E-3</v>
      </c>
      <c r="X4602">
        <v>0.99952379999999996</v>
      </c>
      <c r="Y4602">
        <v>-8.7720950000000006E-2</v>
      </c>
      <c r="Z4602">
        <v>-4.3746429999999998E-4</v>
      </c>
      <c r="AA4602">
        <v>0.99614499999999995</v>
      </c>
      <c r="AB4602">
        <v>24</v>
      </c>
      <c r="AC4602">
        <v>26.0002999999999</v>
      </c>
      <c r="AD4602">
        <v>-1.103959917027</v>
      </c>
      <c r="AE4602">
        <v>3.7457600000000002</v>
      </c>
      <c r="AF4602">
        <v>-2.3220593112724099</v>
      </c>
      <c r="AG4602">
        <v>-1.103959917027</v>
      </c>
      <c r="AH4602">
        <v>26.119405541307199</v>
      </c>
      <c r="AI4602">
        <v>92.410720084793297</v>
      </c>
      <c r="AJ4602">
        <v>95.080335595788</v>
      </c>
      <c r="AK4602">
        <v>26.245647882548798</v>
      </c>
    </row>
    <row r="4603" spans="1:37" x14ac:dyDescent="0.2">
      <c r="A4603" t="str">
        <f>"20200111160305862"</f>
        <v>20200111160305862</v>
      </c>
      <c r="B4603" t="str">
        <f>"1578729785857311"</f>
        <v>1578729785857311</v>
      </c>
      <c r="C4603" t="s">
        <v>37</v>
      </c>
      <c r="D4603">
        <v>5.4732019999999997</v>
      </c>
      <c r="E4603">
        <v>0.6403124</v>
      </c>
      <c r="F4603" t="s">
        <v>38</v>
      </c>
      <c r="G4603">
        <v>-335.94060000000002</v>
      </c>
      <c r="H4603" s="1">
        <v>-2.507834E-6</v>
      </c>
      <c r="I4603">
        <v>22.563089999999999</v>
      </c>
      <c r="J4603">
        <v>-362.99689999999998</v>
      </c>
      <c r="K4603">
        <v>1.1039639999999999</v>
      </c>
      <c r="L4603">
        <v>18.694310000000002</v>
      </c>
      <c r="M4603">
        <v>0.99845899999999999</v>
      </c>
      <c r="N4603">
        <v>0</v>
      </c>
      <c r="O4603">
        <v>5.3482250000000002E-2</v>
      </c>
      <c r="P4603">
        <v>0.99971559999999904</v>
      </c>
      <c r="Q4603">
        <v>-6.109906E-3</v>
      </c>
      <c r="R4603">
        <v>2.3053609999999999E-2</v>
      </c>
      <c r="S4603">
        <v>2.9896240000000001</v>
      </c>
      <c r="T4603">
        <v>-0.1209224</v>
      </c>
      <c r="U4603">
        <v>0.42507929999999999</v>
      </c>
      <c r="V4603">
        <v>3.046538E-2</v>
      </c>
      <c r="W4603">
        <v>8.6438230000000001E-3</v>
      </c>
      <c r="X4603">
        <v>0.99949840000000001</v>
      </c>
      <c r="Y4603">
        <v>-8.758473E-2</v>
      </c>
      <c r="Z4603">
        <v>-3.8724629999999999E-4</v>
      </c>
      <c r="AA4603">
        <v>0.99615699999999996</v>
      </c>
      <c r="AB4603">
        <v>24</v>
      </c>
      <c r="AC4603">
        <v>27.056299999999901</v>
      </c>
      <c r="AD4603">
        <v>-1.103966507834</v>
      </c>
      <c r="AE4603">
        <v>3.8687799999999899</v>
      </c>
      <c r="AF4603">
        <v>-2.4121159653434701</v>
      </c>
      <c r="AG4603">
        <v>-1.103966507834</v>
      </c>
      <c r="AH4603">
        <v>27.180158075344401</v>
      </c>
      <c r="AI4603">
        <v>92.316787846361095</v>
      </c>
      <c r="AJ4603">
        <v>95.071455007967899</v>
      </c>
      <c r="AK4603">
        <v>27.309303148952701</v>
      </c>
    </row>
    <row r="4604" spans="1:37" x14ac:dyDescent="0.2">
      <c r="A4604" t="str">
        <f>"20200111160305885"</f>
        <v>20200111160305885</v>
      </c>
      <c r="B4604" t="str">
        <f>"1578729785877807"</f>
        <v>1578729785877807</v>
      </c>
      <c r="C4604" t="s">
        <v>37</v>
      </c>
      <c r="D4604">
        <v>5.0959830000000004</v>
      </c>
      <c r="E4604">
        <v>0.69406919999999905</v>
      </c>
      <c r="F4604" t="s">
        <v>38</v>
      </c>
      <c r="G4604">
        <v>-352.39089999999999</v>
      </c>
      <c r="H4604" s="1">
        <v>-4.054582E-6</v>
      </c>
      <c r="I4604">
        <v>15.06119</v>
      </c>
      <c r="J4604">
        <v>-362.73689999999999</v>
      </c>
      <c r="K4604">
        <v>1.1039729999999901</v>
      </c>
      <c r="L4604">
        <v>18.707090000000001</v>
      </c>
      <c r="M4604">
        <v>0.99851139999999905</v>
      </c>
      <c r="N4604">
        <v>0</v>
      </c>
      <c r="O4604">
        <v>5.2499049999999998E-2</v>
      </c>
      <c r="P4604">
        <v>0.99975999999999998</v>
      </c>
      <c r="Q4604">
        <v>-5.0894190000000004E-3</v>
      </c>
      <c r="R4604">
        <v>2.1318E-2</v>
      </c>
      <c r="S4604">
        <v>3.0227659999999998</v>
      </c>
      <c r="T4604">
        <v>-0.31463649999999999</v>
      </c>
      <c r="U4604">
        <v>-1.035431</v>
      </c>
      <c r="V4604">
        <v>3.1218200000000002E-2</v>
      </c>
      <c r="W4604">
        <v>9.6570590000000008E-3</v>
      </c>
      <c r="X4604">
        <v>0.99946590000000002</v>
      </c>
      <c r="Y4604">
        <v>0.37122539999999998</v>
      </c>
      <c r="Z4604">
        <v>-2.4048130000000001E-2</v>
      </c>
      <c r="AA4604">
        <v>0.92823140000000004</v>
      </c>
      <c r="AB4604">
        <v>24</v>
      </c>
      <c r="AC4604">
        <v>10.346</v>
      </c>
      <c r="AD4604">
        <v>-1.10397705458199</v>
      </c>
      <c r="AE4604">
        <v>-3.6459000000000001</v>
      </c>
      <c r="AF4604">
        <v>4.1421328289213601</v>
      </c>
      <c r="AG4604">
        <v>-1.10397705458199</v>
      </c>
      <c r="AH4604">
        <v>10.038627699771601</v>
      </c>
      <c r="AI4604">
        <v>95.804685541780401</v>
      </c>
      <c r="AJ4604">
        <v>67.578005022350993</v>
      </c>
      <c r="AK4604">
        <v>10.9155886604476</v>
      </c>
    </row>
    <row r="4605" spans="1:37" x14ac:dyDescent="0.2">
      <c r="A4605" t="str">
        <f>"20200111160305907"</f>
        <v>20200111160305907</v>
      </c>
      <c r="B4605" t="str">
        <f>"1578729785898303"</f>
        <v>1578729785898303</v>
      </c>
      <c r="C4605" t="s">
        <v>37</v>
      </c>
      <c r="D4605">
        <v>5.0571830000000002</v>
      </c>
      <c r="E4605">
        <v>0.69487600000000005</v>
      </c>
      <c r="F4605" t="s">
        <v>39</v>
      </c>
      <c r="G4605">
        <v>-323.4006</v>
      </c>
      <c r="H4605">
        <v>-0.05</v>
      </c>
      <c r="I4605">
        <v>-0.5164185</v>
      </c>
      <c r="J4605">
        <v>-362.5052</v>
      </c>
      <c r="K4605">
        <v>1.103979</v>
      </c>
      <c r="L4605">
        <v>18.718260000000001</v>
      </c>
      <c r="M4605">
        <v>0.99855709999999998</v>
      </c>
      <c r="N4605">
        <v>0</v>
      </c>
      <c r="O4605">
        <v>5.1622700000000001E-2</v>
      </c>
      <c r="P4605">
        <v>0.99980569999999902</v>
      </c>
      <c r="Q4605">
        <v>-5.5217929999999997E-3</v>
      </c>
      <c r="R4605">
        <v>1.892106E-2</v>
      </c>
      <c r="S4605">
        <v>3.03186</v>
      </c>
      <c r="T4605">
        <v>-8.8942889999999997E-2</v>
      </c>
      <c r="U4605">
        <v>-1.4816590000000001</v>
      </c>
      <c r="V4605">
        <v>3.2736439999999999E-2</v>
      </c>
      <c r="W4605">
        <v>9.2160039999999999E-3</v>
      </c>
      <c r="X4605">
        <v>0.99942149999999996</v>
      </c>
      <c r="Y4605">
        <v>0.48468309999999998</v>
      </c>
      <c r="Z4605">
        <v>-8.1649659999999992E-3</v>
      </c>
      <c r="AA4605">
        <v>0.87465170000000003</v>
      </c>
      <c r="AB4605">
        <v>24</v>
      </c>
      <c r="AC4605">
        <v>39.104599999999998</v>
      </c>
      <c r="AD4605">
        <v>-1.1539790000000001</v>
      </c>
      <c r="AE4605">
        <v>-19.234678500000001</v>
      </c>
      <c r="AF4605">
        <v>21.213057967161699</v>
      </c>
      <c r="AG4605">
        <v>-1.1539790000000001</v>
      </c>
      <c r="AH4605">
        <v>38.032725821728398</v>
      </c>
      <c r="AI4605">
        <v>91.517904850354995</v>
      </c>
      <c r="AJ4605">
        <v>60.849056262318101</v>
      </c>
      <c r="AK4605">
        <v>43.563903971997</v>
      </c>
    </row>
    <row r="4606" spans="1:37" x14ac:dyDescent="0.2">
      <c r="A4606" t="str">
        <f>"20200111160305928"</f>
        <v>20200111160305928</v>
      </c>
      <c r="B4606" t="str">
        <f>"1578729785917822"</f>
        <v>1578729785917822</v>
      </c>
      <c r="C4606" t="s">
        <v>37</v>
      </c>
      <c r="D4606">
        <v>5.0643159999999998</v>
      </c>
      <c r="E4606">
        <v>0.6951929</v>
      </c>
      <c r="F4606" t="s">
        <v>39</v>
      </c>
      <c r="G4606">
        <v>-314.01339999999999</v>
      </c>
      <c r="H4606">
        <v>-0.05</v>
      </c>
      <c r="I4606">
        <v>-5.2407680000000001</v>
      </c>
      <c r="J4606">
        <v>-362.27140000000003</v>
      </c>
      <c r="K4606">
        <v>1.1039749999999999</v>
      </c>
      <c r="L4606">
        <v>18.729310000000002</v>
      </c>
      <c r="M4606">
        <v>0.99860260000000001</v>
      </c>
      <c r="N4606">
        <v>0</v>
      </c>
      <c r="O4606">
        <v>5.0738430000000001E-2</v>
      </c>
      <c r="P4606">
        <v>0.99983729999999904</v>
      </c>
      <c r="Q4606">
        <v>-7.0724769999999998E-3</v>
      </c>
      <c r="R4606">
        <v>1.6595160000000001E-2</v>
      </c>
      <c r="S4606">
        <v>3.02850299999999</v>
      </c>
      <c r="T4606">
        <v>-7.2070599999999999E-2</v>
      </c>
      <c r="U4606">
        <v>-1.4963379999999999</v>
      </c>
      <c r="V4606">
        <v>3.4173460000000003E-2</v>
      </c>
      <c r="W4606">
        <v>7.657278E-3</v>
      </c>
      <c r="X4606">
        <v>0.99938660000000001</v>
      </c>
      <c r="Y4606">
        <v>0.48776599999999998</v>
      </c>
      <c r="Z4606">
        <v>-6.6311130000000001E-3</v>
      </c>
      <c r="AA4606">
        <v>0.87294919999999998</v>
      </c>
      <c r="AB4606">
        <v>24</v>
      </c>
      <c r="AC4606">
        <v>48.258000000000003</v>
      </c>
      <c r="AD4606">
        <v>-1.153975</v>
      </c>
      <c r="AE4606">
        <v>-23.970078000000001</v>
      </c>
      <c r="AF4606">
        <v>26.3759024361756</v>
      </c>
      <c r="AG4606">
        <v>-1.153975</v>
      </c>
      <c r="AH4606">
        <v>46.957954476288101</v>
      </c>
      <c r="AI4606">
        <v>91.227434587112398</v>
      </c>
      <c r="AJ4606">
        <v>60.677430878568202</v>
      </c>
      <c r="AK4606">
        <v>53.870858320806597</v>
      </c>
    </row>
    <row r="4607" spans="1:37" x14ac:dyDescent="0.2">
      <c r="A4607" t="str">
        <f>"20200111160305951"</f>
        <v>20200111160305951</v>
      </c>
      <c r="B4607" t="str">
        <f>"1578729785948079"</f>
        <v>1578729785948079</v>
      </c>
      <c r="C4607" t="s">
        <v>37</v>
      </c>
      <c r="D4607">
        <v>5.0668680000000004</v>
      </c>
      <c r="E4607">
        <v>0.69528509999999999</v>
      </c>
      <c r="F4607" t="s">
        <v>39</v>
      </c>
      <c r="G4607">
        <v>-313.66820000000001</v>
      </c>
      <c r="H4607">
        <v>-0.05</v>
      </c>
      <c r="I4607">
        <v>-5.470078</v>
      </c>
      <c r="J4607">
        <v>-362.02429999999998</v>
      </c>
      <c r="K4607">
        <v>1.103974</v>
      </c>
      <c r="L4607">
        <v>18.740779999999901</v>
      </c>
      <c r="M4607">
        <v>0.99864969999999997</v>
      </c>
      <c r="N4607">
        <v>0</v>
      </c>
      <c r="O4607">
        <v>4.9802970000000002E-2</v>
      </c>
      <c r="P4607">
        <v>0.99985009999999996</v>
      </c>
      <c r="Q4607">
        <v>-8.7966429999999998E-3</v>
      </c>
      <c r="R4607">
        <v>1.491342E-2</v>
      </c>
      <c r="S4607">
        <v>3.024994</v>
      </c>
      <c r="T4607">
        <v>-7.1821689999999994E-2</v>
      </c>
      <c r="U4607">
        <v>-1.5061340000000001</v>
      </c>
      <c r="V4607">
        <v>3.4914920000000002E-2</v>
      </c>
      <c r="W4607">
        <v>5.925446E-3</v>
      </c>
      <c r="X4607">
        <v>0.999372699999999</v>
      </c>
      <c r="Y4607">
        <v>0.4896182</v>
      </c>
      <c r="Z4607">
        <v>-6.6102979999999997E-3</v>
      </c>
      <c r="AA4607">
        <v>0.87191180000000001</v>
      </c>
      <c r="AB4607">
        <v>24</v>
      </c>
      <c r="AC4607">
        <v>48.356099999999898</v>
      </c>
      <c r="AD4607">
        <v>-1.1539740000000001</v>
      </c>
      <c r="AE4607">
        <v>-24.210857999999899</v>
      </c>
      <c r="AF4607">
        <v>26.577245832137599</v>
      </c>
      <c r="AG4607">
        <v>-1.1539740000000001</v>
      </c>
      <c r="AH4607">
        <v>47.0687429436652</v>
      </c>
      <c r="AI4607">
        <v>91.2229993266143</v>
      </c>
      <c r="AJ4607">
        <v>60.548865632007697</v>
      </c>
      <c r="AK4607">
        <v>54.0661466567703</v>
      </c>
    </row>
    <row r="4608" spans="1:37" x14ac:dyDescent="0.2">
      <c r="A4608" t="str">
        <f>"20200111160305973"</f>
        <v>20200111160305973</v>
      </c>
      <c r="B4608" t="str">
        <f>"1578729785967602"</f>
        <v>1578729785967602</v>
      </c>
      <c r="C4608" t="s">
        <v>37</v>
      </c>
      <c r="D4608">
        <v>5.048724</v>
      </c>
      <c r="E4608">
        <v>0.69545699999999999</v>
      </c>
      <c r="F4608" t="s">
        <v>39</v>
      </c>
      <c r="G4608">
        <v>-313.56830000000002</v>
      </c>
      <c r="H4608">
        <v>-0.05</v>
      </c>
      <c r="I4608">
        <v>-5.5043179999999996</v>
      </c>
      <c r="J4608">
        <v>-361.79500000000002</v>
      </c>
      <c r="K4608">
        <v>1.1039699999999999</v>
      </c>
      <c r="L4608">
        <v>18.751190000000001</v>
      </c>
      <c r="M4608">
        <v>0.99869269999999999</v>
      </c>
      <c r="N4608">
        <v>0</v>
      </c>
      <c r="O4608">
        <v>4.8934909999999998E-2</v>
      </c>
      <c r="P4608">
        <v>0.99986819999999899</v>
      </c>
      <c r="Q4608">
        <v>-9.0023969999999901E-3</v>
      </c>
      <c r="R4608">
        <v>1.351956E-2</v>
      </c>
      <c r="S4608">
        <v>3.0223390000000001</v>
      </c>
      <c r="T4608">
        <v>-7.1976659999999998E-2</v>
      </c>
      <c r="U4608">
        <v>-1.512238</v>
      </c>
      <c r="V4608">
        <v>3.5438820000000003E-2</v>
      </c>
      <c r="W4608">
        <v>5.7132569999999898E-3</v>
      </c>
      <c r="X4608">
        <v>0.99935549999999995</v>
      </c>
      <c r="Y4608">
        <v>0.49057440000000002</v>
      </c>
      <c r="Z4608">
        <v>-6.6180900000000001E-3</v>
      </c>
      <c r="AA4608">
        <v>0.87137419999999999</v>
      </c>
      <c r="AB4608">
        <v>24</v>
      </c>
      <c r="AC4608">
        <v>48.226700000000001</v>
      </c>
      <c r="AD4608">
        <v>-1.1539699999999999</v>
      </c>
      <c r="AE4608">
        <v>-24.255507999999999</v>
      </c>
      <c r="AF4608">
        <v>26.574526143875399</v>
      </c>
      <c r="AG4608">
        <v>-1.1539699999999999</v>
      </c>
      <c r="AH4608">
        <v>46.960380666581102</v>
      </c>
      <c r="AI4608">
        <v>91.225162902538102</v>
      </c>
      <c r="AJ4608">
        <v>60.494805014593098</v>
      </c>
      <c r="AK4608">
        <v>53.970496003674299</v>
      </c>
    </row>
    <row r="4609" spans="1:37" x14ac:dyDescent="0.2">
      <c r="A4609" t="str">
        <f>"20200111160305995"</f>
        <v>20200111160305995</v>
      </c>
      <c r="B4609" t="str">
        <f>"1578729785988099"</f>
        <v>1578729785988099</v>
      </c>
      <c r="C4609" t="s">
        <v>37</v>
      </c>
      <c r="D4609">
        <v>5.0418320000000003</v>
      </c>
      <c r="E4609">
        <v>0.69551680000000005</v>
      </c>
      <c r="F4609" t="s">
        <v>39</v>
      </c>
      <c r="G4609">
        <v>-312.60449999999997</v>
      </c>
      <c r="H4609">
        <v>-0.05</v>
      </c>
      <c r="I4609">
        <v>-5.9672999999999998</v>
      </c>
      <c r="J4609">
        <v>-361.553</v>
      </c>
      <c r="K4609">
        <v>1.103974</v>
      </c>
      <c r="L4609">
        <v>18.761959999999998</v>
      </c>
      <c r="M4609">
        <v>0.99873729999999905</v>
      </c>
      <c r="N4609">
        <v>0</v>
      </c>
      <c r="O4609">
        <v>4.801863E-2</v>
      </c>
      <c r="P4609">
        <v>0.9998958</v>
      </c>
      <c r="Q4609">
        <v>-7.8733640000000008E-3</v>
      </c>
      <c r="R4609">
        <v>1.211476E-2</v>
      </c>
      <c r="S4609">
        <v>3.0202640000000001</v>
      </c>
      <c r="T4609">
        <v>-7.0852990000000005E-2</v>
      </c>
      <c r="U4609">
        <v>-1.5177</v>
      </c>
      <c r="V4609">
        <v>3.5928090000000003E-2</v>
      </c>
      <c r="W4609">
        <v>6.8357100000000001E-3</v>
      </c>
      <c r="X4609">
        <v>0.99933099999999997</v>
      </c>
      <c r="Y4609">
        <v>0.49127749999999998</v>
      </c>
      <c r="Z4609">
        <v>-6.5037109999999997E-3</v>
      </c>
      <c r="AA4609">
        <v>0.8709789</v>
      </c>
      <c r="AB4609">
        <v>24</v>
      </c>
      <c r="AC4609">
        <v>48.948500000000003</v>
      </c>
      <c r="AD4609">
        <v>-1.1539740000000001</v>
      </c>
      <c r="AE4609">
        <v>-24.72926</v>
      </c>
      <c r="AF4609">
        <v>27.039450750174101</v>
      </c>
      <c r="AG4609">
        <v>-1.1539740000000001</v>
      </c>
      <c r="AH4609">
        <v>47.683314811238098</v>
      </c>
      <c r="AI4609">
        <v>91.205992286750202</v>
      </c>
      <c r="AJ4609">
        <v>60.4440253792419</v>
      </c>
      <c r="AK4609">
        <v>54.828478587786897</v>
      </c>
    </row>
    <row r="4610" spans="1:37" x14ac:dyDescent="0.2">
      <c r="A4610" t="str">
        <f>"20200111160306017"</f>
        <v>20200111160306017</v>
      </c>
      <c r="B4610" t="str">
        <f>"1578729786007618"</f>
        <v>1578729786007618</v>
      </c>
      <c r="C4610" t="s">
        <v>37</v>
      </c>
      <c r="D4610">
        <v>5.0680430000000003</v>
      </c>
      <c r="E4610">
        <v>0.69565140000000003</v>
      </c>
      <c r="F4610" t="s">
        <v>39</v>
      </c>
      <c r="G4610">
        <v>-310.17770000000002</v>
      </c>
      <c r="H4610">
        <v>-0.05</v>
      </c>
      <c r="I4610">
        <v>-7.1542209999999997</v>
      </c>
      <c r="J4610">
        <v>-361.3193</v>
      </c>
      <c r="K4610">
        <v>1.103985</v>
      </c>
      <c r="L4610">
        <v>18.77216</v>
      </c>
      <c r="M4610">
        <v>0.99877950000000004</v>
      </c>
      <c r="N4610">
        <v>0</v>
      </c>
      <c r="O4610">
        <v>4.7133639999999997E-2</v>
      </c>
      <c r="P4610">
        <v>0.99991830000000004</v>
      </c>
      <c r="Q4610">
        <v>-6.4043479999999998E-3</v>
      </c>
      <c r="R4610">
        <v>1.107083E-2</v>
      </c>
      <c r="S4610">
        <v>3.0181879999999999</v>
      </c>
      <c r="T4610">
        <v>-6.7793489999999998E-2</v>
      </c>
      <c r="U4610">
        <v>-1.5225219999999999</v>
      </c>
      <c r="V4610">
        <v>3.6088710000000003E-2</v>
      </c>
      <c r="W4610">
        <v>8.2990809999999998E-3</v>
      </c>
      <c r="X4610">
        <v>0.99931409999999998</v>
      </c>
      <c r="Y4610">
        <v>0.49186579999999902</v>
      </c>
      <c r="Z4610">
        <v>-6.2120459999999997E-3</v>
      </c>
      <c r="AA4610">
        <v>0.87064889999999995</v>
      </c>
      <c r="AB4610">
        <v>24</v>
      </c>
      <c r="AC4610">
        <v>51.141599999999897</v>
      </c>
      <c r="AD4610">
        <v>-1.153985</v>
      </c>
      <c r="AE4610">
        <v>-25.926380999999999</v>
      </c>
      <c r="AF4610">
        <v>28.296850569980801</v>
      </c>
      <c r="AG4610">
        <v>-1.153985</v>
      </c>
      <c r="AH4610">
        <v>49.842421537516202</v>
      </c>
      <c r="AI4610">
        <v>91.153447519778496</v>
      </c>
      <c r="AJ4610">
        <v>60.415285581178502</v>
      </c>
      <c r="AK4610">
        <v>57.326350121767803</v>
      </c>
    </row>
    <row r="4611" spans="1:37" x14ac:dyDescent="0.2">
      <c r="A4611" t="str">
        <f>"20200111160306038"</f>
        <v>20200111160306038</v>
      </c>
      <c r="B4611" t="str">
        <f>"1578729786027141"</f>
        <v>1578729786027141</v>
      </c>
      <c r="C4611" t="s">
        <v>37</v>
      </c>
      <c r="D4611">
        <v>5.0827419999999996</v>
      </c>
      <c r="E4611">
        <v>0.69554629999999995</v>
      </c>
      <c r="F4611" t="s">
        <v>38</v>
      </c>
      <c r="G4611">
        <v>-313.6087</v>
      </c>
      <c r="H4611">
        <v>7.9987210000000003E-2</v>
      </c>
      <c r="I4611">
        <v>-5.3756440000000003</v>
      </c>
      <c r="J4611">
        <v>-361.09030000000001</v>
      </c>
      <c r="K4611">
        <v>1.1039889999999899</v>
      </c>
      <c r="L4611">
        <v>18.781949999999998</v>
      </c>
      <c r="M4611">
        <v>0.99882019999999905</v>
      </c>
      <c r="N4611">
        <v>0</v>
      </c>
      <c r="O4611">
        <v>4.626599E-2</v>
      </c>
      <c r="P4611">
        <v>0.99993379999999998</v>
      </c>
      <c r="Q4611">
        <v>-6.18366199999999E-3</v>
      </c>
      <c r="R4611">
        <v>9.7241600000000008E-3</v>
      </c>
      <c r="S4611">
        <v>3.016724</v>
      </c>
      <c r="T4611">
        <v>-6.4746979999999996E-2</v>
      </c>
      <c r="U4611">
        <v>-1.5268549999999901</v>
      </c>
      <c r="V4611">
        <v>3.6566580000000001E-2</v>
      </c>
      <c r="W4611">
        <v>8.5131740000000001E-3</v>
      </c>
      <c r="X4611">
        <v>0.99929489999999999</v>
      </c>
      <c r="Y4611">
        <v>0.49228539999999998</v>
      </c>
      <c r="Z4611">
        <v>-5.9203110000000001E-3</v>
      </c>
      <c r="AA4611">
        <v>0.87041369999999896</v>
      </c>
      <c r="AB4611">
        <v>24</v>
      </c>
      <c r="AC4611">
        <v>47.4816</v>
      </c>
      <c r="AD4611">
        <v>-1.02400178999999</v>
      </c>
      <c r="AE4611">
        <v>-24.157594</v>
      </c>
      <c r="AF4611">
        <v>26.319017702357002</v>
      </c>
      <c r="AG4611">
        <v>-1.02400178999999</v>
      </c>
      <c r="AH4611">
        <v>46.295842102209903</v>
      </c>
      <c r="AI4611">
        <v>91.101582551646104</v>
      </c>
      <c r="AJ4611">
        <v>60.381927355245701</v>
      </c>
      <c r="AK4611">
        <v>53.263911501462701</v>
      </c>
    </row>
    <row r="4612" spans="1:37" x14ac:dyDescent="0.2">
      <c r="A4612" t="str">
        <f>"20200111160306061"</f>
        <v>20200111160306061</v>
      </c>
      <c r="B4612" t="str">
        <f>"1578729786057394"</f>
        <v>1578729786057394</v>
      </c>
      <c r="C4612" t="s">
        <v>37</v>
      </c>
      <c r="D4612">
        <v>5.0111999999999997</v>
      </c>
      <c r="E4612">
        <v>0.69570710000000002</v>
      </c>
      <c r="F4612" t="s">
        <v>39</v>
      </c>
      <c r="G4612">
        <v>-309.14960000000002</v>
      </c>
      <c r="H4612">
        <v>-0.05</v>
      </c>
      <c r="I4612">
        <v>-7.5743259999999903</v>
      </c>
      <c r="J4612">
        <v>-360.85</v>
      </c>
      <c r="K4612">
        <v>1.1039870000000001</v>
      </c>
      <c r="L4612">
        <v>18.791989999999998</v>
      </c>
      <c r="M4612">
        <v>0.99886189999999997</v>
      </c>
      <c r="N4612">
        <v>0</v>
      </c>
      <c r="O4612">
        <v>4.5355979999999997E-2</v>
      </c>
      <c r="P4612">
        <v>0.99993889999999996</v>
      </c>
      <c r="Q4612">
        <v>-6.6060700000000003E-3</v>
      </c>
      <c r="R4612">
        <v>8.8605790000000004E-3</v>
      </c>
      <c r="S4612">
        <v>3.01464799999999</v>
      </c>
      <c r="T4612">
        <v>-6.6977739999999994E-2</v>
      </c>
      <c r="U4612">
        <v>-1.5297240000000001</v>
      </c>
      <c r="V4612">
        <v>3.6518469999999997E-2</v>
      </c>
      <c r="W4612">
        <v>8.0849890000000008E-3</v>
      </c>
      <c r="X4612">
        <v>0.99930030000000003</v>
      </c>
      <c r="Y4612">
        <v>0.49238589999999999</v>
      </c>
      <c r="Z4612">
        <v>-6.1086700000000001E-3</v>
      </c>
      <c r="AA4612">
        <v>0.87035560000000001</v>
      </c>
      <c r="AB4612">
        <v>24</v>
      </c>
      <c r="AC4612">
        <v>51.700400000000002</v>
      </c>
      <c r="AD4612">
        <v>-1.1539870000000001</v>
      </c>
      <c r="AE4612">
        <v>-26.366315999999902</v>
      </c>
      <c r="AF4612">
        <v>28.673017090208401</v>
      </c>
      <c r="AG4612">
        <v>-1.1539870000000001</v>
      </c>
      <c r="AH4612">
        <v>50.431243066765198</v>
      </c>
      <c r="AI4612">
        <v>91.139579331282405</v>
      </c>
      <c r="AJ4612">
        <v>60.379318079746298</v>
      </c>
      <c r="AK4612">
        <v>58.0239939362218</v>
      </c>
    </row>
    <row r="4613" spans="1:37" x14ac:dyDescent="0.2">
      <c r="A4613" t="str">
        <f>"20200111160306085"</f>
        <v>20200111160306085</v>
      </c>
      <c r="B4613" t="str">
        <f>"1578729786077891"</f>
        <v>1578729786077891</v>
      </c>
      <c r="C4613" t="s">
        <v>37</v>
      </c>
      <c r="D4613">
        <v>5.0414709999999996</v>
      </c>
      <c r="E4613">
        <v>0.69591130000000001</v>
      </c>
      <c r="F4613" t="s">
        <v>39</v>
      </c>
      <c r="G4613">
        <v>-311.53870000000001</v>
      </c>
      <c r="H4613">
        <v>-0.05</v>
      </c>
      <c r="I4613">
        <v>-6.304443</v>
      </c>
      <c r="J4613">
        <v>-360.5917</v>
      </c>
      <c r="K4613">
        <v>1.1039889999999899</v>
      </c>
      <c r="L4613">
        <v>18.802579999999999</v>
      </c>
      <c r="M4613">
        <v>0.99890610000000002</v>
      </c>
      <c r="N4613">
        <v>0</v>
      </c>
      <c r="O4613">
        <v>4.4376649999999997E-2</v>
      </c>
      <c r="P4613">
        <v>0.99994919999999998</v>
      </c>
      <c r="Q4613">
        <v>-6.6520650000000004E-3</v>
      </c>
      <c r="R4613">
        <v>7.5995869999999997E-3</v>
      </c>
      <c r="S4613">
        <v>3.0132750000000001</v>
      </c>
      <c r="T4613">
        <v>-7.0516819999999994E-2</v>
      </c>
      <c r="U4613">
        <v>-1.533569</v>
      </c>
      <c r="V4613">
        <v>3.6798850000000001E-2</v>
      </c>
      <c r="W4613">
        <v>8.0320619999999995E-3</v>
      </c>
      <c r="X4613">
        <v>0.99929040000000002</v>
      </c>
      <c r="Y4613">
        <v>0.4925639</v>
      </c>
      <c r="Z4613">
        <v>-6.4125069999999996E-3</v>
      </c>
      <c r="AA4613">
        <v>0.87025269999999999</v>
      </c>
      <c r="AB4613">
        <v>24</v>
      </c>
      <c r="AC4613">
        <v>49.052999999999997</v>
      </c>
      <c r="AD4613">
        <v>-1.1539889999999999</v>
      </c>
      <c r="AE4613">
        <v>-25.107023000000002</v>
      </c>
      <c r="AF4613">
        <v>27.247378944186799</v>
      </c>
      <c r="AG4613">
        <v>-1.1539889999999999</v>
      </c>
      <c r="AH4613">
        <v>47.869386077062302</v>
      </c>
      <c r="AI4613">
        <v>91.2002184502104</v>
      </c>
      <c r="AJ4613">
        <v>60.351355566478098</v>
      </c>
      <c r="AK4613">
        <v>55.092916725610699</v>
      </c>
    </row>
    <row r="4614" spans="1:37" x14ac:dyDescent="0.2">
      <c r="A4614" t="str">
        <f>"20200111160306107"</f>
        <v>20200111160306107</v>
      </c>
      <c r="B4614" t="str">
        <f>"1578729786097410"</f>
        <v>1578729786097410</v>
      </c>
      <c r="C4614" t="s">
        <v>37</v>
      </c>
      <c r="D4614">
        <v>4.99451</v>
      </c>
      <c r="E4614">
        <v>0.69589319999999999</v>
      </c>
      <c r="F4614" t="s">
        <v>39</v>
      </c>
      <c r="G4614">
        <v>-311.7851</v>
      </c>
      <c r="H4614">
        <v>-0.05</v>
      </c>
      <c r="I4614">
        <v>-6.1413269999999898</v>
      </c>
      <c r="J4614">
        <v>-360.36470000000003</v>
      </c>
      <c r="K4614">
        <v>1.1039939999999999</v>
      </c>
      <c r="L4614">
        <v>18.811679999999999</v>
      </c>
      <c r="M4614">
        <v>0.9989439</v>
      </c>
      <c r="N4614">
        <v>0</v>
      </c>
      <c r="O4614">
        <v>4.351621E-2</v>
      </c>
      <c r="P4614">
        <v>0.99996149999999995</v>
      </c>
      <c r="Q4614">
        <v>-6.2552559999999998E-3</v>
      </c>
      <c r="R4614">
        <v>6.1682169999999897E-3</v>
      </c>
      <c r="S4614">
        <v>3.0114139999999998</v>
      </c>
      <c r="T4614">
        <v>-7.120216E-2</v>
      </c>
      <c r="U4614">
        <v>-1.5390629999999901</v>
      </c>
      <c r="V4614">
        <v>3.7369029999999998E-2</v>
      </c>
      <c r="W4614">
        <v>8.4225789999999995E-3</v>
      </c>
      <c r="X4614">
        <v>0.99926599999999999</v>
      </c>
      <c r="Y4614">
        <v>0.49328879999999897</v>
      </c>
      <c r="Z4614">
        <v>-6.4646800000000004E-3</v>
      </c>
      <c r="AA4614">
        <v>0.86984159999999899</v>
      </c>
      <c r="AB4614">
        <v>24</v>
      </c>
      <c r="AC4614">
        <v>48.579599999999999</v>
      </c>
      <c r="AD4614">
        <v>-1.153994</v>
      </c>
      <c r="AE4614">
        <v>-24.953006999999999</v>
      </c>
      <c r="AF4614">
        <v>27.031525135645399</v>
      </c>
      <c r="AG4614">
        <v>-1.153994</v>
      </c>
      <c r="AH4614">
        <v>47.426417972857301</v>
      </c>
      <c r="AI4614">
        <v>91.211032136232902</v>
      </c>
      <c r="AJ4614">
        <v>60.318257792151599</v>
      </c>
      <c r="AK4614">
        <v>54.601283639189603</v>
      </c>
    </row>
    <row r="4615" spans="1:37" x14ac:dyDescent="0.2">
      <c r="A4615" t="str">
        <f>"20200111160306122"</f>
        <v>20200111160306122</v>
      </c>
      <c r="B4615" t="str">
        <f>"1578729786117906"</f>
        <v>1578729786117906</v>
      </c>
      <c r="C4615" t="s">
        <v>37</v>
      </c>
      <c r="D4615">
        <v>4.9829160000000003</v>
      </c>
      <c r="E4615">
        <v>0.69590379999999996</v>
      </c>
      <c r="F4615" t="s">
        <v>39</v>
      </c>
      <c r="G4615">
        <v>-312.34160000000003</v>
      </c>
      <c r="H4615">
        <v>-0.05</v>
      </c>
      <c r="I4615">
        <v>-5.8166659999999997</v>
      </c>
      <c r="J4615">
        <v>-360.19799999999998</v>
      </c>
      <c r="K4615">
        <v>1.104001</v>
      </c>
      <c r="L4615">
        <v>18.818179999999899</v>
      </c>
      <c r="M4615">
        <v>0.99897139999999995</v>
      </c>
      <c r="N4615">
        <v>0</v>
      </c>
      <c r="O4615">
        <v>4.2884209999999999E-2</v>
      </c>
      <c r="P4615">
        <v>0.99996830000000003</v>
      </c>
      <c r="Q4615">
        <v>-5.933743E-3</v>
      </c>
      <c r="R4615">
        <v>5.3272689999999999E-3</v>
      </c>
      <c r="S4615">
        <v>3.0091860000000001</v>
      </c>
      <c r="T4615">
        <v>-7.2310689999999997E-2</v>
      </c>
      <c r="U4615">
        <v>-1.5432429999999999</v>
      </c>
      <c r="V4615">
        <v>3.7577920000000001E-2</v>
      </c>
      <c r="W4615">
        <v>8.7391859999999995E-3</v>
      </c>
      <c r="X4615">
        <v>0.99925549999999996</v>
      </c>
      <c r="Y4615">
        <v>0.49395289999999997</v>
      </c>
      <c r="Z4615">
        <v>-6.5608239999999998E-3</v>
      </c>
      <c r="AA4615">
        <v>0.86946389999999996</v>
      </c>
      <c r="AB4615">
        <v>24</v>
      </c>
      <c r="AC4615">
        <v>47.856400000000001</v>
      </c>
      <c r="AD4615">
        <v>-1.1540010000000001</v>
      </c>
      <c r="AE4615">
        <v>-24.634846</v>
      </c>
      <c r="AF4615">
        <v>26.652433577804601</v>
      </c>
      <c r="AG4615">
        <v>-1.1540010000000001</v>
      </c>
      <c r="AH4615">
        <v>46.734321879119399</v>
      </c>
      <c r="AI4615">
        <v>91.228794532428594</v>
      </c>
      <c r="AJ4615">
        <v>60.304026828594502</v>
      </c>
      <c r="AK4615">
        <v>53.812459295486804</v>
      </c>
    </row>
    <row r="4616" spans="1:37" x14ac:dyDescent="0.2">
      <c r="A4616" t="str">
        <f>"20200111160306139"</f>
        <v>20200111160306139</v>
      </c>
      <c r="B4616" t="str">
        <f>"1578729786127667"</f>
        <v>1578729786127667</v>
      </c>
      <c r="C4616" t="s">
        <v>37</v>
      </c>
      <c r="D4616">
        <v>4.9786839999999897</v>
      </c>
      <c r="E4616">
        <v>0.69592600000000004</v>
      </c>
      <c r="F4616" t="s">
        <v>39</v>
      </c>
      <c r="G4616">
        <v>-311.5942</v>
      </c>
      <c r="H4616">
        <v>-0.05</v>
      </c>
      <c r="I4616">
        <v>-6.1620330000000001</v>
      </c>
      <c r="J4616">
        <v>-360.02030000000002</v>
      </c>
      <c r="K4616">
        <v>1.1040019999999999</v>
      </c>
      <c r="L4616">
        <v>18.825009999999999</v>
      </c>
      <c r="M4616">
        <v>0.99900029999999995</v>
      </c>
      <c r="N4616">
        <v>0</v>
      </c>
      <c r="O4616">
        <v>4.2210190000000002E-2</v>
      </c>
      <c r="P4616">
        <v>0.99998099999999901</v>
      </c>
      <c r="Q4616">
        <v>-5.3252259999999997E-3</v>
      </c>
      <c r="R4616">
        <v>3.0839459999999902E-3</v>
      </c>
      <c r="S4616">
        <v>3.0079039999999999</v>
      </c>
      <c r="T4616">
        <v>-7.141662E-2</v>
      </c>
      <c r="U4616">
        <v>-1.5459290000000001</v>
      </c>
      <c r="V4616">
        <v>3.9146390000000003E-2</v>
      </c>
      <c r="W4616">
        <v>9.3404530000000003E-3</v>
      </c>
      <c r="X4616">
        <v>0.99918989999999996</v>
      </c>
      <c r="Y4616">
        <v>0.49413420000000002</v>
      </c>
      <c r="Z4616">
        <v>-6.4678319999999997E-3</v>
      </c>
      <c r="AA4616">
        <v>0.86936159999999996</v>
      </c>
      <c r="AB4616">
        <v>24</v>
      </c>
      <c r="AC4616">
        <v>48.426099999999998</v>
      </c>
      <c r="AD4616">
        <v>-1.154002</v>
      </c>
      <c r="AE4616">
        <v>-24.987043</v>
      </c>
      <c r="AF4616">
        <v>26.996957460206001</v>
      </c>
      <c r="AG4616">
        <v>-1.154002</v>
      </c>
      <c r="AH4616">
        <v>47.306892905947102</v>
      </c>
      <c r="AI4616">
        <v>91.213728954312899</v>
      </c>
      <c r="AJ4616">
        <v>60.287589651179097</v>
      </c>
      <c r="AK4616">
        <v>54.48035929708</v>
      </c>
    </row>
    <row r="4617" spans="1:37" x14ac:dyDescent="0.2">
      <c r="A4617" t="str">
        <f>"20200111160306163"</f>
        <v>20200111160306163</v>
      </c>
      <c r="B4617" t="str">
        <f>"1578729786157923"</f>
        <v>1578729786157923</v>
      </c>
      <c r="C4617" t="s">
        <v>37</v>
      </c>
      <c r="D4617">
        <v>4.9258379999999997</v>
      </c>
      <c r="E4617">
        <v>0.69597959999999903</v>
      </c>
      <c r="F4617" t="s">
        <v>39</v>
      </c>
      <c r="G4617">
        <v>-310.61649999999997</v>
      </c>
      <c r="H4617">
        <v>-0.05</v>
      </c>
      <c r="I4617">
        <v>-6.7063600000000001</v>
      </c>
      <c r="J4617">
        <v>-359.77769999999998</v>
      </c>
      <c r="K4617">
        <v>1.1040080000000001</v>
      </c>
      <c r="L4617">
        <v>18.83417</v>
      </c>
      <c r="M4617">
        <v>0.99903869999999895</v>
      </c>
      <c r="N4617">
        <v>0</v>
      </c>
      <c r="O4617">
        <v>4.1289800000000002E-2</v>
      </c>
      <c r="P4617">
        <v>0.99998449999999905</v>
      </c>
      <c r="Q4617">
        <v>-5.5599569999999999E-3</v>
      </c>
      <c r="R4617">
        <v>5.270963E-4</v>
      </c>
      <c r="S4617">
        <v>3.0045169999999999</v>
      </c>
      <c r="T4617">
        <v>-7.0181250000000001E-2</v>
      </c>
      <c r="U4617">
        <v>-1.5527040000000001</v>
      </c>
      <c r="V4617">
        <v>4.0780070000000002E-2</v>
      </c>
      <c r="W4617">
        <v>9.0967989999999992E-3</v>
      </c>
      <c r="X4617">
        <v>0.99912670000000003</v>
      </c>
      <c r="Y4617">
        <v>0.4952838</v>
      </c>
      <c r="Z4617">
        <v>-6.3515830000000001E-3</v>
      </c>
      <c r="AA4617">
        <v>0.86870800000000004</v>
      </c>
      <c r="AB4617">
        <v>24</v>
      </c>
      <c r="AC4617">
        <v>49.161200000000001</v>
      </c>
      <c r="AD4617">
        <v>-1.1540079999999999</v>
      </c>
      <c r="AE4617">
        <v>-25.54053</v>
      </c>
      <c r="AF4617">
        <v>27.536872297736998</v>
      </c>
      <c r="AG4617">
        <v>-1.1540079999999999</v>
      </c>
      <c r="AH4617">
        <v>48.043742420954501</v>
      </c>
      <c r="AI4617">
        <v>91.1938464957299</v>
      </c>
      <c r="AJ4617">
        <v>60.180281745368298</v>
      </c>
      <c r="AK4617">
        <v>55.387834911801399</v>
      </c>
    </row>
    <row r="4618" spans="1:37" x14ac:dyDescent="0.2">
      <c r="A4618" t="str">
        <f>"20200111160306185"</f>
        <v>20200111160306185</v>
      </c>
      <c r="B4618" t="str">
        <f>"1578729786177754"</f>
        <v>1578729786177754</v>
      </c>
      <c r="C4618" t="s">
        <v>37</v>
      </c>
      <c r="D4618">
        <v>4.8912399999999998</v>
      </c>
      <c r="E4618">
        <v>0.69605550000000005</v>
      </c>
      <c r="F4618" t="s">
        <v>39</v>
      </c>
      <c r="G4618">
        <v>-310.6617</v>
      </c>
      <c r="H4618">
        <v>-0.05</v>
      </c>
      <c r="I4618">
        <v>-6.7154539999999896</v>
      </c>
      <c r="J4618">
        <v>-359.53539999999998</v>
      </c>
      <c r="K4618">
        <v>1.104006</v>
      </c>
      <c r="L4618">
        <v>18.843109999999999</v>
      </c>
      <c r="M4618">
        <v>0.99907630000000003</v>
      </c>
      <c r="N4618">
        <v>0</v>
      </c>
      <c r="O4618">
        <v>4.037031E-2</v>
      </c>
      <c r="P4618">
        <v>0.99997739999999902</v>
      </c>
      <c r="Q4618">
        <v>-6.2062649999999999E-3</v>
      </c>
      <c r="R4618">
        <v>-2.5838710000000002E-3</v>
      </c>
      <c r="S4618">
        <v>3.0004879999999998</v>
      </c>
      <c r="T4618">
        <v>-7.0498110000000003E-2</v>
      </c>
      <c r="U4618">
        <v>-1.5608219999999999</v>
      </c>
      <c r="V4618">
        <v>4.2967709999999999E-2</v>
      </c>
      <c r="W4618">
        <v>8.4402190000000005E-3</v>
      </c>
      <c r="X4618">
        <v>0.99904079999999995</v>
      </c>
      <c r="Y4618">
        <v>0.49680969999999902</v>
      </c>
      <c r="Z4618">
        <v>-6.3805819999999897E-3</v>
      </c>
      <c r="AA4618">
        <v>0.867836099999999</v>
      </c>
      <c r="AB4618">
        <v>24</v>
      </c>
      <c r="AC4618">
        <v>48.8736999999999</v>
      </c>
      <c r="AD4618">
        <v>-1.1540060000000001</v>
      </c>
      <c r="AE4618">
        <v>-25.558564000000001</v>
      </c>
      <c r="AF4618">
        <v>27.498945122189401</v>
      </c>
      <c r="AG4618">
        <v>-1.1540060000000001</v>
      </c>
      <c r="AH4618">
        <v>47.781011405894802</v>
      </c>
      <c r="AI4618">
        <v>91.199185643782897</v>
      </c>
      <c r="AJ4618">
        <v>60.078696649768197</v>
      </c>
      <c r="AK4618">
        <v>55.141171221252399</v>
      </c>
    </row>
    <row r="4619" spans="1:37" x14ac:dyDescent="0.2">
      <c r="A4619" t="str">
        <f>"20200111160306207"</f>
        <v>20200111160306207</v>
      </c>
      <c r="B4619" t="str">
        <f>"1578729786197273"</f>
        <v>1578729786197273</v>
      </c>
      <c r="C4619" t="s">
        <v>37</v>
      </c>
      <c r="D4619">
        <v>4.8699240000000001</v>
      </c>
      <c r="E4619">
        <v>0.69619609999999998</v>
      </c>
      <c r="F4619" t="s">
        <v>39</v>
      </c>
      <c r="G4619">
        <v>-312.13080000000002</v>
      </c>
      <c r="H4619">
        <v>-0.05</v>
      </c>
      <c r="I4619">
        <v>-6.0146179999999996</v>
      </c>
      <c r="J4619">
        <v>-359.30529999999999</v>
      </c>
      <c r="K4619">
        <v>1.1040049999999999</v>
      </c>
      <c r="L4619">
        <v>18.85135</v>
      </c>
      <c r="M4619">
        <v>0.99911149999999904</v>
      </c>
      <c r="N4619">
        <v>0</v>
      </c>
      <c r="O4619">
        <v>3.9495499999999899E-2</v>
      </c>
      <c r="P4619">
        <v>0.99996019999999897</v>
      </c>
      <c r="Q4619">
        <v>-6.4093269999999898E-3</v>
      </c>
      <c r="R4619">
        <v>-6.2098619999999896E-3</v>
      </c>
      <c r="S4619">
        <v>2.995514</v>
      </c>
      <c r="T4619">
        <v>-7.2922109999999998E-2</v>
      </c>
      <c r="U4619">
        <v>-1.57077</v>
      </c>
      <c r="V4619">
        <v>4.5715100000000002E-2</v>
      </c>
      <c r="W4619">
        <v>8.2261269999999997E-3</v>
      </c>
      <c r="X4619">
        <v>0.99892060000000005</v>
      </c>
      <c r="Y4619">
        <v>0.49889319999999998</v>
      </c>
      <c r="Z4619">
        <v>-6.608605E-3</v>
      </c>
      <c r="AA4619">
        <v>0.86663819999999903</v>
      </c>
      <c r="AB4619">
        <v>24</v>
      </c>
      <c r="AC4619">
        <v>47.174499999999902</v>
      </c>
      <c r="AD4619">
        <v>-1.1540049999999999</v>
      </c>
      <c r="AE4619">
        <v>-24.865967999999999</v>
      </c>
      <c r="AF4619">
        <v>26.697441695927601</v>
      </c>
      <c r="AG4619">
        <v>-1.1540049999999999</v>
      </c>
      <c r="AH4619">
        <v>46.133879485854003</v>
      </c>
      <c r="AI4619">
        <v>91.240281081845097</v>
      </c>
      <c r="AJ4619">
        <v>59.942251533657199</v>
      </c>
      <c r="AK4619">
        <v>53.314350385827403</v>
      </c>
    </row>
    <row r="4620" spans="1:37" x14ac:dyDescent="0.2">
      <c r="A4620" t="str">
        <f>"20200111160306229"</f>
        <v>20200111160306229</v>
      </c>
      <c r="B4620" t="str">
        <f>"1578729786217769"</f>
        <v>1578729786217769</v>
      </c>
      <c r="C4620" t="s">
        <v>37</v>
      </c>
      <c r="D4620">
        <v>4.8029539999999997</v>
      </c>
      <c r="E4620">
        <v>0.69634600000000002</v>
      </c>
      <c r="F4620" t="s">
        <v>39</v>
      </c>
      <c r="G4620">
        <v>-312.78370000000001</v>
      </c>
      <c r="H4620">
        <v>-0.05</v>
      </c>
      <c r="I4620">
        <v>-5.7746579999999996</v>
      </c>
      <c r="J4620">
        <v>-359.08629999999999</v>
      </c>
      <c r="K4620">
        <v>1.1040030000000001</v>
      </c>
      <c r="L4620">
        <v>18.85904</v>
      </c>
      <c r="M4620">
        <v>0.99914429999999999</v>
      </c>
      <c r="N4620">
        <v>0</v>
      </c>
      <c r="O4620">
        <v>3.8656389999999999E-2</v>
      </c>
      <c r="P4620">
        <v>0.99992440000000005</v>
      </c>
      <c r="Q4620">
        <v>-5.7793840000000003E-3</v>
      </c>
      <c r="R4620">
        <v>-1.0872100000000001E-2</v>
      </c>
      <c r="S4620">
        <v>2.9898069999999999</v>
      </c>
      <c r="T4620">
        <v>-7.4164510000000003E-2</v>
      </c>
      <c r="U4620">
        <v>-1.5826420000000001</v>
      </c>
      <c r="V4620">
        <v>4.95342E-2</v>
      </c>
      <c r="W4620">
        <v>8.8421790000000004E-3</v>
      </c>
      <c r="X4620">
        <v>0.99873330000000005</v>
      </c>
      <c r="Y4620">
        <v>0.50153059999999905</v>
      </c>
      <c r="Z4620">
        <v>-6.737771E-3</v>
      </c>
      <c r="AA4620">
        <v>0.86511369999999899</v>
      </c>
      <c r="AB4620">
        <v>24</v>
      </c>
      <c r="AC4620">
        <v>46.302599999999899</v>
      </c>
      <c r="AD4620">
        <v>-1.1540029999999999</v>
      </c>
      <c r="AE4620">
        <v>-24.633697999999999</v>
      </c>
      <c r="AF4620">
        <v>26.392589412979301</v>
      </c>
      <c r="AG4620">
        <v>-1.1540029999999999</v>
      </c>
      <c r="AH4620">
        <v>45.293703260849</v>
      </c>
      <c r="AI4620">
        <v>91.261084210084107</v>
      </c>
      <c r="AJ4620">
        <v>59.770693393901801</v>
      </c>
      <c r="AK4620">
        <v>52.434912548110198</v>
      </c>
    </row>
    <row r="4621" spans="1:37" x14ac:dyDescent="0.2">
      <c r="A4621" t="str">
        <f>"20200111160306252"</f>
        <v>20200111160306252</v>
      </c>
      <c r="B4621" t="str">
        <f>"1578729786248026"</f>
        <v>1578729786248026</v>
      </c>
      <c r="C4621" t="s">
        <v>37</v>
      </c>
      <c r="D4621">
        <v>5.2435199999999904</v>
      </c>
      <c r="E4621">
        <v>0.64245269999999899</v>
      </c>
      <c r="F4621" t="s">
        <v>39</v>
      </c>
      <c r="G4621">
        <v>-312.08760000000001</v>
      </c>
      <c r="H4621">
        <v>-0.05</v>
      </c>
      <c r="I4621">
        <v>-6.3194269999999904</v>
      </c>
      <c r="J4621">
        <v>-358.83550000000002</v>
      </c>
      <c r="K4621">
        <v>1.1039729999999901</v>
      </c>
      <c r="L4621">
        <v>18.867550000000001</v>
      </c>
      <c r="M4621">
        <v>0.99918030000000002</v>
      </c>
      <c r="N4621">
        <v>0</v>
      </c>
      <c r="O4621">
        <v>3.7729770000000003E-2</v>
      </c>
      <c r="P4621">
        <v>0.99986149999999996</v>
      </c>
      <c r="Q4621">
        <v>-5.773673E-3</v>
      </c>
      <c r="R4621">
        <v>-1.561275E-2</v>
      </c>
      <c r="S4621">
        <v>2.9823909999999998</v>
      </c>
      <c r="T4621">
        <v>-7.3229429999999998E-2</v>
      </c>
      <c r="U4621">
        <v>-1.5977479999999999</v>
      </c>
      <c r="V4621">
        <v>5.3343330000000001E-2</v>
      </c>
      <c r="W4621">
        <v>8.8073709999999996E-3</v>
      </c>
      <c r="X4621">
        <v>0.99853740000000002</v>
      </c>
      <c r="Y4621">
        <v>0.50502749999999996</v>
      </c>
      <c r="Z4621">
        <v>-6.6788459999999996E-3</v>
      </c>
      <c r="AA4621">
        <v>0.86307739999999999</v>
      </c>
      <c r="AB4621">
        <v>23</v>
      </c>
      <c r="AC4621">
        <v>46.747900000000001</v>
      </c>
      <c r="AD4621">
        <v>-1.1539729999999999</v>
      </c>
      <c r="AE4621">
        <v>-25.186976999999999</v>
      </c>
      <c r="AF4621">
        <v>26.920303429294101</v>
      </c>
      <c r="AG4621">
        <v>-1.1539729999999999</v>
      </c>
      <c r="AH4621">
        <v>45.742603841329199</v>
      </c>
      <c r="AI4621">
        <v>91.245516869739205</v>
      </c>
      <c r="AJ4621">
        <v>59.522462037921997</v>
      </c>
      <c r="AK4621">
        <v>53.0887953959664</v>
      </c>
    </row>
    <row r="4622" spans="1:37" x14ac:dyDescent="0.2">
      <c r="A4622" t="str">
        <f>"20200111160306274"</f>
        <v>20200111160306274</v>
      </c>
      <c r="B4622" t="str">
        <f>"1578729786267546"</f>
        <v>1578729786267546</v>
      </c>
      <c r="C4622" t="s">
        <v>37</v>
      </c>
      <c r="D4622">
        <v>4.9277550000000003</v>
      </c>
      <c r="E4622">
        <v>0.57167730000000005</v>
      </c>
      <c r="F4622" t="s">
        <v>38</v>
      </c>
      <c r="G4622">
        <v>-336.58350000000002</v>
      </c>
      <c r="H4622" s="1">
        <v>-3.6853699999999999E-6</v>
      </c>
      <c r="I4622">
        <v>10.08259</v>
      </c>
      <c r="J4622">
        <v>-358.60090000000002</v>
      </c>
      <c r="K4622">
        <v>1.1039099999999999</v>
      </c>
      <c r="L4622">
        <v>18.87518</v>
      </c>
      <c r="M4622">
        <v>0.99920589999999998</v>
      </c>
      <c r="N4622">
        <v>0</v>
      </c>
      <c r="O4622">
        <v>3.710041E-2</v>
      </c>
      <c r="P4622">
        <v>0.99977959999999999</v>
      </c>
      <c r="Q4622">
        <v>-6.4062269999999996E-3</v>
      </c>
      <c r="R4622">
        <v>-2.0000589999999999E-2</v>
      </c>
      <c r="S4622">
        <v>2.9811709999999998</v>
      </c>
      <c r="T4622">
        <v>-0.14790339999999999</v>
      </c>
      <c r="U4622">
        <v>-1.176941</v>
      </c>
      <c r="V4622">
        <v>5.7094880000000001E-2</v>
      </c>
      <c r="W4622">
        <v>8.0234799999999995E-3</v>
      </c>
      <c r="X4622">
        <v>0.99833649999999996</v>
      </c>
      <c r="Y4622">
        <v>0.40100190000000002</v>
      </c>
      <c r="Z4622">
        <v>-1.135809E-2</v>
      </c>
      <c r="AA4622">
        <v>0.91600680000000001</v>
      </c>
      <c r="AB4622">
        <v>23</v>
      </c>
      <c r="AC4622">
        <v>22.017399999999999</v>
      </c>
      <c r="AD4622">
        <v>-1.10391368537</v>
      </c>
      <c r="AE4622">
        <v>-8.7925899999999899</v>
      </c>
      <c r="AF4622">
        <v>9.5827001388288799</v>
      </c>
      <c r="AG4622">
        <v>-1.10391368537</v>
      </c>
      <c r="AH4622">
        <v>21.629101975198701</v>
      </c>
      <c r="AI4622">
        <v>92.671689878256203</v>
      </c>
      <c r="AJ4622">
        <v>66.104425372455395</v>
      </c>
      <c r="AK4622">
        <v>23.6825847328581</v>
      </c>
    </row>
    <row r="4623" spans="1:37" x14ac:dyDescent="0.2">
      <c r="A4623" t="str">
        <f>"20200111160306296"</f>
        <v>20200111160306296</v>
      </c>
      <c r="B4623" t="str">
        <f>"1578729786288042"</f>
        <v>1578729786288042</v>
      </c>
      <c r="C4623" t="s">
        <v>37</v>
      </c>
      <c r="D4623">
        <v>4.7843470000000003</v>
      </c>
      <c r="E4623">
        <v>0.5485179</v>
      </c>
      <c r="F4623" t="s">
        <v>38</v>
      </c>
      <c r="G4623">
        <v>-347.21300000000002</v>
      </c>
      <c r="H4623" s="1">
        <v>-1.7571549999999999E-6</v>
      </c>
      <c r="I4623">
        <v>16.524460000000001</v>
      </c>
      <c r="J4623">
        <v>-358.36829999999998</v>
      </c>
      <c r="K4623">
        <v>1.1039600000000001</v>
      </c>
      <c r="L4623">
        <v>18.882539999999999</v>
      </c>
      <c r="M4623">
        <v>0.99924590000000002</v>
      </c>
      <c r="N4623">
        <v>0</v>
      </c>
      <c r="O4623">
        <v>3.5995119999999999E-2</v>
      </c>
      <c r="P4623">
        <v>0.99961009999999995</v>
      </c>
      <c r="Q4623">
        <v>-7.8559279999999999E-3</v>
      </c>
      <c r="R4623">
        <v>-2.6798450000000001E-2</v>
      </c>
      <c r="S4623">
        <v>2.9865110000000001</v>
      </c>
      <c r="T4623">
        <v>-0.28950149999999902</v>
      </c>
      <c r="U4623">
        <v>-0.61645509999999903</v>
      </c>
      <c r="V4623">
        <v>6.2774269999999993E-2</v>
      </c>
      <c r="W4623">
        <v>6.59872699999999E-3</v>
      </c>
      <c r="X4623">
        <v>0.9980059</v>
      </c>
      <c r="Y4623">
        <v>0.23605079999999901</v>
      </c>
      <c r="Z4623">
        <v>-1.4743940000000001E-2</v>
      </c>
      <c r="AA4623">
        <v>0.97162879999999996</v>
      </c>
      <c r="AB4623">
        <v>23</v>
      </c>
      <c r="AC4623">
        <v>11.155299999999899</v>
      </c>
      <c r="AD4623">
        <v>-1.103961757155</v>
      </c>
      <c r="AE4623">
        <v>-2.35807999999999</v>
      </c>
      <c r="AF4623">
        <v>2.7325138062323999</v>
      </c>
      <c r="AG4623">
        <v>-1.103961757155</v>
      </c>
      <c r="AH4623">
        <v>10.9604296016572</v>
      </c>
      <c r="AI4623">
        <v>95.581851955036498</v>
      </c>
      <c r="AJ4623">
        <v>76.001123188750498</v>
      </c>
      <c r="AK4623">
        <v>11.349730407168</v>
      </c>
    </row>
    <row r="4624" spans="1:37" x14ac:dyDescent="0.2">
      <c r="A4624" t="str">
        <f>"20200111160306330"</f>
        <v>20200111160306330</v>
      </c>
      <c r="B4624" t="str">
        <f>"1578729786317321"</f>
        <v>1578729786317321</v>
      </c>
      <c r="C4624" t="s">
        <v>37</v>
      </c>
      <c r="D4624">
        <v>4.692488</v>
      </c>
      <c r="E4624">
        <v>0.53117329999999996</v>
      </c>
      <c r="F4624" t="s">
        <v>42</v>
      </c>
      <c r="G4624">
        <v>-357.51900000000001</v>
      </c>
      <c r="H4624">
        <v>1.023795</v>
      </c>
      <c r="I4624">
        <v>18.753799999999998</v>
      </c>
      <c r="J4624">
        <v>-358.03829999999999</v>
      </c>
      <c r="K4624">
        <v>1.103988</v>
      </c>
      <c r="L4624">
        <v>18.892669999999999</v>
      </c>
      <c r="M4624">
        <v>0.99931780000000003</v>
      </c>
      <c r="N4624">
        <v>0</v>
      </c>
      <c r="O4624">
        <v>3.3894630000000002E-2</v>
      </c>
      <c r="P4624">
        <v>0.99935620000000003</v>
      </c>
      <c r="Q4624">
        <v>-1.050541E-2</v>
      </c>
      <c r="R4624">
        <v>-3.430391E-2</v>
      </c>
      <c r="S4624">
        <v>2.9867859999999999</v>
      </c>
      <c r="T4624">
        <v>-0.28190900000000002</v>
      </c>
      <c r="U4624">
        <v>-0.45236209999999999</v>
      </c>
      <c r="V4624">
        <v>6.8165119999999996E-2</v>
      </c>
      <c r="W4624">
        <v>4.0576980000000002E-3</v>
      </c>
      <c r="X4624">
        <v>0.99766580000000005</v>
      </c>
      <c r="Y4624">
        <v>0.1822365</v>
      </c>
      <c r="Z4624">
        <v>-1.170882E-2</v>
      </c>
      <c r="AA4624">
        <v>0.98318499999999998</v>
      </c>
      <c r="AB4624">
        <v>23</v>
      </c>
      <c r="AC4624">
        <v>0.51929999999998699</v>
      </c>
      <c r="AD4624">
        <v>-8.0192999999999903E-2</v>
      </c>
      <c r="AE4624">
        <v>-0.13887000000000399</v>
      </c>
      <c r="AF4624">
        <v>0.15298871008583101</v>
      </c>
      <c r="AG4624">
        <v>-8.0192999999999903E-2</v>
      </c>
      <c r="AH4624">
        <v>0.50309736890658596</v>
      </c>
      <c r="AI4624">
        <v>98.670982860698899</v>
      </c>
      <c r="AJ4624">
        <v>73.085817033217097</v>
      </c>
      <c r="AK4624">
        <v>0.53192426647358004</v>
      </c>
    </row>
    <row r="4625" spans="1:37" x14ac:dyDescent="0.2">
      <c r="A4625" t="str">
        <f>"20200111160306352"</f>
        <v>20200111160306352</v>
      </c>
      <c r="B4625" t="str">
        <f>"1578729786347579"</f>
        <v>1578729786347579</v>
      </c>
      <c r="C4625" t="s">
        <v>37</v>
      </c>
      <c r="D4625">
        <v>4.6365099999999897</v>
      </c>
      <c r="E4625">
        <v>0.52505930000000001</v>
      </c>
      <c r="F4625" t="s">
        <v>42</v>
      </c>
      <c r="G4625">
        <v>-357.31180000000001</v>
      </c>
      <c r="H4625">
        <v>1.031817</v>
      </c>
      <c r="I4625">
        <v>18.810669999999998</v>
      </c>
      <c r="J4625">
        <v>-357.8057</v>
      </c>
      <c r="K4625">
        <v>1.1037999999999999</v>
      </c>
      <c r="L4625">
        <v>18.899349999999998</v>
      </c>
      <c r="M4625">
        <v>0.99936209999999903</v>
      </c>
      <c r="N4625">
        <v>0</v>
      </c>
      <c r="O4625">
        <v>3.258225E-2</v>
      </c>
      <c r="P4625">
        <v>0.99919190000000002</v>
      </c>
      <c r="Q4625">
        <v>-1.162586E-2</v>
      </c>
      <c r="R4625">
        <v>-3.8477579999999997E-2</v>
      </c>
      <c r="S4625">
        <v>2.9873050000000001</v>
      </c>
      <c r="T4625">
        <v>-0.2965314</v>
      </c>
      <c r="U4625">
        <v>-0.33584589999999998</v>
      </c>
      <c r="V4625">
        <v>7.1020390000000003E-2</v>
      </c>
      <c r="W4625">
        <v>2.8670429999999901E-3</v>
      </c>
      <c r="X4625">
        <v>0.99747070000000004</v>
      </c>
      <c r="Y4625">
        <v>0.14318910000000001</v>
      </c>
      <c r="Z4625">
        <v>-1.028487E-2</v>
      </c>
      <c r="AA4625">
        <v>0.98964189999999996</v>
      </c>
      <c r="AB4625">
        <v>23</v>
      </c>
      <c r="AC4625">
        <v>0.49389999999999601</v>
      </c>
      <c r="AD4625">
        <v>-7.1982999999999894E-2</v>
      </c>
      <c r="AE4625">
        <v>-8.8679999999996498E-2</v>
      </c>
      <c r="AF4625">
        <v>0.102615386764996</v>
      </c>
      <c r="AG4625">
        <v>-7.1982999999999894E-2</v>
      </c>
      <c r="AH4625">
        <v>0.480853045069008</v>
      </c>
      <c r="AI4625">
        <v>98.329047563740303</v>
      </c>
      <c r="AJ4625">
        <v>77.953617956425006</v>
      </c>
      <c r="AK4625">
        <v>0.496921644569913</v>
      </c>
    </row>
    <row r="4626" spans="1:37" x14ac:dyDescent="0.2">
      <c r="A4626" t="str">
        <f>"20200111160306374"</f>
        <v>20200111160306374</v>
      </c>
      <c r="B4626" t="str">
        <f>"1578729786368073"</f>
        <v>1578729786368073</v>
      </c>
      <c r="C4626" t="s">
        <v>37</v>
      </c>
      <c r="D4626">
        <v>4.6524169999999998</v>
      </c>
      <c r="E4626">
        <v>0.52295209999999903</v>
      </c>
      <c r="F4626" t="s">
        <v>42</v>
      </c>
      <c r="G4626">
        <v>-356.9051</v>
      </c>
      <c r="H4626">
        <v>1.015617</v>
      </c>
      <c r="I4626">
        <v>18.808710000000001</v>
      </c>
      <c r="J4626">
        <v>-357.56400000000002</v>
      </c>
      <c r="K4626">
        <v>1.1035549999999901</v>
      </c>
      <c r="L4626">
        <v>18.905639999999998</v>
      </c>
      <c r="M4626">
        <v>0.99940130000000005</v>
      </c>
      <c r="N4626">
        <v>0</v>
      </c>
      <c r="O4626">
        <v>3.1392700000000003E-2</v>
      </c>
      <c r="P4626">
        <v>0.99904899999999996</v>
      </c>
      <c r="Q4626">
        <v>-1.132591E-2</v>
      </c>
      <c r="R4626">
        <v>-4.210829E-2</v>
      </c>
      <c r="S4626">
        <v>2.9874879999999999</v>
      </c>
      <c r="T4626">
        <v>-0.29242560000000001</v>
      </c>
      <c r="U4626">
        <v>-0.3000488</v>
      </c>
      <c r="V4626">
        <v>7.3459389999999999E-2</v>
      </c>
      <c r="W4626">
        <v>3.0515779999999901E-3</v>
      </c>
      <c r="X4626">
        <v>0.99729349999999894</v>
      </c>
      <c r="Y4626">
        <v>0.1303561</v>
      </c>
      <c r="Z4626">
        <v>-9.407795E-3</v>
      </c>
      <c r="AA4626">
        <v>0.99142260000000004</v>
      </c>
      <c r="AB4626">
        <v>23</v>
      </c>
      <c r="AC4626">
        <v>0.65890000000001603</v>
      </c>
      <c r="AD4626">
        <v>-8.7937999999999794E-2</v>
      </c>
      <c r="AE4626">
        <v>-9.6929999999996797E-2</v>
      </c>
      <c r="AF4626">
        <v>0.11555439151835099</v>
      </c>
      <c r="AG4626">
        <v>-8.7937999999999794E-2</v>
      </c>
      <c r="AH4626">
        <v>0.644298770499527</v>
      </c>
      <c r="AI4626">
        <v>97.651465339818202</v>
      </c>
      <c r="AJ4626">
        <v>79.832154926167604</v>
      </c>
      <c r="AK4626">
        <v>0.66045954827709097</v>
      </c>
    </row>
    <row r="4627" spans="1:37" x14ac:dyDescent="0.2">
      <c r="A4627" t="str">
        <f>"20200111160306397"</f>
        <v>20200111160306397</v>
      </c>
      <c r="B4627" t="str">
        <f>"1578729786387593"</f>
        <v>1578729786387593</v>
      </c>
      <c r="C4627" t="s">
        <v>37</v>
      </c>
      <c r="D4627">
        <v>4.6546649999999996</v>
      </c>
      <c r="E4627">
        <v>0.52129040000000004</v>
      </c>
      <c r="F4627" t="s">
        <v>42</v>
      </c>
      <c r="G4627">
        <v>-356.6968</v>
      </c>
      <c r="H4627">
        <v>1.01976</v>
      </c>
      <c r="I4627">
        <v>18.819870000000002</v>
      </c>
      <c r="J4627">
        <v>-357.33510000000001</v>
      </c>
      <c r="K4627">
        <v>1.103391</v>
      </c>
      <c r="L4627">
        <v>18.911100000000001</v>
      </c>
      <c r="M4627">
        <v>0.99943879999999996</v>
      </c>
      <c r="N4627">
        <v>0</v>
      </c>
      <c r="O4627">
        <v>3.0193629999999999E-2</v>
      </c>
      <c r="P4627">
        <v>0.99892119999999995</v>
      </c>
      <c r="Q4627">
        <v>-1.126825E-2</v>
      </c>
      <c r="R4627">
        <v>-4.5052450000000001E-2</v>
      </c>
      <c r="S4627">
        <v>2.9871829999999999</v>
      </c>
      <c r="T4627">
        <v>-0.2885529</v>
      </c>
      <c r="U4627">
        <v>-0.29446409999999901</v>
      </c>
      <c r="V4627">
        <v>7.5202790000000005E-2</v>
      </c>
      <c r="W4627">
        <v>3.0387040000000001E-3</v>
      </c>
      <c r="X4627">
        <v>0.99716369999999899</v>
      </c>
      <c r="Y4627">
        <v>0.12737989999999999</v>
      </c>
      <c r="Z4627">
        <v>-9.0271409999999903E-3</v>
      </c>
      <c r="AA4627">
        <v>0.9918129</v>
      </c>
      <c r="AB4627">
        <v>23</v>
      </c>
      <c r="AC4627">
        <v>0.63830000000001497</v>
      </c>
      <c r="AD4627">
        <v>-8.3630999999999997E-2</v>
      </c>
      <c r="AE4627">
        <v>-9.1229999999999395E-2</v>
      </c>
      <c r="AF4627">
        <v>0.108635448429165</v>
      </c>
      <c r="AG4627">
        <v>-8.3630999999999997E-2</v>
      </c>
      <c r="AH4627">
        <v>0.62474401648256295</v>
      </c>
      <c r="AI4627">
        <v>97.513114681726293</v>
      </c>
      <c r="AJ4627">
        <v>80.135589304775195</v>
      </c>
      <c r="AK4627">
        <v>0.63960995219521899</v>
      </c>
    </row>
    <row r="4628" spans="1:37" x14ac:dyDescent="0.2">
      <c r="A4628" t="str">
        <f>"20200111160306417"</f>
        <v>20200111160306417</v>
      </c>
      <c r="B4628" t="str">
        <f>"1578729786408090"</f>
        <v>1578729786408090</v>
      </c>
      <c r="C4628" t="s">
        <v>37</v>
      </c>
      <c r="D4628">
        <v>4.616962</v>
      </c>
      <c r="E4628">
        <v>0.52006289999999999</v>
      </c>
      <c r="F4628" t="s">
        <v>42</v>
      </c>
      <c r="G4628">
        <v>-356.48970000000003</v>
      </c>
      <c r="H4628">
        <v>1.0221260000000001</v>
      </c>
      <c r="I4628">
        <v>18.82863</v>
      </c>
      <c r="J4628">
        <v>-357.11430000000001</v>
      </c>
      <c r="K4628">
        <v>1.1032879999999901</v>
      </c>
      <c r="L4628">
        <v>18.91592</v>
      </c>
      <c r="M4628">
        <v>0.99948090000000001</v>
      </c>
      <c r="N4628">
        <v>0</v>
      </c>
      <c r="O4628">
        <v>2.876548E-2</v>
      </c>
      <c r="P4628">
        <v>0.99879810000000002</v>
      </c>
      <c r="Q4628">
        <v>-1.041577E-2</v>
      </c>
      <c r="R4628">
        <v>-4.7897509999999997E-2</v>
      </c>
      <c r="S4628">
        <v>2.9868769999999998</v>
      </c>
      <c r="T4628">
        <v>-0.28696869999999902</v>
      </c>
      <c r="U4628">
        <v>-0.29031370000000001</v>
      </c>
      <c r="V4628">
        <v>7.6621049999999996E-2</v>
      </c>
      <c r="W4628">
        <v>3.8664889999999999E-3</v>
      </c>
      <c r="X4628">
        <v>0.99705279999999996</v>
      </c>
      <c r="Y4628">
        <v>0.1246338</v>
      </c>
      <c r="Z4628">
        <v>-8.7113539999999993E-3</v>
      </c>
      <c r="AA4628">
        <v>0.99216459999999995</v>
      </c>
      <c r="AB4628">
        <v>23</v>
      </c>
      <c r="AC4628">
        <v>0.62459999999998606</v>
      </c>
      <c r="AD4628">
        <v>-8.1161999999999707E-2</v>
      </c>
      <c r="AE4628">
        <v>-8.7289999999999396E-2</v>
      </c>
      <c r="AF4628">
        <v>0.103508420410668</v>
      </c>
      <c r="AG4628">
        <v>-8.1161999999999707E-2</v>
      </c>
      <c r="AH4628">
        <v>0.61169958014051895</v>
      </c>
      <c r="AI4628">
        <v>97.453279937253001</v>
      </c>
      <c r="AJ4628">
        <v>80.395703709448497</v>
      </c>
      <c r="AK4628">
        <v>0.62568173993173204</v>
      </c>
    </row>
    <row r="4629" spans="1:37" x14ac:dyDescent="0.2">
      <c r="A4629" t="str">
        <f>"20200111160306440"</f>
        <v>20200111160306440</v>
      </c>
      <c r="B4629" t="str">
        <f>"1578729786437370"</f>
        <v>1578729786437370</v>
      </c>
      <c r="C4629" t="s">
        <v>37</v>
      </c>
      <c r="D4629">
        <v>4.6288049999999998</v>
      </c>
      <c r="E4629">
        <v>0.51830829999999894</v>
      </c>
      <c r="F4629" t="s">
        <v>42</v>
      </c>
      <c r="G4629">
        <v>-356.28300000000002</v>
      </c>
      <c r="H4629">
        <v>1.0242089999999999</v>
      </c>
      <c r="I4629">
        <v>18.835360000000001</v>
      </c>
      <c r="J4629">
        <v>-356.88549999999998</v>
      </c>
      <c r="K4629">
        <v>1.103221</v>
      </c>
      <c r="L4629">
        <v>18.920439999999999</v>
      </c>
      <c r="M4629">
        <v>0.99953150000000002</v>
      </c>
      <c r="N4629">
        <v>0</v>
      </c>
      <c r="O4629">
        <v>2.6944369999999999E-2</v>
      </c>
      <c r="P4629">
        <v>0.99866929999999998</v>
      </c>
      <c r="Q4629">
        <v>-9.9425910000000006E-3</v>
      </c>
      <c r="R4629">
        <v>-5.0606909999999998E-2</v>
      </c>
      <c r="S4629">
        <v>2.9868160000000001</v>
      </c>
      <c r="T4629">
        <v>-0.28404069999999998</v>
      </c>
      <c r="U4629">
        <v>-0.2892151</v>
      </c>
      <c r="V4629">
        <v>7.7511269999999993E-2</v>
      </c>
      <c r="W4629">
        <v>4.3323529999999997E-3</v>
      </c>
      <c r="X4629">
        <v>0.99698199999999904</v>
      </c>
      <c r="Y4629">
        <v>0.1224981</v>
      </c>
      <c r="Z4629">
        <v>-8.3496260000000006E-3</v>
      </c>
      <c r="AA4629">
        <v>0.99243359999999903</v>
      </c>
      <c r="AB4629">
        <v>23</v>
      </c>
      <c r="AC4629">
        <v>0.60249999999996295</v>
      </c>
      <c r="AD4629">
        <v>-7.9011999999999999E-2</v>
      </c>
      <c r="AE4629">
        <v>-8.5079999999997796E-2</v>
      </c>
      <c r="AF4629">
        <v>9.9605299859178903E-2</v>
      </c>
      <c r="AG4629">
        <v>-7.9011999999999999E-2</v>
      </c>
      <c r="AH4629">
        <v>0.59003956624149101</v>
      </c>
      <c r="AI4629">
        <v>97.521905788494294</v>
      </c>
      <c r="AJ4629">
        <v>80.418166508567793</v>
      </c>
      <c r="AK4629">
        <v>0.60358164454734997</v>
      </c>
    </row>
    <row r="4630" spans="1:37" x14ac:dyDescent="0.2">
      <c r="A4630" t="str">
        <f>"20200111160306463"</f>
        <v>20200111160306463</v>
      </c>
      <c r="B4630" t="str">
        <f>"1578729786457865"</f>
        <v>1578729786457865</v>
      </c>
      <c r="C4630" t="s">
        <v>37</v>
      </c>
      <c r="D4630">
        <v>4.647767</v>
      </c>
      <c r="E4630">
        <v>0.51724820000000005</v>
      </c>
      <c r="F4630" t="s">
        <v>42</v>
      </c>
      <c r="G4630">
        <v>-356.0763</v>
      </c>
      <c r="H4630">
        <v>1.02685</v>
      </c>
      <c r="I4630">
        <v>18.843260000000001</v>
      </c>
      <c r="J4630">
        <v>-356.64229999999998</v>
      </c>
      <c r="K4630">
        <v>1.103127</v>
      </c>
      <c r="L4630">
        <v>18.92465</v>
      </c>
      <c r="M4630">
        <v>0.9995889</v>
      </c>
      <c r="N4630">
        <v>0</v>
      </c>
      <c r="O4630">
        <v>2.4716709999999999E-2</v>
      </c>
      <c r="P4630">
        <v>0.99853959999999997</v>
      </c>
      <c r="Q4630">
        <v>-9.3317119999999903E-3</v>
      </c>
      <c r="R4630">
        <v>-5.3211219999999997E-2</v>
      </c>
      <c r="S4630">
        <v>2.9868160000000001</v>
      </c>
      <c r="T4630">
        <v>-0.28164450000000002</v>
      </c>
      <c r="U4630">
        <v>-0.28359990000000002</v>
      </c>
      <c r="V4630">
        <v>7.7893030000000002E-2</v>
      </c>
      <c r="W4630">
        <v>4.9317320000000003E-3</v>
      </c>
      <c r="X4630">
        <v>0.99694959999999899</v>
      </c>
      <c r="Y4630">
        <v>0.11847529999999901</v>
      </c>
      <c r="Z4630">
        <v>-7.8821680000000002E-3</v>
      </c>
      <c r="AA4630">
        <v>0.99292569999999902</v>
      </c>
      <c r="AB4630">
        <v>23</v>
      </c>
      <c r="AC4630">
        <v>0.56599999999997397</v>
      </c>
      <c r="AD4630">
        <v>-7.62769999999999E-2</v>
      </c>
      <c r="AE4630">
        <v>-8.1389999999998894E-2</v>
      </c>
      <c r="AF4630">
        <v>9.3689189843359E-2</v>
      </c>
      <c r="AG4630">
        <v>-7.62769999999999E-2</v>
      </c>
      <c r="AH4630">
        <v>0.55395819221229203</v>
      </c>
      <c r="AI4630">
        <v>97.7315729907655</v>
      </c>
      <c r="AJ4630">
        <v>80.400585735710095</v>
      </c>
      <c r="AK4630">
        <v>0.56697929745416298</v>
      </c>
    </row>
    <row r="4631" spans="1:37" x14ac:dyDescent="0.2">
      <c r="A4631" t="str">
        <f>"20200111160306487"</f>
        <v>20200111160306487</v>
      </c>
      <c r="B4631" t="str">
        <f>"1578729786477385"</f>
        <v>1578729786477385</v>
      </c>
      <c r="C4631" t="s">
        <v>37</v>
      </c>
      <c r="D4631">
        <v>4.619694</v>
      </c>
      <c r="E4631">
        <v>0.51627829999999997</v>
      </c>
      <c r="F4631" t="s">
        <v>42</v>
      </c>
      <c r="G4631">
        <v>-355.86930000000001</v>
      </c>
      <c r="H4631">
        <v>1.0308820000000001</v>
      </c>
      <c r="I4631">
        <v>18.85117</v>
      </c>
      <c r="J4631">
        <v>-356.40940000000001</v>
      </c>
      <c r="K4631">
        <v>1.1029929999999999</v>
      </c>
      <c r="L4631">
        <v>18.927979999999899</v>
      </c>
      <c r="M4631">
        <v>0.99964330000000001</v>
      </c>
      <c r="N4631">
        <v>0</v>
      </c>
      <c r="O4631">
        <v>2.2405560000000001E-2</v>
      </c>
      <c r="P4631">
        <v>0.99837260000000005</v>
      </c>
      <c r="Q4631">
        <v>-1.066718E-2</v>
      </c>
      <c r="R4631">
        <v>-5.6024060000000001E-2</v>
      </c>
      <c r="S4631">
        <v>2.9867249999999999</v>
      </c>
      <c r="T4631">
        <v>-0.27892889999999998</v>
      </c>
      <c r="U4631">
        <v>-0.28301999999999999</v>
      </c>
      <c r="V4631">
        <v>7.8393610000000002E-2</v>
      </c>
      <c r="W4631">
        <v>3.5751419999999999E-3</v>
      </c>
      <c r="X4631">
        <v>0.99691609999999997</v>
      </c>
      <c r="Y4631">
        <v>0.11602369999999999</v>
      </c>
      <c r="Z4631">
        <v>-7.4778429999999996E-3</v>
      </c>
      <c r="AA4631">
        <v>0.9932183</v>
      </c>
      <c r="AB4631">
        <v>23</v>
      </c>
      <c r="AC4631">
        <v>0.54009999999999503</v>
      </c>
      <c r="AD4631">
        <v>-7.2110999999999995E-2</v>
      </c>
      <c r="AE4631">
        <v>-7.6809999999998199E-2</v>
      </c>
      <c r="AF4631">
        <v>8.7366707484469494E-2</v>
      </c>
      <c r="AG4631">
        <v>-7.2110999999999995E-2</v>
      </c>
      <c r="AH4631">
        <v>0.52900019919802099</v>
      </c>
      <c r="AI4631">
        <v>97.659959292484103</v>
      </c>
      <c r="AJ4631">
        <v>80.622003428449403</v>
      </c>
      <c r="AK4631">
        <v>0.54099366784577396</v>
      </c>
    </row>
    <row r="4632" spans="1:37" x14ac:dyDescent="0.2">
      <c r="A4632" t="str">
        <f>"20200111160306507"</f>
        <v>20200111160306507</v>
      </c>
      <c r="B4632" t="str">
        <f>"1578729786497882"</f>
        <v>1578729786497882</v>
      </c>
      <c r="C4632" t="s">
        <v>37</v>
      </c>
      <c r="D4632">
        <v>4.6351399999999998</v>
      </c>
      <c r="E4632">
        <v>0.51545779999999997</v>
      </c>
      <c r="F4632" t="s">
        <v>42</v>
      </c>
      <c r="G4632">
        <v>-355.66379999999998</v>
      </c>
      <c r="H4632">
        <v>1.032375</v>
      </c>
      <c r="I4632">
        <v>18.85699</v>
      </c>
      <c r="J4632">
        <v>-356.19439999999997</v>
      </c>
      <c r="K4632">
        <v>1.1028519999999999</v>
      </c>
      <c r="L4632">
        <v>18.930329999999898</v>
      </c>
      <c r="M4632">
        <v>0.99969079999999999</v>
      </c>
      <c r="N4632">
        <v>0</v>
      </c>
      <c r="O4632">
        <v>2.0156650000000002E-2</v>
      </c>
      <c r="P4632">
        <v>0.99823300000000004</v>
      </c>
      <c r="Q4632">
        <v>-1.292306E-2</v>
      </c>
      <c r="R4632">
        <v>-5.7996939999999997E-2</v>
      </c>
      <c r="S4632">
        <v>2.9860229999999999</v>
      </c>
      <c r="T4632">
        <v>-0.28257539999999998</v>
      </c>
      <c r="U4632">
        <v>-0.28341669999999902</v>
      </c>
      <c r="V4632">
        <v>7.8113790000000002E-2</v>
      </c>
      <c r="W4632">
        <v>1.30159E-3</v>
      </c>
      <c r="X4632">
        <v>0.99694359999999904</v>
      </c>
      <c r="Y4632">
        <v>0.11394509999999999</v>
      </c>
      <c r="Z4632">
        <v>-7.2670130000000001E-3</v>
      </c>
      <c r="AA4632">
        <v>0.99346049999999997</v>
      </c>
      <c r="AB4632">
        <v>23</v>
      </c>
      <c r="AC4632">
        <v>0.53059999999999197</v>
      </c>
      <c r="AD4632">
        <v>-7.0476999999999901E-2</v>
      </c>
      <c r="AE4632">
        <v>-7.3339999999998101E-2</v>
      </c>
      <c r="AF4632">
        <v>8.25915435502248E-2</v>
      </c>
      <c r="AG4632">
        <v>-7.0476999999999901E-2</v>
      </c>
      <c r="AH4632">
        <v>0.52001141558156405</v>
      </c>
      <c r="AI4632">
        <v>97.623837937604407</v>
      </c>
      <c r="AJ4632">
        <v>80.975298684199402</v>
      </c>
      <c r="AK4632">
        <v>0.53122522806258998</v>
      </c>
    </row>
    <row r="4633" spans="1:37" x14ac:dyDescent="0.2">
      <c r="A4633" t="str">
        <f>"20200111160306531"</f>
        <v>20200111160306531</v>
      </c>
      <c r="B4633" t="str">
        <f>"1578729786528139"</f>
        <v>1578729786528139</v>
      </c>
      <c r="C4633" t="s">
        <v>37</v>
      </c>
      <c r="D4633">
        <v>7.0318649999999998</v>
      </c>
      <c r="E4633">
        <v>0.51494659999999903</v>
      </c>
      <c r="F4633" t="s">
        <v>42</v>
      </c>
      <c r="G4633">
        <v>-355.45960000000002</v>
      </c>
      <c r="H4633">
        <v>1.031752</v>
      </c>
      <c r="I4633">
        <v>18.860600000000002</v>
      </c>
      <c r="J4633">
        <v>-355.96749999999997</v>
      </c>
      <c r="K4633">
        <v>1.1027370000000001</v>
      </c>
      <c r="L4633">
        <v>18.932009999999998</v>
      </c>
      <c r="M4633">
        <v>0.99973799999999902</v>
      </c>
      <c r="N4633">
        <v>0</v>
      </c>
      <c r="O4633">
        <v>1.7658719999999999E-2</v>
      </c>
      <c r="P4633">
        <v>0.9981411</v>
      </c>
      <c r="Q4633">
        <v>-1.3448770000000001E-2</v>
      </c>
      <c r="R4633">
        <v>-5.9445850000000001E-2</v>
      </c>
      <c r="S4633">
        <v>2.9851380000000001</v>
      </c>
      <c r="T4633">
        <v>-0.28868879999999902</v>
      </c>
      <c r="U4633">
        <v>-0.2828369</v>
      </c>
      <c r="V4633">
        <v>7.7067940000000001E-2</v>
      </c>
      <c r="W4633">
        <v>7.6705589999999998E-4</v>
      </c>
      <c r="X4633">
        <v>0.99702549999999901</v>
      </c>
      <c r="Y4633">
        <v>0.11129649999999899</v>
      </c>
      <c r="Z4633">
        <v>-7.0576980000000003E-3</v>
      </c>
      <c r="AA4633">
        <v>0.99376219999999904</v>
      </c>
      <c r="AB4633">
        <v>23</v>
      </c>
      <c r="AC4633">
        <v>0.50789999999994895</v>
      </c>
      <c r="AD4633">
        <v>-7.0985000000000006E-2</v>
      </c>
      <c r="AE4633">
        <v>-7.1410000000000196E-2</v>
      </c>
      <c r="AF4633">
        <v>7.8858173285021593E-2</v>
      </c>
      <c r="AG4633">
        <v>-7.0985000000000006E-2</v>
      </c>
      <c r="AH4633">
        <v>0.49703901084943303</v>
      </c>
      <c r="AI4633">
        <v>98.028692008116593</v>
      </c>
      <c r="AJ4633">
        <v>80.984827574782202</v>
      </c>
      <c r="AK4633">
        <v>0.50823740518091898</v>
      </c>
    </row>
    <row r="4634" spans="1:37" x14ac:dyDescent="0.2">
      <c r="A4634" t="str">
        <f>"20200111160306553"</f>
        <v>20200111160306553</v>
      </c>
      <c r="B4634" t="str">
        <f>"1578729786547658"</f>
        <v>1578729786547658</v>
      </c>
      <c r="C4634" t="s">
        <v>37</v>
      </c>
      <c r="D4634">
        <v>4.7373479999999999</v>
      </c>
      <c r="E4634">
        <v>0.40897099999999997</v>
      </c>
      <c r="F4634" t="s">
        <v>42</v>
      </c>
      <c r="G4634">
        <v>-355.05970000000002</v>
      </c>
      <c r="H4634">
        <v>1.0146010000000001</v>
      </c>
      <c r="I4634">
        <v>18.84564</v>
      </c>
      <c r="J4634">
        <v>-355.72609999999997</v>
      </c>
      <c r="K4634">
        <v>1.1026769999999999</v>
      </c>
      <c r="L4634">
        <v>18.932950000000002</v>
      </c>
      <c r="M4634">
        <v>0.99978349999999905</v>
      </c>
      <c r="N4634">
        <v>0</v>
      </c>
      <c r="O4634">
        <v>1.485187E-2</v>
      </c>
      <c r="P4634">
        <v>0.99802279999999999</v>
      </c>
      <c r="Q4634">
        <v>-1.171971E-2</v>
      </c>
      <c r="R4634">
        <v>-6.1753620000000002E-2</v>
      </c>
      <c r="S4634">
        <v>2.9848330000000001</v>
      </c>
      <c r="T4634">
        <v>-0.289643599999999</v>
      </c>
      <c r="U4634">
        <v>-0.28320309999999999</v>
      </c>
      <c r="V4634">
        <v>7.6582059999999993E-2</v>
      </c>
      <c r="W4634">
        <v>2.4936810000000002E-3</v>
      </c>
      <c r="X4634">
        <v>0.99706019999999895</v>
      </c>
      <c r="Y4634">
        <v>0.1086579</v>
      </c>
      <c r="Z4634">
        <v>-6.6829380000000002E-3</v>
      </c>
      <c r="AA4634">
        <v>0.99405679999999996</v>
      </c>
      <c r="AB4634">
        <v>23</v>
      </c>
      <c r="AC4634">
        <v>0.66639999999995303</v>
      </c>
      <c r="AD4634">
        <v>-8.8076000000000002E-2</v>
      </c>
      <c r="AE4634">
        <v>-8.7310000000002205E-2</v>
      </c>
      <c r="AF4634">
        <v>9.555766574532E-2</v>
      </c>
      <c r="AG4634">
        <v>-8.8076000000000002E-2</v>
      </c>
      <c r="AH4634">
        <v>0.65380170204002797</v>
      </c>
      <c r="AI4634">
        <v>97.592621189394094</v>
      </c>
      <c r="AJ4634">
        <v>81.6846998618839</v>
      </c>
      <c r="AK4634">
        <v>0.66659231532409002</v>
      </c>
    </row>
    <row r="4635" spans="1:37" x14ac:dyDescent="0.2">
      <c r="A4635" t="str">
        <f>"20200111160306575"</f>
        <v>20200111160306575</v>
      </c>
      <c r="B4635" t="str">
        <f>"1578729786568154"</f>
        <v>1578729786568154</v>
      </c>
      <c r="C4635" t="s">
        <v>37</v>
      </c>
      <c r="D4635">
        <v>4.6710019999999997</v>
      </c>
      <c r="E4635">
        <v>0.40670059999999902</v>
      </c>
      <c r="F4635" t="s">
        <v>38</v>
      </c>
      <c r="G4635">
        <v>-325.48520000000002</v>
      </c>
      <c r="H4635" s="1">
        <v>-3.3759780000000002E-6</v>
      </c>
      <c r="I4635">
        <v>24.356870000000001</v>
      </c>
      <c r="J4635">
        <v>-355.50330000000002</v>
      </c>
      <c r="K4635">
        <v>1.1026849999999999</v>
      </c>
      <c r="L4635">
        <v>18.933139999999899</v>
      </c>
      <c r="M4635">
        <v>0.99981960000000003</v>
      </c>
      <c r="N4635">
        <v>0</v>
      </c>
      <c r="O4635">
        <v>1.216269E-2</v>
      </c>
      <c r="P4635">
        <v>0.99791010000000002</v>
      </c>
      <c r="Q4635">
        <v>-8.5473540000000001E-3</v>
      </c>
      <c r="R4635">
        <v>-6.4053440000000003E-2</v>
      </c>
      <c r="S4635">
        <v>3.0383610000000001</v>
      </c>
      <c r="T4635">
        <v>-0.1107885</v>
      </c>
      <c r="U4635">
        <v>0.5449524</v>
      </c>
      <c r="V4635">
        <v>7.6212150000000006E-2</v>
      </c>
      <c r="W4635">
        <v>5.6703430000000004E-3</v>
      </c>
      <c r="X4635">
        <v>0.997075499999999</v>
      </c>
      <c r="Y4635">
        <v>-0.1644563</v>
      </c>
      <c r="Z4635">
        <v>2.5338489999999999E-3</v>
      </c>
      <c r="AA4635">
        <v>0.98638110000000001</v>
      </c>
      <c r="AB4635">
        <v>23</v>
      </c>
      <c r="AC4635">
        <v>30.0181</v>
      </c>
      <c r="AD4635">
        <v>-1.102688375978</v>
      </c>
      <c r="AE4635">
        <v>5.4237299999999999</v>
      </c>
      <c r="AF4635">
        <v>-5.0515879365482697</v>
      </c>
      <c r="AG4635">
        <v>-1.102688375978</v>
      </c>
      <c r="AH4635">
        <v>30.0425955787139</v>
      </c>
      <c r="AI4635">
        <v>92.072975075664502</v>
      </c>
      <c r="AJ4635">
        <v>99.544855816803405</v>
      </c>
      <c r="AK4635">
        <v>30.484291224192098</v>
      </c>
    </row>
    <row r="4636" spans="1:37" x14ac:dyDescent="0.2">
      <c r="A4636" t="str">
        <f>"20200111160306597"</f>
        <v>20200111160306597</v>
      </c>
      <c r="B4636" t="str">
        <f>"1578729786587673"</f>
        <v>1578729786587673</v>
      </c>
      <c r="C4636" t="s">
        <v>37</v>
      </c>
      <c r="D4636">
        <v>4.6229889999999996</v>
      </c>
      <c r="E4636">
        <v>0.40559020000000001</v>
      </c>
      <c r="F4636" t="s">
        <v>38</v>
      </c>
      <c r="G4636">
        <v>-324.87</v>
      </c>
      <c r="H4636" s="1">
        <v>-3.7146599999999999E-6</v>
      </c>
      <c r="I4636">
        <v>24.540870000000002</v>
      </c>
      <c r="J4636">
        <v>-355.2826</v>
      </c>
      <c r="K4636">
        <v>1.1027279999999999</v>
      </c>
      <c r="L4636">
        <v>18.932679999999898</v>
      </c>
      <c r="M4636">
        <v>0.99984899999999999</v>
      </c>
      <c r="N4636">
        <v>0</v>
      </c>
      <c r="O4636">
        <v>9.4516959999999903E-3</v>
      </c>
      <c r="P4636">
        <v>0.99778849999999997</v>
      </c>
      <c r="Q4636">
        <v>-3.5386009999999902E-3</v>
      </c>
      <c r="R4636">
        <v>-6.6375610000000002E-2</v>
      </c>
      <c r="S4636">
        <v>3.041077</v>
      </c>
      <c r="T4636">
        <v>-0.109468</v>
      </c>
      <c r="U4636">
        <v>0.55670169999999997</v>
      </c>
      <c r="V4636">
        <v>7.5850940000000006E-2</v>
      </c>
      <c r="W4636">
        <v>1.0688400000000001E-2</v>
      </c>
      <c r="X4636">
        <v>0.99706189999999995</v>
      </c>
      <c r="Y4636">
        <v>-0.17066120000000001</v>
      </c>
      <c r="Z4636">
        <v>2.7080509999999999E-3</v>
      </c>
      <c r="AA4636">
        <v>0.98532609999999998</v>
      </c>
      <c r="AB4636">
        <v>23</v>
      </c>
      <c r="AC4636">
        <v>30.412600000000001</v>
      </c>
      <c r="AD4636">
        <v>-1.10273171466</v>
      </c>
      <c r="AE4636">
        <v>5.6081899999999996</v>
      </c>
      <c r="AF4636">
        <v>-5.3137019466088997</v>
      </c>
      <c r="AG4636">
        <v>-1.10273171466</v>
      </c>
      <c r="AH4636">
        <v>30.4255682209849</v>
      </c>
      <c r="AI4636">
        <v>92.044773064362602</v>
      </c>
      <c r="AJ4636">
        <v>99.906560954536303</v>
      </c>
      <c r="AK4636">
        <v>30.905770451191099</v>
      </c>
    </row>
    <row r="4637" spans="1:37" x14ac:dyDescent="0.2">
      <c r="A4637" t="str">
        <f>"20200111160306619"</f>
        <v>20200111160306619</v>
      </c>
      <c r="B4637" t="str">
        <f>"1578729786617930"</f>
        <v>1578729786617930</v>
      </c>
      <c r="C4637" t="s">
        <v>37</v>
      </c>
      <c r="D4637">
        <v>4.5805360000000004</v>
      </c>
      <c r="E4637">
        <v>0.40491749999999999</v>
      </c>
      <c r="F4637" t="s">
        <v>38</v>
      </c>
      <c r="G4637">
        <v>-320.20010000000002</v>
      </c>
      <c r="H4637" s="1">
        <v>-5.6554979999999998E-6</v>
      </c>
      <c r="I4637">
        <v>25.372409999999999</v>
      </c>
      <c r="J4637">
        <v>-355.05880000000002</v>
      </c>
      <c r="K4637">
        <v>1.1027750000000001</v>
      </c>
      <c r="L4637">
        <v>18.931639999999899</v>
      </c>
      <c r="M4637">
        <v>0.99987099999999995</v>
      </c>
      <c r="N4637">
        <v>0</v>
      </c>
      <c r="O4637">
        <v>6.7031969999999897E-3</v>
      </c>
      <c r="P4637">
        <v>0.99766069999999996</v>
      </c>
      <c r="Q4637">
        <v>-2.206229E-4</v>
      </c>
      <c r="R4637">
        <v>-6.8361270000000002E-2</v>
      </c>
      <c r="S4637">
        <v>3.0434570000000001</v>
      </c>
      <c r="T4637">
        <v>-9.5663670000000006E-2</v>
      </c>
      <c r="U4637">
        <v>0.55865480000000001</v>
      </c>
      <c r="V4637">
        <v>7.5107839999999995E-2</v>
      </c>
      <c r="W4637">
        <v>1.4018859999999999E-2</v>
      </c>
      <c r="X4637">
        <v>0.99707690000000004</v>
      </c>
      <c r="Y4637">
        <v>-0.1738652</v>
      </c>
      <c r="Z4637">
        <v>2.5003320000000001E-3</v>
      </c>
      <c r="AA4637">
        <v>0.98476629999999998</v>
      </c>
      <c r="AB4637">
        <v>23</v>
      </c>
      <c r="AC4637">
        <v>34.858699999999999</v>
      </c>
      <c r="AD4637">
        <v>-1.102780655498</v>
      </c>
      <c r="AE4637">
        <v>6.4407699999999997</v>
      </c>
      <c r="AF4637">
        <v>-6.2009344939669404</v>
      </c>
      <c r="AG4637">
        <v>-1.102780655498</v>
      </c>
      <c r="AH4637">
        <v>34.867351078230598</v>
      </c>
      <c r="AI4637">
        <v>91.783572930205096</v>
      </c>
      <c r="AJ4637">
        <v>100.084252554952</v>
      </c>
      <c r="AK4637">
        <v>35.4316226693782</v>
      </c>
    </row>
    <row r="4638" spans="1:37" x14ac:dyDescent="0.2">
      <c r="A4638" t="str">
        <f>"20200111160306642"</f>
        <v>20200111160306642</v>
      </c>
      <c r="B4638" t="str">
        <f>"1578729786637450"</f>
        <v>1578729786637450</v>
      </c>
      <c r="C4638" t="s">
        <v>37</v>
      </c>
      <c r="D4638">
        <v>4.5960400000000003</v>
      </c>
      <c r="E4638">
        <v>0.40436640000000001</v>
      </c>
      <c r="F4638" t="s">
        <v>39</v>
      </c>
      <c r="G4638">
        <v>-311.96769999999998</v>
      </c>
      <c r="H4638">
        <v>-0.05</v>
      </c>
      <c r="I4638">
        <v>26.823009999999901</v>
      </c>
      <c r="J4638">
        <v>-354.83170000000001</v>
      </c>
      <c r="K4638">
        <v>1.102816</v>
      </c>
      <c r="L4638">
        <v>18.929960000000001</v>
      </c>
      <c r="M4638">
        <v>0.99988559999999904</v>
      </c>
      <c r="N4638">
        <v>0</v>
      </c>
      <c r="O4638">
        <v>3.9521180000000001E-3</v>
      </c>
      <c r="P4638">
        <v>0.99754120000000002</v>
      </c>
      <c r="Q4638">
        <v>3.835205E-4</v>
      </c>
      <c r="R4638">
        <v>-7.0083149999999997E-2</v>
      </c>
      <c r="S4638">
        <v>3.0452270000000001</v>
      </c>
      <c r="T4638">
        <v>-8.1465960000000004E-2</v>
      </c>
      <c r="U4638">
        <v>0.55767819999999901</v>
      </c>
      <c r="V4638">
        <v>7.4086639999999995E-2</v>
      </c>
      <c r="W4638">
        <v>1.463773E-2</v>
      </c>
      <c r="X4638">
        <v>0.99714439999999904</v>
      </c>
      <c r="Y4638">
        <v>-0.17618729999999999</v>
      </c>
      <c r="Z4638">
        <v>2.2320019999999999E-3</v>
      </c>
      <c r="AA4638">
        <v>0.98435409999999901</v>
      </c>
      <c r="AB4638">
        <v>23</v>
      </c>
      <c r="AC4638">
        <v>42.863999999999997</v>
      </c>
      <c r="AD4638">
        <v>-1.1528160000000001</v>
      </c>
      <c r="AE4638">
        <v>7.8930499999999899</v>
      </c>
      <c r="AF4638">
        <v>-7.7181670355210699</v>
      </c>
      <c r="AG4638">
        <v>-1.1528160000000001</v>
      </c>
      <c r="AH4638">
        <v>42.864874304566897</v>
      </c>
      <c r="AI4638">
        <v>91.516181829772194</v>
      </c>
      <c r="AJ4638">
        <v>100.20719708199201</v>
      </c>
      <c r="AK4638">
        <v>43.5694449845805</v>
      </c>
    </row>
    <row r="4639" spans="1:37" x14ac:dyDescent="0.2">
      <c r="A4639" t="str">
        <f>"20200111160306664"</f>
        <v>20200111160306664</v>
      </c>
      <c r="B4639" t="str">
        <f>"1578729786657946"</f>
        <v>1578729786657946</v>
      </c>
      <c r="C4639" t="s">
        <v>37</v>
      </c>
      <c r="D4639">
        <v>4.5564960000000001</v>
      </c>
      <c r="E4639">
        <v>0.40389619999999998</v>
      </c>
      <c r="F4639" t="s">
        <v>39</v>
      </c>
      <c r="G4639">
        <v>-312.20280000000002</v>
      </c>
      <c r="H4639">
        <v>-0.05</v>
      </c>
      <c r="I4639">
        <v>26.723909999999901</v>
      </c>
      <c r="J4639">
        <v>-354.60250000000002</v>
      </c>
      <c r="K4639">
        <v>1.1028530000000001</v>
      </c>
      <c r="L4639">
        <v>18.927700000000002</v>
      </c>
      <c r="M4639">
        <v>0.99989259999999902</v>
      </c>
      <c r="N4639">
        <v>0</v>
      </c>
      <c r="O4639">
        <v>1.2329019999999999E-3</v>
      </c>
      <c r="P4639">
        <v>0.9973978</v>
      </c>
      <c r="Q4639">
        <v>-1.7894149999999999E-3</v>
      </c>
      <c r="R4639">
        <v>-7.2072120000000003E-2</v>
      </c>
      <c r="S4639">
        <v>3.0465390000000001</v>
      </c>
      <c r="T4639">
        <v>-8.2387799999999997E-2</v>
      </c>
      <c r="U4639">
        <v>0.55700680000000002</v>
      </c>
      <c r="V4639">
        <v>7.3353050000000003E-2</v>
      </c>
      <c r="W4639">
        <v>1.247642E-2</v>
      </c>
      <c r="X4639">
        <v>0.997228</v>
      </c>
      <c r="Y4639">
        <v>-0.1785756</v>
      </c>
      <c r="Z4639">
        <v>2.3612770000000002E-3</v>
      </c>
      <c r="AA4639">
        <v>0.9839234</v>
      </c>
      <c r="AB4639">
        <v>23</v>
      </c>
      <c r="AC4639">
        <v>42.399700000000003</v>
      </c>
      <c r="AD4639">
        <v>-1.1528529999999999</v>
      </c>
      <c r="AE4639">
        <v>7.7962099999999896</v>
      </c>
      <c r="AF4639">
        <v>-7.7383899106771699</v>
      </c>
      <c r="AG4639">
        <v>-1.1528529999999999</v>
      </c>
      <c r="AH4639">
        <v>42.378974510961797</v>
      </c>
      <c r="AI4639">
        <v>91.532922861963101</v>
      </c>
      <c r="AJ4639">
        <v>100.348187764581</v>
      </c>
      <c r="AK4639">
        <v>43.095118390022201</v>
      </c>
    </row>
    <row r="4640" spans="1:37" x14ac:dyDescent="0.2">
      <c r="A4640" t="str">
        <f>"20200111160306688"</f>
        <v>20200111160306688</v>
      </c>
      <c r="B4640" t="str">
        <f>"1578729786677465"</f>
        <v>1578729786677465</v>
      </c>
      <c r="C4640" t="s">
        <v>37</v>
      </c>
      <c r="D4640">
        <v>4.5925240000000001</v>
      </c>
      <c r="E4640">
        <v>0.40360790000000002</v>
      </c>
      <c r="F4640" t="s">
        <v>39</v>
      </c>
      <c r="G4640">
        <v>-316.4196</v>
      </c>
      <c r="H4640">
        <v>-0.05</v>
      </c>
      <c r="I4640">
        <v>25.880310000000001</v>
      </c>
      <c r="J4640">
        <v>-354.3707</v>
      </c>
      <c r="K4640">
        <v>1.102894</v>
      </c>
      <c r="L4640">
        <v>18.924800000000001</v>
      </c>
      <c r="M4640">
        <v>0.99989240000000001</v>
      </c>
      <c r="N4640">
        <v>0</v>
      </c>
      <c r="O4640">
        <v>-1.455399E-3</v>
      </c>
      <c r="P4640">
        <v>0.99726309999999996</v>
      </c>
      <c r="Q4640">
        <v>-4.8554840000000002E-3</v>
      </c>
      <c r="R4640">
        <v>-7.3776359999999999E-2</v>
      </c>
      <c r="S4640">
        <v>3.0477910000000001</v>
      </c>
      <c r="T4640">
        <v>-9.2021699999999998E-2</v>
      </c>
      <c r="U4640">
        <v>0.55496219999999996</v>
      </c>
      <c r="V4640">
        <v>7.2362579999999996E-2</v>
      </c>
      <c r="W4640">
        <v>9.4234190000000006E-3</v>
      </c>
      <c r="X4640">
        <v>0.9973339</v>
      </c>
      <c r="Y4640">
        <v>-0.18049270000000001</v>
      </c>
      <c r="Z4640">
        <v>2.7455629999999999E-3</v>
      </c>
      <c r="AA4640">
        <v>0.98357249999999996</v>
      </c>
      <c r="AB4640">
        <v>22</v>
      </c>
      <c r="AC4640">
        <v>37.951099999999997</v>
      </c>
      <c r="AD4640">
        <v>-1.1528940000000001</v>
      </c>
      <c r="AE4640">
        <v>6.9555100000000003</v>
      </c>
      <c r="AF4640">
        <v>-7.0044885058915103</v>
      </c>
      <c r="AG4640">
        <v>-1.1528940000000001</v>
      </c>
      <c r="AH4640">
        <v>37.907090078468897</v>
      </c>
      <c r="AI4640">
        <v>91.713056397474602</v>
      </c>
      <c r="AJ4640">
        <v>100.469053696972</v>
      </c>
      <c r="AK4640">
        <v>38.5660407874798</v>
      </c>
    </row>
    <row r="4641" spans="1:37" x14ac:dyDescent="0.2">
      <c r="A4641" t="str">
        <f>"20200111160306708"</f>
        <v>20200111160306708</v>
      </c>
      <c r="B4641" t="str">
        <f>"1578729786697961"</f>
        <v>1578729786697961</v>
      </c>
      <c r="C4641" t="s">
        <v>37</v>
      </c>
      <c r="D4641">
        <v>4.682766</v>
      </c>
      <c r="E4641">
        <v>0.40291840000000001</v>
      </c>
      <c r="F4641" t="s">
        <v>38</v>
      </c>
      <c r="G4641">
        <v>-321.2072</v>
      </c>
      <c r="H4641" s="1">
        <v>-5.1904310000000001E-6</v>
      </c>
      <c r="I4641">
        <v>24.930979999999899</v>
      </c>
      <c r="J4641">
        <v>-354.16090000000003</v>
      </c>
      <c r="K4641">
        <v>1.1029409999999999</v>
      </c>
      <c r="L4641">
        <v>18.921689999999899</v>
      </c>
      <c r="M4641">
        <v>0.99988619999999995</v>
      </c>
      <c r="N4641">
        <v>0</v>
      </c>
      <c r="O4641">
        <v>-3.8256029999999999E-3</v>
      </c>
      <c r="P4641">
        <v>0.99716229999999995</v>
      </c>
      <c r="Q4641">
        <v>-8.6218730000000004E-3</v>
      </c>
      <c r="R4641">
        <v>-7.4787519999999996E-2</v>
      </c>
      <c r="S4641">
        <v>3.048584</v>
      </c>
      <c r="T4641">
        <v>-0.10138510000000001</v>
      </c>
      <c r="U4641">
        <v>0.55212399999999995</v>
      </c>
      <c r="V4641">
        <v>7.0994210000000002E-2</v>
      </c>
      <c r="W4641">
        <v>5.669866E-3</v>
      </c>
      <c r="X4641">
        <v>0.99746060000000003</v>
      </c>
      <c r="Y4641">
        <v>-0.18187329999999999</v>
      </c>
      <c r="Z4641">
        <v>3.125212E-3</v>
      </c>
      <c r="AA4641">
        <v>0.983317</v>
      </c>
      <c r="AB4641">
        <v>22</v>
      </c>
      <c r="AC4641">
        <v>32.953699999999998</v>
      </c>
      <c r="AD4641">
        <v>-1.1029461904309901</v>
      </c>
      <c r="AE4641">
        <v>6.00929</v>
      </c>
      <c r="AF4641">
        <v>-6.1286827430259097</v>
      </c>
      <c r="AG4641">
        <v>-1.1029461904309901</v>
      </c>
      <c r="AH4641">
        <v>32.894803968561497</v>
      </c>
      <c r="AI4641">
        <v>91.887916127691994</v>
      </c>
      <c r="AJ4641">
        <v>100.55386196570601</v>
      </c>
      <c r="AK4641">
        <v>33.479028817959197</v>
      </c>
    </row>
    <row r="4642" spans="1:37" x14ac:dyDescent="0.2">
      <c r="A4642" t="str">
        <f>"20200111160306844"</f>
        <v>20200111160306844</v>
      </c>
      <c r="B4642" t="str">
        <f>"1578729786837530"</f>
        <v>1578729786837530</v>
      </c>
      <c r="C4642" t="s">
        <v>37</v>
      </c>
      <c r="D4642">
        <v>4.5839569999999998</v>
      </c>
      <c r="E4642">
        <v>0.40291840000000001</v>
      </c>
      <c r="F4642" t="s">
        <v>38</v>
      </c>
      <c r="G4642">
        <v>-324.32159999999999</v>
      </c>
      <c r="H4642" s="1">
        <v>-3.8912329999999902E-6</v>
      </c>
      <c r="I4642">
        <v>24.34901</v>
      </c>
      <c r="J4642">
        <v>-352.80919999999998</v>
      </c>
      <c r="K4642">
        <v>1.103342</v>
      </c>
      <c r="L4642">
        <v>18.89188</v>
      </c>
      <c r="M4642">
        <v>0.9997395</v>
      </c>
      <c r="N4642">
        <v>0</v>
      </c>
      <c r="O4642">
        <v>-1.7565979999999998E-2</v>
      </c>
      <c r="P4642">
        <v>0.99745209999999995</v>
      </c>
      <c r="Q4642">
        <v>-7.4079819999999996E-3</v>
      </c>
      <c r="R4642">
        <v>-7.0954639999999999E-2</v>
      </c>
      <c r="S4642">
        <v>3.04916399999999</v>
      </c>
      <c r="T4642">
        <v>-0.1127055</v>
      </c>
      <c r="U4642">
        <v>0.55459590000000003</v>
      </c>
      <c r="V4642">
        <v>5.3441599999999902E-2</v>
      </c>
      <c r="W4642">
        <v>6.9887700000000001E-3</v>
      </c>
      <c r="X4642">
        <v>0.9985465</v>
      </c>
      <c r="Y4642">
        <v>-0.19606409999999999</v>
      </c>
      <c r="Z4642">
        <v>4.2369440000000003E-3</v>
      </c>
      <c r="AA4642">
        <v>0.98058189999999901</v>
      </c>
      <c r="AB4642">
        <v>22</v>
      </c>
      <c r="AC4642">
        <v>28.487599999999901</v>
      </c>
      <c r="AD4642">
        <v>-1.1033458912330001</v>
      </c>
      <c r="AE4642">
        <v>5.4571299999999896</v>
      </c>
      <c r="AF4642">
        <v>-5.9481467715516896</v>
      </c>
      <c r="AG4642">
        <v>-1.1033458912330001</v>
      </c>
      <c r="AH4642">
        <v>28.346317249419499</v>
      </c>
      <c r="AI4642">
        <v>92.181578203022099</v>
      </c>
      <c r="AJ4642">
        <v>101.850912679806</v>
      </c>
      <c r="AK4642">
        <v>28.9846773964513</v>
      </c>
    </row>
    <row r="4643" spans="1:37" x14ac:dyDescent="0.2">
      <c r="A4643" t="str">
        <f>"20200111160306866"</f>
        <v>20200111160306866</v>
      </c>
      <c r="B4643" t="str">
        <f>"1578729786858026"</f>
        <v>1578729786858026</v>
      </c>
      <c r="C4643" t="s">
        <v>37</v>
      </c>
      <c r="D4643">
        <v>4.51471</v>
      </c>
      <c r="E4643">
        <v>0.47061199999999997</v>
      </c>
      <c r="F4643" t="s">
        <v>38</v>
      </c>
      <c r="G4643">
        <v>-321.90249999999997</v>
      </c>
      <c r="H4643" s="1">
        <v>-4.8712799999999997E-6</v>
      </c>
      <c r="I4643">
        <v>24.636900000000001</v>
      </c>
      <c r="J4643">
        <v>-352.58969999999999</v>
      </c>
      <c r="K4643">
        <v>1.103426</v>
      </c>
      <c r="L4643">
        <v>18.885679999999901</v>
      </c>
      <c r="M4643">
        <v>0.99970360000000003</v>
      </c>
      <c r="N4643">
        <v>0</v>
      </c>
      <c r="O4643">
        <v>-1.9505700000000001E-2</v>
      </c>
      <c r="P4643">
        <v>0.99752750000000001</v>
      </c>
      <c r="Q4643">
        <v>-6.0556289999999999E-3</v>
      </c>
      <c r="R4643">
        <v>-7.0017960000000004E-2</v>
      </c>
      <c r="S4643">
        <v>3.0471189999999999</v>
      </c>
      <c r="T4643">
        <v>-0.1087798</v>
      </c>
      <c r="U4643">
        <v>0.56640630000000003</v>
      </c>
      <c r="V4643">
        <v>5.0568830000000002E-2</v>
      </c>
      <c r="W4643">
        <v>8.35439199999999E-3</v>
      </c>
      <c r="X4643">
        <v>0.99868570000000001</v>
      </c>
      <c r="Y4643">
        <v>-0.2017602</v>
      </c>
      <c r="Z4643">
        <v>4.2602120000000002E-3</v>
      </c>
      <c r="AA4643">
        <v>0.97942569999999995</v>
      </c>
      <c r="AB4643">
        <v>22</v>
      </c>
      <c r="AC4643">
        <v>30.687200000000001</v>
      </c>
      <c r="AD4643">
        <v>-1.1034308712799901</v>
      </c>
      <c r="AE4643">
        <v>5.75122</v>
      </c>
      <c r="AF4643">
        <v>-6.3408443263802399</v>
      </c>
      <c r="AG4643">
        <v>-1.1034308712799901</v>
      </c>
      <c r="AH4643">
        <v>30.531031820272901</v>
      </c>
      <c r="AI4643">
        <v>92.026633572231404</v>
      </c>
      <c r="AJ4643">
        <v>101.732695332443</v>
      </c>
      <c r="AK4643">
        <v>31.202047536493499</v>
      </c>
    </row>
    <row r="4644" spans="1:37" x14ac:dyDescent="0.2">
      <c r="A4644" t="str">
        <f>"20200111160306888"</f>
        <v>20200111160306888</v>
      </c>
      <c r="B4644" t="str">
        <f>"1578729786877545"</f>
        <v>1578729786877545</v>
      </c>
      <c r="C4644" t="s">
        <v>37</v>
      </c>
      <c r="D4644">
        <v>4.6011749999999996</v>
      </c>
      <c r="E4644">
        <v>0.47800519999999902</v>
      </c>
      <c r="F4644" t="s">
        <v>39</v>
      </c>
      <c r="G4644">
        <v>-317.8612</v>
      </c>
      <c r="H4644">
        <v>-0.05</v>
      </c>
      <c r="I4644">
        <v>19.224519999999998</v>
      </c>
      <c r="J4644">
        <v>-352.37819999999999</v>
      </c>
      <c r="K4644">
        <v>1.103513</v>
      </c>
      <c r="L4644">
        <v>18.879390000000001</v>
      </c>
      <c r="M4644">
        <v>0.99966759999999999</v>
      </c>
      <c r="N4644">
        <v>0</v>
      </c>
      <c r="O4644">
        <v>-2.127617E-2</v>
      </c>
      <c r="P4644">
        <v>0.99756100000000003</v>
      </c>
      <c r="Q4644">
        <v>-4.4987559999999996E-3</v>
      </c>
      <c r="R4644">
        <v>-6.9658040000000004E-2</v>
      </c>
      <c r="S4644">
        <v>3.0089109999999999</v>
      </c>
      <c r="T4644">
        <v>-9.9933980000000006E-2</v>
      </c>
      <c r="U4644">
        <v>2.9357910000000001E-2</v>
      </c>
      <c r="V4644">
        <v>4.8441970000000001E-2</v>
      </c>
      <c r="W4644">
        <v>9.9207380000000001E-3</v>
      </c>
      <c r="X4644">
        <v>0.99877669999999996</v>
      </c>
      <c r="Y4644">
        <v>-3.1002910000000002E-2</v>
      </c>
      <c r="Z4644">
        <v>1.2211710000000001E-3</v>
      </c>
      <c r="AA4644">
        <v>0.99951859999999904</v>
      </c>
      <c r="AB4644">
        <v>22</v>
      </c>
      <c r="AC4644">
        <v>34.516999999999904</v>
      </c>
      <c r="AD4644">
        <v>-1.153513</v>
      </c>
      <c r="AE4644">
        <v>0.34513000000000099</v>
      </c>
      <c r="AF4644">
        <v>-1.07831512975411</v>
      </c>
      <c r="AG4644">
        <v>-1.153513</v>
      </c>
      <c r="AH4644">
        <v>34.463355998715102</v>
      </c>
      <c r="AI4644">
        <v>91.916077796452896</v>
      </c>
      <c r="AJ4644">
        <v>91.792128318364007</v>
      </c>
      <c r="AK4644">
        <v>34.499511046598798</v>
      </c>
    </row>
    <row r="4645" spans="1:37" x14ac:dyDescent="0.2">
      <c r="A4645" t="str">
        <f>"20200111160306902"</f>
        <v>20200111160306902</v>
      </c>
      <c r="B4645" t="str">
        <f>"1578729786898042"</f>
        <v>1578729786898042</v>
      </c>
      <c r="C4645" t="s">
        <v>37</v>
      </c>
      <c r="D4645">
        <v>4.5682640000000001</v>
      </c>
      <c r="E4645">
        <v>0.48163149999999899</v>
      </c>
      <c r="F4645" t="s">
        <v>38</v>
      </c>
      <c r="G4645">
        <v>-324.45890000000003</v>
      </c>
      <c r="H4645" s="1">
        <v>-2.7749770000000001E-6</v>
      </c>
      <c r="I4645">
        <v>18.628740000000001</v>
      </c>
      <c r="J4645">
        <v>-352.23500000000001</v>
      </c>
      <c r="K4645">
        <v>1.103575</v>
      </c>
      <c r="L4645">
        <v>18.875</v>
      </c>
      <c r="M4645">
        <v>0.99964299999999995</v>
      </c>
      <c r="N4645">
        <v>0</v>
      </c>
      <c r="O4645">
        <v>-2.2405999999999999E-2</v>
      </c>
      <c r="P4645">
        <v>0.99754100000000001</v>
      </c>
      <c r="Q4645">
        <v>-4.189346E-3</v>
      </c>
      <c r="R4645">
        <v>-6.9959969999999996E-2</v>
      </c>
      <c r="S4645">
        <v>3.004883</v>
      </c>
      <c r="T4645">
        <v>-0.11876829999999999</v>
      </c>
      <c r="U4645">
        <v>-2.6977540000000001E-2</v>
      </c>
      <c r="V4645">
        <v>4.7614959999999998E-2</v>
      </c>
      <c r="W4645">
        <v>1.023496E-2</v>
      </c>
      <c r="X4645">
        <v>0.99881330000000002</v>
      </c>
      <c r="Y4645">
        <v>-1.340422E-2</v>
      </c>
      <c r="Z4645">
        <v>1.1500449999999999E-3</v>
      </c>
      <c r="AA4645">
        <v>0.99990949999999901</v>
      </c>
      <c r="AB4645">
        <v>22</v>
      </c>
      <c r="AC4645">
        <v>27.7760999999999</v>
      </c>
      <c r="AD4645">
        <v>-1.1035777749769999</v>
      </c>
      <c r="AE4645">
        <v>-0.24625999999999901</v>
      </c>
      <c r="AF4645">
        <v>-0.37562615843864999</v>
      </c>
      <c r="AG4645">
        <v>-1.1035777749769999</v>
      </c>
      <c r="AH4645">
        <v>27.730872098576</v>
      </c>
      <c r="AI4645">
        <v>92.278731438510803</v>
      </c>
      <c r="AJ4645">
        <v>90.776047625233403</v>
      </c>
      <c r="AK4645">
        <v>27.755364279070601</v>
      </c>
    </row>
    <row r="4646" spans="1:37" x14ac:dyDescent="0.2">
      <c r="A4646" t="str">
        <f>"20200111160306921"</f>
        <v>20200111160306921</v>
      </c>
      <c r="B4646" t="str">
        <f>"1578729786917562"</f>
        <v>1578729786917562</v>
      </c>
      <c r="C4646" t="s">
        <v>37</v>
      </c>
      <c r="D4646">
        <v>4.5680379999999996</v>
      </c>
      <c r="E4646">
        <v>0.48361189999999998</v>
      </c>
      <c r="F4646" t="s">
        <v>38</v>
      </c>
      <c r="G4646">
        <v>-326.0197</v>
      </c>
      <c r="H4646" s="1">
        <v>-2.080538E-6</v>
      </c>
      <c r="I4646">
        <v>18.384270000000001</v>
      </c>
      <c r="J4646">
        <v>-352.05279999999999</v>
      </c>
      <c r="K4646">
        <v>1.103661</v>
      </c>
      <c r="L4646">
        <v>18.869229999999899</v>
      </c>
      <c r="M4646">
        <v>0.99961139999999904</v>
      </c>
      <c r="N4646">
        <v>0</v>
      </c>
      <c r="O4646">
        <v>-2.3774320000000002E-2</v>
      </c>
      <c r="P4646">
        <v>0.9975678</v>
      </c>
      <c r="Q4646">
        <v>-3.4372299999999999E-3</v>
      </c>
      <c r="R4646">
        <v>-6.9620100000000004E-2</v>
      </c>
      <c r="S4646">
        <v>3.0029599999999999</v>
      </c>
      <c r="T4646">
        <v>-0.12641469999999999</v>
      </c>
      <c r="U4646">
        <v>-5.621338E-2</v>
      </c>
      <c r="V4646">
        <v>4.590698E-2</v>
      </c>
      <c r="W4646">
        <v>1.099499E-2</v>
      </c>
      <c r="X4646">
        <v>0.99888519999999903</v>
      </c>
      <c r="Y4646">
        <v>-5.0364169999999996E-3</v>
      </c>
      <c r="Z4646">
        <v>1.1062209999999999E-3</v>
      </c>
      <c r="AA4646">
        <v>0.99998670000000001</v>
      </c>
      <c r="AB4646">
        <v>22</v>
      </c>
      <c r="AC4646">
        <v>26.033099999999902</v>
      </c>
      <c r="AD4646">
        <v>-1.1036630805380001</v>
      </c>
      <c r="AE4646">
        <v>-0.484959999999997</v>
      </c>
      <c r="AF4646">
        <v>-0.13392130237075101</v>
      </c>
      <c r="AG4646">
        <v>-1.1036630805380001</v>
      </c>
      <c r="AH4646">
        <v>25.990574296623802</v>
      </c>
      <c r="AI4646">
        <v>92.431513462433202</v>
      </c>
      <c r="AJ4646">
        <v>90.295224623304307</v>
      </c>
      <c r="AK4646">
        <v>26.014341417358398</v>
      </c>
    </row>
    <row r="4647" spans="1:37" x14ac:dyDescent="0.2">
      <c r="A4647" t="str">
        <f>"20200111160306944"</f>
        <v>20200111160306944</v>
      </c>
      <c r="B4647" t="str">
        <f>"1578729786938058"</f>
        <v>1578729786938058</v>
      </c>
      <c r="C4647" t="s">
        <v>37</v>
      </c>
      <c r="D4647">
        <v>4.5054220000000003</v>
      </c>
      <c r="E4647">
        <v>0.48533140000000002</v>
      </c>
      <c r="F4647" t="s">
        <v>38</v>
      </c>
      <c r="G4647">
        <v>-326.7681</v>
      </c>
      <c r="H4647" s="1">
        <v>-1.746034E-6</v>
      </c>
      <c r="I4647">
        <v>18.27571</v>
      </c>
      <c r="J4647">
        <v>-351.8186</v>
      </c>
      <c r="K4647">
        <v>1.103764</v>
      </c>
      <c r="L4647">
        <v>18.861660000000001</v>
      </c>
      <c r="M4647">
        <v>0.99957149999999995</v>
      </c>
      <c r="N4647">
        <v>0</v>
      </c>
      <c r="O4647">
        <v>-2.5406080000000001E-2</v>
      </c>
      <c r="P4647">
        <v>0.99754859999999901</v>
      </c>
      <c r="Q4647">
        <v>-2.1055599999999998E-3</v>
      </c>
      <c r="R4647">
        <v>-6.9948789999999997E-2</v>
      </c>
      <c r="S4647">
        <v>3.0019230000000001</v>
      </c>
      <c r="T4647">
        <v>-0.13103199999999901</v>
      </c>
      <c r="U4647">
        <v>-7.0465089999999994E-2</v>
      </c>
      <c r="V4647">
        <v>4.4605579999999999E-2</v>
      </c>
      <c r="W4647">
        <v>1.2332910000000001E-2</v>
      </c>
      <c r="X4647">
        <v>0.9989285</v>
      </c>
      <c r="Y4647">
        <v>-1.9164939999999999E-3</v>
      </c>
      <c r="Z4647">
        <v>1.150025E-3</v>
      </c>
      <c r="AA4647">
        <v>0.99999749999999998</v>
      </c>
      <c r="AB4647">
        <v>22</v>
      </c>
      <c r="AC4647">
        <v>25.0505</v>
      </c>
      <c r="AD4647">
        <v>-1.103765746034</v>
      </c>
      <c r="AE4647">
        <v>-0.58594999999999997</v>
      </c>
      <c r="AF4647">
        <v>-5.06431826678004E-2</v>
      </c>
      <c r="AG4647">
        <v>-1.103765746034</v>
      </c>
      <c r="AH4647">
        <v>25.0087744363247</v>
      </c>
      <c r="AI4647">
        <v>92.527112026654194</v>
      </c>
      <c r="AJ4647">
        <v>90.116024744400306</v>
      </c>
      <c r="AK4647">
        <v>25.033171240596701</v>
      </c>
    </row>
    <row r="4648" spans="1:37" x14ac:dyDescent="0.2">
      <c r="A4648" t="str">
        <f>"20200111160306967"</f>
        <v>20200111160306967</v>
      </c>
      <c r="B4648" t="str">
        <f>"1578729786957578"</f>
        <v>1578729786957578</v>
      </c>
      <c r="C4648" t="s">
        <v>37</v>
      </c>
      <c r="D4648">
        <v>4.6019550000000002</v>
      </c>
      <c r="E4648">
        <v>0.48628969999999999</v>
      </c>
      <c r="F4648" t="s">
        <v>38</v>
      </c>
      <c r="G4648">
        <v>-327.21589999999998</v>
      </c>
      <c r="H4648" s="1">
        <v>-1.553467E-6</v>
      </c>
      <c r="I4648">
        <v>18.167909999999999</v>
      </c>
      <c r="J4648">
        <v>-351.59879999999998</v>
      </c>
      <c r="K4648">
        <v>1.1038619999999999</v>
      </c>
      <c r="L4648">
        <v>18.854340000000001</v>
      </c>
      <c r="M4648">
        <v>0.99953510000000001</v>
      </c>
      <c r="N4648">
        <v>0</v>
      </c>
      <c r="O4648">
        <v>-2.6800569999999999E-2</v>
      </c>
      <c r="P4648">
        <v>0.99751160000000005</v>
      </c>
      <c r="Q4648">
        <v>-4.1717659999999999E-4</v>
      </c>
      <c r="R4648">
        <v>-7.0503150000000001E-2</v>
      </c>
      <c r="S4648">
        <v>3.001099</v>
      </c>
      <c r="T4648">
        <v>-0.13464000000000001</v>
      </c>
      <c r="U4648">
        <v>-8.4625240000000004E-2</v>
      </c>
      <c r="V4648">
        <v>4.3767489999999999E-2</v>
      </c>
      <c r="W4648">
        <v>1.402553E-2</v>
      </c>
      <c r="X4648">
        <v>0.99894329999999998</v>
      </c>
      <c r="Y4648">
        <v>1.4095220000000001E-3</v>
      </c>
      <c r="Z4648">
        <v>1.1698360000000001E-3</v>
      </c>
      <c r="AA4648">
        <v>0.99999830000000001</v>
      </c>
      <c r="AB4648">
        <v>22</v>
      </c>
      <c r="AC4648">
        <v>24.382899999999999</v>
      </c>
      <c r="AD4648">
        <v>-1.103863553467</v>
      </c>
      <c r="AE4648">
        <v>-0.68643000000000098</v>
      </c>
      <c r="AF4648">
        <v>3.2572003796260199E-2</v>
      </c>
      <c r="AG4648">
        <v>-1.103863553467</v>
      </c>
      <c r="AH4648">
        <v>24.342686253876501</v>
      </c>
      <c r="AI4648">
        <v>92.596400696214204</v>
      </c>
      <c r="AJ4648">
        <v>89.923334786696401</v>
      </c>
      <c r="AK4648">
        <v>24.367723523849499</v>
      </c>
    </row>
    <row r="4649" spans="1:37" x14ac:dyDescent="0.2">
      <c r="A4649" t="str">
        <f>"20200111160306987"</f>
        <v>20200111160306987</v>
      </c>
      <c r="B4649" t="str">
        <f>"1578729786978073"</f>
        <v>1578729786978073</v>
      </c>
      <c r="C4649" t="s">
        <v>37</v>
      </c>
      <c r="D4649">
        <v>4.6647150000000002</v>
      </c>
      <c r="E4649">
        <v>0.48686819999999997</v>
      </c>
      <c r="F4649" t="s">
        <v>38</v>
      </c>
      <c r="G4649">
        <v>-326.84269999999998</v>
      </c>
      <c r="H4649" s="1">
        <v>-1.744967E-6</v>
      </c>
      <c r="I4649">
        <v>18.08268</v>
      </c>
      <c r="J4649">
        <v>-351.39890000000003</v>
      </c>
      <c r="K4649">
        <v>1.103952</v>
      </c>
      <c r="L4649">
        <v>18.8476</v>
      </c>
      <c r="M4649">
        <v>0.99950399999999995</v>
      </c>
      <c r="N4649">
        <v>0</v>
      </c>
      <c r="O4649">
        <v>-2.7941210000000001E-2</v>
      </c>
      <c r="P4649">
        <v>0.99745319999999904</v>
      </c>
      <c r="Q4649">
        <v>1.464464E-3</v>
      </c>
      <c r="R4649">
        <v>-7.1309890000000001E-2</v>
      </c>
      <c r="S4649">
        <v>3.0008240000000002</v>
      </c>
      <c r="T4649">
        <v>-0.13380539999999999</v>
      </c>
      <c r="U4649">
        <v>-9.3536380000000002E-2</v>
      </c>
      <c r="V4649">
        <v>4.3435880000000003E-2</v>
      </c>
      <c r="W4649">
        <v>1.5909779999999998E-2</v>
      </c>
      <c r="X4649">
        <v>0.99892950000000003</v>
      </c>
      <c r="Y4649">
        <v>3.2368559999999898E-3</v>
      </c>
      <c r="Z4649">
        <v>1.1727280000000001E-3</v>
      </c>
      <c r="AA4649">
        <v>0.999994099999999</v>
      </c>
      <c r="AB4649">
        <v>22</v>
      </c>
      <c r="AC4649">
        <v>24.5562</v>
      </c>
      <c r="AD4649">
        <v>-1.1039537449670001</v>
      </c>
      <c r="AE4649">
        <v>-0.76491999999999905</v>
      </c>
      <c r="AF4649">
        <v>7.8260917223218596E-2</v>
      </c>
      <c r="AG4649">
        <v>-1.1039537449670001</v>
      </c>
      <c r="AH4649">
        <v>24.518480190093001</v>
      </c>
      <c r="AI4649">
        <v>92.578009609120699</v>
      </c>
      <c r="AJ4649">
        <v>89.817117333748897</v>
      </c>
      <c r="AK4649">
        <v>24.5434453464499</v>
      </c>
    </row>
    <row r="4650" spans="1:37" x14ac:dyDescent="0.2">
      <c r="A4650" t="str">
        <f>"20200111160307002"</f>
        <v>20200111160307002</v>
      </c>
      <c r="B4650" t="str">
        <f>"1578729786997594"</f>
        <v>1578729786997594</v>
      </c>
      <c r="C4650" t="s">
        <v>37</v>
      </c>
      <c r="D4650">
        <v>4.6371510000000002</v>
      </c>
      <c r="E4650">
        <v>0.48755720000000002</v>
      </c>
      <c r="F4650" t="s">
        <v>38</v>
      </c>
      <c r="G4650">
        <v>-326.24310000000003</v>
      </c>
      <c r="H4650" s="1">
        <v>-2.041722E-6</v>
      </c>
      <c r="I4650">
        <v>18.007670000000001</v>
      </c>
      <c r="J4650">
        <v>-351.25869999999998</v>
      </c>
      <c r="K4650">
        <v>1.1040190000000001</v>
      </c>
      <c r="L4650">
        <v>18.842770000000002</v>
      </c>
      <c r="M4650">
        <v>0.99948379999999903</v>
      </c>
      <c r="N4650">
        <v>0</v>
      </c>
      <c r="O4650">
        <v>-2.8652460000000001E-2</v>
      </c>
      <c r="P4650">
        <v>0.99738269999999996</v>
      </c>
      <c r="Q4650">
        <v>2.3322519999999999E-3</v>
      </c>
      <c r="R4650">
        <v>-7.2265979999999994E-2</v>
      </c>
      <c r="S4650">
        <v>3.0006710000000001</v>
      </c>
      <c r="T4650">
        <v>-0.13168350000000001</v>
      </c>
      <c r="U4650">
        <v>-0.10018919999999901</v>
      </c>
      <c r="V4650">
        <v>4.3681419999999999E-2</v>
      </c>
      <c r="W4650">
        <v>1.6778459999999999E-2</v>
      </c>
      <c r="X4650">
        <v>0.99890460000000003</v>
      </c>
      <c r="Y4650">
        <v>4.740078E-3</v>
      </c>
      <c r="Z4650">
        <v>1.1523739999999901E-3</v>
      </c>
      <c r="AA4650">
        <v>0.99998809999999905</v>
      </c>
      <c r="AB4650">
        <v>22</v>
      </c>
      <c r="AC4650">
        <v>25.0155999999999</v>
      </c>
      <c r="AD4650">
        <v>-1.104021041722</v>
      </c>
      <c r="AE4650">
        <v>-0.83509999999999995</v>
      </c>
      <c r="AF4650">
        <v>0.11769391161468</v>
      </c>
      <c r="AG4650">
        <v>-1.104021041722</v>
      </c>
      <c r="AH4650">
        <v>24.980655603201001</v>
      </c>
      <c r="AI4650">
        <v>92.530514449799597</v>
      </c>
      <c r="AJ4650">
        <v>89.730058545186495</v>
      </c>
      <c r="AK4650">
        <v>25.0053168082936</v>
      </c>
    </row>
    <row r="4651" spans="1:37" x14ac:dyDescent="0.2">
      <c r="A4651" t="str">
        <f>"20200111160307021"</f>
        <v>20200111160307021</v>
      </c>
      <c r="B4651" t="str">
        <f>"1578729787018090"</f>
        <v>1578729787018090</v>
      </c>
      <c r="C4651" t="s">
        <v>37</v>
      </c>
      <c r="D4651">
        <v>4.6377360000000003</v>
      </c>
      <c r="E4651">
        <v>0.48787849999999999</v>
      </c>
      <c r="F4651" t="s">
        <v>38</v>
      </c>
      <c r="G4651">
        <v>-325.90940000000001</v>
      </c>
      <c r="H4651" s="1">
        <v>-2.21376599999999E-6</v>
      </c>
      <c r="I4651">
        <v>17.92719</v>
      </c>
      <c r="J4651">
        <v>-351.07350000000002</v>
      </c>
      <c r="K4651">
        <v>1.104109</v>
      </c>
      <c r="L4651">
        <v>18.836359999999999</v>
      </c>
      <c r="M4651">
        <v>0.99945930000000005</v>
      </c>
      <c r="N4651">
        <v>0</v>
      </c>
      <c r="O4651">
        <v>-2.9506230000000001E-2</v>
      </c>
      <c r="P4651">
        <v>0.99726130000000002</v>
      </c>
      <c r="Q4651">
        <v>4.0600819999999996E-3</v>
      </c>
      <c r="R4651">
        <v>-7.3850970000000002E-2</v>
      </c>
      <c r="S4651">
        <v>3.0003359999999999</v>
      </c>
      <c r="T4651">
        <v>-0.13067139999999999</v>
      </c>
      <c r="U4651">
        <v>-0.108367899999999</v>
      </c>
      <c r="V4651">
        <v>4.4414999999999899E-2</v>
      </c>
      <c r="W4651">
        <v>1.8506729999999999E-2</v>
      </c>
      <c r="X4651">
        <v>0.9988418</v>
      </c>
      <c r="Y4651">
        <v>6.6109050000000003E-3</v>
      </c>
      <c r="Z4651">
        <v>1.1400150000000001E-3</v>
      </c>
      <c r="AA4651">
        <v>0.99997749999999996</v>
      </c>
      <c r="AB4651">
        <v>22</v>
      </c>
      <c r="AC4651">
        <v>25.164100000000001</v>
      </c>
      <c r="AD4651">
        <v>-1.1041112137660001</v>
      </c>
      <c r="AE4651">
        <v>-0.90916999999999903</v>
      </c>
      <c r="AF4651">
        <v>0.16587925702353101</v>
      </c>
      <c r="AG4651">
        <v>-1.1041112137660001</v>
      </c>
      <c r="AH4651">
        <v>25.1316512244397</v>
      </c>
      <c r="AI4651">
        <v>92.515508573386498</v>
      </c>
      <c r="AJ4651">
        <v>89.621829730287303</v>
      </c>
      <c r="AK4651">
        <v>25.156439946207701</v>
      </c>
    </row>
    <row r="4652" spans="1:37" x14ac:dyDescent="0.2">
      <c r="A4652" t="str">
        <f>"20200111160307045"</f>
        <v>20200111160307045</v>
      </c>
      <c r="B4652" t="str">
        <f>"1578729787037610"</f>
        <v>1578729787037610</v>
      </c>
      <c r="C4652" t="s">
        <v>37</v>
      </c>
      <c r="D4652">
        <v>4.5856750000000002</v>
      </c>
      <c r="E4652">
        <v>0.4881934</v>
      </c>
      <c r="F4652" t="s">
        <v>38</v>
      </c>
      <c r="G4652">
        <v>-325.91109999999998</v>
      </c>
      <c r="H4652" s="1">
        <v>-2.2231960000000001E-6</v>
      </c>
      <c r="I4652">
        <v>17.869409999999998</v>
      </c>
      <c r="J4652">
        <v>-350.84269999999998</v>
      </c>
      <c r="K4652">
        <v>1.1042099999999999</v>
      </c>
      <c r="L4652">
        <v>18.82837</v>
      </c>
      <c r="M4652">
        <v>0.99943169999999903</v>
      </c>
      <c r="N4652">
        <v>0</v>
      </c>
      <c r="O4652">
        <v>-3.0427079999999999E-2</v>
      </c>
      <c r="P4652">
        <v>0.99710290000000001</v>
      </c>
      <c r="Q4652">
        <v>5.2315019999999999E-3</v>
      </c>
      <c r="R4652">
        <v>-7.5885679999999997E-2</v>
      </c>
      <c r="S4652">
        <v>3.0002439999999999</v>
      </c>
      <c r="T4652">
        <v>-0.13164909999999999</v>
      </c>
      <c r="U4652">
        <v>-0.11529539999999899</v>
      </c>
      <c r="V4652">
        <v>4.5529720000000003E-2</v>
      </c>
      <c r="W4652">
        <v>1.9679530000000001E-2</v>
      </c>
      <c r="X4652">
        <v>0.99876909999999897</v>
      </c>
      <c r="Y4652">
        <v>7.9962560000000002E-3</v>
      </c>
      <c r="Z4652">
        <v>1.1584950000000001E-3</v>
      </c>
      <c r="AA4652">
        <v>0.9999673</v>
      </c>
      <c r="AB4652">
        <v>22</v>
      </c>
      <c r="AC4652">
        <v>24.9316</v>
      </c>
      <c r="AD4652">
        <v>-1.1042122231960001</v>
      </c>
      <c r="AE4652">
        <v>-0.95895999999999704</v>
      </c>
      <c r="AF4652">
        <v>0.19944960928257899</v>
      </c>
      <c r="AG4652">
        <v>-1.1042122231960001</v>
      </c>
      <c r="AH4652">
        <v>24.900463435756102</v>
      </c>
      <c r="AI4652">
        <v>92.539039190123802</v>
      </c>
      <c r="AJ4652">
        <v>89.541077760065704</v>
      </c>
      <c r="AK4652">
        <v>24.925732568892101</v>
      </c>
    </row>
    <row r="4653" spans="1:37" x14ac:dyDescent="0.2">
      <c r="A4653" t="str">
        <f>"20200111160307067"</f>
        <v>20200111160307067</v>
      </c>
      <c r="B4653" t="str">
        <f>"1578729787058105"</f>
        <v>1578729787058105</v>
      </c>
      <c r="C4653" t="s">
        <v>37</v>
      </c>
      <c r="D4653">
        <v>4.6188039999999999</v>
      </c>
      <c r="E4653">
        <v>0.48845769999999999</v>
      </c>
      <c r="F4653" t="s">
        <v>38</v>
      </c>
      <c r="G4653">
        <v>-325.7774</v>
      </c>
      <c r="H4653" s="1">
        <v>-2.299685E-6</v>
      </c>
      <c r="I4653">
        <v>17.794429999999998</v>
      </c>
      <c r="J4653">
        <v>-350.62959999999998</v>
      </c>
      <c r="K4653">
        <v>1.1043080000000001</v>
      </c>
      <c r="L4653">
        <v>18.820920000000001</v>
      </c>
      <c r="M4653">
        <v>0.99940980000000001</v>
      </c>
      <c r="N4653">
        <v>0</v>
      </c>
      <c r="O4653">
        <v>-3.113983E-2</v>
      </c>
      <c r="P4653">
        <v>0.99686330000000001</v>
      </c>
      <c r="Q4653">
        <v>6.3424969999999999E-3</v>
      </c>
      <c r="R4653">
        <v>-7.8887650000000004E-2</v>
      </c>
      <c r="S4653">
        <v>3</v>
      </c>
      <c r="T4653">
        <v>-0.13216029999999901</v>
      </c>
      <c r="U4653">
        <v>-0.12374880000000001</v>
      </c>
      <c r="V4653">
        <v>4.7822009999999998E-2</v>
      </c>
      <c r="W4653">
        <v>2.078986E-2</v>
      </c>
      <c r="X4653">
        <v>0.99863950000000001</v>
      </c>
      <c r="Y4653">
        <v>1.0098269999999999E-2</v>
      </c>
      <c r="Z4653">
        <v>1.148098E-3</v>
      </c>
      <c r="AA4653">
        <v>0.99994830000000001</v>
      </c>
      <c r="AB4653">
        <v>22</v>
      </c>
      <c r="AC4653">
        <v>24.8521999999999</v>
      </c>
      <c r="AD4653">
        <v>-1.1043102996850001</v>
      </c>
      <c r="AE4653">
        <v>-1.0264899999999999</v>
      </c>
      <c r="AF4653">
        <v>0.25152161299682102</v>
      </c>
      <c r="AG4653">
        <v>-1.1043102996850001</v>
      </c>
      <c r="AH4653">
        <v>24.823183788413399</v>
      </c>
      <c r="AI4653">
        <v>92.547110290663099</v>
      </c>
      <c r="AJ4653">
        <v>89.419468757656801</v>
      </c>
      <c r="AK4653">
        <v>24.849008385711201</v>
      </c>
    </row>
    <row r="4654" spans="1:37" x14ac:dyDescent="0.2">
      <c r="A4654" t="str">
        <f>"20200111160307088"</f>
        <v>20200111160307088</v>
      </c>
      <c r="B4654" t="str">
        <f>"1578729787077625"</f>
        <v>1578729787077625</v>
      </c>
      <c r="C4654" t="s">
        <v>37</v>
      </c>
      <c r="D4654">
        <v>4.7832089999999896</v>
      </c>
      <c r="E4654">
        <v>0.48841459999999998</v>
      </c>
      <c r="F4654" t="s">
        <v>38</v>
      </c>
      <c r="G4654">
        <v>-325.76139999999998</v>
      </c>
      <c r="H4654" s="1">
        <v>-2.3230200000000002E-6</v>
      </c>
      <c r="I4654">
        <v>17.705690000000001</v>
      </c>
      <c r="J4654">
        <v>-350.42829999999998</v>
      </c>
      <c r="K4654">
        <v>1.1043889999999901</v>
      </c>
      <c r="L4654">
        <v>18.8139</v>
      </c>
      <c r="M4654">
        <v>0.99939259999999996</v>
      </c>
      <c r="N4654">
        <v>0</v>
      </c>
      <c r="O4654">
        <v>-3.168841E-2</v>
      </c>
      <c r="P4654">
        <v>0.99660059999999995</v>
      </c>
      <c r="Q4654">
        <v>6.0321350000000001E-3</v>
      </c>
      <c r="R4654">
        <v>-8.216482E-2</v>
      </c>
      <c r="S4654">
        <v>2.9996640000000001</v>
      </c>
      <c r="T4654">
        <v>-0.1332043</v>
      </c>
      <c r="U4654">
        <v>-0.13452149999999999</v>
      </c>
      <c r="V4654">
        <v>5.0553180000000003E-2</v>
      </c>
      <c r="W4654">
        <v>2.0478550000000002E-2</v>
      </c>
      <c r="X4654">
        <v>0.99851139999999905</v>
      </c>
      <c r="Y4654">
        <v>1.313629E-2</v>
      </c>
      <c r="Z4654">
        <v>1.114114E-3</v>
      </c>
      <c r="AA4654">
        <v>0.999913099999999</v>
      </c>
      <c r="AB4654">
        <v>22</v>
      </c>
      <c r="AC4654">
        <v>24.666899999999998</v>
      </c>
      <c r="AD4654">
        <v>-1.10439132301999</v>
      </c>
      <c r="AE4654">
        <v>-1.1082099999999899</v>
      </c>
      <c r="AF4654">
        <v>0.32526560289332901</v>
      </c>
      <c r="AG4654">
        <v>-1.10439132301999</v>
      </c>
      <c r="AH4654">
        <v>24.640337404154501</v>
      </c>
      <c r="AI4654">
        <v>92.566082538806299</v>
      </c>
      <c r="AJ4654">
        <v>89.243709061789204</v>
      </c>
      <c r="AK4654">
        <v>24.667219245333701</v>
      </c>
    </row>
    <row r="4655" spans="1:37" x14ac:dyDescent="0.2">
      <c r="A4655" t="str">
        <f>"20200111160307103"</f>
        <v>20200111160307103</v>
      </c>
      <c r="B4655" t="str">
        <f>"1578729787098122"</f>
        <v>1578729787098122</v>
      </c>
      <c r="C4655" t="s">
        <v>37</v>
      </c>
      <c r="D4655">
        <v>4.6719809999999997</v>
      </c>
      <c r="E4655">
        <v>0.48804199999999998</v>
      </c>
      <c r="F4655" t="s">
        <v>38</v>
      </c>
      <c r="G4655">
        <v>-326.39210000000003</v>
      </c>
      <c r="H4655" s="1">
        <v>-2.0324689999999998E-6</v>
      </c>
      <c r="I4655">
        <v>17.662949999999999</v>
      </c>
      <c r="J4655">
        <v>-350.29129999999998</v>
      </c>
      <c r="K4655">
        <v>1.1044399999999901</v>
      </c>
      <c r="L4655">
        <v>18.809170000000002</v>
      </c>
      <c r="M4655">
        <v>0.99938340000000003</v>
      </c>
      <c r="N4655">
        <v>0</v>
      </c>
      <c r="O4655">
        <v>-3.1979830000000001E-2</v>
      </c>
      <c r="P4655">
        <v>0.99646499999999905</v>
      </c>
      <c r="Q4655">
        <v>5.3900959999999996E-3</v>
      </c>
      <c r="R4655">
        <v>-8.3835950000000006E-2</v>
      </c>
      <c r="S4655">
        <v>2.9992369999999999</v>
      </c>
      <c r="T4655">
        <v>-0.13780590000000001</v>
      </c>
      <c r="U4655">
        <v>-0.14361570000000001</v>
      </c>
      <c r="V4655">
        <v>5.1933699999999999E-2</v>
      </c>
      <c r="W4655">
        <v>1.983733E-2</v>
      </c>
      <c r="X4655">
        <v>0.99845349999999999</v>
      </c>
      <c r="Y4655">
        <v>1.5875179999999999E-2</v>
      </c>
      <c r="Z4655">
        <v>1.103141E-3</v>
      </c>
      <c r="AA4655">
        <v>0.99987340000000002</v>
      </c>
      <c r="AB4655">
        <v>22</v>
      </c>
      <c r="AC4655">
        <v>23.899199999999901</v>
      </c>
      <c r="AD4655">
        <v>-1.1044420324690001</v>
      </c>
      <c r="AE4655">
        <v>-1.14622</v>
      </c>
      <c r="AF4655">
        <v>0.38045031951848501</v>
      </c>
      <c r="AG4655">
        <v>-1.1044420324690001</v>
      </c>
      <c r="AH4655">
        <v>23.8727675186684</v>
      </c>
      <c r="AI4655">
        <v>92.648488970008799</v>
      </c>
      <c r="AJ4655">
        <v>89.086978395345298</v>
      </c>
      <c r="AK4655">
        <v>23.901329746461698</v>
      </c>
    </row>
    <row r="4656" spans="1:37" x14ac:dyDescent="0.2">
      <c r="A4656" t="str">
        <f>"20200111160307125"</f>
        <v>20200111160307125</v>
      </c>
      <c r="B4656" t="str">
        <f>"1578729787117643"</f>
        <v>1578729787117643</v>
      </c>
      <c r="C4656" t="s">
        <v>37</v>
      </c>
      <c r="D4656">
        <v>5.0106960000000003</v>
      </c>
      <c r="E4656">
        <v>0.4880929</v>
      </c>
      <c r="F4656" t="s">
        <v>38</v>
      </c>
      <c r="G4656">
        <v>-326.9751</v>
      </c>
      <c r="H4656" s="1">
        <v>-1.7541559999999999E-6</v>
      </c>
      <c r="I4656">
        <v>17.6782</v>
      </c>
      <c r="J4656">
        <v>-350.07780000000002</v>
      </c>
      <c r="K4656">
        <v>1.104517</v>
      </c>
      <c r="L4656">
        <v>18.80179</v>
      </c>
      <c r="M4656">
        <v>0.99937180000000003</v>
      </c>
      <c r="N4656">
        <v>0</v>
      </c>
      <c r="O4656">
        <v>-3.2342620000000002E-2</v>
      </c>
      <c r="P4656">
        <v>0.99619930000000001</v>
      </c>
      <c r="Q4656">
        <v>4.5997429999999999E-3</v>
      </c>
      <c r="R4656">
        <v>-8.698351E-2</v>
      </c>
      <c r="S4656">
        <v>2.9991759999999998</v>
      </c>
      <c r="T4656">
        <v>-0.14206479999999999</v>
      </c>
      <c r="U4656">
        <v>-0.1454773</v>
      </c>
      <c r="V4656">
        <v>5.4721440000000003E-2</v>
      </c>
      <c r="W4656">
        <v>1.904689E-2</v>
      </c>
      <c r="X4656">
        <v>0.99831999999999999</v>
      </c>
      <c r="Y4656">
        <v>1.613353E-2</v>
      </c>
      <c r="Z4656">
        <v>1.14824E-3</v>
      </c>
      <c r="AA4656">
        <v>0.99986919999999901</v>
      </c>
      <c r="AB4656">
        <v>22</v>
      </c>
      <c r="AC4656">
        <v>23.102699999999999</v>
      </c>
      <c r="AD4656">
        <v>-1.104518754156</v>
      </c>
      <c r="AE4656">
        <v>-1.1235900000000001</v>
      </c>
      <c r="AF4656">
        <v>0.37486694469398402</v>
      </c>
      <c r="AG4656">
        <v>-1.104518754156</v>
      </c>
      <c r="AH4656">
        <v>23.0743379879166</v>
      </c>
      <c r="AI4656">
        <v>92.740172378012005</v>
      </c>
      <c r="AJ4656">
        <v>89.069251542512106</v>
      </c>
      <c r="AK4656">
        <v>23.1037996979959</v>
      </c>
    </row>
    <row r="4657" spans="1:37" x14ac:dyDescent="0.2">
      <c r="A4657" t="str">
        <f>"20200111160307145"</f>
        <v>20200111160307145</v>
      </c>
      <c r="B4657" t="str">
        <f>"1578729787138138"</f>
        <v>1578729787138138</v>
      </c>
      <c r="C4657" t="s">
        <v>37</v>
      </c>
      <c r="D4657">
        <v>4.8328600000000002</v>
      </c>
      <c r="E4657">
        <v>0.48827199999999998</v>
      </c>
      <c r="F4657" t="s">
        <v>38</v>
      </c>
      <c r="G4657">
        <v>-327.2242</v>
      </c>
      <c r="H4657" s="1">
        <v>-1.646945E-6</v>
      </c>
      <c r="I4657">
        <v>17.618839999999999</v>
      </c>
      <c r="J4657">
        <v>-349.87849999999997</v>
      </c>
      <c r="K4657">
        <v>1.104582</v>
      </c>
      <c r="L4657">
        <v>18.794979999999999</v>
      </c>
      <c r="M4657">
        <v>0.99936460000000005</v>
      </c>
      <c r="N4657">
        <v>0</v>
      </c>
      <c r="O4657">
        <v>-3.2571170000000003E-2</v>
      </c>
      <c r="P4657">
        <v>0.99586770000000002</v>
      </c>
      <c r="Q4657">
        <v>3.8997720000000001E-3</v>
      </c>
      <c r="R4657">
        <v>-9.0732980000000005E-2</v>
      </c>
      <c r="S4657">
        <v>2.9985659999999998</v>
      </c>
      <c r="T4657">
        <v>-0.1449211</v>
      </c>
      <c r="U4657">
        <v>-0.1552124</v>
      </c>
      <c r="V4657">
        <v>5.8248080000000001E-2</v>
      </c>
      <c r="W4657">
        <v>1.8346540000000001E-2</v>
      </c>
      <c r="X4657">
        <v>0.99813349999999901</v>
      </c>
      <c r="Y4657">
        <v>1.9150150000000001E-2</v>
      </c>
      <c r="Z4657">
        <v>1.1096389999999999E-3</v>
      </c>
      <c r="AA4657">
        <v>0.99981600000000004</v>
      </c>
      <c r="AB4657">
        <v>22</v>
      </c>
      <c r="AC4657">
        <v>22.6542999999999</v>
      </c>
      <c r="AD4657">
        <v>-1.1045836469449899</v>
      </c>
      <c r="AE4657">
        <v>-1.17614</v>
      </c>
      <c r="AF4657">
        <v>0.436526471175812</v>
      </c>
      <c r="AG4657">
        <v>-1.1045836469449899</v>
      </c>
      <c r="AH4657">
        <v>22.626941895084599</v>
      </c>
      <c r="AI4657">
        <v>92.794280927511295</v>
      </c>
      <c r="AJ4657">
        <v>88.894767916253997</v>
      </c>
      <c r="AK4657">
        <v>22.6580925921991</v>
      </c>
    </row>
    <row r="4658" spans="1:37" x14ac:dyDescent="0.2">
      <c r="A4658" t="str">
        <f>"20200111160307168"</f>
        <v>20200111160307168</v>
      </c>
      <c r="B4658" t="str">
        <f>"1578729787157657"</f>
        <v>1578729787157657</v>
      </c>
      <c r="C4658" t="s">
        <v>37</v>
      </c>
      <c r="D4658">
        <v>4.714512</v>
      </c>
      <c r="E4658">
        <v>0.4879597</v>
      </c>
      <c r="F4658" t="s">
        <v>38</v>
      </c>
      <c r="G4658">
        <v>-327.19990000000001</v>
      </c>
      <c r="H4658" s="1">
        <v>-1.6752379999999899E-6</v>
      </c>
      <c r="I4658">
        <v>17.52402</v>
      </c>
      <c r="J4658">
        <v>-349.66019999999997</v>
      </c>
      <c r="K4658">
        <v>1.1046389999999999</v>
      </c>
      <c r="L4658">
        <v>18.787600000000001</v>
      </c>
      <c r="M4658">
        <v>0.99935969999999996</v>
      </c>
      <c r="N4658">
        <v>0</v>
      </c>
      <c r="O4658">
        <v>-3.2720260000000001E-2</v>
      </c>
      <c r="P4658">
        <v>0.99538179999999998</v>
      </c>
      <c r="Q4658">
        <v>2.9565209999999902E-3</v>
      </c>
      <c r="R4658">
        <v>-9.5950220000000003E-2</v>
      </c>
      <c r="S4658">
        <v>2.9977109999999998</v>
      </c>
      <c r="T4658">
        <v>-0.1460061</v>
      </c>
      <c r="U4658">
        <v>-0.16799929999999999</v>
      </c>
      <c r="V4658">
        <v>6.3326729999999998E-2</v>
      </c>
      <c r="W4658">
        <v>1.7402069999999999E-2</v>
      </c>
      <c r="X4658">
        <v>0.99784110000000004</v>
      </c>
      <c r="Y4658">
        <v>2.326348E-2</v>
      </c>
      <c r="Z4658">
        <v>1.025312E-3</v>
      </c>
      <c r="AA4658">
        <v>0.99972890000000003</v>
      </c>
      <c r="AB4658">
        <v>21</v>
      </c>
      <c r="AC4658">
        <v>22.460299999999901</v>
      </c>
      <c r="AD4658">
        <v>-1.104640675238</v>
      </c>
      <c r="AE4658">
        <v>-1.2635799999999999</v>
      </c>
      <c r="AF4658">
        <v>0.52664952322852898</v>
      </c>
      <c r="AG4658">
        <v>-1.104640675238</v>
      </c>
      <c r="AH4658">
        <v>22.435522887210698</v>
      </c>
      <c r="AI4658">
        <v>92.817977155352196</v>
      </c>
      <c r="AJ4658">
        <v>88.655290781707293</v>
      </c>
      <c r="AK4658">
        <v>22.468873535721801</v>
      </c>
    </row>
    <row r="4659" spans="1:37" x14ac:dyDescent="0.2">
      <c r="A4659" t="str">
        <f>"20200111160307190"</f>
        <v>20200111160307190</v>
      </c>
      <c r="B4659" t="str">
        <f>"1578729787187913"</f>
        <v>1578729787187913</v>
      </c>
      <c r="C4659" t="s">
        <v>37</v>
      </c>
      <c r="D4659">
        <v>4.7614859999999997</v>
      </c>
      <c r="E4659">
        <v>0.48758899999999999</v>
      </c>
      <c r="F4659" t="s">
        <v>38</v>
      </c>
      <c r="G4659">
        <v>-327.84120000000001</v>
      </c>
      <c r="H4659" s="1">
        <v>-1.3840439999999999E-6</v>
      </c>
      <c r="I4659">
        <v>17.470949999999998</v>
      </c>
      <c r="J4659">
        <v>-349.45350000000002</v>
      </c>
      <c r="K4659">
        <v>1.1046879999999999</v>
      </c>
      <c r="L4659">
        <v>18.780729999999998</v>
      </c>
      <c r="M4659">
        <v>0.99935819999999997</v>
      </c>
      <c r="N4659">
        <v>0</v>
      </c>
      <c r="O4659">
        <v>-3.27695E-2</v>
      </c>
      <c r="P4659">
        <v>0.9947376</v>
      </c>
      <c r="Q4659">
        <v>2.5497530000000001E-3</v>
      </c>
      <c r="R4659">
        <v>-0.10242319999999901</v>
      </c>
      <c r="S4659">
        <v>2.996918</v>
      </c>
      <c r="T4659">
        <v>-0.151726799999999</v>
      </c>
      <c r="U4659">
        <v>-0.18084720000000001</v>
      </c>
      <c r="V4659">
        <v>6.976599E-2</v>
      </c>
      <c r="W4659">
        <v>1.6991579999999999E-2</v>
      </c>
      <c r="X4659">
        <v>0.99741859999999904</v>
      </c>
      <c r="Y4659">
        <v>2.7495760000000001E-2</v>
      </c>
      <c r="Z4659">
        <v>9.6107229999999998E-4</v>
      </c>
      <c r="AA4659">
        <v>0.99962150000000005</v>
      </c>
      <c r="AB4659">
        <v>21</v>
      </c>
      <c r="AC4659">
        <v>21.612300000000001</v>
      </c>
      <c r="AD4659">
        <v>-1.104689384044</v>
      </c>
      <c r="AE4659">
        <v>-1.3097799999999999</v>
      </c>
      <c r="AF4659">
        <v>0.59921819913121499</v>
      </c>
      <c r="AG4659">
        <v>-1.104689384044</v>
      </c>
      <c r="AH4659">
        <v>21.587422081814399</v>
      </c>
      <c r="AI4659">
        <v>92.928305715030206</v>
      </c>
      <c r="AJ4659">
        <v>88.410006527305399</v>
      </c>
      <c r="AK4659">
        <v>21.6239726512913</v>
      </c>
    </row>
    <row r="4660" spans="1:37" x14ac:dyDescent="0.2">
      <c r="A4660" t="str">
        <f>"20200111160307213"</f>
        <v>20200111160307213</v>
      </c>
      <c r="B4660" t="str">
        <f>"1578729787207434"</f>
        <v>1578729787207434</v>
      </c>
      <c r="C4660" t="s">
        <v>37</v>
      </c>
      <c r="D4660">
        <v>4.8963779999999897</v>
      </c>
      <c r="E4660">
        <v>0.5133529</v>
      </c>
      <c r="F4660" t="s">
        <v>38</v>
      </c>
      <c r="G4660">
        <v>-328.29169999999999</v>
      </c>
      <c r="H4660" s="1">
        <v>-1.23309E-6</v>
      </c>
      <c r="I4660">
        <v>17.38822</v>
      </c>
      <c r="J4660">
        <v>-349.23950000000002</v>
      </c>
      <c r="K4660">
        <v>1.1047260000000001</v>
      </c>
      <c r="L4660">
        <v>18.773679999999999</v>
      </c>
      <c r="M4660">
        <v>0.99935879999999999</v>
      </c>
      <c r="N4660">
        <v>0</v>
      </c>
      <c r="O4660">
        <v>-3.2753709999999998E-2</v>
      </c>
      <c r="P4660">
        <v>0.99372919999999998</v>
      </c>
      <c r="Q4660">
        <v>1.8698160000000001E-3</v>
      </c>
      <c r="R4660">
        <v>-0.11179799999999999</v>
      </c>
      <c r="S4660">
        <v>2.9959720000000001</v>
      </c>
      <c r="T4660">
        <v>-0.1563957</v>
      </c>
      <c r="U4660">
        <v>-0.1971436</v>
      </c>
      <c r="V4660">
        <v>7.9183199999999995E-2</v>
      </c>
      <c r="W4660">
        <v>1.630407E-2</v>
      </c>
      <c r="X4660">
        <v>0.99672680000000002</v>
      </c>
      <c r="Y4660">
        <v>3.2938929999999998E-2</v>
      </c>
      <c r="Z4660">
        <v>8.4806629999999996E-4</v>
      </c>
      <c r="AA4660">
        <v>0.99945699999999904</v>
      </c>
      <c r="AB4660">
        <v>21</v>
      </c>
      <c r="AC4660">
        <v>20.947800000000001</v>
      </c>
      <c r="AD4660">
        <v>-1.10472723309</v>
      </c>
      <c r="AE4660">
        <v>-1.3854599999999899</v>
      </c>
      <c r="AF4660">
        <v>0.69659759644800201</v>
      </c>
      <c r="AG4660">
        <v>-1.10472723309</v>
      </c>
      <c r="AH4660">
        <v>20.9240013527413</v>
      </c>
      <c r="AI4660">
        <v>93.020576279533103</v>
      </c>
      <c r="AJ4660">
        <v>88.093224810194897</v>
      </c>
      <c r="AK4660">
        <v>20.964720438880899</v>
      </c>
    </row>
    <row r="4661" spans="1:37" x14ac:dyDescent="0.2">
      <c r="A4661" t="str">
        <f>"20200111160307234"</f>
        <v>20200111160307234</v>
      </c>
      <c r="B4661" t="str">
        <f>"1578729787227931"</f>
        <v>1578729787227931</v>
      </c>
      <c r="C4661" t="s">
        <v>37</v>
      </c>
      <c r="D4661">
        <v>5.3721319999999997</v>
      </c>
      <c r="E4661">
        <v>0.58068529999999996</v>
      </c>
      <c r="F4661" t="s">
        <v>42</v>
      </c>
      <c r="G4661">
        <v>-348.36959999999999</v>
      </c>
      <c r="H4661">
        <v>1.0246120000000001</v>
      </c>
      <c r="I4661">
        <v>18.65006</v>
      </c>
      <c r="J4661">
        <v>-349.03</v>
      </c>
      <c r="K4661">
        <v>1.1047370000000001</v>
      </c>
      <c r="L4661">
        <v>18.766819999999999</v>
      </c>
      <c r="M4661">
        <v>0.99936069999999999</v>
      </c>
      <c r="N4661">
        <v>0</v>
      </c>
      <c r="O4661">
        <v>-3.27012E-2</v>
      </c>
      <c r="P4661">
        <v>0.99199760000000003</v>
      </c>
      <c r="Q4661">
        <v>1.415204E-3</v>
      </c>
      <c r="R4661">
        <v>-0.12625039999999901</v>
      </c>
      <c r="S4661">
        <v>2.971924</v>
      </c>
      <c r="T4661">
        <v>-0.27369679999999902</v>
      </c>
      <c r="U4661">
        <v>-0.42233279999999901</v>
      </c>
      <c r="V4661">
        <v>9.3736340000000001E-2</v>
      </c>
      <c r="W4661">
        <v>1.583207E-2</v>
      </c>
      <c r="X4661">
        <v>0.9954712</v>
      </c>
      <c r="Y4661">
        <v>0.1079278</v>
      </c>
      <c r="Z4661">
        <v>-1.9461400000000001E-3</v>
      </c>
      <c r="AA4661">
        <v>0.99415679999999995</v>
      </c>
      <c r="AB4661">
        <v>21</v>
      </c>
      <c r="AC4661">
        <v>0.660399999999981</v>
      </c>
      <c r="AD4661">
        <v>-8.0125000000000002E-2</v>
      </c>
      <c r="AE4661">
        <v>-0.116760000000002</v>
      </c>
      <c r="AF4661">
        <v>9.3761041401717801E-2</v>
      </c>
      <c r="AG4661">
        <v>-8.0125000000000002E-2</v>
      </c>
      <c r="AH4661">
        <v>0.65452247946696995</v>
      </c>
      <c r="AI4661">
        <v>96.909438287721599</v>
      </c>
      <c r="AJ4661">
        <v>81.847780264753894</v>
      </c>
      <c r="AK4661">
        <v>0.66604115836585098</v>
      </c>
    </row>
    <row r="4662" spans="1:37" x14ac:dyDescent="0.2">
      <c r="A4662" t="str">
        <f>"20200111160307257"</f>
        <v>20200111160307257</v>
      </c>
      <c r="B4662" t="str">
        <f>"1578729787247449"</f>
        <v>1578729787247449</v>
      </c>
      <c r="C4662" t="s">
        <v>37</v>
      </c>
      <c r="D4662">
        <v>4.5903349999999996</v>
      </c>
      <c r="E4662">
        <v>0.59528610000000004</v>
      </c>
      <c r="F4662" t="s">
        <v>38</v>
      </c>
      <c r="G4662">
        <v>-338.76339999999999</v>
      </c>
      <c r="H4662" s="1">
        <v>-1.573344E-6</v>
      </c>
      <c r="I4662">
        <v>15.23232</v>
      </c>
      <c r="J4662">
        <v>-348.81540000000001</v>
      </c>
      <c r="K4662">
        <v>1.104727</v>
      </c>
      <c r="L4662">
        <v>18.759799999999998</v>
      </c>
      <c r="M4662">
        <v>0.999362999999999</v>
      </c>
      <c r="N4662">
        <v>0</v>
      </c>
      <c r="O4662">
        <v>-3.2629560000000002E-2</v>
      </c>
      <c r="P4662">
        <v>0.98947160000000001</v>
      </c>
      <c r="Q4662">
        <v>4.9999919999999995E-4</v>
      </c>
      <c r="R4662">
        <v>-0.14472670000000001</v>
      </c>
      <c r="S4662">
        <v>2.897675</v>
      </c>
      <c r="T4662">
        <v>-0.31180269999999999</v>
      </c>
      <c r="U4662">
        <v>-0.99755859999999996</v>
      </c>
      <c r="V4662">
        <v>0.1123569</v>
      </c>
      <c r="W4662">
        <v>1.488661E-2</v>
      </c>
      <c r="X4662">
        <v>0.99355640000000001</v>
      </c>
      <c r="Y4662">
        <v>0.29314220000000002</v>
      </c>
      <c r="Z4662">
        <v>-1.1890589999999999E-2</v>
      </c>
      <c r="AA4662">
        <v>0.95599489999999998</v>
      </c>
      <c r="AB4662">
        <v>21</v>
      </c>
      <c r="AC4662">
        <v>10.052</v>
      </c>
      <c r="AD4662">
        <v>-1.104728573344</v>
      </c>
      <c r="AE4662">
        <v>-3.52747999999999</v>
      </c>
      <c r="AF4662">
        <v>3.1635538494442401</v>
      </c>
      <c r="AG4662">
        <v>-1.104728573344</v>
      </c>
      <c r="AH4662">
        <v>10.053641728242599</v>
      </c>
      <c r="AI4662">
        <v>95.983701814786201</v>
      </c>
      <c r="AJ4662">
        <v>72.5329078704724</v>
      </c>
      <c r="AK4662">
        <v>10.597368077921899</v>
      </c>
    </row>
    <row r="4663" spans="1:37" x14ac:dyDescent="0.2">
      <c r="A4663" t="str">
        <f>"20200111160307271"</f>
        <v>20200111160307271</v>
      </c>
      <c r="B4663" t="str">
        <f>"1578729787267946"</f>
        <v>1578729787267946</v>
      </c>
      <c r="C4663" t="s">
        <v>37</v>
      </c>
      <c r="D4663">
        <v>4.9444540000000003</v>
      </c>
      <c r="E4663">
        <v>0.672500599999999</v>
      </c>
      <c r="F4663" t="s">
        <v>38</v>
      </c>
      <c r="G4663">
        <v>-338.67009999999999</v>
      </c>
      <c r="H4663" s="1">
        <v>-1.7686009999999999E-6</v>
      </c>
      <c r="I4663">
        <v>14.61783</v>
      </c>
      <c r="J4663">
        <v>-348.6814</v>
      </c>
      <c r="K4663">
        <v>1.1047169999999999</v>
      </c>
      <c r="L4663">
        <v>18.755459999999999</v>
      </c>
      <c r="M4663">
        <v>0.99936460000000005</v>
      </c>
      <c r="N4663">
        <v>0</v>
      </c>
      <c r="O4663">
        <v>-3.2583059999999997E-2</v>
      </c>
      <c r="P4663">
        <v>0.98797500000000005</v>
      </c>
      <c r="Q4663">
        <v>4.37513E-4</v>
      </c>
      <c r="R4663">
        <v>-0.1546129</v>
      </c>
      <c r="S4663">
        <v>2.8612669999999998</v>
      </c>
      <c r="T4663">
        <v>-0.31156279999999997</v>
      </c>
      <c r="U4663">
        <v>-1.168121</v>
      </c>
      <c r="V4663">
        <v>0.122333199999999</v>
      </c>
      <c r="W4663">
        <v>1.480413E-2</v>
      </c>
      <c r="X4663">
        <v>0.99237869999999995</v>
      </c>
      <c r="Y4663">
        <v>0.34601500000000002</v>
      </c>
      <c r="Z4663">
        <v>-1.466871E-2</v>
      </c>
      <c r="AA4663">
        <v>0.93811429999999996</v>
      </c>
      <c r="AB4663">
        <v>21</v>
      </c>
      <c r="AC4663">
        <v>10.0113</v>
      </c>
      <c r="AD4663">
        <v>-1.104718768601</v>
      </c>
      <c r="AE4663">
        <v>-4.1376299999999997</v>
      </c>
      <c r="AF4663">
        <v>3.7699917063456798</v>
      </c>
      <c r="AG4663">
        <v>-1.104718768601</v>
      </c>
      <c r="AH4663">
        <v>10.0364346569093</v>
      </c>
      <c r="AI4663">
        <v>95.883061079582006</v>
      </c>
      <c r="AJ4663">
        <v>69.4122864322227</v>
      </c>
      <c r="AK4663">
        <v>10.7779061809808</v>
      </c>
    </row>
    <row r="4664" spans="1:37" x14ac:dyDescent="0.2">
      <c r="A4664" t="str">
        <f>"20200111160307289"</f>
        <v>20200111160307289</v>
      </c>
      <c r="B4664" t="str">
        <f>"1578729787277705"</f>
        <v>1578729787277705</v>
      </c>
      <c r="C4664" t="s">
        <v>37</v>
      </c>
      <c r="D4664">
        <v>4.9563420000000002</v>
      </c>
      <c r="E4664">
        <v>0.67442469999999999</v>
      </c>
      <c r="F4664" t="s">
        <v>39</v>
      </c>
      <c r="G4664">
        <v>-318.4076</v>
      </c>
      <c r="H4664">
        <v>-0.05</v>
      </c>
      <c r="I4664">
        <v>-1.2568509999999999</v>
      </c>
      <c r="J4664">
        <v>-348.51310000000001</v>
      </c>
      <c r="K4664">
        <v>1.104708</v>
      </c>
      <c r="L4664">
        <v>18.75</v>
      </c>
      <c r="M4664">
        <v>0.99936639999999999</v>
      </c>
      <c r="N4664">
        <v>0</v>
      </c>
      <c r="O4664">
        <v>-3.25282E-2</v>
      </c>
      <c r="P4664">
        <v>0.9847766</v>
      </c>
      <c r="Q4664">
        <v>1.081388E-3</v>
      </c>
      <c r="R4664">
        <v>-0.17382210000000001</v>
      </c>
      <c r="S4664">
        <v>2.7518919999999998</v>
      </c>
      <c r="T4664">
        <v>-0.104964</v>
      </c>
      <c r="U4664">
        <v>-1.8191219999999999</v>
      </c>
      <c r="V4664">
        <v>0.14169129999999899</v>
      </c>
      <c r="W4664">
        <v>1.540535E-2</v>
      </c>
      <c r="X4664">
        <v>0.98979099999999998</v>
      </c>
      <c r="Y4664">
        <v>0.523771599999999</v>
      </c>
      <c r="Z4664">
        <v>-7.9581080000000002E-3</v>
      </c>
      <c r="AA4664">
        <v>0.85182159999999996</v>
      </c>
      <c r="AB4664">
        <v>21</v>
      </c>
      <c r="AC4664">
        <v>30.105499999999999</v>
      </c>
      <c r="AD4664">
        <v>-1.1547080000000001</v>
      </c>
      <c r="AE4664">
        <v>-20.006851000000001</v>
      </c>
      <c r="AF4664">
        <v>18.997495376345601</v>
      </c>
      <c r="AG4664">
        <v>-1.1547080000000001</v>
      </c>
      <c r="AH4664">
        <v>30.709082725367399</v>
      </c>
      <c r="AI4664">
        <v>91.8315380394003</v>
      </c>
      <c r="AJ4664">
        <v>58.257908770636597</v>
      </c>
      <c r="AK4664">
        <v>36.1287412315042</v>
      </c>
    </row>
    <row r="4665" spans="1:37" x14ac:dyDescent="0.2">
      <c r="A4665" t="str">
        <f>"20200111160307303"</f>
        <v>20200111160307303</v>
      </c>
      <c r="B4665" t="str">
        <f>"1578729787298202"</f>
        <v>1578729787298202</v>
      </c>
      <c r="C4665" t="s">
        <v>37</v>
      </c>
      <c r="D4665">
        <v>4.9359070000000003</v>
      </c>
      <c r="E4665">
        <v>0.67556459999999996</v>
      </c>
      <c r="F4665" t="s">
        <v>39</v>
      </c>
      <c r="G4665">
        <v>-318.02179999999998</v>
      </c>
      <c r="H4665">
        <v>-0.05</v>
      </c>
      <c r="I4665">
        <v>-2.461929</v>
      </c>
      <c r="J4665">
        <v>-348.38069999999999</v>
      </c>
      <c r="K4665">
        <v>1.104697</v>
      </c>
      <c r="L4665">
        <v>18.74567</v>
      </c>
      <c r="M4665">
        <v>0.99936749999999996</v>
      </c>
      <c r="N4665">
        <v>0</v>
      </c>
      <c r="O4665">
        <v>-3.2496230000000001E-2</v>
      </c>
      <c r="P4665">
        <v>0.98175569999999901</v>
      </c>
      <c r="Q4665">
        <v>2.8208959999999998E-3</v>
      </c>
      <c r="R4665">
        <v>-0.1901255</v>
      </c>
      <c r="S4665">
        <v>2.7133180000000001</v>
      </c>
      <c r="T4665">
        <v>-0.10275330000000001</v>
      </c>
      <c r="U4665">
        <v>-1.8875729999999999</v>
      </c>
      <c r="V4665">
        <v>0.15811620000000001</v>
      </c>
      <c r="W4665">
        <v>1.7102659999999999E-2</v>
      </c>
      <c r="X4665">
        <v>0.98727240000000005</v>
      </c>
      <c r="Y4665">
        <v>0.543848</v>
      </c>
      <c r="Z4665">
        <v>-8.1759640000000008E-3</v>
      </c>
      <c r="AA4665">
        <v>0.83914390000000005</v>
      </c>
      <c r="AB4665">
        <v>21</v>
      </c>
      <c r="AC4665">
        <v>30.358899999999998</v>
      </c>
      <c r="AD4665">
        <v>-1.1546970000000001</v>
      </c>
      <c r="AE4665">
        <v>-21.207598999999998</v>
      </c>
      <c r="AF4665">
        <v>20.190114124601699</v>
      </c>
      <c r="AG4665">
        <v>-1.1546970000000001</v>
      </c>
      <c r="AH4665">
        <v>31.001961061889901</v>
      </c>
      <c r="AI4665">
        <v>91.787663180757704</v>
      </c>
      <c r="AJ4665">
        <v>56.925700532583001</v>
      </c>
      <c r="AK4665">
        <v>37.014802757939798</v>
      </c>
    </row>
    <row r="4666" spans="1:37" x14ac:dyDescent="0.2">
      <c r="A4666" t="str">
        <f>"20200111160307316"</f>
        <v>20200111160307316</v>
      </c>
      <c r="B4666" t="str">
        <f>"1578729787307962"</f>
        <v>1578729787307962</v>
      </c>
      <c r="C4666" t="s">
        <v>37</v>
      </c>
      <c r="D4666">
        <v>4.948429</v>
      </c>
      <c r="E4666">
        <v>0.67543779999999998</v>
      </c>
      <c r="F4666" t="s">
        <v>39</v>
      </c>
      <c r="G4666">
        <v>-317.20940000000002</v>
      </c>
      <c r="H4666">
        <v>-0.05</v>
      </c>
      <c r="I4666">
        <v>-3.831223</v>
      </c>
      <c r="J4666">
        <v>-348.25569999999999</v>
      </c>
      <c r="K4666">
        <v>1.104689</v>
      </c>
      <c r="L4666">
        <v>18.741610000000001</v>
      </c>
      <c r="M4666">
        <v>0.99936829999999999</v>
      </c>
      <c r="N4666">
        <v>0</v>
      </c>
      <c r="O4666">
        <v>-3.2475709999999998E-2</v>
      </c>
      <c r="P4666">
        <v>0.98006280000000001</v>
      </c>
      <c r="Q4666">
        <v>4.7110859999999997E-3</v>
      </c>
      <c r="R4666">
        <v>-0.1986319</v>
      </c>
      <c r="S4666">
        <v>2.6801149999999998</v>
      </c>
      <c r="T4666">
        <v>-9.9280950000000007E-2</v>
      </c>
      <c r="U4666">
        <v>-1.9411619999999901</v>
      </c>
      <c r="V4666">
        <v>0.1666937</v>
      </c>
      <c r="W4666">
        <v>1.8964890000000002E-2</v>
      </c>
      <c r="X4666">
        <v>0.98582630000000004</v>
      </c>
      <c r="Y4666">
        <v>0.55973739999999905</v>
      </c>
      <c r="Z4666">
        <v>-8.2024860000000002E-3</v>
      </c>
      <c r="AA4666">
        <v>0.82862950000000002</v>
      </c>
      <c r="AB4666">
        <v>21</v>
      </c>
      <c r="AC4666">
        <v>31.046299999999899</v>
      </c>
      <c r="AD4666">
        <v>-1.1546890000000001</v>
      </c>
      <c r="AE4666">
        <v>-22.572832999999999</v>
      </c>
      <c r="AF4666">
        <v>21.533082629493901</v>
      </c>
      <c r="AG4666">
        <v>-1.1546890000000001</v>
      </c>
      <c r="AH4666">
        <v>31.734348703872499</v>
      </c>
      <c r="AI4666">
        <v>91.724599075977807</v>
      </c>
      <c r="AJ4666">
        <v>55.841467173778</v>
      </c>
      <c r="AK4666">
        <v>38.367640556519902</v>
      </c>
    </row>
    <row r="4667" spans="1:37" x14ac:dyDescent="0.2">
      <c r="A4667" t="str">
        <f>"20200111160307334"</f>
        <v>20200111160307334</v>
      </c>
      <c r="B4667" t="str">
        <f>"1578729787327483"</f>
        <v>1578729787327483</v>
      </c>
      <c r="C4667" t="s">
        <v>37</v>
      </c>
      <c r="D4667">
        <v>4.9532449999999999</v>
      </c>
      <c r="E4667">
        <v>0.67404600000000003</v>
      </c>
      <c r="F4667" t="s">
        <v>39</v>
      </c>
      <c r="G4667">
        <v>-316.98669999999998</v>
      </c>
      <c r="H4667">
        <v>-0.05</v>
      </c>
      <c r="I4667">
        <v>-4.3061680000000004</v>
      </c>
      <c r="J4667">
        <v>-348.08539999999999</v>
      </c>
      <c r="K4667">
        <v>1.1046689999999999</v>
      </c>
      <c r="L4667">
        <v>18.736049999999999</v>
      </c>
      <c r="M4667">
        <v>0.99936859999999905</v>
      </c>
      <c r="N4667">
        <v>0</v>
      </c>
      <c r="O4667">
        <v>-3.2468780000000003E-2</v>
      </c>
      <c r="P4667">
        <v>0.97669699999999904</v>
      </c>
      <c r="Q4667">
        <v>7.527115E-3</v>
      </c>
      <c r="R4667">
        <v>-0.21449079999999901</v>
      </c>
      <c r="S4667">
        <v>2.66363499999999</v>
      </c>
      <c r="T4667">
        <v>-9.8361850000000001E-2</v>
      </c>
      <c r="U4667">
        <v>-1.9633179999999999</v>
      </c>
      <c r="V4667">
        <v>0.1826612</v>
      </c>
      <c r="W4667">
        <v>2.1727110000000001E-2</v>
      </c>
      <c r="X4667">
        <v>0.98293580000000003</v>
      </c>
      <c r="Y4667">
        <v>0.56663779999999997</v>
      </c>
      <c r="Z4667">
        <v>-8.2632030000000002E-3</v>
      </c>
      <c r="AA4667">
        <v>0.82392559999999904</v>
      </c>
      <c r="AB4667">
        <v>21</v>
      </c>
      <c r="AC4667">
        <v>31.098700000000001</v>
      </c>
      <c r="AD4667">
        <v>-1.1546689999999999</v>
      </c>
      <c r="AE4667">
        <v>-23.042217999999998</v>
      </c>
      <c r="AF4667">
        <v>22.000644281024599</v>
      </c>
      <c r="AG4667">
        <v>-1.1546689999999999</v>
      </c>
      <c r="AH4667">
        <v>31.802226931318401</v>
      </c>
      <c r="AI4667">
        <v>91.710294828070204</v>
      </c>
      <c r="AJ4667">
        <v>55.324681144095699</v>
      </c>
      <c r="AK4667">
        <v>38.687766116316602</v>
      </c>
    </row>
    <row r="4668" spans="1:37" x14ac:dyDescent="0.2">
      <c r="A4668" t="str">
        <f>"20200111160307356"</f>
        <v>20200111160307356</v>
      </c>
      <c r="B4668" t="str">
        <f>"1578729787347977"</f>
        <v>1578729787347977</v>
      </c>
      <c r="C4668" t="s">
        <v>37</v>
      </c>
      <c r="D4668">
        <v>5.0329269999999999</v>
      </c>
      <c r="E4668">
        <v>0.67148569999999996</v>
      </c>
      <c r="F4668" t="s">
        <v>39</v>
      </c>
      <c r="G4668">
        <v>-319.44749999999999</v>
      </c>
      <c r="H4668">
        <v>-0.05</v>
      </c>
      <c r="I4668">
        <v>-2.945389</v>
      </c>
      <c r="J4668">
        <v>-347.8793</v>
      </c>
      <c r="K4668">
        <v>1.104641</v>
      </c>
      <c r="L4668">
        <v>18.72925</v>
      </c>
      <c r="M4668">
        <v>0.99936749999999996</v>
      </c>
      <c r="N4668">
        <v>0</v>
      </c>
      <c r="O4668">
        <v>-3.2505180000000002E-2</v>
      </c>
      <c r="P4668">
        <v>0.97320309999999899</v>
      </c>
      <c r="Q4668">
        <v>9.1923479999999995E-3</v>
      </c>
      <c r="R4668">
        <v>-0.22976439999999901</v>
      </c>
      <c r="S4668">
        <v>2.6343990000000002</v>
      </c>
      <c r="T4668">
        <v>-0.10621800000000001</v>
      </c>
      <c r="U4668">
        <v>-1.9944759999999999</v>
      </c>
      <c r="V4668">
        <v>0.19800599999999999</v>
      </c>
      <c r="W4668">
        <v>2.3329349999999999E-2</v>
      </c>
      <c r="X4668">
        <v>0.97992309999999905</v>
      </c>
      <c r="Y4668">
        <v>0.57709429999999995</v>
      </c>
      <c r="Z4668">
        <v>-9.1596430000000003E-3</v>
      </c>
      <c r="AA4668">
        <v>0.81662619999999997</v>
      </c>
      <c r="AB4668">
        <v>21</v>
      </c>
      <c r="AC4668">
        <v>28.431799999999999</v>
      </c>
      <c r="AD4668">
        <v>-1.154641</v>
      </c>
      <c r="AE4668">
        <v>-21.674638999999999</v>
      </c>
      <c r="AF4668">
        <v>20.717296707245399</v>
      </c>
      <c r="AG4668">
        <v>-1.154641</v>
      </c>
      <c r="AH4668">
        <v>29.091040175722799</v>
      </c>
      <c r="AI4668">
        <v>91.851735623095607</v>
      </c>
      <c r="AJ4668">
        <v>54.543284214066603</v>
      </c>
      <c r="AK4668">
        <v>35.732732853791703</v>
      </c>
    </row>
    <row r="4669" spans="1:37" x14ac:dyDescent="0.2">
      <c r="A4669" t="str">
        <f>"20200111160307378"</f>
        <v>20200111160307378</v>
      </c>
      <c r="B4669" t="str">
        <f>"1578729787367497"</f>
        <v>1578729787367497</v>
      </c>
      <c r="C4669" t="s">
        <v>37</v>
      </c>
      <c r="D4669">
        <v>5.2236570000000002</v>
      </c>
      <c r="E4669">
        <v>0.66907720000000004</v>
      </c>
      <c r="F4669" t="s">
        <v>39</v>
      </c>
      <c r="G4669">
        <v>-323.37209999999999</v>
      </c>
      <c r="H4669">
        <v>-0.05</v>
      </c>
      <c r="I4669">
        <v>-0.19670099999999999</v>
      </c>
      <c r="J4669">
        <v>-347.67630000000003</v>
      </c>
      <c r="K4669">
        <v>1.104609</v>
      </c>
      <c r="L4669">
        <v>18.722529999999999</v>
      </c>
      <c r="M4669">
        <v>0.999364899999999</v>
      </c>
      <c r="N4669">
        <v>0</v>
      </c>
      <c r="O4669">
        <v>-3.2586709999999998E-2</v>
      </c>
      <c r="P4669">
        <v>0.96930439999999995</v>
      </c>
      <c r="Q4669">
        <v>1.127657E-2</v>
      </c>
      <c r="R4669">
        <v>-0.24560549999999901</v>
      </c>
      <c r="S4669">
        <v>2.608215</v>
      </c>
      <c r="T4669">
        <v>-0.1228843</v>
      </c>
      <c r="U4669">
        <v>-2.014221</v>
      </c>
      <c r="V4669">
        <v>0.2138882</v>
      </c>
      <c r="W4669">
        <v>2.534148E-2</v>
      </c>
      <c r="X4669">
        <v>0.97652939999999999</v>
      </c>
      <c r="Y4669">
        <v>0.58471609999999996</v>
      </c>
      <c r="Z4669">
        <v>-1.081386E-2</v>
      </c>
      <c r="AA4669">
        <v>0.8111659</v>
      </c>
      <c r="AB4669">
        <v>21</v>
      </c>
      <c r="AC4669">
        <v>24.304200000000002</v>
      </c>
      <c r="AD4669">
        <v>-1.154609</v>
      </c>
      <c r="AE4669">
        <v>-18.919231</v>
      </c>
      <c r="AF4669">
        <v>18.091680444447501</v>
      </c>
      <c r="AG4669">
        <v>-1.154609</v>
      </c>
      <c r="AH4669">
        <v>24.8729150668084</v>
      </c>
      <c r="AI4669">
        <v>92.149882957110705</v>
      </c>
      <c r="AJ4669">
        <v>53.969180071940499</v>
      </c>
      <c r="AK4669">
        <v>30.778302863665999</v>
      </c>
    </row>
    <row r="4670" spans="1:37" x14ac:dyDescent="0.2">
      <c r="A4670" t="str">
        <f>"20200111160307400"</f>
        <v>20200111160307400</v>
      </c>
      <c r="B4670" t="str">
        <f>"1578729787397754"</f>
        <v>1578729787397754</v>
      </c>
      <c r="C4670" t="s">
        <v>37</v>
      </c>
      <c r="D4670">
        <v>5.1148009999999999</v>
      </c>
      <c r="E4670">
        <v>0.66545159999999903</v>
      </c>
      <c r="F4670" t="s">
        <v>39</v>
      </c>
      <c r="G4670">
        <v>-325.41059999999999</v>
      </c>
      <c r="H4670">
        <v>-0.05</v>
      </c>
      <c r="I4670">
        <v>1.1487430000000001</v>
      </c>
      <c r="J4670">
        <v>-347.46910000000003</v>
      </c>
      <c r="K4670">
        <v>1.104568</v>
      </c>
      <c r="L4670">
        <v>18.71564</v>
      </c>
      <c r="M4670">
        <v>0.9993609</v>
      </c>
      <c r="N4670">
        <v>0</v>
      </c>
      <c r="O4670">
        <v>-3.2713099999999898E-2</v>
      </c>
      <c r="P4670">
        <v>0.9645437</v>
      </c>
      <c r="Q4670">
        <v>1.128293E-2</v>
      </c>
      <c r="R4670">
        <v>-0.26368239999999998</v>
      </c>
      <c r="S4670">
        <v>2.5804749999999999</v>
      </c>
      <c r="T4670">
        <v>-0.13381299999999999</v>
      </c>
      <c r="U4670">
        <v>-2.0367130000000002</v>
      </c>
      <c r="V4670">
        <v>0.2319899</v>
      </c>
      <c r="W4670">
        <v>2.525997E-2</v>
      </c>
      <c r="X4670">
        <v>0.97239019999999998</v>
      </c>
      <c r="Y4670">
        <v>0.59307600000000005</v>
      </c>
      <c r="Z4670">
        <v>-1.203137E-2</v>
      </c>
      <c r="AA4670">
        <v>0.80505660000000001</v>
      </c>
      <c r="AB4670">
        <v>21</v>
      </c>
      <c r="AC4670">
        <v>22.058499999999999</v>
      </c>
      <c r="AD4670">
        <v>-1.154568</v>
      </c>
      <c r="AE4670">
        <v>-17.566897000000001</v>
      </c>
      <c r="AF4670">
        <v>16.8076398028699</v>
      </c>
      <c r="AG4670">
        <v>-1.154568</v>
      </c>
      <c r="AH4670">
        <v>22.583559756674301</v>
      </c>
      <c r="AI4670">
        <v>92.348526023109699</v>
      </c>
      <c r="AJ4670">
        <v>53.341818396822603</v>
      </c>
      <c r="AK4670">
        <v>28.175289781880199</v>
      </c>
    </row>
    <row r="4671" spans="1:37" x14ac:dyDescent="0.2">
      <c r="A4671" t="str">
        <f>"20200111160307425"</f>
        <v>20200111160307425</v>
      </c>
      <c r="B4671" t="str">
        <f>"1578729787418250"</f>
        <v>1578729787418250</v>
      </c>
      <c r="C4671" t="s">
        <v>37</v>
      </c>
      <c r="D4671">
        <v>5.1018660000000002</v>
      </c>
      <c r="E4671">
        <v>0.63903319999999997</v>
      </c>
      <c r="F4671" t="s">
        <v>39</v>
      </c>
      <c r="G4671">
        <v>-327.10730000000001</v>
      </c>
      <c r="H4671">
        <v>-0.05</v>
      </c>
      <c r="I4671">
        <v>2.2998500000000002</v>
      </c>
      <c r="J4671">
        <v>-347.24239999999998</v>
      </c>
      <c r="K4671">
        <v>1.1045229999999999</v>
      </c>
      <c r="L4671">
        <v>18.70795</v>
      </c>
      <c r="M4671">
        <v>0.99935499999999899</v>
      </c>
      <c r="N4671">
        <v>0</v>
      </c>
      <c r="O4671">
        <v>-3.2894300000000001E-2</v>
      </c>
      <c r="P4671">
        <v>0.95941169999999998</v>
      </c>
      <c r="Q4671">
        <v>1.060298E-2</v>
      </c>
      <c r="R4671">
        <v>-0.28181030000000001</v>
      </c>
      <c r="S4671">
        <v>2.5499879999999999</v>
      </c>
      <c r="T4671">
        <v>-0.14459129999999901</v>
      </c>
      <c r="U4671">
        <v>-2.0558169999999998</v>
      </c>
      <c r="V4671">
        <v>0.2501024</v>
      </c>
      <c r="W4671">
        <v>2.4484869999999999E-2</v>
      </c>
      <c r="X4671">
        <v>0.96790980000000004</v>
      </c>
      <c r="Y4671">
        <v>0.60113629999999996</v>
      </c>
      <c r="Z4671">
        <v>-1.3285089999999999E-2</v>
      </c>
      <c r="AA4671">
        <v>0.79903610000000003</v>
      </c>
      <c r="AB4671">
        <v>21</v>
      </c>
      <c r="AC4671">
        <v>20.135099999999898</v>
      </c>
      <c r="AD4671">
        <v>-1.154523</v>
      </c>
      <c r="AE4671">
        <v>-16.408100000000001</v>
      </c>
      <c r="AF4671">
        <v>15.7057894965806</v>
      </c>
      <c r="AG4671">
        <v>-1.154523</v>
      </c>
      <c r="AH4671">
        <v>20.623244335683399</v>
      </c>
      <c r="AI4671">
        <v>92.550098203695399</v>
      </c>
      <c r="AJ4671">
        <v>52.708637217665697</v>
      </c>
      <c r="AK4671">
        <v>25.9484672764642</v>
      </c>
    </row>
    <row r="4672" spans="1:37" x14ac:dyDescent="0.2">
      <c r="A4672" t="str">
        <f>"20200111160307445"</f>
        <v>20200111160307445</v>
      </c>
      <c r="B4672" t="str">
        <f>"1578729787437769"</f>
        <v>1578729787437769</v>
      </c>
      <c r="C4672" t="s">
        <v>37</v>
      </c>
      <c r="D4672">
        <v>5.1754800000000003</v>
      </c>
      <c r="E4672">
        <v>0.63775780000000004</v>
      </c>
      <c r="F4672" t="s">
        <v>38</v>
      </c>
      <c r="G4672">
        <v>-337.82380000000001</v>
      </c>
      <c r="H4672" s="1">
        <v>-2.8092109999999998E-6</v>
      </c>
      <c r="I4672">
        <v>11.78928</v>
      </c>
      <c r="J4672">
        <v>-347.04669999999999</v>
      </c>
      <c r="K4672">
        <v>1.1044909999999999</v>
      </c>
      <c r="L4672">
        <v>18.701229999999999</v>
      </c>
      <c r="M4672">
        <v>0.99934889999999998</v>
      </c>
      <c r="N4672">
        <v>0</v>
      </c>
      <c r="O4672">
        <v>-3.308038E-2</v>
      </c>
      <c r="P4672">
        <v>0.95365639999999996</v>
      </c>
      <c r="Q4672">
        <v>1.083666E-2</v>
      </c>
      <c r="R4672">
        <v>-0.30070249999999998</v>
      </c>
      <c r="S4672">
        <v>2.574738</v>
      </c>
      <c r="T4672">
        <v>-0.30193819999999999</v>
      </c>
      <c r="U4672">
        <v>-1.8912959999999901</v>
      </c>
      <c r="V4672">
        <v>0.26899590000000001</v>
      </c>
      <c r="W4672">
        <v>2.462073E-2</v>
      </c>
      <c r="X4672">
        <v>0.96282659999999998</v>
      </c>
      <c r="Y4672">
        <v>0.56267239999999996</v>
      </c>
      <c r="Z4672">
        <v>-2.5929810000000001E-2</v>
      </c>
      <c r="AA4672">
        <v>0.82627320000000004</v>
      </c>
      <c r="AB4672">
        <v>21</v>
      </c>
      <c r="AC4672">
        <v>9.2228999999999797</v>
      </c>
      <c r="AD4672">
        <v>-1.1044938092109999</v>
      </c>
      <c r="AE4672">
        <v>-6.9119499999999903</v>
      </c>
      <c r="AF4672">
        <v>6.5429504615001104</v>
      </c>
      <c r="AG4672">
        <v>-1.1044938092109999</v>
      </c>
      <c r="AH4672">
        <v>9.3605622406064004</v>
      </c>
      <c r="AI4672">
        <v>95.523929258700704</v>
      </c>
      <c r="AJ4672">
        <v>55.046790829641701</v>
      </c>
      <c r="AK4672">
        <v>11.473893531687301</v>
      </c>
    </row>
    <row r="4673" spans="1:37" x14ac:dyDescent="0.2">
      <c r="A4673" t="str">
        <f>"20200111160307467"</f>
        <v>20200111160307467</v>
      </c>
      <c r="B4673" t="str">
        <f>"1578729787457292"</f>
        <v>1578729787457292</v>
      </c>
      <c r="C4673" t="s">
        <v>37</v>
      </c>
      <c r="D4673">
        <v>5.1011920000000002</v>
      </c>
      <c r="E4673">
        <v>0.63538349999999999</v>
      </c>
      <c r="F4673" t="s">
        <v>38</v>
      </c>
      <c r="G4673">
        <v>-337.7337</v>
      </c>
      <c r="H4673" s="1">
        <v>-2.8851710000000002E-6</v>
      </c>
      <c r="I4673">
        <v>11.6190199999999</v>
      </c>
      <c r="J4673">
        <v>-346.85019999999997</v>
      </c>
      <c r="K4673">
        <v>1.1044700000000001</v>
      </c>
      <c r="L4673">
        <v>18.694430000000001</v>
      </c>
      <c r="M4673">
        <v>0.99934210000000001</v>
      </c>
      <c r="N4673">
        <v>0</v>
      </c>
      <c r="O4673">
        <v>-3.3287030000000002E-2</v>
      </c>
      <c r="P4673">
        <v>0.946613699999999</v>
      </c>
      <c r="Q4673">
        <v>1.193934E-2</v>
      </c>
      <c r="R4673">
        <v>-0.32214890000000002</v>
      </c>
      <c r="S4673">
        <v>2.5401310000000001</v>
      </c>
      <c r="T4673">
        <v>-0.30124899999999999</v>
      </c>
      <c r="U4673">
        <v>-1.9316409999999999</v>
      </c>
      <c r="V4673">
        <v>0.29046679999999903</v>
      </c>
      <c r="W4673">
        <v>2.5612240000000001E-2</v>
      </c>
      <c r="X4673">
        <v>0.95654229999999996</v>
      </c>
      <c r="Y4673">
        <v>0.57607739999999996</v>
      </c>
      <c r="Z4673">
        <v>-2.6724299999999999E-2</v>
      </c>
      <c r="AA4673">
        <v>0.81695819999999997</v>
      </c>
      <c r="AB4673">
        <v>21</v>
      </c>
      <c r="AC4673">
        <v>9.1164999999999701</v>
      </c>
      <c r="AD4673">
        <v>-1.104472885171</v>
      </c>
      <c r="AE4673">
        <v>-7.0754099999999998</v>
      </c>
      <c r="AF4673">
        <v>6.7065631931572396</v>
      </c>
      <c r="AG4673">
        <v>-1.104472885171</v>
      </c>
      <c r="AH4673">
        <v>9.2621490736712406</v>
      </c>
      <c r="AI4673">
        <v>95.516787396571303</v>
      </c>
      <c r="AJ4673">
        <v>54.092347699234999</v>
      </c>
      <c r="AK4673">
        <v>11.4884836110253</v>
      </c>
    </row>
    <row r="4674" spans="1:37" x14ac:dyDescent="0.2">
      <c r="A4674" t="str">
        <f>"20200111160307490"</f>
        <v>20200111160307490</v>
      </c>
      <c r="B4674" t="str">
        <f>"1578729787477785"</f>
        <v>1578729787477785</v>
      </c>
      <c r="C4674" t="s">
        <v>37</v>
      </c>
      <c r="D4674">
        <v>5.3076499999999998</v>
      </c>
      <c r="E4674">
        <v>0.62369859999999999</v>
      </c>
      <c r="F4674" t="s">
        <v>38</v>
      </c>
      <c r="G4674">
        <v>-337.62619999999998</v>
      </c>
      <c r="H4674" s="1">
        <v>-2.9718270000000002E-6</v>
      </c>
      <c r="I4674">
        <v>11.43079</v>
      </c>
      <c r="J4674">
        <v>-346.64350000000002</v>
      </c>
      <c r="K4674">
        <v>1.1044670000000001</v>
      </c>
      <c r="L4674">
        <v>18.687190000000001</v>
      </c>
      <c r="M4674">
        <v>0.99933439999999996</v>
      </c>
      <c r="N4674">
        <v>0</v>
      </c>
      <c r="O4674">
        <v>-3.3517230000000002E-2</v>
      </c>
      <c r="P4674">
        <v>0.93958189999999997</v>
      </c>
      <c r="Q4674">
        <v>1.312723E-2</v>
      </c>
      <c r="R4674">
        <v>-0.3420723</v>
      </c>
      <c r="S4674">
        <v>2.50238</v>
      </c>
      <c r="T4674">
        <v>-0.29963089999999998</v>
      </c>
      <c r="U4674">
        <v>-1.97052</v>
      </c>
      <c r="V4674">
        <v>0.31039499999999998</v>
      </c>
      <c r="W4674">
        <v>2.669477E-2</v>
      </c>
      <c r="X4674">
        <v>0.95023279999999999</v>
      </c>
      <c r="Y4674">
        <v>0.58954600000000001</v>
      </c>
      <c r="Z4674">
        <v>-2.746962E-2</v>
      </c>
      <c r="AA4674">
        <v>0.80726759999999997</v>
      </c>
      <c r="AB4674">
        <v>21</v>
      </c>
      <c r="AC4674">
        <v>9.0173000000000307</v>
      </c>
      <c r="AD4674">
        <v>-1.1044699718269999</v>
      </c>
      <c r="AE4674">
        <v>-7.2564000000000002</v>
      </c>
      <c r="AF4674">
        <v>6.8873422438464296</v>
      </c>
      <c r="AG4674">
        <v>-1.1044699718269999</v>
      </c>
      <c r="AH4674">
        <v>9.1719557251635706</v>
      </c>
      <c r="AI4674">
        <v>95.500184594175806</v>
      </c>
      <c r="AJ4674">
        <v>53.0966321439628</v>
      </c>
      <c r="AK4674">
        <v>11.523025163857699</v>
      </c>
    </row>
    <row r="4675" spans="1:37" x14ac:dyDescent="0.2">
      <c r="A4675" t="str">
        <f>"20200111160307511"</f>
        <v>20200111160307511</v>
      </c>
      <c r="B4675" t="str">
        <f>"1578729787508042"</f>
        <v>1578729787508042</v>
      </c>
      <c r="C4675" t="s">
        <v>37</v>
      </c>
      <c r="D4675">
        <v>5.0386769999999999</v>
      </c>
      <c r="E4675">
        <v>0.62000639999999996</v>
      </c>
      <c r="F4675" t="s">
        <v>38</v>
      </c>
      <c r="G4675">
        <v>-336.75450000000001</v>
      </c>
      <c r="H4675" s="1">
        <v>-3.38236699999999E-6</v>
      </c>
      <c r="I4675">
        <v>11.00277</v>
      </c>
      <c r="J4675">
        <v>-346.43639999999999</v>
      </c>
      <c r="K4675">
        <v>1.1044689999999999</v>
      </c>
      <c r="L4675">
        <v>18.6799</v>
      </c>
      <c r="M4675">
        <v>0.99932659999999995</v>
      </c>
      <c r="N4675">
        <v>0</v>
      </c>
      <c r="O4675">
        <v>-3.3750790000000003E-2</v>
      </c>
      <c r="P4675">
        <v>0.93287520000000002</v>
      </c>
      <c r="Q4675">
        <v>1.404735E-2</v>
      </c>
      <c r="R4675">
        <v>-0.35992600000000002</v>
      </c>
      <c r="S4675">
        <v>2.4918520000000002</v>
      </c>
      <c r="T4675">
        <v>-0.27830589999999999</v>
      </c>
      <c r="U4675">
        <v>-1.93630999999999</v>
      </c>
      <c r="V4675">
        <v>0.3282428</v>
      </c>
      <c r="W4675">
        <v>2.7518440000000002E-2</v>
      </c>
      <c r="X4675">
        <v>0.94419249999999899</v>
      </c>
      <c r="Y4675">
        <v>0.58445899999999995</v>
      </c>
      <c r="Z4675">
        <v>-2.542956E-2</v>
      </c>
      <c r="AA4675">
        <v>0.81102469999999904</v>
      </c>
      <c r="AB4675">
        <v>21</v>
      </c>
      <c r="AC4675">
        <v>9.6818999999999793</v>
      </c>
      <c r="AD4675">
        <v>-1.104472382367</v>
      </c>
      <c r="AE4675">
        <v>-7.67713</v>
      </c>
      <c r="AF4675">
        <v>7.2877223647275899</v>
      </c>
      <c r="AG4675">
        <v>-1.104472382367</v>
      </c>
      <c r="AH4675">
        <v>9.8567655799885099</v>
      </c>
      <c r="AI4675">
        <v>95.148432238301993</v>
      </c>
      <c r="AJ4675">
        <v>53.522169609561502</v>
      </c>
      <c r="AK4675">
        <v>12.307988633713</v>
      </c>
    </row>
    <row r="4676" spans="1:37" x14ac:dyDescent="0.2">
      <c r="A4676" t="str">
        <f>"20200111160307536"</f>
        <v>20200111160307536</v>
      </c>
      <c r="B4676" t="str">
        <f>"1578729787527562"</f>
        <v>1578729787527562</v>
      </c>
      <c r="C4676" t="s">
        <v>37</v>
      </c>
      <c r="D4676">
        <v>5.0501649999999998</v>
      </c>
      <c r="E4676">
        <v>0.61625819999999998</v>
      </c>
      <c r="F4676" t="s">
        <v>38</v>
      </c>
      <c r="G4676">
        <v>-336.30250000000001</v>
      </c>
      <c r="H4676" s="1">
        <v>-3.6335730000000001E-6</v>
      </c>
      <c r="I4676">
        <v>10.63668</v>
      </c>
      <c r="J4676">
        <v>-346.21550000000002</v>
      </c>
      <c r="K4676">
        <v>1.1044620000000001</v>
      </c>
      <c r="L4676">
        <v>18.67212</v>
      </c>
      <c r="M4676">
        <v>0.9993185</v>
      </c>
      <c r="N4676">
        <v>0</v>
      </c>
      <c r="O4676">
        <v>-3.399394E-2</v>
      </c>
      <c r="P4676">
        <v>0.92639110000000002</v>
      </c>
      <c r="Q4676">
        <v>1.282175E-2</v>
      </c>
      <c r="R4676">
        <v>-0.37634489999999998</v>
      </c>
      <c r="S4676">
        <v>2.4650880000000002</v>
      </c>
      <c r="T4676">
        <v>-0.2686656</v>
      </c>
      <c r="U4676">
        <v>-1.95651199999999</v>
      </c>
      <c r="V4676">
        <v>0.3446419</v>
      </c>
      <c r="W4676">
        <v>2.6201889999999999E-2</v>
      </c>
      <c r="X4676">
        <v>0.93836849999999905</v>
      </c>
      <c r="Y4676">
        <v>0.59266869999999905</v>
      </c>
      <c r="Z4676">
        <v>-2.5075719999999999E-2</v>
      </c>
      <c r="AA4676">
        <v>0.80505590000000005</v>
      </c>
      <c r="AB4676">
        <v>21</v>
      </c>
      <c r="AC4676">
        <v>9.9130000000000091</v>
      </c>
      <c r="AD4676">
        <v>-1.1044656335730001</v>
      </c>
      <c r="AE4676">
        <v>-8.0354399999999995</v>
      </c>
      <c r="AF4676">
        <v>7.6365705989669701</v>
      </c>
      <c r="AG4676">
        <v>-1.1044656335730001</v>
      </c>
      <c r="AH4676">
        <v>10.1047567514339</v>
      </c>
      <c r="AI4676">
        <v>94.983608544361303</v>
      </c>
      <c r="AJ4676">
        <v>52.920193594172702</v>
      </c>
      <c r="AK4676">
        <v>12.713896485908601</v>
      </c>
    </row>
    <row r="4677" spans="1:37" x14ac:dyDescent="0.2">
      <c r="A4677" t="str">
        <f>"20200111160307556"</f>
        <v>20200111160307556</v>
      </c>
      <c r="B4677" t="str">
        <f>"1578729787548057"</f>
        <v>1578729787548057</v>
      </c>
      <c r="C4677" t="s">
        <v>37</v>
      </c>
      <c r="D4677">
        <v>5.0053549999999998</v>
      </c>
      <c r="E4677">
        <v>0.61312739999999999</v>
      </c>
      <c r="F4677" t="s">
        <v>38</v>
      </c>
      <c r="G4677">
        <v>-336.82040000000001</v>
      </c>
      <c r="H4677" s="1">
        <v>-3.3382359999999998E-6</v>
      </c>
      <c r="I4677">
        <v>11.084350000000001</v>
      </c>
      <c r="J4677">
        <v>-346.02519999999998</v>
      </c>
      <c r="K4677">
        <v>1.104452</v>
      </c>
      <c r="L4677">
        <v>18.66534</v>
      </c>
      <c r="M4677">
        <v>0.99931170000000002</v>
      </c>
      <c r="N4677">
        <v>0</v>
      </c>
      <c r="O4677">
        <v>-3.4195280000000002E-2</v>
      </c>
      <c r="P4677">
        <v>0.92150759999999898</v>
      </c>
      <c r="Q4677">
        <v>1.0815780000000001E-2</v>
      </c>
      <c r="R4677">
        <v>-0.38821070000000002</v>
      </c>
      <c r="S4677">
        <v>2.4413450000000001</v>
      </c>
      <c r="T4677">
        <v>-0.28699809999999998</v>
      </c>
      <c r="U4677">
        <v>-1.9716799999999901</v>
      </c>
      <c r="V4677">
        <v>0.3564774</v>
      </c>
      <c r="W4677">
        <v>2.412831E-2</v>
      </c>
      <c r="X4677">
        <v>0.9339923</v>
      </c>
      <c r="Y4677">
        <v>0.59898879999999999</v>
      </c>
      <c r="Z4677">
        <v>-2.7239900000000001E-2</v>
      </c>
      <c r="AA4677">
        <v>0.80029399999999995</v>
      </c>
      <c r="AB4677">
        <v>21</v>
      </c>
      <c r="AC4677">
        <v>9.2047999999999703</v>
      </c>
      <c r="AD4677">
        <v>-1.1044553382359901</v>
      </c>
      <c r="AE4677">
        <v>-7.5809899999999901</v>
      </c>
      <c r="AF4677">
        <v>7.1999990114629098</v>
      </c>
      <c r="AG4677">
        <v>-1.1044553382359901</v>
      </c>
      <c r="AH4677">
        <v>9.3782279747264194</v>
      </c>
      <c r="AI4677">
        <v>95.336696291083399</v>
      </c>
      <c r="AJ4677">
        <v>52.485269138210398</v>
      </c>
      <c r="AK4677">
        <v>11.874803884913799</v>
      </c>
    </row>
    <row r="4678" spans="1:37" x14ac:dyDescent="0.2">
      <c r="A4678" t="str">
        <f>"20200111160307579"</f>
        <v>20200111160307579</v>
      </c>
      <c r="B4678" t="str">
        <f>"1578729787567578"</f>
        <v>1578729787567578</v>
      </c>
      <c r="C4678" t="s">
        <v>37</v>
      </c>
      <c r="D4678">
        <v>4.9821869999999997</v>
      </c>
      <c r="E4678">
        <v>0.61327679999999996</v>
      </c>
      <c r="F4678" t="s">
        <v>38</v>
      </c>
      <c r="G4678">
        <v>-337.11680000000001</v>
      </c>
      <c r="H4678" s="1">
        <v>-3.155296E-6</v>
      </c>
      <c r="I4678">
        <v>11.392770000000001</v>
      </c>
      <c r="J4678">
        <v>-345.81720000000001</v>
      </c>
      <c r="K4678">
        <v>1.104455</v>
      </c>
      <c r="L4678">
        <v>18.657959999999999</v>
      </c>
      <c r="M4678">
        <v>0.99930450000000004</v>
      </c>
      <c r="N4678">
        <v>0</v>
      </c>
      <c r="O4678">
        <v>-3.440555E-2</v>
      </c>
      <c r="P4678">
        <v>0.91865859999999899</v>
      </c>
      <c r="Q4678">
        <v>9.4483439999999991E-3</v>
      </c>
      <c r="R4678">
        <v>-0.3949397</v>
      </c>
      <c r="S4678">
        <v>2.4250790000000002</v>
      </c>
      <c r="T4678">
        <v>-0.30065770000000003</v>
      </c>
      <c r="U4678">
        <v>-1.9797359999999999</v>
      </c>
      <c r="V4678">
        <v>0.36310340000000002</v>
      </c>
      <c r="W4678">
        <v>2.2721539999999998E-2</v>
      </c>
      <c r="X4678">
        <v>0.93147179999999996</v>
      </c>
      <c r="Y4678">
        <v>0.602765</v>
      </c>
      <c r="Z4678">
        <v>-2.8833049999999999E-2</v>
      </c>
      <c r="AA4678">
        <v>0.79739759999999904</v>
      </c>
      <c r="AB4678">
        <v>21</v>
      </c>
      <c r="AC4678">
        <v>8.7004000000000001</v>
      </c>
      <c r="AD4678">
        <v>-1.104458155296</v>
      </c>
      <c r="AE4678">
        <v>-7.2651899999999898</v>
      </c>
      <c r="AF4678">
        <v>6.8960416578121801</v>
      </c>
      <c r="AG4678">
        <v>-1.104458155296</v>
      </c>
      <c r="AH4678">
        <v>8.8611065505333997</v>
      </c>
      <c r="AI4678">
        <v>95.617761189706499</v>
      </c>
      <c r="AJ4678">
        <v>52.1086231761848</v>
      </c>
      <c r="AK4678">
        <v>11.2824832223667</v>
      </c>
    </row>
    <row r="4679" spans="1:37" x14ac:dyDescent="0.2">
      <c r="A4679" t="str">
        <f>"20200111160307601"</f>
        <v>20200111160307601</v>
      </c>
      <c r="B4679" t="str">
        <f>"1578729787598017"</f>
        <v>1578729787598017</v>
      </c>
      <c r="C4679" t="s">
        <v>37</v>
      </c>
      <c r="D4679">
        <v>4.9348780000000003</v>
      </c>
      <c r="E4679">
        <v>0.61436689999999905</v>
      </c>
      <c r="F4679" t="s">
        <v>38</v>
      </c>
      <c r="G4679">
        <v>-337.0949</v>
      </c>
      <c r="H4679" s="1">
        <v>-3.15484899999999E-6</v>
      </c>
      <c r="I4679">
        <v>11.42248</v>
      </c>
      <c r="J4679">
        <v>-345.6103</v>
      </c>
      <c r="K4679">
        <v>1.1044620000000001</v>
      </c>
      <c r="L4679">
        <v>18.650569999999998</v>
      </c>
      <c r="M4679">
        <v>0.99929760000000001</v>
      </c>
      <c r="N4679">
        <v>0</v>
      </c>
      <c r="O4679">
        <v>-3.4607369999999998E-2</v>
      </c>
      <c r="P4679">
        <v>0.91750549999999997</v>
      </c>
      <c r="Q4679">
        <v>8.8661869999999993E-3</v>
      </c>
      <c r="R4679">
        <v>-0.39762449999999999</v>
      </c>
      <c r="S4679">
        <v>2.4094849999999899</v>
      </c>
      <c r="T4679">
        <v>-0.30509730000000002</v>
      </c>
      <c r="U4679">
        <v>-1.998718</v>
      </c>
      <c r="V4679">
        <v>0.36563770000000001</v>
      </c>
      <c r="W4679">
        <v>2.2123739999999999E-2</v>
      </c>
      <c r="X4679">
        <v>0.93049419999999905</v>
      </c>
      <c r="Y4679">
        <v>0.60872890000000002</v>
      </c>
      <c r="Z4679">
        <v>-2.964427E-2</v>
      </c>
      <c r="AA4679">
        <v>0.79282430000000004</v>
      </c>
      <c r="AB4679">
        <v>21</v>
      </c>
      <c r="AC4679">
        <v>8.5153999999999996</v>
      </c>
      <c r="AD4679">
        <v>-1.1044651548490001</v>
      </c>
      <c r="AE4679">
        <v>-7.2280899999999999</v>
      </c>
      <c r="AF4679">
        <v>6.8619391430744399</v>
      </c>
      <c r="AG4679">
        <v>-1.1044651548490001</v>
      </c>
      <c r="AH4679">
        <v>8.6756410648929894</v>
      </c>
      <c r="AI4679">
        <v>95.702040893284305</v>
      </c>
      <c r="AJ4679">
        <v>51.658005694672298</v>
      </c>
      <c r="AK4679">
        <v>11.1163303283228</v>
      </c>
    </row>
    <row r="4680" spans="1:37" x14ac:dyDescent="0.2">
      <c r="A4680" t="str">
        <f>"20200111160307624"</f>
        <v>20200111160307624</v>
      </c>
      <c r="B4680" t="str">
        <f>"1578729787617537"</f>
        <v>1578729787617537</v>
      </c>
      <c r="C4680" t="s">
        <v>37</v>
      </c>
      <c r="D4680">
        <v>4.9069019999999997</v>
      </c>
      <c r="E4680">
        <v>0.61393390000000003</v>
      </c>
      <c r="F4680" t="s">
        <v>38</v>
      </c>
      <c r="G4680">
        <v>-336.45870000000002</v>
      </c>
      <c r="H4680" s="1">
        <v>-3.4929730000000002E-6</v>
      </c>
      <c r="I4680">
        <v>10.96533</v>
      </c>
      <c r="J4680">
        <v>-345.40320000000003</v>
      </c>
      <c r="K4680">
        <v>1.104468</v>
      </c>
      <c r="L4680">
        <v>18.643129999999999</v>
      </c>
      <c r="M4680">
        <v>0.99929080000000003</v>
      </c>
      <c r="N4680">
        <v>0</v>
      </c>
      <c r="O4680">
        <v>-3.4804660000000001E-2</v>
      </c>
      <c r="P4680">
        <v>0.91829169999999904</v>
      </c>
      <c r="Q4680">
        <v>9.3241260000000003E-3</v>
      </c>
      <c r="R4680">
        <v>-0.39579439999999999</v>
      </c>
      <c r="S4680">
        <v>2.3993530000000001</v>
      </c>
      <c r="T4680">
        <v>-0.289568099999999</v>
      </c>
      <c r="U4680">
        <v>-2.0148929999999998</v>
      </c>
      <c r="V4680">
        <v>0.36359770000000002</v>
      </c>
      <c r="W4680">
        <v>2.2592350000000001E-2</v>
      </c>
      <c r="X4680">
        <v>0.9312821</v>
      </c>
      <c r="Y4680">
        <v>0.61359180000000002</v>
      </c>
      <c r="Z4680">
        <v>-2.8414729999999999E-2</v>
      </c>
      <c r="AA4680">
        <v>0.78911200000000004</v>
      </c>
      <c r="AB4680">
        <v>21</v>
      </c>
      <c r="AC4680">
        <v>8.9444999999999997</v>
      </c>
      <c r="AD4680">
        <v>-1.104471492973</v>
      </c>
      <c r="AE4680">
        <v>-7.6777999999999897</v>
      </c>
      <c r="AF4680">
        <v>7.29773848450131</v>
      </c>
      <c r="AG4680">
        <v>-1.104471492973</v>
      </c>
      <c r="AH4680">
        <v>9.1262120691432997</v>
      </c>
      <c r="AI4680">
        <v>95.399472726608096</v>
      </c>
      <c r="AJ4680">
        <v>51.352563268474803</v>
      </c>
      <c r="AK4680">
        <v>11.737316175256501</v>
      </c>
    </row>
    <row r="4681" spans="1:37" x14ac:dyDescent="0.2">
      <c r="A4681" t="str">
        <f>"20200111160307645"</f>
        <v>20200111160307645</v>
      </c>
      <c r="B4681" t="str">
        <f>"1578729787638032"</f>
        <v>1578729787638032</v>
      </c>
      <c r="C4681" t="s">
        <v>37</v>
      </c>
      <c r="D4681">
        <v>4.8527649999999998</v>
      </c>
      <c r="E4681">
        <v>0.61333519999999997</v>
      </c>
      <c r="F4681" t="s">
        <v>38</v>
      </c>
      <c r="G4681">
        <v>-336.26940000000002</v>
      </c>
      <c r="H4681" s="1">
        <v>-3.541828E-6</v>
      </c>
      <c r="I4681">
        <v>11.02384</v>
      </c>
      <c r="J4681">
        <v>-345.20440000000002</v>
      </c>
      <c r="K4681">
        <v>1.104473</v>
      </c>
      <c r="L4681">
        <v>18.63599</v>
      </c>
      <c r="M4681">
        <v>0.99928430000000001</v>
      </c>
      <c r="N4681">
        <v>0</v>
      </c>
      <c r="O4681">
        <v>-3.4991960000000003E-2</v>
      </c>
      <c r="P4681">
        <v>0.92135270000000002</v>
      </c>
      <c r="Q4681">
        <v>9.5421020000000002E-3</v>
      </c>
      <c r="R4681">
        <v>-0.38861040000000002</v>
      </c>
      <c r="S4681">
        <v>2.405151</v>
      </c>
      <c r="T4681">
        <v>-0.29083359999999903</v>
      </c>
      <c r="U4681">
        <v>-2.0063169999999899</v>
      </c>
      <c r="V4681">
        <v>0.35613620000000001</v>
      </c>
      <c r="W4681">
        <v>2.2851690000000001E-2</v>
      </c>
      <c r="X4681">
        <v>0.93415459999999995</v>
      </c>
      <c r="Y4681">
        <v>0.61084059999999996</v>
      </c>
      <c r="Z4681">
        <v>-2.8350210000000001E-2</v>
      </c>
      <c r="AA4681">
        <v>0.79124589999999995</v>
      </c>
      <c r="AB4681">
        <v>20</v>
      </c>
      <c r="AC4681">
        <v>8.9350000000000005</v>
      </c>
      <c r="AD4681">
        <v>-1.104476541828</v>
      </c>
      <c r="AE4681">
        <v>-7.6121499999999997</v>
      </c>
      <c r="AF4681">
        <v>7.2307819575960002</v>
      </c>
      <c r="AG4681">
        <v>-1.104476541828</v>
      </c>
      <c r="AH4681">
        <v>9.1152142678687795</v>
      </c>
      <c r="AI4681">
        <v>95.422709217175395</v>
      </c>
      <c r="AJ4681">
        <v>51.5762571608279</v>
      </c>
      <c r="AK4681">
        <v>11.6872241057876</v>
      </c>
    </row>
    <row r="4682" spans="1:37" x14ac:dyDescent="0.2">
      <c r="A4682" t="str">
        <f>"20200111160307668"</f>
        <v>20200111160307668</v>
      </c>
      <c r="B4682" t="str">
        <f>"1578729787657552"</f>
        <v>1578729787657552</v>
      </c>
      <c r="C4682" t="s">
        <v>37</v>
      </c>
      <c r="D4682">
        <v>4.8040310000000002</v>
      </c>
      <c r="E4682">
        <v>0.61274740000000005</v>
      </c>
      <c r="F4682" t="s">
        <v>38</v>
      </c>
      <c r="G4682">
        <v>-335.9692</v>
      </c>
      <c r="H4682" s="1">
        <v>-3.6300719999999998E-6</v>
      </c>
      <c r="I4682">
        <v>11.07615</v>
      </c>
      <c r="J4682">
        <v>-345.00470000000001</v>
      </c>
      <c r="K4682">
        <v>1.1044799999999999</v>
      </c>
      <c r="L4682">
        <v>18.628779999999999</v>
      </c>
      <c r="M4682">
        <v>0.999278</v>
      </c>
      <c r="N4682">
        <v>0</v>
      </c>
      <c r="O4682">
        <v>-3.5179509999999997E-2</v>
      </c>
      <c r="P4682">
        <v>0.92581800000000003</v>
      </c>
      <c r="Q4682">
        <v>9.9125089999999999E-3</v>
      </c>
      <c r="R4682">
        <v>-0.37784029999999902</v>
      </c>
      <c r="S4682">
        <v>2.4226380000000001</v>
      </c>
      <c r="T4682">
        <v>-0.28973330000000003</v>
      </c>
      <c r="U4682">
        <v>-1.9831240000000001</v>
      </c>
      <c r="V4682">
        <v>0.34504029999999902</v>
      </c>
      <c r="W4682">
        <v>2.3283109999999999E-2</v>
      </c>
      <c r="X4682">
        <v>0.93829910000000005</v>
      </c>
      <c r="Y4682">
        <v>0.60339449999999994</v>
      </c>
      <c r="Z4682">
        <v>-2.77542E-2</v>
      </c>
      <c r="AA4682">
        <v>0.7969598</v>
      </c>
      <c r="AB4682">
        <v>20</v>
      </c>
      <c r="AC4682">
        <v>9.0355000000000096</v>
      </c>
      <c r="AD4682">
        <v>-1.104483630072</v>
      </c>
      <c r="AE4682">
        <v>-7.55262999999999</v>
      </c>
      <c r="AF4682">
        <v>7.1670140808228</v>
      </c>
      <c r="AG4682">
        <v>-1.104483630072</v>
      </c>
      <c r="AH4682">
        <v>9.2145775207330995</v>
      </c>
      <c r="AI4682">
        <v>95.404850464434205</v>
      </c>
      <c r="AJ4682">
        <v>52.124549683231898</v>
      </c>
      <c r="AK4682">
        <v>11.7258012011721</v>
      </c>
    </row>
    <row r="4683" spans="1:37" x14ac:dyDescent="0.2">
      <c r="A4683" t="str">
        <f>"20200111160307691"</f>
        <v>20200111160307691</v>
      </c>
      <c r="B4683" t="str">
        <f>"1578729787687810"</f>
        <v>1578729787687810</v>
      </c>
      <c r="C4683" t="s">
        <v>37</v>
      </c>
      <c r="D4683">
        <v>4.7682529999999996</v>
      </c>
      <c r="E4683">
        <v>0.61237699999999995</v>
      </c>
      <c r="F4683" t="s">
        <v>38</v>
      </c>
      <c r="G4683">
        <v>-335.72289999999998</v>
      </c>
      <c r="H4683" s="1">
        <v>-3.6709599999999998E-6</v>
      </c>
      <c r="I4683">
        <v>11.23752</v>
      </c>
      <c r="J4683">
        <v>-344.79939999999999</v>
      </c>
      <c r="K4683">
        <v>1.1044769999999999</v>
      </c>
      <c r="L4683">
        <v>18.621369999999999</v>
      </c>
      <c r="M4683">
        <v>0.99927119999999903</v>
      </c>
      <c r="N4683">
        <v>0</v>
      </c>
      <c r="O4683">
        <v>-3.5372069999999999E-2</v>
      </c>
      <c r="P4683">
        <v>0.93147029999999997</v>
      </c>
      <c r="Q4683">
        <v>8.638682E-3</v>
      </c>
      <c r="R4683">
        <v>-0.36371559999999997</v>
      </c>
      <c r="S4683">
        <v>2.447937</v>
      </c>
      <c r="T4683">
        <v>-0.29129050000000001</v>
      </c>
      <c r="U4683">
        <v>-1.9493099999999901</v>
      </c>
      <c r="V4683">
        <v>0.33054299999999998</v>
      </c>
      <c r="W4683">
        <v>2.20856E-2</v>
      </c>
      <c r="X4683">
        <v>0.9435325</v>
      </c>
      <c r="Y4683">
        <v>0.59247669999999997</v>
      </c>
      <c r="Z4683">
        <v>-2.7195090000000002E-2</v>
      </c>
      <c r="AA4683">
        <v>0.80512850000000002</v>
      </c>
      <c r="AB4683">
        <v>20</v>
      </c>
      <c r="AC4683">
        <v>9.07650000000001</v>
      </c>
      <c r="AD4683">
        <v>-1.1044806709599999</v>
      </c>
      <c r="AE4683">
        <v>-7.3838499999999998</v>
      </c>
      <c r="AF4683">
        <v>6.9958048846507497</v>
      </c>
      <c r="AG4683">
        <v>-1.1044806709599999</v>
      </c>
      <c r="AH4683">
        <v>9.2496096039132496</v>
      </c>
      <c r="AI4683">
        <v>95.440230233302799</v>
      </c>
      <c r="AJ4683">
        <v>52.898502307729203</v>
      </c>
      <c r="AK4683">
        <v>11.6497399696916</v>
      </c>
    </row>
    <row r="4684" spans="1:37" x14ac:dyDescent="0.2">
      <c r="A4684" t="str">
        <f>"20200111160307713"</f>
        <v>20200111160307713</v>
      </c>
      <c r="B4684" t="str">
        <f>"1578729787707329"</f>
        <v>1578729787707329</v>
      </c>
      <c r="C4684" t="s">
        <v>37</v>
      </c>
      <c r="D4684">
        <v>4.7752530000000002</v>
      </c>
      <c r="E4684">
        <v>0.61254189999999997</v>
      </c>
      <c r="F4684" t="s">
        <v>38</v>
      </c>
      <c r="G4684">
        <v>-335.51609999999999</v>
      </c>
      <c r="H4684" s="1">
        <v>-3.6781009999999998E-6</v>
      </c>
      <c r="I4684">
        <v>11.47522</v>
      </c>
      <c r="J4684">
        <v>-344.5958</v>
      </c>
      <c r="K4684">
        <v>1.104465</v>
      </c>
      <c r="L4684">
        <v>18.61392</v>
      </c>
      <c r="M4684">
        <v>0.99926440000000005</v>
      </c>
      <c r="N4684">
        <v>0</v>
      </c>
      <c r="O4684">
        <v>-3.556405E-2</v>
      </c>
      <c r="P4684">
        <v>0.93648449999999905</v>
      </c>
      <c r="Q4684">
        <v>6.2048880000000004E-3</v>
      </c>
      <c r="R4684">
        <v>-0.35065400000000002</v>
      </c>
      <c r="S4684">
        <v>2.478485</v>
      </c>
      <c r="T4684">
        <v>-0.29487590000000002</v>
      </c>
      <c r="U4684">
        <v>-1.90786699999999</v>
      </c>
      <c r="V4684">
        <v>0.31712950000000001</v>
      </c>
      <c r="W4684">
        <v>1.9718630000000001E-2</v>
      </c>
      <c r="X4684">
        <v>0.94817719999999905</v>
      </c>
      <c r="Y4684">
        <v>0.57901590000000003</v>
      </c>
      <c r="Z4684">
        <v>-2.6659260000000001E-2</v>
      </c>
      <c r="AA4684">
        <v>0.8148803</v>
      </c>
      <c r="AB4684">
        <v>20</v>
      </c>
      <c r="AC4684">
        <v>9.0797000000000008</v>
      </c>
      <c r="AD4684">
        <v>-1.104468678101</v>
      </c>
      <c r="AE4684">
        <v>-7.1387</v>
      </c>
      <c r="AF4684">
        <v>6.7495201852643198</v>
      </c>
      <c r="AG4684">
        <v>-1.104468678101</v>
      </c>
      <c r="AH4684">
        <v>9.2433395013059307</v>
      </c>
      <c r="AI4684">
        <v>95.511952095687803</v>
      </c>
      <c r="AJ4684">
        <v>53.8629449219032</v>
      </c>
      <c r="AK4684">
        <v>11.498486810385</v>
      </c>
    </row>
    <row r="4685" spans="1:37" x14ac:dyDescent="0.2">
      <c r="A4685" t="str">
        <f>"20200111160307736"</f>
        <v>20200111160307736</v>
      </c>
      <c r="B4685" t="str">
        <f>"1578729787727824"</f>
        <v>1578729787727824</v>
      </c>
      <c r="C4685" t="s">
        <v>37</v>
      </c>
      <c r="D4685">
        <v>4.8579679999999996</v>
      </c>
      <c r="E4685">
        <v>0.61321190000000003</v>
      </c>
      <c r="F4685" t="s">
        <v>38</v>
      </c>
      <c r="G4685">
        <v>-335.33580000000001</v>
      </c>
      <c r="H4685" s="1">
        <v>-3.68442099999999E-6</v>
      </c>
      <c r="I4685">
        <v>11.682</v>
      </c>
      <c r="J4685">
        <v>-344.3843</v>
      </c>
      <c r="K4685">
        <v>1.10446</v>
      </c>
      <c r="L4685">
        <v>18.606169999999999</v>
      </c>
      <c r="M4685">
        <v>0.99925739999999996</v>
      </c>
      <c r="N4685">
        <v>0</v>
      </c>
      <c r="O4685">
        <v>-3.5764610000000002E-2</v>
      </c>
      <c r="P4685">
        <v>0.9414245</v>
      </c>
      <c r="Q4685">
        <v>4.14796E-3</v>
      </c>
      <c r="R4685">
        <v>-0.33719890000000002</v>
      </c>
      <c r="S4685">
        <v>2.5036619999999998</v>
      </c>
      <c r="T4685">
        <v>-0.29861759999999998</v>
      </c>
      <c r="U4685">
        <v>-1.8741759999999901</v>
      </c>
      <c r="V4685">
        <v>0.30331529999999901</v>
      </c>
      <c r="W4685">
        <v>1.7726269999999999E-2</v>
      </c>
      <c r="X4685">
        <v>0.95272539999999994</v>
      </c>
      <c r="Y4685">
        <v>0.56784730000000005</v>
      </c>
      <c r="Z4685">
        <v>-2.6264849999999999E-2</v>
      </c>
      <c r="AA4685">
        <v>0.82271479999999997</v>
      </c>
      <c r="AB4685">
        <v>20</v>
      </c>
      <c r="AC4685">
        <v>9.04849999999999</v>
      </c>
      <c r="AD4685">
        <v>-1.1044636844210001</v>
      </c>
      <c r="AE4685">
        <v>-6.9241700000000002</v>
      </c>
      <c r="AF4685">
        <v>6.5346872082042502</v>
      </c>
      <c r="AG4685">
        <v>-1.1044636844210001</v>
      </c>
      <c r="AH4685">
        <v>9.2038918993154404</v>
      </c>
      <c r="AI4685">
        <v>95.5883765511565</v>
      </c>
      <c r="AJ4685">
        <v>54.625562872964402</v>
      </c>
      <c r="AK4685">
        <v>11.3416754949856</v>
      </c>
    </row>
    <row r="4686" spans="1:37" x14ac:dyDescent="0.2">
      <c r="A4686" t="str">
        <f>"20200111160307758"</f>
        <v>20200111160307758</v>
      </c>
      <c r="B4686" t="str">
        <f>"1578729787747344"</f>
        <v>1578729787747344</v>
      </c>
      <c r="C4686" t="s">
        <v>37</v>
      </c>
      <c r="D4686">
        <v>4.7417230000000004</v>
      </c>
      <c r="E4686">
        <v>0.61378390000000005</v>
      </c>
      <c r="F4686" t="s">
        <v>38</v>
      </c>
      <c r="G4686">
        <v>-335.14159999999998</v>
      </c>
      <c r="H4686" s="1">
        <v>-3.7015710000000001E-6</v>
      </c>
      <c r="I4686">
        <v>11.865919999999999</v>
      </c>
      <c r="J4686">
        <v>-344.19260000000003</v>
      </c>
      <c r="K4686">
        <v>1.104455</v>
      </c>
      <c r="L4686">
        <v>18.59909</v>
      </c>
      <c r="M4686">
        <v>0.99925090000000005</v>
      </c>
      <c r="N4686">
        <v>0</v>
      </c>
      <c r="O4686">
        <v>-3.5946949999999998E-2</v>
      </c>
      <c r="P4686">
        <v>0.94592169999999898</v>
      </c>
      <c r="Q4686">
        <v>2.8725509999999901E-3</v>
      </c>
      <c r="R4686">
        <v>-0.32438279999999903</v>
      </c>
      <c r="S4686">
        <v>2.5277400000000001</v>
      </c>
      <c r="T4686">
        <v>-0.30205199999999999</v>
      </c>
      <c r="U4686">
        <v>-1.843323</v>
      </c>
      <c r="V4686">
        <v>0.29017140000000002</v>
      </c>
      <c r="W4686">
        <v>1.6509090000000001E-2</v>
      </c>
      <c r="X4686">
        <v>0.95683229999999997</v>
      </c>
      <c r="Y4686">
        <v>0.55737199999999998</v>
      </c>
      <c r="Z4686">
        <v>-2.5870270000000001E-2</v>
      </c>
      <c r="AA4686">
        <v>0.82985969999999998</v>
      </c>
      <c r="AB4686">
        <v>20</v>
      </c>
      <c r="AC4686">
        <v>9.0510000000000392</v>
      </c>
      <c r="AD4686">
        <v>-1.1044587015709999</v>
      </c>
      <c r="AE4686">
        <v>-6.7331700000000003</v>
      </c>
      <c r="AF4686">
        <v>6.3426301570264103</v>
      </c>
      <c r="AG4686">
        <v>-1.1044587015709999</v>
      </c>
      <c r="AH4686">
        <v>9.1990325205894798</v>
      </c>
      <c r="AI4686">
        <v>95.645044766033607</v>
      </c>
      <c r="AJ4686">
        <v>55.414170638745397</v>
      </c>
      <c r="AK4686">
        <v>11.228133667139801</v>
      </c>
    </row>
    <row r="4687" spans="1:37" x14ac:dyDescent="0.2">
      <c r="A4687" t="str">
        <f>"20200111160307780"</f>
        <v>20200111160307780</v>
      </c>
      <c r="B4687" t="str">
        <f>"1578729787777600"</f>
        <v>1578729787777600</v>
      </c>
      <c r="C4687" t="s">
        <v>37</v>
      </c>
      <c r="D4687">
        <v>4.7473130000000001</v>
      </c>
      <c r="E4687">
        <v>0.61445450000000001</v>
      </c>
      <c r="F4687" t="s">
        <v>38</v>
      </c>
      <c r="G4687">
        <v>-334.87049999999999</v>
      </c>
      <c r="H4687" s="1">
        <v>-3.7656079999999998E-6</v>
      </c>
      <c r="I4687">
        <v>11.971969999999899</v>
      </c>
      <c r="J4687">
        <v>-343.99220000000003</v>
      </c>
      <c r="K4687">
        <v>1.104447</v>
      </c>
      <c r="L4687">
        <v>18.591670000000001</v>
      </c>
      <c r="M4687">
        <v>0.99924400000000002</v>
      </c>
      <c r="N4687">
        <v>0</v>
      </c>
      <c r="O4687">
        <v>-3.6137990000000002E-2</v>
      </c>
      <c r="P4687">
        <v>0.94985330000000001</v>
      </c>
      <c r="Q4687">
        <v>1.173381E-3</v>
      </c>
      <c r="R4687">
        <v>-0.31269369999999902</v>
      </c>
      <c r="S4687">
        <v>2.5506289999999998</v>
      </c>
      <c r="T4687">
        <v>-0.30219240000000003</v>
      </c>
      <c r="U4687">
        <v>-1.813232</v>
      </c>
      <c r="V4687">
        <v>0.27816459999999998</v>
      </c>
      <c r="W4687">
        <v>1.4860389999999999E-2</v>
      </c>
      <c r="X4687">
        <v>0.96041849999999995</v>
      </c>
      <c r="Y4687">
        <v>0.54720979999999997</v>
      </c>
      <c r="Z4687">
        <v>-2.521408E-2</v>
      </c>
      <c r="AA4687">
        <v>0.83661559999999902</v>
      </c>
      <c r="AB4687">
        <v>20</v>
      </c>
      <c r="AC4687">
        <v>9.1217000000000308</v>
      </c>
      <c r="AD4687">
        <v>-1.104450765608</v>
      </c>
      <c r="AE4687">
        <v>-6.6196999999999999</v>
      </c>
      <c r="AF4687">
        <v>6.2259148156670996</v>
      </c>
      <c r="AG4687">
        <v>-1.104450765608</v>
      </c>
      <c r="AH4687">
        <v>9.2660076161146794</v>
      </c>
      <c r="AI4687">
        <v>95.650183080996399</v>
      </c>
      <c r="AJ4687">
        <v>56.1024874286543</v>
      </c>
      <c r="AK4687">
        <v>11.2178751966444</v>
      </c>
    </row>
    <row r="4688" spans="1:37" x14ac:dyDescent="0.2">
      <c r="A4688" t="str">
        <f>"20200111160307803"</f>
        <v>20200111160307803</v>
      </c>
      <c r="B4688" t="str">
        <f>"1578729787798097"</f>
        <v>1578729787798097</v>
      </c>
      <c r="C4688" t="s">
        <v>37</v>
      </c>
      <c r="D4688">
        <v>4.7728129999999904</v>
      </c>
      <c r="E4688">
        <v>0.62991699999999995</v>
      </c>
      <c r="F4688" t="s">
        <v>38</v>
      </c>
      <c r="G4688">
        <v>-334.66390000000001</v>
      </c>
      <c r="H4688" s="1">
        <v>-3.80012099999999E-6</v>
      </c>
      <c r="I4688">
        <v>12.106479999999999</v>
      </c>
      <c r="J4688">
        <v>-343.78050000000002</v>
      </c>
      <c r="K4688">
        <v>1.1044449999999999</v>
      </c>
      <c r="L4688">
        <v>18.583770000000001</v>
      </c>
      <c r="M4688">
        <v>0.99923689999999998</v>
      </c>
      <c r="N4688">
        <v>0</v>
      </c>
      <c r="O4688">
        <v>-3.6337599999999998E-2</v>
      </c>
      <c r="P4688">
        <v>0.95203950000000004</v>
      </c>
      <c r="Q4688">
        <v>1.3533609999999999E-4</v>
      </c>
      <c r="R4688">
        <v>-0.30597529999999901</v>
      </c>
      <c r="S4688">
        <v>2.5704959999999999</v>
      </c>
      <c r="T4688">
        <v>-0.30433919999999998</v>
      </c>
      <c r="U4688">
        <v>-1.787018</v>
      </c>
      <c r="V4688">
        <v>0.271179</v>
      </c>
      <c r="W4688">
        <v>1.3849119999999999E-2</v>
      </c>
      <c r="X4688">
        <v>0.96242929999999904</v>
      </c>
      <c r="Y4688">
        <v>0.53824879999999997</v>
      </c>
      <c r="Z4688">
        <v>-2.480036E-2</v>
      </c>
      <c r="AA4688">
        <v>0.84242109999999903</v>
      </c>
      <c r="AB4688">
        <v>20</v>
      </c>
      <c r="AC4688">
        <v>9.1166</v>
      </c>
      <c r="AD4688">
        <v>-1.104448800121</v>
      </c>
      <c r="AE4688">
        <v>-6.47729</v>
      </c>
      <c r="AF4688">
        <v>6.0823794565595399</v>
      </c>
      <c r="AG4688">
        <v>-1.104448800121</v>
      </c>
      <c r="AH4688">
        <v>9.25569876282864</v>
      </c>
      <c r="AI4688">
        <v>95.694786835086305</v>
      </c>
      <c r="AJ4688">
        <v>56.689096257770402</v>
      </c>
      <c r="AK4688">
        <v>11.130278819234199</v>
      </c>
    </row>
    <row r="4689" spans="1:37" x14ac:dyDescent="0.2">
      <c r="A4689" t="str">
        <f>"20200111160307827"</f>
        <v>20200111160307827</v>
      </c>
      <c r="B4689" t="str">
        <f>"1578729787817617"</f>
        <v>1578729787817617</v>
      </c>
      <c r="C4689" t="s">
        <v>37</v>
      </c>
      <c r="D4689">
        <v>4.7297900000000004</v>
      </c>
      <c r="E4689">
        <v>0.63225129999999996</v>
      </c>
      <c r="F4689" t="s">
        <v>38</v>
      </c>
      <c r="G4689">
        <v>-333.25889999999998</v>
      </c>
      <c r="H4689" s="1">
        <v>-4.6338670000000004E-6</v>
      </c>
      <c r="I4689">
        <v>10.77</v>
      </c>
      <c r="J4689">
        <v>-343.57339999999999</v>
      </c>
      <c r="K4689">
        <v>1.1044479999999901</v>
      </c>
      <c r="L4689">
        <v>18.57602</v>
      </c>
      <c r="M4689">
        <v>0.99923009999999901</v>
      </c>
      <c r="N4689">
        <v>0</v>
      </c>
      <c r="O4689">
        <v>-3.652739E-2</v>
      </c>
      <c r="P4689">
        <v>0.95610519999999999</v>
      </c>
      <c r="Q4689">
        <v>-8.5631759999999998E-4</v>
      </c>
      <c r="R4689">
        <v>-0.29302289999999998</v>
      </c>
      <c r="S4689">
        <v>2.5439759999999998</v>
      </c>
      <c r="T4689">
        <v>-0.26703779999999999</v>
      </c>
      <c r="U4689">
        <v>-1.88922099999999</v>
      </c>
      <c r="V4689">
        <v>0.25790350000000001</v>
      </c>
      <c r="W4689">
        <v>1.2911260000000001E-2</v>
      </c>
      <c r="X4689">
        <v>0.96608439999999995</v>
      </c>
      <c r="Y4689">
        <v>0.56461830000000002</v>
      </c>
      <c r="Z4689">
        <v>-2.2943180000000001E-2</v>
      </c>
      <c r="AA4689">
        <v>0.82503320000000002</v>
      </c>
      <c r="AB4689">
        <v>20</v>
      </c>
      <c r="AC4689">
        <v>10.314500000000001</v>
      </c>
      <c r="AD4689">
        <v>-1.10445263386699</v>
      </c>
      <c r="AE4689">
        <v>-7.8060199999999904</v>
      </c>
      <c r="AF4689">
        <v>7.3702784825964596</v>
      </c>
      <c r="AG4689">
        <v>-1.10445263386699</v>
      </c>
      <c r="AH4689">
        <v>10.516113513581599</v>
      </c>
      <c r="AI4689">
        <v>94.915631342741307</v>
      </c>
      <c r="AJ4689">
        <v>54.975086924869501</v>
      </c>
      <c r="AK4689">
        <v>12.889121923622801</v>
      </c>
    </row>
    <row r="4690" spans="1:37" x14ac:dyDescent="0.2">
      <c r="A4690" t="str">
        <f>"20200111160307848"</f>
        <v>20200111160307848</v>
      </c>
      <c r="B4690" t="str">
        <f>"1578729787838112"</f>
        <v>1578729787838112</v>
      </c>
      <c r="C4690" t="s">
        <v>37</v>
      </c>
      <c r="D4690">
        <v>4.7635189999999996</v>
      </c>
      <c r="E4690">
        <v>0.64065249999999996</v>
      </c>
      <c r="F4690" t="s">
        <v>38</v>
      </c>
      <c r="G4690">
        <v>-332.99529999999999</v>
      </c>
      <c r="H4690" s="1">
        <v>-4.7023660000000004E-6</v>
      </c>
      <c r="I4690">
        <v>10.849629999999999</v>
      </c>
      <c r="J4690">
        <v>-343.3775</v>
      </c>
      <c r="K4690">
        <v>1.1044609999999999</v>
      </c>
      <c r="L4690">
        <v>18.568660000000001</v>
      </c>
      <c r="M4690">
        <v>0.99922389999999905</v>
      </c>
      <c r="N4690">
        <v>0</v>
      </c>
      <c r="O4690">
        <v>-3.6697590000000002E-2</v>
      </c>
      <c r="P4690">
        <v>0.96060959999999995</v>
      </c>
      <c r="Q4690">
        <v>-1.893397E-3</v>
      </c>
      <c r="R4690">
        <v>-0.27789589999999997</v>
      </c>
      <c r="S4690">
        <v>2.5636290000000002</v>
      </c>
      <c r="T4690">
        <v>-0.26766770000000001</v>
      </c>
      <c r="U4690">
        <v>-1.872498</v>
      </c>
      <c r="V4690">
        <v>0.24245610000000001</v>
      </c>
      <c r="W4690">
        <v>1.19342999999999E-2</v>
      </c>
      <c r="X4690">
        <v>0.97008899999999998</v>
      </c>
      <c r="Y4690">
        <v>0.55795469999999903</v>
      </c>
      <c r="Z4690">
        <v>-2.2568830000000002E-2</v>
      </c>
      <c r="AA4690">
        <v>0.82956450000000004</v>
      </c>
      <c r="AB4690">
        <v>20</v>
      </c>
      <c r="AC4690">
        <v>10.382199999999999</v>
      </c>
      <c r="AD4690">
        <v>-1.1044657023660001</v>
      </c>
      <c r="AE4690">
        <v>-7.7190300000000001</v>
      </c>
      <c r="AF4690">
        <v>7.2797329256406096</v>
      </c>
      <c r="AG4690">
        <v>-1.1044657023660001</v>
      </c>
      <c r="AH4690">
        <v>10.5813853041934</v>
      </c>
      <c r="AI4690">
        <v>94.914939262287007</v>
      </c>
      <c r="AJ4690">
        <v>55.472984497184498</v>
      </c>
      <c r="AK4690">
        <v>12.891084939296499</v>
      </c>
    </row>
    <row r="4691" spans="1:37" x14ac:dyDescent="0.2">
      <c r="A4691" t="str">
        <f>"20200111160307862"</f>
        <v>20200111160307862</v>
      </c>
      <c r="B4691" t="str">
        <f>"1578729787857633"</f>
        <v>1578729787857633</v>
      </c>
      <c r="C4691" t="s">
        <v>37</v>
      </c>
      <c r="D4691">
        <v>4.6828389999999898</v>
      </c>
      <c r="E4691">
        <v>0.64296660000000005</v>
      </c>
      <c r="F4691" t="s">
        <v>38</v>
      </c>
      <c r="G4691">
        <v>-331.53449999999998</v>
      </c>
      <c r="H4691" s="1">
        <v>-5.4701710000000004E-6</v>
      </c>
      <c r="I4691">
        <v>9.8323429999999998</v>
      </c>
      <c r="J4691">
        <v>-343.25560000000002</v>
      </c>
      <c r="K4691">
        <v>1.104468</v>
      </c>
      <c r="L4691">
        <v>18.56409</v>
      </c>
      <c r="M4691">
        <v>0.99922029999999995</v>
      </c>
      <c r="N4691">
        <v>0</v>
      </c>
      <c r="O4691">
        <v>-3.6795319999999999E-2</v>
      </c>
      <c r="P4691">
        <v>0.96312099999999901</v>
      </c>
      <c r="Q4691">
        <v>-2.7575249999999998E-3</v>
      </c>
      <c r="R4691">
        <v>-0.26905509999999999</v>
      </c>
      <c r="S4691">
        <v>2.57336399999999</v>
      </c>
      <c r="T4691">
        <v>-0.23998800000000001</v>
      </c>
      <c r="U4691">
        <v>-1.89828499999999</v>
      </c>
      <c r="V4691">
        <v>0.23343359999999999</v>
      </c>
      <c r="W4691">
        <v>1.1105139999999999E-2</v>
      </c>
      <c r="X4691">
        <v>0.97230939999999999</v>
      </c>
      <c r="Y4691">
        <v>0.56214569999999997</v>
      </c>
      <c r="Z4691">
        <v>-2.0293970000000001E-2</v>
      </c>
      <c r="AA4691">
        <v>0.8267892</v>
      </c>
      <c r="AB4691">
        <v>20</v>
      </c>
      <c r="AC4691">
        <v>11.7211</v>
      </c>
      <c r="AD4691">
        <v>-1.1044734701709999</v>
      </c>
      <c r="AE4691">
        <v>-8.7317470000000004</v>
      </c>
      <c r="AF4691">
        <v>8.24741245069238</v>
      </c>
      <c r="AG4691">
        <v>-1.1044734701709999</v>
      </c>
      <c r="AH4691">
        <v>11.966152035511399</v>
      </c>
      <c r="AI4691">
        <v>94.345983698302504</v>
      </c>
      <c r="AJ4691">
        <v>55.424283364678502</v>
      </c>
      <c r="AK4691">
        <v>14.5749260140531</v>
      </c>
    </row>
    <row r="4692" spans="1:37" x14ac:dyDescent="0.2">
      <c r="A4692" t="str">
        <f>"20200111160307882"</f>
        <v>20200111160307882</v>
      </c>
      <c r="B4692" t="str">
        <f>"1578729787877798"</f>
        <v>1578729787877798</v>
      </c>
      <c r="C4692" t="s">
        <v>37</v>
      </c>
      <c r="D4692">
        <v>4.6679500000000003</v>
      </c>
      <c r="E4692">
        <v>0.64661199999999996</v>
      </c>
      <c r="F4692" t="s">
        <v>38</v>
      </c>
      <c r="G4692">
        <v>-331.47629999999998</v>
      </c>
      <c r="H4692" s="1">
        <v>-5.4608309999999899E-6</v>
      </c>
      <c r="I4692">
        <v>9.9417829999999991</v>
      </c>
      <c r="J4692">
        <v>-343.07740000000001</v>
      </c>
      <c r="K4692">
        <v>1.1044860000000001</v>
      </c>
      <c r="L4692">
        <v>18.557400000000001</v>
      </c>
      <c r="M4692">
        <v>0.99921550000000003</v>
      </c>
      <c r="N4692">
        <v>0</v>
      </c>
      <c r="O4692">
        <v>-3.6926929999999997E-2</v>
      </c>
      <c r="P4692">
        <v>0.9687597</v>
      </c>
      <c r="Q4692">
        <v>-4.976617E-3</v>
      </c>
      <c r="R4692">
        <v>-0.2479517</v>
      </c>
      <c r="S4692">
        <v>2.58550999999999</v>
      </c>
      <c r="T4692">
        <v>-0.242428</v>
      </c>
      <c r="U4692">
        <v>-1.8925479999999999</v>
      </c>
      <c r="V4692">
        <v>0.21200759999999999</v>
      </c>
      <c r="W4692">
        <v>8.9637680000000004E-3</v>
      </c>
      <c r="X4692">
        <v>0.97722690000000001</v>
      </c>
      <c r="Y4692">
        <v>0.5589691</v>
      </c>
      <c r="Z4692">
        <v>-2.02904E-2</v>
      </c>
      <c r="AA4692">
        <v>0.82894020000000002</v>
      </c>
      <c r="AB4692">
        <v>20</v>
      </c>
      <c r="AC4692">
        <v>11.601100000000001</v>
      </c>
      <c r="AD4692">
        <v>-1.1044914608309999</v>
      </c>
      <c r="AE4692">
        <v>-8.6156170000000003</v>
      </c>
      <c r="AF4692">
        <v>8.1337849184330793</v>
      </c>
      <c r="AG4692">
        <v>-1.1044914608309999</v>
      </c>
      <c r="AH4692">
        <v>11.8421844448243</v>
      </c>
      <c r="AI4692">
        <v>94.396237332518893</v>
      </c>
      <c r="AJ4692">
        <v>55.516837856169701</v>
      </c>
      <c r="AK4692">
        <v>14.408875421476001</v>
      </c>
    </row>
    <row r="4693" spans="1:37" x14ac:dyDescent="0.2">
      <c r="A4693" t="str">
        <f>"20200111160307896"</f>
        <v>20200111160307896</v>
      </c>
      <c r="B4693" t="str">
        <f>"1578729787887558"</f>
        <v>1578729787887558</v>
      </c>
      <c r="C4693" t="s">
        <v>37</v>
      </c>
      <c r="D4693">
        <v>4.6854360000000002</v>
      </c>
      <c r="E4693">
        <v>0.64661199999999996</v>
      </c>
      <c r="F4693" t="s">
        <v>38</v>
      </c>
      <c r="G4693">
        <v>-331.02850000000001</v>
      </c>
      <c r="H4693" s="1">
        <v>-5.6031539999999898E-6</v>
      </c>
      <c r="I4693">
        <v>9.9796720000000008</v>
      </c>
      <c r="J4693">
        <v>-342.95240000000001</v>
      </c>
      <c r="K4693">
        <v>1.1044959999999999</v>
      </c>
      <c r="L4693">
        <v>18.55273</v>
      </c>
      <c r="M4693">
        <v>0.99921249999999995</v>
      </c>
      <c r="N4693">
        <v>0</v>
      </c>
      <c r="O4693">
        <v>-3.7008630000000001E-2</v>
      </c>
      <c r="P4693">
        <v>0.97177919999999995</v>
      </c>
      <c r="Q4693">
        <v>-5.17553799999999E-3</v>
      </c>
      <c r="R4693">
        <v>-0.23583560000000001</v>
      </c>
      <c r="S4693">
        <v>2.618439</v>
      </c>
      <c r="T4693">
        <v>-0.2400255</v>
      </c>
      <c r="U4693">
        <v>-1.8640749999999999</v>
      </c>
      <c r="V4693">
        <v>0.19970779999999999</v>
      </c>
      <c r="W4693">
        <v>8.8059419999999902E-3</v>
      </c>
      <c r="X4693">
        <v>0.97981589999999996</v>
      </c>
      <c r="Y4693">
        <v>0.54798899999999995</v>
      </c>
      <c r="Z4693">
        <v>-1.9484250000000002E-2</v>
      </c>
      <c r="AA4693">
        <v>0.83625859999999996</v>
      </c>
      <c r="AB4693">
        <v>20</v>
      </c>
      <c r="AC4693">
        <v>11.9239</v>
      </c>
      <c r="AD4693">
        <v>-1.10450160315399</v>
      </c>
      <c r="AE4693">
        <v>-8.5730579999999996</v>
      </c>
      <c r="AF4693">
        <v>8.0801479782880303</v>
      </c>
      <c r="AG4693">
        <v>-1.10450160315399</v>
      </c>
      <c r="AH4693">
        <v>12.1642353376023</v>
      </c>
      <c r="AI4693">
        <v>94.325246304944002</v>
      </c>
      <c r="AJ4693">
        <v>56.405721048616897</v>
      </c>
      <c r="AK4693">
        <v>14.645044775997601</v>
      </c>
    </row>
    <row r="4694" spans="1:37" x14ac:dyDescent="0.2">
      <c r="A4694" t="str">
        <f>"20200111160307916"</f>
        <v>20200111160307916</v>
      </c>
      <c r="B4694" t="str">
        <f>"1578729787908054"</f>
        <v>1578729787908054</v>
      </c>
      <c r="C4694" t="s">
        <v>37</v>
      </c>
      <c r="D4694">
        <v>4.6895470000000001</v>
      </c>
      <c r="E4694">
        <v>0.66300749999999997</v>
      </c>
      <c r="F4694" t="s">
        <v>38</v>
      </c>
      <c r="G4694">
        <v>-330.93709999999999</v>
      </c>
      <c r="H4694" s="1">
        <v>-5.5693490000000001E-6</v>
      </c>
      <c r="I4694">
        <v>10.22364</v>
      </c>
      <c r="J4694">
        <v>-342.77420000000001</v>
      </c>
      <c r="K4694">
        <v>1.104522</v>
      </c>
      <c r="L4694">
        <v>18.546050000000001</v>
      </c>
      <c r="M4694">
        <v>0.99920900000000001</v>
      </c>
      <c r="N4694">
        <v>0</v>
      </c>
      <c r="O4694">
        <v>-3.710774E-2</v>
      </c>
      <c r="P4694">
        <v>0.97731630000000003</v>
      </c>
      <c r="Q4694">
        <v>-4.3690880000000001E-3</v>
      </c>
      <c r="R4694">
        <v>-0.2117406</v>
      </c>
      <c r="S4694">
        <v>2.6414490000000002</v>
      </c>
      <c r="T4694">
        <v>-0.24281430000000001</v>
      </c>
      <c r="U4694">
        <v>-1.8310549999999901</v>
      </c>
      <c r="V4694">
        <v>0.1753265</v>
      </c>
      <c r="W4694">
        <v>9.6861459999999996E-3</v>
      </c>
      <c r="X4694">
        <v>0.98446270000000002</v>
      </c>
      <c r="Y4694">
        <v>0.53739700000000001</v>
      </c>
      <c r="Z4694">
        <v>-1.918622E-2</v>
      </c>
      <c r="AA4694">
        <v>0.843111099999999</v>
      </c>
      <c r="AB4694">
        <v>20</v>
      </c>
      <c r="AC4694">
        <v>11.8371</v>
      </c>
      <c r="AD4694">
        <v>-1.104527569349</v>
      </c>
      <c r="AE4694">
        <v>-8.3224099999999996</v>
      </c>
      <c r="AF4694">
        <v>7.8317511266862301</v>
      </c>
      <c r="AG4694">
        <v>-1.104527569349</v>
      </c>
      <c r="AH4694">
        <v>12.067490101383701</v>
      </c>
      <c r="AI4694">
        <v>94.390400406172006</v>
      </c>
      <c r="AJ4694">
        <v>57.016595949108797</v>
      </c>
      <c r="AK4694">
        <v>14.4284657607383</v>
      </c>
    </row>
    <row r="4695" spans="1:37" x14ac:dyDescent="0.2">
      <c r="A4695" t="str">
        <f>"20200111160307937"</f>
        <v>20200111160307937</v>
      </c>
      <c r="B4695" t="str">
        <f>"1578729787927573"</f>
        <v>1578729787927573</v>
      </c>
      <c r="C4695" t="s">
        <v>37</v>
      </c>
      <c r="D4695">
        <v>5.513363</v>
      </c>
      <c r="E4695">
        <v>0.63047430000000004</v>
      </c>
      <c r="F4695" t="s">
        <v>38</v>
      </c>
      <c r="G4695">
        <v>-330.23829999999998</v>
      </c>
      <c r="H4695">
        <v>5.1601559999999998E-2</v>
      </c>
      <c r="I4695">
        <v>9.6146949999999993</v>
      </c>
      <c r="J4695">
        <v>-342.5881</v>
      </c>
      <c r="K4695">
        <v>1.104549</v>
      </c>
      <c r="L4695">
        <v>18.539059999999999</v>
      </c>
      <c r="M4695">
        <v>0.99920599999999904</v>
      </c>
      <c r="N4695">
        <v>0</v>
      </c>
      <c r="O4695">
        <v>-3.7185940000000001E-2</v>
      </c>
      <c r="P4695">
        <v>0.98242569999999996</v>
      </c>
      <c r="Q4695">
        <v>-3.0752900000000001E-3</v>
      </c>
      <c r="R4695">
        <v>-0.18662889999999999</v>
      </c>
      <c r="S4695">
        <v>2.6582949999999999</v>
      </c>
      <c r="T4695">
        <v>-0.223276899999999</v>
      </c>
      <c r="U4695">
        <v>-1.893921</v>
      </c>
      <c r="V4695">
        <v>0.14996489999999901</v>
      </c>
      <c r="W4695">
        <v>1.104601E-2</v>
      </c>
      <c r="X4695">
        <v>0.9886296</v>
      </c>
      <c r="Y4695">
        <v>0.54837449999999999</v>
      </c>
      <c r="Z4695">
        <v>-1.7855989999999999E-2</v>
      </c>
      <c r="AA4695">
        <v>0.83604219999999896</v>
      </c>
      <c r="AB4695">
        <v>20</v>
      </c>
      <c r="AC4695">
        <v>12.3498</v>
      </c>
      <c r="AD4695">
        <v>-1.0529474400000001</v>
      </c>
      <c r="AE4695">
        <v>-8.9243649999999999</v>
      </c>
      <c r="AF4695">
        <v>8.4187015687746296</v>
      </c>
      <c r="AG4695">
        <v>-1.0529474400000001</v>
      </c>
      <c r="AH4695">
        <v>12.612918033849899</v>
      </c>
      <c r="AI4695">
        <v>93.971974540698994</v>
      </c>
      <c r="AJ4695">
        <v>56.278213619675597</v>
      </c>
      <c r="AK4695">
        <v>15.200951803887399</v>
      </c>
    </row>
    <row r="4696" spans="1:37" x14ac:dyDescent="0.2">
      <c r="A4696" t="str">
        <f>"20200111160307958"</f>
        <v>20200111160307958</v>
      </c>
      <c r="B4696" t="str">
        <f>"1578729787948070"</f>
        <v>1578729787948070</v>
      </c>
      <c r="C4696" t="s">
        <v>37</v>
      </c>
      <c r="D4696">
        <v>4.5341709999999997</v>
      </c>
      <c r="E4696">
        <v>0.54743889999999995</v>
      </c>
      <c r="F4696" t="s">
        <v>38</v>
      </c>
      <c r="G4696">
        <v>-322.38869999999997</v>
      </c>
      <c r="H4696">
        <v>7.9985899999999999E-2</v>
      </c>
      <c r="I4696">
        <v>6.9832599999999996</v>
      </c>
      <c r="J4696">
        <v>-342.39909999999998</v>
      </c>
      <c r="K4696">
        <v>1.1045719999999899</v>
      </c>
      <c r="L4696">
        <v>18.532070000000001</v>
      </c>
      <c r="M4696">
        <v>0.99920429999999905</v>
      </c>
      <c r="N4696">
        <v>0</v>
      </c>
      <c r="O4696">
        <v>-3.7236829999999999E-2</v>
      </c>
      <c r="P4696">
        <v>0.98716280000000001</v>
      </c>
      <c r="Q4696">
        <v>-3.6171749999999998E-3</v>
      </c>
      <c r="R4696">
        <v>-0.15967629999999999</v>
      </c>
      <c r="S4696">
        <v>2.7539060000000002</v>
      </c>
      <c r="T4696">
        <v>-0.13968469999999999</v>
      </c>
      <c r="U4696">
        <v>-1.5754699999999999</v>
      </c>
      <c r="V4696">
        <v>0.1228038</v>
      </c>
      <c r="W4696">
        <v>1.0562530000000001E-2</v>
      </c>
      <c r="X4696">
        <v>0.9923748</v>
      </c>
      <c r="Y4696">
        <v>0.46348879999999998</v>
      </c>
      <c r="Z4696">
        <v>-9.1684039999999998E-3</v>
      </c>
      <c r="AA4696">
        <v>0.88605540000000005</v>
      </c>
      <c r="AB4696">
        <v>20</v>
      </c>
      <c r="AC4696">
        <v>20.010400000000001</v>
      </c>
      <c r="AD4696">
        <v>-1.0245860999999901</v>
      </c>
      <c r="AE4696">
        <v>-11.54881</v>
      </c>
      <c r="AF4696">
        <v>10.7744095374828</v>
      </c>
      <c r="AG4696">
        <v>-1.0245860999999901</v>
      </c>
      <c r="AH4696">
        <v>20.386511318750799</v>
      </c>
      <c r="AI4696">
        <v>92.544210881014706</v>
      </c>
      <c r="AJ4696">
        <v>62.143244400772097</v>
      </c>
      <c r="AK4696">
        <v>23.081324080460998</v>
      </c>
    </row>
    <row r="4697" spans="1:37" x14ac:dyDescent="0.2">
      <c r="A4697" t="str">
        <f>"20200111160307982"</f>
        <v>20200111160307982</v>
      </c>
      <c r="B4697" t="str">
        <f>"1578729787977958"</f>
        <v>1578729787977958</v>
      </c>
      <c r="C4697" t="s">
        <v>37</v>
      </c>
      <c r="D4697">
        <v>4.6706669999999999</v>
      </c>
      <c r="E4697">
        <v>0.46883799999999998</v>
      </c>
      <c r="F4697" t="s">
        <v>38</v>
      </c>
      <c r="G4697">
        <v>-325.33069999999998</v>
      </c>
      <c r="H4697" s="1">
        <v>-3.3810319999999999E-6</v>
      </c>
      <c r="I4697">
        <v>13.589</v>
      </c>
      <c r="J4697">
        <v>-342.19060000000002</v>
      </c>
      <c r="K4697">
        <v>1.104589</v>
      </c>
      <c r="L4697">
        <v>18.524319999999999</v>
      </c>
      <c r="M4697">
        <v>0.99920339999999996</v>
      </c>
      <c r="N4697">
        <v>0</v>
      </c>
      <c r="O4697">
        <v>-3.7261839999999997E-2</v>
      </c>
      <c r="P4697">
        <v>0.99110409999999904</v>
      </c>
      <c r="Q4697">
        <v>-3.8469099999999998E-3</v>
      </c>
      <c r="R4697">
        <v>-0.1330346</v>
      </c>
      <c r="S4697">
        <v>2.9024049999999999</v>
      </c>
      <c r="T4697">
        <v>-0.18782750000000001</v>
      </c>
      <c r="U4697">
        <v>-0.84054569999999995</v>
      </c>
      <c r="V4697">
        <v>9.6008259999999998E-2</v>
      </c>
      <c r="W4697">
        <v>1.0376089999999999E-2</v>
      </c>
      <c r="X4697">
        <v>0.995326499999999</v>
      </c>
      <c r="Y4697">
        <v>0.24179110000000001</v>
      </c>
      <c r="Z4697">
        <v>-5.3014109999999998E-3</v>
      </c>
      <c r="AA4697">
        <v>0.9703138</v>
      </c>
      <c r="AB4697">
        <v>20</v>
      </c>
      <c r="AC4697">
        <v>16.8599</v>
      </c>
      <c r="AD4697">
        <v>-1.104592381032</v>
      </c>
      <c r="AE4697">
        <v>-4.9353199999999902</v>
      </c>
      <c r="AF4697">
        <v>4.2866493252356204</v>
      </c>
      <c r="AG4697">
        <v>-1.104592381032</v>
      </c>
      <c r="AH4697">
        <v>16.965034513222299</v>
      </c>
      <c r="AI4697">
        <v>93.612059419089306</v>
      </c>
      <c r="AJ4697">
        <v>75.819567721035099</v>
      </c>
      <c r="AK4697">
        <v>17.533051154907401</v>
      </c>
    </row>
    <row r="4698" spans="1:37" x14ac:dyDescent="0.2">
      <c r="A4698" t="str">
        <f>"20200111160308005"</f>
        <v>20200111160308005</v>
      </c>
      <c r="B4698" t="str">
        <f>"1578729787997478"</f>
        <v>1578729787997478</v>
      </c>
      <c r="C4698" t="s">
        <v>37</v>
      </c>
      <c r="D4698">
        <v>4.4925930000000003</v>
      </c>
      <c r="E4698">
        <v>0.46870059999999902</v>
      </c>
      <c r="F4698" t="s">
        <v>39</v>
      </c>
      <c r="G4698">
        <v>-317.66370000000001</v>
      </c>
      <c r="H4698">
        <v>-0.05</v>
      </c>
      <c r="I4698">
        <v>17.36496</v>
      </c>
      <c r="J4698">
        <v>-341.9898</v>
      </c>
      <c r="K4698">
        <v>1.104616</v>
      </c>
      <c r="L4698">
        <v>18.516939999999899</v>
      </c>
      <c r="M4698">
        <v>0.99920370000000003</v>
      </c>
      <c r="N4698">
        <v>0</v>
      </c>
      <c r="O4698">
        <v>-3.7255660000000003E-2</v>
      </c>
      <c r="P4698">
        <v>0.99398509999999995</v>
      </c>
      <c r="Q4698">
        <v>-2.6497879999999902E-3</v>
      </c>
      <c r="R4698">
        <v>-0.1094837</v>
      </c>
      <c r="S4698">
        <v>3.0072939999999999</v>
      </c>
      <c r="T4698">
        <v>-0.14156659999999999</v>
      </c>
      <c r="U4698">
        <v>-0.1421509</v>
      </c>
      <c r="V4698">
        <v>7.2372160000000005E-2</v>
      </c>
      <c r="W4698">
        <v>1.1600539999999999E-2</v>
      </c>
      <c r="X4698">
        <v>0.99731019999999904</v>
      </c>
      <c r="Y4698">
        <v>9.9953919999999901E-3</v>
      </c>
      <c r="Z4698">
        <v>1.5163289999999901E-3</v>
      </c>
      <c r="AA4698">
        <v>0.99994889999999903</v>
      </c>
      <c r="AB4698">
        <v>20</v>
      </c>
      <c r="AC4698">
        <v>24.3261</v>
      </c>
      <c r="AD4698">
        <v>-1.1546160000000001</v>
      </c>
      <c r="AE4698">
        <v>-1.15197999999999</v>
      </c>
      <c r="AF4698">
        <v>0.244253703471221</v>
      </c>
      <c r="AG4698">
        <v>-1.1546160000000001</v>
      </c>
      <c r="AH4698">
        <v>24.297514812270698</v>
      </c>
      <c r="AI4698">
        <v>92.720507066042003</v>
      </c>
      <c r="AJ4698">
        <v>89.4240466540098</v>
      </c>
      <c r="AK4698">
        <v>24.326159253602501</v>
      </c>
    </row>
    <row r="4699" spans="1:37" x14ac:dyDescent="0.2">
      <c r="A4699" t="str">
        <f>"20200111160308026"</f>
        <v>20200111160308026</v>
      </c>
      <c r="B4699" t="str">
        <f>"1578729788017974"</f>
        <v>1578729788017974</v>
      </c>
      <c r="C4699" t="s">
        <v>37</v>
      </c>
      <c r="D4699">
        <v>4.6055699999999904</v>
      </c>
      <c r="E4699">
        <v>0.47221579999999902</v>
      </c>
      <c r="F4699" t="s">
        <v>38</v>
      </c>
      <c r="G4699">
        <v>-321.27030000000002</v>
      </c>
      <c r="H4699" s="1">
        <v>-4.384602E-6</v>
      </c>
      <c r="I4699">
        <v>18.051670000000001</v>
      </c>
      <c r="J4699">
        <v>-341.80220000000003</v>
      </c>
      <c r="K4699">
        <v>1.104641</v>
      </c>
      <c r="L4699">
        <v>18.51004</v>
      </c>
      <c r="M4699">
        <v>0.99920540000000002</v>
      </c>
      <c r="N4699">
        <v>0</v>
      </c>
      <c r="O4699">
        <v>-3.7213219999999998E-2</v>
      </c>
      <c r="P4699">
        <v>0.99597729999999995</v>
      </c>
      <c r="Q4699">
        <v>-8.8036429999999903E-4</v>
      </c>
      <c r="R4699">
        <v>-8.96039E-2</v>
      </c>
      <c r="S4699">
        <v>3.010284</v>
      </c>
      <c r="T4699">
        <v>-0.1604874</v>
      </c>
      <c r="U4699">
        <v>-6.7596439999999994E-2</v>
      </c>
      <c r="V4699">
        <v>5.2473680000000002E-2</v>
      </c>
      <c r="W4699">
        <v>1.3384719999999999E-2</v>
      </c>
      <c r="X4699">
        <v>0.99853259999999899</v>
      </c>
      <c r="Y4699">
        <v>-1.4700029999999999E-2</v>
      </c>
      <c r="Z4699">
        <v>2.3734679999999901E-3</v>
      </c>
      <c r="AA4699">
        <v>0.99988909999999998</v>
      </c>
      <c r="AB4699">
        <v>20</v>
      </c>
      <c r="AC4699">
        <v>20.5319</v>
      </c>
      <c r="AD4699">
        <v>-1.1046453846019999</v>
      </c>
      <c r="AE4699">
        <v>-0.458369999999998</v>
      </c>
      <c r="AF4699">
        <v>-0.30520052440642698</v>
      </c>
      <c r="AG4699">
        <v>-1.1046453846019999</v>
      </c>
      <c r="AH4699">
        <v>20.475496105714001</v>
      </c>
      <c r="AI4699">
        <v>93.087749914037005</v>
      </c>
      <c r="AJ4699">
        <v>90.853967443847594</v>
      </c>
      <c r="AK4699">
        <v>20.507543235622599</v>
      </c>
    </row>
    <row r="4700" spans="1:37" x14ac:dyDescent="0.2">
      <c r="A4700" t="str">
        <f>"20200111160308041"</f>
        <v>20200111160308041</v>
      </c>
      <c r="B4700" t="str">
        <f>"1578729788037494"</f>
        <v>1578729788037494</v>
      </c>
      <c r="C4700" t="s">
        <v>37</v>
      </c>
      <c r="D4700">
        <v>4.5366200000000001</v>
      </c>
      <c r="E4700">
        <v>0.47675089999999998</v>
      </c>
      <c r="F4700" t="s">
        <v>38</v>
      </c>
      <c r="G4700">
        <v>-320.16129999999998</v>
      </c>
      <c r="H4700" s="1">
        <v>-4.8726410000000002E-6</v>
      </c>
      <c r="I4700">
        <v>18.25564</v>
      </c>
      <c r="J4700">
        <v>-341.67849999999999</v>
      </c>
      <c r="K4700">
        <v>1.1046590000000001</v>
      </c>
      <c r="L4700">
        <v>18.505489999999899</v>
      </c>
      <c r="M4700">
        <v>0.99920750000000003</v>
      </c>
      <c r="N4700">
        <v>0</v>
      </c>
      <c r="O4700">
        <v>-3.7155689999999998E-2</v>
      </c>
      <c r="P4700">
        <v>0.99677839999999995</v>
      </c>
      <c r="Q4700">
        <v>-4.32469E-4</v>
      </c>
      <c r="R4700">
        <v>-8.0204490000000003E-2</v>
      </c>
      <c r="S4700">
        <v>3.0087890000000002</v>
      </c>
      <c r="T4700">
        <v>-0.15358169999999999</v>
      </c>
      <c r="U4700">
        <v>-3.5369869999999998E-2</v>
      </c>
      <c r="V4700">
        <v>4.310787E-2</v>
      </c>
      <c r="W4700">
        <v>1.3837199999999999E-2</v>
      </c>
      <c r="X4700">
        <v>0.99897459999999905</v>
      </c>
      <c r="Y4700">
        <v>-2.5329000000000001E-2</v>
      </c>
      <c r="Z4700">
        <v>2.5410599999999999E-3</v>
      </c>
      <c r="AA4700">
        <v>0.99967589999999995</v>
      </c>
      <c r="AB4700">
        <v>20</v>
      </c>
      <c r="AC4700">
        <v>21.517199999999999</v>
      </c>
      <c r="AD4700">
        <v>-1.1046638726410001</v>
      </c>
      <c r="AE4700">
        <v>-0.24984999999999799</v>
      </c>
      <c r="AF4700">
        <v>-0.54844514494164698</v>
      </c>
      <c r="AG4700">
        <v>-1.1046638726410001</v>
      </c>
      <c r="AH4700">
        <v>21.455082798458999</v>
      </c>
      <c r="AI4700">
        <v>92.946440458070498</v>
      </c>
      <c r="AJ4700">
        <v>91.464303381864298</v>
      </c>
      <c r="AK4700">
        <v>21.490501442201399</v>
      </c>
    </row>
    <row r="4701" spans="1:37" x14ac:dyDescent="0.2">
      <c r="A4701" t="str">
        <f>"20200111160308059"</f>
        <v>20200111160308059</v>
      </c>
      <c r="B4701" t="str">
        <f>"1578729788047254"</f>
        <v>1578729788047254</v>
      </c>
      <c r="C4701" t="s">
        <v>37</v>
      </c>
      <c r="D4701">
        <v>4.564044</v>
      </c>
      <c r="E4701">
        <v>0.47974459999999902</v>
      </c>
      <c r="F4701" t="s">
        <v>38</v>
      </c>
      <c r="G4701">
        <v>-321.24770000000001</v>
      </c>
      <c r="H4701" s="1">
        <v>-4.3658639999999998E-6</v>
      </c>
      <c r="I4701">
        <v>18.217420000000001</v>
      </c>
      <c r="J4701">
        <v>-341.51010000000002</v>
      </c>
      <c r="K4701">
        <v>1.1046910000000001</v>
      </c>
      <c r="L4701">
        <v>18.499420000000001</v>
      </c>
      <c r="M4701">
        <v>0.99921179999999998</v>
      </c>
      <c r="N4701">
        <v>0</v>
      </c>
      <c r="O4701">
        <v>-3.7044420000000002E-2</v>
      </c>
      <c r="P4701">
        <v>0.99794939999999999</v>
      </c>
      <c r="Q4701">
        <v>-9.7843629999999995E-4</v>
      </c>
      <c r="R4701">
        <v>-6.4000959999999996E-2</v>
      </c>
      <c r="S4701">
        <v>3.006256</v>
      </c>
      <c r="T4701">
        <v>-0.16254449999999901</v>
      </c>
      <c r="U4701">
        <v>-4.2388919999999997E-2</v>
      </c>
      <c r="V4701">
        <v>2.69825E-2</v>
      </c>
      <c r="W4701">
        <v>1.329556E-2</v>
      </c>
      <c r="X4701">
        <v>0.99954750000000003</v>
      </c>
      <c r="Y4701">
        <v>-2.2867889999999998E-2</v>
      </c>
      <c r="Z4701">
        <v>2.6188510000000002E-3</v>
      </c>
      <c r="AA4701">
        <v>0.99973509999999999</v>
      </c>
      <c r="AB4701">
        <v>20</v>
      </c>
      <c r="AC4701">
        <v>20.2624</v>
      </c>
      <c r="AD4701">
        <v>-1.104695365864</v>
      </c>
      <c r="AE4701">
        <v>-0.28199999999999997</v>
      </c>
      <c r="AF4701">
        <v>-0.46748955245137902</v>
      </c>
      <c r="AG4701">
        <v>-1.104695365864</v>
      </c>
      <c r="AH4701">
        <v>20.198909983948599</v>
      </c>
      <c r="AI4701">
        <v>93.129599273452897</v>
      </c>
      <c r="AJ4701">
        <v>91.325833785623601</v>
      </c>
      <c r="AK4701">
        <v>20.234496852471299</v>
      </c>
    </row>
    <row r="4702" spans="1:37" x14ac:dyDescent="0.2">
      <c r="A4702" t="str">
        <f>"20200111160308083"</f>
        <v>20200111160308083</v>
      </c>
      <c r="B4702" t="str">
        <f>"1578729788077510"</f>
        <v>1578729788077510</v>
      </c>
      <c r="C4702" t="s">
        <v>37</v>
      </c>
      <c r="D4702">
        <v>4.5858400000000001</v>
      </c>
      <c r="E4702">
        <v>0.48512299999999903</v>
      </c>
      <c r="F4702" t="s">
        <v>38</v>
      </c>
      <c r="G4702">
        <v>-322.24419999999998</v>
      </c>
      <c r="H4702" s="1">
        <v>-3.8641949999999999E-6</v>
      </c>
      <c r="I4702">
        <v>18.390239999999999</v>
      </c>
      <c r="J4702">
        <v>-341.30549999999999</v>
      </c>
      <c r="K4702">
        <v>1.104735</v>
      </c>
      <c r="L4702">
        <v>18.492100000000001</v>
      </c>
      <c r="M4702">
        <v>0.99921890000000002</v>
      </c>
      <c r="N4702">
        <v>0</v>
      </c>
      <c r="O4702">
        <v>-3.6850550000000003E-2</v>
      </c>
      <c r="P4702">
        <v>0.99874189999999996</v>
      </c>
      <c r="Q4702">
        <v>-1.258992E-3</v>
      </c>
      <c r="R4702">
        <v>-5.0135539999999999E-2</v>
      </c>
      <c r="S4702">
        <v>3.0049130000000002</v>
      </c>
      <c r="T4702">
        <v>-0.17229929999999999</v>
      </c>
      <c r="U4702">
        <v>-1.7028809999999998E-2</v>
      </c>
      <c r="V4702">
        <v>1.328972E-2</v>
      </c>
      <c r="W4702">
        <v>1.301282E-2</v>
      </c>
      <c r="X4702">
        <v>0.99982700000000002</v>
      </c>
      <c r="Y4702">
        <v>-3.1079119999999998E-2</v>
      </c>
      <c r="Z4702">
        <v>3.0013179999999898E-3</v>
      </c>
      <c r="AA4702">
        <v>0.99951239999999997</v>
      </c>
      <c r="AB4702">
        <v>20</v>
      </c>
      <c r="AC4702">
        <v>19.061299999999999</v>
      </c>
      <c r="AD4702">
        <v>-1.104738864195</v>
      </c>
      <c r="AE4702">
        <v>-0.101860000000002</v>
      </c>
      <c r="AF4702">
        <v>-0.598689154986212</v>
      </c>
      <c r="AG4702">
        <v>-1.104738864195</v>
      </c>
      <c r="AH4702">
        <v>18.9883240941246</v>
      </c>
      <c r="AI4702">
        <v>93.328059319376095</v>
      </c>
      <c r="AJ4702">
        <v>91.805899340107601</v>
      </c>
      <c r="AK4702">
        <v>19.029853613884502</v>
      </c>
    </row>
    <row r="4703" spans="1:37" x14ac:dyDescent="0.2">
      <c r="A4703" t="str">
        <f>"20200111160308105"</f>
        <v>20200111160308105</v>
      </c>
      <c r="B4703" t="str">
        <f>"1578729788098006"</f>
        <v>1578729788098006</v>
      </c>
      <c r="C4703" t="s">
        <v>37</v>
      </c>
      <c r="D4703">
        <v>4.6123269999999996</v>
      </c>
      <c r="E4703">
        <v>0.51345129999999894</v>
      </c>
      <c r="F4703" t="s">
        <v>38</v>
      </c>
      <c r="G4703">
        <v>-323.30329999999998</v>
      </c>
      <c r="H4703" s="1">
        <v>-3.3641850000000001E-6</v>
      </c>
      <c r="I4703">
        <v>18.386710000000001</v>
      </c>
      <c r="J4703">
        <v>-341.11290000000002</v>
      </c>
      <c r="K4703">
        <v>1.10477</v>
      </c>
      <c r="L4703">
        <v>18.485289999999999</v>
      </c>
      <c r="M4703">
        <v>0.99922800000000001</v>
      </c>
      <c r="N4703">
        <v>0</v>
      </c>
      <c r="O4703">
        <v>-3.6607439999999998E-2</v>
      </c>
      <c r="P4703">
        <v>0.9992008</v>
      </c>
      <c r="Q4703">
        <v>-2.0589050000000002E-3</v>
      </c>
      <c r="R4703">
        <v>-3.9923680000000003E-2</v>
      </c>
      <c r="S4703">
        <v>3.0027159999999999</v>
      </c>
      <c r="T4703">
        <v>-0.18426719999999999</v>
      </c>
      <c r="U4703">
        <v>-1.7578130000000001E-2</v>
      </c>
      <c r="V4703">
        <v>3.3103259999999902E-3</v>
      </c>
      <c r="W4703">
        <v>1.220751E-2</v>
      </c>
      <c r="X4703">
        <v>0.99992000000000003</v>
      </c>
      <c r="Y4703">
        <v>-3.0634020000000001E-2</v>
      </c>
      <c r="Z4703">
        <v>3.1832090000000002E-3</v>
      </c>
      <c r="AA4703">
        <v>0.99952559999999901</v>
      </c>
      <c r="AB4703">
        <v>20</v>
      </c>
      <c r="AC4703">
        <v>17.8096</v>
      </c>
      <c r="AD4703">
        <v>-1.1047733641849999</v>
      </c>
      <c r="AE4703">
        <v>-9.8579999999998294E-2</v>
      </c>
      <c r="AF4703">
        <v>-0.55139451905128001</v>
      </c>
      <c r="AG4703">
        <v>-1.1047733641849999</v>
      </c>
      <c r="AH4703">
        <v>17.7330342396573</v>
      </c>
      <c r="AI4703">
        <v>93.563219131726299</v>
      </c>
      <c r="AJ4703">
        <v>91.780992610161803</v>
      </c>
      <c r="AK4703">
        <v>17.775968706281901</v>
      </c>
    </row>
    <row r="4704" spans="1:37" x14ac:dyDescent="0.2">
      <c r="A4704" t="str">
        <f>"20200111160308120"</f>
        <v>20200111160308120</v>
      </c>
      <c r="B4704" t="str">
        <f>"1578729788117526"</f>
        <v>1578729788117526</v>
      </c>
      <c r="C4704" t="s">
        <v>37</v>
      </c>
      <c r="D4704">
        <v>4.6249909999999996</v>
      </c>
      <c r="E4704">
        <v>0.5161268</v>
      </c>
      <c r="F4704" t="s">
        <v>42</v>
      </c>
      <c r="G4704">
        <v>-340.35759999999999</v>
      </c>
      <c r="H4704">
        <v>1.0423690000000001</v>
      </c>
      <c r="I4704">
        <v>18.432469999999999</v>
      </c>
      <c r="J4704">
        <v>-340.98399999999998</v>
      </c>
      <c r="K4704">
        <v>1.1047979999999999</v>
      </c>
      <c r="L4704">
        <v>18.480799999999999</v>
      </c>
      <c r="M4704">
        <v>0.999235399999999</v>
      </c>
      <c r="N4704">
        <v>0</v>
      </c>
      <c r="O4704">
        <v>-3.6403209999999998E-2</v>
      </c>
      <c r="P4704">
        <v>0.99936619999999998</v>
      </c>
      <c r="Q4704">
        <v>-2.3501999999999898E-3</v>
      </c>
      <c r="R4704">
        <v>-3.5521549999999999E-2</v>
      </c>
      <c r="S4704">
        <v>2.9935610000000001</v>
      </c>
      <c r="T4704">
        <v>-0.24735560000000001</v>
      </c>
      <c r="U4704">
        <v>-0.208953899999999</v>
      </c>
      <c r="V4704">
        <v>-8.909705E-4</v>
      </c>
      <c r="W4704">
        <v>1.1911410000000001E-2</v>
      </c>
      <c r="X4704">
        <v>0.9999287</v>
      </c>
      <c r="Y4704">
        <v>3.3277550000000003E-2</v>
      </c>
      <c r="Z4704">
        <v>1.627229E-3</v>
      </c>
      <c r="AA4704">
        <v>0.99944480000000002</v>
      </c>
      <c r="AB4704">
        <v>20</v>
      </c>
      <c r="AC4704">
        <v>0.62640000000004603</v>
      </c>
      <c r="AD4704">
        <v>-6.2428999999999797E-2</v>
      </c>
      <c r="AE4704">
        <v>-4.8329999999996397E-2</v>
      </c>
      <c r="AF4704">
        <v>2.5243416528406601E-2</v>
      </c>
      <c r="AG4704">
        <v>-6.2428999999999797E-2</v>
      </c>
      <c r="AH4704">
        <v>0.62160655173817703</v>
      </c>
      <c r="AI4704">
        <v>95.730389761476403</v>
      </c>
      <c r="AJ4704">
        <v>87.674498567597396</v>
      </c>
      <c r="AK4704">
        <v>0.62524340482955398</v>
      </c>
    </row>
    <row r="4705" spans="1:37" x14ac:dyDescent="0.2">
      <c r="A4705" t="str">
        <f>"20200111160308138"</f>
        <v>20200111160308138</v>
      </c>
      <c r="B4705" t="str">
        <f>"1578729788127286"</f>
        <v>1578729788127286</v>
      </c>
      <c r="C4705" t="s">
        <v>37</v>
      </c>
      <c r="D4705">
        <v>4.6455060000000001</v>
      </c>
      <c r="E4705">
        <v>0.5177602</v>
      </c>
      <c r="F4705" t="s">
        <v>42</v>
      </c>
      <c r="G4705">
        <v>-340.185</v>
      </c>
      <c r="H4705">
        <v>1.0417379999999901</v>
      </c>
      <c r="I4705">
        <v>18.422239999999999</v>
      </c>
      <c r="J4705">
        <v>-340.82709999999997</v>
      </c>
      <c r="K4705">
        <v>1.1048340000000001</v>
      </c>
      <c r="L4705">
        <v>18.475460000000002</v>
      </c>
      <c r="M4705">
        <v>0.99924599999999997</v>
      </c>
      <c r="N4705">
        <v>0</v>
      </c>
      <c r="O4705">
        <v>-3.6112819999999997E-2</v>
      </c>
      <c r="P4705">
        <v>0.99951869999999998</v>
      </c>
      <c r="Q4705">
        <v>-3.15196099999999E-3</v>
      </c>
      <c r="R4705">
        <v>-3.08673E-2</v>
      </c>
      <c r="S4705">
        <v>2.9935909999999999</v>
      </c>
      <c r="T4705">
        <v>-0.23623899999999901</v>
      </c>
      <c r="U4705">
        <v>-0.21829219999999999</v>
      </c>
      <c r="V4705">
        <v>-5.2580369999999897E-3</v>
      </c>
      <c r="W4705">
        <v>1.1103709999999999E-2</v>
      </c>
      <c r="X4705">
        <v>0.99992449999999999</v>
      </c>
      <c r="Y4705">
        <v>3.6656759999999997E-2</v>
      </c>
      <c r="Z4705">
        <v>1.398322E-3</v>
      </c>
      <c r="AA4705">
        <v>0.99932690000000002</v>
      </c>
      <c r="AB4705">
        <v>19</v>
      </c>
      <c r="AC4705">
        <v>0.64209999999997003</v>
      </c>
      <c r="AD4705">
        <v>-6.3096000000000194E-2</v>
      </c>
      <c r="AE4705">
        <v>-5.3220000000003098E-2</v>
      </c>
      <c r="AF4705">
        <v>2.9709956789317499E-2</v>
      </c>
      <c r="AG4705">
        <v>-6.3096000000000194E-2</v>
      </c>
      <c r="AH4705">
        <v>0.63748958994918303</v>
      </c>
      <c r="AI4705">
        <v>95.6463932263121</v>
      </c>
      <c r="AJ4705">
        <v>87.331683000232402</v>
      </c>
      <c r="AK4705">
        <v>0.64129304069356596</v>
      </c>
    </row>
    <row r="4706" spans="1:37" x14ac:dyDescent="0.2">
      <c r="A4706" t="str">
        <f>"20200111160308161"</f>
        <v>20200111160308161</v>
      </c>
      <c r="B4706" t="str">
        <f>"1578729788157542"</f>
        <v>1578729788157542</v>
      </c>
      <c r="C4706" t="s">
        <v>37</v>
      </c>
      <c r="D4706">
        <v>4.6169969999999996</v>
      </c>
      <c r="E4706">
        <v>0.52234320000000001</v>
      </c>
      <c r="F4706" t="s">
        <v>42</v>
      </c>
      <c r="G4706">
        <v>-340.01319999999998</v>
      </c>
      <c r="H4706">
        <v>1.0399430000000001</v>
      </c>
      <c r="I4706">
        <v>18.416160000000001</v>
      </c>
      <c r="J4706">
        <v>-340.63060000000002</v>
      </c>
      <c r="K4706">
        <v>1.1048719999999901</v>
      </c>
      <c r="L4706">
        <v>18.468900000000001</v>
      </c>
      <c r="M4706">
        <v>0.99926179999999998</v>
      </c>
      <c r="N4706">
        <v>0</v>
      </c>
      <c r="O4706">
        <v>-3.567555E-2</v>
      </c>
      <c r="P4706">
        <v>0.99958619999999898</v>
      </c>
      <c r="Q4706">
        <v>-4.2543629999999997E-3</v>
      </c>
      <c r="R4706">
        <v>-2.8451210000000001E-2</v>
      </c>
      <c r="S4706">
        <v>2.9939580000000001</v>
      </c>
      <c r="T4706">
        <v>-0.23880270000000001</v>
      </c>
      <c r="U4706">
        <v>-0.21783449999999999</v>
      </c>
      <c r="V4706">
        <v>-7.2382660000000001E-3</v>
      </c>
      <c r="W4706">
        <v>9.9946449999999999E-3</v>
      </c>
      <c r="X4706">
        <v>0.99992380000000003</v>
      </c>
      <c r="Y4706">
        <v>3.6930919999999999E-2</v>
      </c>
      <c r="Z4706">
        <v>1.367645E-3</v>
      </c>
      <c r="AA4706">
        <v>0.99931689999999995</v>
      </c>
      <c r="AB4706">
        <v>19</v>
      </c>
      <c r="AC4706">
        <v>0.61740000000003104</v>
      </c>
      <c r="AD4706">
        <v>-6.4928999999999695E-2</v>
      </c>
      <c r="AE4706">
        <v>-5.2740000000000002E-2</v>
      </c>
      <c r="AF4706">
        <v>3.0344923241697401E-2</v>
      </c>
      <c r="AG4706">
        <v>-6.4928999999999695E-2</v>
      </c>
      <c r="AH4706">
        <v>0.61216726506458297</v>
      </c>
      <c r="AI4706">
        <v>96.047023075458497</v>
      </c>
      <c r="AJ4706">
        <v>87.162190473490099</v>
      </c>
      <c r="AK4706">
        <v>0.61634839970928401</v>
      </c>
    </row>
    <row r="4707" spans="1:37" x14ac:dyDescent="0.2">
      <c r="A4707" t="str">
        <f>"20200111160308183"</f>
        <v>20200111160308183</v>
      </c>
      <c r="B4707" t="str">
        <f>"1578729788178037"</f>
        <v>1578729788178037</v>
      </c>
      <c r="C4707" t="s">
        <v>37</v>
      </c>
      <c r="D4707">
        <v>4.6135229999999998</v>
      </c>
      <c r="E4707">
        <v>0.52368769999999998</v>
      </c>
      <c r="F4707" t="s">
        <v>42</v>
      </c>
      <c r="G4707">
        <v>-339.84019999999998</v>
      </c>
      <c r="H4707">
        <v>1.0406409999999999</v>
      </c>
      <c r="I4707">
        <v>18.403269999999999</v>
      </c>
      <c r="J4707">
        <v>-340.43740000000003</v>
      </c>
      <c r="K4707">
        <v>1.1049020000000001</v>
      </c>
      <c r="L4707">
        <v>18.462589999999999</v>
      </c>
      <c r="M4707">
        <v>0.9992799</v>
      </c>
      <c r="N4707">
        <v>0</v>
      </c>
      <c r="O4707">
        <v>-3.5167749999999998E-2</v>
      </c>
      <c r="P4707">
        <v>0.99962499999999999</v>
      </c>
      <c r="Q4707">
        <v>-5.4416990000000004E-3</v>
      </c>
      <c r="R4707">
        <v>-2.6845359999999999E-2</v>
      </c>
      <c r="S4707">
        <v>2.9931640000000002</v>
      </c>
      <c r="T4707">
        <v>-0.2434038</v>
      </c>
      <c r="U4707">
        <v>-0.24749760000000001</v>
      </c>
      <c r="V4707">
        <v>-8.33595E-3</v>
      </c>
      <c r="W4707">
        <v>8.8011730000000007E-3</v>
      </c>
      <c r="X4707">
        <v>0.99992649999999905</v>
      </c>
      <c r="Y4707">
        <v>4.726404E-2</v>
      </c>
      <c r="Z4707">
        <v>9.3376709999999999E-4</v>
      </c>
      <c r="AA4707">
        <v>0.99888199999999905</v>
      </c>
      <c r="AB4707">
        <v>19</v>
      </c>
      <c r="AC4707">
        <v>0.59720000000004303</v>
      </c>
      <c r="AD4707">
        <v>-6.4261000000000096E-2</v>
      </c>
      <c r="AE4707">
        <v>-5.9319999999996001E-2</v>
      </c>
      <c r="AF4707">
        <v>3.7845076053517397E-2</v>
      </c>
      <c r="AG4707">
        <v>-6.4261000000000096E-2</v>
      </c>
      <c r="AH4707">
        <v>0.59212785670564205</v>
      </c>
      <c r="AI4707">
        <v>96.1813008825889</v>
      </c>
      <c r="AJ4707">
        <v>86.342989498619303</v>
      </c>
      <c r="AK4707">
        <v>0.59680576789212902</v>
      </c>
    </row>
    <row r="4708" spans="1:37" x14ac:dyDescent="0.2">
      <c r="A4708" t="str">
        <f>"20200111160308206"</f>
        <v>20200111160308206</v>
      </c>
      <c r="B4708" t="str">
        <f>"1578729788197557"</f>
        <v>1578729788197557</v>
      </c>
      <c r="C4708" t="s">
        <v>37</v>
      </c>
      <c r="D4708">
        <v>4.6564740000000002</v>
      </c>
      <c r="E4708">
        <v>0.53838039999999998</v>
      </c>
      <c r="F4708" t="s">
        <v>42</v>
      </c>
      <c r="G4708">
        <v>-339.66730000000001</v>
      </c>
      <c r="H4708">
        <v>1.0414060000000001</v>
      </c>
      <c r="I4708">
        <v>18.397179999999999</v>
      </c>
      <c r="J4708">
        <v>-340.24079999999998</v>
      </c>
      <c r="K4708">
        <v>1.104949</v>
      </c>
      <c r="L4708">
        <v>18.456329999999902</v>
      </c>
      <c r="M4708">
        <v>0.99930090000000005</v>
      </c>
      <c r="N4708">
        <v>0</v>
      </c>
      <c r="O4708">
        <v>-3.456824E-2</v>
      </c>
      <c r="P4708">
        <v>0.99959430000000005</v>
      </c>
      <c r="Q4708">
        <v>-7.005051E-3</v>
      </c>
      <c r="R4708">
        <v>-2.7614860000000001E-2</v>
      </c>
      <c r="S4708">
        <v>2.9929809999999999</v>
      </c>
      <c r="T4708">
        <v>-0.2467712</v>
      </c>
      <c r="U4708">
        <v>-0.25402829999999998</v>
      </c>
      <c r="V4708">
        <v>-6.9657009999999899E-3</v>
      </c>
      <c r="W4708">
        <v>7.2338589999999996E-3</v>
      </c>
      <c r="X4708">
        <v>0.99994959999999899</v>
      </c>
      <c r="Y4708">
        <v>5.0020130000000003E-2</v>
      </c>
      <c r="Z4708">
        <v>7.8415609999999997E-4</v>
      </c>
      <c r="AA4708">
        <v>0.99874789999999902</v>
      </c>
      <c r="AB4708">
        <v>19</v>
      </c>
      <c r="AC4708">
        <v>0.57349999999996704</v>
      </c>
      <c r="AD4708">
        <v>-6.3542999999999905E-2</v>
      </c>
      <c r="AE4708">
        <v>-5.9149999999998898E-2</v>
      </c>
      <c r="AF4708">
        <v>3.8816240218683302E-2</v>
      </c>
      <c r="AG4708">
        <v>-6.3542999999999905E-2</v>
      </c>
      <c r="AH4708">
        <v>0.56829889895390695</v>
      </c>
      <c r="AI4708">
        <v>96.365185012289899</v>
      </c>
      <c r="AJ4708">
        <v>86.092623281631106</v>
      </c>
      <c r="AK4708">
        <v>0.57315621946022499</v>
      </c>
    </row>
    <row r="4709" spans="1:37" x14ac:dyDescent="0.2">
      <c r="A4709" t="str">
        <f>"20200111160308228"</f>
        <v>20200111160308228</v>
      </c>
      <c r="B4709" t="str">
        <f>"1578729788218054"</f>
        <v>1578729788218054</v>
      </c>
      <c r="C4709" t="s">
        <v>37</v>
      </c>
      <c r="D4709">
        <v>4.6143939999999999</v>
      </c>
      <c r="E4709">
        <v>0.53968760000000005</v>
      </c>
      <c r="F4709" t="s">
        <v>42</v>
      </c>
      <c r="G4709">
        <v>-339.49579999999997</v>
      </c>
      <c r="H4709">
        <v>1.0421739999999999</v>
      </c>
      <c r="I4709">
        <v>18.362929999999999</v>
      </c>
      <c r="J4709">
        <v>-340.05369999999999</v>
      </c>
      <c r="K4709">
        <v>1.104992</v>
      </c>
      <c r="L4709">
        <v>18.450589999999998</v>
      </c>
      <c r="M4709">
        <v>0.99932359999999898</v>
      </c>
      <c r="N4709">
        <v>0</v>
      </c>
      <c r="O4709">
        <v>-3.3907859999999998E-2</v>
      </c>
      <c r="P4709">
        <v>0.99952469999999904</v>
      </c>
      <c r="Q4709">
        <v>-8.6007840000000002E-3</v>
      </c>
      <c r="R4709">
        <v>-2.9608369999999998E-2</v>
      </c>
      <c r="S4709">
        <v>2.9891049999999999</v>
      </c>
      <c r="T4709">
        <v>-0.25194929999999999</v>
      </c>
      <c r="U4709">
        <v>-0.37417600000000001</v>
      </c>
      <c r="V4709">
        <v>-4.3093979999999999E-3</v>
      </c>
      <c r="W4709">
        <v>5.6364880000000003E-3</v>
      </c>
      <c r="X4709">
        <v>0.99997479999999905</v>
      </c>
      <c r="Y4709">
        <v>9.0293760000000001E-2</v>
      </c>
      <c r="Z4709">
        <v>-9.4361439999999998E-4</v>
      </c>
      <c r="AA4709">
        <v>0.99591479999999999</v>
      </c>
      <c r="AB4709">
        <v>19</v>
      </c>
      <c r="AC4709">
        <v>0.55790000000001705</v>
      </c>
      <c r="AD4709">
        <v>-6.2817999999999999E-2</v>
      </c>
      <c r="AE4709">
        <v>-8.7659999999999599E-2</v>
      </c>
      <c r="AF4709">
        <v>6.7850972087951295E-2</v>
      </c>
      <c r="AG4709">
        <v>-6.2817999999999999E-2</v>
      </c>
      <c r="AH4709">
        <v>0.55370102127325804</v>
      </c>
      <c r="AI4709">
        <v>96.424941829655097</v>
      </c>
      <c r="AJ4709">
        <v>83.013758834774606</v>
      </c>
      <c r="AK4709">
        <v>0.56136857455358902</v>
      </c>
    </row>
    <row r="4710" spans="1:37" x14ac:dyDescent="0.2">
      <c r="A4710" t="str">
        <f>"20200111160308250"</f>
        <v>20200111160308250</v>
      </c>
      <c r="B4710" t="str">
        <f>"1578729788247335"</f>
        <v>1578729788247335</v>
      </c>
      <c r="C4710" t="s">
        <v>37</v>
      </c>
      <c r="D4710">
        <v>6.6293879999999996</v>
      </c>
      <c r="E4710">
        <v>0.52101220000000004</v>
      </c>
      <c r="F4710" t="s">
        <v>42</v>
      </c>
      <c r="G4710">
        <v>-339.32420000000002</v>
      </c>
      <c r="H4710">
        <v>1.041914</v>
      </c>
      <c r="I4710">
        <v>18.354979999999902</v>
      </c>
      <c r="J4710">
        <v>-339.8689</v>
      </c>
      <c r="K4710">
        <v>1.105048</v>
      </c>
      <c r="L4710">
        <v>18.44519</v>
      </c>
      <c r="M4710">
        <v>0.99934880000000004</v>
      </c>
      <c r="N4710">
        <v>0</v>
      </c>
      <c r="O4710">
        <v>-3.3153639999999998E-2</v>
      </c>
      <c r="P4710">
        <v>0.99943819999999906</v>
      </c>
      <c r="Q4710">
        <v>-9.6659119999999901E-3</v>
      </c>
      <c r="R4710">
        <v>-3.209186E-2</v>
      </c>
      <c r="S4710">
        <v>2.9876399999999999</v>
      </c>
      <c r="T4710">
        <v>-0.25836239999999999</v>
      </c>
      <c r="U4710">
        <v>-0.39089970000000002</v>
      </c>
      <c r="V4710">
        <v>-1.0693600000000001E-3</v>
      </c>
      <c r="W4710">
        <v>4.57077099999999E-3</v>
      </c>
      <c r="X4710">
        <v>0.99998899999999902</v>
      </c>
      <c r="Y4710">
        <v>9.6552680000000002E-2</v>
      </c>
      <c r="Z4710">
        <v>-1.3014599999999999E-3</v>
      </c>
      <c r="AA4710">
        <v>0.99532710000000002</v>
      </c>
      <c r="AB4710">
        <v>19</v>
      </c>
      <c r="AC4710">
        <v>0.54469999999997698</v>
      </c>
      <c r="AD4710">
        <v>-6.3133999999999996E-2</v>
      </c>
      <c r="AE4710">
        <v>-9.0210000000002497E-2</v>
      </c>
      <c r="AF4710">
        <v>7.1169201767390194E-2</v>
      </c>
      <c r="AG4710">
        <v>-6.3133999999999996E-2</v>
      </c>
      <c r="AH4710">
        <v>0.540326518545305</v>
      </c>
      <c r="AI4710">
        <v>96.607895970617903</v>
      </c>
      <c r="AJ4710">
        <v>82.496470078933896</v>
      </c>
      <c r="AK4710">
        <v>0.54863804450611797</v>
      </c>
    </row>
    <row r="4711" spans="1:37" x14ac:dyDescent="0.2">
      <c r="A4711" t="str">
        <f>"20200111160308273"</f>
        <v>20200111160308273</v>
      </c>
      <c r="B4711" t="str">
        <f>"1578729788267831"</f>
        <v>1578729788267831</v>
      </c>
      <c r="C4711" t="s">
        <v>37</v>
      </c>
      <c r="D4711">
        <v>5.5925149999999997</v>
      </c>
      <c r="E4711">
        <v>0.45025119999999902</v>
      </c>
      <c r="F4711" t="s">
        <v>42</v>
      </c>
      <c r="G4711">
        <v>-338.98110000000003</v>
      </c>
      <c r="H4711">
        <v>1.0411509999999999</v>
      </c>
      <c r="I4711">
        <v>18.370429999999999</v>
      </c>
      <c r="J4711">
        <v>-339.67110000000002</v>
      </c>
      <c r="K4711">
        <v>1.1051249999999999</v>
      </c>
      <c r="L4711">
        <v>18.439699999999998</v>
      </c>
      <c r="M4711">
        <v>0.99937960000000003</v>
      </c>
      <c r="N4711">
        <v>0</v>
      </c>
      <c r="O4711">
        <v>-3.2217290000000003E-2</v>
      </c>
      <c r="P4711">
        <v>0.9993377</v>
      </c>
      <c r="Q4711">
        <v>-9.4319399999999998E-3</v>
      </c>
      <c r="R4711">
        <v>-3.5147869999999998E-2</v>
      </c>
      <c r="S4711">
        <v>2.9914860000000001</v>
      </c>
      <c r="T4711">
        <v>-0.21527099999999999</v>
      </c>
      <c r="U4711">
        <v>-0.25225829999999999</v>
      </c>
      <c r="V4711">
        <v>2.9241990000000002E-3</v>
      </c>
      <c r="W4711">
        <v>4.8058490000000001E-3</v>
      </c>
      <c r="X4711">
        <v>0.99998419999999899</v>
      </c>
      <c r="Y4711">
        <v>5.1826650000000002E-2</v>
      </c>
      <c r="Z4711">
        <v>4.5140699999999899E-4</v>
      </c>
      <c r="AA4711">
        <v>0.99865599999999999</v>
      </c>
      <c r="AB4711">
        <v>19</v>
      </c>
      <c r="AC4711">
        <v>0.68999999999999695</v>
      </c>
      <c r="AD4711">
        <v>-6.3973999999999906E-2</v>
      </c>
      <c r="AE4711">
        <v>-6.9269999999999499E-2</v>
      </c>
      <c r="AF4711">
        <v>4.6605220551920797E-2</v>
      </c>
      <c r="AG4711">
        <v>-6.3973999999999906E-2</v>
      </c>
      <c r="AH4711">
        <v>0.68603517366336997</v>
      </c>
      <c r="AI4711">
        <v>95.315345686224404</v>
      </c>
      <c r="AJ4711">
        <v>86.113630828284897</v>
      </c>
      <c r="AK4711">
        <v>0.69058596768398295</v>
      </c>
    </row>
    <row r="4712" spans="1:37" x14ac:dyDescent="0.2">
      <c r="A4712" t="str">
        <f>"20200111160308306"</f>
        <v>20200111160308306</v>
      </c>
      <c r="B4712" t="str">
        <f>"1578729788297618"</f>
        <v>1578729788297618</v>
      </c>
      <c r="C4712" t="s">
        <v>37</v>
      </c>
      <c r="D4712">
        <v>4.7569189999999999</v>
      </c>
      <c r="E4712">
        <v>0.39106849999999999</v>
      </c>
      <c r="F4712" t="s">
        <v>91</v>
      </c>
      <c r="G4712">
        <v>-277.12130000000002</v>
      </c>
      <c r="H4712">
        <v>5.1798690000000001</v>
      </c>
      <c r="I4712">
        <v>24.196110000000001</v>
      </c>
      <c r="J4712">
        <v>-339.38499999999999</v>
      </c>
      <c r="K4712">
        <v>1.105235</v>
      </c>
      <c r="L4712">
        <v>18.432310000000001</v>
      </c>
      <c r="M4712">
        <v>0.99942830000000005</v>
      </c>
      <c r="N4712">
        <v>0</v>
      </c>
      <c r="O4712">
        <v>-3.0670079999999999E-2</v>
      </c>
      <c r="P4712">
        <v>0.99920830000000005</v>
      </c>
      <c r="Q4712">
        <v>-8.838261E-3</v>
      </c>
      <c r="R4712">
        <v>-3.879341E-2</v>
      </c>
      <c r="S4712">
        <v>3.013611</v>
      </c>
      <c r="T4712">
        <v>0.19631860000000001</v>
      </c>
      <c r="U4712">
        <v>0.27734379999999997</v>
      </c>
      <c r="V4712">
        <v>8.1179059999999994E-3</v>
      </c>
      <c r="W4712">
        <v>5.4028419999999997E-3</v>
      </c>
      <c r="X4712">
        <v>0.99995239999999996</v>
      </c>
      <c r="Y4712">
        <v>-0.1218234</v>
      </c>
      <c r="Z4712">
        <v>-5.9478279999999996E-3</v>
      </c>
      <c r="AA4712">
        <v>0.99253400000000003</v>
      </c>
      <c r="AB4712">
        <v>19</v>
      </c>
      <c r="AC4712">
        <v>62.263699999999901</v>
      </c>
      <c r="AD4712">
        <v>4.0746339999999996</v>
      </c>
      <c r="AE4712">
        <v>5.7637999999999998</v>
      </c>
      <c r="AF4712">
        <v>-7.6384793091310703</v>
      </c>
      <c r="AG4712">
        <v>4.0746339999999996</v>
      </c>
      <c r="AH4712">
        <v>61.7952132563939</v>
      </c>
      <c r="AI4712">
        <v>86.255922370417593</v>
      </c>
      <c r="AJ4712">
        <v>97.046562436439004</v>
      </c>
      <c r="AK4712">
        <v>62.398697019995303</v>
      </c>
    </row>
    <row r="4713" spans="1:37" x14ac:dyDescent="0.2">
      <c r="A4713" t="str">
        <f>"20200111160308327"</f>
        <v>20200111160308327</v>
      </c>
      <c r="B4713" t="str">
        <f>"1578729788318114"</f>
        <v>1578729788318114</v>
      </c>
      <c r="C4713" t="s">
        <v>37</v>
      </c>
      <c r="D4713">
        <v>4.7020049999999998</v>
      </c>
      <c r="E4713">
        <v>0.3933779</v>
      </c>
      <c r="F4713" t="s">
        <v>39</v>
      </c>
      <c r="G4713">
        <v>-309.41090000000003</v>
      </c>
      <c r="H4713">
        <v>-0.05</v>
      </c>
      <c r="I4713">
        <v>25.94584</v>
      </c>
      <c r="J4713">
        <v>-339.20310000000001</v>
      </c>
      <c r="K4713">
        <v>1.1052959999999901</v>
      </c>
      <c r="L4713">
        <v>18.428070000000002</v>
      </c>
      <c r="M4713">
        <v>0.99946229999999903</v>
      </c>
      <c r="N4713">
        <v>0</v>
      </c>
      <c r="O4713">
        <v>-2.9543719999999999E-2</v>
      </c>
      <c r="P4713">
        <v>0.99911899999999998</v>
      </c>
      <c r="Q4713">
        <v>-8.8396280000000004E-3</v>
      </c>
      <c r="R4713">
        <v>-4.1026260000000002E-2</v>
      </c>
      <c r="S4713">
        <v>3.030853</v>
      </c>
      <c r="T4713">
        <v>-0.11681229999999999</v>
      </c>
      <c r="U4713">
        <v>0.7597351</v>
      </c>
      <c r="V4713">
        <v>1.147842E-2</v>
      </c>
      <c r="W4713">
        <v>5.4057019999999897E-3</v>
      </c>
      <c r="X4713">
        <v>0.99991949999999996</v>
      </c>
      <c r="Y4713">
        <v>-0.271487799999999</v>
      </c>
      <c r="Z4713">
        <v>6.27210599999999E-3</v>
      </c>
      <c r="AA4713">
        <v>0.96242150000000004</v>
      </c>
      <c r="AB4713">
        <v>19</v>
      </c>
      <c r="AC4713">
        <v>29.792199999999902</v>
      </c>
      <c r="AD4713">
        <v>-1.1552959999999901</v>
      </c>
      <c r="AE4713">
        <v>7.5177699999999898</v>
      </c>
      <c r="AF4713">
        <v>-8.3828978852862299</v>
      </c>
      <c r="AG4713">
        <v>-1.1552959999999901</v>
      </c>
      <c r="AH4713">
        <v>29.5153401155934</v>
      </c>
      <c r="AI4713">
        <v>92.156339647132995</v>
      </c>
      <c r="AJ4713">
        <v>105.855518770367</v>
      </c>
      <c r="AK4713">
        <v>30.704445735787399</v>
      </c>
    </row>
    <row r="4714" spans="1:37" x14ac:dyDescent="0.2">
      <c r="A4714" t="str">
        <f>"20200111160308352"</f>
        <v>20200111160308352</v>
      </c>
      <c r="B4714" t="str">
        <f>"1578729788347395"</f>
        <v>1578729788347395</v>
      </c>
      <c r="C4714" t="s">
        <v>37</v>
      </c>
      <c r="D4714">
        <v>4.7289599999999998</v>
      </c>
      <c r="E4714">
        <v>0.39420259999999901</v>
      </c>
      <c r="F4714" t="s">
        <v>39</v>
      </c>
      <c r="G4714">
        <v>-314.05939999999998</v>
      </c>
      <c r="H4714">
        <v>-0.05</v>
      </c>
      <c r="I4714">
        <v>24.53416</v>
      </c>
      <c r="J4714">
        <v>-339.00790000000001</v>
      </c>
      <c r="K4714">
        <v>1.105375</v>
      </c>
      <c r="L4714">
        <v>18.42389</v>
      </c>
      <c r="M4714">
        <v>0.99950239999999901</v>
      </c>
      <c r="N4714">
        <v>0</v>
      </c>
      <c r="O4714">
        <v>-2.81602E-2</v>
      </c>
      <c r="P4714">
        <v>0.99904139999999997</v>
      </c>
      <c r="Q4714">
        <v>-9.229302E-3</v>
      </c>
      <c r="R4714">
        <v>-4.2794939999999997E-2</v>
      </c>
      <c r="S4714">
        <v>3.0316770000000002</v>
      </c>
      <c r="T4714">
        <v>-0.139298799999999</v>
      </c>
      <c r="U4714">
        <v>0.73623660000000002</v>
      </c>
      <c r="V4714">
        <v>1.463237E-2</v>
      </c>
      <c r="W4714">
        <v>5.0213769999999996E-3</v>
      </c>
      <c r="X4714">
        <v>0.99988029999999894</v>
      </c>
      <c r="Y4714">
        <v>-0.26297229999999999</v>
      </c>
      <c r="Z4714">
        <v>7.2277449999999998E-3</v>
      </c>
      <c r="AA4714">
        <v>0.96477630000000003</v>
      </c>
      <c r="AB4714">
        <v>19</v>
      </c>
      <c r="AC4714">
        <v>24.948499999999999</v>
      </c>
      <c r="AD4714">
        <v>-1.155375</v>
      </c>
      <c r="AE4714">
        <v>6.1102699999999999</v>
      </c>
      <c r="AF4714">
        <v>-6.7967202902431501</v>
      </c>
      <c r="AG4714">
        <v>-1.155375</v>
      </c>
      <c r="AH4714">
        <v>24.7165115468996</v>
      </c>
      <c r="AI4714">
        <v>92.580688519666793</v>
      </c>
      <c r="AJ4714">
        <v>105.375560773136</v>
      </c>
      <c r="AK4714">
        <v>25.6600124930298</v>
      </c>
    </row>
    <row r="4715" spans="1:37" x14ac:dyDescent="0.2">
      <c r="A4715" t="str">
        <f>"20200111160308373"</f>
        <v>20200111160308373</v>
      </c>
      <c r="B4715" t="str">
        <f>"1578729788367890"</f>
        <v>1578729788367890</v>
      </c>
      <c r="C4715" t="s">
        <v>37</v>
      </c>
      <c r="D4715">
        <v>4.7044449999999998</v>
      </c>
      <c r="E4715">
        <v>0.39368419999999998</v>
      </c>
      <c r="F4715" t="s">
        <v>39</v>
      </c>
      <c r="G4715">
        <v>-315.17320000000001</v>
      </c>
      <c r="H4715">
        <v>-0.05</v>
      </c>
      <c r="I4715">
        <v>24.121479999999998</v>
      </c>
      <c r="J4715">
        <v>-338.81799999999998</v>
      </c>
      <c r="K4715">
        <v>1.105464</v>
      </c>
      <c r="L4715">
        <v>18.420259999999999</v>
      </c>
      <c r="M4715">
        <v>0.99954449999999995</v>
      </c>
      <c r="N4715">
        <v>0</v>
      </c>
      <c r="O4715">
        <v>-2.6621599999999999E-2</v>
      </c>
      <c r="P4715">
        <v>0.99899079999999996</v>
      </c>
      <c r="Q4715">
        <v>-1.143426E-2</v>
      </c>
      <c r="R4715">
        <v>-4.3438539999999998E-2</v>
      </c>
      <c r="S4715">
        <v>3.0325319999999998</v>
      </c>
      <c r="T4715">
        <v>-0.1470004</v>
      </c>
      <c r="U4715">
        <v>0.72491459999999996</v>
      </c>
      <c r="V4715">
        <v>1.681962E-2</v>
      </c>
      <c r="W4715">
        <v>2.8226969999999999E-3</v>
      </c>
      <c r="X4715">
        <v>0.99985460000000004</v>
      </c>
      <c r="Y4715">
        <v>-0.25799119999999998</v>
      </c>
      <c r="Z4715">
        <v>7.4355019999999897E-3</v>
      </c>
      <c r="AA4715">
        <v>0.96611859999999905</v>
      </c>
      <c r="AB4715">
        <v>19</v>
      </c>
      <c r="AC4715">
        <v>23.6448</v>
      </c>
      <c r="AD4715">
        <v>-1.155464</v>
      </c>
      <c r="AE4715">
        <v>5.7012199999999904</v>
      </c>
      <c r="AF4715">
        <v>-6.3144742976919499</v>
      </c>
      <c r="AG4715">
        <v>-1.155464</v>
      </c>
      <c r="AH4715">
        <v>23.4317457502118</v>
      </c>
      <c r="AI4715">
        <v>92.725983957899103</v>
      </c>
      <c r="AJ4715">
        <v>105.082001438904</v>
      </c>
      <c r="AK4715">
        <v>24.2951516071433</v>
      </c>
    </row>
    <row r="4716" spans="1:37" x14ac:dyDescent="0.2">
      <c r="A4716" t="str">
        <f>"20200111160308397"</f>
        <v>20200111160308397</v>
      </c>
      <c r="B4716" t="str">
        <f>"1578729788387410"</f>
        <v>1578729788387410</v>
      </c>
      <c r="C4716" t="s">
        <v>37</v>
      </c>
      <c r="D4716">
        <v>4.6325469999999997</v>
      </c>
      <c r="E4716">
        <v>0.39368359999999902</v>
      </c>
      <c r="F4716" t="s">
        <v>39</v>
      </c>
      <c r="G4716">
        <v>-313.98289999999997</v>
      </c>
      <c r="H4716">
        <v>-0.05</v>
      </c>
      <c r="I4716">
        <v>24.369509999999998</v>
      </c>
      <c r="J4716">
        <v>-338.6223</v>
      </c>
      <c r="K4716">
        <v>1.1055569999999999</v>
      </c>
      <c r="L4716">
        <v>18.417110000000001</v>
      </c>
      <c r="M4716">
        <v>0.99958939999999996</v>
      </c>
      <c r="N4716">
        <v>0</v>
      </c>
      <c r="O4716">
        <v>-2.487675E-2</v>
      </c>
      <c r="P4716">
        <v>0.99900140000000004</v>
      </c>
      <c r="Q4716">
        <v>-1.508058E-2</v>
      </c>
      <c r="R4716">
        <v>-4.2057129999999998E-2</v>
      </c>
      <c r="S4716">
        <v>3.03302</v>
      </c>
      <c r="T4716">
        <v>-0.14111299999999999</v>
      </c>
      <c r="U4716">
        <v>0.7265625</v>
      </c>
      <c r="V4716">
        <v>1.7191580000000001E-2</v>
      </c>
      <c r="W4716">
        <v>-8.1947249999999997E-4</v>
      </c>
      <c r="X4716">
        <v>0.99985190000000002</v>
      </c>
      <c r="Y4716">
        <v>-0.25679400000000002</v>
      </c>
      <c r="Z4716">
        <v>7.0288979999999996E-3</v>
      </c>
      <c r="AA4716">
        <v>0.96644059999999898</v>
      </c>
      <c r="AB4716">
        <v>19</v>
      </c>
      <c r="AC4716">
        <v>24.639399999999998</v>
      </c>
      <c r="AD4716">
        <v>-1.1555569999999999</v>
      </c>
      <c r="AE4716">
        <v>5.9523999999999999</v>
      </c>
      <c r="AF4716">
        <v>-6.5499555220619303</v>
      </c>
      <c r="AG4716">
        <v>-1.1555569999999999</v>
      </c>
      <c r="AH4716">
        <v>24.432905250294102</v>
      </c>
      <c r="AI4716">
        <v>92.615572218856698</v>
      </c>
      <c r="AJ4716">
        <v>105.006953679641</v>
      </c>
      <c r="AK4716">
        <v>25.322007982999398</v>
      </c>
    </row>
    <row r="4717" spans="1:37" x14ac:dyDescent="0.2">
      <c r="A4717" t="str">
        <f>"20200111160308417"</f>
        <v>20200111160308417</v>
      </c>
      <c r="B4717" t="str">
        <f>"1578729788407906"</f>
        <v>1578729788407906</v>
      </c>
      <c r="C4717" t="s">
        <v>37</v>
      </c>
      <c r="D4717">
        <v>4.6960860000000002</v>
      </c>
      <c r="E4717">
        <v>0.39352549999999997</v>
      </c>
      <c r="F4717" t="s">
        <v>39</v>
      </c>
      <c r="G4717">
        <v>-315.70909999999998</v>
      </c>
      <c r="H4717">
        <v>-0.05</v>
      </c>
      <c r="I4717">
        <v>23.94134</v>
      </c>
      <c r="J4717">
        <v>-338.44479999999999</v>
      </c>
      <c r="K4717">
        <v>1.105631</v>
      </c>
      <c r="L4717">
        <v>18.414729999999999</v>
      </c>
      <c r="M4717">
        <v>0.99963089999999999</v>
      </c>
      <c r="N4717">
        <v>0</v>
      </c>
      <c r="O4717">
        <v>-2.3153460000000001E-2</v>
      </c>
      <c r="P4717">
        <v>0.99906209999999995</v>
      </c>
      <c r="Q4717">
        <v>-1.780847E-2</v>
      </c>
      <c r="R4717">
        <v>-3.9470860000000003E-2</v>
      </c>
      <c r="S4717">
        <v>3.0314640000000002</v>
      </c>
      <c r="T4717">
        <v>-0.15288279999999899</v>
      </c>
      <c r="U4717">
        <v>0.73086549999999995</v>
      </c>
      <c r="V4717">
        <v>1.633542E-2</v>
      </c>
      <c r="W4717">
        <v>-3.5457359999999999E-3</v>
      </c>
      <c r="X4717">
        <v>0.99986030000000004</v>
      </c>
      <c r="Y4717">
        <v>-0.25648929999999998</v>
      </c>
      <c r="Z4717">
        <v>7.5237209999999997E-3</v>
      </c>
      <c r="AA4717">
        <v>0.96651769999999904</v>
      </c>
      <c r="AB4717">
        <v>19</v>
      </c>
      <c r="AC4717">
        <v>22.735700000000001</v>
      </c>
      <c r="AD4717">
        <v>-1.1556310000000001</v>
      </c>
      <c r="AE4717">
        <v>5.5266099999999998</v>
      </c>
      <c r="AF4717">
        <v>-6.0368648828928899</v>
      </c>
      <c r="AG4717">
        <v>-1.1556310000000001</v>
      </c>
      <c r="AH4717">
        <v>22.546629697986599</v>
      </c>
      <c r="AI4717">
        <v>92.834464783567498</v>
      </c>
      <c r="AJ4717">
        <v>104.989362439994</v>
      </c>
      <c r="AK4717">
        <v>23.369418721067898</v>
      </c>
    </row>
    <row r="4718" spans="1:37" x14ac:dyDescent="0.2">
      <c r="A4718" t="str">
        <f>"20200111160309467"</f>
        <v>20200111160309467</v>
      </c>
      <c r="B4718" t="str">
        <f>"1578729789458082"</f>
        <v>1578729789458082</v>
      </c>
      <c r="C4718" t="s">
        <v>37</v>
      </c>
      <c r="D4718">
        <v>5.5432439999999996</v>
      </c>
      <c r="E4718">
        <v>0.39355570000000001</v>
      </c>
      <c r="F4718" t="s">
        <v>39</v>
      </c>
      <c r="G4718">
        <v>-316.60230000000001</v>
      </c>
      <c r="H4718">
        <v>-0.05</v>
      </c>
      <c r="I4718">
        <v>23.749500000000001</v>
      </c>
      <c r="J4718">
        <v>-329.80950000000001</v>
      </c>
      <c r="K4718">
        <v>1.1043590000000001</v>
      </c>
      <c r="L4718">
        <v>18.84845</v>
      </c>
      <c r="M4718">
        <v>0.99664619999999904</v>
      </c>
      <c r="N4718">
        <v>0</v>
      </c>
      <c r="O4718">
        <v>8.1381980000000007E-2</v>
      </c>
      <c r="P4718">
        <v>0.99921819999999895</v>
      </c>
      <c r="Q4718">
        <v>-9.6740279999999994E-3</v>
      </c>
      <c r="R4718">
        <v>3.8331770000000001E-2</v>
      </c>
      <c r="S4718">
        <v>3.029175</v>
      </c>
      <c r="T4718">
        <v>-0.16026579999999899</v>
      </c>
      <c r="U4718">
        <v>0.73983759999999998</v>
      </c>
      <c r="V4718">
        <v>4.311823E-2</v>
      </c>
      <c r="W4718">
        <v>-1.066726E-3</v>
      </c>
      <c r="X4718">
        <v>0.9990694</v>
      </c>
      <c r="Y4718">
        <v>-0.15731529999999999</v>
      </c>
      <c r="Z4718">
        <v>-1.2825940000000001E-4</v>
      </c>
      <c r="AA4718">
        <v>0.98754839999999999</v>
      </c>
      <c r="AB4718">
        <v>19</v>
      </c>
      <c r="AC4718">
        <v>13.2072</v>
      </c>
      <c r="AD4718">
        <v>-1.1543589999999999</v>
      </c>
      <c r="AE4718">
        <v>4.9010499999999997</v>
      </c>
      <c r="AF4718">
        <v>-3.7845124074363001</v>
      </c>
      <c r="AG4718">
        <v>-1.1543589999999999</v>
      </c>
      <c r="AH4718">
        <v>13.471800331116</v>
      </c>
      <c r="AI4718">
        <v>94.715868408401505</v>
      </c>
      <c r="AJ4718">
        <v>105.691170908405</v>
      </c>
      <c r="AK4718">
        <v>14.0408148988717</v>
      </c>
    </row>
    <row r="4719" spans="1:37" x14ac:dyDescent="0.2">
      <c r="A4719" t="str">
        <f>"20200111160309579"</f>
        <v>20200111160309579</v>
      </c>
      <c r="B4719" t="str">
        <f>"1578729789567394"</f>
        <v>1578729789567394</v>
      </c>
      <c r="C4719" t="s">
        <v>37</v>
      </c>
      <c r="D4719">
        <v>6.7340749999999998</v>
      </c>
      <c r="E4719">
        <v>0.51086220000000004</v>
      </c>
      <c r="F4719" t="s">
        <v>39</v>
      </c>
      <c r="G4719">
        <v>-301.31079999999997</v>
      </c>
      <c r="H4719">
        <v>-0.05</v>
      </c>
      <c r="I4719">
        <v>28.21049</v>
      </c>
      <c r="J4719">
        <v>-328.84190000000001</v>
      </c>
      <c r="K4719">
        <v>1.1043270000000001</v>
      </c>
      <c r="L4719">
        <v>18.936339999999898</v>
      </c>
      <c r="M4719">
        <v>0.9961719</v>
      </c>
      <c r="N4719">
        <v>0</v>
      </c>
      <c r="O4719">
        <v>8.7064820000000001E-2</v>
      </c>
      <c r="P4719">
        <v>0.99942770000000003</v>
      </c>
      <c r="Q4719">
        <v>-9.3618039999999996E-3</v>
      </c>
      <c r="R4719">
        <v>3.2508530000000001E-2</v>
      </c>
      <c r="S4719">
        <v>2.9638059999999999</v>
      </c>
      <c r="T4719">
        <v>-0.1200509</v>
      </c>
      <c r="U4719">
        <v>0.97363279999999996</v>
      </c>
      <c r="V4719">
        <v>5.4634719999999998E-2</v>
      </c>
      <c r="W4719">
        <v>-1.450364E-3</v>
      </c>
      <c r="X4719">
        <v>0.99850539999999999</v>
      </c>
      <c r="Y4719">
        <v>-0.22809109999999999</v>
      </c>
      <c r="Z4719">
        <v>1.0795169999999899E-3</v>
      </c>
      <c r="AA4719">
        <v>0.97363920000000004</v>
      </c>
      <c r="AB4719">
        <v>20</v>
      </c>
      <c r="AC4719">
        <v>27.531099999999999</v>
      </c>
      <c r="AD4719">
        <v>-1.1543270000000001</v>
      </c>
      <c r="AE4719">
        <v>9.2741500000000006</v>
      </c>
      <c r="AF4719">
        <v>-6.8310819553673303</v>
      </c>
      <c r="AG4719">
        <v>-1.1543270000000001</v>
      </c>
      <c r="AH4719">
        <v>28.189519346794601</v>
      </c>
      <c r="AI4719">
        <v>92.278996443592007</v>
      </c>
      <c r="AJ4719">
        <v>103.62173300314799</v>
      </c>
      <c r="AK4719">
        <v>29.028350840293701</v>
      </c>
    </row>
    <row r="4720" spans="1:37" x14ac:dyDescent="0.2">
      <c r="A4720" t="str">
        <f>"20200111160309602"</f>
        <v>20200111160309602</v>
      </c>
      <c r="B4720" t="str">
        <f>"1578729789597651"</f>
        <v>1578729789597651</v>
      </c>
      <c r="C4720" t="s">
        <v>37</v>
      </c>
      <c r="D4720">
        <v>4.9339979999999999</v>
      </c>
      <c r="E4720">
        <v>0.5332751</v>
      </c>
      <c r="F4720" t="s">
        <v>39</v>
      </c>
      <c r="G4720">
        <v>-295.83440000000002</v>
      </c>
      <c r="H4720">
        <v>-0.05</v>
      </c>
      <c r="I4720">
        <v>19.121659999999999</v>
      </c>
      <c r="J4720">
        <v>-328.63819999999998</v>
      </c>
      <c r="K4720">
        <v>1.104336</v>
      </c>
      <c r="L4720">
        <v>18.955539999999999</v>
      </c>
      <c r="M4720">
        <v>0.99606729999999999</v>
      </c>
      <c r="N4720">
        <v>0</v>
      </c>
      <c r="O4720">
        <v>8.8258649999999994E-2</v>
      </c>
      <c r="P4720">
        <v>0.99946749999999995</v>
      </c>
      <c r="Q4720">
        <v>-8.9868309999999903E-3</v>
      </c>
      <c r="R4720">
        <v>3.1371049999999998E-2</v>
      </c>
      <c r="S4720">
        <v>3.0001829999999998</v>
      </c>
      <c r="T4720">
        <v>-0.104921</v>
      </c>
      <c r="U4720">
        <v>1.6845699999999901E-2</v>
      </c>
      <c r="V4720">
        <v>5.6967440000000001E-2</v>
      </c>
      <c r="W4720">
        <v>-1.144106E-3</v>
      </c>
      <c r="X4720">
        <v>0.99837540000000002</v>
      </c>
      <c r="Y4720">
        <v>8.2562739999999996E-2</v>
      </c>
      <c r="Z4720">
        <v>-4.525678E-3</v>
      </c>
      <c r="AA4720">
        <v>0.99657559999999901</v>
      </c>
      <c r="AB4720">
        <v>20</v>
      </c>
      <c r="AC4720">
        <v>32.803799999999903</v>
      </c>
      <c r="AD4720">
        <v>-1.154336</v>
      </c>
      <c r="AE4720">
        <v>0.16612000000000199</v>
      </c>
      <c r="AF4720">
        <v>2.7264587577207502</v>
      </c>
      <c r="AG4720">
        <v>-1.154336</v>
      </c>
      <c r="AH4720">
        <v>32.6500118133375</v>
      </c>
      <c r="AI4720">
        <v>92.017822570850399</v>
      </c>
      <c r="AJ4720">
        <v>85.226556486006999</v>
      </c>
      <c r="AK4720">
        <v>32.783979934863403</v>
      </c>
    </row>
    <row r="4721" spans="1:37" x14ac:dyDescent="0.2">
      <c r="A4721" t="str">
        <f>"20200111160309647"</f>
        <v>20200111160309647</v>
      </c>
      <c r="B4721" t="str">
        <f>"1578729789637666"</f>
        <v>1578729789637666</v>
      </c>
      <c r="C4721" t="s">
        <v>37</v>
      </c>
      <c r="D4721">
        <v>4.867388</v>
      </c>
      <c r="E4721">
        <v>0.53653680000000004</v>
      </c>
      <c r="F4721" t="s">
        <v>39</v>
      </c>
      <c r="G4721">
        <v>-307.70209999999997</v>
      </c>
      <c r="H4721">
        <v>-0.05</v>
      </c>
      <c r="I4721">
        <v>17.83466</v>
      </c>
      <c r="J4721">
        <v>-328.231999999999</v>
      </c>
      <c r="K4721">
        <v>1.104349</v>
      </c>
      <c r="L4721">
        <v>18.994509999999998</v>
      </c>
      <c r="M4721">
        <v>0.99585559999999995</v>
      </c>
      <c r="N4721">
        <v>0</v>
      </c>
      <c r="O4721">
        <v>9.0623289999999995E-2</v>
      </c>
      <c r="P4721">
        <v>0.99953639999999999</v>
      </c>
      <c r="Q4721">
        <v>-7.9738050000000005E-3</v>
      </c>
      <c r="R4721">
        <v>2.9387839999999998E-2</v>
      </c>
      <c r="S4721">
        <v>3.0051269999999999</v>
      </c>
      <c r="T4721">
        <v>-0.16569110000000001</v>
      </c>
      <c r="U4721">
        <v>-0.1608887</v>
      </c>
      <c r="V4721">
        <v>6.1317400000000001E-2</v>
      </c>
      <c r="W4721">
        <v>-2.07241199999999E-4</v>
      </c>
      <c r="X4721">
        <v>0.99811830000000001</v>
      </c>
      <c r="Y4721">
        <v>0.14338329999999999</v>
      </c>
      <c r="Z4721">
        <v>-8.934272E-3</v>
      </c>
      <c r="AA4721">
        <v>0.98962689999999998</v>
      </c>
      <c r="AB4721">
        <v>20</v>
      </c>
      <c r="AC4721">
        <v>20.529900000000001</v>
      </c>
      <c r="AD4721">
        <v>-1.1543490000000001</v>
      </c>
      <c r="AE4721">
        <v>-1.15985</v>
      </c>
      <c r="AF4721">
        <v>3.0061453738681001</v>
      </c>
      <c r="AG4721">
        <v>-1.1543490000000001</v>
      </c>
      <c r="AH4721">
        <v>20.2764059530259</v>
      </c>
      <c r="AI4721">
        <v>93.223212958934894</v>
      </c>
      <c r="AJ4721">
        <v>81.566855668610003</v>
      </c>
      <c r="AK4721">
        <v>20.5305155803388</v>
      </c>
    </row>
    <row r="4722" spans="1:37" x14ac:dyDescent="0.2">
      <c r="A4722" t="str">
        <f>"20200111160309669"</f>
        <v>20200111160309669</v>
      </c>
      <c r="B4722" t="str">
        <f>"1578729789667922"</f>
        <v>1578729789667922</v>
      </c>
      <c r="C4722" t="s">
        <v>37</v>
      </c>
      <c r="D4722">
        <v>4.8993029999999997</v>
      </c>
      <c r="E4722">
        <v>0.54258329999999999</v>
      </c>
      <c r="F4722" t="s">
        <v>39</v>
      </c>
      <c r="G4722">
        <v>-309.50839999999999</v>
      </c>
      <c r="H4722">
        <v>-0.05</v>
      </c>
      <c r="I4722">
        <v>17.803049999999999</v>
      </c>
      <c r="J4722">
        <v>-328.03590000000003</v>
      </c>
      <c r="K4722">
        <v>1.1043419999999999</v>
      </c>
      <c r="L4722">
        <v>19.0137</v>
      </c>
      <c r="M4722">
        <v>0.995753</v>
      </c>
      <c r="N4722">
        <v>0</v>
      </c>
      <c r="O4722">
        <v>9.1744389999999995E-2</v>
      </c>
      <c r="P4722">
        <v>0.9995617</v>
      </c>
      <c r="Q4722">
        <v>-8.4846650000000006E-3</v>
      </c>
      <c r="R4722">
        <v>2.8361359999999999E-2</v>
      </c>
      <c r="S4722">
        <v>3.0055239999999999</v>
      </c>
      <c r="T4722">
        <v>-0.1852964</v>
      </c>
      <c r="U4722">
        <v>-0.1912537</v>
      </c>
      <c r="V4722">
        <v>6.3466350000000005E-2</v>
      </c>
      <c r="W4722">
        <v>-7.3067629999999998E-4</v>
      </c>
      <c r="X4722">
        <v>0.99798369999999903</v>
      </c>
      <c r="Y4722">
        <v>0.154334</v>
      </c>
      <c r="Z4722">
        <v>-1.039167E-2</v>
      </c>
      <c r="AA4722">
        <v>0.98796410000000001</v>
      </c>
      <c r="AB4722">
        <v>20</v>
      </c>
      <c r="AC4722">
        <v>18.5275</v>
      </c>
      <c r="AD4722">
        <v>-1.154342</v>
      </c>
      <c r="AE4722">
        <v>-1.21065</v>
      </c>
      <c r="AF4722">
        <v>2.8942011625016701</v>
      </c>
      <c r="AG4722">
        <v>-1.154342</v>
      </c>
      <c r="AH4722">
        <v>18.267673382480801</v>
      </c>
      <c r="AI4722">
        <v>93.571310559180603</v>
      </c>
      <c r="AJ4722">
        <v>80.997289313960906</v>
      </c>
      <c r="AK4722">
        <v>18.5315082125279</v>
      </c>
    </row>
    <row r="4723" spans="1:37" x14ac:dyDescent="0.2">
      <c r="A4723" t="str">
        <f>"20200111160309692"</f>
        <v>20200111160309692</v>
      </c>
      <c r="B4723" t="str">
        <f>"1578729789687386"</f>
        <v>1578729789687386</v>
      </c>
      <c r="C4723" t="s">
        <v>37</v>
      </c>
      <c r="D4723">
        <v>4.8391999999999999</v>
      </c>
      <c r="E4723">
        <v>0.5449406</v>
      </c>
      <c r="F4723" t="s">
        <v>42</v>
      </c>
      <c r="G4723">
        <v>-327.12329999999997</v>
      </c>
      <c r="H4723">
        <v>1.0361469999999999</v>
      </c>
      <c r="I4723">
        <v>18.940629999999999</v>
      </c>
      <c r="J4723">
        <v>-327.83870000000002</v>
      </c>
      <c r="K4723">
        <v>1.10433</v>
      </c>
      <c r="L4723">
        <v>19.03314</v>
      </c>
      <c r="M4723">
        <v>0.99565119999999896</v>
      </c>
      <c r="N4723">
        <v>0</v>
      </c>
      <c r="O4723">
        <v>9.284162E-2</v>
      </c>
      <c r="P4723">
        <v>0.99957289999999999</v>
      </c>
      <c r="Q4723">
        <v>-9.3518790000000004E-3</v>
      </c>
      <c r="R4723">
        <v>2.7689020000000002E-2</v>
      </c>
      <c r="S4723">
        <v>3.0062259999999998</v>
      </c>
      <c r="T4723">
        <v>-0.22468859999999999</v>
      </c>
      <c r="U4723">
        <v>-0.2398682</v>
      </c>
      <c r="V4723">
        <v>6.5237680000000006E-2</v>
      </c>
      <c r="W4723">
        <v>-1.5845360000000001E-3</v>
      </c>
      <c r="X4723">
        <v>0.99786849999999905</v>
      </c>
      <c r="Y4723">
        <v>0.1710122</v>
      </c>
      <c r="Z4723">
        <v>-1.328942E-2</v>
      </c>
      <c r="AA4723">
        <v>0.98517929999999998</v>
      </c>
      <c r="AB4723">
        <v>20</v>
      </c>
      <c r="AC4723">
        <v>0.715400000000045</v>
      </c>
      <c r="AD4723">
        <v>-6.8183000000000105E-2</v>
      </c>
      <c r="AE4723">
        <v>-9.2510000000000703E-2</v>
      </c>
      <c r="AF4723">
        <v>0.15712747654866399</v>
      </c>
      <c r="AG4723">
        <v>-6.8183000000000105E-2</v>
      </c>
      <c r="AH4723">
        <v>0.69748943186116996</v>
      </c>
      <c r="AI4723">
        <v>95.447536842777296</v>
      </c>
      <c r="AJ4723">
        <v>77.304577690629301</v>
      </c>
      <c r="AK4723">
        <v>0.71821269338098503</v>
      </c>
    </row>
    <row r="4724" spans="1:37" x14ac:dyDescent="0.2">
      <c r="A4724" t="str">
        <f>"20200111160309713"</f>
        <v>20200111160309713</v>
      </c>
      <c r="B4724" t="str">
        <f>"1578729789707882"</f>
        <v>1578729789707882</v>
      </c>
      <c r="C4724" t="s">
        <v>37</v>
      </c>
      <c r="D4724">
        <v>4.8741019999999997</v>
      </c>
      <c r="E4724">
        <v>0.54653750000000001</v>
      </c>
      <c r="F4724" t="s">
        <v>42</v>
      </c>
      <c r="G4724">
        <v>-326.94630000000001</v>
      </c>
      <c r="H4724">
        <v>1.0318670000000001</v>
      </c>
      <c r="I4724">
        <v>18.956050000000001</v>
      </c>
      <c r="J4724">
        <v>-327.6377</v>
      </c>
      <c r="K4724">
        <v>1.1043190000000001</v>
      </c>
      <c r="L4724">
        <v>19.053190000000001</v>
      </c>
      <c r="M4724">
        <v>0.99554869999999995</v>
      </c>
      <c r="N4724">
        <v>0</v>
      </c>
      <c r="O4724">
        <v>9.3931920000000002E-2</v>
      </c>
      <c r="P4724">
        <v>0.9995735</v>
      </c>
      <c r="Q4724">
        <v>-1.102711E-2</v>
      </c>
      <c r="R4724">
        <v>2.7045119999999999E-2</v>
      </c>
      <c r="S4724">
        <v>3.0061650000000002</v>
      </c>
      <c r="T4724">
        <v>-0.24413550000000001</v>
      </c>
      <c r="U4724">
        <v>-0.25949099999999897</v>
      </c>
      <c r="V4724">
        <v>6.6973599999999994E-2</v>
      </c>
      <c r="W4724">
        <v>-3.2200750000000002E-3</v>
      </c>
      <c r="X4724">
        <v>0.99774959999999902</v>
      </c>
      <c r="Y4724">
        <v>0.17831540000000001</v>
      </c>
      <c r="Z4724">
        <v>-1.4816640000000001E-2</v>
      </c>
      <c r="AA4724">
        <v>0.98386180000000001</v>
      </c>
      <c r="AB4724">
        <v>20</v>
      </c>
      <c r="AC4724">
        <v>0.69139999999998702</v>
      </c>
      <c r="AD4724">
        <v>-7.2451999999999905E-2</v>
      </c>
      <c r="AE4724">
        <v>-9.7139999999999505E-2</v>
      </c>
      <c r="AF4724">
        <v>0.15993469906626301</v>
      </c>
      <c r="AG4724">
        <v>-7.2451999999999905E-2</v>
      </c>
      <c r="AH4724">
        <v>0.67198186330630505</v>
      </c>
      <c r="AI4724">
        <v>95.987776353922001</v>
      </c>
      <c r="AJ4724">
        <v>76.612423016538798</v>
      </c>
      <c r="AK4724">
        <v>0.69454159334198995</v>
      </c>
    </row>
    <row r="4725" spans="1:37" x14ac:dyDescent="0.2">
      <c r="A4725" t="str">
        <f>"20200111160309736"</f>
        <v>20200111160309736</v>
      </c>
      <c r="B4725" t="str">
        <f>"1578729789727401"</f>
        <v>1578729789727401</v>
      </c>
      <c r="C4725" t="s">
        <v>37</v>
      </c>
      <c r="D4725">
        <v>4.8653379999999897</v>
      </c>
      <c r="E4725">
        <v>0.54755169999999997</v>
      </c>
      <c r="F4725" t="s">
        <v>42</v>
      </c>
      <c r="G4725">
        <v>-326.76839999999999</v>
      </c>
      <c r="H4725">
        <v>1.0286999999999999</v>
      </c>
      <c r="I4725">
        <v>18.9739</v>
      </c>
      <c r="J4725">
        <v>-327.4341</v>
      </c>
      <c r="K4725">
        <v>1.104303</v>
      </c>
      <c r="L4725">
        <v>19.07367</v>
      </c>
      <c r="M4725">
        <v>0.99544699999999997</v>
      </c>
      <c r="N4725">
        <v>0</v>
      </c>
      <c r="O4725">
        <v>9.4996049999999999E-2</v>
      </c>
      <c r="P4725">
        <v>0.99956429999999996</v>
      </c>
      <c r="Q4725">
        <v>-1.2826229999999999E-2</v>
      </c>
      <c r="R4725">
        <v>2.6587889999999999E-2</v>
      </c>
      <c r="S4725">
        <v>3.005798</v>
      </c>
      <c r="T4725">
        <v>-0.26156200000000002</v>
      </c>
      <c r="U4725">
        <v>-0.2734375</v>
      </c>
      <c r="V4725">
        <v>6.8496349999999998E-2</v>
      </c>
      <c r="W4725">
        <v>-4.9423219999999999E-3</v>
      </c>
      <c r="X4725">
        <v>0.9976391</v>
      </c>
      <c r="Y4725">
        <v>0.1837482</v>
      </c>
      <c r="Z4725">
        <v>-1.6197139999999999E-2</v>
      </c>
      <c r="AA4725">
        <v>0.98283989999999999</v>
      </c>
      <c r="AB4725">
        <v>20</v>
      </c>
      <c r="AC4725">
        <v>0.66570000000001495</v>
      </c>
      <c r="AD4725">
        <v>-7.5603000000000004E-2</v>
      </c>
      <c r="AE4725">
        <v>-9.9769999999999401E-2</v>
      </c>
      <c r="AF4725">
        <v>0.16053449713364701</v>
      </c>
      <c r="AG4725">
        <v>-7.5603000000000004E-2</v>
      </c>
      <c r="AH4725">
        <v>0.64507388533418197</v>
      </c>
      <c r="AI4725">
        <v>96.488460509746304</v>
      </c>
      <c r="AJ4725">
        <v>76.025130068193803</v>
      </c>
      <c r="AK4725">
        <v>0.66903471951692495</v>
      </c>
    </row>
    <row r="4726" spans="1:37" x14ac:dyDescent="0.2">
      <c r="A4726" t="str">
        <f>"20200111160309758"</f>
        <v>20200111160309758</v>
      </c>
      <c r="B4726" t="str">
        <f>"1578729789747897"</f>
        <v>1578729789747897</v>
      </c>
      <c r="C4726" t="s">
        <v>37</v>
      </c>
      <c r="D4726">
        <v>4.8517700000000001</v>
      </c>
      <c r="E4726">
        <v>0.54768430000000001</v>
      </c>
      <c r="F4726" t="s">
        <v>42</v>
      </c>
      <c r="G4726">
        <v>-326.58980000000003</v>
      </c>
      <c r="H4726">
        <v>1.0267770000000001</v>
      </c>
      <c r="I4726">
        <v>18.994239999999898</v>
      </c>
      <c r="J4726">
        <v>-327.23930000000001</v>
      </c>
      <c r="K4726">
        <v>1.104295</v>
      </c>
      <c r="L4726">
        <v>19.093409999999999</v>
      </c>
      <c r="M4726">
        <v>0.99535359999999995</v>
      </c>
      <c r="N4726">
        <v>0</v>
      </c>
      <c r="O4726">
        <v>9.595824E-2</v>
      </c>
      <c r="P4726">
        <v>0.99954379999999998</v>
      </c>
      <c r="Q4726">
        <v>-1.454736E-2</v>
      </c>
      <c r="R4726">
        <v>2.6468419999999999E-2</v>
      </c>
      <c r="S4726">
        <v>3.0052490000000001</v>
      </c>
      <c r="T4726">
        <v>-0.2760223</v>
      </c>
      <c r="U4726">
        <v>-0.2823792</v>
      </c>
      <c r="V4726">
        <v>6.9579470000000004E-2</v>
      </c>
      <c r="W4726">
        <v>-6.5218890000000003E-3</v>
      </c>
      <c r="X4726">
        <v>0.99755509999999903</v>
      </c>
      <c r="Y4726">
        <v>0.18747429999999901</v>
      </c>
      <c r="Z4726">
        <v>-1.734832E-2</v>
      </c>
      <c r="AA4726">
        <v>0.98211630000000005</v>
      </c>
      <c r="AB4726">
        <v>20</v>
      </c>
      <c r="AC4726">
        <v>0.64949999999998898</v>
      </c>
      <c r="AD4726">
        <v>-7.7517999999999906E-2</v>
      </c>
      <c r="AE4726">
        <v>-9.9170000000004394E-2</v>
      </c>
      <c r="AF4726">
        <v>0.15882829972444601</v>
      </c>
      <c r="AG4726">
        <v>-7.7517999999999906E-2</v>
      </c>
      <c r="AH4726">
        <v>0.62824102757168898</v>
      </c>
      <c r="AI4726">
        <v>96.821604567494603</v>
      </c>
      <c r="AJ4726">
        <v>75.812096312847999</v>
      </c>
      <c r="AK4726">
        <v>0.65262719667639602</v>
      </c>
    </row>
    <row r="4727" spans="1:37" x14ac:dyDescent="0.2">
      <c r="A4727" t="str">
        <f>"20200111160309780"</f>
        <v>20200111160309780</v>
      </c>
      <c r="B4727" t="str">
        <f>"1578729789778154"</f>
        <v>1578729789778154</v>
      </c>
      <c r="C4727" t="s">
        <v>37</v>
      </c>
      <c r="D4727">
        <v>5.0412419999999996</v>
      </c>
      <c r="E4727">
        <v>0.54798290000000005</v>
      </c>
      <c r="F4727" t="s">
        <v>42</v>
      </c>
      <c r="G4727">
        <v>-326.41149999999999</v>
      </c>
      <c r="H4727">
        <v>1.0244500000000001</v>
      </c>
      <c r="I4727">
        <v>19.015149999999998</v>
      </c>
      <c r="J4727">
        <v>-327.041</v>
      </c>
      <c r="K4727">
        <v>1.1042989999999999</v>
      </c>
      <c r="L4727">
        <v>19.11365</v>
      </c>
      <c r="M4727">
        <v>0.99526399999999904</v>
      </c>
      <c r="N4727">
        <v>0</v>
      </c>
      <c r="O4727">
        <v>9.6860100000000005E-2</v>
      </c>
      <c r="P4727">
        <v>0.99949259999999995</v>
      </c>
      <c r="Q4727">
        <v>-1.7203900000000001E-2</v>
      </c>
      <c r="R4727">
        <v>2.6809320000000001E-2</v>
      </c>
      <c r="S4727">
        <v>3.0046390000000001</v>
      </c>
      <c r="T4727">
        <v>-0.28987229999999897</v>
      </c>
      <c r="U4727">
        <v>-0.28335569999999999</v>
      </c>
      <c r="V4727">
        <v>7.0141170000000003E-2</v>
      </c>
      <c r="W4727">
        <v>-8.9074280000000002E-3</v>
      </c>
      <c r="X4727">
        <v>0.99749730000000003</v>
      </c>
      <c r="Y4727">
        <v>0.18856800000000001</v>
      </c>
      <c r="Z4727">
        <v>-1.8357390000000001E-2</v>
      </c>
      <c r="AA4727">
        <v>0.98188850000000005</v>
      </c>
      <c r="AB4727">
        <v>20</v>
      </c>
      <c r="AC4727">
        <v>0.62950000000000705</v>
      </c>
      <c r="AD4727">
        <v>-7.9848999999999795E-2</v>
      </c>
      <c r="AE4727">
        <v>-9.8500000000001295E-2</v>
      </c>
      <c r="AF4727">
        <v>0.15655361938095999</v>
      </c>
      <c r="AG4727">
        <v>-7.9848999999999795E-2</v>
      </c>
      <c r="AH4727">
        <v>0.60745861686881197</v>
      </c>
      <c r="AI4727">
        <v>97.254078352776304</v>
      </c>
      <c r="AJ4727">
        <v>75.548268684310202</v>
      </c>
      <c r="AK4727">
        <v>0.63236925111081199</v>
      </c>
    </row>
    <row r="4728" spans="1:37" x14ac:dyDescent="0.2">
      <c r="A4728" t="str">
        <f>"20200111160309804"</f>
        <v>20200111160309804</v>
      </c>
      <c r="B4728" t="str">
        <f>"1578729789797674"</f>
        <v>1578729789797674</v>
      </c>
      <c r="C4728" t="s">
        <v>37</v>
      </c>
      <c r="D4728">
        <v>4.1858839999999997</v>
      </c>
      <c r="E4728">
        <v>0.49646359999999901</v>
      </c>
      <c r="F4728" t="s">
        <v>42</v>
      </c>
      <c r="G4728">
        <v>-326.23219999999998</v>
      </c>
      <c r="H4728">
        <v>1.022605</v>
      </c>
      <c r="I4728">
        <v>19.036950000000001</v>
      </c>
      <c r="J4728">
        <v>-326.82490000000001</v>
      </c>
      <c r="K4728">
        <v>1.1043289999999999</v>
      </c>
      <c r="L4728">
        <v>19.135770000000001</v>
      </c>
      <c r="M4728">
        <v>0.99517489999999997</v>
      </c>
      <c r="N4728">
        <v>0</v>
      </c>
      <c r="O4728">
        <v>9.7729999999999997E-2</v>
      </c>
      <c r="P4728">
        <v>0.9994383</v>
      </c>
      <c r="Q4728">
        <v>-1.9089559999999998E-2</v>
      </c>
      <c r="R4728">
        <v>2.7548690000000001E-2</v>
      </c>
      <c r="S4728">
        <v>3.0039669999999998</v>
      </c>
      <c r="T4728">
        <v>-0.30345050000000001</v>
      </c>
      <c r="U4728">
        <v>-0.28469850000000002</v>
      </c>
      <c r="V4728">
        <v>7.0272249999999994E-2</v>
      </c>
      <c r="W4728">
        <v>-1.0323219999999999E-2</v>
      </c>
      <c r="X4728">
        <v>0.99747439999999998</v>
      </c>
      <c r="Y4728">
        <v>0.1897451</v>
      </c>
      <c r="Z4728">
        <v>-1.9363519999999999E-2</v>
      </c>
      <c r="AA4728">
        <v>0.98164240000000003</v>
      </c>
      <c r="AB4728">
        <v>20</v>
      </c>
      <c r="AC4728">
        <v>0.59270000000003598</v>
      </c>
      <c r="AD4728">
        <v>-8.1724000000000102E-2</v>
      </c>
      <c r="AE4728">
        <v>-9.8819999999999894E-2</v>
      </c>
      <c r="AF4728">
        <v>0.153435447709378</v>
      </c>
      <c r="AG4728">
        <v>-8.1724000000000102E-2</v>
      </c>
      <c r="AH4728">
        <v>0.56966684841642601</v>
      </c>
      <c r="AI4728">
        <v>97.886575704985205</v>
      </c>
      <c r="AJ4728">
        <v>74.925547231483705</v>
      </c>
      <c r="AK4728">
        <v>0.59560185272922095</v>
      </c>
    </row>
    <row r="4729" spans="1:37" x14ac:dyDescent="0.2">
      <c r="A4729" t="str">
        <f>"20200111160310027"</f>
        <v>20200111160310027</v>
      </c>
      <c r="B4729" t="str">
        <f>"1578729790017849"</f>
        <v>1578729790017849</v>
      </c>
      <c r="C4729" t="s">
        <v>37</v>
      </c>
      <c r="D4729">
        <v>4.6884290000000002</v>
      </c>
      <c r="E4729">
        <v>0.37963770000000002</v>
      </c>
      <c r="F4729" t="s">
        <v>88</v>
      </c>
      <c r="G4729">
        <v>-279.68</v>
      </c>
      <c r="H4729">
        <v>0.35602739999999999</v>
      </c>
      <c r="I4729">
        <v>20.868849999999998</v>
      </c>
      <c r="J4729">
        <v>-324.82510000000002</v>
      </c>
      <c r="K4729">
        <v>1.1035729999999999</v>
      </c>
      <c r="L4729">
        <v>19.33344</v>
      </c>
      <c r="M4729">
        <v>0.9952744</v>
      </c>
      <c r="N4729">
        <v>0</v>
      </c>
      <c r="O4729">
        <v>9.6253569999999997E-2</v>
      </c>
      <c r="P4729">
        <v>0.99911759999999905</v>
      </c>
      <c r="Q4729">
        <v>-2.854135E-2</v>
      </c>
      <c r="R4729">
        <v>3.0810400000000002E-2</v>
      </c>
      <c r="S4729">
        <v>2.9977419999999899</v>
      </c>
      <c r="T4729">
        <v>-4.7581079999999998E-2</v>
      </c>
      <c r="U4729">
        <v>0.11019900000000001</v>
      </c>
      <c r="V4729">
        <v>6.5481299999999895E-2</v>
      </c>
      <c r="W4729">
        <v>-1.587533E-2</v>
      </c>
      <c r="X4729">
        <v>0.99772749999999999</v>
      </c>
      <c r="Y4729">
        <v>5.961168E-2</v>
      </c>
      <c r="Z4729">
        <v>-1.997726E-3</v>
      </c>
      <c r="AA4729">
        <v>0.99821970000000004</v>
      </c>
      <c r="AB4729">
        <v>20</v>
      </c>
      <c r="AC4729">
        <v>45.145099999999999</v>
      </c>
      <c r="AD4729">
        <v>-0.74754559999999903</v>
      </c>
      <c r="AE4729">
        <v>1.5354099999999899</v>
      </c>
      <c r="AF4729">
        <v>2.81668256643185</v>
      </c>
      <c r="AG4729">
        <v>-0.74754559999999903</v>
      </c>
      <c r="AH4729">
        <v>45.070906883776701</v>
      </c>
      <c r="AI4729">
        <v>90.948370270533104</v>
      </c>
      <c r="AJ4729">
        <v>86.423981075430603</v>
      </c>
      <c r="AK4729">
        <v>45.165021559058196</v>
      </c>
    </row>
    <row r="4730" spans="1:37" x14ac:dyDescent="0.2">
      <c r="A4730" t="str">
        <f>"20200111160310048"</f>
        <v>20200111160310048</v>
      </c>
      <c r="B4730" t="str">
        <f>"1578729790037368"</f>
        <v>1578729790037368</v>
      </c>
      <c r="C4730" t="s">
        <v>37</v>
      </c>
      <c r="D4730">
        <v>4.6822039999999996</v>
      </c>
      <c r="E4730">
        <v>0.36809920000000002</v>
      </c>
      <c r="F4730" t="s">
        <v>89</v>
      </c>
      <c r="G4730">
        <v>-279.66449999999998</v>
      </c>
      <c r="H4730">
        <v>0.88429930000000001</v>
      </c>
      <c r="I4730">
        <v>35.2879</v>
      </c>
      <c r="J4730">
        <v>-324.64940000000001</v>
      </c>
      <c r="K4730">
        <v>1.1034709999999901</v>
      </c>
      <c r="L4730">
        <v>19.349239999999899</v>
      </c>
      <c r="M4730">
        <v>0.99537330000000002</v>
      </c>
      <c r="N4730">
        <v>0</v>
      </c>
      <c r="O4730">
        <v>9.5201690000000005E-2</v>
      </c>
      <c r="P4730">
        <v>0.99907649999999903</v>
      </c>
      <c r="Q4730">
        <v>-2.8562520000000001E-2</v>
      </c>
      <c r="R4730">
        <v>3.2107129999999998E-2</v>
      </c>
      <c r="S4730">
        <v>2.969849</v>
      </c>
      <c r="T4730">
        <v>-1.4419670000000001E-2</v>
      </c>
      <c r="U4730">
        <v>1.049194</v>
      </c>
      <c r="V4730">
        <v>6.3128790000000004E-2</v>
      </c>
      <c r="W4730">
        <v>-1.5725619999999999E-2</v>
      </c>
      <c r="X4730">
        <v>0.99788149999999998</v>
      </c>
      <c r="Y4730">
        <v>-0.24181900000000001</v>
      </c>
      <c r="Z4730">
        <v>1.2343989999999999E-4</v>
      </c>
      <c r="AA4730">
        <v>0.9703214</v>
      </c>
      <c r="AB4730">
        <v>20</v>
      </c>
      <c r="AC4730">
        <v>44.984900000000003</v>
      </c>
      <c r="AD4730">
        <v>-0.219171699999999</v>
      </c>
      <c r="AE4730">
        <v>15.93866</v>
      </c>
      <c r="AF4730">
        <v>-11.5830105061456</v>
      </c>
      <c r="AG4730">
        <v>-0.219171699999999</v>
      </c>
      <c r="AH4730">
        <v>46.2970831564054</v>
      </c>
      <c r="AI4730">
        <v>90.263127754323193</v>
      </c>
      <c r="AJ4730">
        <v>104.04642277325701</v>
      </c>
      <c r="AK4730">
        <v>47.7245647168277</v>
      </c>
    </row>
    <row r="4731" spans="1:37" x14ac:dyDescent="0.2">
      <c r="A4731" t="str">
        <f>"20200111160310062"</f>
        <v>20200111160310062</v>
      </c>
      <c r="B4731" t="str">
        <f>"1578729790057865"</f>
        <v>1578729790057865</v>
      </c>
      <c r="C4731" t="s">
        <v>37</v>
      </c>
      <c r="D4731">
        <v>4.6482760000000001</v>
      </c>
      <c r="E4731">
        <v>0.36393179999999897</v>
      </c>
      <c r="F4731" t="s">
        <v>89</v>
      </c>
      <c r="G4731">
        <v>-280.86259999999999</v>
      </c>
      <c r="H4731">
        <v>0.335011</v>
      </c>
      <c r="I4731">
        <v>36.306480000000001</v>
      </c>
      <c r="J4731">
        <v>-324.53030000000001</v>
      </c>
      <c r="K4731">
        <v>1.103402</v>
      </c>
      <c r="L4731">
        <v>19.35971</v>
      </c>
      <c r="M4731">
        <v>0.99545079999999997</v>
      </c>
      <c r="N4731">
        <v>0</v>
      </c>
      <c r="O4731">
        <v>9.4372380000000006E-2</v>
      </c>
      <c r="P4731">
        <v>0.99907049999999997</v>
      </c>
      <c r="Q4731">
        <v>-2.8178910000000001E-2</v>
      </c>
      <c r="R4731">
        <v>3.2622239999999997E-2</v>
      </c>
      <c r="S4731">
        <v>2.9643860000000002</v>
      </c>
      <c r="T4731">
        <v>-5.2024840000000003E-2</v>
      </c>
      <c r="U4731">
        <v>1.14801</v>
      </c>
      <c r="V4731">
        <v>6.1783009999999999E-2</v>
      </c>
      <c r="W4731">
        <v>-1.524009E-2</v>
      </c>
      <c r="X4731">
        <v>0.99797329999999995</v>
      </c>
      <c r="Y4731">
        <v>-0.2714858</v>
      </c>
      <c r="Z4731">
        <v>7.0928419999999998E-4</v>
      </c>
      <c r="AA4731">
        <v>0.96244219999999903</v>
      </c>
      <c r="AB4731">
        <v>20</v>
      </c>
      <c r="AC4731">
        <v>43.667700000000004</v>
      </c>
      <c r="AD4731">
        <v>-0.76839099999999905</v>
      </c>
      <c r="AE4731">
        <v>16.946770000000001</v>
      </c>
      <c r="AF4731">
        <v>-12.7463146371985</v>
      </c>
      <c r="AG4731">
        <v>-0.76839099999999905</v>
      </c>
      <c r="AH4731">
        <v>45.060094617254599</v>
      </c>
      <c r="AI4731">
        <v>90.940066182726397</v>
      </c>
      <c r="AJ4731">
        <v>105.794811738549</v>
      </c>
      <c r="AK4731">
        <v>46.834507454176098</v>
      </c>
    </row>
    <row r="4732" spans="1:37" x14ac:dyDescent="0.2">
      <c r="A4732" t="str">
        <f>"20200111160310077"</f>
        <v>20200111160310077</v>
      </c>
      <c r="B4732" t="str">
        <f>"1578729790067625"</f>
        <v>1578729790067625</v>
      </c>
      <c r="C4732" t="s">
        <v>37</v>
      </c>
      <c r="D4732">
        <v>4.6446199999999997</v>
      </c>
      <c r="E4732">
        <v>0.36241319999999999</v>
      </c>
      <c r="F4732" t="s">
        <v>89</v>
      </c>
      <c r="G4732">
        <v>-280.86259999999999</v>
      </c>
      <c r="H4732">
        <v>0.24036260000000001</v>
      </c>
      <c r="I4732">
        <v>36.801609999999997</v>
      </c>
      <c r="J4732">
        <v>-324.3972</v>
      </c>
      <c r="K4732">
        <v>1.1033309999999901</v>
      </c>
      <c r="L4732">
        <v>19.37125</v>
      </c>
      <c r="M4732">
        <v>0.99554430000000005</v>
      </c>
      <c r="N4732">
        <v>0</v>
      </c>
      <c r="O4732">
        <v>9.3366749999999998E-2</v>
      </c>
      <c r="P4732">
        <v>0.99906709999999999</v>
      </c>
      <c r="Q4732">
        <v>-2.8099860000000001E-2</v>
      </c>
      <c r="R4732">
        <v>3.2793330000000002E-2</v>
      </c>
      <c r="S4732">
        <v>2.962494</v>
      </c>
      <c r="T4732">
        <v>-5.8549879999999999E-2</v>
      </c>
      <c r="U4732">
        <v>1.183289</v>
      </c>
      <c r="V4732">
        <v>6.0602120000000002E-2</v>
      </c>
      <c r="W4732">
        <v>-1.5056170000000001E-2</v>
      </c>
      <c r="X4732">
        <v>0.99804839999999995</v>
      </c>
      <c r="Y4732">
        <v>-0.28256300000000001</v>
      </c>
      <c r="Z4732">
        <v>9.2156309999999995E-4</v>
      </c>
      <c r="AA4732">
        <v>0.95924830000000005</v>
      </c>
      <c r="AB4732">
        <v>20</v>
      </c>
      <c r="AC4732">
        <v>43.534599999999998</v>
      </c>
      <c r="AD4732">
        <v>-0.86296839999999897</v>
      </c>
      <c r="AE4732">
        <v>17.430359999999901</v>
      </c>
      <c r="AF4732">
        <v>-13.284670113875199</v>
      </c>
      <c r="AG4732">
        <v>-0.86296839999999897</v>
      </c>
      <c r="AH4732">
        <v>44.956731578083399</v>
      </c>
      <c r="AI4732">
        <v>91.054617862350199</v>
      </c>
      <c r="AJ4732">
        <v>106.46235839329</v>
      </c>
      <c r="AK4732">
        <v>46.886404091993697</v>
      </c>
    </row>
    <row r="4733" spans="1:37" x14ac:dyDescent="0.2">
      <c r="A4733" t="str">
        <f>"20200111160310471"</f>
        <v>20200111160310471</v>
      </c>
      <c r="B4733" t="str">
        <f>"1578729790467855"</f>
        <v>1578729790467855</v>
      </c>
      <c r="C4733" t="s">
        <v>37</v>
      </c>
      <c r="D4733">
        <v>4.3743280000000002</v>
      </c>
      <c r="E4733">
        <v>0.43597979999999997</v>
      </c>
      <c r="F4733" t="s">
        <v>89</v>
      </c>
      <c r="G4733">
        <v>-280.86250000000001</v>
      </c>
      <c r="H4733">
        <v>0.20800830000000001</v>
      </c>
      <c r="I4733">
        <v>36.952059999999904</v>
      </c>
      <c r="J4733">
        <v>-320.98140000000001</v>
      </c>
      <c r="K4733">
        <v>1.1029229999999901</v>
      </c>
      <c r="L4733">
        <v>19.583559999999999</v>
      </c>
      <c r="M4733">
        <v>0.99839840000000002</v>
      </c>
      <c r="N4733">
        <v>0</v>
      </c>
      <c r="O4733">
        <v>5.4997259999999999E-2</v>
      </c>
      <c r="P4733">
        <v>0.99975429999999998</v>
      </c>
      <c r="Q4733">
        <v>-2.0927419999999999E-2</v>
      </c>
      <c r="R4733">
        <v>-7.3205569999999897E-3</v>
      </c>
      <c r="S4733">
        <v>2.961792</v>
      </c>
      <c r="T4733">
        <v>-6.0911300000000002E-2</v>
      </c>
      <c r="U4733">
        <v>1.196075</v>
      </c>
      <c r="V4733">
        <v>6.2274650000000001E-2</v>
      </c>
      <c r="W4733">
        <v>-7.8633039999999998E-3</v>
      </c>
      <c r="X4733">
        <v>0.99802809999999897</v>
      </c>
      <c r="Y4733">
        <v>-0.32283859999999998</v>
      </c>
      <c r="Z4733">
        <v>2.1090309999999999E-3</v>
      </c>
      <c r="AA4733">
        <v>0.94645170000000001</v>
      </c>
      <c r="AB4733">
        <v>19</v>
      </c>
      <c r="AC4733">
        <v>40.118899999999996</v>
      </c>
      <c r="AD4733">
        <v>-0.89491469999999895</v>
      </c>
      <c r="AE4733">
        <v>17.368499999999901</v>
      </c>
      <c r="AF4733">
        <v>-15.129244730776501</v>
      </c>
      <c r="AG4733">
        <v>-0.89491469999999895</v>
      </c>
      <c r="AH4733">
        <v>40.9962942829561</v>
      </c>
      <c r="AI4733">
        <v>91.173203862576599</v>
      </c>
      <c r="AJ4733">
        <v>110.256043875638</v>
      </c>
      <c r="AK4733">
        <v>43.708020584084302</v>
      </c>
    </row>
    <row r="4734" spans="1:37" x14ac:dyDescent="0.2">
      <c r="A4734" t="str">
        <f>"20200111160310495"</f>
        <v>20200111160310495</v>
      </c>
      <c r="B4734" t="str">
        <f>"1578729790487884"</f>
        <v>1578729790487884</v>
      </c>
      <c r="C4734" t="s">
        <v>37</v>
      </c>
      <c r="D4734">
        <v>4.5600550000000002</v>
      </c>
      <c r="E4734">
        <v>0.43597979999999997</v>
      </c>
      <c r="F4734" t="s">
        <v>72</v>
      </c>
      <c r="G4734">
        <v>-274.15660000000003</v>
      </c>
      <c r="H4734">
        <v>3.8183400000000001</v>
      </c>
      <c r="I4734">
        <v>26.973020000000002</v>
      </c>
      <c r="J4734">
        <v>-320.77530000000002</v>
      </c>
      <c r="K4734">
        <v>1.102797</v>
      </c>
      <c r="L4734">
        <v>19.591460000000001</v>
      </c>
      <c r="M4734">
        <v>0.99856429999999996</v>
      </c>
      <c r="N4734">
        <v>0</v>
      </c>
      <c r="O4734">
        <v>5.1970870000000002E-2</v>
      </c>
      <c r="P4734">
        <v>0.99958860000000005</v>
      </c>
      <c r="Q4734">
        <v>-2.052785E-2</v>
      </c>
      <c r="R4734">
        <v>-2.0033800000000001E-2</v>
      </c>
      <c r="S4734">
        <v>3.0078429999999998</v>
      </c>
      <c r="T4734">
        <v>0.1744281</v>
      </c>
      <c r="U4734">
        <v>0.47467039999999999</v>
      </c>
      <c r="V4734">
        <v>7.19418E-2</v>
      </c>
      <c r="W4734">
        <v>-7.7604019999999996E-3</v>
      </c>
      <c r="X4734">
        <v>0.9973786</v>
      </c>
      <c r="Y4734">
        <v>-0.10424559999999999</v>
      </c>
      <c r="Z4734" s="1">
        <v>-1.255143E-5</v>
      </c>
      <c r="AA4734">
        <v>0.99455159999999998</v>
      </c>
      <c r="AB4734">
        <v>19</v>
      </c>
      <c r="AC4734">
        <v>46.618699999999897</v>
      </c>
      <c r="AD4734">
        <v>2.7155429999999998</v>
      </c>
      <c r="AE4734">
        <v>7.3815600000000003</v>
      </c>
      <c r="AF4734">
        <v>-4.9322383804405803</v>
      </c>
      <c r="AG4734">
        <v>2.7155429999999998</v>
      </c>
      <c r="AH4734">
        <v>46.784486747855397</v>
      </c>
      <c r="AI4734">
        <v>86.696337739093295</v>
      </c>
      <c r="AJ4734">
        <v>96.018157509118694</v>
      </c>
      <c r="AK4734">
        <v>47.122068603644699</v>
      </c>
    </row>
    <row r="4735" spans="1:37" x14ac:dyDescent="0.2">
      <c r="A4735" t="str">
        <f>"20200111160310517"</f>
        <v>20200111160310517</v>
      </c>
      <c r="B4735" t="str">
        <f>"1578729790507405"</f>
        <v>1578729790507405</v>
      </c>
      <c r="C4735" t="s">
        <v>37</v>
      </c>
      <c r="D4735">
        <v>4.7272910000000001</v>
      </c>
      <c r="E4735">
        <v>0.57590600000000003</v>
      </c>
      <c r="F4735" t="s">
        <v>91</v>
      </c>
      <c r="G4735">
        <v>-276.5102</v>
      </c>
      <c r="H4735">
        <v>3.686067</v>
      </c>
      <c r="I4735">
        <v>25.999700000000001</v>
      </c>
      <c r="J4735">
        <v>-320.58519999999999</v>
      </c>
      <c r="K4735">
        <v>1.102519</v>
      </c>
      <c r="L4735">
        <v>19.59845</v>
      </c>
      <c r="M4735">
        <v>0.99871620000000005</v>
      </c>
      <c r="N4735">
        <v>0</v>
      </c>
      <c r="O4735">
        <v>4.887884E-2</v>
      </c>
      <c r="P4735">
        <v>0.99910189999999999</v>
      </c>
      <c r="Q4735">
        <v>-2.1791359999999999E-2</v>
      </c>
      <c r="R4735">
        <v>-3.6340320000000002E-2</v>
      </c>
      <c r="S4735">
        <v>3.0135800000000001</v>
      </c>
      <c r="T4735">
        <v>0.17586959999999999</v>
      </c>
      <c r="U4735">
        <v>0.43627929999999998</v>
      </c>
      <c r="V4735">
        <v>8.5118109999999997E-2</v>
      </c>
      <c r="W4735">
        <v>-8.7160780000000004E-3</v>
      </c>
      <c r="X4735">
        <v>0.99633280000000002</v>
      </c>
      <c r="Y4735">
        <v>-9.4651109999999997E-2</v>
      </c>
      <c r="Z4735" s="1">
        <v>8.7015560000000005E-5</v>
      </c>
      <c r="AA4735">
        <v>0.99551049999999996</v>
      </c>
      <c r="AB4735">
        <v>19</v>
      </c>
      <c r="AC4735">
        <v>44.074999999999903</v>
      </c>
      <c r="AD4735">
        <v>2.583548</v>
      </c>
      <c r="AE4735">
        <v>6.4012500000000001</v>
      </c>
      <c r="AF4735">
        <v>-4.2248554053090901</v>
      </c>
      <c r="AG4735">
        <v>2.583548</v>
      </c>
      <c r="AH4735">
        <v>44.186534858043402</v>
      </c>
      <c r="AI4735">
        <v>86.668932964858001</v>
      </c>
      <c r="AJ4735">
        <v>95.461680649944796</v>
      </c>
      <c r="AK4735">
        <v>44.463175620114697</v>
      </c>
    </row>
    <row r="4736" spans="1:37" x14ac:dyDescent="0.2">
      <c r="A4736" t="str">
        <f>"20200111160310539"</f>
        <v>20200111160310539</v>
      </c>
      <c r="B4736" t="str">
        <f>"1578729790527900"</f>
        <v>1578729790527900</v>
      </c>
      <c r="C4736" t="s">
        <v>37</v>
      </c>
      <c r="D4736">
        <v>4.5738050000000001</v>
      </c>
      <c r="E4736">
        <v>0.59637079999999998</v>
      </c>
      <c r="F4736" t="s">
        <v>39</v>
      </c>
      <c r="G4736">
        <v>-305.17930000000001</v>
      </c>
      <c r="H4736">
        <v>-0.05</v>
      </c>
      <c r="I4736">
        <v>15.94347</v>
      </c>
      <c r="J4736">
        <v>-320.39870000000002</v>
      </c>
      <c r="K4736">
        <v>1.1019589999999999</v>
      </c>
      <c r="L4736">
        <v>19.60483</v>
      </c>
      <c r="M4736">
        <v>0.99884709999999999</v>
      </c>
      <c r="N4736">
        <v>0</v>
      </c>
      <c r="O4736">
        <v>4.5890479999999997E-2</v>
      </c>
      <c r="P4736">
        <v>0.9982607</v>
      </c>
      <c r="Q4736">
        <v>-2.335839E-2</v>
      </c>
      <c r="R4736">
        <v>-5.4133399999999998E-2</v>
      </c>
      <c r="S4736">
        <v>2.9721980000000001</v>
      </c>
      <c r="T4736">
        <v>-0.22234999999999999</v>
      </c>
      <c r="U4736">
        <v>-0.70513919999999997</v>
      </c>
      <c r="V4736">
        <v>9.9873139999999999E-2</v>
      </c>
      <c r="W4736">
        <v>-9.529816E-3</v>
      </c>
      <c r="X4736">
        <v>0.99495449999999996</v>
      </c>
      <c r="Y4736">
        <v>0.27440019999999998</v>
      </c>
      <c r="Z4736">
        <v>-1.3495399999999999E-2</v>
      </c>
      <c r="AA4736">
        <v>0.96152090000000001</v>
      </c>
      <c r="AB4736">
        <v>19</v>
      </c>
      <c r="AC4736">
        <v>15.2194</v>
      </c>
      <c r="AD4736">
        <v>-1.151959</v>
      </c>
      <c r="AE4736">
        <v>-3.66135999999999</v>
      </c>
      <c r="AF4736">
        <v>4.3325336516835904</v>
      </c>
      <c r="AG4736">
        <v>-1.151959</v>
      </c>
      <c r="AH4736">
        <v>14.954338214264</v>
      </c>
      <c r="AI4736">
        <v>94.231554732927094</v>
      </c>
      <c r="AJ4736">
        <v>73.842771921238295</v>
      </c>
      <c r="AK4736">
        <v>15.6118573144661</v>
      </c>
    </row>
    <row r="4737" spans="1:37" x14ac:dyDescent="0.2">
      <c r="A4737" t="str">
        <f>"20200111160310562"</f>
        <v>20200111160310562</v>
      </c>
      <c r="B4737" t="str">
        <f>"1578729790558157"</f>
        <v>1578729790558157</v>
      </c>
      <c r="C4737" t="s">
        <v>37</v>
      </c>
      <c r="D4737">
        <v>4.6555689999999998</v>
      </c>
      <c r="E4737">
        <v>0.60808130000000005</v>
      </c>
      <c r="F4737" t="s">
        <v>39</v>
      </c>
      <c r="G4737">
        <v>-305.46159999999998</v>
      </c>
      <c r="H4737">
        <v>-0.05</v>
      </c>
      <c r="I4737">
        <v>14.939539999999999</v>
      </c>
      <c r="J4737">
        <v>-320.20269999999999</v>
      </c>
      <c r="K4737">
        <v>1.1010279999999999</v>
      </c>
      <c r="L4737">
        <v>19.61093</v>
      </c>
      <c r="M4737">
        <v>0.99895919999999905</v>
      </c>
      <c r="N4737">
        <v>0</v>
      </c>
      <c r="O4737">
        <v>4.2948279999999998E-2</v>
      </c>
      <c r="P4737">
        <v>0.99687579999999998</v>
      </c>
      <c r="Q4737">
        <v>-2.496665E-2</v>
      </c>
      <c r="R4737">
        <v>-7.4936219999999998E-2</v>
      </c>
      <c r="S4737">
        <v>2.949951</v>
      </c>
      <c r="T4737">
        <v>-0.227502599999999</v>
      </c>
      <c r="U4737">
        <v>-0.92135619999999996</v>
      </c>
      <c r="V4737">
        <v>0.1176661</v>
      </c>
      <c r="W4737">
        <v>-9.9557589999999998E-3</v>
      </c>
      <c r="X4737">
        <v>0.99300330000000003</v>
      </c>
      <c r="Y4737">
        <v>0.3378178</v>
      </c>
      <c r="Z4737">
        <v>-1.5941339999999998E-2</v>
      </c>
      <c r="AA4737">
        <v>0.94107649999999998</v>
      </c>
      <c r="AB4737">
        <v>19</v>
      </c>
      <c r="AC4737">
        <v>14.741099999999999</v>
      </c>
      <c r="AD4737">
        <v>-1.1510279999999999</v>
      </c>
      <c r="AE4737">
        <v>-4.6713899999999997</v>
      </c>
      <c r="AF4737">
        <v>5.2710537694820898</v>
      </c>
      <c r="AG4737">
        <v>-1.1510279999999999</v>
      </c>
      <c r="AH4737">
        <v>14.4468001596099</v>
      </c>
      <c r="AI4737">
        <v>94.280449639470504</v>
      </c>
      <c r="AJ4737">
        <v>69.955016642526402</v>
      </c>
      <c r="AK4737">
        <v>15.4213782830608</v>
      </c>
    </row>
    <row r="4738" spans="1:37" x14ac:dyDescent="0.2">
      <c r="A4738" t="str">
        <f>"20200111160310584"</f>
        <v>20200111160310584</v>
      </c>
      <c r="B4738" t="str">
        <f>"1578729790577676"</f>
        <v>1578729790577676</v>
      </c>
      <c r="C4738" t="s">
        <v>37</v>
      </c>
      <c r="D4738">
        <v>4.9974280000000002</v>
      </c>
      <c r="E4738">
        <v>0.60711969999999904</v>
      </c>
      <c r="F4738" t="s">
        <v>39</v>
      </c>
      <c r="G4738">
        <v>-305.84829999999999</v>
      </c>
      <c r="H4738">
        <v>-0.05</v>
      </c>
      <c r="I4738">
        <v>14.327129999999899</v>
      </c>
      <c r="J4738">
        <v>-320.00940000000003</v>
      </c>
      <c r="K4738">
        <v>1.099837</v>
      </c>
      <c r="L4738">
        <v>19.61636</v>
      </c>
      <c r="M4738">
        <v>0.99904319999999902</v>
      </c>
      <c r="N4738">
        <v>0</v>
      </c>
      <c r="O4738">
        <v>4.0267850000000001E-2</v>
      </c>
      <c r="P4738">
        <v>0.99507190000000001</v>
      </c>
      <c r="Q4738">
        <v>-2.557444E-2</v>
      </c>
      <c r="R4738">
        <v>-9.5801780000000003E-2</v>
      </c>
      <c r="S4738">
        <v>2.9226380000000001</v>
      </c>
      <c r="T4738">
        <v>-0.23435520000000001</v>
      </c>
      <c r="U4738">
        <v>-1.075806</v>
      </c>
      <c r="V4738">
        <v>0.13577919999999999</v>
      </c>
      <c r="W4738">
        <v>-8.9740259999999995E-3</v>
      </c>
      <c r="X4738">
        <v>0.99069850000000004</v>
      </c>
      <c r="Y4738">
        <v>0.38175189999999998</v>
      </c>
      <c r="Z4738">
        <v>-1.792525E-2</v>
      </c>
      <c r="AA4738">
        <v>0.924091</v>
      </c>
      <c r="AB4738">
        <v>19</v>
      </c>
      <c r="AC4738">
        <v>14.161099999999999</v>
      </c>
      <c r="AD4738">
        <v>-1.149837</v>
      </c>
      <c r="AE4738">
        <v>-5.2892299999999999</v>
      </c>
      <c r="AF4738">
        <v>5.82157647555377</v>
      </c>
      <c r="AG4738">
        <v>-1.149837</v>
      </c>
      <c r="AH4738">
        <v>13.856423677016799</v>
      </c>
      <c r="AI4738">
        <v>94.374859097926901</v>
      </c>
      <c r="AJ4738">
        <v>67.210991686741806</v>
      </c>
      <c r="AK4738">
        <v>15.073597941575899</v>
      </c>
    </row>
    <row r="4739" spans="1:37" x14ac:dyDescent="0.2">
      <c r="A4739" t="str">
        <f>"20200111160310606"</f>
        <v>20200111160310606</v>
      </c>
      <c r="B4739" t="str">
        <f>"1578729790597705"</f>
        <v>1578729790597705</v>
      </c>
      <c r="C4739" t="s">
        <v>37</v>
      </c>
      <c r="D4739">
        <v>4.8711070000000003</v>
      </c>
      <c r="E4739">
        <v>0.60586189999999995</v>
      </c>
      <c r="F4739" t="s">
        <v>39</v>
      </c>
      <c r="G4739">
        <v>-306.69189999999998</v>
      </c>
      <c r="H4739">
        <v>-0.05</v>
      </c>
      <c r="I4739">
        <v>14.43506</v>
      </c>
      <c r="J4739">
        <v>-319.82319999999999</v>
      </c>
      <c r="K4739">
        <v>1.0984849999999999</v>
      </c>
      <c r="L4739">
        <v>19.620909999999999</v>
      </c>
      <c r="M4739">
        <v>0.99910209999999999</v>
      </c>
      <c r="N4739">
        <v>0</v>
      </c>
      <c r="O4739">
        <v>3.7849090000000002E-2</v>
      </c>
      <c r="P4739">
        <v>0.99228530000000004</v>
      </c>
      <c r="Q4739">
        <v>-2.5342980000000001E-2</v>
      </c>
      <c r="R4739">
        <v>-0.1213588</v>
      </c>
      <c r="S4739">
        <v>2.8998110000000001</v>
      </c>
      <c r="T4739">
        <v>-0.25037039999999999</v>
      </c>
      <c r="U4739">
        <v>-1.128204</v>
      </c>
      <c r="V4739">
        <v>0.1588183</v>
      </c>
      <c r="W4739">
        <v>-6.952616E-3</v>
      </c>
      <c r="X4739">
        <v>0.98728329999999997</v>
      </c>
      <c r="Y4739">
        <v>0.39619779999999999</v>
      </c>
      <c r="Z4739">
        <v>-1.962703E-2</v>
      </c>
      <c r="AA4739">
        <v>0.91795539999999998</v>
      </c>
      <c r="AB4739">
        <v>19</v>
      </c>
      <c r="AC4739">
        <v>13.1313</v>
      </c>
      <c r="AD4739">
        <v>-1.148485</v>
      </c>
      <c r="AE4739">
        <v>-5.1858500000000003</v>
      </c>
      <c r="AF4739">
        <v>5.6418956833691896</v>
      </c>
      <c r="AG4739">
        <v>-1.148485</v>
      </c>
      <c r="AH4739">
        <v>12.840600215309401</v>
      </c>
      <c r="AI4739">
        <v>94.681280296754196</v>
      </c>
      <c r="AJ4739">
        <v>66.280300930818996</v>
      </c>
      <c r="AK4739">
        <v>14.072349433788601</v>
      </c>
    </row>
    <row r="4740" spans="1:37" x14ac:dyDescent="0.2">
      <c r="A4740" t="str">
        <f>"20200111160310627"</f>
        <v>20200111160310627</v>
      </c>
      <c r="B4740" t="str">
        <f>"1578729790618201"</f>
        <v>1578729790618201</v>
      </c>
      <c r="C4740" t="s">
        <v>37</v>
      </c>
      <c r="D4740">
        <v>4.896865</v>
      </c>
      <c r="E4740">
        <v>0.60418249999999996</v>
      </c>
      <c r="F4740" t="s">
        <v>39</v>
      </c>
      <c r="G4740">
        <v>-307.38909999999998</v>
      </c>
      <c r="H4740">
        <v>-0.05</v>
      </c>
      <c r="I4740">
        <v>14.46175</v>
      </c>
      <c r="J4740">
        <v>-319.64</v>
      </c>
      <c r="K4740">
        <v>1.0969879999999901</v>
      </c>
      <c r="L4740">
        <v>19.624849999999999</v>
      </c>
      <c r="M4740">
        <v>0.99914689999999995</v>
      </c>
      <c r="N4740">
        <v>0</v>
      </c>
      <c r="O4740">
        <v>3.5533549999999997E-2</v>
      </c>
      <c r="P4740">
        <v>0.98800739999999998</v>
      </c>
      <c r="Q4740">
        <v>-2.5817059999999999E-2</v>
      </c>
      <c r="R4740">
        <v>-0.1522337</v>
      </c>
      <c r="S4740">
        <v>2.8708800000000001</v>
      </c>
      <c r="T4740">
        <v>-0.26517160000000001</v>
      </c>
      <c r="U4740">
        <v>-1.1911929999999999</v>
      </c>
      <c r="V4740">
        <v>0.18723709999999999</v>
      </c>
      <c r="W4740">
        <v>-5.6811329999999997E-3</v>
      </c>
      <c r="X4740">
        <v>0.98229829999999996</v>
      </c>
      <c r="Y4740">
        <v>0.41418820000000001</v>
      </c>
      <c r="Z4740">
        <v>-2.1486249999999998E-2</v>
      </c>
      <c r="AA4740">
        <v>0.90993760000000001</v>
      </c>
      <c r="AB4740">
        <v>19</v>
      </c>
      <c r="AC4740">
        <v>12.2509</v>
      </c>
      <c r="AD4740">
        <v>-1.1469879999999999</v>
      </c>
      <c r="AE4740">
        <v>-5.1630999999999903</v>
      </c>
      <c r="AF4740">
        <v>5.5539117804285798</v>
      </c>
      <c r="AG4740">
        <v>-1.1469879999999999</v>
      </c>
      <c r="AH4740">
        <v>11.9705531265923</v>
      </c>
      <c r="AI4740">
        <v>94.967547671595298</v>
      </c>
      <c r="AJ4740">
        <v>65.110373232171497</v>
      </c>
      <c r="AK4740">
        <v>13.245967676749601</v>
      </c>
    </row>
    <row r="4741" spans="1:37" x14ac:dyDescent="0.2">
      <c r="A4741" t="str">
        <f>"20200111160310651"</f>
        <v>20200111160310651</v>
      </c>
      <c r="B4741" t="str">
        <f>"1578729790647482"</f>
        <v>1578729790647482</v>
      </c>
      <c r="C4741" t="s">
        <v>37</v>
      </c>
      <c r="D4741">
        <v>4.7522519999999897</v>
      </c>
      <c r="E4741">
        <v>0.60246679999999997</v>
      </c>
      <c r="F4741" t="s">
        <v>39</v>
      </c>
      <c r="G4741">
        <v>-307.84870000000001</v>
      </c>
      <c r="H4741">
        <v>-0.05</v>
      </c>
      <c r="I4741">
        <v>14.356539999999899</v>
      </c>
      <c r="J4741">
        <v>-319.44819999999999</v>
      </c>
      <c r="K4741">
        <v>1.0953079999999999</v>
      </c>
      <c r="L4741">
        <v>19.628299999999999</v>
      </c>
      <c r="M4741">
        <v>0.99919020000000003</v>
      </c>
      <c r="N4741">
        <v>0</v>
      </c>
      <c r="O4741">
        <v>3.3060449999999998E-2</v>
      </c>
      <c r="P4741">
        <v>0.982357699999999</v>
      </c>
      <c r="Q4741">
        <v>-2.5725040000000001E-2</v>
      </c>
      <c r="R4741">
        <v>-0.18523399999999901</v>
      </c>
      <c r="S4741">
        <v>2.834076</v>
      </c>
      <c r="T4741">
        <v>-0.27568350000000003</v>
      </c>
      <c r="U4741">
        <v>-1.2662659999999999</v>
      </c>
      <c r="V4741">
        <v>0.21760689999999999</v>
      </c>
      <c r="W4741">
        <v>-4.0181000000000001E-3</v>
      </c>
      <c r="X4741">
        <v>0.97602819999999901</v>
      </c>
      <c r="Y4741">
        <v>0.43604989999999999</v>
      </c>
      <c r="Z4741">
        <v>-2.3271529999999999E-2</v>
      </c>
      <c r="AA4741">
        <v>0.89962149999999996</v>
      </c>
      <c r="AB4741">
        <v>19</v>
      </c>
      <c r="AC4741">
        <v>11.5994999999999</v>
      </c>
      <c r="AD4741">
        <v>-1.145308</v>
      </c>
      <c r="AE4741">
        <v>-5.2717599999999996</v>
      </c>
      <c r="AF4741">
        <v>5.6071556127541999</v>
      </c>
      <c r="AG4741">
        <v>-1.145308</v>
      </c>
      <c r="AH4741">
        <v>11.327296970161999</v>
      </c>
      <c r="AI4741">
        <v>95.177771996186706</v>
      </c>
      <c r="AJ4741">
        <v>63.664006539730103</v>
      </c>
      <c r="AK4741">
        <v>12.690925148733101</v>
      </c>
    </row>
    <row r="4742" spans="1:37" x14ac:dyDescent="0.2">
      <c r="A4742" t="str">
        <f>"20200111160310674"</f>
        <v>20200111160310674</v>
      </c>
      <c r="B4742" t="str">
        <f>"1578729790667977"</f>
        <v>1578729790667977</v>
      </c>
      <c r="C4742" t="s">
        <v>37</v>
      </c>
      <c r="D4742">
        <v>4.7706059999999999</v>
      </c>
      <c r="E4742">
        <v>0.60095980000000004</v>
      </c>
      <c r="F4742" t="s">
        <v>39</v>
      </c>
      <c r="G4742">
        <v>-307.897999999999</v>
      </c>
      <c r="H4742">
        <v>-0.05</v>
      </c>
      <c r="I4742">
        <v>14.056179999999999</v>
      </c>
      <c r="J4742">
        <v>-319.25380000000001</v>
      </c>
      <c r="K4742">
        <v>1.0935779999999999</v>
      </c>
      <c r="L4742">
        <v>19.6312</v>
      </c>
      <c r="M4742">
        <v>0.99923569999999995</v>
      </c>
      <c r="N4742">
        <v>0</v>
      </c>
      <c r="O4742">
        <v>3.0426430000000001E-2</v>
      </c>
      <c r="P4742">
        <v>0.97638930000000002</v>
      </c>
      <c r="Q4742">
        <v>-2.6106790000000001E-2</v>
      </c>
      <c r="R4742">
        <v>-0.21443570000000001</v>
      </c>
      <c r="S4742">
        <v>2.79260299999999</v>
      </c>
      <c r="T4742">
        <v>-0.27691320000000003</v>
      </c>
      <c r="U4742">
        <v>-1.347229</v>
      </c>
      <c r="V4742">
        <v>0.24404439999999999</v>
      </c>
      <c r="W4742">
        <v>-3.106527E-3</v>
      </c>
      <c r="X4742">
        <v>0.96975900000000004</v>
      </c>
      <c r="Y4742">
        <v>0.45976020000000001</v>
      </c>
      <c r="Z4742">
        <v>-2.4417290000000001E-2</v>
      </c>
      <c r="AA4742">
        <v>0.88770740000000004</v>
      </c>
      <c r="AB4742">
        <v>19</v>
      </c>
      <c r="AC4742">
        <v>11.3558</v>
      </c>
      <c r="AD4742">
        <v>-1.143578</v>
      </c>
      <c r="AE4742">
        <v>-5.5750199999999897</v>
      </c>
      <c r="AF4742">
        <v>5.8700887491262597</v>
      </c>
      <c r="AG4742">
        <v>-1.143578</v>
      </c>
      <c r="AH4742">
        <v>11.0902332290934</v>
      </c>
      <c r="AI4742">
        <v>95.207356644023804</v>
      </c>
      <c r="AJ4742">
        <v>62.107616752993003</v>
      </c>
      <c r="AK4742">
        <v>12.599959747570299</v>
      </c>
    </row>
    <row r="4743" spans="1:37" x14ac:dyDescent="0.2">
      <c r="A4743" t="str">
        <f>"20200111160310697"</f>
        <v>20200111160310697</v>
      </c>
      <c r="B4743" t="str">
        <f>"1578729790687497"</f>
        <v>1578729790687497</v>
      </c>
      <c r="C4743" t="s">
        <v>37</v>
      </c>
      <c r="D4743">
        <v>4.8097919999999998</v>
      </c>
      <c r="E4743">
        <v>0.59890339999999997</v>
      </c>
      <c r="F4743" t="s">
        <v>39</v>
      </c>
      <c r="G4743">
        <v>-307.89620000000002</v>
      </c>
      <c r="H4743">
        <v>-0.05</v>
      </c>
      <c r="I4743">
        <v>13.78149</v>
      </c>
      <c r="J4743">
        <v>-319.06650000000002</v>
      </c>
      <c r="K4743">
        <v>1.0919700000000001</v>
      </c>
      <c r="L4743">
        <v>19.633510000000001</v>
      </c>
      <c r="M4743">
        <v>0.99927869999999996</v>
      </c>
      <c r="N4743">
        <v>0</v>
      </c>
      <c r="O4743">
        <v>2.7784489999999998E-2</v>
      </c>
      <c r="P4743">
        <v>0.97051019999999899</v>
      </c>
      <c r="Q4743">
        <v>-2.8753979999999998E-2</v>
      </c>
      <c r="R4743">
        <v>-0.2393393</v>
      </c>
      <c r="S4743">
        <v>2.7536619999999998</v>
      </c>
      <c r="T4743">
        <v>-0.27726269999999997</v>
      </c>
      <c r="U4743">
        <v>-1.418274</v>
      </c>
      <c r="V4743">
        <v>0.26620670000000002</v>
      </c>
      <c r="W4743">
        <v>-4.6977429999999999E-3</v>
      </c>
      <c r="X4743">
        <v>0.96390450000000005</v>
      </c>
      <c r="Y4743">
        <v>0.48037839999999998</v>
      </c>
      <c r="Z4743">
        <v>-2.5348030000000001E-2</v>
      </c>
      <c r="AA4743">
        <v>0.876695</v>
      </c>
      <c r="AB4743">
        <v>19</v>
      </c>
      <c r="AC4743">
        <v>11.1702999999999</v>
      </c>
      <c r="AD4743">
        <v>-1.1419699999999999</v>
      </c>
      <c r="AE4743">
        <v>-5.8520200000000004</v>
      </c>
      <c r="AF4743">
        <v>6.1101168991439803</v>
      </c>
      <c r="AG4743">
        <v>-1.1419699999999999</v>
      </c>
      <c r="AH4743">
        <v>10.9138332893812</v>
      </c>
      <c r="AI4743">
        <v>95.216673960200495</v>
      </c>
      <c r="AJ4743">
        <v>60.757687381016197</v>
      </c>
      <c r="AK4743">
        <v>12.559832047862299</v>
      </c>
    </row>
    <row r="4744" spans="1:37" x14ac:dyDescent="0.2">
      <c r="A4744" t="str">
        <f>"20200111160310717"</f>
        <v>20200111160310717</v>
      </c>
      <c r="B4744" t="str">
        <f>"1578729790707993"</f>
        <v>1578729790707993</v>
      </c>
      <c r="C4744" t="s">
        <v>37</v>
      </c>
      <c r="D4744">
        <v>4.9514089999999999</v>
      </c>
      <c r="E4744">
        <v>0.56597949999999997</v>
      </c>
      <c r="F4744" t="s">
        <v>39</v>
      </c>
      <c r="G4744">
        <v>-308.33319999999998</v>
      </c>
      <c r="H4744">
        <v>-0.05</v>
      </c>
      <c r="I4744">
        <v>13.827209999999999</v>
      </c>
      <c r="J4744">
        <v>-318.890999999999</v>
      </c>
      <c r="K4744">
        <v>1.0905320000000001</v>
      </c>
      <c r="L4744">
        <v>19.63522</v>
      </c>
      <c r="M4744">
        <v>0.99931689999999995</v>
      </c>
      <c r="N4744">
        <v>0</v>
      </c>
      <c r="O4744">
        <v>2.5222660000000001E-2</v>
      </c>
      <c r="P4744">
        <v>0.96477849999999998</v>
      </c>
      <c r="Q4744">
        <v>-3.2790270000000003E-2</v>
      </c>
      <c r="R4744">
        <v>-0.26101360000000001</v>
      </c>
      <c r="S4744">
        <v>2.719757</v>
      </c>
      <c r="T4744">
        <v>-0.28936840000000003</v>
      </c>
      <c r="U4744">
        <v>-1.4712829999999999</v>
      </c>
      <c r="V4744">
        <v>0.28524829999999901</v>
      </c>
      <c r="W4744">
        <v>-7.8684310000000004E-3</v>
      </c>
      <c r="X4744">
        <v>0.95842129999999903</v>
      </c>
      <c r="Y4744">
        <v>0.49556149999999999</v>
      </c>
      <c r="Z4744">
        <v>-2.712647E-2</v>
      </c>
      <c r="AA4744">
        <v>0.86814919999999995</v>
      </c>
      <c r="AB4744">
        <v>19</v>
      </c>
      <c r="AC4744">
        <v>10.557799999999901</v>
      </c>
      <c r="AD4744">
        <v>-1.1405320000000001</v>
      </c>
      <c r="AE4744">
        <v>-5.8080099999999897</v>
      </c>
      <c r="AF4744">
        <v>6.01863436118213</v>
      </c>
      <c r="AG4744">
        <v>-1.1405320000000001</v>
      </c>
      <c r="AH4744">
        <v>10.3154778359412</v>
      </c>
      <c r="AI4744">
        <v>95.455128278588205</v>
      </c>
      <c r="AJ4744">
        <v>59.738290521601897</v>
      </c>
      <c r="AK4744">
        <v>11.9972436751289</v>
      </c>
    </row>
    <row r="4745" spans="1:37" x14ac:dyDescent="0.2">
      <c r="A4745" t="str">
        <f>"20200111160310740"</f>
        <v>20200111160310740</v>
      </c>
      <c r="B4745" t="str">
        <f>"1578729790727513"</f>
        <v>1578729790727513</v>
      </c>
      <c r="C4745" t="s">
        <v>37</v>
      </c>
      <c r="D4745">
        <v>4.8178000000000001</v>
      </c>
      <c r="E4745">
        <v>0.56349050000000001</v>
      </c>
      <c r="F4745" t="s">
        <v>39</v>
      </c>
      <c r="G4745">
        <v>-309.96280000000002</v>
      </c>
      <c r="H4745">
        <v>-0.05</v>
      </c>
      <c r="I4745">
        <v>15.50536</v>
      </c>
      <c r="J4745">
        <v>-318.707999999999</v>
      </c>
      <c r="K4745">
        <v>1.0890949999999999</v>
      </c>
      <c r="L4745">
        <v>19.63654</v>
      </c>
      <c r="M4745">
        <v>0.99935169999999995</v>
      </c>
      <c r="N4745">
        <v>0</v>
      </c>
      <c r="O4745">
        <v>2.2611470000000002E-2</v>
      </c>
      <c r="P4745">
        <v>0.96246409999999905</v>
      </c>
      <c r="Q4745">
        <v>-3.8256930000000001E-2</v>
      </c>
      <c r="R4745">
        <v>-0.26870040000000001</v>
      </c>
      <c r="S4745">
        <v>2.7530519999999998</v>
      </c>
      <c r="T4745">
        <v>-0.35168959999999999</v>
      </c>
      <c r="U4745">
        <v>-1.273468</v>
      </c>
      <c r="V4745">
        <v>0.29036089999999998</v>
      </c>
      <c r="W4745">
        <v>-1.246976E-2</v>
      </c>
      <c r="X4745">
        <v>0.95683600000000002</v>
      </c>
      <c r="Y4745">
        <v>0.43716159999999998</v>
      </c>
      <c r="Z4745">
        <v>-2.922054E-2</v>
      </c>
      <c r="AA4745">
        <v>0.89890820000000005</v>
      </c>
      <c r="AB4745">
        <v>18</v>
      </c>
      <c r="AC4745">
        <v>8.7451999999999508</v>
      </c>
      <c r="AD4745">
        <v>-1.139095</v>
      </c>
      <c r="AE4745">
        <v>-4.1311799999999899</v>
      </c>
      <c r="AF4745">
        <v>4.26873209917414</v>
      </c>
      <c r="AG4745">
        <v>-1.139095</v>
      </c>
      <c r="AH4745">
        <v>8.5311801292337499</v>
      </c>
      <c r="AI4745">
        <v>96.809308755827502</v>
      </c>
      <c r="AJ4745">
        <v>63.418069676651399</v>
      </c>
      <c r="AK4745">
        <v>9.6073224964595294</v>
      </c>
    </row>
    <row r="4746" spans="1:37" x14ac:dyDescent="0.2">
      <c r="A4746" t="str">
        <f>"20200111160310762"</f>
        <v>20200111160310762</v>
      </c>
      <c r="B4746" t="str">
        <f>"1578729790757770"</f>
        <v>1578729790757770</v>
      </c>
      <c r="C4746" t="s">
        <v>37</v>
      </c>
      <c r="D4746">
        <v>4.7507679999999999</v>
      </c>
      <c r="E4746">
        <v>0.55979909999999999</v>
      </c>
      <c r="F4746" t="s">
        <v>39</v>
      </c>
      <c r="G4746">
        <v>-310.16860000000003</v>
      </c>
      <c r="H4746">
        <v>-0.05</v>
      </c>
      <c r="I4746">
        <v>15.66971</v>
      </c>
      <c r="J4746">
        <v>-318.51850000000002</v>
      </c>
      <c r="K4746">
        <v>1.0876859999999999</v>
      </c>
      <c r="L4746">
        <v>19.637239999999998</v>
      </c>
      <c r="M4746">
        <v>0.99939069999999997</v>
      </c>
      <c r="N4746">
        <v>0</v>
      </c>
      <c r="O4746">
        <v>1.984795E-2</v>
      </c>
      <c r="P4746">
        <v>0.95743769999999995</v>
      </c>
      <c r="Q4746">
        <v>-4.3184090000000001E-2</v>
      </c>
      <c r="R4746">
        <v>-0.28539109999999901</v>
      </c>
      <c r="S4746">
        <v>2.74624599999999</v>
      </c>
      <c r="T4746">
        <v>-0.36633149999999998</v>
      </c>
      <c r="U4746">
        <v>-1.2757259999999999</v>
      </c>
      <c r="V4746">
        <v>0.30428769999999999</v>
      </c>
      <c r="W4746">
        <v>-1.6929590000000001E-2</v>
      </c>
      <c r="X4746">
        <v>0.95242969999999905</v>
      </c>
      <c r="Y4746">
        <v>0.43589129999999998</v>
      </c>
      <c r="Z4746">
        <v>-3.00606E-2</v>
      </c>
      <c r="AA4746">
        <v>0.8994972</v>
      </c>
      <c r="AB4746">
        <v>18</v>
      </c>
      <c r="AC4746">
        <v>8.3498999999999892</v>
      </c>
      <c r="AD4746">
        <v>-1.137686</v>
      </c>
      <c r="AE4746">
        <v>-3.9675299999999898</v>
      </c>
      <c r="AF4746">
        <v>4.07089063192673</v>
      </c>
      <c r="AG4746">
        <v>-1.137686</v>
      </c>
      <c r="AH4746">
        <v>8.1461007579363507</v>
      </c>
      <c r="AI4746">
        <v>97.121017649488394</v>
      </c>
      <c r="AJ4746">
        <v>63.4471026144519</v>
      </c>
      <c r="AK4746">
        <v>9.1774417748169892</v>
      </c>
    </row>
    <row r="4747" spans="1:37" x14ac:dyDescent="0.2">
      <c r="A4747" t="str">
        <f>"20200111160310774"</f>
        <v>20200111160310774</v>
      </c>
      <c r="B4747" t="str">
        <f>"1578729790768506"</f>
        <v>1578729790768506</v>
      </c>
      <c r="C4747" t="s">
        <v>37</v>
      </c>
      <c r="D4747">
        <v>4.808262</v>
      </c>
      <c r="E4747">
        <v>0.55974760000000001</v>
      </c>
      <c r="F4747" t="s">
        <v>39</v>
      </c>
      <c r="G4747">
        <v>-309.9871</v>
      </c>
      <c r="H4747">
        <v>-0.05</v>
      </c>
      <c r="I4747">
        <v>15.59032</v>
      </c>
      <c r="J4747">
        <v>-318.41390000000001</v>
      </c>
      <c r="K4747">
        <v>1.086946</v>
      </c>
      <c r="L4747">
        <v>19.637360000000001</v>
      </c>
      <c r="M4747">
        <v>0.99941619999999998</v>
      </c>
      <c r="N4747">
        <v>0</v>
      </c>
      <c r="O4747">
        <v>1.8140369999999999E-2</v>
      </c>
      <c r="P4747">
        <v>0.95525339999999903</v>
      </c>
      <c r="Q4747">
        <v>-4.5734110000000001E-2</v>
      </c>
      <c r="R4747">
        <v>-0.29223209999999999</v>
      </c>
      <c r="S4747">
        <v>2.730804</v>
      </c>
      <c r="T4747">
        <v>-0.36416209999999999</v>
      </c>
      <c r="U4747">
        <v>-1.29538</v>
      </c>
      <c r="V4747">
        <v>0.30945409999999901</v>
      </c>
      <c r="W4747">
        <v>-1.9299960000000001E-2</v>
      </c>
      <c r="X4747">
        <v>0.95071849999999902</v>
      </c>
      <c r="Y4747">
        <v>0.44157780000000002</v>
      </c>
      <c r="Z4747">
        <v>-3.0135499999999999E-2</v>
      </c>
      <c r="AA4747">
        <v>0.89671669999999903</v>
      </c>
      <c r="AB4747">
        <v>18</v>
      </c>
      <c r="AC4747">
        <v>8.4268000000000107</v>
      </c>
      <c r="AD4747">
        <v>-1.136946</v>
      </c>
      <c r="AE4747">
        <v>-4.0470399999999902</v>
      </c>
      <c r="AF4747">
        <v>4.13809310890682</v>
      </c>
      <c r="AG4747">
        <v>-1.136946</v>
      </c>
      <c r="AH4747">
        <v>8.2302269029225208</v>
      </c>
      <c r="AI4747">
        <v>97.035890658343504</v>
      </c>
      <c r="AJ4747">
        <v>63.307111145157002</v>
      </c>
      <c r="AK4747">
        <v>9.2818691899039294</v>
      </c>
    </row>
    <row r="4748" spans="1:37" x14ac:dyDescent="0.2">
      <c r="A4748" t="str">
        <f>"20200111160310787"</f>
        <v>20200111160310787</v>
      </c>
      <c r="B4748" t="str">
        <f>"1578729790778265"</f>
        <v>1578729790778265</v>
      </c>
      <c r="C4748" t="s">
        <v>37</v>
      </c>
      <c r="D4748">
        <v>4.9704769999999998</v>
      </c>
      <c r="E4748">
        <v>0.55974760000000001</v>
      </c>
      <c r="F4748" t="s">
        <v>39</v>
      </c>
      <c r="G4748">
        <v>-310.05290000000002</v>
      </c>
      <c r="H4748">
        <v>-0.05</v>
      </c>
      <c r="I4748">
        <v>15.60017</v>
      </c>
      <c r="J4748">
        <v>-318.3075</v>
      </c>
      <c r="K4748">
        <v>1.0862069999999999</v>
      </c>
      <c r="L4748">
        <v>19.637329999999999</v>
      </c>
      <c r="M4748">
        <v>0.99944330000000003</v>
      </c>
      <c r="N4748">
        <v>0</v>
      </c>
      <c r="O4748">
        <v>1.6265999999999999E-2</v>
      </c>
      <c r="P4748">
        <v>0.95293249999999996</v>
      </c>
      <c r="Q4748">
        <v>-4.7333960000000001E-2</v>
      </c>
      <c r="R4748">
        <v>-0.29946509999999998</v>
      </c>
      <c r="S4748">
        <v>2.7208860000000001</v>
      </c>
      <c r="T4748">
        <v>-0.36999270000000001</v>
      </c>
      <c r="U4748">
        <v>-1.313812</v>
      </c>
      <c r="V4748">
        <v>0.31486379999999897</v>
      </c>
      <c r="W4748">
        <v>-2.0766960000000001E-2</v>
      </c>
      <c r="X4748">
        <v>0.94890959999999902</v>
      </c>
      <c r="Y4748">
        <v>0.44596140000000001</v>
      </c>
      <c r="Z4748">
        <v>-3.0712409999999999E-2</v>
      </c>
      <c r="AA4748">
        <v>0.89452509999999996</v>
      </c>
      <c r="AB4748">
        <v>19</v>
      </c>
      <c r="AC4748">
        <v>8.2545999999999804</v>
      </c>
      <c r="AD4748">
        <v>-1.136207</v>
      </c>
      <c r="AE4748">
        <v>-4.0371599999999903</v>
      </c>
      <c r="AF4748">
        <v>4.1081419913313297</v>
      </c>
      <c r="AG4748">
        <v>-1.136207</v>
      </c>
      <c r="AH4748">
        <v>8.0645116026381594</v>
      </c>
      <c r="AI4748">
        <v>97.155452747471102</v>
      </c>
      <c r="AJ4748">
        <v>63.005256536067499</v>
      </c>
      <c r="AK4748">
        <v>9.1216305755535991</v>
      </c>
    </row>
    <row r="4749" spans="1:37" x14ac:dyDescent="0.2">
      <c r="A4749" t="str">
        <f>"20200111160310800"</f>
        <v>20200111160310800</v>
      </c>
      <c r="B4749" t="str">
        <f>"1578729790797786"</f>
        <v>1578729790797786</v>
      </c>
      <c r="C4749" t="s">
        <v>37</v>
      </c>
      <c r="D4749">
        <v>4.895219</v>
      </c>
      <c r="E4749">
        <v>0.56199529999999998</v>
      </c>
      <c r="F4749" t="s">
        <v>39</v>
      </c>
      <c r="G4749">
        <v>-310.11720000000003</v>
      </c>
      <c r="H4749">
        <v>-0.05</v>
      </c>
      <c r="I4749">
        <v>15.606870000000001</v>
      </c>
      <c r="J4749">
        <v>-318.20319999999998</v>
      </c>
      <c r="K4749">
        <v>1.085431</v>
      </c>
      <c r="L4749">
        <v>19.636990000000001</v>
      </c>
      <c r="M4749">
        <v>0.99946869999999999</v>
      </c>
      <c r="N4749">
        <v>0</v>
      </c>
      <c r="O4749">
        <v>1.4323880000000001E-2</v>
      </c>
      <c r="P4749">
        <v>0.95064599999999899</v>
      </c>
      <c r="Q4749">
        <v>-4.8655070000000002E-2</v>
      </c>
      <c r="R4749">
        <v>-0.30643890000000001</v>
      </c>
      <c r="S4749">
        <v>2.710388</v>
      </c>
      <c r="T4749">
        <v>-0.37599890000000002</v>
      </c>
      <c r="U4749">
        <v>-1.33377099999999</v>
      </c>
      <c r="V4749">
        <v>0.31995809999999902</v>
      </c>
      <c r="W4749">
        <v>-2.2008079999999999E-2</v>
      </c>
      <c r="X4749">
        <v>0.94717600000000002</v>
      </c>
      <c r="Y4749">
        <v>0.45074799999999998</v>
      </c>
      <c r="Z4749">
        <v>-3.1326099999999898E-2</v>
      </c>
      <c r="AA4749">
        <v>0.89210140000000004</v>
      </c>
      <c r="AB4749">
        <v>19</v>
      </c>
      <c r="AC4749">
        <v>8.0859999999999506</v>
      </c>
      <c r="AD4749">
        <v>-1.1354310000000001</v>
      </c>
      <c r="AE4749">
        <v>-4.0301200000000001</v>
      </c>
      <c r="AF4749">
        <v>4.0811208215009902</v>
      </c>
      <c r="AG4749">
        <v>-1.1354310000000001</v>
      </c>
      <c r="AH4749">
        <v>7.9026029371985897</v>
      </c>
      <c r="AI4749">
        <v>97.275017799012005</v>
      </c>
      <c r="AJ4749">
        <v>62.686929489096102</v>
      </c>
      <c r="AK4749">
        <v>8.96637518167012</v>
      </c>
    </row>
    <row r="4750" spans="1:37" x14ac:dyDescent="0.2">
      <c r="A4750" t="str">
        <f>"20200111160310819"</f>
        <v>20200111160310819</v>
      </c>
      <c r="B4750" t="str">
        <f>"1578729790807546"</f>
        <v>1578729790807546</v>
      </c>
      <c r="C4750" t="s">
        <v>37</v>
      </c>
      <c r="D4750">
        <v>4.9202149999999998</v>
      </c>
      <c r="E4750">
        <v>0.5985916</v>
      </c>
      <c r="F4750" t="s">
        <v>39</v>
      </c>
      <c r="G4750">
        <v>-310.36450000000002</v>
      </c>
      <c r="H4750">
        <v>-0.05</v>
      </c>
      <c r="I4750">
        <v>15.65347</v>
      </c>
      <c r="J4750">
        <v>-318.0471</v>
      </c>
      <c r="K4750">
        <v>1.084149</v>
      </c>
      <c r="L4750">
        <v>19.63608</v>
      </c>
      <c r="M4750">
        <v>0.99950119999999898</v>
      </c>
      <c r="N4750">
        <v>0</v>
      </c>
      <c r="O4750">
        <v>1.1391490000000001E-2</v>
      </c>
      <c r="P4750">
        <v>0.94688609999999895</v>
      </c>
      <c r="Q4750">
        <v>-4.9828039999999997E-2</v>
      </c>
      <c r="R4750">
        <v>-0.317685099999999</v>
      </c>
      <c r="S4750">
        <v>2.6944270000000001</v>
      </c>
      <c r="T4750">
        <v>-0.39028390000000002</v>
      </c>
      <c r="U4750">
        <v>-1.3692629999999999</v>
      </c>
      <c r="V4750">
        <v>0.32837719999999998</v>
      </c>
      <c r="W4750">
        <v>-2.3165740000000001E-2</v>
      </c>
      <c r="X4750">
        <v>0.94426259999999995</v>
      </c>
      <c r="Y4750">
        <v>0.45925709999999997</v>
      </c>
      <c r="Z4750">
        <v>-3.2766499999999997E-2</v>
      </c>
      <c r="AA4750">
        <v>0.88769880000000001</v>
      </c>
      <c r="AB4750">
        <v>19</v>
      </c>
      <c r="AC4750">
        <v>7.6825999999999697</v>
      </c>
      <c r="AD4750">
        <v>-1.1341490000000001</v>
      </c>
      <c r="AE4750">
        <v>-3.98260999999999</v>
      </c>
      <c r="AF4750">
        <v>4.00117635732762</v>
      </c>
      <c r="AG4750">
        <v>-1.1341490000000001</v>
      </c>
      <c r="AH4750">
        <v>7.5077509187549198</v>
      </c>
      <c r="AI4750">
        <v>97.593517980295303</v>
      </c>
      <c r="AJ4750">
        <v>61.945087777154001</v>
      </c>
      <c r="AK4750">
        <v>8.5826586821744204</v>
      </c>
    </row>
    <row r="4751" spans="1:37" x14ac:dyDescent="0.2">
      <c r="A4751" t="str">
        <f>"20200111160310841"</f>
        <v>20200111160310841</v>
      </c>
      <c r="B4751" t="str">
        <f>"1578729790828042"</f>
        <v>1578729790828042</v>
      </c>
      <c r="C4751" t="s">
        <v>37</v>
      </c>
      <c r="D4751">
        <v>4.8674559999999998</v>
      </c>
      <c r="E4751">
        <v>0.59676960000000001</v>
      </c>
      <c r="F4751" t="s">
        <v>39</v>
      </c>
      <c r="G4751">
        <v>-311.44909999999999</v>
      </c>
      <c r="H4751">
        <v>-0.05</v>
      </c>
      <c r="I4751">
        <v>15.36084</v>
      </c>
      <c r="J4751">
        <v>-317.86590000000001</v>
      </c>
      <c r="K4751">
        <v>1.082406</v>
      </c>
      <c r="L4751">
        <v>19.634219999999999</v>
      </c>
      <c r="M4751">
        <v>0.99953269999999905</v>
      </c>
      <c r="N4751">
        <v>0</v>
      </c>
      <c r="O4751">
        <v>8.0283030000000005E-3</v>
      </c>
      <c r="P4751">
        <v>0.94291519999999995</v>
      </c>
      <c r="Q4751">
        <v>-4.9906599999999898E-2</v>
      </c>
      <c r="R4751">
        <v>-0.32927259999999903</v>
      </c>
      <c r="S4751">
        <v>2.583313</v>
      </c>
      <c r="T4751">
        <v>-0.44405319999999998</v>
      </c>
      <c r="U4751">
        <v>-1.673889</v>
      </c>
      <c r="V4751">
        <v>0.33674679999999901</v>
      </c>
      <c r="W4751">
        <v>-2.345649E-2</v>
      </c>
      <c r="X4751">
        <v>0.941303</v>
      </c>
      <c r="Y4751">
        <v>0.54477869999999995</v>
      </c>
      <c r="Z4751">
        <v>-4.3743339999999999E-2</v>
      </c>
      <c r="AA4751">
        <v>0.83743819999999902</v>
      </c>
      <c r="AB4751">
        <v>18</v>
      </c>
      <c r="AC4751">
        <v>6.4168000000000198</v>
      </c>
      <c r="AD4751">
        <v>-1.132406</v>
      </c>
      <c r="AE4751">
        <v>-4.2733800000000004</v>
      </c>
      <c r="AF4751">
        <v>4.2334448829058999</v>
      </c>
      <c r="AG4751">
        <v>-1.132406</v>
      </c>
      <c r="AH4751">
        <v>6.2474819461259301</v>
      </c>
      <c r="AI4751">
        <v>98.533713129666495</v>
      </c>
      <c r="AJ4751">
        <v>55.877483320934701</v>
      </c>
      <c r="AK4751">
        <v>7.6312141624126602</v>
      </c>
    </row>
    <row r="4752" spans="1:37" x14ac:dyDescent="0.2">
      <c r="A4752" t="str">
        <f>"20200111160310855"</f>
        <v>20200111160310855</v>
      </c>
      <c r="B4752" t="str">
        <f>"1578729790848538"</f>
        <v>1578729790848538</v>
      </c>
      <c r="C4752" t="s">
        <v>37</v>
      </c>
      <c r="D4752">
        <v>4.8131550000000001</v>
      </c>
      <c r="E4752">
        <v>0.59489639999999999</v>
      </c>
      <c r="F4752" t="s">
        <v>39</v>
      </c>
      <c r="G4752">
        <v>-311.17360000000002</v>
      </c>
      <c r="H4752">
        <v>-0.05</v>
      </c>
      <c r="I4752">
        <v>15.22359</v>
      </c>
      <c r="J4752">
        <v>-317.7457</v>
      </c>
      <c r="K4752">
        <v>1.0811120000000001</v>
      </c>
      <c r="L4752">
        <v>19.632479999999902</v>
      </c>
      <c r="M4752">
        <v>0.99955229999999995</v>
      </c>
      <c r="N4752">
        <v>0</v>
      </c>
      <c r="O4752">
        <v>5.8093529999999997E-3</v>
      </c>
      <c r="P4752">
        <v>0.94108639999999999</v>
      </c>
      <c r="Q4752">
        <v>-4.9639379999999997E-2</v>
      </c>
      <c r="R4752">
        <v>-0.33450400000000002</v>
      </c>
      <c r="S4752">
        <v>2.567688</v>
      </c>
      <c r="T4752">
        <v>-0.43448049999999999</v>
      </c>
      <c r="U4752">
        <v>-1.692261</v>
      </c>
      <c r="V4752">
        <v>0.3398719</v>
      </c>
      <c r="W4752">
        <v>-2.3480709999999998E-2</v>
      </c>
      <c r="X4752">
        <v>0.94017859999999998</v>
      </c>
      <c r="Y4752">
        <v>0.54961740000000003</v>
      </c>
      <c r="Z4752">
        <v>-4.2981249999999999E-2</v>
      </c>
      <c r="AA4752">
        <v>0.83431010000000005</v>
      </c>
      <c r="AB4752">
        <v>18</v>
      </c>
      <c r="AC4752">
        <v>6.5720999999999696</v>
      </c>
      <c r="AD4752">
        <v>-1.1311119999999999</v>
      </c>
      <c r="AE4752">
        <v>-4.4088899999999898</v>
      </c>
      <c r="AF4752">
        <v>4.3579872238019997</v>
      </c>
      <c r="AG4752">
        <v>-1.1311119999999999</v>
      </c>
      <c r="AH4752">
        <v>6.4153139341818504</v>
      </c>
      <c r="AI4752">
        <v>98.297844085924694</v>
      </c>
      <c r="AJ4752">
        <v>55.811338319262703</v>
      </c>
      <c r="AK4752">
        <v>7.8375838032823202</v>
      </c>
    </row>
    <row r="4753" spans="1:37" x14ac:dyDescent="0.2">
      <c r="A4753" t="str">
        <f>"20200111160310870"</f>
        <v>20200111160310870</v>
      </c>
      <c r="B4753" t="str">
        <f>"1578729790868058"</f>
        <v>1578729790868058</v>
      </c>
      <c r="C4753" t="s">
        <v>37</v>
      </c>
      <c r="D4753">
        <v>4.750807</v>
      </c>
      <c r="E4753">
        <v>0.59274759999999904</v>
      </c>
      <c r="F4753" t="s">
        <v>39</v>
      </c>
      <c r="G4753">
        <v>-310.90989999999999</v>
      </c>
      <c r="H4753">
        <v>-0.05</v>
      </c>
      <c r="I4753">
        <v>15.118639999999999</v>
      </c>
      <c r="J4753">
        <v>-317.6241</v>
      </c>
      <c r="K4753">
        <v>1.079723</v>
      </c>
      <c r="L4753">
        <v>19.63034</v>
      </c>
      <c r="M4753">
        <v>0.99957119999999999</v>
      </c>
      <c r="N4753">
        <v>0</v>
      </c>
      <c r="O4753">
        <v>3.546652E-3</v>
      </c>
      <c r="P4753">
        <v>0.93926739999999997</v>
      </c>
      <c r="Q4753">
        <v>-4.895795E-2</v>
      </c>
      <c r="R4753">
        <v>-0.3396769</v>
      </c>
      <c r="S4753">
        <v>2.5636899999999998</v>
      </c>
      <c r="T4753">
        <v>-0.4242127</v>
      </c>
      <c r="U4753">
        <v>-1.692871</v>
      </c>
      <c r="V4753">
        <v>0.34290529999999902</v>
      </c>
      <c r="W4753">
        <v>-2.3227999999999999E-2</v>
      </c>
      <c r="X4753">
        <v>0.9390828</v>
      </c>
      <c r="Y4753">
        <v>0.548745699999999</v>
      </c>
      <c r="Z4753">
        <v>-4.162312E-2</v>
      </c>
      <c r="AA4753">
        <v>0.83495249999999999</v>
      </c>
      <c r="AB4753">
        <v>18</v>
      </c>
      <c r="AC4753">
        <v>6.7141999999999999</v>
      </c>
      <c r="AD4753">
        <v>-1.129723</v>
      </c>
      <c r="AE4753">
        <v>-4.5117000000000003</v>
      </c>
      <c r="AF4753">
        <v>4.4487258385248198</v>
      </c>
      <c r="AG4753">
        <v>-1.129723</v>
      </c>
      <c r="AH4753">
        <v>6.5700069324668204</v>
      </c>
      <c r="AI4753">
        <v>98.103380715918206</v>
      </c>
      <c r="AJ4753">
        <v>55.897029775449496</v>
      </c>
      <c r="AK4753">
        <v>8.0145135058685604</v>
      </c>
    </row>
    <row r="4754" spans="1:37" x14ac:dyDescent="0.2">
      <c r="A4754" t="str">
        <f>"20200111160310886"</f>
        <v>20200111160310886</v>
      </c>
      <c r="B4754" t="str">
        <f>"1578729790877818"</f>
        <v>1578729790877818</v>
      </c>
      <c r="C4754" t="s">
        <v>37</v>
      </c>
      <c r="D4754">
        <v>4.756939</v>
      </c>
      <c r="E4754">
        <v>0.59183839999999999</v>
      </c>
      <c r="F4754" t="s">
        <v>39</v>
      </c>
      <c r="G4754">
        <v>-310.62060000000002</v>
      </c>
      <c r="H4754">
        <v>-0.05</v>
      </c>
      <c r="I4754">
        <v>15.00385</v>
      </c>
      <c r="J4754">
        <v>-317.4873</v>
      </c>
      <c r="K4754">
        <v>1.078084</v>
      </c>
      <c r="L4754">
        <v>19.627320000000001</v>
      </c>
      <c r="M4754">
        <v>0.99959240000000005</v>
      </c>
      <c r="N4754">
        <v>0</v>
      </c>
      <c r="O4754">
        <v>8.8190399999999998E-4</v>
      </c>
      <c r="P4754">
        <v>0.93607499999999999</v>
      </c>
      <c r="Q4754">
        <v>-4.6279559999999997E-2</v>
      </c>
      <c r="R4754">
        <v>-0.34874470000000002</v>
      </c>
      <c r="S4754">
        <v>2.5606689999999999</v>
      </c>
      <c r="T4754">
        <v>-0.4130548</v>
      </c>
      <c r="U4754">
        <v>-1.691559</v>
      </c>
      <c r="V4754">
        <v>0.34947149999999999</v>
      </c>
      <c r="W4754">
        <v>-2.1243419999999999E-2</v>
      </c>
      <c r="X4754">
        <v>0.93670609999999999</v>
      </c>
      <c r="Y4754">
        <v>0.54698179999999996</v>
      </c>
      <c r="Z4754">
        <v>-4.0065589999999998E-2</v>
      </c>
      <c r="AA4754">
        <v>0.83618519999999896</v>
      </c>
      <c r="AB4754">
        <v>18</v>
      </c>
      <c r="AC4754">
        <v>6.8666999999999803</v>
      </c>
      <c r="AD4754">
        <v>-1.1280840000000001</v>
      </c>
      <c r="AE4754">
        <v>-4.6234700000000002</v>
      </c>
      <c r="AF4754">
        <v>4.54512299052762</v>
      </c>
      <c r="AG4754">
        <v>-1.1280840000000001</v>
      </c>
      <c r="AH4754">
        <v>6.7375020360848898</v>
      </c>
      <c r="AI4754">
        <v>97.902323002701195</v>
      </c>
      <c r="AJ4754">
        <v>55.996373523590499</v>
      </c>
      <c r="AK4754">
        <v>8.2051599738412602</v>
      </c>
    </row>
    <row r="4755" spans="1:37" x14ac:dyDescent="0.2">
      <c r="A4755" t="str">
        <f>"20200111160310900"</f>
        <v>20200111160310900</v>
      </c>
      <c r="B4755" t="str">
        <f>"1578729790887577"</f>
        <v>1578729790887577</v>
      </c>
      <c r="C4755" t="s">
        <v>37</v>
      </c>
      <c r="D4755">
        <v>4.750731</v>
      </c>
      <c r="E4755">
        <v>0.59183839999999999</v>
      </c>
      <c r="F4755" t="s">
        <v>39</v>
      </c>
      <c r="G4755">
        <v>-310.3544</v>
      </c>
      <c r="H4755">
        <v>-0.05</v>
      </c>
      <c r="I4755">
        <v>14.8410799999999</v>
      </c>
      <c r="J4755">
        <v>-317.3793</v>
      </c>
      <c r="K4755">
        <v>1.076778</v>
      </c>
      <c r="L4755">
        <v>19.62463</v>
      </c>
      <c r="M4755">
        <v>0.99960539999999998</v>
      </c>
      <c r="N4755">
        <v>0</v>
      </c>
      <c r="O4755">
        <v>-1.3237559999999999E-3</v>
      </c>
      <c r="P4755">
        <v>0.93434709999999999</v>
      </c>
      <c r="Q4755">
        <v>-4.3623919999999997E-2</v>
      </c>
      <c r="R4755">
        <v>-0.353684</v>
      </c>
      <c r="S4755">
        <v>2.547974</v>
      </c>
      <c r="T4755">
        <v>-0.40296850000000001</v>
      </c>
      <c r="U4755">
        <v>-1.7097169999999999</v>
      </c>
      <c r="V4755">
        <v>0.352356</v>
      </c>
      <c r="W4755">
        <v>-1.9121590000000001E-2</v>
      </c>
      <c r="X4755">
        <v>0.93567069999999997</v>
      </c>
      <c r="Y4755">
        <v>0.5513728</v>
      </c>
      <c r="Z4755">
        <v>-3.9186279999999997E-2</v>
      </c>
      <c r="AA4755">
        <v>0.83333809999999997</v>
      </c>
      <c r="AB4755">
        <v>18</v>
      </c>
      <c r="AC4755">
        <v>7.0248999999999997</v>
      </c>
      <c r="AD4755">
        <v>-1.1267780000000001</v>
      </c>
      <c r="AE4755">
        <v>-4.78355</v>
      </c>
      <c r="AF4755">
        <v>4.6917746347115701</v>
      </c>
      <c r="AG4755">
        <v>-1.1267780000000001</v>
      </c>
      <c r="AH4755">
        <v>6.9097741154738701</v>
      </c>
      <c r="AI4755">
        <v>97.683349377374</v>
      </c>
      <c r="AJ4755">
        <v>55.823279645076497</v>
      </c>
      <c r="AK4755">
        <v>8.4277729093206908</v>
      </c>
    </row>
    <row r="4756" spans="1:37" x14ac:dyDescent="0.2">
      <c r="A4756" t="str">
        <f>"20200111160310914"</f>
        <v>20200111160310914</v>
      </c>
      <c r="B4756" t="str">
        <f>"1578729790908075"</f>
        <v>1578729790908075</v>
      </c>
      <c r="C4756" t="s">
        <v>37</v>
      </c>
      <c r="D4756">
        <v>4.7066879999999998</v>
      </c>
      <c r="E4756">
        <v>0.58084239999999998</v>
      </c>
      <c r="F4756" t="s">
        <v>39</v>
      </c>
      <c r="G4756">
        <v>-310.1395</v>
      </c>
      <c r="H4756">
        <v>-0.05</v>
      </c>
      <c r="I4756">
        <v>14.7126</v>
      </c>
      <c r="J4756">
        <v>-317.25670000000002</v>
      </c>
      <c r="K4756">
        <v>1.0752889999999999</v>
      </c>
      <c r="L4756">
        <v>19.621279999999999</v>
      </c>
      <c r="M4756">
        <v>0.99961409999999995</v>
      </c>
      <c r="N4756">
        <v>0</v>
      </c>
      <c r="O4756">
        <v>-3.9222019999999996E-3</v>
      </c>
      <c r="P4756">
        <v>0.93240619999999996</v>
      </c>
      <c r="Q4756">
        <v>-4.1098389999999999E-2</v>
      </c>
      <c r="R4756">
        <v>-0.3590679</v>
      </c>
      <c r="S4756">
        <v>2.540009</v>
      </c>
      <c r="T4756">
        <v>-0.39531529999999998</v>
      </c>
      <c r="U4756">
        <v>-1.723328</v>
      </c>
      <c r="V4756">
        <v>0.35532419999999998</v>
      </c>
      <c r="W4756">
        <v>-1.71982E-2</v>
      </c>
      <c r="X4756">
        <v>0.93458490000000005</v>
      </c>
      <c r="Y4756">
        <v>0.55365710000000001</v>
      </c>
      <c r="Z4756">
        <v>-3.8291980000000003E-2</v>
      </c>
      <c r="AA4756">
        <v>0.83186389999999999</v>
      </c>
      <c r="AB4756">
        <v>18</v>
      </c>
      <c r="AC4756">
        <v>7.11720000000002</v>
      </c>
      <c r="AD4756">
        <v>-1.125289</v>
      </c>
      <c r="AE4756">
        <v>-4.9086799999999897</v>
      </c>
      <c r="AF4756">
        <v>4.7994134757726803</v>
      </c>
      <c r="AG4756">
        <v>-1.125289</v>
      </c>
      <c r="AH4756">
        <v>7.0175269397816598</v>
      </c>
      <c r="AI4756">
        <v>97.5398096793907</v>
      </c>
      <c r="AJ4756">
        <v>55.631070258132901</v>
      </c>
      <c r="AK4756">
        <v>8.5759156593048793</v>
      </c>
    </row>
    <row r="4757" spans="1:37" x14ac:dyDescent="0.2">
      <c r="A4757" t="str">
        <f>"20200111160310930"</f>
        <v>20200111160310930</v>
      </c>
      <c r="B4757" t="str">
        <f>"1578729790917834"</f>
        <v>1578729790917834</v>
      </c>
      <c r="C4757" t="s">
        <v>37</v>
      </c>
      <c r="D4757">
        <v>4.7545989999999998</v>
      </c>
      <c r="E4757">
        <v>0.58049050000000002</v>
      </c>
      <c r="F4757" t="s">
        <v>39</v>
      </c>
      <c r="G4757">
        <v>-308.93630000000002</v>
      </c>
      <c r="H4757">
        <v>-0.05</v>
      </c>
      <c r="I4757">
        <v>14.2332</v>
      </c>
      <c r="J4757">
        <v>-317.13470000000001</v>
      </c>
      <c r="K4757">
        <v>1.0738099999999999</v>
      </c>
      <c r="L4757">
        <v>19.617650000000001</v>
      </c>
      <c r="M4757">
        <v>0.99961529999999998</v>
      </c>
      <c r="N4757">
        <v>0</v>
      </c>
      <c r="O4757">
        <v>-6.6229130000000002E-3</v>
      </c>
      <c r="P4757">
        <v>0.92972199999999905</v>
      </c>
      <c r="Q4757">
        <v>-3.5389469999999999E-2</v>
      </c>
      <c r="R4757">
        <v>-0.3665582</v>
      </c>
      <c r="S4757">
        <v>2.5630189999999899</v>
      </c>
      <c r="T4757">
        <v>-0.34663739999999998</v>
      </c>
      <c r="U4757">
        <v>-1.6597599999999999</v>
      </c>
      <c r="V4757">
        <v>0.36033330000000002</v>
      </c>
      <c r="W4757">
        <v>-1.211069E-2</v>
      </c>
      <c r="X4757">
        <v>0.93274500000000005</v>
      </c>
      <c r="Y4757">
        <v>0.53459899999999905</v>
      </c>
      <c r="Z4757">
        <v>-3.2064740000000001E-2</v>
      </c>
      <c r="AA4757">
        <v>0.84449739999999995</v>
      </c>
      <c r="AB4757">
        <v>18</v>
      </c>
      <c r="AC4757">
        <v>8.1983999999999906</v>
      </c>
      <c r="AD4757">
        <v>-1.12381</v>
      </c>
      <c r="AE4757">
        <v>-5.3844500000000002</v>
      </c>
      <c r="AF4757">
        <v>5.2609514812809302</v>
      </c>
      <c r="AG4757">
        <v>-1.12381</v>
      </c>
      <c r="AH4757">
        <v>8.1272035629817694</v>
      </c>
      <c r="AI4757">
        <v>96.621236321250706</v>
      </c>
      <c r="AJ4757">
        <v>57.083961562761999</v>
      </c>
      <c r="AK4757">
        <v>9.7463837990628903</v>
      </c>
    </row>
    <row r="4758" spans="1:37" x14ac:dyDescent="0.2">
      <c r="A4758" t="str">
        <f>"20200111160310952"</f>
        <v>20200111160310952</v>
      </c>
      <c r="B4758" t="str">
        <f>"1578729790948090"</f>
        <v>1578729790948090</v>
      </c>
      <c r="C4758" t="s">
        <v>37</v>
      </c>
      <c r="D4758">
        <v>4.5827939999999998</v>
      </c>
      <c r="E4758">
        <v>0.58490969999999998</v>
      </c>
      <c r="F4758" t="s">
        <v>39</v>
      </c>
      <c r="G4758">
        <v>-308.59649999999999</v>
      </c>
      <c r="H4758">
        <v>-0.05</v>
      </c>
      <c r="I4758">
        <v>14.007389999999999</v>
      </c>
      <c r="J4758">
        <v>-316.94959999999998</v>
      </c>
      <c r="K4758">
        <v>1.0715330000000001</v>
      </c>
      <c r="L4758">
        <v>19.611270000000001</v>
      </c>
      <c r="M4758">
        <v>0.99960119999999897</v>
      </c>
      <c r="N4758">
        <v>0</v>
      </c>
      <c r="O4758">
        <v>-1.099115E-2</v>
      </c>
      <c r="P4758">
        <v>0.92655580000000004</v>
      </c>
      <c r="Q4758">
        <v>-3.024491E-2</v>
      </c>
      <c r="R4758">
        <v>-0.37493989999999999</v>
      </c>
      <c r="S4758">
        <v>2.552673</v>
      </c>
      <c r="T4758">
        <v>-0.33598810000000001</v>
      </c>
      <c r="U4758">
        <v>-1.6773069999999899</v>
      </c>
      <c r="V4758">
        <v>0.3646933</v>
      </c>
      <c r="W4758">
        <v>-7.9292140000000004E-3</v>
      </c>
      <c r="X4758">
        <v>0.93109390000000003</v>
      </c>
      <c r="Y4758">
        <v>0.53675289999999998</v>
      </c>
      <c r="Z4758">
        <v>-3.0745689999999999E-2</v>
      </c>
      <c r="AA4758">
        <v>0.84317909999999996</v>
      </c>
      <c r="AB4758">
        <v>18</v>
      </c>
      <c r="AC4758">
        <v>8.35309999999998</v>
      </c>
      <c r="AD4758">
        <v>-1.1215329999999999</v>
      </c>
      <c r="AE4758">
        <v>-5.6038800000000002</v>
      </c>
      <c r="AF4758">
        <v>5.4440202568109397</v>
      </c>
      <c r="AG4758">
        <v>-1.1215329999999999</v>
      </c>
      <c r="AH4758">
        <v>8.3108885155913992</v>
      </c>
      <c r="AI4758">
        <v>96.440556471549598</v>
      </c>
      <c r="AJ4758">
        <v>56.773328059548199</v>
      </c>
      <c r="AK4758">
        <v>9.9983028932537295</v>
      </c>
    </row>
    <row r="4759" spans="1:37" x14ac:dyDescent="0.2">
      <c r="A4759" t="str">
        <f>"20200111160310966"</f>
        <v>20200111160310966</v>
      </c>
      <c r="B4759" t="str">
        <f>"1578729790957851"</f>
        <v>1578729790957851</v>
      </c>
      <c r="C4759" t="s">
        <v>37</v>
      </c>
      <c r="D4759">
        <v>4.5847030000000002</v>
      </c>
      <c r="E4759">
        <v>0.58430950000000004</v>
      </c>
      <c r="F4759" t="s">
        <v>39</v>
      </c>
      <c r="G4759">
        <v>-305.4298</v>
      </c>
      <c r="H4759">
        <v>-0.05</v>
      </c>
      <c r="I4759">
        <v>11.67323</v>
      </c>
      <c r="J4759">
        <v>-316.83510000000001</v>
      </c>
      <c r="K4759">
        <v>1.0701129999999901</v>
      </c>
      <c r="L4759">
        <v>19.606960000000001</v>
      </c>
      <c r="M4759">
        <v>0.99958259999999899</v>
      </c>
      <c r="N4759">
        <v>0</v>
      </c>
      <c r="O4759">
        <v>-1.378039E-2</v>
      </c>
      <c r="P4759">
        <v>0.924714699999999</v>
      </c>
      <c r="Q4759">
        <v>-2.8301110000000001E-2</v>
      </c>
      <c r="R4759">
        <v>-0.379608</v>
      </c>
      <c r="S4759">
        <v>2.5255429999999999</v>
      </c>
      <c r="T4759">
        <v>-0.2458794</v>
      </c>
      <c r="U4759">
        <v>-1.7402949999999999</v>
      </c>
      <c r="V4759">
        <v>0.36679450000000002</v>
      </c>
      <c r="W4759">
        <v>-6.6395909999999898E-3</v>
      </c>
      <c r="X4759">
        <v>0.9302783</v>
      </c>
      <c r="Y4759">
        <v>0.55427590000000004</v>
      </c>
      <c r="Z4759">
        <v>-2.3117240000000001E-2</v>
      </c>
      <c r="AA4759">
        <v>0.83201190000000003</v>
      </c>
      <c r="AB4759">
        <v>18</v>
      </c>
      <c r="AC4759">
        <v>11.4053</v>
      </c>
      <c r="AD4759">
        <v>-1.1201129999999999</v>
      </c>
      <c r="AE4759">
        <v>-7.9337299999999997</v>
      </c>
      <c r="AF4759">
        <v>7.72554034864151</v>
      </c>
      <c r="AG4759">
        <v>-1.1201129999999999</v>
      </c>
      <c r="AH4759">
        <v>11.439227032278399</v>
      </c>
      <c r="AI4759">
        <v>94.639177490881593</v>
      </c>
      <c r="AJ4759">
        <v>55.9666748839592</v>
      </c>
      <c r="AK4759">
        <v>13.8489906457931</v>
      </c>
    </row>
    <row r="4760" spans="1:37" x14ac:dyDescent="0.2">
      <c r="A4760" t="str">
        <f>"20200111160310980"</f>
        <v>20200111160310980</v>
      </c>
      <c r="B4760" t="str">
        <f>"1578729790978346"</f>
        <v>1578729790978346</v>
      </c>
      <c r="C4760" t="s">
        <v>37</v>
      </c>
      <c r="D4760">
        <v>4.572063</v>
      </c>
      <c r="E4760">
        <v>0.58311880000000005</v>
      </c>
      <c r="F4760" t="s">
        <v>39</v>
      </c>
      <c r="G4760">
        <v>-305.30810000000002</v>
      </c>
      <c r="H4760">
        <v>-0.05</v>
      </c>
      <c r="I4760">
        <v>11.60751</v>
      </c>
      <c r="J4760">
        <v>-316.7296</v>
      </c>
      <c r="K4760">
        <v>1.068808</v>
      </c>
      <c r="L4760">
        <v>19.602509999999999</v>
      </c>
      <c r="M4760">
        <v>0.99955839999999996</v>
      </c>
      <c r="N4760">
        <v>0</v>
      </c>
      <c r="O4760">
        <v>-1.639827E-2</v>
      </c>
      <c r="P4760">
        <v>0.92303480000000004</v>
      </c>
      <c r="Q4760">
        <v>-2.6530720000000001E-2</v>
      </c>
      <c r="R4760">
        <v>-0.38380059999999999</v>
      </c>
      <c r="S4760">
        <v>2.5190730000000001</v>
      </c>
      <c r="T4760">
        <v>-0.24478510000000001</v>
      </c>
      <c r="U4760">
        <v>-1.7481689999999901</v>
      </c>
      <c r="V4760">
        <v>0.36858340000000001</v>
      </c>
      <c r="W4760">
        <v>-5.52511699999999E-3</v>
      </c>
      <c r="X4760">
        <v>0.92957829999999997</v>
      </c>
      <c r="Y4760">
        <v>0.55487330000000001</v>
      </c>
      <c r="Z4760">
        <v>-2.2842379999999999E-2</v>
      </c>
      <c r="AA4760">
        <v>0.83162119999999995</v>
      </c>
      <c r="AB4760">
        <v>18</v>
      </c>
      <c r="AC4760">
        <v>11.421499999999901</v>
      </c>
      <c r="AD4760">
        <v>-1.118808</v>
      </c>
      <c r="AE4760">
        <v>-7.9950000000000001</v>
      </c>
      <c r="AF4760">
        <v>7.7566219392214002</v>
      </c>
      <c r="AG4760">
        <v>-1.118808</v>
      </c>
      <c r="AH4760">
        <v>11.477195555172001</v>
      </c>
      <c r="AI4760">
        <v>94.617522316179205</v>
      </c>
      <c r="AJ4760">
        <v>55.9480305776111</v>
      </c>
      <c r="AK4760">
        <v>13.897587310772099</v>
      </c>
    </row>
    <row r="4761" spans="1:37" x14ac:dyDescent="0.2">
      <c r="A4761" t="str">
        <f>"20200111160310997"</f>
        <v>20200111160310997</v>
      </c>
      <c r="B4761" t="str">
        <f>"1578729790988106"</f>
        <v>1578729790988106</v>
      </c>
      <c r="C4761" t="s">
        <v>37</v>
      </c>
      <c r="D4761">
        <v>4.5817769999999998</v>
      </c>
      <c r="E4761">
        <v>0.58311880000000005</v>
      </c>
      <c r="F4761" t="s">
        <v>39</v>
      </c>
      <c r="G4761">
        <v>-305.51</v>
      </c>
      <c r="H4761">
        <v>-0.05</v>
      </c>
      <c r="I4761">
        <v>11.7977899999999</v>
      </c>
      <c r="J4761">
        <v>-316.59019999999998</v>
      </c>
      <c r="K4761">
        <v>1.0671219999999999</v>
      </c>
      <c r="L4761">
        <v>19.596219999999999</v>
      </c>
      <c r="M4761">
        <v>0.99951489999999998</v>
      </c>
      <c r="N4761">
        <v>0</v>
      </c>
      <c r="O4761">
        <v>-1.990227E-2</v>
      </c>
      <c r="P4761">
        <v>0.92037780000000002</v>
      </c>
      <c r="Q4761">
        <v>-2.4564289999999999E-2</v>
      </c>
      <c r="R4761">
        <v>-0.39025789999999999</v>
      </c>
      <c r="S4761">
        <v>2.5153810000000001</v>
      </c>
      <c r="T4761">
        <v>-0.2508321</v>
      </c>
      <c r="U4761">
        <v>-1.7497860000000001</v>
      </c>
      <c r="V4761">
        <v>0.37183829999999901</v>
      </c>
      <c r="W4761">
        <v>-4.4620090000000003E-3</v>
      </c>
      <c r="X4761">
        <v>0.92828679999999997</v>
      </c>
      <c r="Y4761">
        <v>0.55282259999999905</v>
      </c>
      <c r="Z4761">
        <v>-2.3023269999999998E-2</v>
      </c>
      <c r="AA4761">
        <v>0.83298090000000002</v>
      </c>
      <c r="AB4761">
        <v>18</v>
      </c>
      <c r="AC4761">
        <v>11.0801999999999</v>
      </c>
      <c r="AD4761">
        <v>-1.1171219999999999</v>
      </c>
      <c r="AE4761">
        <v>-7.7984299999999998</v>
      </c>
      <c r="AF4761">
        <v>7.5251464933519197</v>
      </c>
      <c r="AG4761">
        <v>-1.1171219999999999</v>
      </c>
      <c r="AH4761">
        <v>11.157410570939801</v>
      </c>
      <c r="AI4761">
        <v>94.745158631526493</v>
      </c>
      <c r="AJ4761">
        <v>56.002195245910102</v>
      </c>
      <c r="AK4761">
        <v>13.504206824460599</v>
      </c>
    </row>
    <row r="4762" spans="1:37" x14ac:dyDescent="0.2">
      <c r="A4762" t="str">
        <f>"20200111160311019"</f>
        <v>20200111160311019</v>
      </c>
      <c r="B4762" t="str">
        <f>"1578729791007625"</f>
        <v>1578729791007625</v>
      </c>
      <c r="C4762" t="s">
        <v>37</v>
      </c>
      <c r="D4762">
        <v>4.5846770000000001</v>
      </c>
      <c r="E4762">
        <v>0.57639010000000002</v>
      </c>
      <c r="F4762" t="s">
        <v>39</v>
      </c>
      <c r="G4762">
        <v>-305.1936</v>
      </c>
      <c r="H4762">
        <v>-0.05</v>
      </c>
      <c r="I4762">
        <v>11.55128</v>
      </c>
      <c r="J4762">
        <v>-316.41590000000002</v>
      </c>
      <c r="K4762">
        <v>1.065123</v>
      </c>
      <c r="L4762">
        <v>19.587399999999999</v>
      </c>
      <c r="M4762">
        <v>0.99943859999999995</v>
      </c>
      <c r="N4762">
        <v>0</v>
      </c>
      <c r="O4762">
        <v>-2.4404530000000001E-2</v>
      </c>
      <c r="P4762">
        <v>0.91737179999999996</v>
      </c>
      <c r="Q4762">
        <v>-2.3694949999999999E-2</v>
      </c>
      <c r="R4762">
        <v>-0.3973256</v>
      </c>
      <c r="S4762">
        <v>2.50360099999999</v>
      </c>
      <c r="T4762">
        <v>-0.24540819999999999</v>
      </c>
      <c r="U4762">
        <v>-1.7673029999999901</v>
      </c>
      <c r="V4762">
        <v>0.3747915</v>
      </c>
      <c r="W4762">
        <v>-4.6934919999999996E-3</v>
      </c>
      <c r="X4762">
        <v>0.92709730000000001</v>
      </c>
      <c r="Y4762">
        <v>0.55488970000000004</v>
      </c>
      <c r="Z4762">
        <v>-2.226933E-2</v>
      </c>
      <c r="AA4762">
        <v>0.83162579999999997</v>
      </c>
      <c r="AB4762">
        <v>18</v>
      </c>
      <c r="AC4762">
        <v>11.222300000000001</v>
      </c>
      <c r="AD4762">
        <v>-1.1151230000000001</v>
      </c>
      <c r="AE4762">
        <v>-8.0361199999999897</v>
      </c>
      <c r="AF4762">
        <v>7.7094593223599599</v>
      </c>
      <c r="AG4762">
        <v>-1.1151230000000001</v>
      </c>
      <c r="AH4762">
        <v>11.341103062958901</v>
      </c>
      <c r="AI4762">
        <v>94.648864204154407</v>
      </c>
      <c r="AJ4762">
        <v>55.792903394499398</v>
      </c>
      <c r="AK4762">
        <v>13.758629329730001</v>
      </c>
    </row>
    <row r="4763" spans="1:37" x14ac:dyDescent="0.2">
      <c r="A4763" t="str">
        <f>"20200111160311033"</f>
        <v>20200111160311033</v>
      </c>
      <c r="B4763" t="str">
        <f>"1578729791028122"</f>
        <v>1578729791028122</v>
      </c>
      <c r="C4763" t="s">
        <v>37</v>
      </c>
      <c r="D4763">
        <v>4.595129</v>
      </c>
      <c r="E4763">
        <v>0.57563880000000001</v>
      </c>
      <c r="F4763" t="s">
        <v>39</v>
      </c>
      <c r="G4763">
        <v>-306.40910000000002</v>
      </c>
      <c r="H4763">
        <v>-0.05</v>
      </c>
      <c r="I4763">
        <v>12.68163</v>
      </c>
      <c r="J4763">
        <v>-316.30380000000002</v>
      </c>
      <c r="K4763">
        <v>1.063925</v>
      </c>
      <c r="L4763">
        <v>19.58127</v>
      </c>
      <c r="M4763">
        <v>0.99937529999999997</v>
      </c>
      <c r="N4763">
        <v>0</v>
      </c>
      <c r="O4763">
        <v>-2.7381099999999998E-2</v>
      </c>
      <c r="P4763">
        <v>0.915512199999999</v>
      </c>
      <c r="Q4763">
        <v>-2.3142679999999999E-2</v>
      </c>
      <c r="R4763">
        <v>-0.40162500000000001</v>
      </c>
      <c r="S4763">
        <v>2.5120849999999999</v>
      </c>
      <c r="T4763">
        <v>-0.27993820000000003</v>
      </c>
      <c r="U4763">
        <v>-1.7336119999999999</v>
      </c>
      <c r="V4763">
        <v>0.37637729999999903</v>
      </c>
      <c r="W4763">
        <v>-4.8070719999999999E-3</v>
      </c>
      <c r="X4763">
        <v>0.926454</v>
      </c>
      <c r="Y4763">
        <v>0.54307729999999999</v>
      </c>
      <c r="Z4763">
        <v>-2.451598E-2</v>
      </c>
      <c r="AA4763">
        <v>0.83932479999999998</v>
      </c>
      <c r="AB4763">
        <v>18</v>
      </c>
      <c r="AC4763">
        <v>9.8947000000000003</v>
      </c>
      <c r="AD4763">
        <v>-1.1139250000000001</v>
      </c>
      <c r="AE4763">
        <v>-6.8996399999999998</v>
      </c>
      <c r="AF4763">
        <v>6.5700308293176803</v>
      </c>
      <c r="AG4763">
        <v>-1.1139250000000001</v>
      </c>
      <c r="AH4763">
        <v>9.9947257833333207</v>
      </c>
      <c r="AI4763">
        <v>95.320700093440195</v>
      </c>
      <c r="AJ4763">
        <v>56.681089685284</v>
      </c>
      <c r="AK4763">
        <v>12.012521695624001</v>
      </c>
    </row>
    <row r="4764" spans="1:37" x14ac:dyDescent="0.2">
      <c r="A4764" t="str">
        <f>"20200111160311045"</f>
        <v>20200111160311045</v>
      </c>
      <c r="B4764" t="str">
        <f>"1578729791037883"</f>
        <v>1578729791037883</v>
      </c>
      <c r="C4764" t="s">
        <v>37</v>
      </c>
      <c r="D4764">
        <v>4.6072300000000004</v>
      </c>
      <c r="E4764">
        <v>0.57565419999999901</v>
      </c>
      <c r="F4764" t="s">
        <v>39</v>
      </c>
      <c r="G4764">
        <v>-306.12630000000001</v>
      </c>
      <c r="H4764">
        <v>-0.05</v>
      </c>
      <c r="I4764">
        <v>12.514889999999999</v>
      </c>
      <c r="J4764">
        <v>-316.20060000000001</v>
      </c>
      <c r="K4764">
        <v>1.0628869999999999</v>
      </c>
      <c r="L4764">
        <v>19.575129999999898</v>
      </c>
      <c r="M4764">
        <v>0.99930540000000001</v>
      </c>
      <c r="N4764">
        <v>0</v>
      </c>
      <c r="O4764">
        <v>-3.0200669999999999E-2</v>
      </c>
      <c r="P4764">
        <v>0.91371659999999899</v>
      </c>
      <c r="Q4764">
        <v>-2.292102E-2</v>
      </c>
      <c r="R4764">
        <v>-0.40570459999999903</v>
      </c>
      <c r="S4764">
        <v>2.5065</v>
      </c>
      <c r="T4764">
        <v>-0.27433489999999999</v>
      </c>
      <c r="U4764">
        <v>-1.7402949999999999</v>
      </c>
      <c r="V4764">
        <v>0.37789279999999997</v>
      </c>
      <c r="W4764">
        <v>-5.1590129999999996E-3</v>
      </c>
      <c r="X4764">
        <v>0.92583499999999996</v>
      </c>
      <c r="Y4764">
        <v>0.54319099999999998</v>
      </c>
      <c r="Z4764">
        <v>-2.3784110000000001E-2</v>
      </c>
      <c r="AA4764">
        <v>0.83927229999999997</v>
      </c>
      <c r="AB4764">
        <v>18</v>
      </c>
      <c r="AC4764">
        <v>10.0742999999999</v>
      </c>
      <c r="AD4764">
        <v>-1.112887</v>
      </c>
      <c r="AE4764">
        <v>-7.0602399999999896</v>
      </c>
      <c r="AF4764">
        <v>6.6978810059583198</v>
      </c>
      <c r="AG4764">
        <v>-1.112887</v>
      </c>
      <c r="AH4764">
        <v>10.1995070062941</v>
      </c>
      <c r="AI4764">
        <v>95.211212702967302</v>
      </c>
      <c r="AJ4764">
        <v>56.707624787536602</v>
      </c>
      <c r="AK4764">
        <v>12.2527576739356</v>
      </c>
    </row>
    <row r="4765" spans="1:37" x14ac:dyDescent="0.2">
      <c r="A4765" t="str">
        <f>"20200111160311057"</f>
        <v>20200111160311057</v>
      </c>
      <c r="B4765" t="str">
        <f>"1578729791047642"</f>
        <v>1578729791047642</v>
      </c>
      <c r="C4765" t="s">
        <v>37</v>
      </c>
      <c r="D4765">
        <v>4.5636510000000001</v>
      </c>
      <c r="E4765">
        <v>0.57651600000000003</v>
      </c>
      <c r="F4765" t="s">
        <v>39</v>
      </c>
      <c r="G4765">
        <v>-306.10590000000002</v>
      </c>
      <c r="H4765">
        <v>-0.05</v>
      </c>
      <c r="I4765">
        <v>12.50055</v>
      </c>
      <c r="J4765">
        <v>-316.10829999999999</v>
      </c>
      <c r="K4765">
        <v>1.0620209999999899</v>
      </c>
      <c r="L4765">
        <v>19.569310000000002</v>
      </c>
      <c r="M4765">
        <v>0.99923259999999903</v>
      </c>
      <c r="N4765">
        <v>0</v>
      </c>
      <c r="O4765">
        <v>-3.2805819999999999E-2</v>
      </c>
      <c r="P4765">
        <v>0.91194769999999903</v>
      </c>
      <c r="Q4765">
        <v>-2.318717E-2</v>
      </c>
      <c r="R4765">
        <v>-0.40965039999999903</v>
      </c>
      <c r="S4765">
        <v>2.49880999999999</v>
      </c>
      <c r="T4765">
        <v>-0.27548070000000002</v>
      </c>
      <c r="U4765">
        <v>-1.7512209999999999</v>
      </c>
      <c r="V4765">
        <v>0.37947509999999901</v>
      </c>
      <c r="W4765">
        <v>-5.9097230000000004E-3</v>
      </c>
      <c r="X4765">
        <v>0.92518310000000004</v>
      </c>
      <c r="Y4765">
        <v>0.54466369999999997</v>
      </c>
      <c r="Z4765">
        <v>-2.3732570000000001E-2</v>
      </c>
      <c r="AA4765">
        <v>0.83831869999999997</v>
      </c>
      <c r="AB4765">
        <v>18</v>
      </c>
      <c r="AC4765">
        <v>10.0023999999999</v>
      </c>
      <c r="AD4765">
        <v>-1.1120209999999999</v>
      </c>
      <c r="AE4765">
        <v>-7.0687600000000002</v>
      </c>
      <c r="AF4765">
        <v>6.6816637767759701</v>
      </c>
      <c r="AG4765">
        <v>-1.1120209999999999</v>
      </c>
      <c r="AH4765">
        <v>10.145334336082099</v>
      </c>
      <c r="AI4765">
        <v>95.230272432747398</v>
      </c>
      <c r="AJ4765">
        <v>56.6313101527615</v>
      </c>
      <c r="AK4765">
        <v>12.1987306848379</v>
      </c>
    </row>
    <row r="4766" spans="1:37" x14ac:dyDescent="0.2">
      <c r="A4766" t="str">
        <f>"20200111160311070"</f>
        <v>20200111160311070</v>
      </c>
      <c r="B4766" t="str">
        <f>"1578729791057402"</f>
        <v>1578729791057402</v>
      </c>
      <c r="C4766" t="s">
        <v>37</v>
      </c>
      <c r="D4766">
        <v>4.6941739999999896</v>
      </c>
      <c r="E4766">
        <v>0.5768354</v>
      </c>
      <c r="F4766" t="s">
        <v>39</v>
      </c>
      <c r="G4766">
        <v>-305.9298</v>
      </c>
      <c r="H4766">
        <v>-0.05</v>
      </c>
      <c r="I4766">
        <v>12.33426</v>
      </c>
      <c r="J4766">
        <v>-316.0095</v>
      </c>
      <c r="K4766">
        <v>1.0611250000000001</v>
      </c>
      <c r="L4766">
        <v>19.562899999999999</v>
      </c>
      <c r="M4766">
        <v>0.99914519999999996</v>
      </c>
      <c r="N4766">
        <v>0</v>
      </c>
      <c r="O4766">
        <v>-3.5639650000000002E-2</v>
      </c>
      <c r="P4766">
        <v>0.9100606</v>
      </c>
      <c r="Q4766">
        <v>-2.3674879999999999E-2</v>
      </c>
      <c r="R4766">
        <v>-0.41379929999999898</v>
      </c>
      <c r="S4766">
        <v>2.488251</v>
      </c>
      <c r="T4766">
        <v>-0.27184469999999999</v>
      </c>
      <c r="U4766">
        <v>-1.7686770000000001</v>
      </c>
      <c r="V4766">
        <v>0.38105650000000002</v>
      </c>
      <c r="W4766">
        <v>-6.8994669999999899E-3</v>
      </c>
      <c r="X4766">
        <v>0.92452599999999996</v>
      </c>
      <c r="Y4766">
        <v>0.54792369999999901</v>
      </c>
      <c r="Z4766">
        <v>-2.3342999999999999E-2</v>
      </c>
      <c r="AA4766">
        <v>0.83620260000000002</v>
      </c>
      <c r="AB4766">
        <v>18</v>
      </c>
      <c r="AC4766">
        <v>10.079700000000001</v>
      </c>
      <c r="AD4766">
        <v>-1.1111249999999999</v>
      </c>
      <c r="AE4766">
        <v>-7.2286399999999897</v>
      </c>
      <c r="AF4766">
        <v>6.8100823351625301</v>
      </c>
      <c r="AG4766">
        <v>-1.1111249999999999</v>
      </c>
      <c r="AH4766">
        <v>10.248735321415699</v>
      </c>
      <c r="AI4766">
        <v>95.159725432498007</v>
      </c>
      <c r="AJ4766">
        <v>56.396746601493298</v>
      </c>
      <c r="AK4766">
        <v>12.35509594725</v>
      </c>
    </row>
    <row r="4767" spans="1:37" x14ac:dyDescent="0.2">
      <c r="A4767" t="str">
        <f>"20200111160311085"</f>
        <v>20200111160311085</v>
      </c>
      <c r="B4767" t="str">
        <f>"1578729791077897"</f>
        <v>1578729791077897</v>
      </c>
      <c r="C4767" t="s">
        <v>37</v>
      </c>
      <c r="D4767">
        <v>4.6652389999999997</v>
      </c>
      <c r="E4767">
        <v>0.58520689999999997</v>
      </c>
      <c r="F4767" t="s">
        <v>39</v>
      </c>
      <c r="G4767">
        <v>-305.92669999999998</v>
      </c>
      <c r="H4767">
        <v>-0.05</v>
      </c>
      <c r="I4767">
        <v>12.313599999999999</v>
      </c>
      <c r="J4767">
        <v>-315.87549999999999</v>
      </c>
      <c r="K4767">
        <v>1.0600149999999999</v>
      </c>
      <c r="L4767">
        <v>19.553339999999999</v>
      </c>
      <c r="M4767">
        <v>0.99900460000000002</v>
      </c>
      <c r="N4767">
        <v>0</v>
      </c>
      <c r="O4767">
        <v>-3.9673880000000002E-2</v>
      </c>
      <c r="P4767">
        <v>0.90711219999999904</v>
      </c>
      <c r="Q4767">
        <v>-2.295649E-2</v>
      </c>
      <c r="R4767">
        <v>-0.42026199999999903</v>
      </c>
      <c r="S4767">
        <v>2.4789729999999999</v>
      </c>
      <c r="T4767">
        <v>-0.27318209999999998</v>
      </c>
      <c r="U4767">
        <v>-1.7823180000000001</v>
      </c>
      <c r="V4767">
        <v>0.38389629999999902</v>
      </c>
      <c r="W4767">
        <v>-6.8301940000000004E-3</v>
      </c>
      <c r="X4767">
        <v>0.92335089999999997</v>
      </c>
      <c r="Y4767">
        <v>0.54905649999999995</v>
      </c>
      <c r="Z4767">
        <v>-2.3155869999999999E-2</v>
      </c>
      <c r="AA4767">
        <v>0.8354644</v>
      </c>
      <c r="AB4767">
        <v>18</v>
      </c>
      <c r="AC4767">
        <v>9.9488000000000003</v>
      </c>
      <c r="AD4767">
        <v>-1.110015</v>
      </c>
      <c r="AE4767">
        <v>-7.2397399999999896</v>
      </c>
      <c r="AF4767">
        <v>6.7840350421350903</v>
      </c>
      <c r="AG4767">
        <v>-1.110015</v>
      </c>
      <c r="AH4767">
        <v>10.1456798326972</v>
      </c>
      <c r="AI4767">
        <v>95.196685769772699</v>
      </c>
      <c r="AJ4767">
        <v>56.230840378516</v>
      </c>
      <c r="AK4767">
        <v>12.2552064046568</v>
      </c>
    </row>
    <row r="4768" spans="1:37" x14ac:dyDescent="0.2">
      <c r="A4768" t="str">
        <f>"20200111160311099"</f>
        <v>20200111160311099</v>
      </c>
      <c r="B4768" t="str">
        <f>"1578729791087659"</f>
        <v>1578729791087659</v>
      </c>
      <c r="C4768" t="s">
        <v>37</v>
      </c>
      <c r="D4768">
        <v>4.5994910000000004</v>
      </c>
      <c r="E4768">
        <v>0.58583989999999997</v>
      </c>
      <c r="F4768" t="s">
        <v>39</v>
      </c>
      <c r="G4768">
        <v>-301.86189999999999</v>
      </c>
      <c r="H4768">
        <v>-0.05</v>
      </c>
      <c r="I4768">
        <v>8.8095250000000007</v>
      </c>
      <c r="J4768">
        <v>-315.77429999999998</v>
      </c>
      <c r="K4768">
        <v>1.0592459999999999</v>
      </c>
      <c r="L4768">
        <v>19.545649999999998</v>
      </c>
      <c r="M4768">
        <v>0.99888239999999995</v>
      </c>
      <c r="N4768">
        <v>0</v>
      </c>
      <c r="O4768">
        <v>-4.2828980000000003E-2</v>
      </c>
      <c r="P4768">
        <v>0.90527610000000003</v>
      </c>
      <c r="Q4768">
        <v>-2.2163789999999999E-2</v>
      </c>
      <c r="R4768">
        <v>-0.42424529999999899</v>
      </c>
      <c r="S4768">
        <v>2.4367679999999998</v>
      </c>
      <c r="T4768">
        <v>-0.19301550000000001</v>
      </c>
      <c r="U4768">
        <v>-1.8681950000000001</v>
      </c>
      <c r="V4768">
        <v>0.38503939999999998</v>
      </c>
      <c r="W4768">
        <v>-6.4875569999999997E-3</v>
      </c>
      <c r="X4768">
        <v>0.92287739999999996</v>
      </c>
      <c r="Y4768">
        <v>0.57284040000000003</v>
      </c>
      <c r="Z4768">
        <v>-1.7066600000000001E-2</v>
      </c>
      <c r="AA4768">
        <v>0.81948920000000003</v>
      </c>
      <c r="AB4768">
        <v>18</v>
      </c>
      <c r="AC4768">
        <v>13.9123999999999</v>
      </c>
      <c r="AD4768">
        <v>-1.109246</v>
      </c>
      <c r="AE4768">
        <v>-10.7361249999999</v>
      </c>
      <c r="AF4768">
        <v>10.0900948859066</v>
      </c>
      <c r="AG4768">
        <v>-1.109246</v>
      </c>
      <c r="AH4768">
        <v>14.3025527439692</v>
      </c>
      <c r="AI4768">
        <v>93.626142411298005</v>
      </c>
      <c r="AJ4768">
        <v>54.797983742847499</v>
      </c>
      <c r="AK4768">
        <v>17.5386275543195</v>
      </c>
    </row>
    <row r="4769" spans="1:37" x14ac:dyDescent="0.2">
      <c r="A4769" t="str">
        <f>"20200111160311113"</f>
        <v>20200111160311113</v>
      </c>
      <c r="B4769" t="str">
        <f>"1578729791108153"</f>
        <v>1578729791108153</v>
      </c>
      <c r="C4769" t="s">
        <v>37</v>
      </c>
      <c r="D4769">
        <v>4.693676</v>
      </c>
      <c r="E4769">
        <v>0.58562999999999998</v>
      </c>
      <c r="F4769" t="s">
        <v>39</v>
      </c>
      <c r="G4769">
        <v>-301.81360000000001</v>
      </c>
      <c r="H4769">
        <v>-0.05</v>
      </c>
      <c r="I4769">
        <v>8.7093959999999999</v>
      </c>
      <c r="J4769">
        <v>-315.67059999999998</v>
      </c>
      <c r="K4769">
        <v>1.058489</v>
      </c>
      <c r="L4769">
        <v>19.537479999999999</v>
      </c>
      <c r="M4769">
        <v>0.99874319999999905</v>
      </c>
      <c r="N4769">
        <v>0</v>
      </c>
      <c r="O4769">
        <v>-4.6125529999999998E-2</v>
      </c>
      <c r="P4769">
        <v>0.90336459999999996</v>
      </c>
      <c r="Q4769">
        <v>-2.121141E-2</v>
      </c>
      <c r="R4769">
        <v>-0.42834879999999997</v>
      </c>
      <c r="S4769">
        <v>2.4264830000000002</v>
      </c>
      <c r="T4769">
        <v>-0.1927953</v>
      </c>
      <c r="U4769">
        <v>-1.8834229999999901</v>
      </c>
      <c r="V4769">
        <v>0.38618279999999999</v>
      </c>
      <c r="W4769">
        <v>-5.9822460000000001E-3</v>
      </c>
      <c r="X4769">
        <v>0.92240290000000003</v>
      </c>
      <c r="Y4769">
        <v>0.57503219999999899</v>
      </c>
      <c r="Z4769">
        <v>-1.6923279999999999E-2</v>
      </c>
      <c r="AA4769">
        <v>0.81795569999999995</v>
      </c>
      <c r="AB4769">
        <v>18</v>
      </c>
      <c r="AC4769">
        <v>13.8569999999999</v>
      </c>
      <c r="AD4769">
        <v>-1.1084889999999901</v>
      </c>
      <c r="AE4769">
        <v>-10.828084</v>
      </c>
      <c r="AF4769">
        <v>10.1369946634507</v>
      </c>
      <c r="AG4769">
        <v>-1.1084889999999901</v>
      </c>
      <c r="AH4769">
        <v>14.2850363782384</v>
      </c>
      <c r="AI4769">
        <v>93.621035529726299</v>
      </c>
      <c r="AJ4769">
        <v>54.639600343989997</v>
      </c>
      <c r="AK4769">
        <v>17.5513439085884</v>
      </c>
    </row>
    <row r="4770" spans="1:37" x14ac:dyDescent="0.2">
      <c r="A4770" t="str">
        <f>"20200111160311126"</f>
        <v>20200111160311126</v>
      </c>
      <c r="B4770" t="str">
        <f>"1578729791117914"</f>
        <v>1578729791117914</v>
      </c>
      <c r="C4770" t="s">
        <v>37</v>
      </c>
      <c r="D4770">
        <v>4.6586939999999997</v>
      </c>
      <c r="E4770">
        <v>0.58558069999999995</v>
      </c>
      <c r="F4770" t="s">
        <v>39</v>
      </c>
      <c r="G4770">
        <v>-301.59449999999998</v>
      </c>
      <c r="H4770">
        <v>-0.05</v>
      </c>
      <c r="I4770">
        <v>8.5221099999999996</v>
      </c>
      <c r="J4770">
        <v>-315.55630000000002</v>
      </c>
      <c r="K4770">
        <v>1.0577219999999901</v>
      </c>
      <c r="L4770">
        <v>19.527889999999999</v>
      </c>
      <c r="M4770">
        <v>0.99857079999999998</v>
      </c>
      <c r="N4770">
        <v>0</v>
      </c>
      <c r="O4770">
        <v>-4.9875639999999999E-2</v>
      </c>
      <c r="P4770">
        <v>0.90125290000000002</v>
      </c>
      <c r="Q4770">
        <v>-2.0922469999999999E-2</v>
      </c>
      <c r="R4770">
        <v>-0.43278829999999902</v>
      </c>
      <c r="S4770">
        <v>2.4188839999999998</v>
      </c>
      <c r="T4770">
        <v>-0.190486299999999</v>
      </c>
      <c r="U4770">
        <v>-1.892914</v>
      </c>
      <c r="V4770">
        <v>0.38725500000000002</v>
      </c>
      <c r="W4770">
        <v>-6.1568919999999997E-3</v>
      </c>
      <c r="X4770">
        <v>0.92195210000000005</v>
      </c>
      <c r="Y4770">
        <v>0.57523029999999997</v>
      </c>
      <c r="Z4770">
        <v>-1.649397E-2</v>
      </c>
      <c r="AA4770">
        <v>0.81782529999999998</v>
      </c>
      <c r="AB4770">
        <v>18</v>
      </c>
      <c r="AC4770">
        <v>13.9618</v>
      </c>
      <c r="AD4770">
        <v>-1.1077219999999901</v>
      </c>
      <c r="AE4770">
        <v>-11.0057799999999</v>
      </c>
      <c r="AF4770">
        <v>10.2557789986698</v>
      </c>
      <c r="AG4770">
        <v>-1.1077219999999901</v>
      </c>
      <c r="AH4770">
        <v>14.437387975106899</v>
      </c>
      <c r="AI4770">
        <v>93.5792057919424</v>
      </c>
      <c r="AJ4770">
        <v>54.611441827010999</v>
      </c>
      <c r="AK4770">
        <v>17.7439066285473</v>
      </c>
    </row>
    <row r="4771" spans="1:37" x14ac:dyDescent="0.2">
      <c r="A4771" t="str">
        <f>"20200111160311142"</f>
        <v>20200111160311142</v>
      </c>
      <c r="B4771" t="str">
        <f>"1578729791137436"</f>
        <v>1578729791137436</v>
      </c>
      <c r="C4771" t="s">
        <v>37</v>
      </c>
      <c r="D4771">
        <v>4.5790230000000003</v>
      </c>
      <c r="E4771">
        <v>0.58515950000000005</v>
      </c>
      <c r="F4771" t="s">
        <v>39</v>
      </c>
      <c r="G4771">
        <v>-301.61290000000002</v>
      </c>
      <c r="H4771">
        <v>-0.05</v>
      </c>
      <c r="I4771">
        <v>8.5102840000000004</v>
      </c>
      <c r="J4771">
        <v>-315.43669999999997</v>
      </c>
      <c r="K4771">
        <v>1.056991</v>
      </c>
      <c r="L4771">
        <v>19.517150000000001</v>
      </c>
      <c r="M4771">
        <v>0.99836829999999999</v>
      </c>
      <c r="N4771">
        <v>0</v>
      </c>
      <c r="O4771">
        <v>-5.3913309999999999E-2</v>
      </c>
      <c r="P4771">
        <v>0.89866170000000001</v>
      </c>
      <c r="Q4771">
        <v>-1.9958199999999999E-2</v>
      </c>
      <c r="R4771">
        <v>-0.43818889999999999</v>
      </c>
      <c r="S4771">
        <v>2.409821</v>
      </c>
      <c r="T4771">
        <v>-0.19144729999999999</v>
      </c>
      <c r="U4771">
        <v>-1.904175</v>
      </c>
      <c r="V4771">
        <v>0.38906059999999998</v>
      </c>
      <c r="W4771">
        <v>-5.6515130000000004E-3</v>
      </c>
      <c r="X4771">
        <v>0.92119479999999998</v>
      </c>
      <c r="Y4771">
        <v>0.57576899999999998</v>
      </c>
      <c r="Z4771">
        <v>-1.63448E-2</v>
      </c>
      <c r="AA4771">
        <v>0.81744899999999998</v>
      </c>
      <c r="AB4771">
        <v>18</v>
      </c>
      <c r="AC4771">
        <v>13.823799999999901</v>
      </c>
      <c r="AD4771">
        <v>-1.1069910000000001</v>
      </c>
      <c r="AE4771">
        <v>-11.006866</v>
      </c>
      <c r="AF4771">
        <v>10.2053820210699</v>
      </c>
      <c r="AG4771">
        <v>-1.1069910000000001</v>
      </c>
      <c r="AH4771">
        <v>14.3409280666692</v>
      </c>
      <c r="AI4771">
        <v>93.598702566965699</v>
      </c>
      <c r="AJ4771">
        <v>54.5633437768427</v>
      </c>
      <c r="AK4771">
        <v>17.636254394951301</v>
      </c>
    </row>
    <row r="4772" spans="1:37" x14ac:dyDescent="0.2">
      <c r="A4772" t="str">
        <f>"20200111160311154"</f>
        <v>20200111160311154</v>
      </c>
      <c r="B4772" t="str">
        <f>"1578729791148170"</f>
        <v>1578729791148170</v>
      </c>
      <c r="C4772" t="s">
        <v>37</v>
      </c>
      <c r="D4772">
        <v>4.5515129999999999</v>
      </c>
      <c r="E4772">
        <v>0.58465719999999899</v>
      </c>
      <c r="F4772" t="s">
        <v>39</v>
      </c>
      <c r="G4772">
        <v>-301.43040000000002</v>
      </c>
      <c r="H4772">
        <v>-0.05</v>
      </c>
      <c r="I4772">
        <v>8.3404389999999999</v>
      </c>
      <c r="J4772">
        <v>-315.34230000000002</v>
      </c>
      <c r="K4772">
        <v>1.0564469999999999</v>
      </c>
      <c r="L4772">
        <v>19.50836</v>
      </c>
      <c r="M4772">
        <v>0.99819269999999904</v>
      </c>
      <c r="N4772">
        <v>0</v>
      </c>
      <c r="O4772">
        <v>-5.7164399999999997E-2</v>
      </c>
      <c r="P4772">
        <v>0.89673400000000003</v>
      </c>
      <c r="Q4772">
        <v>-1.9560310000000001E-2</v>
      </c>
      <c r="R4772">
        <v>-0.44213750000000002</v>
      </c>
      <c r="S4772">
        <v>2.4001769999999998</v>
      </c>
      <c r="T4772">
        <v>-0.18969820000000001</v>
      </c>
      <c r="U4772">
        <v>-1.9152830000000001</v>
      </c>
      <c r="V4772">
        <v>0.39011209999999902</v>
      </c>
      <c r="W4772">
        <v>-5.5919480000000002E-3</v>
      </c>
      <c r="X4772">
        <v>0.92075039999999997</v>
      </c>
      <c r="Y4772">
        <v>0.57703979999999999</v>
      </c>
      <c r="Z4772">
        <v>-1.6047539999999999E-2</v>
      </c>
      <c r="AA4772">
        <v>0.81655840000000002</v>
      </c>
      <c r="AB4772">
        <v>18</v>
      </c>
      <c r="AC4772">
        <v>13.911899999999999</v>
      </c>
      <c r="AD4772">
        <v>-1.106447</v>
      </c>
      <c r="AE4772">
        <v>-11.167921</v>
      </c>
      <c r="AF4772">
        <v>10.314574819062001</v>
      </c>
      <c r="AG4772">
        <v>-1.106447</v>
      </c>
      <c r="AH4772">
        <v>14.471992695107099</v>
      </c>
      <c r="AI4772">
        <v>93.5625996945124</v>
      </c>
      <c r="AJ4772">
        <v>54.521515467311097</v>
      </c>
      <c r="AK4772">
        <v>17.805989195466498</v>
      </c>
    </row>
    <row r="4773" spans="1:37" x14ac:dyDescent="0.2">
      <c r="A4773" t="str">
        <f>"20200111160311165"</f>
        <v>20200111160311165</v>
      </c>
      <c r="B4773" t="str">
        <f>"1578729791157929"</f>
        <v>1578729791157929</v>
      </c>
      <c r="C4773" t="s">
        <v>37</v>
      </c>
      <c r="D4773">
        <v>4.5733040000000003</v>
      </c>
      <c r="E4773">
        <v>0.5841674</v>
      </c>
      <c r="F4773" t="s">
        <v>39</v>
      </c>
      <c r="G4773">
        <v>-301.18150000000003</v>
      </c>
      <c r="H4773">
        <v>-0.05</v>
      </c>
      <c r="I4773">
        <v>8.1345670000000005</v>
      </c>
      <c r="J4773">
        <v>-315.24459999999999</v>
      </c>
      <c r="K4773">
        <v>1.055931</v>
      </c>
      <c r="L4773">
        <v>19.498809999999999</v>
      </c>
      <c r="M4773">
        <v>0.99799459999999995</v>
      </c>
      <c r="N4773">
        <v>0</v>
      </c>
      <c r="O4773">
        <v>-6.060538E-2</v>
      </c>
      <c r="P4773">
        <v>0.89473409999999998</v>
      </c>
      <c r="Q4773">
        <v>-1.925874E-2</v>
      </c>
      <c r="R4773">
        <v>-0.44618379999999902</v>
      </c>
      <c r="S4773">
        <v>2.3935240000000002</v>
      </c>
      <c r="T4773">
        <v>-0.18701709999999999</v>
      </c>
      <c r="U4773">
        <v>-1.922455</v>
      </c>
      <c r="V4773">
        <v>0.3910961</v>
      </c>
      <c r="W4773">
        <v>-5.6161509999999998E-3</v>
      </c>
      <c r="X4773">
        <v>0.920332699999999</v>
      </c>
      <c r="Y4773">
        <v>0.57685410000000004</v>
      </c>
      <c r="Z4773">
        <v>-1.560362E-2</v>
      </c>
      <c r="AA4773">
        <v>0.81669820000000004</v>
      </c>
      <c r="AB4773">
        <v>18</v>
      </c>
      <c r="AC4773">
        <v>14.063099999999899</v>
      </c>
      <c r="AD4773">
        <v>-1.105931</v>
      </c>
      <c r="AE4773">
        <v>-11.364242999999901</v>
      </c>
      <c r="AF4773">
        <v>10.4518015378169</v>
      </c>
      <c r="AG4773">
        <v>-1.105931</v>
      </c>
      <c r="AH4773">
        <v>14.671200970685501</v>
      </c>
      <c r="AI4773">
        <v>93.513249955770604</v>
      </c>
      <c r="AJ4773">
        <v>54.533829979044697</v>
      </c>
      <c r="AK4773">
        <v>18.047364812761899</v>
      </c>
    </row>
    <row r="4774" spans="1:37" x14ac:dyDescent="0.2">
      <c r="A4774" t="str">
        <f>"20200111160311177"</f>
        <v>20200111160311177</v>
      </c>
      <c r="B4774" t="str">
        <f>"1578729791167691"</f>
        <v>1578729791167691</v>
      </c>
      <c r="C4774" t="s">
        <v>37</v>
      </c>
      <c r="D4774">
        <v>4.4835659999999997</v>
      </c>
      <c r="E4774">
        <v>0.58393459999999997</v>
      </c>
      <c r="F4774" t="s">
        <v>39</v>
      </c>
      <c r="G4774">
        <v>-300.97149999999999</v>
      </c>
      <c r="H4774">
        <v>-0.05</v>
      </c>
      <c r="I4774">
        <v>7.9578699999999998</v>
      </c>
      <c r="J4774">
        <v>-315.15300000000002</v>
      </c>
      <c r="K4774">
        <v>1.05549</v>
      </c>
      <c r="L4774">
        <v>19.489380000000001</v>
      </c>
      <c r="M4774">
        <v>0.99779269999999998</v>
      </c>
      <c r="N4774">
        <v>0</v>
      </c>
      <c r="O4774">
        <v>-6.3909460000000001E-2</v>
      </c>
      <c r="P4774">
        <v>0.89300840000000004</v>
      </c>
      <c r="Q4774">
        <v>-1.885672E-2</v>
      </c>
      <c r="R4774">
        <v>-0.4496443</v>
      </c>
      <c r="S4774">
        <v>2.3866269999999998</v>
      </c>
      <c r="T4774">
        <v>-0.18492420000000001</v>
      </c>
      <c r="U4774">
        <v>-1.9297789999999999</v>
      </c>
      <c r="V4774">
        <v>0.39161209999999902</v>
      </c>
      <c r="W4774">
        <v>-5.4898300000000002E-3</v>
      </c>
      <c r="X4774">
        <v>0.92011399999999999</v>
      </c>
      <c r="Y4774">
        <v>0.57684590000000002</v>
      </c>
      <c r="Z4774">
        <v>-1.522984E-2</v>
      </c>
      <c r="AA4774">
        <v>0.81671090000000002</v>
      </c>
      <c r="AB4774">
        <v>18</v>
      </c>
      <c r="AC4774">
        <v>14.1815</v>
      </c>
      <c r="AD4774">
        <v>-1.1054900000000001</v>
      </c>
      <c r="AE4774">
        <v>-11.531510000000001</v>
      </c>
      <c r="AF4774">
        <v>10.5628101020869</v>
      </c>
      <c r="AG4774">
        <v>-1.1054900000000001</v>
      </c>
      <c r="AH4774">
        <v>14.8353239919623</v>
      </c>
      <c r="AI4774">
        <v>93.473749150398604</v>
      </c>
      <c r="AJ4774">
        <v>54.548981643108</v>
      </c>
      <c r="AK4774">
        <v>18.245051475382098</v>
      </c>
    </row>
    <row r="4775" spans="1:37" x14ac:dyDescent="0.2">
      <c r="A4775" t="str">
        <f>"20200111160311191"</f>
        <v>20200111160311191</v>
      </c>
      <c r="B4775" t="str">
        <f>"1578729791178426"</f>
        <v>1578729791178426</v>
      </c>
      <c r="C4775" t="s">
        <v>37</v>
      </c>
      <c r="D4775">
        <v>4.4721250000000001</v>
      </c>
      <c r="E4775">
        <v>0.58365769999999995</v>
      </c>
      <c r="F4775" t="s">
        <v>39</v>
      </c>
      <c r="G4775">
        <v>-300.77120000000002</v>
      </c>
      <c r="H4775">
        <v>-0.05</v>
      </c>
      <c r="I4775">
        <v>7.780869</v>
      </c>
      <c r="J4775">
        <v>-315.04730000000001</v>
      </c>
      <c r="K4775">
        <v>1.0550120000000001</v>
      </c>
      <c r="L4775">
        <v>19.478210000000001</v>
      </c>
      <c r="M4775">
        <v>0.99754259999999995</v>
      </c>
      <c r="N4775">
        <v>0</v>
      </c>
      <c r="O4775">
        <v>-6.7770529999999995E-2</v>
      </c>
      <c r="P4775">
        <v>0.89109289999999997</v>
      </c>
      <c r="Q4775">
        <v>-1.8606609999999999E-2</v>
      </c>
      <c r="R4775">
        <v>-0.45343909999999998</v>
      </c>
      <c r="S4775">
        <v>2.3799440000000001</v>
      </c>
      <c r="T4775">
        <v>-0.18294009999999999</v>
      </c>
      <c r="U4775">
        <v>-1.9375610000000001</v>
      </c>
      <c r="V4775">
        <v>0.39196429999999999</v>
      </c>
      <c r="W4775">
        <v>-5.5389459999999899E-3</v>
      </c>
      <c r="X4775">
        <v>0.9199638</v>
      </c>
      <c r="Y4775">
        <v>0.57644200000000001</v>
      </c>
      <c r="Z4775">
        <v>-1.4816960000000001E-2</v>
      </c>
      <c r="AA4775">
        <v>0.817003699999999</v>
      </c>
      <c r="AB4775">
        <v>18</v>
      </c>
      <c r="AC4775">
        <v>14.2760999999999</v>
      </c>
      <c r="AD4775">
        <v>-1.1050120000000001</v>
      </c>
      <c r="AE4775">
        <v>-11.697341</v>
      </c>
      <c r="AF4775">
        <v>10.664559264443</v>
      </c>
      <c r="AG4775">
        <v>-1.1050120000000001</v>
      </c>
      <c r="AH4775">
        <v>14.982421664317901</v>
      </c>
      <c r="AI4775">
        <v>93.438565264234995</v>
      </c>
      <c r="AJ4775">
        <v>54.556557340915802</v>
      </c>
      <c r="AK4775">
        <v>18.423540233961099</v>
      </c>
    </row>
    <row r="4776" spans="1:37" x14ac:dyDescent="0.2">
      <c r="A4776" t="str">
        <f>"20200111160311202"</f>
        <v>20200111160311202</v>
      </c>
      <c r="B4776" t="str">
        <f>"1578729791197946"</f>
        <v>1578729791197946</v>
      </c>
      <c r="C4776" t="s">
        <v>37</v>
      </c>
      <c r="D4776">
        <v>4.431235</v>
      </c>
      <c r="E4776">
        <v>0.57749499999999998</v>
      </c>
      <c r="F4776" t="s">
        <v>39</v>
      </c>
      <c r="G4776">
        <v>-300.50119999999998</v>
      </c>
      <c r="H4776">
        <v>-0.05</v>
      </c>
      <c r="I4776">
        <v>7.5500179999999997</v>
      </c>
      <c r="J4776">
        <v>-314.95209999999997</v>
      </c>
      <c r="K4776">
        <v>1.054627</v>
      </c>
      <c r="L4776">
        <v>19.46753</v>
      </c>
      <c r="M4776">
        <v>0.99729679999999998</v>
      </c>
      <c r="N4776">
        <v>0</v>
      </c>
      <c r="O4776">
        <v>-7.1351129999999999E-2</v>
      </c>
      <c r="P4776">
        <v>0.88919999999999999</v>
      </c>
      <c r="Q4776">
        <v>-1.8744960000000001E-2</v>
      </c>
      <c r="R4776">
        <v>-0.45713530000000002</v>
      </c>
      <c r="S4776">
        <v>2.3727719999999999</v>
      </c>
      <c r="T4776">
        <v>-0.18025060000000001</v>
      </c>
      <c r="U4776">
        <v>-1.94574</v>
      </c>
      <c r="V4776">
        <v>0.3924783</v>
      </c>
      <c r="W4776">
        <v>-5.9238729999999996E-3</v>
      </c>
      <c r="X4776">
        <v>0.91974219999999896</v>
      </c>
      <c r="Y4776">
        <v>0.57643599999999995</v>
      </c>
      <c r="Z4776">
        <v>-1.4386049999999999E-2</v>
      </c>
      <c r="AA4776">
        <v>0.81701559999999995</v>
      </c>
      <c r="AB4776">
        <v>18</v>
      </c>
      <c r="AC4776">
        <v>14.450899999999899</v>
      </c>
      <c r="AD4776">
        <v>-1.104627</v>
      </c>
      <c r="AE4776">
        <v>-11.917512</v>
      </c>
      <c r="AF4776">
        <v>10.818257475362</v>
      </c>
      <c r="AG4776">
        <v>-1.104627</v>
      </c>
      <c r="AH4776">
        <v>15.211613283077</v>
      </c>
      <c r="AI4776">
        <v>93.386691518840706</v>
      </c>
      <c r="AJ4776">
        <v>54.580167431867402</v>
      </c>
      <c r="AK4776">
        <v>18.698878958008201</v>
      </c>
    </row>
    <row r="4777" spans="1:37" x14ac:dyDescent="0.2">
      <c r="A4777" t="str">
        <f>"20200111160311220"</f>
        <v>20200111160311220</v>
      </c>
      <c r="B4777" t="str">
        <f>"1578729791207706"</f>
        <v>1578729791207706</v>
      </c>
      <c r="C4777" t="s">
        <v>37</v>
      </c>
      <c r="D4777">
        <v>4.4194199999999997</v>
      </c>
      <c r="E4777">
        <v>0.5773374</v>
      </c>
      <c r="F4777" t="s">
        <v>39</v>
      </c>
      <c r="G4777">
        <v>-297.33249999999998</v>
      </c>
      <c r="H4777">
        <v>-0.05</v>
      </c>
      <c r="I4777">
        <v>5.3311769999999896</v>
      </c>
      <c r="J4777">
        <v>-314.81979999999999</v>
      </c>
      <c r="K4777">
        <v>1.0541430000000001</v>
      </c>
      <c r="L4777">
        <v>19.452059999999999</v>
      </c>
      <c r="M4777">
        <v>0.99692649999999905</v>
      </c>
      <c r="N4777">
        <v>0</v>
      </c>
      <c r="O4777">
        <v>-7.6411889999999996E-2</v>
      </c>
      <c r="P4777">
        <v>0.88662529999999995</v>
      </c>
      <c r="Q4777">
        <v>-1.747371E-2</v>
      </c>
      <c r="R4777">
        <v>-0.46215859999999898</v>
      </c>
      <c r="S4777">
        <v>2.3863829999999999</v>
      </c>
      <c r="T4777">
        <v>-0.1496094</v>
      </c>
      <c r="U4777">
        <v>-1.914612</v>
      </c>
      <c r="V4777">
        <v>0.39301989999999998</v>
      </c>
      <c r="W4777">
        <v>-4.9674509999999899E-3</v>
      </c>
      <c r="X4777">
        <v>0.91951659999999902</v>
      </c>
      <c r="Y4777">
        <v>0.56377819999999901</v>
      </c>
      <c r="Z4777">
        <v>-1.13124E-2</v>
      </c>
      <c r="AA4777">
        <v>0.82584880000000005</v>
      </c>
      <c r="AB4777">
        <v>18</v>
      </c>
      <c r="AC4777">
        <v>17.487300000000001</v>
      </c>
      <c r="AD4777">
        <v>-1.1041430000000001</v>
      </c>
      <c r="AE4777">
        <v>-14.120882999999999</v>
      </c>
      <c r="AF4777">
        <v>12.712471633627599</v>
      </c>
      <c r="AG4777">
        <v>-1.1041430000000001</v>
      </c>
      <c r="AH4777">
        <v>18.470749766319098</v>
      </c>
      <c r="AI4777">
        <v>92.819098372507199</v>
      </c>
      <c r="AJ4777">
        <v>55.4623534974439</v>
      </c>
      <c r="AK4777">
        <v>22.449825472154799</v>
      </c>
    </row>
    <row r="4778" spans="1:37" x14ac:dyDescent="0.2">
      <c r="A4778" t="str">
        <f>"20200111160311233"</f>
        <v>20200111160311233</v>
      </c>
      <c r="B4778" t="str">
        <f>"1578729791228201"</f>
        <v>1578729791228201</v>
      </c>
      <c r="C4778" t="s">
        <v>37</v>
      </c>
      <c r="D4778">
        <v>4.3672870000000001</v>
      </c>
      <c r="E4778">
        <v>0.57670769999999905</v>
      </c>
      <c r="F4778" t="s">
        <v>39</v>
      </c>
      <c r="G4778">
        <v>-296.26350000000002</v>
      </c>
      <c r="H4778">
        <v>-0.05</v>
      </c>
      <c r="I4778">
        <v>4.4005890000000001</v>
      </c>
      <c r="J4778">
        <v>-314.71319999999997</v>
      </c>
      <c r="K4778">
        <v>1.053796</v>
      </c>
      <c r="L4778">
        <v>19.439150000000001</v>
      </c>
      <c r="M4778">
        <v>0.99660369999999998</v>
      </c>
      <c r="N4778">
        <v>0</v>
      </c>
      <c r="O4778">
        <v>-8.0558980000000002E-2</v>
      </c>
      <c r="P4778">
        <v>0.884522699999999</v>
      </c>
      <c r="Q4778">
        <v>-1.6753480000000001E-2</v>
      </c>
      <c r="R4778">
        <v>-0.46619699999999997</v>
      </c>
      <c r="S4778">
        <v>2.37616</v>
      </c>
      <c r="T4778">
        <v>-0.1413875</v>
      </c>
      <c r="U4778">
        <v>-1.927368</v>
      </c>
      <c r="V4778">
        <v>0.39339029999999903</v>
      </c>
      <c r="W4778">
        <v>-4.4798349999999997E-3</v>
      </c>
      <c r="X4778">
        <v>0.91936059999999997</v>
      </c>
      <c r="Y4778">
        <v>0.56481939999999997</v>
      </c>
      <c r="Z4778">
        <v>-1.0526590000000001E-2</v>
      </c>
      <c r="AA4778">
        <v>0.82514739999999998</v>
      </c>
      <c r="AB4778">
        <v>17</v>
      </c>
      <c r="AC4778">
        <v>18.449699999999901</v>
      </c>
      <c r="AD4778">
        <v>-1.103796</v>
      </c>
      <c r="AE4778">
        <v>-15.0385609999999</v>
      </c>
      <c r="AF4778">
        <v>13.474187259559599</v>
      </c>
      <c r="AG4778">
        <v>-1.103796</v>
      </c>
      <c r="AH4778">
        <v>19.559323386209901</v>
      </c>
      <c r="AI4778">
        <v>92.660804743268599</v>
      </c>
      <c r="AJ4778">
        <v>55.437501763348997</v>
      </c>
      <c r="AK4778">
        <v>23.776863107685799</v>
      </c>
    </row>
    <row r="4779" spans="1:37" x14ac:dyDescent="0.2">
      <c r="A4779" t="str">
        <f>"20200111160311254"</f>
        <v>20200111160311254</v>
      </c>
      <c r="B4779" t="str">
        <f>"1578729791247722"</f>
        <v>1578729791247722</v>
      </c>
      <c r="C4779" t="s">
        <v>37</v>
      </c>
      <c r="D4779">
        <v>4.3713360000000003</v>
      </c>
      <c r="E4779">
        <v>0.57576229999999995</v>
      </c>
      <c r="F4779" t="s">
        <v>39</v>
      </c>
      <c r="G4779">
        <v>-295.697</v>
      </c>
      <c r="H4779">
        <v>-0.05</v>
      </c>
      <c r="I4779">
        <v>3.9181519999999899</v>
      </c>
      <c r="J4779">
        <v>-314.5478</v>
      </c>
      <c r="K4779">
        <v>1.0533239999999999</v>
      </c>
      <c r="L4779">
        <v>19.41788</v>
      </c>
      <c r="M4779">
        <v>0.99605440000000001</v>
      </c>
      <c r="N4779">
        <v>0</v>
      </c>
      <c r="O4779">
        <v>-8.7143360000000003E-2</v>
      </c>
      <c r="P4779">
        <v>0.88117219999999996</v>
      </c>
      <c r="Q4779">
        <v>-1.603833E-2</v>
      </c>
      <c r="R4779">
        <v>-0.4725239</v>
      </c>
      <c r="S4779">
        <v>2.369659</v>
      </c>
      <c r="T4779">
        <v>-0.137547</v>
      </c>
      <c r="U4779">
        <v>-1.934113</v>
      </c>
      <c r="V4779">
        <v>0.39390579999999997</v>
      </c>
      <c r="W4779">
        <v>-4.0874029999999999E-3</v>
      </c>
      <c r="X4779">
        <v>0.91914169999999995</v>
      </c>
      <c r="Y4779">
        <v>0.56191869999999999</v>
      </c>
      <c r="Z4779">
        <v>-9.8536470000000001E-3</v>
      </c>
      <c r="AA4779">
        <v>0.82713379999999903</v>
      </c>
      <c r="AB4779">
        <v>17</v>
      </c>
      <c r="AC4779">
        <v>18.8507999999999</v>
      </c>
      <c r="AD4779">
        <v>-1.103324</v>
      </c>
      <c r="AE4779">
        <v>-15.499727999999999</v>
      </c>
      <c r="AF4779">
        <v>13.769650022401301</v>
      </c>
      <c r="AG4779">
        <v>-1.103324</v>
      </c>
      <c r="AH4779">
        <v>20.088896514821698</v>
      </c>
      <c r="AI4779">
        <v>92.593823190001501</v>
      </c>
      <c r="AJ4779">
        <v>55.571862786412098</v>
      </c>
      <c r="AK4779">
        <v>24.379998949376699</v>
      </c>
    </row>
    <row r="4780" spans="1:37" x14ac:dyDescent="0.2">
      <c r="A4780" t="str">
        <f>"20200111160311266"</f>
        <v>20200111160311266</v>
      </c>
      <c r="B4780" t="str">
        <f>"1578729791257482"</f>
        <v>1578729791257482</v>
      </c>
      <c r="C4780" t="s">
        <v>37</v>
      </c>
      <c r="D4780">
        <v>4.3178720000000004</v>
      </c>
      <c r="E4780">
        <v>0.57547419999999905</v>
      </c>
      <c r="F4780" t="s">
        <v>39</v>
      </c>
      <c r="G4780">
        <v>-297.40960000000001</v>
      </c>
      <c r="H4780">
        <v>-0.05</v>
      </c>
      <c r="I4780">
        <v>5.3097529999999997</v>
      </c>
      <c r="J4780">
        <v>-314.44869999999997</v>
      </c>
      <c r="K4780">
        <v>1.0530660000000001</v>
      </c>
      <c r="L4780">
        <v>19.40457</v>
      </c>
      <c r="M4780">
        <v>0.99569779999999997</v>
      </c>
      <c r="N4780">
        <v>0</v>
      </c>
      <c r="O4780">
        <v>-9.115558E-2</v>
      </c>
      <c r="P4780">
        <v>0.87902400000000003</v>
      </c>
      <c r="Q4780">
        <v>-1.5633210000000002E-2</v>
      </c>
      <c r="R4780">
        <v>-0.4765219</v>
      </c>
      <c r="S4780">
        <v>2.3600460000000001</v>
      </c>
      <c r="T4780">
        <v>-0.15193489999999901</v>
      </c>
      <c r="U4780">
        <v>-1.94278</v>
      </c>
      <c r="V4780">
        <v>0.39437939999999999</v>
      </c>
      <c r="W4780">
        <v>-3.8624759999999901E-3</v>
      </c>
      <c r="X4780">
        <v>0.91893959999999997</v>
      </c>
      <c r="Y4780">
        <v>0.56194889999999997</v>
      </c>
      <c r="Z4780">
        <v>-1.068653E-2</v>
      </c>
      <c r="AA4780">
        <v>0.82710300000000003</v>
      </c>
      <c r="AB4780">
        <v>17</v>
      </c>
      <c r="AC4780">
        <v>17.039099999999902</v>
      </c>
      <c r="AD4780">
        <v>-1.1030660000000001</v>
      </c>
      <c r="AE4780">
        <v>-14.094817000000001</v>
      </c>
      <c r="AF4780">
        <v>12.4517120960291</v>
      </c>
      <c r="AG4780">
        <v>-1.1030660000000001</v>
      </c>
      <c r="AH4780">
        <v>18.207833604736301</v>
      </c>
      <c r="AI4780">
        <v>92.862791356212298</v>
      </c>
      <c r="AJ4780">
        <v>55.633116295437297</v>
      </c>
      <c r="AK4780">
        <v>22.085902591936701</v>
      </c>
    </row>
    <row r="4781" spans="1:37" x14ac:dyDescent="0.2">
      <c r="A4781" t="str">
        <f>"20200111160311278"</f>
        <v>20200111160311278</v>
      </c>
      <c r="B4781" t="str">
        <f>"1578729791268218"</f>
        <v>1578729791268218</v>
      </c>
      <c r="C4781" t="s">
        <v>37</v>
      </c>
      <c r="D4781">
        <v>4.2057159999999998</v>
      </c>
      <c r="E4781">
        <v>0.57572509999999999</v>
      </c>
      <c r="F4781" t="s">
        <v>39</v>
      </c>
      <c r="G4781">
        <v>-297.1388</v>
      </c>
      <c r="H4781">
        <v>-0.05</v>
      </c>
      <c r="I4781">
        <v>5.0433349999999999</v>
      </c>
      <c r="J4781">
        <v>-314.35750000000002</v>
      </c>
      <c r="K4781">
        <v>1.0528569999999999</v>
      </c>
      <c r="L4781">
        <v>19.391819999999999</v>
      </c>
      <c r="M4781">
        <v>0.99534940000000005</v>
      </c>
      <c r="N4781">
        <v>0</v>
      </c>
      <c r="O4781">
        <v>-9.4907729999999996E-2</v>
      </c>
      <c r="P4781">
        <v>0.87700440000000002</v>
      </c>
      <c r="Q4781">
        <v>-1.573161E-2</v>
      </c>
      <c r="R4781">
        <v>-0.48022489999999901</v>
      </c>
      <c r="S4781">
        <v>2.3522340000000002</v>
      </c>
      <c r="T4781">
        <v>-0.1498951</v>
      </c>
      <c r="U4781">
        <v>-1.951538</v>
      </c>
      <c r="V4781">
        <v>0.39478990000000003</v>
      </c>
      <c r="W4781">
        <v>-4.1119099999999999E-3</v>
      </c>
      <c r="X4781">
        <v>0.91876229999999903</v>
      </c>
      <c r="Y4781">
        <v>0.562025</v>
      </c>
      <c r="Z4781">
        <v>-1.035792E-2</v>
      </c>
      <c r="AA4781">
        <v>0.82705529999999905</v>
      </c>
      <c r="AB4781">
        <v>17</v>
      </c>
      <c r="AC4781">
        <v>17.218699999999998</v>
      </c>
      <c r="AD4781">
        <v>-1.102857</v>
      </c>
      <c r="AE4781">
        <v>-14.348485</v>
      </c>
      <c r="AF4781">
        <v>12.618737412904601</v>
      </c>
      <c r="AG4781">
        <v>-1.102857</v>
      </c>
      <c r="AH4781">
        <v>18.458232215078201</v>
      </c>
      <c r="AI4781">
        <v>92.823784557189995</v>
      </c>
      <c r="AJ4781">
        <v>55.6420290628093</v>
      </c>
      <c r="AK4781">
        <v>22.3864951246067</v>
      </c>
    </row>
    <row r="4782" spans="1:37" x14ac:dyDescent="0.2">
      <c r="A4782" t="str">
        <f>"20200111160311292"</f>
        <v>20200111160311292</v>
      </c>
      <c r="B4782" t="str">
        <f>"1578729791287739"</f>
        <v>1578729791287739</v>
      </c>
      <c r="C4782" t="s">
        <v>37</v>
      </c>
      <c r="D4782">
        <v>4.2158179999999996</v>
      </c>
      <c r="E4782">
        <v>0.57567190000000001</v>
      </c>
      <c r="F4782" t="s">
        <v>39</v>
      </c>
      <c r="G4782">
        <v>-296.20670000000001</v>
      </c>
      <c r="H4782">
        <v>-0.05</v>
      </c>
      <c r="I4782">
        <v>4.1759190000000004</v>
      </c>
      <c r="J4782">
        <v>-314.2509</v>
      </c>
      <c r="K4782">
        <v>1.052624</v>
      </c>
      <c r="L4782">
        <v>19.376529999999999</v>
      </c>
      <c r="M4782">
        <v>0.99492069999999999</v>
      </c>
      <c r="N4782">
        <v>0</v>
      </c>
      <c r="O4782">
        <v>-9.9324490000000001E-2</v>
      </c>
      <c r="P4782">
        <v>0.87463150000000001</v>
      </c>
      <c r="Q4782">
        <v>-1.6053560000000001E-2</v>
      </c>
      <c r="R4782">
        <v>-0.48452259999999903</v>
      </c>
      <c r="S4782">
        <v>2.3428040000000001</v>
      </c>
      <c r="T4782">
        <v>-0.14235100000000001</v>
      </c>
      <c r="U4782">
        <v>-1.963989</v>
      </c>
      <c r="V4782">
        <v>0.39521659999999997</v>
      </c>
      <c r="W4782">
        <v>-4.6021789999999996E-3</v>
      </c>
      <c r="X4782">
        <v>0.91857649999999902</v>
      </c>
      <c r="Y4782">
        <v>0.56263430000000003</v>
      </c>
      <c r="Z4782">
        <v>-9.6415819999999992E-3</v>
      </c>
      <c r="AA4782">
        <v>0.82664969999999904</v>
      </c>
      <c r="AB4782">
        <v>17</v>
      </c>
      <c r="AC4782">
        <v>18.044199999999901</v>
      </c>
      <c r="AD4782">
        <v>-1.102624</v>
      </c>
      <c r="AE4782">
        <v>-15.200610999999901</v>
      </c>
      <c r="AF4782">
        <v>13.303897655962199</v>
      </c>
      <c r="AG4782">
        <v>-1.102624</v>
      </c>
      <c r="AH4782">
        <v>19.422523502323202</v>
      </c>
      <c r="AI4782">
        <v>92.681566287897397</v>
      </c>
      <c r="AJ4782">
        <v>55.5899226774334</v>
      </c>
      <c r="AK4782">
        <v>23.5678571729377</v>
      </c>
    </row>
    <row r="4783" spans="1:37" x14ac:dyDescent="0.2">
      <c r="A4783" t="str">
        <f>"20200111160311304"</f>
        <v>20200111160311304</v>
      </c>
      <c r="B4783" t="str">
        <f>"1578729791298474"</f>
        <v>1578729791298474</v>
      </c>
      <c r="C4783" t="s">
        <v>37</v>
      </c>
      <c r="D4783">
        <v>4.1823230000000002</v>
      </c>
      <c r="E4783">
        <v>0.57590479999999999</v>
      </c>
      <c r="F4783" t="s">
        <v>39</v>
      </c>
      <c r="G4783">
        <v>-295.6628</v>
      </c>
      <c r="H4783">
        <v>-0.05</v>
      </c>
      <c r="I4783">
        <v>3.6375269999999902</v>
      </c>
      <c r="J4783">
        <v>-314.15159999999997</v>
      </c>
      <c r="K4783">
        <v>1.0524340000000001</v>
      </c>
      <c r="L4783">
        <v>19.361719999999998</v>
      </c>
      <c r="M4783">
        <v>0.99449659999999995</v>
      </c>
      <c r="N4783">
        <v>0</v>
      </c>
      <c r="O4783">
        <v>-0.10350330000000001</v>
      </c>
      <c r="P4783">
        <v>0.87245339999999905</v>
      </c>
      <c r="Q4783">
        <v>-1.6629950000000001E-2</v>
      </c>
      <c r="R4783">
        <v>-0.48841409999999902</v>
      </c>
      <c r="S4783">
        <v>2.3331300000000001</v>
      </c>
      <c r="T4783">
        <v>-0.13839889999999999</v>
      </c>
      <c r="U4783">
        <v>-1.975525</v>
      </c>
      <c r="V4783">
        <v>0.39544449999999998</v>
      </c>
      <c r="W4783">
        <v>-5.3224939999999997E-3</v>
      </c>
      <c r="X4783">
        <v>0.91847440000000002</v>
      </c>
      <c r="Y4783">
        <v>0.56326330000000002</v>
      </c>
      <c r="Z4783">
        <v>-9.1976790000000003E-3</v>
      </c>
      <c r="AA4783">
        <v>0.82622629999999997</v>
      </c>
      <c r="AB4783">
        <v>17</v>
      </c>
      <c r="AC4783">
        <v>18.488799999999902</v>
      </c>
      <c r="AD4783">
        <v>-1.1024339999999999</v>
      </c>
      <c r="AE4783">
        <v>-15.724193</v>
      </c>
      <c r="AF4783">
        <v>13.697553874491801</v>
      </c>
      <c r="AG4783">
        <v>-1.1024339999999999</v>
      </c>
      <c r="AH4783">
        <v>19.975979801967</v>
      </c>
      <c r="AI4783">
        <v>92.606041579001399</v>
      </c>
      <c r="AJ4783">
        <v>55.5615195826663</v>
      </c>
      <c r="AK4783">
        <v>24.246197885803799</v>
      </c>
    </row>
    <row r="4784" spans="1:37" x14ac:dyDescent="0.2">
      <c r="A4784" t="str">
        <f>"20200111160311320"</f>
        <v>20200111160311320</v>
      </c>
      <c r="B4784" t="str">
        <f>"1578729791308233"</f>
        <v>1578729791308233</v>
      </c>
      <c r="C4784" t="s">
        <v>37</v>
      </c>
      <c r="D4784">
        <v>4.2204069999999998</v>
      </c>
      <c r="E4784">
        <v>0.57588379999999995</v>
      </c>
      <c r="F4784" t="s">
        <v>39</v>
      </c>
      <c r="G4784">
        <v>-295.2688</v>
      </c>
      <c r="H4784">
        <v>-0.05</v>
      </c>
      <c r="I4784">
        <v>3.2036899999999999</v>
      </c>
      <c r="J4784">
        <v>-314.03469999999999</v>
      </c>
      <c r="K4784">
        <v>1.052227</v>
      </c>
      <c r="L4784">
        <v>19.343629999999902</v>
      </c>
      <c r="M4784">
        <v>0.99396669999999998</v>
      </c>
      <c r="N4784">
        <v>0</v>
      </c>
      <c r="O4784">
        <v>-0.10849589999999899</v>
      </c>
      <c r="P4784">
        <v>0.86994760000000004</v>
      </c>
      <c r="Q4784">
        <v>-1.7285160000000001E-2</v>
      </c>
      <c r="R4784">
        <v>-0.49284119999999998</v>
      </c>
      <c r="S4784">
        <v>2.32315099999999</v>
      </c>
      <c r="T4784">
        <v>-0.135632</v>
      </c>
      <c r="U4784">
        <v>-1.9879150000000001</v>
      </c>
      <c r="V4784">
        <v>0.3954935</v>
      </c>
      <c r="W4784">
        <v>-6.1329440000000004E-3</v>
      </c>
      <c r="X4784">
        <v>0.9184483</v>
      </c>
      <c r="Y4784">
        <v>0.56343580000000004</v>
      </c>
      <c r="Z4784">
        <v>-8.7889999999999999E-3</v>
      </c>
      <c r="AA4784">
        <v>0.82611309999999905</v>
      </c>
      <c r="AB4784">
        <v>17</v>
      </c>
      <c r="AC4784">
        <v>18.765899999999899</v>
      </c>
      <c r="AD4784">
        <v>-1.1022270000000001</v>
      </c>
      <c r="AE4784">
        <v>-16.1399399999999</v>
      </c>
      <c r="AF4784">
        <v>13.9806290327046</v>
      </c>
      <c r="AG4784">
        <v>-1.1022270000000001</v>
      </c>
      <c r="AH4784">
        <v>20.366052086374999</v>
      </c>
      <c r="AI4784">
        <v>92.554803439591495</v>
      </c>
      <c r="AJ4784">
        <v>55.531674574283599</v>
      </c>
      <c r="AK4784">
        <v>24.727494213821402</v>
      </c>
    </row>
    <row r="4785" spans="1:37" x14ac:dyDescent="0.2">
      <c r="A4785" t="str">
        <f>"20200111160311334"</f>
        <v>20200111160311334</v>
      </c>
      <c r="B4785" t="str">
        <f>"1578729791327754"</f>
        <v>1578729791327754</v>
      </c>
      <c r="C4785" t="s">
        <v>37</v>
      </c>
      <c r="D4785">
        <v>4.3008179999999996</v>
      </c>
      <c r="E4785">
        <v>0.57594480000000003</v>
      </c>
      <c r="F4785" t="s">
        <v>39</v>
      </c>
      <c r="G4785">
        <v>-294.72340000000003</v>
      </c>
      <c r="H4785">
        <v>-0.05</v>
      </c>
      <c r="I4785">
        <v>2.6431580000000001</v>
      </c>
      <c r="J4785">
        <v>-313.9307</v>
      </c>
      <c r="K4785">
        <v>1.0520579999999999</v>
      </c>
      <c r="L4785">
        <v>19.327030000000001</v>
      </c>
      <c r="M4785">
        <v>0.99346789999999996</v>
      </c>
      <c r="N4785">
        <v>0</v>
      </c>
      <c r="O4785">
        <v>-0.11298809999999999</v>
      </c>
      <c r="P4785">
        <v>0.86773960000000006</v>
      </c>
      <c r="Q4785">
        <v>-1.7173819999999999E-2</v>
      </c>
      <c r="R4785">
        <v>-0.49672250000000001</v>
      </c>
      <c r="S4785">
        <v>2.3127749999999998</v>
      </c>
      <c r="T4785">
        <v>-0.1320056</v>
      </c>
      <c r="U4785">
        <v>-2.000092</v>
      </c>
      <c r="V4785">
        <v>0.39544409999999902</v>
      </c>
      <c r="W4785">
        <v>-6.150974E-3</v>
      </c>
      <c r="X4785">
        <v>0.91846939999999999</v>
      </c>
      <c r="Y4785">
        <v>0.56405039999999995</v>
      </c>
      <c r="Z4785">
        <v>-8.3708729999999992E-3</v>
      </c>
      <c r="AA4785">
        <v>0.82569799999999904</v>
      </c>
      <c r="AB4785">
        <v>17</v>
      </c>
      <c r="AC4785">
        <v>19.207299999999901</v>
      </c>
      <c r="AD4785">
        <v>-1.102058</v>
      </c>
      <c r="AE4785">
        <v>-16.683872000000001</v>
      </c>
      <c r="AF4785">
        <v>14.3795519029993</v>
      </c>
      <c r="AG4785">
        <v>-1.102058</v>
      </c>
      <c r="AH4785">
        <v>20.930317755028501</v>
      </c>
      <c r="AI4785">
        <v>92.484994291110496</v>
      </c>
      <c r="AJ4785">
        <v>55.510146981545901</v>
      </c>
      <c r="AK4785">
        <v>25.417793887213701</v>
      </c>
    </row>
    <row r="4786" spans="1:37" x14ac:dyDescent="0.2">
      <c r="A4786" t="str">
        <f>"20200111160311346"</f>
        <v>20200111160311346</v>
      </c>
      <c r="B4786" t="str">
        <f>"1578729791338490"</f>
        <v>1578729791338490</v>
      </c>
      <c r="C4786" t="s">
        <v>37</v>
      </c>
      <c r="D4786">
        <v>4.4430909999999999</v>
      </c>
      <c r="E4786">
        <v>0.60712290000000002</v>
      </c>
      <c r="F4786" t="s">
        <v>39</v>
      </c>
      <c r="G4786">
        <v>-294.84879999999998</v>
      </c>
      <c r="H4786">
        <v>-0.05</v>
      </c>
      <c r="I4786">
        <v>2.6711429999999998</v>
      </c>
      <c r="J4786">
        <v>-313.82799999999997</v>
      </c>
      <c r="K4786">
        <v>1.0519049999999901</v>
      </c>
      <c r="L4786">
        <v>19.310120000000001</v>
      </c>
      <c r="M4786">
        <v>0.99294869999999902</v>
      </c>
      <c r="N4786">
        <v>0</v>
      </c>
      <c r="O4786">
        <v>-0.1174761</v>
      </c>
      <c r="P4786">
        <v>0.86536199999999996</v>
      </c>
      <c r="Q4786">
        <v>-1.6279149999999999E-2</v>
      </c>
      <c r="R4786">
        <v>-0.50088290000000002</v>
      </c>
      <c r="S4786">
        <v>2.3036189999999999</v>
      </c>
      <c r="T4786">
        <v>-0.13304340000000001</v>
      </c>
      <c r="U4786">
        <v>-2.010742</v>
      </c>
      <c r="V4786">
        <v>0.39570859999999902</v>
      </c>
      <c r="W4786">
        <v>-5.381696E-3</v>
      </c>
      <c r="X4786">
        <v>0.91836039999999997</v>
      </c>
      <c r="Y4786">
        <v>0.56411</v>
      </c>
      <c r="Z4786">
        <v>-8.2359040000000005E-3</v>
      </c>
      <c r="AA4786">
        <v>0.82565859999999902</v>
      </c>
      <c r="AB4786">
        <v>17</v>
      </c>
      <c r="AC4786">
        <v>18.979199999999899</v>
      </c>
      <c r="AD4786">
        <v>-1.1019049999999999</v>
      </c>
      <c r="AE4786">
        <v>-16.638977000000001</v>
      </c>
      <c r="AF4786">
        <v>14.2666599941009</v>
      </c>
      <c r="AG4786">
        <v>-1.1019049999999999</v>
      </c>
      <c r="AH4786">
        <v>20.763105173989601</v>
      </c>
      <c r="AI4786">
        <v>92.504522405512006</v>
      </c>
      <c r="AJ4786">
        <v>55.506423093012899</v>
      </c>
      <c r="AK4786">
        <v>25.216231250574701</v>
      </c>
    </row>
    <row r="4787" spans="1:37" x14ac:dyDescent="0.2">
      <c r="A4787" t="str">
        <f>"20200111160311359"</f>
        <v>20200111160311359</v>
      </c>
      <c r="B4787" t="str">
        <f>"1578729791348250"</f>
        <v>1578729791348250</v>
      </c>
      <c r="C4787" t="s">
        <v>37</v>
      </c>
      <c r="D4787">
        <v>4.386482</v>
      </c>
      <c r="E4787">
        <v>0.61379419999999996</v>
      </c>
      <c r="F4787" t="s">
        <v>38</v>
      </c>
      <c r="G4787">
        <v>-291.98509999999999</v>
      </c>
      <c r="H4787" s="1">
        <v>-4.4096250000000002E-6</v>
      </c>
      <c r="I4787">
        <v>-3.2618390000000002</v>
      </c>
      <c r="J4787">
        <v>-313.72770000000003</v>
      </c>
      <c r="K4787">
        <v>1.051771</v>
      </c>
      <c r="L4787">
        <v>19.292939999999899</v>
      </c>
      <c r="M4787">
        <v>0.9924134</v>
      </c>
      <c r="N4787">
        <v>0</v>
      </c>
      <c r="O4787">
        <v>-0.1219288</v>
      </c>
      <c r="P4787">
        <v>0.86298280000000005</v>
      </c>
      <c r="Q4787">
        <v>-1.5847239999999999E-2</v>
      </c>
      <c r="R4787">
        <v>-0.50498500000000002</v>
      </c>
      <c r="S4787">
        <v>2.1680299999999999</v>
      </c>
      <c r="T4787">
        <v>-0.1044076</v>
      </c>
      <c r="U4787">
        <v>-2.2403869999999899</v>
      </c>
      <c r="V4787">
        <v>0.39595069999999999</v>
      </c>
      <c r="W4787">
        <v>-5.0636939999999997E-3</v>
      </c>
      <c r="X4787">
        <v>0.91825780000000001</v>
      </c>
      <c r="Y4787">
        <v>0.62817639999999997</v>
      </c>
      <c r="Z4787">
        <v>-7.6579789999999997E-3</v>
      </c>
      <c r="AA4787">
        <v>0.77803330000000004</v>
      </c>
      <c r="AB4787">
        <v>17</v>
      </c>
      <c r="AC4787">
        <v>21.742599999999999</v>
      </c>
      <c r="AD4787">
        <v>-1.051775409625</v>
      </c>
      <c r="AE4787">
        <v>-22.554779</v>
      </c>
      <c r="AF4787">
        <v>19.7128541187822</v>
      </c>
      <c r="AG4787">
        <v>-1.051775409625</v>
      </c>
      <c r="AH4787">
        <v>24.303361186310799</v>
      </c>
      <c r="AI4787">
        <v>91.925020692617196</v>
      </c>
      <c r="AJ4787">
        <v>50.953925667835698</v>
      </c>
      <c r="AK4787">
        <v>31.310640587074499</v>
      </c>
    </row>
    <row r="4788" spans="1:37" x14ac:dyDescent="0.2">
      <c r="A4788" t="str">
        <f>"20200111160311376"</f>
        <v>20200111160311376</v>
      </c>
      <c r="B4788" t="str">
        <f>"1578729791367769"</f>
        <v>1578729791367769</v>
      </c>
      <c r="C4788" t="s">
        <v>37</v>
      </c>
      <c r="D4788">
        <v>4.385116</v>
      </c>
      <c r="E4788">
        <v>0.62190749999999995</v>
      </c>
      <c r="F4788" t="s">
        <v>38</v>
      </c>
      <c r="G4788">
        <v>-292.18020000000001</v>
      </c>
      <c r="H4788" s="1">
        <v>-4.0988889999999997E-6</v>
      </c>
      <c r="I4788">
        <v>-3.93579199999999</v>
      </c>
      <c r="J4788">
        <v>-313.60210000000001</v>
      </c>
      <c r="K4788">
        <v>1.0516209999999999</v>
      </c>
      <c r="L4788">
        <v>19.270779999999998</v>
      </c>
      <c r="M4788">
        <v>0.99170550000000002</v>
      </c>
      <c r="N4788">
        <v>0</v>
      </c>
      <c r="O4788">
        <v>-0.12757099999999999</v>
      </c>
      <c r="P4788">
        <v>0.85925609999999997</v>
      </c>
      <c r="Q4788">
        <v>-1.39858E-2</v>
      </c>
      <c r="R4788">
        <v>-0.51135429999999904</v>
      </c>
      <c r="S4788">
        <v>2.1304630000000002</v>
      </c>
      <c r="T4788">
        <v>-0.1039921</v>
      </c>
      <c r="U4788">
        <v>-2.29669199999999</v>
      </c>
      <c r="V4788">
        <v>0.39753179999999999</v>
      </c>
      <c r="W4788">
        <v>-3.3588369999999999E-3</v>
      </c>
      <c r="X4788">
        <v>0.91758220000000001</v>
      </c>
      <c r="Y4788">
        <v>0.64010619999999996</v>
      </c>
      <c r="Z4788">
        <v>-7.6817969999999998E-3</v>
      </c>
      <c r="AA4788">
        <v>0.76824799999999904</v>
      </c>
      <c r="AB4788">
        <v>17</v>
      </c>
      <c r="AC4788">
        <v>21.421899999999901</v>
      </c>
      <c r="AD4788">
        <v>-1.0516250988889999</v>
      </c>
      <c r="AE4788">
        <v>-23.206572000000001</v>
      </c>
      <c r="AF4788">
        <v>20.261300599306701</v>
      </c>
      <c r="AG4788">
        <v>-1.0516250988889999</v>
      </c>
      <c r="AH4788">
        <v>24.180866900320499</v>
      </c>
      <c r="AI4788">
        <v>91.909237911903304</v>
      </c>
      <c r="AJ4788">
        <v>50.040146574437699</v>
      </c>
      <c r="AK4788">
        <v>31.564862448220701</v>
      </c>
    </row>
    <row r="4789" spans="1:37" x14ac:dyDescent="0.2">
      <c r="A4789" t="str">
        <f>"20200111160311390"</f>
        <v>20200111160311390</v>
      </c>
      <c r="B4789" t="str">
        <f>"1578729791378507"</f>
        <v>1578729791378507</v>
      </c>
      <c r="C4789" t="s">
        <v>37</v>
      </c>
      <c r="D4789">
        <v>4.3728959999999999</v>
      </c>
      <c r="E4789">
        <v>0.62381489999999995</v>
      </c>
      <c r="F4789" t="s">
        <v>38</v>
      </c>
      <c r="G4789">
        <v>-289.34249999999997</v>
      </c>
      <c r="H4789">
        <v>7.9986329999999994E-2</v>
      </c>
      <c r="I4789">
        <v>-8.3689319999999991</v>
      </c>
      <c r="J4789">
        <v>-313.49799999999999</v>
      </c>
      <c r="K4789">
        <v>1.0515000000000001</v>
      </c>
      <c r="L4789">
        <v>19.251919999999998</v>
      </c>
      <c r="M4789">
        <v>0.99108739999999995</v>
      </c>
      <c r="N4789">
        <v>0</v>
      </c>
      <c r="O4789">
        <v>-0.13229669999999999</v>
      </c>
      <c r="P4789">
        <v>0.85662349999999998</v>
      </c>
      <c r="Q4789">
        <v>-1.2526890000000001E-2</v>
      </c>
      <c r="R4789">
        <v>-0.51579039999999998</v>
      </c>
      <c r="S4789">
        <v>2.0798649999999999</v>
      </c>
      <c r="T4789">
        <v>-8.3302020000000004E-2</v>
      </c>
      <c r="U4789">
        <v>-2.369659</v>
      </c>
      <c r="V4789">
        <v>0.39791209999999999</v>
      </c>
      <c r="W4789">
        <v>-2.0095709999999999E-3</v>
      </c>
      <c r="X4789">
        <v>0.9174213</v>
      </c>
      <c r="Y4789">
        <v>0.65750209999999998</v>
      </c>
      <c r="Z4789">
        <v>-6.3234769999999897E-3</v>
      </c>
      <c r="AA4789">
        <v>0.75342619999999905</v>
      </c>
      <c r="AB4789">
        <v>17</v>
      </c>
      <c r="AC4789">
        <v>24.1555</v>
      </c>
      <c r="AD4789">
        <v>-0.97151367</v>
      </c>
      <c r="AE4789">
        <v>-27.620851999999999</v>
      </c>
      <c r="AF4789">
        <v>24.164988073520998</v>
      </c>
      <c r="AG4789">
        <v>-0.97151367</v>
      </c>
      <c r="AH4789">
        <v>27.578384693569401</v>
      </c>
      <c r="AI4789">
        <v>91.517704769347404</v>
      </c>
      <c r="AJ4789">
        <v>48.774208228354901</v>
      </c>
      <c r="AK4789">
        <v>36.680482408372299</v>
      </c>
    </row>
    <row r="4790" spans="1:37" x14ac:dyDescent="0.2">
      <c r="A4790" t="str">
        <f>"20200111160311402"</f>
        <v>20200111160311402</v>
      </c>
      <c r="B4790" t="str">
        <f>"1578729791398025"</f>
        <v>1578729791398025</v>
      </c>
      <c r="C4790" t="s">
        <v>37</v>
      </c>
      <c r="D4790">
        <v>4.3757510000000002</v>
      </c>
      <c r="E4790">
        <v>0.62578979999999995</v>
      </c>
      <c r="F4790" t="s">
        <v>38</v>
      </c>
      <c r="G4790">
        <v>-288.25819999999999</v>
      </c>
      <c r="H4790">
        <v>7.9985940000000005E-2</v>
      </c>
      <c r="I4790">
        <v>-10.076499999999999</v>
      </c>
      <c r="J4790">
        <v>-313.39580000000001</v>
      </c>
      <c r="K4790">
        <v>1.0513950000000001</v>
      </c>
      <c r="L4790">
        <v>19.23254</v>
      </c>
      <c r="M4790">
        <v>0.99044639999999995</v>
      </c>
      <c r="N4790">
        <v>0</v>
      </c>
      <c r="O4790">
        <v>-0.13702110000000001</v>
      </c>
      <c r="P4790">
        <v>0.85380210000000001</v>
      </c>
      <c r="Q4790">
        <v>-1.0574510000000001E-2</v>
      </c>
      <c r="R4790">
        <v>-0.52049079999999903</v>
      </c>
      <c r="S4790">
        <v>2.0598450000000001</v>
      </c>
      <c r="T4790">
        <v>-7.9286339999999997E-2</v>
      </c>
      <c r="U4790">
        <v>-2.3935240000000002</v>
      </c>
      <c r="V4790">
        <v>0.39859420000000001</v>
      </c>
      <c r="W4790">
        <v>-1.6118209999999901E-4</v>
      </c>
      <c r="X4790">
        <v>0.91712739999999904</v>
      </c>
      <c r="Y4790">
        <v>0.66126439999999997</v>
      </c>
      <c r="Z4790">
        <v>-5.9557859999999898E-3</v>
      </c>
      <c r="AA4790">
        <v>0.7501293</v>
      </c>
      <c r="AB4790">
        <v>17</v>
      </c>
      <c r="AC4790">
        <v>25.137599999999999</v>
      </c>
      <c r="AD4790">
        <v>-0.97140906000000005</v>
      </c>
      <c r="AE4790">
        <v>-29.30904</v>
      </c>
      <c r="AF4790">
        <v>25.571552136900301</v>
      </c>
      <c r="AG4790">
        <v>-0.97140906000000005</v>
      </c>
      <c r="AH4790">
        <v>28.898598580216401</v>
      </c>
      <c r="AI4790">
        <v>91.442051811355796</v>
      </c>
      <c r="AJ4790">
        <v>48.495293932581902</v>
      </c>
      <c r="AK4790">
        <v>38.600219094618502</v>
      </c>
    </row>
    <row r="4791" spans="1:37" x14ac:dyDescent="0.2">
      <c r="A4791" t="str">
        <f>"20200111160311415"</f>
        <v>20200111160311415</v>
      </c>
      <c r="B4791" t="str">
        <f>"1578729791407786"</f>
        <v>1578729791407786</v>
      </c>
      <c r="C4791" t="s">
        <v>37</v>
      </c>
      <c r="D4791">
        <v>4.3779409999999999</v>
      </c>
      <c r="E4791">
        <v>0.6263609</v>
      </c>
      <c r="F4791" t="s">
        <v>48</v>
      </c>
      <c r="G4791">
        <v>-282.6386</v>
      </c>
      <c r="H4791">
        <v>9.4512850000000002E-3</v>
      </c>
      <c r="I4791">
        <v>-17.25919</v>
      </c>
      <c r="J4791">
        <v>-313.2962</v>
      </c>
      <c r="K4791">
        <v>1.051302</v>
      </c>
      <c r="L4791">
        <v>19.213259999999998</v>
      </c>
      <c r="M4791">
        <v>0.98979349999999999</v>
      </c>
      <c r="N4791">
        <v>0</v>
      </c>
      <c r="O4791">
        <v>-0.14166689999999901</v>
      </c>
      <c r="P4791">
        <v>0.85099939999999996</v>
      </c>
      <c r="Q4791">
        <v>-8.2481499999999992E-3</v>
      </c>
      <c r="R4791">
        <v>-0.52510230000000002</v>
      </c>
      <c r="S4791">
        <v>2.0384519999999999</v>
      </c>
      <c r="T4791">
        <v>-6.9055499999999895E-2</v>
      </c>
      <c r="U4791">
        <v>-2.4185180000000002</v>
      </c>
      <c r="V4791">
        <v>0.39927089999999998</v>
      </c>
      <c r="W4791">
        <v>2.0683450000000001E-3</v>
      </c>
      <c r="X4791">
        <v>0.916830699999999</v>
      </c>
      <c r="Y4791">
        <v>0.66548499999999999</v>
      </c>
      <c r="Z4791">
        <v>-5.1418289999999997E-3</v>
      </c>
      <c r="AA4791">
        <v>0.74639359999999999</v>
      </c>
      <c r="AB4791">
        <v>17</v>
      </c>
      <c r="AC4791">
        <v>30.657599999999999</v>
      </c>
      <c r="AD4791">
        <v>-1.041850715</v>
      </c>
      <c r="AE4791">
        <v>-36.472450000000002</v>
      </c>
      <c r="AF4791">
        <v>31.745648404331099</v>
      </c>
      <c r="AG4791">
        <v>-1.041850715</v>
      </c>
      <c r="AH4791">
        <v>35.498908495186697</v>
      </c>
      <c r="AI4791">
        <v>91.253260308080201</v>
      </c>
      <c r="AJ4791">
        <v>48.1946536119152</v>
      </c>
      <c r="AK4791">
        <v>47.634484880949302</v>
      </c>
    </row>
    <row r="4792" spans="1:37" x14ac:dyDescent="0.2">
      <c r="A4792" t="str">
        <f>"20200111160311433"</f>
        <v>20200111160311433</v>
      </c>
      <c r="B4792" t="str">
        <f>"1578729791428282"</f>
        <v>1578729791428282</v>
      </c>
      <c r="C4792" t="s">
        <v>37</v>
      </c>
      <c r="D4792">
        <v>4.4026889999999996</v>
      </c>
      <c r="E4792">
        <v>0.62700869999999997</v>
      </c>
      <c r="F4792" t="s">
        <v>48</v>
      </c>
      <c r="G4792">
        <v>-282.971</v>
      </c>
      <c r="H4792">
        <v>0.125471</v>
      </c>
      <c r="I4792">
        <v>-17.264009999999999</v>
      </c>
      <c r="J4792">
        <v>-313.17340000000002</v>
      </c>
      <c r="K4792">
        <v>1.051213</v>
      </c>
      <c r="L4792">
        <v>19.188779999999898</v>
      </c>
      <c r="M4792">
        <v>0.98894819999999894</v>
      </c>
      <c r="N4792">
        <v>0</v>
      </c>
      <c r="O4792">
        <v>-0.14746020000000001</v>
      </c>
      <c r="P4792">
        <v>0.8468696</v>
      </c>
      <c r="Q4792">
        <v>-3.3718159999999902E-3</v>
      </c>
      <c r="R4792">
        <v>-0.53179030000000005</v>
      </c>
      <c r="S4792">
        <v>2.0231020000000002</v>
      </c>
      <c r="T4792">
        <v>-6.1765489999999999E-2</v>
      </c>
      <c r="U4792">
        <v>-2.4335330000000002</v>
      </c>
      <c r="V4792">
        <v>0.40116659999999998</v>
      </c>
      <c r="W4792">
        <v>6.8152059999999999E-3</v>
      </c>
      <c r="X4792">
        <v>0.91597969999999895</v>
      </c>
      <c r="Y4792">
        <v>0.66619010000000001</v>
      </c>
      <c r="Z4792">
        <v>-4.4877459999999999E-3</v>
      </c>
      <c r="AA4792">
        <v>0.74576849999999995</v>
      </c>
      <c r="AB4792">
        <v>17</v>
      </c>
      <c r="AC4792">
        <v>30.202400000000001</v>
      </c>
      <c r="AD4792">
        <v>-0.92574199999999995</v>
      </c>
      <c r="AE4792">
        <v>-36.452789999999901</v>
      </c>
      <c r="AF4792">
        <v>31.587933262406501</v>
      </c>
      <c r="AG4792">
        <v>-0.92574199999999995</v>
      </c>
      <c r="AH4792">
        <v>35.234646627286502</v>
      </c>
      <c r="AI4792">
        <v>91.120735719761498</v>
      </c>
      <c r="AJ4792">
        <v>48.123708045090702</v>
      </c>
      <c r="AK4792">
        <v>47.330062845833702</v>
      </c>
    </row>
    <row r="4793" spans="1:37" x14ac:dyDescent="0.2">
      <c r="A4793" t="str">
        <f>"20200111160311444"</f>
        <v>20200111160311444</v>
      </c>
      <c r="B4793" t="str">
        <f>"1578729791438041"</f>
        <v>1578729791438041</v>
      </c>
      <c r="C4793" t="s">
        <v>37</v>
      </c>
      <c r="D4793">
        <v>4.4013559999999998</v>
      </c>
      <c r="E4793">
        <v>0.62708430000000004</v>
      </c>
      <c r="F4793" t="s">
        <v>92</v>
      </c>
      <c r="G4793">
        <v>-279.02</v>
      </c>
      <c r="H4793">
        <v>0.28020970000000001</v>
      </c>
      <c r="I4793">
        <v>-22.691379999999999</v>
      </c>
      <c r="J4793">
        <v>-313.06979999999999</v>
      </c>
      <c r="K4793">
        <v>1.051132</v>
      </c>
      <c r="L4793">
        <v>19.16742</v>
      </c>
      <c r="M4793">
        <v>0.98819630000000003</v>
      </c>
      <c r="N4793">
        <v>0</v>
      </c>
      <c r="O4793">
        <v>-0.15242269999999999</v>
      </c>
      <c r="P4793">
        <v>0.84349509999999905</v>
      </c>
      <c r="Q4793">
        <v>-8.8349730000000001E-4</v>
      </c>
      <c r="R4793">
        <v>-0.5371359</v>
      </c>
      <c r="S4793">
        <v>2.0012509999999999</v>
      </c>
      <c r="T4793">
        <v>-4.5177700000000001E-2</v>
      </c>
      <c r="U4793">
        <v>-2.4540099999999998</v>
      </c>
      <c r="V4793">
        <v>0.4023854</v>
      </c>
      <c r="W4793">
        <v>9.2055130000000002E-3</v>
      </c>
      <c r="X4793">
        <v>0.91542400000000002</v>
      </c>
      <c r="Y4793">
        <v>0.66952460000000003</v>
      </c>
      <c r="Z4793">
        <v>-3.2419200000000001E-3</v>
      </c>
      <c r="AA4793">
        <v>0.74278279999999997</v>
      </c>
      <c r="AB4793">
        <v>17</v>
      </c>
      <c r="AC4793">
        <v>34.049799999999998</v>
      </c>
      <c r="AD4793">
        <v>-0.77092229999999995</v>
      </c>
      <c r="AE4793">
        <v>-41.858800000000002</v>
      </c>
      <c r="AF4793">
        <v>36.171623677832201</v>
      </c>
      <c r="AG4793">
        <v>-0.77092229999999995</v>
      </c>
      <c r="AH4793">
        <v>40.024659641942101</v>
      </c>
      <c r="AI4793">
        <v>90.818710469818797</v>
      </c>
      <c r="AJ4793">
        <v>47.894823878724402</v>
      </c>
      <c r="AK4793">
        <v>53.953258104924998</v>
      </c>
    </row>
    <row r="4794" spans="1:37" x14ac:dyDescent="0.2">
      <c r="A4794" t="str">
        <f>"20200111160311465"</f>
        <v>20200111160311465</v>
      </c>
      <c r="B4794" t="str">
        <f>"1578729791457563"</f>
        <v>1578729791457563</v>
      </c>
      <c r="C4794" t="s">
        <v>37</v>
      </c>
      <c r="D4794">
        <v>4.3860890000000001</v>
      </c>
      <c r="E4794">
        <v>0.62701309999999999</v>
      </c>
      <c r="F4794" t="s">
        <v>48</v>
      </c>
      <c r="G4794">
        <v>-282.390999999999</v>
      </c>
      <c r="H4794">
        <v>0.42796079999999997</v>
      </c>
      <c r="I4794">
        <v>-18.945920000000001</v>
      </c>
      <c r="J4794">
        <v>-312.92129999999997</v>
      </c>
      <c r="K4794">
        <v>1.051029</v>
      </c>
      <c r="L4794">
        <v>19.135739999999998</v>
      </c>
      <c r="M4794">
        <v>0.9870582</v>
      </c>
      <c r="N4794">
        <v>0</v>
      </c>
      <c r="O4794">
        <v>-0.1596351</v>
      </c>
      <c r="P4794">
        <v>0.83769539999999998</v>
      </c>
      <c r="Q4794">
        <v>2.6919470000000001E-3</v>
      </c>
      <c r="R4794">
        <v>-0.546131699999999</v>
      </c>
      <c r="S4794">
        <v>1.985657</v>
      </c>
      <c r="T4794">
        <v>-4.0334219999999997E-2</v>
      </c>
      <c r="U4794">
        <v>-2.4668580000000002</v>
      </c>
      <c r="V4794">
        <v>0.40553070000000002</v>
      </c>
      <c r="W4794">
        <v>1.2624710000000001E-2</v>
      </c>
      <c r="X4794">
        <v>0.91399430000000004</v>
      </c>
      <c r="Y4794">
        <v>0.66885050000000001</v>
      </c>
      <c r="Z4794">
        <v>-2.7902339999999999E-3</v>
      </c>
      <c r="AA4794">
        <v>0.74339180000000005</v>
      </c>
      <c r="AB4794">
        <v>17</v>
      </c>
      <c r="AC4794">
        <v>30.5303</v>
      </c>
      <c r="AD4794">
        <v>-0.62306819999999996</v>
      </c>
      <c r="AE4794">
        <v>-38.081659999999999</v>
      </c>
      <c r="AF4794">
        <v>32.713584175587997</v>
      </c>
      <c r="AG4794">
        <v>-0.62306819999999996</v>
      </c>
      <c r="AH4794">
        <v>36.212666549340497</v>
      </c>
      <c r="AI4794">
        <v>90.731486077357005</v>
      </c>
      <c r="AJ4794">
        <v>47.906159722054099</v>
      </c>
      <c r="AK4794">
        <v>48.804958991980101</v>
      </c>
    </row>
    <row r="4795" spans="1:37" x14ac:dyDescent="0.2">
      <c r="A4795" t="str">
        <f>"20200111160311478"</f>
        <v>20200111160311478</v>
      </c>
      <c r="B4795" t="str">
        <f>"1578729791468298"</f>
        <v>1578729791468298</v>
      </c>
      <c r="C4795" t="s">
        <v>37</v>
      </c>
      <c r="D4795">
        <v>4.3633290000000002</v>
      </c>
      <c r="E4795">
        <v>0.62693759999999998</v>
      </c>
      <c r="F4795" t="s">
        <v>48</v>
      </c>
      <c r="G4795">
        <v>-282.40019999999998</v>
      </c>
      <c r="H4795">
        <v>0.53461139999999996</v>
      </c>
      <c r="I4795">
        <v>-19.59937</v>
      </c>
      <c r="J4795">
        <v>-312.82530000000003</v>
      </c>
      <c r="K4795">
        <v>1.050964</v>
      </c>
      <c r="L4795">
        <v>19.1145</v>
      </c>
      <c r="M4795">
        <v>0.98628019999999905</v>
      </c>
      <c r="N4795">
        <v>0</v>
      </c>
      <c r="O4795">
        <v>-0.1643761</v>
      </c>
      <c r="P4795">
        <v>0.83408409999999999</v>
      </c>
      <c r="Q4795">
        <v>3.9795189999999999E-3</v>
      </c>
      <c r="R4795">
        <v>-0.55162339999999999</v>
      </c>
      <c r="S4795">
        <v>1.959808</v>
      </c>
      <c r="T4795">
        <v>-3.3159969999999997E-2</v>
      </c>
      <c r="U4795">
        <v>-2.487244</v>
      </c>
      <c r="V4795">
        <v>0.4071574</v>
      </c>
      <c r="W4795">
        <v>1.3821470000000001E-2</v>
      </c>
      <c r="X4795">
        <v>0.91325339999999999</v>
      </c>
      <c r="Y4795">
        <v>0.67300879999999996</v>
      </c>
      <c r="Z4795">
        <v>-2.2745479999999999E-3</v>
      </c>
      <c r="AA4795">
        <v>0.73963100000000004</v>
      </c>
      <c r="AB4795">
        <v>17</v>
      </c>
      <c r="AC4795">
        <v>30.4251</v>
      </c>
      <c r="AD4795">
        <v>-0.51635259999999905</v>
      </c>
      <c r="AE4795">
        <v>-38.71387</v>
      </c>
      <c r="AF4795">
        <v>33.181762612199698</v>
      </c>
      <c r="AG4795">
        <v>-0.51635259999999905</v>
      </c>
      <c r="AH4795">
        <v>36.371526202075103</v>
      </c>
      <c r="AI4795">
        <v>90.600888897522793</v>
      </c>
      <c r="AJ4795">
        <v>47.625785619138803</v>
      </c>
      <c r="AK4795">
        <v>49.236002156228501</v>
      </c>
    </row>
    <row r="4796" spans="1:37" x14ac:dyDescent="0.2">
      <c r="A4796" t="str">
        <f>"20200111160311499"</f>
        <v>20200111160311499</v>
      </c>
      <c r="B4796" t="str">
        <f>"1578729791487818"</f>
        <v>1578729791487818</v>
      </c>
      <c r="C4796" t="s">
        <v>37</v>
      </c>
      <c r="D4796">
        <v>4.4518199999999997</v>
      </c>
      <c r="E4796">
        <v>0.62677249999999995</v>
      </c>
      <c r="F4796" t="s">
        <v>48</v>
      </c>
      <c r="G4796">
        <v>-282.40019999999998</v>
      </c>
      <c r="H4796">
        <v>0.56004670000000001</v>
      </c>
      <c r="I4796">
        <v>-20.004560000000001</v>
      </c>
      <c r="J4796">
        <v>-312.66890000000001</v>
      </c>
      <c r="K4796">
        <v>1.050864</v>
      </c>
      <c r="L4796">
        <v>19.078859999999999</v>
      </c>
      <c r="M4796">
        <v>0.98494389999999998</v>
      </c>
      <c r="N4796">
        <v>0</v>
      </c>
      <c r="O4796">
        <v>-0.17220729999999901</v>
      </c>
      <c r="P4796">
        <v>0.82750590000000002</v>
      </c>
      <c r="Q4796">
        <v>6.8039819999999897E-3</v>
      </c>
      <c r="R4796">
        <v>-0.56141589999999997</v>
      </c>
      <c r="S4796">
        <v>1.9439389999999901</v>
      </c>
      <c r="T4796">
        <v>-3.1365990000000003E-2</v>
      </c>
      <c r="U4796">
        <v>-2.4994200000000002</v>
      </c>
      <c r="V4796">
        <v>0.41069559999999999</v>
      </c>
      <c r="W4796">
        <v>1.6484769999999999E-2</v>
      </c>
      <c r="X4796">
        <v>0.91162350000000003</v>
      </c>
      <c r="Y4796">
        <v>0.67180649999999997</v>
      </c>
      <c r="Z4796">
        <v>-2.0598129999999902E-3</v>
      </c>
      <c r="AA4796">
        <v>0.74072380000000004</v>
      </c>
      <c r="AB4796">
        <v>17</v>
      </c>
      <c r="AC4796">
        <v>30.268699999999999</v>
      </c>
      <c r="AD4796">
        <v>-0.49081730000000001</v>
      </c>
      <c r="AE4796">
        <v>-39.083419999999997</v>
      </c>
      <c r="AF4796">
        <v>33.2830347691933</v>
      </c>
      <c r="AG4796">
        <v>-0.49081730000000001</v>
      </c>
      <c r="AH4796">
        <v>36.544025272679797</v>
      </c>
      <c r="AI4796">
        <v>90.568913689377496</v>
      </c>
      <c r="AJ4796">
        <v>47.673824991715598</v>
      </c>
      <c r="AK4796">
        <v>49.431438257444697</v>
      </c>
    </row>
    <row r="4797" spans="1:37" x14ac:dyDescent="0.2">
      <c r="A4797" t="str">
        <f>"20200111160311512"</f>
        <v>20200111160311512</v>
      </c>
      <c r="B4797" t="str">
        <f>"1578729791508314"</f>
        <v>1578729791508314</v>
      </c>
      <c r="C4797" t="s">
        <v>37</v>
      </c>
      <c r="D4797">
        <v>4.4309890000000003</v>
      </c>
      <c r="E4797">
        <v>0.62613350000000001</v>
      </c>
      <c r="F4797" t="s">
        <v>48</v>
      </c>
      <c r="G4797">
        <v>-282.40019999999998</v>
      </c>
      <c r="H4797">
        <v>0.68254009999999998</v>
      </c>
      <c r="I4797">
        <v>-20.768550000000001</v>
      </c>
      <c r="J4797">
        <v>-312.57170000000002</v>
      </c>
      <c r="K4797">
        <v>1.0508040000000001</v>
      </c>
      <c r="L4797">
        <v>19.056090000000001</v>
      </c>
      <c r="M4797">
        <v>0.98407040000000001</v>
      </c>
      <c r="N4797">
        <v>0</v>
      </c>
      <c r="O4797">
        <v>-0.17713329999999999</v>
      </c>
      <c r="P4797">
        <v>0.82341019999999898</v>
      </c>
      <c r="Q4797">
        <v>7.9743230000000002E-3</v>
      </c>
      <c r="R4797">
        <v>-0.56739030000000001</v>
      </c>
      <c r="S4797">
        <v>1.9151</v>
      </c>
      <c r="T4797">
        <v>-2.3303870000000001E-2</v>
      </c>
      <c r="U4797">
        <v>-2.5211489999999999</v>
      </c>
      <c r="V4797">
        <v>0.41274670000000002</v>
      </c>
      <c r="W4797">
        <v>1.755893E-2</v>
      </c>
      <c r="X4797">
        <v>0.91067659999999995</v>
      </c>
      <c r="Y4797">
        <v>0.67654409999999998</v>
      </c>
      <c r="Z4797">
        <v>-1.5185329999999901E-3</v>
      </c>
      <c r="AA4797">
        <v>0.73640050000000001</v>
      </c>
      <c r="AB4797">
        <v>17</v>
      </c>
      <c r="AC4797">
        <v>30.171500000000002</v>
      </c>
      <c r="AD4797">
        <v>-0.36826389999999998</v>
      </c>
      <c r="AE4797">
        <v>-39.824640000000002</v>
      </c>
      <c r="AF4797">
        <v>33.847913302026001</v>
      </c>
      <c r="AG4797">
        <v>-0.36826389999999998</v>
      </c>
      <c r="AH4797">
        <v>36.747366082207201</v>
      </c>
      <c r="AI4797">
        <v>90.422325458154205</v>
      </c>
      <c r="AJ4797">
        <v>47.3519007509598</v>
      </c>
      <c r="AK4797">
        <v>49.961843112331898</v>
      </c>
    </row>
    <row r="4798" spans="1:37" x14ac:dyDescent="0.2">
      <c r="A4798" t="str">
        <f>"20200111160311523"</f>
        <v>20200111160311523</v>
      </c>
      <c r="B4798" t="str">
        <f>"1578729791518074"</f>
        <v>1578729791518074</v>
      </c>
      <c r="C4798" t="s">
        <v>37</v>
      </c>
      <c r="D4798">
        <v>4.4424489999999999</v>
      </c>
      <c r="E4798">
        <v>0.62579200000000001</v>
      </c>
      <c r="F4798" t="s">
        <v>48</v>
      </c>
      <c r="G4798">
        <v>-282.40019999999998</v>
      </c>
      <c r="H4798">
        <v>0.58724379999999998</v>
      </c>
      <c r="I4798">
        <v>-21.1172</v>
      </c>
      <c r="J4798">
        <v>-312.4794</v>
      </c>
      <c r="K4798">
        <v>1.050753</v>
      </c>
      <c r="L4798">
        <v>19.03369</v>
      </c>
      <c r="M4798">
        <v>0.98320429999999903</v>
      </c>
      <c r="N4798">
        <v>0</v>
      </c>
      <c r="O4798">
        <v>-0.1818813</v>
      </c>
      <c r="P4798">
        <v>0.81937859999999996</v>
      </c>
      <c r="Q4798">
        <v>9.2844940000000008E-3</v>
      </c>
      <c r="R4798">
        <v>-0.57317790000000002</v>
      </c>
      <c r="S4798">
        <v>1.9002079999999999</v>
      </c>
      <c r="T4798">
        <v>-2.919507E-2</v>
      </c>
      <c r="U4798">
        <v>-2.5301209999999998</v>
      </c>
      <c r="V4798">
        <v>0.41478339999999903</v>
      </c>
      <c r="W4798">
        <v>1.877943E-2</v>
      </c>
      <c r="X4798">
        <v>0.90972640000000005</v>
      </c>
      <c r="Y4798">
        <v>0.67700530000000003</v>
      </c>
      <c r="Z4798">
        <v>-1.859847E-3</v>
      </c>
      <c r="AA4798">
        <v>0.73597579999999996</v>
      </c>
      <c r="AB4798">
        <v>17</v>
      </c>
      <c r="AC4798">
        <v>30.0792</v>
      </c>
      <c r="AD4798">
        <v>-0.46350920000000001</v>
      </c>
      <c r="AE4798">
        <v>-40.150889999999997</v>
      </c>
      <c r="AF4798">
        <v>34.0066666253189</v>
      </c>
      <c r="AG4798">
        <v>-0.46350920000000001</v>
      </c>
      <c r="AH4798">
        <v>36.877760763369203</v>
      </c>
      <c r="AI4798">
        <v>90.529391352037806</v>
      </c>
      <c r="AJ4798">
        <v>47.319433375416402</v>
      </c>
      <c r="AK4798">
        <v>50.166098658998401</v>
      </c>
    </row>
    <row r="4799" spans="1:37" x14ac:dyDescent="0.2">
      <c r="A4799" t="str">
        <f>"20200111160311535"</f>
        <v>20200111160311535</v>
      </c>
      <c r="B4799" t="str">
        <f>"1578729791527834"</f>
        <v>1578729791527834</v>
      </c>
      <c r="C4799" t="s">
        <v>37</v>
      </c>
      <c r="D4799">
        <v>4.4410089999999904</v>
      </c>
      <c r="E4799">
        <v>0.62542529999999996</v>
      </c>
      <c r="F4799" t="s">
        <v>48</v>
      </c>
      <c r="G4799">
        <v>-283.11799999999999</v>
      </c>
      <c r="H4799">
        <v>0.60650380000000004</v>
      </c>
      <c r="I4799">
        <v>-20.56719</v>
      </c>
      <c r="J4799">
        <v>-312.39159999999998</v>
      </c>
      <c r="K4799">
        <v>1.0507070000000001</v>
      </c>
      <c r="L4799">
        <v>19.011959999999998</v>
      </c>
      <c r="M4799">
        <v>0.98235139999999999</v>
      </c>
      <c r="N4799">
        <v>0</v>
      </c>
      <c r="O4799">
        <v>-0.186435299999999</v>
      </c>
      <c r="P4799">
        <v>0.8150482</v>
      </c>
      <c r="Q4799">
        <v>1.096071E-2</v>
      </c>
      <c r="R4799">
        <v>-0.57928970000000002</v>
      </c>
      <c r="S4799">
        <v>1.884064</v>
      </c>
      <c r="T4799">
        <v>-2.850652E-2</v>
      </c>
      <c r="U4799">
        <v>-2.5411069999999998</v>
      </c>
      <c r="V4799">
        <v>0.417392599999999</v>
      </c>
      <c r="W4799">
        <v>2.0361750000000001E-2</v>
      </c>
      <c r="X4799">
        <v>0.90849809999999998</v>
      </c>
      <c r="Y4799">
        <v>0.67813349999999994</v>
      </c>
      <c r="Z4799">
        <v>-1.7802569999999999E-3</v>
      </c>
      <c r="AA4799">
        <v>0.73493660000000005</v>
      </c>
      <c r="AB4799">
        <v>17</v>
      </c>
      <c r="AC4799">
        <v>29.273599999999899</v>
      </c>
      <c r="AD4799">
        <v>-0.44420320000000002</v>
      </c>
      <c r="AE4799">
        <v>-39.579149999999998</v>
      </c>
      <c r="AF4799">
        <v>33.424083925081398</v>
      </c>
      <c r="AG4799">
        <v>-0.44420320000000002</v>
      </c>
      <c r="AH4799">
        <v>36.137083455598201</v>
      </c>
      <c r="AI4799">
        <v>90.517023883440501</v>
      </c>
      <c r="AJ4799">
        <v>47.2334972828452</v>
      </c>
      <c r="AK4799">
        <v>49.2265731428732</v>
      </c>
    </row>
    <row r="4800" spans="1:37" x14ac:dyDescent="0.2">
      <c r="A4800" t="str">
        <f>"20200111160311556"</f>
        <v>20200111160311556</v>
      </c>
      <c r="B4800" t="str">
        <f>"1578729791548329"</f>
        <v>1578729791548329</v>
      </c>
      <c r="C4800" t="s">
        <v>37</v>
      </c>
      <c r="D4800">
        <v>4.4855150000000004</v>
      </c>
      <c r="E4800">
        <v>0.62482740000000003</v>
      </c>
      <c r="F4800" t="s">
        <v>48</v>
      </c>
      <c r="G4800">
        <v>-283.45139999999998</v>
      </c>
      <c r="H4800">
        <v>0.70405549999999995</v>
      </c>
      <c r="I4800">
        <v>-20.56719</v>
      </c>
      <c r="J4800">
        <v>-312.2441</v>
      </c>
      <c r="K4800">
        <v>1.05064</v>
      </c>
      <c r="L4800">
        <v>18.974460000000001</v>
      </c>
      <c r="M4800">
        <v>0.98085089999999997</v>
      </c>
      <c r="N4800">
        <v>0</v>
      </c>
      <c r="O4800">
        <v>-0.19417709999999999</v>
      </c>
      <c r="P4800">
        <v>0.80694259999999995</v>
      </c>
      <c r="Q4800">
        <v>1.4400019999999999E-2</v>
      </c>
      <c r="R4800">
        <v>-0.59045419999999904</v>
      </c>
      <c r="S4800">
        <v>1.866638</v>
      </c>
      <c r="T4800">
        <v>-2.2359009999999999E-2</v>
      </c>
      <c r="U4800">
        <v>-2.5528559999999998</v>
      </c>
      <c r="V4800">
        <v>0.42277569999999998</v>
      </c>
      <c r="W4800">
        <v>2.363063E-2</v>
      </c>
      <c r="X4800">
        <v>0.90592619999999902</v>
      </c>
      <c r="Y4800">
        <v>0.67722340000000003</v>
      </c>
      <c r="Z4800">
        <v>-1.3328960000000001E-3</v>
      </c>
      <c r="AA4800">
        <v>0.73577619999999999</v>
      </c>
      <c r="AB4800">
        <v>17</v>
      </c>
      <c r="AC4800">
        <v>28.7927</v>
      </c>
      <c r="AD4800">
        <v>-0.34658449999999902</v>
      </c>
      <c r="AE4800">
        <v>-39.541649999999997</v>
      </c>
      <c r="AF4800">
        <v>33.195677607149101</v>
      </c>
      <c r="AG4800">
        <v>-0.34658449999999902</v>
      </c>
      <c r="AH4800">
        <v>35.921698493731597</v>
      </c>
      <c r="AI4800">
        <v>90.405989437012096</v>
      </c>
      <c r="AJ4800">
        <v>47.258601080369303</v>
      </c>
      <c r="AK4800">
        <v>48.912590968869999</v>
      </c>
    </row>
    <row r="4801" spans="1:37" x14ac:dyDescent="0.2">
      <c r="A4801" t="str">
        <f>"20200111160311566"</f>
        <v>20200111160311566</v>
      </c>
      <c r="B4801" t="str">
        <f>"1578729791558090"</f>
        <v>1578729791558090</v>
      </c>
      <c r="C4801" t="s">
        <v>37</v>
      </c>
      <c r="D4801">
        <v>4.513922</v>
      </c>
      <c r="E4801">
        <v>0.62435499999999999</v>
      </c>
      <c r="F4801" t="s">
        <v>48</v>
      </c>
      <c r="G4801">
        <v>-284.07</v>
      </c>
      <c r="H4801">
        <v>0.85303700000000005</v>
      </c>
      <c r="I4801">
        <v>-20.56719</v>
      </c>
      <c r="J4801">
        <v>-312.15269999999998</v>
      </c>
      <c r="K4801">
        <v>1.050592</v>
      </c>
      <c r="L4801">
        <v>18.950589999999998</v>
      </c>
      <c r="M4801">
        <v>0.97987849999999999</v>
      </c>
      <c r="N4801">
        <v>0</v>
      </c>
      <c r="O4801">
        <v>-0.1990275</v>
      </c>
      <c r="P4801">
        <v>0.80182580000000003</v>
      </c>
      <c r="Q4801">
        <v>1.60135E-2</v>
      </c>
      <c r="R4801">
        <v>-0.59734350000000003</v>
      </c>
      <c r="S4801">
        <v>1.8342590000000001</v>
      </c>
      <c r="T4801">
        <v>-1.2864830000000001E-2</v>
      </c>
      <c r="U4801">
        <v>-2.574341</v>
      </c>
      <c r="V4801">
        <v>0.42607460000000003</v>
      </c>
      <c r="W4801">
        <v>2.5141279999999998E-2</v>
      </c>
      <c r="X4801">
        <v>0.90433869999999905</v>
      </c>
      <c r="Y4801">
        <v>0.68260849999999995</v>
      </c>
      <c r="Z4801">
        <v>-7.629027E-4</v>
      </c>
      <c r="AA4801">
        <v>0.73078390000000004</v>
      </c>
      <c r="AB4801">
        <v>17</v>
      </c>
      <c r="AC4801">
        <v>28.0826999999999</v>
      </c>
      <c r="AD4801">
        <v>-0.19755499999999901</v>
      </c>
      <c r="AE4801">
        <v>-39.517780000000002</v>
      </c>
      <c r="AF4801">
        <v>33.136590845790003</v>
      </c>
      <c r="AG4801">
        <v>-0.19755499999999901</v>
      </c>
      <c r="AH4801">
        <v>35.386173408907297</v>
      </c>
      <c r="AI4801">
        <v>90.233482569815493</v>
      </c>
      <c r="AJ4801">
        <v>46.8803285570526</v>
      </c>
      <c r="AK4801">
        <v>48.479417791311903</v>
      </c>
    </row>
    <row r="4802" spans="1:37" x14ac:dyDescent="0.2">
      <c r="A4802" t="str">
        <f>"20200111160311580"</f>
        <v>20200111160311580</v>
      </c>
      <c r="B4802" t="str">
        <f>"1578729791567851"</f>
        <v>1578729791567851</v>
      </c>
      <c r="C4802" t="s">
        <v>37</v>
      </c>
      <c r="D4802">
        <v>4.4893260000000001</v>
      </c>
      <c r="E4802">
        <v>0.62387230000000005</v>
      </c>
      <c r="F4802" t="s">
        <v>48</v>
      </c>
      <c r="G4802">
        <v>-282.32900000000001</v>
      </c>
      <c r="H4802">
        <v>0.91399969999999997</v>
      </c>
      <c r="I4802">
        <v>-23.574100000000001</v>
      </c>
      <c r="J4802">
        <v>-312.06310000000002</v>
      </c>
      <c r="K4802">
        <v>1.0505580000000001</v>
      </c>
      <c r="L4802">
        <v>18.92642</v>
      </c>
      <c r="M4802">
        <v>0.97888750000000002</v>
      </c>
      <c r="N4802">
        <v>0</v>
      </c>
      <c r="O4802">
        <v>-0.2038471</v>
      </c>
      <c r="P4802">
        <v>0.79687399999999997</v>
      </c>
      <c r="Q4802">
        <v>1.7159319999999999E-2</v>
      </c>
      <c r="R4802">
        <v>-0.60390219999999994</v>
      </c>
      <c r="S4802">
        <v>1.8143309999999999</v>
      </c>
      <c r="T4802">
        <v>-8.3096030000000005E-3</v>
      </c>
      <c r="U4802">
        <v>-2.5870060000000001</v>
      </c>
      <c r="V4802">
        <v>0.42906080000000002</v>
      </c>
      <c r="W4802">
        <v>2.6195220000000002E-2</v>
      </c>
      <c r="X4802">
        <v>0.90289569999999997</v>
      </c>
      <c r="Y4802">
        <v>0.6844654</v>
      </c>
      <c r="Z4802">
        <v>-4.8303510000000002E-4</v>
      </c>
      <c r="AA4802">
        <v>0.72904519999999995</v>
      </c>
      <c r="AB4802">
        <v>17</v>
      </c>
      <c r="AC4802">
        <v>29.734100000000002</v>
      </c>
      <c r="AD4802">
        <v>-0.13655829999999999</v>
      </c>
      <c r="AE4802">
        <v>-42.500520000000002</v>
      </c>
      <c r="AF4802">
        <v>35.545781547379399</v>
      </c>
      <c r="AG4802">
        <v>-0.13655829999999999</v>
      </c>
      <c r="AH4802">
        <v>37.773946329653597</v>
      </c>
      <c r="AI4802">
        <v>90.150845873320804</v>
      </c>
      <c r="AJ4802">
        <v>46.740666021587401</v>
      </c>
      <c r="AK4802">
        <v>51.868991269339901</v>
      </c>
    </row>
    <row r="4803" spans="1:37" x14ac:dyDescent="0.2">
      <c r="A4803" t="str">
        <f>"20200111160311594"</f>
        <v>20200111160311594</v>
      </c>
      <c r="B4803" t="str">
        <f>"1578729791588346"</f>
        <v>1578729791588346</v>
      </c>
      <c r="C4803" t="s">
        <v>37</v>
      </c>
      <c r="D4803">
        <v>4.4810930000000004</v>
      </c>
      <c r="E4803">
        <v>0.62306379999999995</v>
      </c>
      <c r="F4803" t="s">
        <v>48</v>
      </c>
      <c r="G4803">
        <v>-282.32900000000001</v>
      </c>
      <c r="H4803">
        <v>0.95844370000000001</v>
      </c>
      <c r="I4803">
        <v>-24.117349999999998</v>
      </c>
      <c r="J4803">
        <v>-311.9599</v>
      </c>
      <c r="K4803">
        <v>1.050519</v>
      </c>
      <c r="L4803">
        <v>18.89819</v>
      </c>
      <c r="M4803">
        <v>0.97770789999999996</v>
      </c>
      <c r="N4803">
        <v>0</v>
      </c>
      <c r="O4803">
        <v>-0.20943349999999999</v>
      </c>
      <c r="P4803">
        <v>0.79124319999999904</v>
      </c>
      <c r="Q4803">
        <v>1.8631099999999901E-2</v>
      </c>
      <c r="R4803">
        <v>-0.61121819999999905</v>
      </c>
      <c r="S4803">
        <v>1.795288</v>
      </c>
      <c r="T4803">
        <v>-5.5612329999999996E-3</v>
      </c>
      <c r="U4803">
        <v>-2.5989070000000001</v>
      </c>
      <c r="V4803">
        <v>0.43224600000000002</v>
      </c>
      <c r="W4803">
        <v>2.756658E-2</v>
      </c>
      <c r="X4803">
        <v>0.90133430000000003</v>
      </c>
      <c r="Y4803">
        <v>0.68547849999999999</v>
      </c>
      <c r="Z4803">
        <v>-3.141129E-4</v>
      </c>
      <c r="AA4803">
        <v>0.72809279999999998</v>
      </c>
      <c r="AB4803">
        <v>17</v>
      </c>
      <c r="AC4803">
        <v>29.6309</v>
      </c>
      <c r="AD4803">
        <v>-9.2075299999999902E-2</v>
      </c>
      <c r="AE4803">
        <v>-43.015540000000001</v>
      </c>
      <c r="AF4803">
        <v>35.854850375709901</v>
      </c>
      <c r="AG4803">
        <v>-9.2075299999999902E-2</v>
      </c>
      <c r="AH4803">
        <v>37.983413027193102</v>
      </c>
      <c r="AI4803">
        <v>90.100999324890495</v>
      </c>
      <c r="AJ4803">
        <v>46.651229113623998</v>
      </c>
      <c r="AK4803">
        <v>52.233307750129697</v>
      </c>
    </row>
    <row r="4804" spans="1:37" x14ac:dyDescent="0.2">
      <c r="A4804" t="str">
        <f>"20200111160311605"</f>
        <v>20200111160311605</v>
      </c>
      <c r="B4804" t="str">
        <f>"1578729791598106"</f>
        <v>1578729791598106</v>
      </c>
      <c r="C4804" t="s">
        <v>37</v>
      </c>
      <c r="D4804">
        <v>4.5318160000000001</v>
      </c>
      <c r="E4804">
        <v>0.62255340000000003</v>
      </c>
      <c r="F4804" t="s">
        <v>48</v>
      </c>
      <c r="G4804">
        <v>-282.32900000000001</v>
      </c>
      <c r="H4804">
        <v>1.0192379999999901</v>
      </c>
      <c r="I4804">
        <v>-24.668429999999901</v>
      </c>
      <c r="J4804">
        <v>-311.86419999999998</v>
      </c>
      <c r="K4804">
        <v>1.0504910000000001</v>
      </c>
      <c r="L4804">
        <v>18.87134</v>
      </c>
      <c r="M4804">
        <v>0.97657150000000004</v>
      </c>
      <c r="N4804">
        <v>0</v>
      </c>
      <c r="O4804">
        <v>-0.214670899999999</v>
      </c>
      <c r="P4804">
        <v>0.78566219999999998</v>
      </c>
      <c r="Q4804">
        <v>1.9416719999999998E-2</v>
      </c>
      <c r="R4804">
        <v>-0.61835130000000005</v>
      </c>
      <c r="S4804">
        <v>1.77526899999999</v>
      </c>
      <c r="T4804">
        <v>-1.8756389999999999E-3</v>
      </c>
      <c r="U4804">
        <v>-2.6101990000000002</v>
      </c>
      <c r="V4804">
        <v>0.435581</v>
      </c>
      <c r="W4804">
        <v>2.825391E-2</v>
      </c>
      <c r="X4804">
        <v>0.89970599999999901</v>
      </c>
      <c r="Y4804">
        <v>0.68685479999999999</v>
      </c>
      <c r="Z4804">
        <v>-1.03263799999999E-4</v>
      </c>
      <c r="AA4804">
        <v>0.72679459999999996</v>
      </c>
      <c r="AB4804">
        <v>17</v>
      </c>
      <c r="AC4804">
        <v>29.5351999999999</v>
      </c>
      <c r="AD4804">
        <v>-3.1253000000000197E-2</v>
      </c>
      <c r="AE4804">
        <v>-43.539769999999997</v>
      </c>
      <c r="AF4804">
        <v>36.183399763385701</v>
      </c>
      <c r="AG4804">
        <v>-3.1253000000000197E-2</v>
      </c>
      <c r="AH4804">
        <v>38.194230438077</v>
      </c>
      <c r="AI4804">
        <v>90.034035199157401</v>
      </c>
      <c r="AJ4804">
        <v>46.548638386507498</v>
      </c>
      <c r="AK4804">
        <v>52.612152911128</v>
      </c>
    </row>
    <row r="4805" spans="1:37" x14ac:dyDescent="0.2">
      <c r="A4805" t="str">
        <f>"20200111160311621"</f>
        <v>20200111160311621</v>
      </c>
      <c r="B4805" t="str">
        <f>"1578729791617626"</f>
        <v>1578729791617626</v>
      </c>
      <c r="C4805" t="s">
        <v>37</v>
      </c>
      <c r="D4805">
        <v>4.5112819999999996</v>
      </c>
      <c r="E4805">
        <v>0.60635539999999999</v>
      </c>
      <c r="F4805" t="s">
        <v>48</v>
      </c>
      <c r="G4805">
        <v>-282.32900000000001</v>
      </c>
      <c r="H4805">
        <v>0.99488840000000001</v>
      </c>
      <c r="I4805">
        <v>-25.28417</v>
      </c>
      <c r="J4805">
        <v>-311.76339999999999</v>
      </c>
      <c r="K4805">
        <v>1.050457</v>
      </c>
      <c r="L4805">
        <v>18.84225</v>
      </c>
      <c r="M4805">
        <v>0.97532739999999996</v>
      </c>
      <c r="N4805">
        <v>0</v>
      </c>
      <c r="O4805">
        <v>-0.22025459999999999</v>
      </c>
      <c r="P4805">
        <v>0.77755750000000001</v>
      </c>
      <c r="Q4805">
        <v>2.087116E-2</v>
      </c>
      <c r="R4805">
        <v>-0.62846539999999995</v>
      </c>
      <c r="S4805">
        <v>1.7543029999999999</v>
      </c>
      <c r="T4805">
        <v>-3.3022170000000001E-3</v>
      </c>
      <c r="U4805">
        <v>-2.6227109999999998</v>
      </c>
      <c r="V4805">
        <v>0.44209189999999998</v>
      </c>
      <c r="W4805">
        <v>2.9553220000000002E-2</v>
      </c>
      <c r="X4805">
        <v>0.89648280000000002</v>
      </c>
      <c r="Y4805">
        <v>0.68830909999999901</v>
      </c>
      <c r="Z4805">
        <v>-1.7670439999999999E-4</v>
      </c>
      <c r="AA4805">
        <v>0.72541750000000005</v>
      </c>
      <c r="AB4805">
        <v>17</v>
      </c>
      <c r="AC4805">
        <v>29.434399999999901</v>
      </c>
      <c r="AD4805">
        <v>-5.5568599999999899E-2</v>
      </c>
      <c r="AE4805">
        <v>-44.126420000000003</v>
      </c>
      <c r="AF4805">
        <v>36.558706014076598</v>
      </c>
      <c r="AG4805">
        <v>-5.5568599999999899E-2</v>
      </c>
      <c r="AH4805">
        <v>38.431493390502801</v>
      </c>
      <c r="AI4805">
        <v>90.060024289507894</v>
      </c>
      <c r="AJ4805">
        <v>46.4305937834174</v>
      </c>
      <c r="AK4805">
        <v>53.042640936488603</v>
      </c>
    </row>
    <row r="4806" spans="1:37" x14ac:dyDescent="0.2">
      <c r="A4806" t="str">
        <f>"20200111160311644"</f>
        <v>20200111160311644</v>
      </c>
      <c r="B4806" t="str">
        <f>"1578729791638121"</f>
        <v>1578729791638121</v>
      </c>
      <c r="C4806" t="s">
        <v>37</v>
      </c>
      <c r="D4806">
        <v>4.6770579999999997</v>
      </c>
      <c r="E4806">
        <v>0.60453999999999997</v>
      </c>
      <c r="F4806" t="s">
        <v>38</v>
      </c>
      <c r="G4806">
        <v>-289.34910000000002</v>
      </c>
      <c r="H4806">
        <v>7.9986180000000004E-2</v>
      </c>
      <c r="I4806">
        <v>-12.64372</v>
      </c>
      <c r="J4806">
        <v>-311.5865</v>
      </c>
      <c r="K4806">
        <v>1.0503979999999999</v>
      </c>
      <c r="L4806">
        <v>18.789760000000001</v>
      </c>
      <c r="M4806">
        <v>0.97303410000000001</v>
      </c>
      <c r="N4806">
        <v>0</v>
      </c>
      <c r="O4806">
        <v>-0.23017550000000001</v>
      </c>
      <c r="P4806">
        <v>0.76609430000000001</v>
      </c>
      <c r="Q4806">
        <v>2.2207299999999999E-2</v>
      </c>
      <c r="R4806">
        <v>-0.64234449999999998</v>
      </c>
      <c r="S4806">
        <v>1.8078000000000001</v>
      </c>
      <c r="T4806">
        <v>-7.827199E-2</v>
      </c>
      <c r="U4806">
        <v>-2.5394589999999999</v>
      </c>
      <c r="V4806">
        <v>0.44909700000000002</v>
      </c>
      <c r="W4806">
        <v>3.0697599999999998E-2</v>
      </c>
      <c r="X4806">
        <v>0.89295550000000001</v>
      </c>
      <c r="Y4806">
        <v>0.65914830000000002</v>
      </c>
      <c r="Z4806">
        <v>-3.4124789999999999E-3</v>
      </c>
      <c r="AA4806">
        <v>0.75200529999999999</v>
      </c>
      <c r="AB4806">
        <v>17</v>
      </c>
      <c r="AC4806">
        <v>22.237399999999901</v>
      </c>
      <c r="AD4806">
        <v>-0.97041182000000004</v>
      </c>
      <c r="AE4806">
        <v>-31.433479999999999</v>
      </c>
      <c r="AF4806">
        <v>25.454026602685602</v>
      </c>
      <c r="AG4806">
        <v>-0.97041182000000004</v>
      </c>
      <c r="AH4806">
        <v>28.857868045162199</v>
      </c>
      <c r="AI4806">
        <v>91.444626150705702</v>
      </c>
      <c r="AJ4806">
        <v>48.586157503394297</v>
      </c>
      <c r="AK4806">
        <v>38.4918915812489</v>
      </c>
    </row>
    <row r="4807" spans="1:37" x14ac:dyDescent="0.2">
      <c r="A4807" t="str">
        <f>"20200111160311657"</f>
        <v>20200111160311657</v>
      </c>
      <c r="B4807" t="str">
        <f>"1578729791647882"</f>
        <v>1578729791647882</v>
      </c>
      <c r="C4807" t="s">
        <v>37</v>
      </c>
      <c r="D4807">
        <v>4.5317800000000004</v>
      </c>
      <c r="E4807">
        <v>0.60453999999999997</v>
      </c>
      <c r="F4807" t="s">
        <v>38</v>
      </c>
      <c r="G4807">
        <v>-289.93979999999999</v>
      </c>
      <c r="H4807">
        <v>6.7993609999999996E-2</v>
      </c>
      <c r="I4807">
        <v>-12.487550000000001</v>
      </c>
      <c r="J4807">
        <v>-311.49360000000001</v>
      </c>
      <c r="K4807">
        <v>1.0503670000000001</v>
      </c>
      <c r="L4807">
        <v>18.76126</v>
      </c>
      <c r="M4807">
        <v>0.9717713</v>
      </c>
      <c r="N4807">
        <v>0</v>
      </c>
      <c r="O4807">
        <v>-0.23545050000000001</v>
      </c>
      <c r="P4807">
        <v>0.75986279999999995</v>
      </c>
      <c r="Q4807">
        <v>2.2613830000000001E-2</v>
      </c>
      <c r="R4807">
        <v>-0.64968999999999999</v>
      </c>
      <c r="S4807">
        <v>1.77179</v>
      </c>
      <c r="T4807">
        <v>-8.0410120000000002E-2</v>
      </c>
      <c r="U4807">
        <v>-2.5600589999999999</v>
      </c>
      <c r="V4807">
        <v>0.45285589999999998</v>
      </c>
      <c r="W4807">
        <v>3.1004529999999999E-2</v>
      </c>
      <c r="X4807">
        <v>0.89104450000000002</v>
      </c>
      <c r="Y4807">
        <v>0.66501219999999905</v>
      </c>
      <c r="Z4807">
        <v>-3.47373E-3</v>
      </c>
      <c r="AA4807">
        <v>0.7468245</v>
      </c>
      <c r="AB4807">
        <v>17</v>
      </c>
      <c r="AC4807">
        <v>21.553799999999999</v>
      </c>
      <c r="AD4807">
        <v>-0.98237339000000001</v>
      </c>
      <c r="AE4807">
        <v>-31.248809999999999</v>
      </c>
      <c r="AF4807">
        <v>25.277743652328201</v>
      </c>
      <c r="AG4807">
        <v>-0.98237339000000001</v>
      </c>
      <c r="AH4807">
        <v>28.287133451132998</v>
      </c>
      <c r="AI4807">
        <v>91.483381051215403</v>
      </c>
      <c r="AJ4807">
        <v>48.215619452981898</v>
      </c>
      <c r="AK4807">
        <v>37.948534892830999</v>
      </c>
    </row>
    <row r="4808" spans="1:37" x14ac:dyDescent="0.2">
      <c r="A4808" t="str">
        <f>"20200111160311672"</f>
        <v>20200111160311672</v>
      </c>
      <c r="B4808" t="str">
        <f>"1578729791668378"</f>
        <v>1578729791668378</v>
      </c>
      <c r="C4808" t="s">
        <v>37</v>
      </c>
      <c r="D4808">
        <v>4.5214980000000002</v>
      </c>
      <c r="E4808">
        <v>0.6016821</v>
      </c>
      <c r="F4808" t="s">
        <v>38</v>
      </c>
      <c r="G4808">
        <v>-289.94470000000001</v>
      </c>
      <c r="H4808">
        <v>6.3051419999999997E-2</v>
      </c>
      <c r="I4808">
        <v>-13.015839999999899</v>
      </c>
      <c r="J4808">
        <v>-311.39640000000003</v>
      </c>
      <c r="K4808">
        <v>1.050333</v>
      </c>
      <c r="L4808">
        <v>18.730929999999901</v>
      </c>
      <c r="M4808">
        <v>0.97040740000000003</v>
      </c>
      <c r="N4808">
        <v>0</v>
      </c>
      <c r="O4808">
        <v>-0.241010799999999</v>
      </c>
      <c r="P4808">
        <v>0.75345799999999996</v>
      </c>
      <c r="Q4808">
        <v>2.2951510000000001E-2</v>
      </c>
      <c r="R4808">
        <v>-0.6570954</v>
      </c>
      <c r="S4808">
        <v>1.7473449999999999</v>
      </c>
      <c r="T4808">
        <v>-8.0058809999999994E-2</v>
      </c>
      <c r="U4808">
        <v>-2.576721</v>
      </c>
      <c r="V4808">
        <v>0.45647979999999999</v>
      </c>
      <c r="W4808">
        <v>3.124331E-2</v>
      </c>
      <c r="X4808">
        <v>0.889185</v>
      </c>
      <c r="Y4808">
        <v>0.66782959999999902</v>
      </c>
      <c r="Z4808">
        <v>-3.3563220000000001E-3</v>
      </c>
      <c r="AA4808">
        <v>0.74430659999999904</v>
      </c>
      <c r="AB4808">
        <v>17</v>
      </c>
      <c r="AC4808">
        <v>21.451699999999999</v>
      </c>
      <c r="AD4808">
        <v>-0.98728157999999999</v>
      </c>
      <c r="AE4808">
        <v>-31.746770000000001</v>
      </c>
      <c r="AF4808">
        <v>25.6230588167349</v>
      </c>
      <c r="AG4808">
        <v>-0.98728157999999999</v>
      </c>
      <c r="AH4808">
        <v>28.4524899648145</v>
      </c>
      <c r="AI4808">
        <v>91.4770249242804</v>
      </c>
      <c r="AJ4808">
        <v>47.9951940490851</v>
      </c>
      <c r="AK4808">
        <v>38.302219951876701</v>
      </c>
    </row>
    <row r="4809" spans="1:37" x14ac:dyDescent="0.2">
      <c r="A4809" t="str">
        <f>"20200111160311687"</f>
        <v>20200111160311687</v>
      </c>
      <c r="B4809" t="str">
        <f>"1578729791678138"</f>
        <v>1578729791678138</v>
      </c>
      <c r="C4809" t="s">
        <v>37</v>
      </c>
      <c r="D4809">
        <v>4.4683320000000002</v>
      </c>
      <c r="E4809">
        <v>0.59049280000000004</v>
      </c>
      <c r="F4809" t="s">
        <v>38</v>
      </c>
      <c r="G4809">
        <v>-289.95780000000002</v>
      </c>
      <c r="H4809">
        <v>3.0656619999999999E-2</v>
      </c>
      <c r="I4809">
        <v>-13.060029999999999</v>
      </c>
      <c r="J4809">
        <v>-311.27080000000001</v>
      </c>
      <c r="K4809">
        <v>1.0502989999999901</v>
      </c>
      <c r="L4809">
        <v>18.69061</v>
      </c>
      <c r="M4809">
        <v>0.96857399999999905</v>
      </c>
      <c r="N4809">
        <v>0</v>
      </c>
      <c r="O4809">
        <v>-0.2482761</v>
      </c>
      <c r="P4809">
        <v>0.74325859999999899</v>
      </c>
      <c r="Q4809">
        <v>2.4045230000000001E-2</v>
      </c>
      <c r="R4809">
        <v>-0.6685719</v>
      </c>
      <c r="S4809">
        <v>1.7373349999999901</v>
      </c>
      <c r="T4809">
        <v>-8.263218E-2</v>
      </c>
      <c r="U4809">
        <v>-2.576263</v>
      </c>
      <c r="V4809">
        <v>0.46346290000000001</v>
      </c>
      <c r="W4809">
        <v>3.2168870000000002E-2</v>
      </c>
      <c r="X4809">
        <v>0.88553219999999999</v>
      </c>
      <c r="Y4809">
        <v>0.66416180000000002</v>
      </c>
      <c r="Z4809">
        <v>-3.1864409999999999E-3</v>
      </c>
      <c r="AA4809">
        <v>0.74758210000000003</v>
      </c>
      <c r="AB4809">
        <v>17</v>
      </c>
      <c r="AC4809">
        <v>21.312999999999899</v>
      </c>
      <c r="AD4809">
        <v>-1.0196423799999901</v>
      </c>
      <c r="AE4809">
        <v>-31.750640000000001</v>
      </c>
      <c r="AF4809">
        <v>25.446089024583099</v>
      </c>
      <c r="AG4809">
        <v>-1.0196423799999901</v>
      </c>
      <c r="AH4809">
        <v>28.509060612187799</v>
      </c>
      <c r="AI4809">
        <v>91.528448797751295</v>
      </c>
      <c r="AJ4809">
        <v>48.249127961905103</v>
      </c>
      <c r="AK4809">
        <v>38.227080116319399</v>
      </c>
    </row>
    <row r="4810" spans="1:37" x14ac:dyDescent="0.2">
      <c r="A4810" t="str">
        <f>"20200111160311702"</f>
        <v>20200111160311702</v>
      </c>
      <c r="B4810" t="str">
        <f>"1578729791697658"</f>
        <v>1578729791697658</v>
      </c>
      <c r="C4810" t="s">
        <v>37</v>
      </c>
      <c r="D4810">
        <v>4.5355230000000004</v>
      </c>
      <c r="E4810">
        <v>0.58862639999999999</v>
      </c>
      <c r="F4810" t="s">
        <v>39</v>
      </c>
      <c r="G4810">
        <v>-297.4751</v>
      </c>
      <c r="H4810">
        <v>-0.05</v>
      </c>
      <c r="I4810">
        <v>-1.123642</v>
      </c>
      <c r="J4810">
        <v>-311.17360000000002</v>
      </c>
      <c r="K4810">
        <v>1.0502750000000001</v>
      </c>
      <c r="L4810">
        <v>18.65851</v>
      </c>
      <c r="M4810">
        <v>0.96710039999999997</v>
      </c>
      <c r="N4810">
        <v>0</v>
      </c>
      <c r="O4810">
        <v>-0.25395630000000002</v>
      </c>
      <c r="P4810">
        <v>0.73687080000000005</v>
      </c>
      <c r="Q4810">
        <v>2.4169920000000001E-2</v>
      </c>
      <c r="R4810">
        <v>-0.67560180000000003</v>
      </c>
      <c r="S4810">
        <v>1.7630619999999999</v>
      </c>
      <c r="T4810">
        <v>-0.1406162</v>
      </c>
      <c r="U4810">
        <v>-2.5322269999999998</v>
      </c>
      <c r="V4810">
        <v>0.46667910000000001</v>
      </c>
      <c r="W4810">
        <v>3.2207470000000002E-2</v>
      </c>
      <c r="X4810">
        <v>0.88384010000000002</v>
      </c>
      <c r="Y4810">
        <v>0.64825519999999903</v>
      </c>
      <c r="Z4810">
        <v>-4.6455430000000002E-3</v>
      </c>
      <c r="AA4810">
        <v>0.761409</v>
      </c>
      <c r="AB4810">
        <v>17</v>
      </c>
      <c r="AC4810">
        <v>13.698499999999999</v>
      </c>
      <c r="AD4810">
        <v>-1.1002749999999999</v>
      </c>
      <c r="AE4810">
        <v>-19.782152</v>
      </c>
      <c r="AF4810">
        <v>15.6215889238853</v>
      </c>
      <c r="AG4810">
        <v>-1.1002749999999999</v>
      </c>
      <c r="AH4810">
        <v>18.235535694268599</v>
      </c>
      <c r="AI4810">
        <v>92.623581896452905</v>
      </c>
      <c r="AJ4810">
        <v>49.414775549930397</v>
      </c>
      <c r="AK4810">
        <v>24.037042406241</v>
      </c>
    </row>
    <row r="4811" spans="1:37" x14ac:dyDescent="0.2">
      <c r="A4811" t="str">
        <f>"20200111160311716"</f>
        <v>20200111160311716</v>
      </c>
      <c r="B4811" t="str">
        <f>"1578729791708394"</f>
        <v>1578729791708394</v>
      </c>
      <c r="C4811" t="s">
        <v>37</v>
      </c>
      <c r="D4811">
        <v>4.7010069999999997</v>
      </c>
      <c r="E4811">
        <v>0.58649240000000002</v>
      </c>
      <c r="F4811" t="s">
        <v>39</v>
      </c>
      <c r="G4811">
        <v>-297.63189999999997</v>
      </c>
      <c r="H4811">
        <v>-0.05</v>
      </c>
      <c r="I4811">
        <v>-0.98759459999999999</v>
      </c>
      <c r="J4811">
        <v>-311.07010000000002</v>
      </c>
      <c r="K4811">
        <v>1.050246</v>
      </c>
      <c r="L4811">
        <v>18.62369</v>
      </c>
      <c r="M4811">
        <v>0.96547899999999998</v>
      </c>
      <c r="N4811">
        <v>0</v>
      </c>
      <c r="O4811">
        <v>-0.26005309999999998</v>
      </c>
      <c r="P4811">
        <v>0.73012080000000001</v>
      </c>
      <c r="Q4811">
        <v>2.4541099999999899E-2</v>
      </c>
      <c r="R4811">
        <v>-0.68287719999999996</v>
      </c>
      <c r="S4811">
        <v>1.749207</v>
      </c>
      <c r="T4811">
        <v>-0.14212429999999901</v>
      </c>
      <c r="U4811">
        <v>-2.5377200000000002</v>
      </c>
      <c r="V4811">
        <v>0.46987629999999903</v>
      </c>
      <c r="W4811">
        <v>3.2492460000000001E-2</v>
      </c>
      <c r="X4811">
        <v>0.88213399999999997</v>
      </c>
      <c r="Y4811">
        <v>0.64703379999999999</v>
      </c>
      <c r="Z4811">
        <v>-4.3513839999999998E-3</v>
      </c>
      <c r="AA4811">
        <v>0.76244899999999904</v>
      </c>
      <c r="AB4811">
        <v>17</v>
      </c>
      <c r="AC4811">
        <v>13.4382</v>
      </c>
      <c r="AD4811">
        <v>-1.1002459999999901</v>
      </c>
      <c r="AE4811">
        <v>-19.611284600000001</v>
      </c>
      <c r="AF4811">
        <v>15.408355035570301</v>
      </c>
      <c r="AG4811">
        <v>-1.1002459999999901</v>
      </c>
      <c r="AH4811">
        <v>18.0376542732056</v>
      </c>
      <c r="AI4811">
        <v>92.655425798038706</v>
      </c>
      <c r="AJ4811">
        <v>49.494962529567601</v>
      </c>
      <c r="AK4811">
        <v>23.7483666352529</v>
      </c>
    </row>
    <row r="4812" spans="1:37" x14ac:dyDescent="0.2">
      <c r="A4812" t="str">
        <f>"20200111160311733"</f>
        <v>20200111160311733</v>
      </c>
      <c r="B4812" t="str">
        <f>"1578729791727913"</f>
        <v>1578729791727913</v>
      </c>
      <c r="C4812" t="s">
        <v>37</v>
      </c>
      <c r="D4812">
        <v>4.5074309999999898</v>
      </c>
      <c r="E4812">
        <v>0.58445409999999998</v>
      </c>
      <c r="F4812" t="s">
        <v>38</v>
      </c>
      <c r="G4812">
        <v>-297.95249999999999</v>
      </c>
      <c r="H4812" s="1">
        <v>-4.5372530000000003E-6</v>
      </c>
      <c r="I4812">
        <v>-0.59292129999999998</v>
      </c>
      <c r="J4812">
        <v>-310.94659999999999</v>
      </c>
      <c r="K4812">
        <v>1.050208</v>
      </c>
      <c r="L4812">
        <v>18.58109</v>
      </c>
      <c r="M4812">
        <v>0.96347000000000005</v>
      </c>
      <c r="N4812">
        <v>0</v>
      </c>
      <c r="O4812">
        <v>-0.26739980000000002</v>
      </c>
      <c r="P4812">
        <v>0.71962060000000005</v>
      </c>
      <c r="Q4812">
        <v>2.3873700000000001E-2</v>
      </c>
      <c r="R4812">
        <v>-0.69395709999999999</v>
      </c>
      <c r="S4812">
        <v>1.735565</v>
      </c>
      <c r="T4812">
        <v>-0.13895660000000001</v>
      </c>
      <c r="U4812">
        <v>-2.5425110000000002</v>
      </c>
      <c r="V4812">
        <v>0.47661740000000002</v>
      </c>
      <c r="W4812">
        <v>3.1666060000000003E-2</v>
      </c>
      <c r="X4812">
        <v>0.87854030000000005</v>
      </c>
      <c r="Y4812">
        <v>0.64470479999999997</v>
      </c>
      <c r="Z4812">
        <v>-3.8196219999999999E-3</v>
      </c>
      <c r="AA4812">
        <v>0.76442209999999999</v>
      </c>
      <c r="AB4812">
        <v>17</v>
      </c>
      <c r="AC4812">
        <v>12.9941</v>
      </c>
      <c r="AD4812">
        <v>-1.050212537253</v>
      </c>
      <c r="AE4812">
        <v>-19.1740113</v>
      </c>
      <c r="AF4812">
        <v>14.9698609642903</v>
      </c>
      <c r="AG4812">
        <v>-1.050212537253</v>
      </c>
      <c r="AH4812">
        <v>17.612310978770299</v>
      </c>
      <c r="AI4812">
        <v>92.601432959494204</v>
      </c>
      <c r="AJ4812">
        <v>49.636602984892498</v>
      </c>
      <c r="AK4812">
        <v>23.138564814536299</v>
      </c>
    </row>
    <row r="4813" spans="1:37" x14ac:dyDescent="0.2">
      <c r="A4813" t="str">
        <f>"20200111160311747"</f>
        <v>20200111160311747</v>
      </c>
      <c r="B4813" t="str">
        <f>"1578729791737674"</f>
        <v>1578729791737674</v>
      </c>
      <c r="C4813" t="s">
        <v>37</v>
      </c>
      <c r="D4813">
        <v>4.5169629999999996</v>
      </c>
      <c r="E4813">
        <v>0.58349890000000004</v>
      </c>
      <c r="F4813" t="s">
        <v>38</v>
      </c>
      <c r="G4813">
        <v>-294.94909999999999</v>
      </c>
      <c r="H4813" s="1">
        <v>-2.7935410000000001E-6</v>
      </c>
      <c r="I4813">
        <v>-5.4165529999999897</v>
      </c>
      <c r="J4813">
        <v>-310.84480000000002</v>
      </c>
      <c r="K4813">
        <v>1.0501819999999999</v>
      </c>
      <c r="L4813">
        <v>18.54523</v>
      </c>
      <c r="M4813">
        <v>0.96175409999999995</v>
      </c>
      <c r="N4813">
        <v>0</v>
      </c>
      <c r="O4813">
        <v>-0.27350749999999902</v>
      </c>
      <c r="P4813">
        <v>0.71286549999999904</v>
      </c>
      <c r="Q4813">
        <v>2.3137419999999999E-2</v>
      </c>
      <c r="R4813">
        <v>-0.70091919999999996</v>
      </c>
      <c r="S4813">
        <v>1.7054750000000001</v>
      </c>
      <c r="T4813">
        <v>-0.1119612</v>
      </c>
      <c r="U4813">
        <v>-2.5583499999999999</v>
      </c>
      <c r="V4813">
        <v>0.47956759999999898</v>
      </c>
      <c r="W4813">
        <v>3.0850590000000001E-2</v>
      </c>
      <c r="X4813">
        <v>0.87696240000000003</v>
      </c>
      <c r="Y4813">
        <v>0.64837250000000002</v>
      </c>
      <c r="Z4813">
        <v>-2.9319849999999998E-3</v>
      </c>
      <c r="AA4813">
        <v>0.76131759999999904</v>
      </c>
      <c r="AB4813">
        <v>16</v>
      </c>
      <c r="AC4813">
        <v>15.8957</v>
      </c>
      <c r="AD4813">
        <v>-1.050184793541</v>
      </c>
      <c r="AE4813">
        <v>-23.961783</v>
      </c>
      <c r="AF4813">
        <v>18.674922498219502</v>
      </c>
      <c r="AG4813">
        <v>-1.050184793541</v>
      </c>
      <c r="AH4813">
        <v>21.8148165696613</v>
      </c>
      <c r="AI4813">
        <v>92.094415948136103</v>
      </c>
      <c r="AJ4813">
        <v>49.434292556823401</v>
      </c>
      <c r="AK4813">
        <v>28.735724114472202</v>
      </c>
    </row>
    <row r="4814" spans="1:37" x14ac:dyDescent="0.2">
      <c r="A4814" t="str">
        <f>"20200111160311766"</f>
        <v>20200111160311766</v>
      </c>
      <c r="B4814" t="str">
        <f>"1578729791758169"</f>
        <v>1578729791758169</v>
      </c>
      <c r="C4814" t="s">
        <v>37</v>
      </c>
      <c r="D4814">
        <v>4.7165019999999904</v>
      </c>
      <c r="E4814">
        <v>0.58307940000000003</v>
      </c>
      <c r="F4814" t="s">
        <v>38</v>
      </c>
      <c r="G4814">
        <v>-294.36700000000002</v>
      </c>
      <c r="H4814" s="1">
        <v>-2.5021050000000001E-6</v>
      </c>
      <c r="I4814">
        <v>-6.5787289999999903</v>
      </c>
      <c r="J4814">
        <v>-310.7115</v>
      </c>
      <c r="K4814">
        <v>1.0501529999999999</v>
      </c>
      <c r="L4814">
        <v>18.496860000000002</v>
      </c>
      <c r="M4814">
        <v>0.95941869999999996</v>
      </c>
      <c r="N4814">
        <v>0</v>
      </c>
      <c r="O4814">
        <v>-0.28159040000000002</v>
      </c>
      <c r="P4814">
        <v>0.7020788</v>
      </c>
      <c r="Q4814">
        <v>2.186111E-2</v>
      </c>
      <c r="R4814">
        <v>-0.71176379999999995</v>
      </c>
      <c r="S4814">
        <v>1.68530299999999</v>
      </c>
      <c r="T4814">
        <v>-0.10741009999999999</v>
      </c>
      <c r="U4814">
        <v>-2.5696110000000001</v>
      </c>
      <c r="V4814">
        <v>0.48559780000000002</v>
      </c>
      <c r="W4814">
        <v>2.9432159999999999E-2</v>
      </c>
      <c r="X4814">
        <v>0.87368679999999999</v>
      </c>
      <c r="Y4814">
        <v>0.64769569999999999</v>
      </c>
      <c r="Z4814">
        <v>-2.4849870000000001E-3</v>
      </c>
      <c r="AA4814">
        <v>0.76189510000000005</v>
      </c>
      <c r="AB4814">
        <v>16</v>
      </c>
      <c r="AC4814">
        <v>16.344499999999901</v>
      </c>
      <c r="AD4814">
        <v>-1.050155502105</v>
      </c>
      <c r="AE4814">
        <v>-25.075589000000001</v>
      </c>
      <c r="AF4814">
        <v>19.433778848487901</v>
      </c>
      <c r="AG4814">
        <v>-1.050155502105</v>
      </c>
      <c r="AH4814">
        <v>22.716832884423901</v>
      </c>
      <c r="AI4814">
        <v>92.011849302139694</v>
      </c>
      <c r="AJ4814">
        <v>49.453698826784098</v>
      </c>
      <c r="AK4814">
        <v>29.9136939077971</v>
      </c>
    </row>
    <row r="4815" spans="1:37" x14ac:dyDescent="0.2">
      <c r="A4815" t="str">
        <f>"20200111160311788"</f>
        <v>20200111160311788</v>
      </c>
      <c r="B4815" t="str">
        <f>"1578729791777689"</f>
        <v>1578729791777689</v>
      </c>
      <c r="C4815" t="s">
        <v>37</v>
      </c>
      <c r="D4815">
        <v>4.5949780000000002</v>
      </c>
      <c r="E4815">
        <v>0.61985190000000001</v>
      </c>
      <c r="F4815" t="s">
        <v>38</v>
      </c>
      <c r="G4815">
        <v>-294.65339999999998</v>
      </c>
      <c r="H4815" s="1">
        <v>-2.3523380000000001E-6</v>
      </c>
      <c r="I4815">
        <v>-6.7703340000000001</v>
      </c>
      <c r="J4815">
        <v>-310.55790000000002</v>
      </c>
      <c r="K4815">
        <v>1.0501180000000001</v>
      </c>
      <c r="L4815">
        <v>18.439509999999999</v>
      </c>
      <c r="M4815">
        <v>0.95660469999999898</v>
      </c>
      <c r="N4815">
        <v>0</v>
      </c>
      <c r="O4815">
        <v>-0.29100599999999999</v>
      </c>
      <c r="P4815">
        <v>0.69071380000000004</v>
      </c>
      <c r="Q4815">
        <v>2.0581430000000001E-2</v>
      </c>
      <c r="R4815">
        <v>-0.72283509999999995</v>
      </c>
      <c r="S4815">
        <v>1.647797</v>
      </c>
      <c r="T4815">
        <v>-0.10776089999999899</v>
      </c>
      <c r="U4815">
        <v>-2.59277299999999</v>
      </c>
      <c r="V4815">
        <v>0.49086980000000002</v>
      </c>
      <c r="W4815">
        <v>2.8020349999999999E-2</v>
      </c>
      <c r="X4815">
        <v>0.87078230000000001</v>
      </c>
      <c r="Y4815">
        <v>0.65113160000000003</v>
      </c>
      <c r="Z4815">
        <v>-2.2134089999999999E-3</v>
      </c>
      <c r="AA4815">
        <v>0.75896169999999996</v>
      </c>
      <c r="AB4815">
        <v>16</v>
      </c>
      <c r="AC4815">
        <v>15.904500000000001</v>
      </c>
      <c r="AD4815">
        <v>-1.0501203523379901</v>
      </c>
      <c r="AE4815">
        <v>-25.209844</v>
      </c>
      <c r="AF4815">
        <v>19.4655633493953</v>
      </c>
      <c r="AG4815">
        <v>-1.0501203523379901</v>
      </c>
      <c r="AH4815">
        <v>22.525092497303799</v>
      </c>
      <c r="AI4815">
        <v>92.020199509151794</v>
      </c>
      <c r="AJ4815">
        <v>49.167329027114498</v>
      </c>
      <c r="AK4815">
        <v>29.789103734013398</v>
      </c>
    </row>
    <row r="4816" spans="1:37" x14ac:dyDescent="0.2">
      <c r="A4816" t="str">
        <f>"20200111160311804"</f>
        <v>20200111160311804</v>
      </c>
      <c r="B4816" t="str">
        <f>"1578729791798187"</f>
        <v>1578729791798187</v>
      </c>
      <c r="C4816" t="s">
        <v>37</v>
      </c>
      <c r="D4816">
        <v>4.6261789999999996</v>
      </c>
      <c r="E4816">
        <v>0.63125439999999999</v>
      </c>
      <c r="F4816" t="s">
        <v>39</v>
      </c>
      <c r="G4816">
        <v>-304.53440000000001</v>
      </c>
      <c r="H4816">
        <v>-0.05</v>
      </c>
      <c r="I4816">
        <v>6.392334</v>
      </c>
      <c r="J4816">
        <v>-310.45589999999999</v>
      </c>
      <c r="K4816">
        <v>1.0500890000000001</v>
      </c>
      <c r="L4816">
        <v>18.400269999999999</v>
      </c>
      <c r="M4816">
        <v>0.95465560000000005</v>
      </c>
      <c r="N4816">
        <v>0</v>
      </c>
      <c r="O4816">
        <v>-0.29733779999999999</v>
      </c>
      <c r="P4816">
        <v>0.68378130000000004</v>
      </c>
      <c r="Q4816">
        <v>2.0182640000000002E-2</v>
      </c>
      <c r="R4816">
        <v>-0.7294079</v>
      </c>
      <c r="S4816">
        <v>1.4067080000000001</v>
      </c>
      <c r="T4816">
        <v>-0.256916799999999</v>
      </c>
      <c r="U4816">
        <v>-2.8134459999999999</v>
      </c>
      <c r="V4816">
        <v>0.49341990000000002</v>
      </c>
      <c r="W4816">
        <v>2.7551329999999999E-2</v>
      </c>
      <c r="X4816">
        <v>0.86935479999999998</v>
      </c>
      <c r="Y4816">
        <v>0.71969969999999905</v>
      </c>
      <c r="Z4816">
        <v>-8.8273029999999999E-3</v>
      </c>
      <c r="AA4816">
        <v>0.6942294</v>
      </c>
      <c r="AB4816">
        <v>16</v>
      </c>
      <c r="AC4816">
        <v>5.9214999999999796</v>
      </c>
      <c r="AD4816">
        <v>-1.1000890000000001</v>
      </c>
      <c r="AE4816">
        <v>-12.007936000000001</v>
      </c>
      <c r="AF4816">
        <v>9.6387653513270397</v>
      </c>
      <c r="AG4816">
        <v>-1.1000890000000001</v>
      </c>
      <c r="AH4816">
        <v>9.1625756410668107</v>
      </c>
      <c r="AI4816">
        <v>94.728786578676704</v>
      </c>
      <c r="AJ4816">
        <v>43.549155140748503</v>
      </c>
      <c r="AK4816">
        <v>13.344241667630801</v>
      </c>
    </row>
    <row r="4817" spans="1:37" x14ac:dyDescent="0.2">
      <c r="A4817" t="str">
        <f>"20200111160311824"</f>
        <v>20200111160311824</v>
      </c>
      <c r="B4817" t="str">
        <f>"1578729791817706"</f>
        <v>1578729791817706</v>
      </c>
      <c r="C4817" t="s">
        <v>37</v>
      </c>
      <c r="D4817">
        <v>4.5818909999999997</v>
      </c>
      <c r="E4817">
        <v>0.63503039999999999</v>
      </c>
      <c r="F4817" t="s">
        <v>39</v>
      </c>
      <c r="G4817">
        <v>-304.68990000000002</v>
      </c>
      <c r="H4817">
        <v>-0.05</v>
      </c>
      <c r="I4817">
        <v>5.705063</v>
      </c>
      <c r="J4817">
        <v>-310.31319999999999</v>
      </c>
      <c r="K4817">
        <v>1.0500559999999901</v>
      </c>
      <c r="L4817">
        <v>18.344059999999999</v>
      </c>
      <c r="M4817">
        <v>0.95182599999999995</v>
      </c>
      <c r="N4817">
        <v>0</v>
      </c>
      <c r="O4817">
        <v>-0.30627519999999903</v>
      </c>
      <c r="P4817">
        <v>0.67339720000000003</v>
      </c>
      <c r="Q4817">
        <v>1.9503960000000001E-2</v>
      </c>
      <c r="R4817">
        <v>-0.73902380000000001</v>
      </c>
      <c r="S4817">
        <v>1.312408</v>
      </c>
      <c r="T4817">
        <v>-0.25039400000000001</v>
      </c>
      <c r="U4817">
        <v>-2.8895869999999899</v>
      </c>
      <c r="V4817">
        <v>0.49757129999999999</v>
      </c>
      <c r="W4817">
        <v>2.676102E-2</v>
      </c>
      <c r="X4817">
        <v>0.86701019999999895</v>
      </c>
      <c r="Y4817">
        <v>0.73884340000000004</v>
      </c>
      <c r="Z4817">
        <v>-8.9753980000000008E-3</v>
      </c>
      <c r="AA4817">
        <v>0.67381749999999996</v>
      </c>
      <c r="AB4817">
        <v>16</v>
      </c>
      <c r="AC4817">
        <v>5.6232999999999702</v>
      </c>
      <c r="AD4817">
        <v>-1.1000559999999999</v>
      </c>
      <c r="AE4817">
        <v>-12.638997</v>
      </c>
      <c r="AF4817">
        <v>10.244216470560801</v>
      </c>
      <c r="AG4817">
        <v>-1.1000559999999999</v>
      </c>
      <c r="AH4817">
        <v>9.1664767259840296</v>
      </c>
      <c r="AI4817">
        <v>94.575288645710501</v>
      </c>
      <c r="AJ4817">
        <v>41.822029951415097</v>
      </c>
      <c r="AK4817">
        <v>13.7905181145181</v>
      </c>
    </row>
    <row r="4818" spans="1:37" x14ac:dyDescent="0.2">
      <c r="A4818" t="str">
        <f>"20200111160311846"</f>
        <v>20200111160311846</v>
      </c>
      <c r="B4818" t="str">
        <f>"1578729791838202"</f>
        <v>1578729791838202</v>
      </c>
      <c r="C4818" t="s">
        <v>37</v>
      </c>
      <c r="D4818">
        <v>4.6061009999999998</v>
      </c>
      <c r="E4818">
        <v>0.63715429999999995</v>
      </c>
      <c r="F4818" t="s">
        <v>39</v>
      </c>
      <c r="G4818">
        <v>-304.94439999999997</v>
      </c>
      <c r="H4818">
        <v>-0.05</v>
      </c>
      <c r="I4818">
        <v>5.7654879999999897</v>
      </c>
      <c r="J4818">
        <v>-310.16039999999998</v>
      </c>
      <c r="K4818">
        <v>1.050019</v>
      </c>
      <c r="L4818">
        <v>18.28201</v>
      </c>
      <c r="M4818">
        <v>0.94865569999999899</v>
      </c>
      <c r="N4818">
        <v>0</v>
      </c>
      <c r="O4818">
        <v>-0.31595759999999901</v>
      </c>
      <c r="P4818">
        <v>0.66311469999999995</v>
      </c>
      <c r="Q4818">
        <v>1.8976980000000001E-2</v>
      </c>
      <c r="R4818">
        <v>-0.74827710000000003</v>
      </c>
      <c r="S4818">
        <v>1.2495419999999999</v>
      </c>
      <c r="T4818">
        <v>-0.25602819999999998</v>
      </c>
      <c r="U4818">
        <v>-2.9275509999999998</v>
      </c>
      <c r="V4818">
        <v>0.50073129999999999</v>
      </c>
      <c r="W4818">
        <v>2.6140400000000001E-2</v>
      </c>
      <c r="X4818">
        <v>0.86520799999999998</v>
      </c>
      <c r="Y4818">
        <v>0.74730589999999997</v>
      </c>
      <c r="Z4818">
        <v>-8.8370089999999998E-3</v>
      </c>
      <c r="AA4818">
        <v>0.66442139999999905</v>
      </c>
      <c r="AB4818">
        <v>16</v>
      </c>
      <c r="AC4818">
        <v>5.2160000000000002</v>
      </c>
      <c r="AD4818">
        <v>-1.1000190000000001</v>
      </c>
      <c r="AE4818">
        <v>-12.516522</v>
      </c>
      <c r="AF4818">
        <v>10.1601129342923</v>
      </c>
      <c r="AG4818">
        <v>-1.1000190000000001</v>
      </c>
      <c r="AH4818">
        <v>8.8456589552243603</v>
      </c>
      <c r="AI4818">
        <v>94.668244819391802</v>
      </c>
      <c r="AJ4818">
        <v>41.043679235996798</v>
      </c>
      <c r="AK4818">
        <v>13.5160504212612</v>
      </c>
    </row>
    <row r="4819" spans="1:37" x14ac:dyDescent="0.2">
      <c r="A4819" t="str">
        <f>"20200111160311867"</f>
        <v>20200111160311867</v>
      </c>
      <c r="B4819" t="str">
        <f>"1578729791857721"</f>
        <v>1578729791857721</v>
      </c>
      <c r="C4819" t="s">
        <v>37</v>
      </c>
      <c r="D4819">
        <v>4.6403949999999998</v>
      </c>
      <c r="E4819">
        <v>0.63714859999999995</v>
      </c>
      <c r="F4819" t="s">
        <v>39</v>
      </c>
      <c r="G4819">
        <v>-304.78039999999999</v>
      </c>
      <c r="H4819">
        <v>-0.05</v>
      </c>
      <c r="I4819">
        <v>4.9692080000000001</v>
      </c>
      <c r="J4819">
        <v>-310.01280000000003</v>
      </c>
      <c r="K4819">
        <v>1.0499879999999999</v>
      </c>
      <c r="L4819">
        <v>18.220279999999999</v>
      </c>
      <c r="M4819">
        <v>0.94545170000000001</v>
      </c>
      <c r="N4819">
        <v>0</v>
      </c>
      <c r="O4819">
        <v>-0.32541999999999999</v>
      </c>
      <c r="P4819">
        <v>0.6542848</v>
      </c>
      <c r="Q4819">
        <v>1.8605159999999999E-2</v>
      </c>
      <c r="R4819">
        <v>-0.75601980000000002</v>
      </c>
      <c r="S4819">
        <v>1.1948239999999899</v>
      </c>
      <c r="T4819">
        <v>-0.2443002</v>
      </c>
      <c r="U4819">
        <v>-2.956604</v>
      </c>
      <c r="V4819">
        <v>0.50225010000000003</v>
      </c>
      <c r="W4819">
        <v>2.570948E-2</v>
      </c>
      <c r="X4819">
        <v>0.8643402</v>
      </c>
      <c r="Y4819">
        <v>0.75361449999999996</v>
      </c>
      <c r="Z4819">
        <v>-7.9990289999999995E-3</v>
      </c>
      <c r="AA4819">
        <v>0.65726799999999996</v>
      </c>
      <c r="AB4819">
        <v>16</v>
      </c>
      <c r="AC4819">
        <v>5.2324000000000401</v>
      </c>
      <c r="AD4819">
        <v>-1.099988</v>
      </c>
      <c r="AE4819">
        <v>-13.251072000000001</v>
      </c>
      <c r="AF4819">
        <v>10.762567991726</v>
      </c>
      <c r="AG4819">
        <v>-1.099988</v>
      </c>
      <c r="AH4819">
        <v>9.2053012183057703</v>
      </c>
      <c r="AI4819">
        <v>94.441258720102198</v>
      </c>
      <c r="AJ4819">
        <v>40.540607018499998</v>
      </c>
      <c r="AK4819">
        <v>14.2049432908551</v>
      </c>
    </row>
    <row r="4820" spans="1:37" x14ac:dyDescent="0.2">
      <c r="A4820" t="str">
        <f>"20200111160311889"</f>
        <v>20200111160311889</v>
      </c>
      <c r="B4820" t="str">
        <f>"1578729791878218"</f>
        <v>1578729791878218</v>
      </c>
      <c r="C4820" t="s">
        <v>37</v>
      </c>
      <c r="D4820">
        <v>4.664021</v>
      </c>
      <c r="E4820">
        <v>0.63613430000000004</v>
      </c>
      <c r="F4820" t="s">
        <v>39</v>
      </c>
      <c r="G4820">
        <v>-304.85039999999998</v>
      </c>
      <c r="H4820">
        <v>-0.05</v>
      </c>
      <c r="I4820">
        <v>5.0010379999999897</v>
      </c>
      <c r="J4820">
        <v>-309.86259999999999</v>
      </c>
      <c r="K4820">
        <v>1.049952</v>
      </c>
      <c r="L4820">
        <v>18.155519999999999</v>
      </c>
      <c r="M4820">
        <v>0.94204319999999897</v>
      </c>
      <c r="N4820">
        <v>0</v>
      </c>
      <c r="O4820">
        <v>-0.33515869999999998</v>
      </c>
      <c r="P4820">
        <v>0.64580700000000002</v>
      </c>
      <c r="Q4820">
        <v>1.8211680000000001E-2</v>
      </c>
      <c r="R4820">
        <v>-0.76328379999999996</v>
      </c>
      <c r="S4820">
        <v>1.1599729999999999</v>
      </c>
      <c r="T4820">
        <v>-0.247165</v>
      </c>
      <c r="U4820">
        <v>-2.9703369999999998</v>
      </c>
      <c r="V4820">
        <v>0.50298310000000002</v>
      </c>
      <c r="W4820">
        <v>2.5275229999999999E-2</v>
      </c>
      <c r="X4820">
        <v>0.86392659999999999</v>
      </c>
      <c r="Y4820">
        <v>0.75455109999999903</v>
      </c>
      <c r="Z4820">
        <v>-7.2812809999999997E-3</v>
      </c>
      <c r="AA4820">
        <v>0.65620089999999998</v>
      </c>
      <c r="AB4820">
        <v>16</v>
      </c>
      <c r="AC4820">
        <v>5.0122</v>
      </c>
      <c r="AD4820">
        <v>-1.099952</v>
      </c>
      <c r="AE4820">
        <v>-13.154482</v>
      </c>
      <c r="AF4820">
        <v>10.6483894203947</v>
      </c>
      <c r="AG4820">
        <v>-1.099952</v>
      </c>
      <c r="AH4820">
        <v>9.0761523621712392</v>
      </c>
      <c r="AI4820">
        <v>94.495073747270396</v>
      </c>
      <c r="AJ4820">
        <v>40.44260703314</v>
      </c>
      <c r="AK4820">
        <v>14.034765169108599</v>
      </c>
    </row>
    <row r="4821" spans="1:37" x14ac:dyDescent="0.2">
      <c r="A4821" t="str">
        <f>"20200111160311904"</f>
        <v>20200111160311904</v>
      </c>
      <c r="B4821" t="str">
        <f>"1578729791897738"</f>
        <v>1578729791897738</v>
      </c>
      <c r="C4821" t="s">
        <v>37</v>
      </c>
      <c r="D4821">
        <v>4.6368839999999896</v>
      </c>
      <c r="E4821">
        <v>0.6349844</v>
      </c>
      <c r="F4821" t="s">
        <v>39</v>
      </c>
      <c r="G4821">
        <v>-304.89670000000001</v>
      </c>
      <c r="H4821">
        <v>-0.05</v>
      </c>
      <c r="I4821">
        <v>5.1096500000000002</v>
      </c>
      <c r="J4821">
        <v>-309.75810000000001</v>
      </c>
      <c r="K4821">
        <v>1.04993</v>
      </c>
      <c r="L4821">
        <v>18.109069999999999</v>
      </c>
      <c r="M4821">
        <v>0.93957219999999997</v>
      </c>
      <c r="N4821">
        <v>0</v>
      </c>
      <c r="O4821">
        <v>-0.34202440000000001</v>
      </c>
      <c r="P4821">
        <v>0.64024630000000005</v>
      </c>
      <c r="Q4821">
        <v>1.7756709999999998E-2</v>
      </c>
      <c r="R4821">
        <v>-0.76796529999999996</v>
      </c>
      <c r="S4821">
        <v>1.133362</v>
      </c>
      <c r="T4821">
        <v>-0.25104120000000002</v>
      </c>
      <c r="U4821">
        <v>-2.9774479999999999</v>
      </c>
      <c r="V4821">
        <v>0.50295909999999999</v>
      </c>
      <c r="W4821">
        <v>2.4803780000000001E-2</v>
      </c>
      <c r="X4821">
        <v>0.86395419999999901</v>
      </c>
      <c r="Y4821">
        <v>0.75538039999999995</v>
      </c>
      <c r="Z4821">
        <v>-6.8292659999999996E-3</v>
      </c>
      <c r="AA4821">
        <v>0.65525089999999997</v>
      </c>
      <c r="AB4821">
        <v>16</v>
      </c>
      <c r="AC4821">
        <v>4.8613999999999997</v>
      </c>
      <c r="AD4821">
        <v>-1.0999300000000001</v>
      </c>
      <c r="AE4821">
        <v>-12.999420000000001</v>
      </c>
      <c r="AF4821">
        <v>10.4864886822131</v>
      </c>
      <c r="AG4821">
        <v>-1.0999300000000001</v>
      </c>
      <c r="AH4821">
        <v>8.9584932503019701</v>
      </c>
      <c r="AI4821">
        <v>94.559741156733907</v>
      </c>
      <c r="AJ4821">
        <v>40.506904797953098</v>
      </c>
      <c r="AK4821">
        <v>13.8358553115732</v>
      </c>
    </row>
    <row r="4822" spans="1:37" x14ac:dyDescent="0.2">
      <c r="A4822" t="str">
        <f>"20200111160311917"</f>
        <v>20200111160311917</v>
      </c>
      <c r="B4822" t="str">
        <f>"1578729791908474"</f>
        <v>1578729791908474</v>
      </c>
      <c r="C4822" t="s">
        <v>37</v>
      </c>
      <c r="D4822">
        <v>4.6782199999999996</v>
      </c>
      <c r="E4822">
        <v>0.63437100000000002</v>
      </c>
      <c r="F4822" t="s">
        <v>39</v>
      </c>
      <c r="G4822">
        <v>-304.95440000000002</v>
      </c>
      <c r="H4822">
        <v>-0.05</v>
      </c>
      <c r="I4822">
        <v>5.3212589999999897</v>
      </c>
      <c r="J4822">
        <v>-309.66969999999998</v>
      </c>
      <c r="K4822">
        <v>1.049912</v>
      </c>
      <c r="L4822">
        <v>18.069120000000002</v>
      </c>
      <c r="M4822">
        <v>0.93742569999999903</v>
      </c>
      <c r="N4822">
        <v>0</v>
      </c>
      <c r="O4822">
        <v>-0.3478639</v>
      </c>
      <c r="P4822">
        <v>0.63566400000000001</v>
      </c>
      <c r="Q4822">
        <v>1.753627E-2</v>
      </c>
      <c r="R4822">
        <v>-0.77176679999999998</v>
      </c>
      <c r="S4822">
        <v>1.1191709999999999</v>
      </c>
      <c r="T4822">
        <v>-0.25626209999999999</v>
      </c>
      <c r="U4822">
        <v>-2.9793090000000002</v>
      </c>
      <c r="V4822">
        <v>0.50272829999999902</v>
      </c>
      <c r="W4822">
        <v>2.4574479999999999E-2</v>
      </c>
      <c r="X4822">
        <v>0.86409509999999901</v>
      </c>
      <c r="Y4822">
        <v>0.75414250000000005</v>
      </c>
      <c r="Z4822">
        <v>-6.34353E-3</v>
      </c>
      <c r="AA4822">
        <v>0.65668009999999999</v>
      </c>
      <c r="AB4822">
        <v>16</v>
      </c>
      <c r="AC4822">
        <v>4.7152999999999503</v>
      </c>
      <c r="AD4822">
        <v>-1.099912</v>
      </c>
      <c r="AE4822">
        <v>-12.747861</v>
      </c>
      <c r="AF4822">
        <v>10.243959695162999</v>
      </c>
      <c r="AG4822">
        <v>-1.099912</v>
      </c>
      <c r="AH4822">
        <v>8.7981391772077604</v>
      </c>
      <c r="AI4822">
        <v>94.656662667342104</v>
      </c>
      <c r="AJ4822">
        <v>40.658001102154898</v>
      </c>
      <c r="AK4822">
        <v>13.548275522197899</v>
      </c>
    </row>
    <row r="4823" spans="1:37" x14ac:dyDescent="0.2">
      <c r="A4823" t="str">
        <f>"20200111160311931"</f>
        <v>20200111160311931</v>
      </c>
      <c r="B4823" t="str">
        <f>"1578729791927994"</f>
        <v>1578729791927994</v>
      </c>
      <c r="C4823" t="s">
        <v>37</v>
      </c>
      <c r="D4823">
        <v>4.6813880000000001</v>
      </c>
      <c r="E4823">
        <v>0.63306640000000003</v>
      </c>
      <c r="F4823" t="s">
        <v>39</v>
      </c>
      <c r="G4823">
        <v>-304.9597</v>
      </c>
      <c r="H4823">
        <v>-0.05</v>
      </c>
      <c r="I4823">
        <v>5.3585050000000001</v>
      </c>
      <c r="J4823">
        <v>-309.57350000000002</v>
      </c>
      <c r="K4823">
        <v>1.0498959999999999</v>
      </c>
      <c r="L4823">
        <v>18.02496</v>
      </c>
      <c r="M4823">
        <v>0.93502750000000001</v>
      </c>
      <c r="N4823">
        <v>0</v>
      </c>
      <c r="O4823">
        <v>-0.35425970000000001</v>
      </c>
      <c r="P4823">
        <v>0.63024089999999999</v>
      </c>
      <c r="Q4823">
        <v>1.69947999999999E-2</v>
      </c>
      <c r="R4823">
        <v>-0.77621390000000001</v>
      </c>
      <c r="S4823">
        <v>1.1052549999999901</v>
      </c>
      <c r="T4823">
        <v>-0.25810739999999999</v>
      </c>
      <c r="U4823">
        <v>-2.9826969999999999</v>
      </c>
      <c r="V4823">
        <v>0.50288549999999999</v>
      </c>
      <c r="W4823">
        <v>2.4016280000000001E-2</v>
      </c>
      <c r="X4823">
        <v>0.86401930000000005</v>
      </c>
      <c r="Y4823">
        <v>0.75259889999999996</v>
      </c>
      <c r="Z4823">
        <v>-5.6780169999999996E-3</v>
      </c>
      <c r="AA4823">
        <v>0.65845480000000001</v>
      </c>
      <c r="AB4823">
        <v>16</v>
      </c>
      <c r="AC4823">
        <v>4.6138000000000199</v>
      </c>
      <c r="AD4823">
        <v>-1.099896</v>
      </c>
      <c r="AE4823">
        <v>-12.666454999999999</v>
      </c>
      <c r="AF4823">
        <v>10.1426215762874</v>
      </c>
      <c r="AG4823">
        <v>-1.099896</v>
      </c>
      <c r="AH4823">
        <v>8.7440188641007204</v>
      </c>
      <c r="AI4823">
        <v>94.695407204734707</v>
      </c>
      <c r="AJ4823">
        <v>40.764835251834597</v>
      </c>
      <c r="AK4823">
        <v>13.436532645974401</v>
      </c>
    </row>
    <row r="4824" spans="1:37" x14ac:dyDescent="0.2">
      <c r="A4824" t="str">
        <f>"20200111160311945"</f>
        <v>20200111160311945</v>
      </c>
      <c r="B4824" t="str">
        <f>"1578729791937754"</f>
        <v>1578729791937754</v>
      </c>
      <c r="C4824" t="s">
        <v>37</v>
      </c>
      <c r="D4824">
        <v>4.7039599999999897</v>
      </c>
      <c r="E4824">
        <v>0.63236899999999996</v>
      </c>
      <c r="F4824" t="s">
        <v>39</v>
      </c>
      <c r="G4824">
        <v>-304.96769999999998</v>
      </c>
      <c r="H4824">
        <v>-0.05</v>
      </c>
      <c r="I4824">
        <v>5.4438170000000001</v>
      </c>
      <c r="J4824">
        <v>-309.47930000000002</v>
      </c>
      <c r="K4824">
        <v>1.0498799999999999</v>
      </c>
      <c r="L4824">
        <v>17.980740000000001</v>
      </c>
      <c r="M4824">
        <v>0.93261000000000005</v>
      </c>
      <c r="N4824">
        <v>0</v>
      </c>
      <c r="O4824">
        <v>-0.36057529999999999</v>
      </c>
      <c r="P4824">
        <v>0.62537449999999895</v>
      </c>
      <c r="Q4824">
        <v>1.564078E-2</v>
      </c>
      <c r="R4824">
        <v>-0.78016839999999998</v>
      </c>
      <c r="S4824">
        <v>1.0923160000000001</v>
      </c>
      <c r="T4824">
        <v>-0.26084789999999902</v>
      </c>
      <c r="U4824">
        <v>-2.9837039999999999</v>
      </c>
      <c r="V4824">
        <v>0.50245649999999997</v>
      </c>
      <c r="W4824">
        <v>2.2660050000000001E-2</v>
      </c>
      <c r="X4824">
        <v>0.86430549999999995</v>
      </c>
      <c r="Y4824">
        <v>0.75073080000000003</v>
      </c>
      <c r="Z4824">
        <v>-5.005926E-3</v>
      </c>
      <c r="AA4824">
        <v>0.66058930000000005</v>
      </c>
      <c r="AB4824">
        <v>16</v>
      </c>
      <c r="AC4824">
        <v>4.5116000000000396</v>
      </c>
      <c r="AD4824">
        <v>-1.09988</v>
      </c>
      <c r="AE4824">
        <v>-12.536923</v>
      </c>
      <c r="AF4824">
        <v>9.9982846136248593</v>
      </c>
      <c r="AG4824">
        <v>-1.09988</v>
      </c>
      <c r="AH4824">
        <v>8.6699661675650503</v>
      </c>
      <c r="AI4824">
        <v>94.751007462517805</v>
      </c>
      <c r="AJ4824">
        <v>40.930042384278899</v>
      </c>
      <c r="AK4824">
        <v>13.2794482030003</v>
      </c>
    </row>
    <row r="4825" spans="1:37" x14ac:dyDescent="0.2">
      <c r="A4825" t="str">
        <f>"20200111160311967"</f>
        <v>20200111160311967</v>
      </c>
      <c r="B4825" t="str">
        <f>"1578729791958249"</f>
        <v>1578729791958249</v>
      </c>
      <c r="C4825" t="s">
        <v>37</v>
      </c>
      <c r="D4825">
        <v>4.6946589999999997</v>
      </c>
      <c r="E4825">
        <v>0.63121249999999995</v>
      </c>
      <c r="F4825" t="s">
        <v>39</v>
      </c>
      <c r="G4825">
        <v>-305.0446</v>
      </c>
      <c r="H4825">
        <v>-0.05</v>
      </c>
      <c r="I4825">
        <v>5.6959080000000002</v>
      </c>
      <c r="J4825">
        <v>-309.33819999999997</v>
      </c>
      <c r="K4825">
        <v>1.049857</v>
      </c>
      <c r="L4825">
        <v>17.913019999999999</v>
      </c>
      <c r="M4825">
        <v>0.92886780000000002</v>
      </c>
      <c r="N4825">
        <v>0</v>
      </c>
      <c r="O4825">
        <v>-0.37010859999999901</v>
      </c>
      <c r="P4825">
        <v>0.61774229999999997</v>
      </c>
      <c r="Q4825">
        <v>1.3051709999999999E-2</v>
      </c>
      <c r="R4825">
        <v>-0.78627250000000004</v>
      </c>
      <c r="S4825">
        <v>1.0780940000000001</v>
      </c>
      <c r="T4825">
        <v>-0.26738649999999903</v>
      </c>
      <c r="U4825">
        <v>-2.9865110000000001</v>
      </c>
      <c r="V4825">
        <v>0.50203980000000004</v>
      </c>
      <c r="W4825">
        <v>2.0069509999999999E-2</v>
      </c>
      <c r="X4825">
        <v>0.86461160000000004</v>
      </c>
      <c r="Y4825">
        <v>0.74692000000000003</v>
      </c>
      <c r="Z4825">
        <v>-3.9200479999999998E-3</v>
      </c>
      <c r="AA4825">
        <v>0.6649024</v>
      </c>
      <c r="AB4825">
        <v>16</v>
      </c>
      <c r="AC4825">
        <v>4.2935999999999597</v>
      </c>
      <c r="AD4825">
        <v>-1.0998570000000001</v>
      </c>
      <c r="AE4825">
        <v>-12.217112</v>
      </c>
      <c r="AF4825">
        <v>9.6901759905564901</v>
      </c>
      <c r="AG4825">
        <v>-1.0998570000000001</v>
      </c>
      <c r="AH4825">
        <v>8.4498446366256506</v>
      </c>
      <c r="AI4825">
        <v>94.889530625952403</v>
      </c>
      <c r="AJ4825">
        <v>41.088465714802403</v>
      </c>
      <c r="AK4825">
        <v>12.9038393717342</v>
      </c>
    </row>
    <row r="4826" spans="1:37" x14ac:dyDescent="0.2">
      <c r="A4826" t="str">
        <f>"20200111160311990"</f>
        <v>20200111160311990</v>
      </c>
      <c r="B4826" t="str">
        <f>"1578729791977769"</f>
        <v>1578729791977769</v>
      </c>
      <c r="C4826" t="s">
        <v>37</v>
      </c>
      <c r="D4826">
        <v>4.7007440000000003</v>
      </c>
      <c r="E4826">
        <v>0.63004329999999997</v>
      </c>
      <c r="F4826" t="s">
        <v>39</v>
      </c>
      <c r="G4826">
        <v>-305.13909999999998</v>
      </c>
      <c r="H4826">
        <v>-0.05</v>
      </c>
      <c r="I4826">
        <v>6.0202790000000004</v>
      </c>
      <c r="J4826">
        <v>-309.1884</v>
      </c>
      <c r="K4826">
        <v>1.0498339999999999</v>
      </c>
      <c r="L4826">
        <v>17.839110000000002</v>
      </c>
      <c r="M4826">
        <v>0.92473479999999997</v>
      </c>
      <c r="N4826">
        <v>0</v>
      </c>
      <c r="O4826">
        <v>-0.38031720000000002</v>
      </c>
      <c r="P4826">
        <v>0.60961350000000003</v>
      </c>
      <c r="Q4826">
        <v>1.058049E-2</v>
      </c>
      <c r="R4826">
        <v>-0.79262869999999996</v>
      </c>
      <c r="S4826">
        <v>1.0558780000000001</v>
      </c>
      <c r="T4826">
        <v>-0.27656609999999998</v>
      </c>
      <c r="U4826">
        <v>-2.9905089999999999</v>
      </c>
      <c r="V4826">
        <v>0.5014246</v>
      </c>
      <c r="W4826">
        <v>1.7604700000000001E-2</v>
      </c>
      <c r="X4826">
        <v>0.86502219999999996</v>
      </c>
      <c r="Y4826">
        <v>0.74421959999999998</v>
      </c>
      <c r="Z4826">
        <v>-2.812382E-3</v>
      </c>
      <c r="AA4826">
        <v>0.6679292</v>
      </c>
      <c r="AB4826">
        <v>16</v>
      </c>
      <c r="AC4826">
        <v>4.0493000000000103</v>
      </c>
      <c r="AD4826">
        <v>-1.099834</v>
      </c>
      <c r="AE4826">
        <v>-11.818830999999999</v>
      </c>
      <c r="AF4826">
        <v>9.3181039759925604</v>
      </c>
      <c r="AG4826">
        <v>-1.099834</v>
      </c>
      <c r="AH4826">
        <v>8.1769860935598206</v>
      </c>
      <c r="AI4826">
        <v>95.069804563269599</v>
      </c>
      <c r="AJ4826">
        <v>41.268166838149703</v>
      </c>
      <c r="AK4826">
        <v>12.445874742629901</v>
      </c>
    </row>
    <row r="4827" spans="1:37" x14ac:dyDescent="0.2">
      <c r="A4827" t="str">
        <f>"20200111160312004"</f>
        <v>20200111160312004</v>
      </c>
      <c r="B4827" t="str">
        <f>"1578729791998265"</f>
        <v>1578729791998265</v>
      </c>
      <c r="C4827" t="s">
        <v>37</v>
      </c>
      <c r="D4827">
        <v>4.6865889999999997</v>
      </c>
      <c r="E4827">
        <v>0.62888959999999905</v>
      </c>
      <c r="F4827" t="s">
        <v>39</v>
      </c>
      <c r="G4827">
        <v>-305.18310000000002</v>
      </c>
      <c r="H4827">
        <v>-0.05</v>
      </c>
      <c r="I4827">
        <v>6.2104799999999996</v>
      </c>
      <c r="J4827">
        <v>-309.09550000000002</v>
      </c>
      <c r="K4827">
        <v>1.0498209999999999</v>
      </c>
      <c r="L4827">
        <v>17.791929999999901</v>
      </c>
      <c r="M4827">
        <v>0.92207439999999996</v>
      </c>
      <c r="N4827">
        <v>0</v>
      </c>
      <c r="O4827">
        <v>-0.38672209999999901</v>
      </c>
      <c r="P4827">
        <v>0.60421630000000004</v>
      </c>
      <c r="Q4827">
        <v>9.4595459999999992E-3</v>
      </c>
      <c r="R4827">
        <v>-0.79676449999999999</v>
      </c>
      <c r="S4827">
        <v>1.031677</v>
      </c>
      <c r="T4827">
        <v>-0.2832866</v>
      </c>
      <c r="U4827">
        <v>-2.995209</v>
      </c>
      <c r="V4827">
        <v>0.50129939999999995</v>
      </c>
      <c r="W4827">
        <v>1.6483810000000002E-2</v>
      </c>
      <c r="X4827">
        <v>0.86511689999999997</v>
      </c>
      <c r="Y4827">
        <v>0.74468590000000001</v>
      </c>
      <c r="Z4827">
        <v>-2.2401959999999999E-3</v>
      </c>
      <c r="AA4827">
        <v>0.66741130000000004</v>
      </c>
      <c r="AB4827">
        <v>16</v>
      </c>
      <c r="AC4827">
        <v>3.9123999999999901</v>
      </c>
      <c r="AD4827">
        <v>-1.0998209999999999</v>
      </c>
      <c r="AE4827">
        <v>-11.581449999999901</v>
      </c>
      <c r="AF4827">
        <v>9.0933718607920007</v>
      </c>
      <c r="AG4827">
        <v>-1.0998209999999999</v>
      </c>
      <c r="AH4827">
        <v>8.0222997316145594</v>
      </c>
      <c r="AI4827">
        <v>95.182393428632494</v>
      </c>
      <c r="AJ4827">
        <v>41.419188515376703</v>
      </c>
      <c r="AK4827">
        <v>12.176054821433199</v>
      </c>
    </row>
    <row r="4828" spans="1:37" x14ac:dyDescent="0.2">
      <c r="A4828" t="str">
        <f>"20200111160312016"</f>
        <v>20200111160312016</v>
      </c>
      <c r="B4828" t="str">
        <f>"1578729792008026"</f>
        <v>1578729792008026</v>
      </c>
      <c r="C4828" t="s">
        <v>37</v>
      </c>
      <c r="D4828">
        <v>4.6851669999999999</v>
      </c>
      <c r="E4828">
        <v>0.62827749999999905</v>
      </c>
      <c r="F4828" t="s">
        <v>39</v>
      </c>
      <c r="G4828">
        <v>-305.18830000000003</v>
      </c>
      <c r="H4828">
        <v>-0.05</v>
      </c>
      <c r="I4828">
        <v>6.2968599999999997</v>
      </c>
      <c r="J4828">
        <v>-309.01310000000001</v>
      </c>
      <c r="K4828">
        <v>1.0498069999999999</v>
      </c>
      <c r="L4828">
        <v>17.74945</v>
      </c>
      <c r="M4828">
        <v>0.91966209999999904</v>
      </c>
      <c r="N4828">
        <v>0</v>
      </c>
      <c r="O4828">
        <v>-0.39242450000000001</v>
      </c>
      <c r="P4828">
        <v>0.59959269999999998</v>
      </c>
      <c r="Q4828">
        <v>7.0441330000000002E-3</v>
      </c>
      <c r="R4828">
        <v>-0.80027459999999995</v>
      </c>
      <c r="S4828">
        <v>1.0184629999999999</v>
      </c>
      <c r="T4828">
        <v>-0.28668009999999999</v>
      </c>
      <c r="U4828">
        <v>-2.9963069999999998</v>
      </c>
      <c r="V4828">
        <v>0.5009458</v>
      </c>
      <c r="W4828">
        <v>1.407607E-2</v>
      </c>
      <c r="X4828">
        <v>0.86536420000000003</v>
      </c>
      <c r="Y4828">
        <v>0.74325699999999995</v>
      </c>
      <c r="Z4828">
        <v>-1.5493E-3</v>
      </c>
      <c r="AA4828">
        <v>0.66900419999999905</v>
      </c>
      <c r="AB4828">
        <v>16</v>
      </c>
      <c r="AC4828">
        <v>3.8247999999999802</v>
      </c>
      <c r="AD4828">
        <v>-1.099807</v>
      </c>
      <c r="AE4828">
        <v>-11.452590000000001</v>
      </c>
      <c r="AF4828">
        <v>8.9582588174557802</v>
      </c>
      <c r="AG4828">
        <v>-1.099807</v>
      </c>
      <c r="AH4828">
        <v>7.9467689953521097</v>
      </c>
      <c r="AI4828">
        <v>95.247416930344599</v>
      </c>
      <c r="AJ4828">
        <v>41.5758656666967</v>
      </c>
      <c r="AK4828">
        <v>12.0254361227883</v>
      </c>
    </row>
    <row r="4829" spans="1:37" x14ac:dyDescent="0.2">
      <c r="A4829" t="str">
        <f>"20200111160312047"</f>
        <v>20200111160312047</v>
      </c>
      <c r="B4829" t="str">
        <f>"1578729792038281"</f>
        <v>1578729792038281</v>
      </c>
      <c r="C4829" t="s">
        <v>37</v>
      </c>
      <c r="D4829">
        <v>4.9458669999999998</v>
      </c>
      <c r="E4829">
        <v>0.61387910000000001</v>
      </c>
      <c r="F4829" t="s">
        <v>39</v>
      </c>
      <c r="G4829">
        <v>-305.24810000000002</v>
      </c>
      <c r="H4829">
        <v>-0.05</v>
      </c>
      <c r="I4829">
        <v>6.5074309999999898</v>
      </c>
      <c r="J4829">
        <v>-308.82190000000003</v>
      </c>
      <c r="K4829">
        <v>1.049779</v>
      </c>
      <c r="L4829">
        <v>17.648529999999901</v>
      </c>
      <c r="M4829">
        <v>0.91386619999999996</v>
      </c>
      <c r="N4829">
        <v>0</v>
      </c>
      <c r="O4829">
        <v>-0.4057384</v>
      </c>
      <c r="P4829">
        <v>0.58872899999999995</v>
      </c>
      <c r="Q4829">
        <v>2.3130500000000001E-3</v>
      </c>
      <c r="R4829">
        <v>-0.80832729999999997</v>
      </c>
      <c r="S4829">
        <v>1.0043029999999999</v>
      </c>
      <c r="T4829">
        <v>-0.29337629999999998</v>
      </c>
      <c r="U4829">
        <v>-2.99884</v>
      </c>
      <c r="V4829">
        <v>0.50003569999999997</v>
      </c>
      <c r="W4829">
        <v>9.3671529999999996E-3</v>
      </c>
      <c r="X4829">
        <v>0.86595409999999995</v>
      </c>
      <c r="Y4829">
        <v>0.73653630000000003</v>
      </c>
      <c r="Z4829">
        <v>3.9133800000000003E-4</v>
      </c>
      <c r="AA4829">
        <v>0.67639799999999894</v>
      </c>
      <c r="AB4829">
        <v>16</v>
      </c>
      <c r="AC4829">
        <v>3.5737999999999999</v>
      </c>
      <c r="AD4829">
        <v>-1.0997790000000001</v>
      </c>
      <c r="AE4829">
        <v>-11.141098999999899</v>
      </c>
      <c r="AF4829">
        <v>8.6559503836935399</v>
      </c>
      <c r="AG4829">
        <v>-1.0997790000000001</v>
      </c>
      <c r="AH4829">
        <v>7.7190228796594402</v>
      </c>
      <c r="AI4829">
        <v>95.416964976663806</v>
      </c>
      <c r="AJ4829">
        <v>41.725275550325499</v>
      </c>
      <c r="AK4829">
        <v>11.6498199604333</v>
      </c>
    </row>
    <row r="4830" spans="1:37" x14ac:dyDescent="0.2">
      <c r="A4830" t="str">
        <f>"20200111160312067"</f>
        <v>20200111160312067</v>
      </c>
      <c r="B4830" t="str">
        <f>"1578729792057801"</f>
        <v>1578729792057801</v>
      </c>
      <c r="C4830" t="s">
        <v>37</v>
      </c>
      <c r="D4830">
        <v>4.6427250000000004</v>
      </c>
      <c r="E4830">
        <v>0.61436780000000002</v>
      </c>
      <c r="F4830" t="s">
        <v>39</v>
      </c>
      <c r="G4830">
        <v>-304.78050000000002</v>
      </c>
      <c r="H4830">
        <v>-0.05</v>
      </c>
      <c r="I4830">
        <v>6.3569639999999996</v>
      </c>
      <c r="J4830">
        <v>-308.68459999999999</v>
      </c>
      <c r="K4830">
        <v>1.0497590000000001</v>
      </c>
      <c r="L4830">
        <v>17.573699999999999</v>
      </c>
      <c r="M4830">
        <v>0.90951939999999998</v>
      </c>
      <c r="N4830">
        <v>0</v>
      </c>
      <c r="O4830">
        <v>-0.4153907</v>
      </c>
      <c r="P4830">
        <v>0.58068260000000005</v>
      </c>
      <c r="Q4830">
        <v>-1.015477E-4</v>
      </c>
      <c r="R4830">
        <v>-0.81413019999999903</v>
      </c>
      <c r="S4830">
        <v>1.0538940000000001</v>
      </c>
      <c r="T4830">
        <v>-0.2867999</v>
      </c>
      <c r="U4830">
        <v>-2.9446110000000001</v>
      </c>
      <c r="V4830">
        <v>0.49943119999999902</v>
      </c>
      <c r="W4830">
        <v>6.9677890000000003E-3</v>
      </c>
      <c r="X4830">
        <v>0.86632549999999997</v>
      </c>
      <c r="Y4830">
        <v>0.7152963</v>
      </c>
      <c r="Z4830">
        <v>2.9691050000000001E-3</v>
      </c>
      <c r="AA4830">
        <v>0.69881499999999996</v>
      </c>
      <c r="AB4830">
        <v>16</v>
      </c>
      <c r="AC4830">
        <v>3.9040999999999699</v>
      </c>
      <c r="AD4830">
        <v>-1.0997589999999999</v>
      </c>
      <c r="AE4830">
        <v>-11.216735999999999</v>
      </c>
      <c r="AF4830">
        <v>8.50812627427071</v>
      </c>
      <c r="AG4830">
        <v>-1.0997589999999999</v>
      </c>
      <c r="AH4830">
        <v>8.1413002736595104</v>
      </c>
      <c r="AI4830">
        <v>95.335469003942606</v>
      </c>
      <c r="AJ4830">
        <v>43.737843506848101</v>
      </c>
      <c r="AK4830">
        <v>11.827022140120601</v>
      </c>
    </row>
    <row r="4831" spans="1:37" x14ac:dyDescent="0.2">
      <c r="A4831" t="str">
        <f>"20200111160312090"</f>
        <v>20200111160312090</v>
      </c>
      <c r="B4831" t="str">
        <f>"1578729792088057"</f>
        <v>1578729792088057</v>
      </c>
      <c r="C4831" t="s">
        <v>37</v>
      </c>
      <c r="D4831">
        <v>4.5820540000000003</v>
      </c>
      <c r="E4831">
        <v>0.61330839999999998</v>
      </c>
      <c r="F4831" t="s">
        <v>39</v>
      </c>
      <c r="G4831">
        <v>-304.63979999999998</v>
      </c>
      <c r="H4831">
        <v>-0.05</v>
      </c>
      <c r="I4831">
        <v>5.8374329999999999</v>
      </c>
      <c r="J4831">
        <v>-308.54230000000001</v>
      </c>
      <c r="K4831">
        <v>1.0497449999999999</v>
      </c>
      <c r="L4831">
        <v>17.493960000000001</v>
      </c>
      <c r="M4831">
        <v>0.90484019999999998</v>
      </c>
      <c r="N4831">
        <v>0</v>
      </c>
      <c r="O4831">
        <v>-0.42548639999999999</v>
      </c>
      <c r="P4831">
        <v>0.57223089999999999</v>
      </c>
      <c r="Q4831">
        <v>-2.247017E-3</v>
      </c>
      <c r="R4831">
        <v>-0.82008939999999997</v>
      </c>
      <c r="S4831">
        <v>1.019379</v>
      </c>
      <c r="T4831">
        <v>-0.27716289999999999</v>
      </c>
      <c r="U4831">
        <v>-2.9577939999999998</v>
      </c>
      <c r="V4831">
        <v>0.49872230000000001</v>
      </c>
      <c r="W4831">
        <v>4.8363659999999999E-3</v>
      </c>
      <c r="X4831">
        <v>0.86674830000000003</v>
      </c>
      <c r="Y4831">
        <v>0.71587639999999997</v>
      </c>
      <c r="Z4831">
        <v>3.896732E-3</v>
      </c>
      <c r="AA4831">
        <v>0.69821610000000001</v>
      </c>
      <c r="AB4831">
        <v>16</v>
      </c>
      <c r="AC4831">
        <v>3.9025000000000301</v>
      </c>
      <c r="AD4831">
        <v>-1.099745</v>
      </c>
      <c r="AE4831">
        <v>-11.656527000000001</v>
      </c>
      <c r="AF4831">
        <v>8.8172624023555297</v>
      </c>
      <c r="AG4831">
        <v>-1.099745</v>
      </c>
      <c r="AH4831">
        <v>8.4243615653604191</v>
      </c>
      <c r="AI4831">
        <v>95.153063934325104</v>
      </c>
      <c r="AJ4831">
        <v>43.694573996607303</v>
      </c>
      <c r="AK4831">
        <v>12.244322076821501</v>
      </c>
    </row>
    <row r="4832" spans="1:37" x14ac:dyDescent="0.2">
      <c r="A4832" t="str">
        <f>"20200111160312113"</f>
        <v>20200111160312113</v>
      </c>
      <c r="B4832" t="str">
        <f>"1578729792107584"</f>
        <v>1578729792107584</v>
      </c>
      <c r="C4832" t="s">
        <v>37</v>
      </c>
      <c r="D4832">
        <v>4.6094520000000001</v>
      </c>
      <c r="E4832">
        <v>0.60381669999999998</v>
      </c>
      <c r="F4832" t="s">
        <v>39</v>
      </c>
      <c r="G4832">
        <v>-304.53879999999998</v>
      </c>
      <c r="H4832">
        <v>-0.05</v>
      </c>
      <c r="I4832">
        <v>5.5602720000000003</v>
      </c>
      <c r="J4832">
        <v>-308.39830000000001</v>
      </c>
      <c r="K4832">
        <v>1.049731</v>
      </c>
      <c r="L4832">
        <v>17.41095</v>
      </c>
      <c r="M4832">
        <v>0.89991969999999999</v>
      </c>
      <c r="N4832">
        <v>0</v>
      </c>
      <c r="O4832">
        <v>-0.43579689999999999</v>
      </c>
      <c r="P4832">
        <v>0.5634844</v>
      </c>
      <c r="Q4832">
        <v>-3.9820630000000001E-3</v>
      </c>
      <c r="R4832">
        <v>-0.82611699999999999</v>
      </c>
      <c r="S4832">
        <v>0.99423220000000001</v>
      </c>
      <c r="T4832">
        <v>-0.27311469999999999</v>
      </c>
      <c r="U4832">
        <v>-2.963654</v>
      </c>
      <c r="V4832">
        <v>0.49800280000000002</v>
      </c>
      <c r="W4832">
        <v>3.1102299999999999E-3</v>
      </c>
      <c r="X4832">
        <v>0.86716979999999999</v>
      </c>
      <c r="Y4832">
        <v>0.71370149999999999</v>
      </c>
      <c r="Z4832">
        <v>5.0668900000000001E-3</v>
      </c>
      <c r="AA4832">
        <v>0.70043159999999904</v>
      </c>
      <c r="AB4832">
        <v>16</v>
      </c>
      <c r="AC4832">
        <v>3.8595000000000201</v>
      </c>
      <c r="AD4832">
        <v>-1.099731</v>
      </c>
      <c r="AE4832">
        <v>-11.850677999999901</v>
      </c>
      <c r="AF4832">
        <v>8.9143084643617598</v>
      </c>
      <c r="AG4832">
        <v>-1.099731</v>
      </c>
      <c r="AH4832">
        <v>8.5719633528828005</v>
      </c>
      <c r="AI4832">
        <v>95.081627483606695</v>
      </c>
      <c r="AJ4832">
        <v>43.878410177966003</v>
      </c>
      <c r="AK4832">
        <v>12.4158309989029</v>
      </c>
    </row>
    <row r="4833" spans="1:37" x14ac:dyDescent="0.2">
      <c r="A4833" t="str">
        <f>"20200111160312135"</f>
        <v>20200111160312135</v>
      </c>
      <c r="B4833" t="str">
        <f>"1578729792128074"</f>
        <v>1578729792128074</v>
      </c>
      <c r="C4833" t="s">
        <v>37</v>
      </c>
      <c r="D4833">
        <v>4.5560489999999998</v>
      </c>
      <c r="E4833">
        <v>0.603307699999999</v>
      </c>
      <c r="F4833" t="s">
        <v>39</v>
      </c>
      <c r="G4833">
        <v>-304.76139999999998</v>
      </c>
      <c r="H4833">
        <v>-0.05</v>
      </c>
      <c r="I4833">
        <v>7.0461270000000003</v>
      </c>
      <c r="J4833">
        <v>-308.25569999999999</v>
      </c>
      <c r="K4833">
        <v>1.049715</v>
      </c>
      <c r="L4833">
        <v>17.326419999999999</v>
      </c>
      <c r="M4833">
        <v>0.89486290000000002</v>
      </c>
      <c r="N4833">
        <v>0</v>
      </c>
      <c r="O4833">
        <v>-0.4460885</v>
      </c>
      <c r="P4833">
        <v>0.55379500000000004</v>
      </c>
      <c r="Q4833">
        <v>-5.3437909999999996E-3</v>
      </c>
      <c r="R4833">
        <v>-0.83263619999999905</v>
      </c>
      <c r="S4833">
        <v>1.0277399999999901</v>
      </c>
      <c r="T4833">
        <v>-0.31076219999999999</v>
      </c>
      <c r="U4833">
        <v>-2.9288939999999899</v>
      </c>
      <c r="V4833">
        <v>0.498166</v>
      </c>
      <c r="W4833">
        <v>1.7426609999999999E-3</v>
      </c>
      <c r="X4833">
        <v>0.86707990000000001</v>
      </c>
      <c r="Y4833">
        <v>0.69561019999999996</v>
      </c>
      <c r="Z4833">
        <v>8.3757150000000006E-3</v>
      </c>
      <c r="AA4833">
        <v>0.71837059999999997</v>
      </c>
      <c r="AB4833">
        <v>16</v>
      </c>
      <c r="AC4833">
        <v>3.4943</v>
      </c>
      <c r="AD4833">
        <v>-1.099715</v>
      </c>
      <c r="AE4833">
        <v>-10.280293</v>
      </c>
      <c r="AF4833">
        <v>7.5639554239877302</v>
      </c>
      <c r="AG4833">
        <v>-1.099715</v>
      </c>
      <c r="AH4833">
        <v>7.6353849818150001</v>
      </c>
      <c r="AI4833">
        <v>95.842240624787905</v>
      </c>
      <c r="AJ4833">
        <v>45.269260504603899</v>
      </c>
      <c r="AK4833">
        <v>10.803790934566599</v>
      </c>
    </row>
    <row r="4834" spans="1:37" x14ac:dyDescent="0.2">
      <c r="A4834" t="str">
        <f>"20200111160312157"</f>
        <v>20200111160312157</v>
      </c>
      <c r="B4834" t="str">
        <f>"1578729792147593"</f>
        <v>1578729792147593</v>
      </c>
      <c r="C4834" t="s">
        <v>37</v>
      </c>
      <c r="D4834">
        <v>4.5435379999999999</v>
      </c>
      <c r="E4834">
        <v>0.60295619999999905</v>
      </c>
      <c r="F4834" t="s">
        <v>39</v>
      </c>
      <c r="G4834">
        <v>-304.71809999999999</v>
      </c>
      <c r="H4834">
        <v>-0.05</v>
      </c>
      <c r="I4834">
        <v>6.8954769999999996</v>
      </c>
      <c r="J4834">
        <v>-308.12270000000001</v>
      </c>
      <c r="K4834">
        <v>1.0497080000000001</v>
      </c>
      <c r="L4834">
        <v>17.245539999999998</v>
      </c>
      <c r="M4834">
        <v>0.88998140000000003</v>
      </c>
      <c r="N4834">
        <v>0</v>
      </c>
      <c r="O4834">
        <v>-0.45574910000000002</v>
      </c>
      <c r="P4834">
        <v>0.5449775</v>
      </c>
      <c r="Q4834">
        <v>-5.7723000000000002E-3</v>
      </c>
      <c r="R4834">
        <v>-0.83843060000000003</v>
      </c>
      <c r="S4834">
        <v>0.99649049999999995</v>
      </c>
      <c r="T4834">
        <v>-0.30977569999999999</v>
      </c>
      <c r="U4834">
        <v>-2.9382630000000001</v>
      </c>
      <c r="V4834">
        <v>0.49792209999999998</v>
      </c>
      <c r="W4834">
        <v>1.321144E-3</v>
      </c>
      <c r="X4834">
        <v>0.86722080000000001</v>
      </c>
      <c r="Y4834">
        <v>0.69542399999999904</v>
      </c>
      <c r="Z4834">
        <v>9.5249529999999992E-3</v>
      </c>
      <c r="AA4834">
        <v>0.71853659999999997</v>
      </c>
      <c r="AB4834">
        <v>16</v>
      </c>
      <c r="AC4834">
        <v>3.4046000000000101</v>
      </c>
      <c r="AD4834">
        <v>-1.0997079999999999</v>
      </c>
      <c r="AE4834">
        <v>-10.350063</v>
      </c>
      <c r="AF4834">
        <v>7.5833334932434298</v>
      </c>
      <c r="AG4834">
        <v>-1.0997079999999999</v>
      </c>
      <c r="AH4834">
        <v>7.6698048684661</v>
      </c>
      <c r="AI4834">
        <v>95.821710908239297</v>
      </c>
      <c r="AJ4834">
        <v>45.324811304812002</v>
      </c>
      <c r="AK4834">
        <v>10.841688580445201</v>
      </c>
    </row>
    <row r="4835" spans="1:37" x14ac:dyDescent="0.2">
      <c r="A4835" t="str">
        <f>"20200111160312179"</f>
        <v>20200111160312179</v>
      </c>
      <c r="B4835" t="str">
        <f>"1578729792168089"</f>
        <v>1578729792168089</v>
      </c>
      <c r="C4835" t="s">
        <v>37</v>
      </c>
      <c r="D4835">
        <v>4.4925829999999998</v>
      </c>
      <c r="E4835">
        <v>0.60224899999999904</v>
      </c>
      <c r="F4835" t="s">
        <v>39</v>
      </c>
      <c r="G4835">
        <v>-304.70420000000001</v>
      </c>
      <c r="H4835">
        <v>-0.05</v>
      </c>
      <c r="I4835">
        <v>6.8345949999999904</v>
      </c>
      <c r="J4835">
        <v>-307.98590000000002</v>
      </c>
      <c r="K4835">
        <v>1.049717</v>
      </c>
      <c r="L4835">
        <v>17.16019</v>
      </c>
      <c r="M4835">
        <v>0.88477700000000004</v>
      </c>
      <c r="N4835">
        <v>0</v>
      </c>
      <c r="O4835">
        <v>-0.46577219999999903</v>
      </c>
      <c r="P4835">
        <v>0.53544290000000005</v>
      </c>
      <c r="Q4835">
        <v>-6.3571169999999998E-3</v>
      </c>
      <c r="R4835">
        <v>-0.84454759999999995</v>
      </c>
      <c r="S4835">
        <v>0.96768189999999998</v>
      </c>
      <c r="T4835">
        <v>-0.31129040000000002</v>
      </c>
      <c r="U4835">
        <v>-2.9469910000000001</v>
      </c>
      <c r="V4835">
        <v>0.4979423</v>
      </c>
      <c r="W4835">
        <v>7.3844570000000003E-4</v>
      </c>
      <c r="X4835">
        <v>0.86720989999999998</v>
      </c>
      <c r="Y4835">
        <v>0.69430879999999995</v>
      </c>
      <c r="Z4835">
        <v>1.086762E-2</v>
      </c>
      <c r="AA4835">
        <v>0.71959510000000004</v>
      </c>
      <c r="AB4835">
        <v>16</v>
      </c>
      <c r="AC4835">
        <v>3.2816999999999998</v>
      </c>
      <c r="AD4835">
        <v>-1.0997170000000001</v>
      </c>
      <c r="AE4835">
        <v>-10.325595</v>
      </c>
      <c r="AF4835">
        <v>7.5306002335222697</v>
      </c>
      <c r="AG4835">
        <v>-1.0997170000000001</v>
      </c>
      <c r="AH4835">
        <v>7.6351584040383802</v>
      </c>
      <c r="AI4835">
        <v>95.855024007413107</v>
      </c>
      <c r="AJ4835">
        <v>45.395011361607096</v>
      </c>
      <c r="AK4835">
        <v>10.780304319079899</v>
      </c>
    </row>
    <row r="4836" spans="1:37" x14ac:dyDescent="0.2">
      <c r="A4836" t="str">
        <f>"20200111160312203"</f>
        <v>20200111160312203</v>
      </c>
      <c r="B4836" t="str">
        <f>"1578729792198346"</f>
        <v>1578729792198346</v>
      </c>
      <c r="C4836" t="s">
        <v>37</v>
      </c>
      <c r="D4836">
        <v>4.459492</v>
      </c>
      <c r="E4836">
        <v>0.59667550000000003</v>
      </c>
      <c r="F4836" t="s">
        <v>39</v>
      </c>
      <c r="G4836">
        <v>-304.62529999999998</v>
      </c>
      <c r="H4836">
        <v>-0.05</v>
      </c>
      <c r="I4836">
        <v>6.5797419999999898</v>
      </c>
      <c r="J4836">
        <v>-307.8476</v>
      </c>
      <c r="K4836">
        <v>1.0497129999999999</v>
      </c>
      <c r="L4836">
        <v>17.071529999999999</v>
      </c>
      <c r="M4836">
        <v>0.87932250000000001</v>
      </c>
      <c r="N4836">
        <v>0</v>
      </c>
      <c r="O4836">
        <v>-0.47598970000000002</v>
      </c>
      <c r="P4836">
        <v>0.5253873</v>
      </c>
      <c r="Q4836">
        <v>-6.0251300000000001E-3</v>
      </c>
      <c r="R4836">
        <v>-0.85084179999999998</v>
      </c>
      <c r="S4836">
        <v>0.93853759999999997</v>
      </c>
      <c r="T4836">
        <v>-0.30712780000000001</v>
      </c>
      <c r="U4836">
        <v>-2.954895</v>
      </c>
      <c r="V4836">
        <v>0.49818999999999902</v>
      </c>
      <c r="W4836">
        <v>1.0665080000000001E-3</v>
      </c>
      <c r="X4836">
        <v>0.86706729999999999</v>
      </c>
      <c r="Y4836">
        <v>0.69304189999999999</v>
      </c>
      <c r="Z4836">
        <v>1.204361E-2</v>
      </c>
      <c r="AA4836">
        <v>0.72079680000000002</v>
      </c>
      <c r="AB4836">
        <v>16</v>
      </c>
      <c r="AC4836">
        <v>3.2223000000000099</v>
      </c>
      <c r="AD4836">
        <v>-1.0997129999999999</v>
      </c>
      <c r="AE4836">
        <v>-10.491788</v>
      </c>
      <c r="AF4836">
        <v>7.6162881373706597</v>
      </c>
      <c r="AG4836">
        <v>-1.0997129999999999</v>
      </c>
      <c r="AH4836">
        <v>7.7504963243540397</v>
      </c>
      <c r="AI4836">
        <v>95.778847961504994</v>
      </c>
      <c r="AJ4836">
        <v>45.500388822840897</v>
      </c>
      <c r="AK4836">
        <v>10.9218774461009</v>
      </c>
    </row>
    <row r="4837" spans="1:37" x14ac:dyDescent="0.2">
      <c r="A4837" t="str">
        <f>"20200111160312224"</f>
        <v>20200111160312224</v>
      </c>
      <c r="B4837" t="str">
        <f>"1578729792217865"</f>
        <v>1578729792217865</v>
      </c>
      <c r="C4837" t="s">
        <v>37</v>
      </c>
      <c r="D4837">
        <v>4.4979239999999896</v>
      </c>
      <c r="E4837">
        <v>0.59569130000000003</v>
      </c>
      <c r="F4837" t="s">
        <v>39</v>
      </c>
      <c r="G4837">
        <v>-304.29919999999998</v>
      </c>
      <c r="H4837">
        <v>-0.05</v>
      </c>
      <c r="I4837">
        <v>5.9631040000000004</v>
      </c>
      <c r="J4837">
        <v>-307.7133</v>
      </c>
      <c r="K4837">
        <v>1.0497049999999899</v>
      </c>
      <c r="L4837">
        <v>16.983309999999999</v>
      </c>
      <c r="M4837">
        <v>0.87383429999999995</v>
      </c>
      <c r="N4837">
        <v>0</v>
      </c>
      <c r="O4837">
        <v>-0.48599129999999902</v>
      </c>
      <c r="P4837">
        <v>0.51516439999999997</v>
      </c>
      <c r="Q4837">
        <v>-4.9131920000000003E-3</v>
      </c>
      <c r="R4837">
        <v>-0.85707739999999999</v>
      </c>
      <c r="S4837">
        <v>0.94018550000000001</v>
      </c>
      <c r="T4837">
        <v>-0.29138359999999902</v>
      </c>
      <c r="U4837">
        <v>-2.9433289999999999</v>
      </c>
      <c r="V4837">
        <v>0.49869589999999903</v>
      </c>
      <c r="W4837">
        <v>2.1651439999999999E-3</v>
      </c>
      <c r="X4837">
        <v>0.8667743</v>
      </c>
      <c r="Y4837">
        <v>0.68374309999999905</v>
      </c>
      <c r="Z4837">
        <v>1.3227060000000001E-2</v>
      </c>
      <c r="AA4837">
        <v>0.72960290000000005</v>
      </c>
      <c r="AB4837">
        <v>16</v>
      </c>
      <c r="AC4837">
        <v>3.4141000000000101</v>
      </c>
      <c r="AD4837">
        <v>-1.0997049999999999</v>
      </c>
      <c r="AE4837">
        <v>-11.0202059999999</v>
      </c>
      <c r="AF4837">
        <v>7.8997355056355802</v>
      </c>
      <c r="AG4837">
        <v>-1.0997049999999999</v>
      </c>
      <c r="AH4837">
        <v>8.2649298458743097</v>
      </c>
      <c r="AI4837">
        <v>95.494172714942906</v>
      </c>
      <c r="AJ4837">
        <v>46.2942139607662</v>
      </c>
      <c r="AK4837">
        <v>11.485827680374101</v>
      </c>
    </row>
    <row r="4838" spans="1:37" x14ac:dyDescent="0.2">
      <c r="A4838" t="str">
        <f>"20200111160312247"</f>
        <v>20200111160312247</v>
      </c>
      <c r="B4838" t="str">
        <f>"1578729792238361"</f>
        <v>1578729792238361</v>
      </c>
      <c r="C4838" t="s">
        <v>37</v>
      </c>
      <c r="D4838">
        <v>4.4985059999999999</v>
      </c>
      <c r="E4838">
        <v>0.59422819999999898</v>
      </c>
      <c r="F4838" t="s">
        <v>39</v>
      </c>
      <c r="G4838">
        <v>-304.28390000000002</v>
      </c>
      <c r="H4838">
        <v>-0.05</v>
      </c>
      <c r="I4838">
        <v>5.893402</v>
      </c>
      <c r="J4838">
        <v>-307.58499999999998</v>
      </c>
      <c r="K4838">
        <v>1.0497019999999999</v>
      </c>
      <c r="L4838">
        <v>16.896789999999999</v>
      </c>
      <c r="M4838">
        <v>0.86840300000000004</v>
      </c>
      <c r="N4838">
        <v>0</v>
      </c>
      <c r="O4838">
        <v>-0.49563109999999999</v>
      </c>
      <c r="P4838">
        <v>0.50515509999999997</v>
      </c>
      <c r="Q4838">
        <v>-4.5686479999999998E-3</v>
      </c>
      <c r="R4838">
        <v>-0.86301679999999903</v>
      </c>
      <c r="S4838">
        <v>0.912323</v>
      </c>
      <c r="T4838">
        <v>-0.29254949999999902</v>
      </c>
      <c r="U4838">
        <v>-2.9501949999999999</v>
      </c>
      <c r="V4838">
        <v>0.49919759999999902</v>
      </c>
      <c r="W4838">
        <v>2.491778E-3</v>
      </c>
      <c r="X4838">
        <v>0.86648459999999905</v>
      </c>
      <c r="Y4838">
        <v>0.68246019999999996</v>
      </c>
      <c r="Z4838">
        <v>1.448427E-2</v>
      </c>
      <c r="AA4838">
        <v>0.73077930000000002</v>
      </c>
      <c r="AB4838">
        <v>16</v>
      </c>
      <c r="AC4838">
        <v>3.30109999999996</v>
      </c>
      <c r="AD4838">
        <v>-1.099702</v>
      </c>
      <c r="AE4838">
        <v>-11.003387999999999</v>
      </c>
      <c r="AF4838">
        <v>7.8482240798828604</v>
      </c>
      <c r="AG4838">
        <v>-1.099702</v>
      </c>
      <c r="AH4838">
        <v>8.2456863240666607</v>
      </c>
      <c r="AI4838">
        <v>95.517890759235897</v>
      </c>
      <c r="AJ4838">
        <v>46.414714037229402</v>
      </c>
      <c r="AK4838">
        <v>11.4365776634339</v>
      </c>
    </row>
    <row r="4839" spans="1:37" x14ac:dyDescent="0.2">
      <c r="A4839" t="str">
        <f>"20200111160312269"</f>
        <v>20200111160312269</v>
      </c>
      <c r="B4839" t="str">
        <f>"1578729792257881"</f>
        <v>1578729792257881</v>
      </c>
      <c r="C4839" t="s">
        <v>37</v>
      </c>
      <c r="D4839">
        <v>4.6287839999999996</v>
      </c>
      <c r="E4839">
        <v>0.59399579999999996</v>
      </c>
      <c r="F4839" t="s">
        <v>39</v>
      </c>
      <c r="G4839">
        <v>-304.27719999999999</v>
      </c>
      <c r="H4839">
        <v>-0.05</v>
      </c>
      <c r="I4839">
        <v>5.8939510000000004</v>
      </c>
      <c r="J4839">
        <v>-307.45389999999998</v>
      </c>
      <c r="K4839">
        <v>1.049693</v>
      </c>
      <c r="L4839">
        <v>16.80612</v>
      </c>
      <c r="M4839">
        <v>0.86265720000000001</v>
      </c>
      <c r="N4839">
        <v>0</v>
      </c>
      <c r="O4839">
        <v>-0.50556509999999999</v>
      </c>
      <c r="P4839">
        <v>0.49415690000000001</v>
      </c>
      <c r="Q4839">
        <v>-4.1699090000000003E-3</v>
      </c>
      <c r="R4839">
        <v>-0.86936290000000005</v>
      </c>
      <c r="S4839">
        <v>0.88827509999999998</v>
      </c>
      <c r="T4839">
        <v>-0.29531190000000002</v>
      </c>
      <c r="U4839">
        <v>-2.9546809999999999</v>
      </c>
      <c r="V4839">
        <v>0.50026079999999995</v>
      </c>
      <c r="W4839">
        <v>2.8565509999999902E-3</v>
      </c>
      <c r="X4839">
        <v>0.86587009999999898</v>
      </c>
      <c r="Y4839">
        <v>0.6798478</v>
      </c>
      <c r="Z4839">
        <v>1.596703E-2</v>
      </c>
      <c r="AA4839">
        <v>0.73317929999999998</v>
      </c>
      <c r="AB4839">
        <v>16</v>
      </c>
      <c r="AC4839">
        <v>3.1766999999999799</v>
      </c>
      <c r="AD4839">
        <v>-1.099693</v>
      </c>
      <c r="AE4839">
        <v>-10.912169</v>
      </c>
      <c r="AF4839">
        <v>7.73588951910593</v>
      </c>
      <c r="AG4839">
        <v>-1.099693</v>
      </c>
      <c r="AH4839">
        <v>8.1815503988505895</v>
      </c>
      <c r="AI4839">
        <v>95.578154407057298</v>
      </c>
      <c r="AJ4839">
        <v>46.603764083945201</v>
      </c>
      <c r="AK4839">
        <v>11.313314203848201</v>
      </c>
    </row>
    <row r="4840" spans="1:37" x14ac:dyDescent="0.2">
      <c r="A4840" t="str">
        <f>"20200111160312291"</f>
        <v>20200111160312291</v>
      </c>
      <c r="B4840" t="str">
        <f>"1578729792288137"</f>
        <v>1578729792288137</v>
      </c>
      <c r="C4840" t="s">
        <v>37</v>
      </c>
      <c r="D4840">
        <v>4.4378739999999999</v>
      </c>
      <c r="E4840">
        <v>0.58304690000000003</v>
      </c>
      <c r="F4840" t="s">
        <v>39</v>
      </c>
      <c r="G4840">
        <v>-304.28919999999999</v>
      </c>
      <c r="H4840">
        <v>-0.05</v>
      </c>
      <c r="I4840">
        <v>5.803299</v>
      </c>
      <c r="J4840">
        <v>-307.32380000000001</v>
      </c>
      <c r="K4840">
        <v>1.0496799999999999</v>
      </c>
      <c r="L4840">
        <v>16.71359</v>
      </c>
      <c r="M4840">
        <v>0.85673790000000005</v>
      </c>
      <c r="N4840">
        <v>0</v>
      </c>
      <c r="O4840">
        <v>-0.5155322</v>
      </c>
      <c r="P4840">
        <v>0.48336699999999999</v>
      </c>
      <c r="Q4840">
        <v>-4.0662249999999997E-3</v>
      </c>
      <c r="R4840">
        <v>-0.87540859999999998</v>
      </c>
      <c r="S4840">
        <v>0.85272219999999999</v>
      </c>
      <c r="T4840">
        <v>-0.29631009999999902</v>
      </c>
      <c r="U4840">
        <v>-2.9646910000000002</v>
      </c>
      <c r="V4840">
        <v>0.50093290000000001</v>
      </c>
      <c r="W4840">
        <v>2.9323679999999999E-3</v>
      </c>
      <c r="X4840">
        <v>0.8654811</v>
      </c>
      <c r="Y4840">
        <v>0.68014730000000001</v>
      </c>
      <c r="Z4840">
        <v>1.718037E-2</v>
      </c>
      <c r="AA4840">
        <v>0.73287400000000003</v>
      </c>
      <c r="AB4840">
        <v>15</v>
      </c>
      <c r="AC4840">
        <v>3.03460000000001</v>
      </c>
      <c r="AD4840">
        <v>-1.09968</v>
      </c>
      <c r="AE4840">
        <v>-10.910291000000001</v>
      </c>
      <c r="AF4840">
        <v>7.7109957800472602</v>
      </c>
      <c r="AG4840">
        <v>-1.09968</v>
      </c>
      <c r="AH4840">
        <v>8.14855714550683</v>
      </c>
      <c r="AI4840">
        <v>95.598382780079305</v>
      </c>
      <c r="AJ4840">
        <v>46.580376280397601</v>
      </c>
      <c r="AK4840">
        <v>11.2724325491837</v>
      </c>
    </row>
    <row r="4841" spans="1:37" x14ac:dyDescent="0.2">
      <c r="A4841" t="str">
        <f>"20200111160312315"</f>
        <v>20200111160312315</v>
      </c>
      <c r="B4841" t="str">
        <f>"1578729792308255"</f>
        <v>1578729792308255</v>
      </c>
      <c r="C4841" t="s">
        <v>37</v>
      </c>
      <c r="D4841">
        <v>4.403213</v>
      </c>
      <c r="E4841">
        <v>0.58345880000000006</v>
      </c>
      <c r="F4841" t="s">
        <v>39</v>
      </c>
      <c r="G4841">
        <v>-303.86869999999999</v>
      </c>
      <c r="H4841">
        <v>-0.05</v>
      </c>
      <c r="I4841">
        <v>5.343216</v>
      </c>
      <c r="J4841">
        <v>-307.19069999999999</v>
      </c>
      <c r="K4841">
        <v>1.0496729999999901</v>
      </c>
      <c r="L4841">
        <v>16.61636</v>
      </c>
      <c r="M4841">
        <v>0.85045419999999905</v>
      </c>
      <c r="N4841">
        <v>0</v>
      </c>
      <c r="O4841">
        <v>-0.52583359999999901</v>
      </c>
      <c r="P4841">
        <v>0.47250760000000003</v>
      </c>
      <c r="Q4841">
        <v>-3.254229E-3</v>
      </c>
      <c r="R4841">
        <v>-0.88132099999999902</v>
      </c>
      <c r="S4841">
        <v>0.89138790000000001</v>
      </c>
      <c r="T4841">
        <v>-0.28370889999999999</v>
      </c>
      <c r="U4841">
        <v>-2.9334720000000001</v>
      </c>
      <c r="V4841">
        <v>0.50120120000000001</v>
      </c>
      <c r="W4841">
        <v>3.7253409999999901E-3</v>
      </c>
      <c r="X4841">
        <v>0.86532279999999995</v>
      </c>
      <c r="Y4841">
        <v>0.66027119999999995</v>
      </c>
      <c r="Z4841">
        <v>1.8938989999999999E-2</v>
      </c>
      <c r="AA4841">
        <v>0.75078840000000002</v>
      </c>
      <c r="AB4841">
        <v>15</v>
      </c>
      <c r="AC4841">
        <v>3.3220000000000001</v>
      </c>
      <c r="AD4841">
        <v>-1.0996729999999999</v>
      </c>
      <c r="AE4841">
        <v>-11.273144</v>
      </c>
      <c r="AF4841">
        <v>7.7733044248293002</v>
      </c>
      <c r="AG4841">
        <v>-1.0996729999999999</v>
      </c>
      <c r="AH4841">
        <v>8.6780200914732397</v>
      </c>
      <c r="AI4841">
        <v>95.392123086200499</v>
      </c>
      <c r="AJ4841">
        <v>48.147723938429799</v>
      </c>
      <c r="AK4841">
        <v>11.702203856368801</v>
      </c>
    </row>
    <row r="4842" spans="1:37" x14ac:dyDescent="0.2">
      <c r="A4842" t="str">
        <f>"20200111160312335"</f>
        <v>20200111160312335</v>
      </c>
      <c r="B4842" t="str">
        <f>"1578729792327775"</f>
        <v>1578729792327775</v>
      </c>
      <c r="C4842" t="s">
        <v>37</v>
      </c>
      <c r="D4842">
        <v>4.5059820000000004</v>
      </c>
      <c r="E4842">
        <v>0.58227369999999901</v>
      </c>
      <c r="F4842" t="s">
        <v>39</v>
      </c>
      <c r="G4842">
        <v>-303.89530000000002</v>
      </c>
      <c r="H4842">
        <v>-0.05</v>
      </c>
      <c r="I4842">
        <v>5.2303920000000002</v>
      </c>
      <c r="J4842">
        <v>-307.0702</v>
      </c>
      <c r="K4842">
        <v>1.0496760000000001</v>
      </c>
      <c r="L4842">
        <v>16.52618</v>
      </c>
      <c r="M4842">
        <v>0.84457119999999997</v>
      </c>
      <c r="N4842">
        <v>0</v>
      </c>
      <c r="O4842">
        <v>-0.53523120000000002</v>
      </c>
      <c r="P4842">
        <v>0.46295929999999902</v>
      </c>
      <c r="Q4842">
        <v>-2.0008529999999999E-3</v>
      </c>
      <c r="R4842">
        <v>-0.88637779999999999</v>
      </c>
      <c r="S4842">
        <v>0.85260009999999997</v>
      </c>
      <c r="T4842">
        <v>-0.2845123</v>
      </c>
      <c r="U4842">
        <v>-2.9458310000000001</v>
      </c>
      <c r="V4842">
        <v>0.50097269999999905</v>
      </c>
      <c r="W4842">
        <v>4.9794189999999997E-3</v>
      </c>
      <c r="X4842">
        <v>0.86544880000000002</v>
      </c>
      <c r="Y4842">
        <v>0.66192479999999998</v>
      </c>
      <c r="Z4842">
        <v>1.996328E-2</v>
      </c>
      <c r="AA4842">
        <v>0.74930439999999998</v>
      </c>
      <c r="AB4842">
        <v>15</v>
      </c>
      <c r="AC4842">
        <v>3.1748999999999699</v>
      </c>
      <c r="AD4842">
        <v>-1.0996760000000001</v>
      </c>
      <c r="AE4842">
        <v>-11.295788</v>
      </c>
      <c r="AF4842">
        <v>7.7734031225270499</v>
      </c>
      <c r="AG4842">
        <v>-1.0996760000000001</v>
      </c>
      <c r="AH4842">
        <v>8.6522796163259894</v>
      </c>
      <c r="AI4842">
        <v>95.400937428072197</v>
      </c>
      <c r="AJ4842">
        <v>48.062761045793103</v>
      </c>
      <c r="AK4842">
        <v>11.683194168093699</v>
      </c>
    </row>
    <row r="4843" spans="1:37" x14ac:dyDescent="0.2">
      <c r="A4843" t="str">
        <f>"20200111160312358"</f>
        <v>20200111160312358</v>
      </c>
      <c r="B4843" t="str">
        <f>"1578729792348271"</f>
        <v>1578729792348271</v>
      </c>
      <c r="C4843" t="s">
        <v>37</v>
      </c>
      <c r="D4843">
        <v>4.4504890000000001</v>
      </c>
      <c r="E4843">
        <v>0.58133210000000002</v>
      </c>
      <c r="F4843" t="s">
        <v>39</v>
      </c>
      <c r="G4843">
        <v>-303.80549999999999</v>
      </c>
      <c r="H4843">
        <v>-0.05</v>
      </c>
      <c r="I4843">
        <v>4.9047239999999999</v>
      </c>
      <c r="J4843">
        <v>-306.94670000000002</v>
      </c>
      <c r="K4843">
        <v>1.0496809999999901</v>
      </c>
      <c r="L4843">
        <v>16.431370000000001</v>
      </c>
      <c r="M4843">
        <v>0.83833709999999995</v>
      </c>
      <c r="N4843">
        <v>0</v>
      </c>
      <c r="O4843">
        <v>-0.54494350000000003</v>
      </c>
      <c r="P4843">
        <v>0.45323609999999998</v>
      </c>
      <c r="Q4843">
        <v>-3.9904379999999899E-4</v>
      </c>
      <c r="R4843">
        <v>-0.89139040000000003</v>
      </c>
      <c r="S4843">
        <v>0.82897949999999998</v>
      </c>
      <c r="T4843">
        <v>-0.27923350000000002</v>
      </c>
      <c r="U4843">
        <v>-2.950958</v>
      </c>
      <c r="V4843">
        <v>0.50047140000000001</v>
      </c>
      <c r="W4843">
        <v>6.5944380000000002E-3</v>
      </c>
      <c r="X4843">
        <v>0.86572800000000005</v>
      </c>
      <c r="Y4843">
        <v>0.65922099999999995</v>
      </c>
      <c r="Z4843">
        <v>2.0857469999999999E-2</v>
      </c>
      <c r="AA4843">
        <v>0.75165990000000005</v>
      </c>
      <c r="AB4843">
        <v>15</v>
      </c>
      <c r="AC4843">
        <v>3.14120000000002</v>
      </c>
      <c r="AD4843">
        <v>-1.0996809999999999</v>
      </c>
      <c r="AE4843">
        <v>-11.526646</v>
      </c>
      <c r="AF4843">
        <v>7.8855321866806198</v>
      </c>
      <c r="AG4843">
        <v>-1.0996809999999999</v>
      </c>
      <c r="AH4843">
        <v>8.8408644960346301</v>
      </c>
      <c r="AI4843">
        <v>95.303370566264206</v>
      </c>
      <c r="AJ4843">
        <v>48.268911231980802</v>
      </c>
      <c r="AK4843">
        <v>11.897554421232201</v>
      </c>
    </row>
    <row r="4844" spans="1:37" x14ac:dyDescent="0.2">
      <c r="A4844" t="str">
        <f>"20200111160312381"</f>
        <v>20200111160312381</v>
      </c>
      <c r="B4844" t="str">
        <f>"1578729792377552"</f>
        <v>1578729792377552</v>
      </c>
      <c r="C4844" t="s">
        <v>37</v>
      </c>
      <c r="D4844">
        <v>4.5088540000000004</v>
      </c>
      <c r="E4844">
        <v>0.58005909999999905</v>
      </c>
      <c r="F4844" t="s">
        <v>39</v>
      </c>
      <c r="G4844">
        <v>-303.73390000000001</v>
      </c>
      <c r="H4844">
        <v>-0.05</v>
      </c>
      <c r="I4844">
        <v>4.6087189999999998</v>
      </c>
      <c r="J4844">
        <v>-306.8202</v>
      </c>
      <c r="K4844">
        <v>1.049688</v>
      </c>
      <c r="L4844">
        <v>16.331879999999899</v>
      </c>
      <c r="M4844">
        <v>0.83173349999999902</v>
      </c>
      <c r="N4844">
        <v>0</v>
      </c>
      <c r="O4844">
        <v>-0.55496990000000002</v>
      </c>
      <c r="P4844">
        <v>0.44337929999999998</v>
      </c>
      <c r="Q4844">
        <v>1.116019E-3</v>
      </c>
      <c r="R4844">
        <v>-0.89633359999999995</v>
      </c>
      <c r="S4844">
        <v>0.80352780000000001</v>
      </c>
      <c r="T4844">
        <v>-0.27503040000000001</v>
      </c>
      <c r="U4844">
        <v>-2.9568479999999999</v>
      </c>
      <c r="V4844">
        <v>0.49964059999999999</v>
      </c>
      <c r="W4844">
        <v>8.1331470000000003E-3</v>
      </c>
      <c r="X4844">
        <v>0.86619460000000004</v>
      </c>
      <c r="Y4844">
        <v>0.65664040000000001</v>
      </c>
      <c r="Z4844">
        <v>2.1817489999999998E-2</v>
      </c>
      <c r="AA4844">
        <v>0.75388820000000001</v>
      </c>
      <c r="AB4844">
        <v>15</v>
      </c>
      <c r="AC4844">
        <v>3.0862999999999898</v>
      </c>
      <c r="AD4844">
        <v>-1.099688</v>
      </c>
      <c r="AE4844">
        <v>-11.7231609999999</v>
      </c>
      <c r="AF4844">
        <v>7.97304764260344</v>
      </c>
      <c r="AG4844">
        <v>-1.099688</v>
      </c>
      <c r="AH4844">
        <v>8.9999536375690301</v>
      </c>
      <c r="AI4844">
        <v>95.225747984933093</v>
      </c>
      <c r="AJ4844">
        <v>48.462307210599299</v>
      </c>
      <c r="AK4844">
        <v>12.073854723615</v>
      </c>
    </row>
    <row r="4845" spans="1:37" x14ac:dyDescent="0.2">
      <c r="A4845" t="str">
        <f>"20200111160312403"</f>
        <v>20200111160312403</v>
      </c>
      <c r="B4845" t="str">
        <f>"1578729792397671"</f>
        <v>1578729792397671</v>
      </c>
      <c r="C4845" t="s">
        <v>37</v>
      </c>
      <c r="D4845">
        <v>4.5669839999999997</v>
      </c>
      <c r="E4845">
        <v>0.54123279999999996</v>
      </c>
      <c r="F4845" t="s">
        <v>39</v>
      </c>
      <c r="G4845">
        <v>-303.54629999999997</v>
      </c>
      <c r="H4845">
        <v>-0.05</v>
      </c>
      <c r="I4845">
        <v>3.894714</v>
      </c>
      <c r="J4845">
        <v>-306.69549999999998</v>
      </c>
      <c r="K4845">
        <v>1.0496889999999901</v>
      </c>
      <c r="L4845">
        <v>16.231289999999898</v>
      </c>
      <c r="M4845">
        <v>0.82499859999999903</v>
      </c>
      <c r="N4845">
        <v>0</v>
      </c>
      <c r="O4845">
        <v>-0.56493319999999903</v>
      </c>
      <c r="P4845">
        <v>0.43367869999999997</v>
      </c>
      <c r="Q4845">
        <v>1.979012E-3</v>
      </c>
      <c r="R4845">
        <v>-0.90106559999999902</v>
      </c>
      <c r="S4845">
        <v>0.77960209999999996</v>
      </c>
      <c r="T4845">
        <v>-0.26186949999999998</v>
      </c>
      <c r="U4845">
        <v>-2.9616699999999998</v>
      </c>
      <c r="V4845">
        <v>0.498581</v>
      </c>
      <c r="W4845">
        <v>9.0243259999999992E-3</v>
      </c>
      <c r="X4845">
        <v>0.86679609999999996</v>
      </c>
      <c r="Y4845">
        <v>0.65363780000000005</v>
      </c>
      <c r="Z4845">
        <v>2.2012239999999999E-2</v>
      </c>
      <c r="AA4845">
        <v>0.75648729999999997</v>
      </c>
      <c r="AB4845">
        <v>15</v>
      </c>
      <c r="AC4845">
        <v>3.1492</v>
      </c>
      <c r="AD4845">
        <v>-1.0996889999999999</v>
      </c>
      <c r="AE4845">
        <v>-12.3365759999999</v>
      </c>
      <c r="AF4845">
        <v>8.3373312420546899</v>
      </c>
      <c r="AG4845">
        <v>-1.0996889999999999</v>
      </c>
      <c r="AH4845">
        <v>9.4976650540698806</v>
      </c>
      <c r="AI4845">
        <v>94.973072348623703</v>
      </c>
      <c r="AJ4845">
        <v>48.722381903790598</v>
      </c>
      <c r="AK4845">
        <v>12.685663152384301</v>
      </c>
    </row>
    <row r="4846" spans="1:37" x14ac:dyDescent="0.2">
      <c r="A4846" t="str">
        <f>"20200111160312425"</f>
        <v>20200111160312425</v>
      </c>
      <c r="B4846" t="str">
        <f>"1578729792418165"</f>
        <v>1578729792418165</v>
      </c>
      <c r="C4846" t="s">
        <v>37</v>
      </c>
      <c r="D4846">
        <v>4.589016</v>
      </c>
      <c r="E4846">
        <v>0.53992229999999997</v>
      </c>
      <c r="F4846" t="s">
        <v>39</v>
      </c>
      <c r="G4846">
        <v>-303.36219999999997</v>
      </c>
      <c r="H4846">
        <v>-0.05</v>
      </c>
      <c r="I4846">
        <v>7.1236110000000004</v>
      </c>
      <c r="J4846">
        <v>-306.577</v>
      </c>
      <c r="K4846">
        <v>1.0496889999999901</v>
      </c>
      <c r="L4846">
        <v>16.133179999999999</v>
      </c>
      <c r="M4846">
        <v>0.81837490000000002</v>
      </c>
      <c r="N4846">
        <v>0</v>
      </c>
      <c r="O4846">
        <v>-0.5744861</v>
      </c>
      <c r="P4846">
        <v>0.42426000000000003</v>
      </c>
      <c r="Q4846">
        <v>2.490038E-3</v>
      </c>
      <c r="R4846">
        <v>-0.90553689999999998</v>
      </c>
      <c r="S4846">
        <v>1.0362549999999999</v>
      </c>
      <c r="T4846">
        <v>-0.34186689999999997</v>
      </c>
      <c r="U4846">
        <v>-2.8313599999999899</v>
      </c>
      <c r="V4846">
        <v>0.49754659999999901</v>
      </c>
      <c r="W4846">
        <v>9.5621760000000004E-3</v>
      </c>
      <c r="X4846">
        <v>0.86738459999999995</v>
      </c>
      <c r="Y4846">
        <v>0.57078809999999902</v>
      </c>
      <c r="Z4846">
        <v>3.5909629999999998E-2</v>
      </c>
      <c r="AA4846">
        <v>0.82031180000000004</v>
      </c>
      <c r="AB4846">
        <v>15</v>
      </c>
      <c r="AC4846">
        <v>3.2148000000000199</v>
      </c>
      <c r="AD4846">
        <v>-1.0996889999999999</v>
      </c>
      <c r="AE4846">
        <v>-9.0095690000000008</v>
      </c>
      <c r="AF4846">
        <v>5.4548888259782</v>
      </c>
      <c r="AG4846">
        <v>-1.0996889999999999</v>
      </c>
      <c r="AH4846">
        <v>7.7058382297238097</v>
      </c>
      <c r="AI4846">
        <v>96.643760205666894</v>
      </c>
      <c r="AJ4846">
        <v>54.705689739184898</v>
      </c>
      <c r="AK4846">
        <v>9.50500241047712</v>
      </c>
    </row>
    <row r="4847" spans="1:37" x14ac:dyDescent="0.2">
      <c r="A4847" t="str">
        <f>"20200111160312448"</f>
        <v>20200111160312448</v>
      </c>
      <c r="B4847" t="str">
        <f>"1578729792437685"</f>
        <v>1578729792437685</v>
      </c>
      <c r="C4847" t="s">
        <v>37</v>
      </c>
      <c r="D4847">
        <v>4.5733839999999999</v>
      </c>
      <c r="E4847">
        <v>0.53867949999999998</v>
      </c>
      <c r="F4847" t="s">
        <v>39</v>
      </c>
      <c r="G4847">
        <v>-303.33839999999998</v>
      </c>
      <c r="H4847">
        <v>-0.05</v>
      </c>
      <c r="I4847">
        <v>7.0939479999999904</v>
      </c>
      <c r="J4847">
        <v>-306.45690000000002</v>
      </c>
      <c r="K4847">
        <v>1.0496859999999999</v>
      </c>
      <c r="L4847">
        <v>16.031400000000001</v>
      </c>
      <c r="M4847">
        <v>0.81145140000000004</v>
      </c>
      <c r="N4847">
        <v>0</v>
      </c>
      <c r="O4847">
        <v>-0.58422469999999904</v>
      </c>
      <c r="P4847">
        <v>0.4147074</v>
      </c>
      <c r="Q4847">
        <v>3.5965419999999999E-3</v>
      </c>
      <c r="R4847">
        <v>-0.90994789999999903</v>
      </c>
      <c r="S4847">
        <v>1.0166629999999901</v>
      </c>
      <c r="T4847">
        <v>-0.34521659999999998</v>
      </c>
      <c r="U4847">
        <v>-2.8376160000000001</v>
      </c>
      <c r="V4847">
        <v>0.49631890000000001</v>
      </c>
      <c r="W4847">
        <v>1.069842E-2</v>
      </c>
      <c r="X4847">
        <v>0.86807440000000002</v>
      </c>
      <c r="Y4847">
        <v>0.56661019999999995</v>
      </c>
      <c r="Z4847">
        <v>3.7881860000000003E-2</v>
      </c>
      <c r="AA4847">
        <v>0.82311480000000004</v>
      </c>
      <c r="AB4847">
        <v>15</v>
      </c>
      <c r="AC4847">
        <v>3.11850000000004</v>
      </c>
      <c r="AD4847">
        <v>-1.0996859999999999</v>
      </c>
      <c r="AE4847">
        <v>-8.9374520000000004</v>
      </c>
      <c r="AF4847">
        <v>5.3587001516647197</v>
      </c>
      <c r="AG4847">
        <v>-1.0996859999999999</v>
      </c>
      <c r="AH4847">
        <v>7.6496340881321698</v>
      </c>
      <c r="AI4847">
        <v>96.715170901922704</v>
      </c>
      <c r="AJ4847">
        <v>54.988096967248097</v>
      </c>
      <c r="AK4847">
        <v>9.4043542200600392</v>
      </c>
    </row>
    <row r="4848" spans="1:37" x14ac:dyDescent="0.2">
      <c r="A4848" t="str">
        <f>"20200111160312470"</f>
        <v>20200111160312470</v>
      </c>
      <c r="B4848" t="str">
        <f>"1578729792467941"</f>
        <v>1578729792467941</v>
      </c>
      <c r="C4848" t="s">
        <v>37</v>
      </c>
      <c r="D4848">
        <v>4.5671860000000004</v>
      </c>
      <c r="E4848">
        <v>0.53814890000000004</v>
      </c>
      <c r="F4848" t="s">
        <v>39</v>
      </c>
      <c r="G4848">
        <v>-303.27980000000002</v>
      </c>
      <c r="H4848">
        <v>-0.05</v>
      </c>
      <c r="I4848">
        <v>6.9578699999999998</v>
      </c>
      <c r="J4848">
        <v>-306.33929999999998</v>
      </c>
      <c r="K4848">
        <v>1.0496889999999901</v>
      </c>
      <c r="L4848">
        <v>15.9290799999999</v>
      </c>
      <c r="M4848">
        <v>0.80443929999999997</v>
      </c>
      <c r="N4848">
        <v>0</v>
      </c>
      <c r="O4848">
        <v>-0.59384250000000005</v>
      </c>
      <c r="P4848">
        <v>0.40513339999999998</v>
      </c>
      <c r="Q4848">
        <v>4.2288120000000002E-3</v>
      </c>
      <c r="R4848">
        <v>-0.91424819999999996</v>
      </c>
      <c r="S4848">
        <v>0.99597169999999902</v>
      </c>
      <c r="T4848">
        <v>-0.3447248</v>
      </c>
      <c r="U4848">
        <v>-2.8443299999999998</v>
      </c>
      <c r="V4848">
        <v>0.49510209999999999</v>
      </c>
      <c r="W4848">
        <v>1.13607E-2</v>
      </c>
      <c r="X4848">
        <v>0.86876049999999905</v>
      </c>
      <c r="Y4848">
        <v>0.56278799999999995</v>
      </c>
      <c r="Z4848">
        <v>3.9409479999999997E-2</v>
      </c>
      <c r="AA4848">
        <v>0.82566139999999999</v>
      </c>
      <c r="AB4848">
        <v>15</v>
      </c>
      <c r="AC4848">
        <v>3.0594999999999501</v>
      </c>
      <c r="AD4848">
        <v>-1.0996889999999999</v>
      </c>
      <c r="AE4848">
        <v>-8.9712099999999992</v>
      </c>
      <c r="AF4848">
        <v>5.3288222505199903</v>
      </c>
      <c r="AG4848">
        <v>-1.0996889999999999</v>
      </c>
      <c r="AH4848">
        <v>7.6861005790364096</v>
      </c>
      <c r="AI4848">
        <v>96.706057503603603</v>
      </c>
      <c r="AJ4848">
        <v>55.266185028697699</v>
      </c>
      <c r="AK4848">
        <v>9.4171017083506996</v>
      </c>
    </row>
    <row r="4849" spans="1:37" x14ac:dyDescent="0.2">
      <c r="A4849" t="str">
        <f>"20200111160312493"</f>
        <v>20200111160312493</v>
      </c>
      <c r="B4849" t="str">
        <f>"1578729792488438"</f>
        <v>1578729792488438</v>
      </c>
      <c r="C4849" t="s">
        <v>37</v>
      </c>
      <c r="D4849">
        <v>4.5527439999999997</v>
      </c>
      <c r="E4849">
        <v>0.53790059999999995</v>
      </c>
      <c r="F4849" t="s">
        <v>39</v>
      </c>
      <c r="G4849">
        <v>-303.27109999999999</v>
      </c>
      <c r="H4849">
        <v>-0.05</v>
      </c>
      <c r="I4849">
        <v>6.9084779999999997</v>
      </c>
      <c r="J4849">
        <v>-306.22250000000003</v>
      </c>
      <c r="K4849">
        <v>1.0496939999999999</v>
      </c>
      <c r="L4849">
        <v>15.82465</v>
      </c>
      <c r="M4849">
        <v>0.79723909999999998</v>
      </c>
      <c r="N4849">
        <v>0</v>
      </c>
      <c r="O4849">
        <v>-0.60347450000000002</v>
      </c>
      <c r="P4849">
        <v>0.3950881</v>
      </c>
      <c r="Q4849">
        <v>4.223086E-3</v>
      </c>
      <c r="R4849">
        <v>-0.91863359999999905</v>
      </c>
      <c r="S4849">
        <v>0.97039789999999904</v>
      </c>
      <c r="T4849">
        <v>-0.34780470000000002</v>
      </c>
      <c r="U4849">
        <v>-2.8529969999999998</v>
      </c>
      <c r="V4849">
        <v>0.49417549999999999</v>
      </c>
      <c r="W4849">
        <v>1.138168E-2</v>
      </c>
      <c r="X4849">
        <v>0.8692877</v>
      </c>
      <c r="Y4849">
        <v>0.56028389999999995</v>
      </c>
      <c r="Z4849">
        <v>4.1271599999999999E-2</v>
      </c>
      <c r="AA4849">
        <v>0.8272718</v>
      </c>
      <c r="AB4849">
        <v>15</v>
      </c>
      <c r="AC4849">
        <v>2.9514000000000302</v>
      </c>
      <c r="AD4849">
        <v>-1.0996939999999999</v>
      </c>
      <c r="AE4849">
        <v>-8.9161719999999995</v>
      </c>
      <c r="AF4849">
        <v>5.2557789084760396</v>
      </c>
      <c r="AG4849">
        <v>-1.0996939999999999</v>
      </c>
      <c r="AH4849">
        <v>7.6299321363389403</v>
      </c>
      <c r="AI4849">
        <v>96.769004827171301</v>
      </c>
      <c r="AJ4849">
        <v>55.439494926943397</v>
      </c>
      <c r="AK4849">
        <v>9.3299733779660592</v>
      </c>
    </row>
    <row r="4850" spans="1:37" x14ac:dyDescent="0.2">
      <c r="A4850" t="str">
        <f>"20200111160312514"</f>
        <v>20200111160312514</v>
      </c>
      <c r="B4850" t="str">
        <f>"1578729792507956"</f>
        <v>1578729792507956</v>
      </c>
      <c r="C4850" t="s">
        <v>37</v>
      </c>
      <c r="D4850">
        <v>4.7172900000000002</v>
      </c>
      <c r="E4850">
        <v>0.53734879999999996</v>
      </c>
      <c r="F4850" t="s">
        <v>39</v>
      </c>
      <c r="G4850">
        <v>-303.26280000000003</v>
      </c>
      <c r="H4850">
        <v>-0.05</v>
      </c>
      <c r="I4850">
        <v>6.8194729999999897</v>
      </c>
      <c r="J4850">
        <v>-306.10840000000002</v>
      </c>
      <c r="K4850">
        <v>1.0497129999999999</v>
      </c>
      <c r="L4850">
        <v>15.720179999999999</v>
      </c>
      <c r="M4850">
        <v>0.78998840000000004</v>
      </c>
      <c r="N4850">
        <v>0</v>
      </c>
      <c r="O4850">
        <v>-0.61293560000000002</v>
      </c>
      <c r="P4850">
        <v>0.38477539999999999</v>
      </c>
      <c r="Q4850">
        <v>4.8587439999999999E-3</v>
      </c>
      <c r="R4850">
        <v>-0.92299779999999998</v>
      </c>
      <c r="S4850">
        <v>0.9408569</v>
      </c>
      <c r="T4850">
        <v>-0.34958359999999999</v>
      </c>
      <c r="U4850">
        <v>-2.86267099999999</v>
      </c>
      <c r="V4850">
        <v>0.49355299999999902</v>
      </c>
      <c r="W4850">
        <v>1.20454E-2</v>
      </c>
      <c r="X4850">
        <v>0.86963230000000002</v>
      </c>
      <c r="Y4850">
        <v>0.55898049999999999</v>
      </c>
      <c r="Z4850">
        <v>4.29089E-2</v>
      </c>
      <c r="AA4850">
        <v>0.82806979999999997</v>
      </c>
      <c r="AB4850">
        <v>15</v>
      </c>
      <c r="AC4850">
        <v>2.8455999999999899</v>
      </c>
      <c r="AD4850">
        <v>-1.0997129999999999</v>
      </c>
      <c r="AE4850">
        <v>-8.9007070000000006</v>
      </c>
      <c r="AF4850">
        <v>5.2156533444796196</v>
      </c>
      <c r="AG4850">
        <v>-1.0997129999999999</v>
      </c>
      <c r="AH4850">
        <v>7.59918310562007</v>
      </c>
      <c r="AI4850">
        <v>96.804095764896999</v>
      </c>
      <c r="AJ4850">
        <v>55.536479080521097</v>
      </c>
      <c r="AK4850">
        <v>9.2822406974228002</v>
      </c>
    </row>
    <row r="4851" spans="1:37" x14ac:dyDescent="0.2">
      <c r="A4851" t="str">
        <f>"20200111160312537"</f>
        <v>20200111160312537</v>
      </c>
      <c r="B4851" t="str">
        <f>"1578729792528453"</f>
        <v>1578729792528453</v>
      </c>
      <c r="C4851" t="s">
        <v>37</v>
      </c>
      <c r="D4851">
        <v>4.7364559999999898</v>
      </c>
      <c r="E4851">
        <v>0.52852109999999997</v>
      </c>
      <c r="F4851" t="s">
        <v>39</v>
      </c>
      <c r="G4851">
        <v>-303.23970000000003</v>
      </c>
      <c r="H4851">
        <v>-0.05</v>
      </c>
      <c r="I4851">
        <v>6.7000429999999902</v>
      </c>
      <c r="J4851">
        <v>-305.9984</v>
      </c>
      <c r="K4851">
        <v>1.0497319999999899</v>
      </c>
      <c r="L4851">
        <v>15.61707</v>
      </c>
      <c r="M4851">
        <v>0.78279259999999995</v>
      </c>
      <c r="N4851">
        <v>0</v>
      </c>
      <c r="O4851">
        <v>-0.62209899999999996</v>
      </c>
      <c r="P4851">
        <v>0.37385000000000002</v>
      </c>
      <c r="Q4851">
        <v>4.5713689999999996E-3</v>
      </c>
      <c r="R4851">
        <v>-0.92747800000000002</v>
      </c>
      <c r="S4851">
        <v>0.91320800000000002</v>
      </c>
      <c r="T4851">
        <v>-0.35007680000000002</v>
      </c>
      <c r="U4851">
        <v>-2.871429</v>
      </c>
      <c r="V4851">
        <v>0.4936854</v>
      </c>
      <c r="W4851">
        <v>1.1775519999999999E-2</v>
      </c>
      <c r="X4851">
        <v>0.86956080000000002</v>
      </c>
      <c r="Y4851">
        <v>0.55732729999999997</v>
      </c>
      <c r="Z4851">
        <v>4.4381660000000003E-2</v>
      </c>
      <c r="AA4851">
        <v>0.82910589999999995</v>
      </c>
      <c r="AB4851">
        <v>15</v>
      </c>
      <c r="AC4851">
        <v>2.75869999999997</v>
      </c>
      <c r="AD4851">
        <v>-1.0997319999999999</v>
      </c>
      <c r="AE4851">
        <v>-8.9170269999999991</v>
      </c>
      <c r="AF4851">
        <v>5.1925199085265303</v>
      </c>
      <c r="AG4851">
        <v>-1.0997319999999999</v>
      </c>
      <c r="AH4851">
        <v>7.6021155828334601</v>
      </c>
      <c r="AI4851">
        <v>96.812009333494501</v>
      </c>
      <c r="AJ4851">
        <v>55.665510800217398</v>
      </c>
      <c r="AK4851">
        <v>9.2716683939314599</v>
      </c>
    </row>
    <row r="4852" spans="1:37" x14ac:dyDescent="0.2">
      <c r="A4852" t="str">
        <f>"20200111160312559"</f>
        <v>20200111160312559</v>
      </c>
      <c r="B4852" t="str">
        <f>"1578729792547973"</f>
        <v>1578729792547973</v>
      </c>
      <c r="C4852" t="s">
        <v>37</v>
      </c>
      <c r="D4852">
        <v>4.7233450000000001</v>
      </c>
      <c r="E4852">
        <v>0.52783729999999995</v>
      </c>
      <c r="F4852" t="s">
        <v>39</v>
      </c>
      <c r="G4852">
        <v>-303.2647</v>
      </c>
      <c r="H4852">
        <v>-0.05</v>
      </c>
      <c r="I4852">
        <v>7.3817440000000003</v>
      </c>
      <c r="J4852">
        <v>-305.885999999999</v>
      </c>
      <c r="K4852">
        <v>1.0497529999999999</v>
      </c>
      <c r="L4852">
        <v>15.509</v>
      </c>
      <c r="M4852">
        <v>0.77520889999999998</v>
      </c>
      <c r="N4852">
        <v>0</v>
      </c>
      <c r="O4852">
        <v>-0.63152390000000003</v>
      </c>
      <c r="P4852">
        <v>0.36308649999999998</v>
      </c>
      <c r="Q4852">
        <v>4.2426340000000003E-3</v>
      </c>
      <c r="R4852">
        <v>-0.93174559999999995</v>
      </c>
      <c r="S4852">
        <v>0.94757080000000005</v>
      </c>
      <c r="T4852">
        <v>-0.38118459999999899</v>
      </c>
      <c r="U4852">
        <v>-2.854492</v>
      </c>
      <c r="V4852">
        <v>0.49322959999999899</v>
      </c>
      <c r="W4852">
        <v>1.1480860000000001E-2</v>
      </c>
      <c r="X4852">
        <v>0.86982340000000002</v>
      </c>
      <c r="Y4852">
        <v>0.53678289999999995</v>
      </c>
      <c r="Z4852">
        <v>5.1151290000000002E-2</v>
      </c>
      <c r="AA4852">
        <v>0.84216849999999999</v>
      </c>
      <c r="AB4852">
        <v>15</v>
      </c>
      <c r="AC4852">
        <v>2.6212999999999602</v>
      </c>
      <c r="AD4852">
        <v>-1.099753</v>
      </c>
      <c r="AE4852">
        <v>-8.1272559999999991</v>
      </c>
      <c r="AF4852">
        <v>4.5696499594682001</v>
      </c>
      <c r="AG4852">
        <v>-1.099753</v>
      </c>
      <c r="AH4852">
        <v>7.0485291753623196</v>
      </c>
      <c r="AI4852">
        <v>97.458728718486995</v>
      </c>
      <c r="AJ4852">
        <v>57.044152149959999</v>
      </c>
      <c r="AK4852">
        <v>8.4718900458522608</v>
      </c>
    </row>
    <row r="4853" spans="1:37" x14ac:dyDescent="0.2">
      <c r="A4853" t="str">
        <f>"20200111160312582"</f>
        <v>20200111160312582</v>
      </c>
      <c r="B4853" t="str">
        <f>"1578729792578230"</f>
        <v>1578729792578230</v>
      </c>
      <c r="C4853" t="s">
        <v>37</v>
      </c>
      <c r="D4853">
        <v>4.8259049999999997</v>
      </c>
      <c r="E4853">
        <v>0.52609510000000004</v>
      </c>
      <c r="F4853" t="s">
        <v>39</v>
      </c>
      <c r="G4853">
        <v>-303.26420000000002</v>
      </c>
      <c r="H4853">
        <v>-0.05</v>
      </c>
      <c r="I4853">
        <v>7.3471219999999997</v>
      </c>
      <c r="J4853">
        <v>-305.77460000000002</v>
      </c>
      <c r="K4853">
        <v>1.049776</v>
      </c>
      <c r="L4853">
        <v>15.39926</v>
      </c>
      <c r="M4853">
        <v>0.76746380000000003</v>
      </c>
      <c r="N4853">
        <v>0</v>
      </c>
      <c r="O4853">
        <v>-0.64091409999999904</v>
      </c>
      <c r="P4853">
        <v>0.3525914</v>
      </c>
      <c r="Q4853">
        <v>4.5731269999999997E-3</v>
      </c>
      <c r="R4853">
        <v>-0.9357664</v>
      </c>
      <c r="S4853">
        <v>0.91970830000000003</v>
      </c>
      <c r="T4853">
        <v>-0.38578499999999999</v>
      </c>
      <c r="U4853">
        <v>-2.8631289999999998</v>
      </c>
      <c r="V4853">
        <v>0.492418999999999</v>
      </c>
      <c r="W4853">
        <v>1.185133E-2</v>
      </c>
      <c r="X4853">
        <v>0.87027759999999998</v>
      </c>
      <c r="Y4853">
        <v>0.53472600000000003</v>
      </c>
      <c r="Z4853">
        <v>5.338027E-2</v>
      </c>
      <c r="AA4853">
        <v>0.84333780000000003</v>
      </c>
      <c r="AB4853">
        <v>15</v>
      </c>
      <c r="AC4853">
        <v>2.5104000000000002</v>
      </c>
      <c r="AD4853">
        <v>-1.0997760000000001</v>
      </c>
      <c r="AE4853">
        <v>-8.0521379999999994</v>
      </c>
      <c r="AF4853">
        <v>4.4948738828886503</v>
      </c>
      <c r="AG4853">
        <v>-1.0997760000000001</v>
      </c>
      <c r="AH4853">
        <v>6.9696808829392296</v>
      </c>
      <c r="AI4853">
        <v>97.553847183330305</v>
      </c>
      <c r="AJ4853">
        <v>57.181294839872997</v>
      </c>
      <c r="AK4853">
        <v>8.3659936698074997</v>
      </c>
    </row>
    <row r="4854" spans="1:37" x14ac:dyDescent="0.2">
      <c r="A4854" t="str">
        <f>"20200111160312605"</f>
        <v>20200111160312605</v>
      </c>
      <c r="B4854" t="str">
        <f>"1578729792597748"</f>
        <v>1578729792597748</v>
      </c>
      <c r="C4854" t="s">
        <v>37</v>
      </c>
      <c r="D4854">
        <v>4.8041320000000001</v>
      </c>
      <c r="E4854">
        <v>0.52560390000000001</v>
      </c>
      <c r="F4854" t="s">
        <v>39</v>
      </c>
      <c r="G4854">
        <v>-303.21359999999999</v>
      </c>
      <c r="H4854">
        <v>-0.05</v>
      </c>
      <c r="I4854">
        <v>7.2451319999999999</v>
      </c>
      <c r="J4854">
        <v>-305.66399999999999</v>
      </c>
      <c r="K4854">
        <v>1.0497969999999901</v>
      </c>
      <c r="L4854">
        <v>15.28769</v>
      </c>
      <c r="M4854">
        <v>0.75954560000000004</v>
      </c>
      <c r="N4854">
        <v>0</v>
      </c>
      <c r="O4854">
        <v>-0.65027840000000003</v>
      </c>
      <c r="P4854">
        <v>0.34203259999999902</v>
      </c>
      <c r="Q4854">
        <v>5.0587790000000002E-3</v>
      </c>
      <c r="R4854">
        <v>-0.93967479999999903</v>
      </c>
      <c r="S4854">
        <v>0.90087890000000004</v>
      </c>
      <c r="T4854">
        <v>-0.3868682</v>
      </c>
      <c r="U4854">
        <v>-2.8683779999999999</v>
      </c>
      <c r="V4854">
        <v>0.49154759999999997</v>
      </c>
      <c r="W4854">
        <v>1.237486E-2</v>
      </c>
      <c r="X4854">
        <v>0.87076279999999995</v>
      </c>
      <c r="Y4854">
        <v>0.52989359999999996</v>
      </c>
      <c r="Z4854">
        <v>5.5328839999999997E-2</v>
      </c>
      <c r="AA4854">
        <v>0.84625729999999999</v>
      </c>
      <c r="AB4854">
        <v>15</v>
      </c>
      <c r="AC4854">
        <v>2.4504000000000001</v>
      </c>
      <c r="AD4854">
        <v>-1.0997969999999999</v>
      </c>
      <c r="AE4854">
        <v>-8.0425579999999997</v>
      </c>
      <c r="AF4854">
        <v>4.4397924254410501</v>
      </c>
      <c r="AG4854">
        <v>-1.0997969999999999</v>
      </c>
      <c r="AH4854">
        <v>6.9725920594847599</v>
      </c>
      <c r="AI4854">
        <v>97.578619490811704</v>
      </c>
      <c r="AJ4854">
        <v>57.513086684194299</v>
      </c>
      <c r="AK4854">
        <v>8.3389657782127102</v>
      </c>
    </row>
    <row r="4855" spans="1:37" x14ac:dyDescent="0.2">
      <c r="A4855" t="str">
        <f>"20200111160312627"</f>
        <v>20200111160312627</v>
      </c>
      <c r="B4855" t="str">
        <f>"1578729792618245"</f>
        <v>1578729792618245</v>
      </c>
      <c r="C4855" t="s">
        <v>37</v>
      </c>
      <c r="D4855">
        <v>4.8947089999999998</v>
      </c>
      <c r="E4855">
        <v>0.5195554</v>
      </c>
      <c r="F4855" t="s">
        <v>39</v>
      </c>
      <c r="G4855">
        <v>-303.18599999999998</v>
      </c>
      <c r="H4855">
        <v>-0.05</v>
      </c>
      <c r="I4855">
        <v>7.1132660000000003</v>
      </c>
      <c r="J4855">
        <v>-305.5616</v>
      </c>
      <c r="K4855">
        <v>1.0498069999999999</v>
      </c>
      <c r="L4855">
        <v>15.181760000000001</v>
      </c>
      <c r="M4855">
        <v>0.75199249999999995</v>
      </c>
      <c r="N4855">
        <v>0</v>
      </c>
      <c r="O4855">
        <v>-0.65899830000000004</v>
      </c>
      <c r="P4855">
        <v>0.33233000000000001</v>
      </c>
      <c r="Q4855">
        <v>4.8006639999999996E-3</v>
      </c>
      <c r="R4855">
        <v>-0.94315090000000001</v>
      </c>
      <c r="S4855">
        <v>0.87219239999999998</v>
      </c>
      <c r="T4855">
        <v>-0.3871019</v>
      </c>
      <c r="U4855">
        <v>-2.8771969999999998</v>
      </c>
      <c r="V4855">
        <v>0.49047239999999998</v>
      </c>
      <c r="W4855">
        <v>1.215315E-2</v>
      </c>
      <c r="X4855">
        <v>0.87137199999999904</v>
      </c>
      <c r="Y4855">
        <v>0.52859750000000005</v>
      </c>
      <c r="Z4855">
        <v>5.6831810000000003E-2</v>
      </c>
      <c r="AA4855">
        <v>0.8469681</v>
      </c>
      <c r="AB4855">
        <v>15</v>
      </c>
      <c r="AC4855">
        <v>2.3756000000000199</v>
      </c>
      <c r="AD4855">
        <v>-1.099807</v>
      </c>
      <c r="AE4855">
        <v>-8.0684939999999994</v>
      </c>
      <c r="AF4855">
        <v>4.4267568229580698</v>
      </c>
      <c r="AG4855">
        <v>-1.099807</v>
      </c>
      <c r="AH4855">
        <v>6.9849411424649803</v>
      </c>
      <c r="AI4855">
        <v>97.575577133694395</v>
      </c>
      <c r="AJ4855">
        <v>57.635226116732703</v>
      </c>
      <c r="AK4855">
        <v>8.3423710161173492</v>
      </c>
    </row>
    <row r="4856" spans="1:37" x14ac:dyDescent="0.2">
      <c r="A4856" t="str">
        <f>"20200111160312648"</f>
        <v>20200111160312648</v>
      </c>
      <c r="B4856" t="str">
        <f>"1578729792637765"</f>
        <v>1578729792637765</v>
      </c>
      <c r="C4856" t="s">
        <v>37</v>
      </c>
      <c r="D4856">
        <v>4.8970709999999897</v>
      </c>
      <c r="E4856">
        <v>0.51855509999999905</v>
      </c>
      <c r="F4856" t="s">
        <v>39</v>
      </c>
      <c r="G4856">
        <v>-303.12970000000001</v>
      </c>
      <c r="H4856">
        <v>-0.05</v>
      </c>
      <c r="I4856">
        <v>7.3385309999999997</v>
      </c>
      <c r="J4856">
        <v>-305.45850000000002</v>
      </c>
      <c r="K4856">
        <v>1.0498270000000001</v>
      </c>
      <c r="L4856">
        <v>15.072570000000001</v>
      </c>
      <c r="M4856">
        <v>0.74416850000000001</v>
      </c>
      <c r="N4856">
        <v>0</v>
      </c>
      <c r="O4856">
        <v>-0.667821</v>
      </c>
      <c r="P4856">
        <v>0.32271640000000001</v>
      </c>
      <c r="Q4856">
        <v>4.2754109999999998E-3</v>
      </c>
      <c r="R4856">
        <v>-0.946486099999999</v>
      </c>
      <c r="S4856">
        <v>0.88970949999999904</v>
      </c>
      <c r="T4856">
        <v>-0.4023563</v>
      </c>
      <c r="U4856">
        <v>-2.8693849999999999</v>
      </c>
      <c r="V4856">
        <v>0.48905670000000001</v>
      </c>
      <c r="W4856">
        <v>1.166967E-2</v>
      </c>
      <c r="X4856">
        <v>0.87217389999999995</v>
      </c>
      <c r="Y4856">
        <v>0.51325329999999902</v>
      </c>
      <c r="Z4856">
        <v>6.1515849999999997E-2</v>
      </c>
      <c r="AA4856">
        <v>0.85602969999999901</v>
      </c>
      <c r="AB4856">
        <v>15</v>
      </c>
      <c r="AC4856">
        <v>2.3288000000000002</v>
      </c>
      <c r="AD4856">
        <v>-1.0998270000000001</v>
      </c>
      <c r="AE4856">
        <v>-7.7340390000000001</v>
      </c>
      <c r="AF4856">
        <v>4.1242173448118198</v>
      </c>
      <c r="AG4856">
        <v>-1.0998270000000001</v>
      </c>
      <c r="AH4856">
        <v>6.7731764875372402</v>
      </c>
      <c r="AI4856">
        <v>97.896079344457107</v>
      </c>
      <c r="AJ4856">
        <v>58.662578653464699</v>
      </c>
      <c r="AK4856">
        <v>8.0059170535612605</v>
      </c>
    </row>
    <row r="4857" spans="1:37" x14ac:dyDescent="0.2">
      <c r="A4857" t="str">
        <f>"20200111160312671"</f>
        <v>20200111160312671</v>
      </c>
      <c r="B4857" t="str">
        <f>"1578729792668021"</f>
        <v>1578729792668021</v>
      </c>
      <c r="C4857" t="s">
        <v>37</v>
      </c>
      <c r="D4857">
        <v>5.1113479999999996</v>
      </c>
      <c r="E4857">
        <v>0.51846029999999999</v>
      </c>
      <c r="F4857" t="s">
        <v>39</v>
      </c>
      <c r="G4857">
        <v>-303.0951</v>
      </c>
      <c r="H4857">
        <v>-0.05</v>
      </c>
      <c r="I4857">
        <v>7.239655</v>
      </c>
      <c r="J4857">
        <v>-305.35250000000002</v>
      </c>
      <c r="K4857">
        <v>1.049836</v>
      </c>
      <c r="L4857">
        <v>14.95734</v>
      </c>
      <c r="M4857">
        <v>0.73587740000000001</v>
      </c>
      <c r="N4857">
        <v>0</v>
      </c>
      <c r="O4857">
        <v>-0.6769463</v>
      </c>
      <c r="P4857">
        <v>0.31286950000000002</v>
      </c>
      <c r="Q4857">
        <v>4.1148519999999996E-3</v>
      </c>
      <c r="R4857">
        <v>-0.94978739999999995</v>
      </c>
      <c r="S4857">
        <v>0.86764529999999995</v>
      </c>
      <c r="T4857">
        <v>-0.40376689999999998</v>
      </c>
      <c r="U4857">
        <v>-2.87561</v>
      </c>
      <c r="V4857">
        <v>0.48735729999999999</v>
      </c>
      <c r="W4857">
        <v>1.155667E-2</v>
      </c>
      <c r="X4857">
        <v>0.87312619999999896</v>
      </c>
      <c r="Y4857">
        <v>0.50925549999999997</v>
      </c>
      <c r="Z4857">
        <v>6.3504640000000001E-2</v>
      </c>
      <c r="AA4857">
        <v>0.85826919999999995</v>
      </c>
      <c r="AB4857">
        <v>15</v>
      </c>
      <c r="AC4857">
        <v>2.2574000000000098</v>
      </c>
      <c r="AD4857">
        <v>-1.099836</v>
      </c>
      <c r="AE4857">
        <v>-7.7176850000000004</v>
      </c>
      <c r="AF4857">
        <v>4.07536266438147</v>
      </c>
      <c r="AG4857">
        <v>-1.099836</v>
      </c>
      <c r="AH4857">
        <v>6.7599476854968099</v>
      </c>
      <c r="AI4857">
        <v>97.932320831207093</v>
      </c>
      <c r="AJ4857">
        <v>58.915529096062599</v>
      </c>
      <c r="AK4857">
        <v>7.9696369292323599</v>
      </c>
    </row>
    <row r="4858" spans="1:37" x14ac:dyDescent="0.2">
      <c r="A4858" t="str">
        <f>"20200111160312693"</f>
        <v>20200111160312693</v>
      </c>
      <c r="B4858" t="str">
        <f>"1578729792688517"</f>
        <v>1578729792688517</v>
      </c>
      <c r="C4858" t="s">
        <v>37</v>
      </c>
      <c r="D4858">
        <v>4.8324099999999897</v>
      </c>
      <c r="E4858">
        <v>0.56615550000000003</v>
      </c>
      <c r="F4858" t="s">
        <v>39</v>
      </c>
      <c r="G4858">
        <v>-303.08210000000003</v>
      </c>
      <c r="H4858">
        <v>-0.05</v>
      </c>
      <c r="I4858">
        <v>7.1473079999999998</v>
      </c>
      <c r="J4858">
        <v>-305.2475</v>
      </c>
      <c r="K4858">
        <v>1.049857</v>
      </c>
      <c r="L4858">
        <v>14.8403299999999</v>
      </c>
      <c r="M4858">
        <v>0.72742050000000003</v>
      </c>
      <c r="N4858">
        <v>0</v>
      </c>
      <c r="O4858">
        <v>-0.68602559999999901</v>
      </c>
      <c r="P4858">
        <v>0.30343170000000003</v>
      </c>
      <c r="Q4858">
        <v>3.2102759999999902E-3</v>
      </c>
      <c r="R4858">
        <v>-0.95284769999999896</v>
      </c>
      <c r="S4858">
        <v>0.83843989999999902</v>
      </c>
      <c r="T4858">
        <v>-0.4061573</v>
      </c>
      <c r="U4858">
        <v>-2.8841549999999998</v>
      </c>
      <c r="V4858">
        <v>0.4851742</v>
      </c>
      <c r="W4858">
        <v>1.0713200000000001E-2</v>
      </c>
      <c r="X4858">
        <v>0.87435189999999996</v>
      </c>
      <c r="Y4858">
        <v>0.50731910000000002</v>
      </c>
      <c r="Z4858">
        <v>6.5521549999999998E-2</v>
      </c>
      <c r="AA4858">
        <v>0.85926380000000002</v>
      </c>
      <c r="AB4858">
        <v>15</v>
      </c>
      <c r="AC4858">
        <v>2.1653999999999698</v>
      </c>
      <c r="AD4858">
        <v>-1.0998570000000001</v>
      </c>
      <c r="AE4858">
        <v>-7.6930219999999903</v>
      </c>
      <c r="AF4858">
        <v>4.0345986892815002</v>
      </c>
      <c r="AG4858">
        <v>-1.0998570000000001</v>
      </c>
      <c r="AH4858">
        <v>6.7261596556353203</v>
      </c>
      <c r="AI4858">
        <v>97.982351682972904</v>
      </c>
      <c r="AJ4858">
        <v>59.0431156655698</v>
      </c>
      <c r="AK4858">
        <v>7.9201575563303903</v>
      </c>
    </row>
    <row r="4859" spans="1:37" x14ac:dyDescent="0.2">
      <c r="A4859" t="str">
        <f>"20200111160312716"</f>
        <v>20200111160312716</v>
      </c>
      <c r="B4859" t="str">
        <f>"1578729792707572"</f>
        <v>1578729792707572</v>
      </c>
      <c r="C4859" t="s">
        <v>37</v>
      </c>
      <c r="D4859">
        <v>4.8193890000000001</v>
      </c>
      <c r="E4859">
        <v>0.57432969999999905</v>
      </c>
      <c r="F4859" t="s">
        <v>39</v>
      </c>
      <c r="G4859">
        <v>-303.59300000000002</v>
      </c>
      <c r="H4859">
        <v>-0.05</v>
      </c>
      <c r="I4859">
        <v>3.3617400000000002</v>
      </c>
      <c r="J4859">
        <v>-305.15129999999999</v>
      </c>
      <c r="K4859">
        <v>1.049885</v>
      </c>
      <c r="L4859">
        <v>14.73035</v>
      </c>
      <c r="M4859">
        <v>0.71944049999999904</v>
      </c>
      <c r="N4859">
        <v>0</v>
      </c>
      <c r="O4859">
        <v>-0.6943899</v>
      </c>
      <c r="P4859">
        <v>0.29614790000000002</v>
      </c>
      <c r="Q4859">
        <v>2.3851269999999999E-3</v>
      </c>
      <c r="R4859">
        <v>-0.95513919999999997</v>
      </c>
      <c r="S4859">
        <v>0.43405149999999998</v>
      </c>
      <c r="T4859">
        <v>-0.28853049999999902</v>
      </c>
      <c r="U4859">
        <v>-3.0112299999999999</v>
      </c>
      <c r="V4859">
        <v>0.4817284</v>
      </c>
      <c r="W4859">
        <v>9.9784299999999999E-3</v>
      </c>
      <c r="X4859">
        <v>0.87626369999999898</v>
      </c>
      <c r="Y4859">
        <v>0.61283699999999997</v>
      </c>
      <c r="Z4859">
        <v>4.2358840000000002E-2</v>
      </c>
      <c r="AA4859">
        <v>0.78907320000000003</v>
      </c>
      <c r="AB4859">
        <v>15</v>
      </c>
      <c r="AC4859">
        <v>1.55829999999997</v>
      </c>
      <c r="AD4859">
        <v>-1.099885</v>
      </c>
      <c r="AE4859">
        <v>-11.36861</v>
      </c>
      <c r="AF4859">
        <v>7.0331630288128597</v>
      </c>
      <c r="AG4859">
        <v>-1.099885</v>
      </c>
      <c r="AH4859">
        <v>8.9342965994612094</v>
      </c>
      <c r="AI4859">
        <v>95.525140247236493</v>
      </c>
      <c r="AJ4859">
        <v>51.789843255877301</v>
      </c>
      <c r="AK4859">
        <v>11.423518938148099</v>
      </c>
    </row>
    <row r="4860" spans="1:37" x14ac:dyDescent="0.2">
      <c r="A4860" t="str">
        <f>"20200111160312738"</f>
        <v>20200111160312738</v>
      </c>
      <c r="B4860" t="str">
        <f>"1578729792728066"</f>
        <v>1578729792728066</v>
      </c>
      <c r="C4860" t="s">
        <v>37</v>
      </c>
      <c r="D4860">
        <v>4.797847</v>
      </c>
      <c r="E4860">
        <v>0.57726869999999997</v>
      </c>
      <c r="F4860" t="s">
        <v>39</v>
      </c>
      <c r="G4860">
        <v>-303.85820000000001</v>
      </c>
      <c r="H4860">
        <v>-0.05</v>
      </c>
      <c r="I4860">
        <v>3.4771269999999999</v>
      </c>
      <c r="J4860">
        <v>-305.05430000000001</v>
      </c>
      <c r="K4860">
        <v>1.0499229999999999</v>
      </c>
      <c r="L4860">
        <v>14.616849999999999</v>
      </c>
      <c r="M4860">
        <v>0.71117909999999995</v>
      </c>
      <c r="N4860">
        <v>0</v>
      </c>
      <c r="O4860">
        <v>-0.7028489</v>
      </c>
      <c r="P4860">
        <v>0.28890779999999999</v>
      </c>
      <c r="Q4860">
        <v>2.6881100000000001E-3</v>
      </c>
      <c r="R4860">
        <v>-0.95735339999999902</v>
      </c>
      <c r="S4860">
        <v>0.34857179999999999</v>
      </c>
      <c r="T4860">
        <v>-0.29649959999999997</v>
      </c>
      <c r="U4860">
        <v>-3.033569</v>
      </c>
      <c r="V4860">
        <v>0.4779989</v>
      </c>
      <c r="W4860">
        <v>1.0381339999999999E-2</v>
      </c>
      <c r="X4860">
        <v>0.8782991</v>
      </c>
      <c r="Y4860">
        <v>0.62606629999999996</v>
      </c>
      <c r="Z4860">
        <v>4.3803399999999999E-2</v>
      </c>
      <c r="AA4860">
        <v>0.77853859999999997</v>
      </c>
      <c r="AB4860">
        <v>15</v>
      </c>
      <c r="AC4860">
        <v>1.1960999999999999</v>
      </c>
      <c r="AD4860">
        <v>-1.099923</v>
      </c>
      <c r="AE4860">
        <v>-11.139723</v>
      </c>
      <c r="AF4860">
        <v>7.0148562016402201</v>
      </c>
      <c r="AG4860">
        <v>-1.099923</v>
      </c>
      <c r="AH4860">
        <v>8.5982994064211198</v>
      </c>
      <c r="AI4860">
        <v>95.660709799055297</v>
      </c>
      <c r="AJ4860">
        <v>50.790979897426503</v>
      </c>
      <c r="AK4860">
        <v>11.1511788981291</v>
      </c>
    </row>
    <row r="4861" spans="1:37" x14ac:dyDescent="0.2">
      <c r="A4861" t="str">
        <f>"20200111160312761"</f>
        <v>20200111160312761</v>
      </c>
      <c r="B4861" t="str">
        <f>"1578729792758322"</f>
        <v>1578729792758322</v>
      </c>
      <c r="C4861" t="s">
        <v>37</v>
      </c>
      <c r="D4861">
        <v>4.8683920000000001</v>
      </c>
      <c r="E4861">
        <v>0.57889630000000003</v>
      </c>
      <c r="F4861" t="s">
        <v>39</v>
      </c>
      <c r="G4861">
        <v>-303.91750000000002</v>
      </c>
      <c r="H4861">
        <v>-0.05</v>
      </c>
      <c r="I4861">
        <v>3.1802519999999999</v>
      </c>
      <c r="J4861">
        <v>-304.95639999999997</v>
      </c>
      <c r="K4861">
        <v>1.049957</v>
      </c>
      <c r="L4861">
        <v>14.49954</v>
      </c>
      <c r="M4861">
        <v>0.70261249999999997</v>
      </c>
      <c r="N4861">
        <v>0</v>
      </c>
      <c r="O4861">
        <v>-0.71141279999999996</v>
      </c>
      <c r="P4861">
        <v>0.28199020000000002</v>
      </c>
      <c r="Q4861">
        <v>3.8207969999999999E-3</v>
      </c>
      <c r="R4861">
        <v>-0.95940969999999903</v>
      </c>
      <c r="S4861">
        <v>0.30249019999999999</v>
      </c>
      <c r="T4861">
        <v>-0.2926803</v>
      </c>
      <c r="U4861">
        <v>-3.0431819999999998</v>
      </c>
      <c r="V4861">
        <v>0.47370200000000001</v>
      </c>
      <c r="W4861">
        <v>1.162819E-2</v>
      </c>
      <c r="X4861">
        <v>0.88060839999999996</v>
      </c>
      <c r="Y4861">
        <v>0.62856909999999999</v>
      </c>
      <c r="Z4861">
        <v>4.4159299999999999E-2</v>
      </c>
      <c r="AA4861">
        <v>0.77649919999999995</v>
      </c>
      <c r="AB4861">
        <v>15</v>
      </c>
      <c r="AC4861">
        <v>1.03889999999995</v>
      </c>
      <c r="AD4861">
        <v>-1.0999570000000001</v>
      </c>
      <c r="AE4861">
        <v>-11.319288</v>
      </c>
      <c r="AF4861">
        <v>7.1478731987440796</v>
      </c>
      <c r="AG4861">
        <v>-1.0999570000000001</v>
      </c>
      <c r="AH4861">
        <v>8.7021412219232008</v>
      </c>
      <c r="AI4861">
        <v>95.578663140201797</v>
      </c>
      <c r="AJ4861">
        <v>50.600574737910797</v>
      </c>
      <c r="AK4861">
        <v>11.3150014809308</v>
      </c>
    </row>
    <row r="4862" spans="1:37" x14ac:dyDescent="0.2">
      <c r="A4862" t="str">
        <f>"20200111160312783"</f>
        <v>20200111160312783</v>
      </c>
      <c r="B4862" t="str">
        <f>"1578729792777842"</f>
        <v>1578729792777842</v>
      </c>
      <c r="C4862" t="s">
        <v>37</v>
      </c>
      <c r="D4862">
        <v>4.8438239999999997</v>
      </c>
      <c r="E4862">
        <v>0.57952150000000002</v>
      </c>
      <c r="F4862" t="s">
        <v>39</v>
      </c>
      <c r="G4862">
        <v>-303.93939999999998</v>
      </c>
      <c r="H4862">
        <v>-0.05</v>
      </c>
      <c r="I4862">
        <v>2.9381710000000001</v>
      </c>
      <c r="J4862">
        <v>-304.85969999999998</v>
      </c>
      <c r="K4862">
        <v>1.0499940000000001</v>
      </c>
      <c r="L4862">
        <v>14.380800000000001</v>
      </c>
      <c r="M4862">
        <v>0.69392039999999999</v>
      </c>
      <c r="N4862">
        <v>0</v>
      </c>
      <c r="O4862">
        <v>-0.71989369999999997</v>
      </c>
      <c r="P4862">
        <v>0.27480520000000003</v>
      </c>
      <c r="Q4862">
        <v>4.7633789999999999E-3</v>
      </c>
      <c r="R4862">
        <v>-0.96148820000000002</v>
      </c>
      <c r="S4862">
        <v>0.26821899999999999</v>
      </c>
      <c r="T4862">
        <v>-0.29010819999999998</v>
      </c>
      <c r="U4862">
        <v>-3.049255</v>
      </c>
      <c r="V4862">
        <v>0.46959609999999902</v>
      </c>
      <c r="W4862">
        <v>1.26824E-2</v>
      </c>
      <c r="X4862">
        <v>0.88279030000000003</v>
      </c>
      <c r="Y4862">
        <v>0.62794700000000003</v>
      </c>
      <c r="Z4862">
        <v>4.4852549999999998E-2</v>
      </c>
      <c r="AA4862">
        <v>0.77696259999999995</v>
      </c>
      <c r="AB4862">
        <v>15</v>
      </c>
      <c r="AC4862">
        <v>0.92029999999999701</v>
      </c>
      <c r="AD4862">
        <v>-1.0999939999999999</v>
      </c>
      <c r="AE4862">
        <v>-11.442629</v>
      </c>
      <c r="AF4862">
        <v>7.2123610462497698</v>
      </c>
      <c r="AG4862">
        <v>-1.0999939999999999</v>
      </c>
      <c r="AH4862">
        <v>8.7963351061943094</v>
      </c>
      <c r="AI4862">
        <v>95.523421336786598</v>
      </c>
      <c r="AJ4862">
        <v>50.650715729399103</v>
      </c>
      <c r="AK4862">
        <v>11.4281953939352</v>
      </c>
    </row>
    <row r="4863" spans="1:37" x14ac:dyDescent="0.2">
      <c r="A4863" t="str">
        <f>"20200111160312806"</f>
        <v>20200111160312806</v>
      </c>
      <c r="B4863" t="str">
        <f>"1578729792798337"</f>
        <v>1578729792798337</v>
      </c>
      <c r="C4863" t="s">
        <v>37</v>
      </c>
      <c r="D4863">
        <v>4.8738619999999999</v>
      </c>
      <c r="E4863">
        <v>0.57954130000000004</v>
      </c>
      <c r="F4863" t="s">
        <v>39</v>
      </c>
      <c r="G4863">
        <v>-303.95209999999997</v>
      </c>
      <c r="H4863">
        <v>-0.05</v>
      </c>
      <c r="I4863">
        <v>2.893478</v>
      </c>
      <c r="J4863">
        <v>-304.76420000000002</v>
      </c>
      <c r="K4863">
        <v>1.0500350000000001</v>
      </c>
      <c r="L4863">
        <v>14.260679999999899</v>
      </c>
      <c r="M4863">
        <v>0.68510669999999996</v>
      </c>
      <c r="N4863">
        <v>0</v>
      </c>
      <c r="O4863">
        <v>-0.72828719999999902</v>
      </c>
      <c r="P4863">
        <v>0.26822119999999999</v>
      </c>
      <c r="Q4863">
        <v>5.4997450000000003E-3</v>
      </c>
      <c r="R4863">
        <v>-0.96334200000000003</v>
      </c>
      <c r="S4863">
        <v>0.24118039999999999</v>
      </c>
      <c r="T4863">
        <v>-0.29231560000000001</v>
      </c>
      <c r="U4863">
        <v>-3.052673</v>
      </c>
      <c r="V4863">
        <v>0.464887299999999</v>
      </c>
      <c r="W4863">
        <v>1.354111E-2</v>
      </c>
      <c r="X4863">
        <v>0.88526629999999995</v>
      </c>
      <c r="Y4863">
        <v>0.62539419999999901</v>
      </c>
      <c r="Z4863">
        <v>4.6387209999999998E-2</v>
      </c>
      <c r="AA4863">
        <v>0.77892890000000004</v>
      </c>
      <c r="AB4863">
        <v>15</v>
      </c>
      <c r="AC4863">
        <v>0.81210000000004301</v>
      </c>
      <c r="AD4863">
        <v>-1.1000350000000001</v>
      </c>
      <c r="AE4863">
        <v>-11.367202000000001</v>
      </c>
      <c r="AF4863">
        <v>7.1306801502733803</v>
      </c>
      <c r="AG4863">
        <v>-1.1000350000000001</v>
      </c>
      <c r="AH4863">
        <v>8.7543956539996302</v>
      </c>
      <c r="AI4863">
        <v>95.564541047029607</v>
      </c>
      <c r="AJ4863">
        <v>50.836299246958397</v>
      </c>
      <c r="AK4863">
        <v>11.3444312185977</v>
      </c>
    </row>
    <row r="4864" spans="1:37" x14ac:dyDescent="0.2">
      <c r="A4864" t="str">
        <f>"20200111160312828"</f>
        <v>20200111160312828</v>
      </c>
      <c r="B4864" t="str">
        <f>"1578729792817859"</f>
        <v>1578729792817859</v>
      </c>
      <c r="C4864" t="s">
        <v>37</v>
      </c>
      <c r="D4864">
        <v>5.0158610000000001</v>
      </c>
      <c r="E4864">
        <v>0.5795998</v>
      </c>
      <c r="F4864" t="s">
        <v>39</v>
      </c>
      <c r="G4864">
        <v>-303.92989999999998</v>
      </c>
      <c r="H4864">
        <v>-0.05</v>
      </c>
      <c r="I4864">
        <v>2.6527560000000001</v>
      </c>
      <c r="J4864">
        <v>-304.67399999999998</v>
      </c>
      <c r="K4864">
        <v>1.050076</v>
      </c>
      <c r="L4864">
        <v>14.14432</v>
      </c>
      <c r="M4864">
        <v>0.67655810000000005</v>
      </c>
      <c r="N4864">
        <v>0</v>
      </c>
      <c r="O4864">
        <v>-0.73623549999999904</v>
      </c>
      <c r="P4864">
        <v>0.26198719999999998</v>
      </c>
      <c r="Q4864">
        <v>6.9786010000000001E-3</v>
      </c>
      <c r="R4864">
        <v>-0.96504639999999997</v>
      </c>
      <c r="S4864">
        <v>0.2195435</v>
      </c>
      <c r="T4864">
        <v>-0.28947709999999999</v>
      </c>
      <c r="U4864">
        <v>-3.0546570000000002</v>
      </c>
      <c r="V4864">
        <v>0.46027869999999999</v>
      </c>
      <c r="W4864">
        <v>1.513692E-2</v>
      </c>
      <c r="X4864">
        <v>0.88764539999999903</v>
      </c>
      <c r="Y4864">
        <v>0.62182819999999905</v>
      </c>
      <c r="Z4864">
        <v>4.7127750000000003E-2</v>
      </c>
      <c r="AA4864">
        <v>0.78173429999999999</v>
      </c>
      <c r="AB4864">
        <v>15</v>
      </c>
      <c r="AC4864">
        <v>0.74410000000005905</v>
      </c>
      <c r="AD4864">
        <v>-1.1000760000000001</v>
      </c>
      <c r="AE4864">
        <v>-11.491564</v>
      </c>
      <c r="AF4864">
        <v>7.1623342980992701</v>
      </c>
      <c r="AG4864">
        <v>-1.1000760000000001</v>
      </c>
      <c r="AH4864">
        <v>8.8838670377528999</v>
      </c>
      <c r="AI4864">
        <v>95.506339747856401</v>
      </c>
      <c r="AJ4864">
        <v>51.123611784209302</v>
      </c>
      <c r="AK4864">
        <v>11.464392410763701</v>
      </c>
    </row>
    <row r="4865" spans="1:37" x14ac:dyDescent="0.2">
      <c r="A4865" t="str">
        <f>"20200111160312852"</f>
        <v>20200111160312852</v>
      </c>
      <c r="B4865" t="str">
        <f>"1578729792848114"</f>
        <v>1578729792848114</v>
      </c>
      <c r="C4865" t="s">
        <v>37</v>
      </c>
      <c r="D4865">
        <v>4.8755639999999998</v>
      </c>
      <c r="E4865">
        <v>0.5787059</v>
      </c>
      <c r="F4865" t="s">
        <v>39</v>
      </c>
      <c r="G4865">
        <v>-303.91109999999998</v>
      </c>
      <c r="H4865">
        <v>-0.05</v>
      </c>
      <c r="I4865">
        <v>2.4285429999999999</v>
      </c>
      <c r="J4865">
        <v>-304.5797</v>
      </c>
      <c r="K4865">
        <v>1.050125</v>
      </c>
      <c r="L4865">
        <v>14.019500000000001</v>
      </c>
      <c r="M4865">
        <v>0.6673791</v>
      </c>
      <c r="N4865">
        <v>0</v>
      </c>
      <c r="O4865">
        <v>-0.74456599999999995</v>
      </c>
      <c r="P4865">
        <v>0.25527929999999999</v>
      </c>
      <c r="Q4865">
        <v>9.0541359999999904E-3</v>
      </c>
      <c r="R4865">
        <v>-0.96682479999999904</v>
      </c>
      <c r="S4865">
        <v>0.19903560000000001</v>
      </c>
      <c r="T4865">
        <v>-0.28701529999999997</v>
      </c>
      <c r="U4865">
        <v>-3.056702</v>
      </c>
      <c r="V4865">
        <v>0.4554417</v>
      </c>
      <c r="W4865">
        <v>1.7332469999999999E-2</v>
      </c>
      <c r="X4865">
        <v>0.89009689999999997</v>
      </c>
      <c r="Y4865">
        <v>0.61739149999999998</v>
      </c>
      <c r="Z4865">
        <v>4.7992479999999997E-2</v>
      </c>
      <c r="AA4865">
        <v>0.78519059999999996</v>
      </c>
      <c r="AB4865">
        <v>14</v>
      </c>
      <c r="AC4865">
        <v>0.66860000000002595</v>
      </c>
      <c r="AD4865">
        <v>-1.100125</v>
      </c>
      <c r="AE4865">
        <v>-11.590957</v>
      </c>
      <c r="AF4865">
        <v>7.1741528389301097</v>
      </c>
      <c r="AG4865">
        <v>-1.100125</v>
      </c>
      <c r="AH4865">
        <v>8.9966940882229292</v>
      </c>
      <c r="AI4865">
        <v>95.461198422889794</v>
      </c>
      <c r="AJ4865">
        <v>51.430406107570498</v>
      </c>
      <c r="AK4865">
        <v>11.5593792432387</v>
      </c>
    </row>
    <row r="4866" spans="1:37" x14ac:dyDescent="0.2">
      <c r="A4866" t="str">
        <f>"20200111160312873"</f>
        <v>20200111160312873</v>
      </c>
      <c r="B4866" t="str">
        <f>"1578729792867633"</f>
        <v>1578729792867633</v>
      </c>
      <c r="C4866" t="s">
        <v>37</v>
      </c>
      <c r="D4866">
        <v>5.0493290000000002</v>
      </c>
      <c r="E4866">
        <v>0.57845899999999995</v>
      </c>
      <c r="F4866" t="s">
        <v>39</v>
      </c>
      <c r="G4866">
        <v>-303.85579999999999</v>
      </c>
      <c r="H4866">
        <v>-0.05</v>
      </c>
      <c r="I4866">
        <v>2.016251</v>
      </c>
      <c r="J4866">
        <v>-304.49380000000002</v>
      </c>
      <c r="K4866">
        <v>1.0501590000000001</v>
      </c>
      <c r="L4866">
        <v>13.903079999999999</v>
      </c>
      <c r="M4866">
        <v>0.65880609999999995</v>
      </c>
      <c r="N4866">
        <v>0</v>
      </c>
      <c r="O4866">
        <v>-0.75216249999999996</v>
      </c>
      <c r="P4866">
        <v>0.24932099999999999</v>
      </c>
      <c r="Q4866">
        <v>1.1689710000000001E-2</v>
      </c>
      <c r="R4866">
        <v>-0.96835059999999995</v>
      </c>
      <c r="S4866">
        <v>0.18435670000000001</v>
      </c>
      <c r="T4866">
        <v>-0.28017009999999998</v>
      </c>
      <c r="U4866">
        <v>-3.0568849999999999</v>
      </c>
      <c r="V4866">
        <v>0.45072849999999998</v>
      </c>
      <c r="W4866">
        <v>2.0080000000000001E-2</v>
      </c>
      <c r="X4866">
        <v>0.89243519999999898</v>
      </c>
      <c r="Y4866">
        <v>0.61215589999999998</v>
      </c>
      <c r="Z4866">
        <v>4.8051070000000001E-2</v>
      </c>
      <c r="AA4866">
        <v>0.78927579999999997</v>
      </c>
      <c r="AB4866">
        <v>14</v>
      </c>
      <c r="AC4866">
        <v>0.63800000000003299</v>
      </c>
      <c r="AD4866">
        <v>-1.1001590000000001</v>
      </c>
      <c r="AE4866">
        <v>-11.886828999999899</v>
      </c>
      <c r="AF4866">
        <v>7.2898017773130102</v>
      </c>
      <c r="AG4866">
        <v>-1.1001590000000001</v>
      </c>
      <c r="AH4866">
        <v>9.2829145681814094</v>
      </c>
      <c r="AI4866">
        <v>95.325104761098004</v>
      </c>
      <c r="AJ4866">
        <v>51.857723951009802</v>
      </c>
      <c r="AK4866">
        <v>11.8542845696377</v>
      </c>
    </row>
    <row r="4867" spans="1:37" x14ac:dyDescent="0.2">
      <c r="A4867" t="str">
        <f>"20200111160312894"</f>
        <v>20200111160312894</v>
      </c>
      <c r="B4867" t="str">
        <f>"1578729792888129"</f>
        <v>1578729792888129</v>
      </c>
      <c r="C4867" t="s">
        <v>37</v>
      </c>
      <c r="D4867">
        <v>4.8320639999999999</v>
      </c>
      <c r="E4867">
        <v>0.57789860000000004</v>
      </c>
      <c r="F4867" t="s">
        <v>39</v>
      </c>
      <c r="G4867">
        <v>-303.82040000000001</v>
      </c>
      <c r="H4867">
        <v>-0.05</v>
      </c>
      <c r="I4867">
        <v>1.60292099999999</v>
      </c>
      <c r="J4867">
        <v>-304.4101</v>
      </c>
      <c r="K4867">
        <v>1.050195</v>
      </c>
      <c r="L4867">
        <v>13.786679999999899</v>
      </c>
      <c r="M4867">
        <v>0.65022669999999905</v>
      </c>
      <c r="N4867">
        <v>0</v>
      </c>
      <c r="O4867">
        <v>-0.75959200000000004</v>
      </c>
      <c r="P4867">
        <v>0.24298929999999999</v>
      </c>
      <c r="Q4867">
        <v>1.4066520000000001E-2</v>
      </c>
      <c r="R4867">
        <v>-0.96992710000000004</v>
      </c>
      <c r="S4867">
        <v>0.16744999999999999</v>
      </c>
      <c r="T4867">
        <v>-0.27353889999999997</v>
      </c>
      <c r="U4867">
        <v>-3.0582579999999999</v>
      </c>
      <c r="V4867">
        <v>0.44642779999999999</v>
      </c>
      <c r="W4867">
        <v>2.255851E-2</v>
      </c>
      <c r="X4867">
        <v>0.89453519999999898</v>
      </c>
      <c r="Y4867">
        <v>0.60756779999999999</v>
      </c>
      <c r="Z4867">
        <v>4.8023160000000002E-2</v>
      </c>
      <c r="AA4867">
        <v>0.79281469999999998</v>
      </c>
      <c r="AB4867">
        <v>14</v>
      </c>
      <c r="AC4867">
        <v>0.58969999999999301</v>
      </c>
      <c r="AD4867">
        <v>-1.100195</v>
      </c>
      <c r="AE4867">
        <v>-12.183758999999901</v>
      </c>
      <c r="AF4867">
        <v>7.4147960906012296</v>
      </c>
      <c r="AG4867">
        <v>-1.100195</v>
      </c>
      <c r="AH4867">
        <v>9.5614273959873408</v>
      </c>
      <c r="AI4867">
        <v>95.195519487209495</v>
      </c>
      <c r="AJ4867">
        <v>52.206762064798802</v>
      </c>
      <c r="AK4867">
        <v>12.1495071485207</v>
      </c>
    </row>
    <row r="4868" spans="1:37" x14ac:dyDescent="0.2">
      <c r="A4868" t="str">
        <f>"20200111160312917"</f>
        <v>20200111160312917</v>
      </c>
      <c r="B4868" t="str">
        <f>"1578729792907652"</f>
        <v>1578729792907652</v>
      </c>
      <c r="C4868" t="s">
        <v>37</v>
      </c>
      <c r="D4868">
        <v>4.8732989999999896</v>
      </c>
      <c r="E4868">
        <v>0.57749839999999997</v>
      </c>
      <c r="F4868" t="s">
        <v>39</v>
      </c>
      <c r="G4868">
        <v>-303.786</v>
      </c>
      <c r="H4868">
        <v>-0.05</v>
      </c>
      <c r="I4868">
        <v>1.213058</v>
      </c>
      <c r="J4868">
        <v>-304.32530000000003</v>
      </c>
      <c r="K4868">
        <v>1.0502389999999999</v>
      </c>
      <c r="L4868">
        <v>13.66592</v>
      </c>
      <c r="M4868">
        <v>0.6413143</v>
      </c>
      <c r="N4868">
        <v>0</v>
      </c>
      <c r="O4868">
        <v>-0.76713160000000002</v>
      </c>
      <c r="P4868">
        <v>0.236266799999999</v>
      </c>
      <c r="Q4868">
        <v>1.68296E-2</v>
      </c>
      <c r="R4868">
        <v>-0.97154269999999998</v>
      </c>
      <c r="S4868">
        <v>0.15182499999999999</v>
      </c>
      <c r="T4868">
        <v>-0.2676519</v>
      </c>
      <c r="U4868">
        <v>-3.0588679999999999</v>
      </c>
      <c r="V4868">
        <v>0.44217319999999999</v>
      </c>
      <c r="W4868">
        <v>2.541918E-2</v>
      </c>
      <c r="X4868">
        <v>0.89656939999999996</v>
      </c>
      <c r="Y4868">
        <v>0.60235419999999995</v>
      </c>
      <c r="Z4868">
        <v>4.812143E-2</v>
      </c>
      <c r="AA4868">
        <v>0.79677710000000002</v>
      </c>
      <c r="AB4868">
        <v>14</v>
      </c>
      <c r="AC4868">
        <v>0.53930000000002498</v>
      </c>
      <c r="AD4868">
        <v>-1.100239</v>
      </c>
      <c r="AE4868">
        <v>-12.452862</v>
      </c>
      <c r="AF4868">
        <v>7.5147851770722198</v>
      </c>
      <c r="AG4868">
        <v>-1.100239</v>
      </c>
      <c r="AH4868">
        <v>9.8234196126639599</v>
      </c>
      <c r="AI4868">
        <v>95.083497726845707</v>
      </c>
      <c r="AJ4868">
        <v>52.584492739120797</v>
      </c>
      <c r="AK4868">
        <v>12.417008295122301</v>
      </c>
    </row>
    <row r="4869" spans="1:37" x14ac:dyDescent="0.2">
      <c r="A4869" t="str">
        <f>"20200111160312939"</f>
        <v>20200111160312939</v>
      </c>
      <c r="B4869" t="str">
        <f>"1578729792928146"</f>
        <v>1578729792928146</v>
      </c>
      <c r="C4869" t="s">
        <v>37</v>
      </c>
      <c r="D4869">
        <v>4.8454319999999997</v>
      </c>
      <c r="E4869">
        <v>0.57700340000000006</v>
      </c>
      <c r="F4869" t="s">
        <v>39</v>
      </c>
      <c r="G4869">
        <v>-303.76170000000002</v>
      </c>
      <c r="H4869">
        <v>-0.05</v>
      </c>
      <c r="I4869">
        <v>0.79277039999999999</v>
      </c>
      <c r="J4869">
        <v>-304.24180000000001</v>
      </c>
      <c r="K4869">
        <v>1.0502739999999999</v>
      </c>
      <c r="L4869">
        <v>13.544189999999899</v>
      </c>
      <c r="M4869">
        <v>0.63231870000000001</v>
      </c>
      <c r="N4869">
        <v>0</v>
      </c>
      <c r="O4869">
        <v>-0.77456329999999995</v>
      </c>
      <c r="P4869">
        <v>0.23019149999999999</v>
      </c>
      <c r="Q4869">
        <v>1.8894830000000001E-2</v>
      </c>
      <c r="R4869">
        <v>-0.97296209999999905</v>
      </c>
      <c r="S4869">
        <v>0.1339417</v>
      </c>
      <c r="T4869">
        <v>-0.26151550000000001</v>
      </c>
      <c r="U4869">
        <v>-3.0598139999999998</v>
      </c>
      <c r="V4869">
        <v>0.43730180000000002</v>
      </c>
      <c r="W4869">
        <v>2.759232E-2</v>
      </c>
      <c r="X4869">
        <v>0.89889140000000001</v>
      </c>
      <c r="Y4869">
        <v>0.59771099999999999</v>
      </c>
      <c r="Z4869">
        <v>4.8084719999999997E-2</v>
      </c>
      <c r="AA4869">
        <v>0.80026839999999999</v>
      </c>
      <c r="AB4869">
        <v>14</v>
      </c>
      <c r="AC4869">
        <v>0.48009999999999298</v>
      </c>
      <c r="AD4869">
        <v>-1.100274</v>
      </c>
      <c r="AE4869">
        <v>-12.751419599999901</v>
      </c>
      <c r="AF4869">
        <v>7.6351915406808102</v>
      </c>
      <c r="AG4869">
        <v>-1.100274</v>
      </c>
      <c r="AH4869">
        <v>10.1063632819129</v>
      </c>
      <c r="AI4869">
        <v>94.964613967587297</v>
      </c>
      <c r="AJ4869">
        <v>52.929551913689302</v>
      </c>
      <c r="AK4869">
        <v>12.7139817336646</v>
      </c>
    </row>
    <row r="4870" spans="1:37" x14ac:dyDescent="0.2">
      <c r="A4870" t="str">
        <f>"20200111160312962"</f>
        <v>20200111160312962</v>
      </c>
      <c r="B4870" t="str">
        <f>"1578729792958402"</f>
        <v>1578729792958402</v>
      </c>
      <c r="C4870" t="s">
        <v>37</v>
      </c>
      <c r="D4870">
        <v>4.8462629999999898</v>
      </c>
      <c r="E4870">
        <v>0.5767409</v>
      </c>
      <c r="F4870" t="s">
        <v>39</v>
      </c>
      <c r="G4870">
        <v>-303.7355</v>
      </c>
      <c r="H4870">
        <v>-0.05</v>
      </c>
      <c r="I4870">
        <v>0.48036190000000001</v>
      </c>
      <c r="J4870">
        <v>-304.16050000000001</v>
      </c>
      <c r="K4870">
        <v>1.0503119999999999</v>
      </c>
      <c r="L4870">
        <v>13.422639999999999</v>
      </c>
      <c r="M4870">
        <v>0.62332650000000001</v>
      </c>
      <c r="N4870">
        <v>0</v>
      </c>
      <c r="O4870">
        <v>-0.78181800000000001</v>
      </c>
      <c r="P4870">
        <v>0.2243571</v>
      </c>
      <c r="Q4870">
        <v>2.1175920000000001E-2</v>
      </c>
      <c r="R4870">
        <v>-0.97427730000000001</v>
      </c>
      <c r="S4870">
        <v>0.1185913</v>
      </c>
      <c r="T4870">
        <v>-0.25774780000000003</v>
      </c>
      <c r="U4870">
        <v>-3.06030299999999</v>
      </c>
      <c r="V4870">
        <v>0.43228670000000002</v>
      </c>
      <c r="W4870">
        <v>2.9982189999999999E-2</v>
      </c>
      <c r="X4870">
        <v>0.90123759999999997</v>
      </c>
      <c r="Y4870">
        <v>0.59246580000000004</v>
      </c>
      <c r="Z4870">
        <v>4.8445530000000001E-2</v>
      </c>
      <c r="AA4870">
        <v>0.80413760000000001</v>
      </c>
      <c r="AB4870">
        <v>14</v>
      </c>
      <c r="AC4870">
        <v>0.42500000000001098</v>
      </c>
      <c r="AD4870">
        <v>-1.100312</v>
      </c>
      <c r="AE4870">
        <v>-12.942278099999999</v>
      </c>
      <c r="AF4870">
        <v>7.68040820826009</v>
      </c>
      <c r="AG4870">
        <v>-1.100312</v>
      </c>
      <c r="AH4870">
        <v>10.310146349894101</v>
      </c>
      <c r="AI4870">
        <v>94.891714331528604</v>
      </c>
      <c r="AJ4870">
        <v>53.316215235348601</v>
      </c>
      <c r="AK4870">
        <v>12.903428788468901</v>
      </c>
    </row>
    <row r="4871" spans="1:37" x14ac:dyDescent="0.2">
      <c r="A4871" t="str">
        <f>"20200111160312984"</f>
        <v>20200111160312984</v>
      </c>
      <c r="B4871" t="str">
        <f>"1578729792977922"</f>
        <v>1578729792977922</v>
      </c>
      <c r="C4871" t="s">
        <v>37</v>
      </c>
      <c r="D4871">
        <v>4.8425149999999997</v>
      </c>
      <c r="E4871">
        <v>0.57668439999999999</v>
      </c>
      <c r="F4871" t="s">
        <v>39</v>
      </c>
      <c r="G4871">
        <v>-303.70830000000001</v>
      </c>
      <c r="H4871">
        <v>-0.05</v>
      </c>
      <c r="I4871">
        <v>-0.1474762</v>
      </c>
      <c r="J4871">
        <v>-304.07760000000002</v>
      </c>
      <c r="K4871">
        <v>1.050357</v>
      </c>
      <c r="L4871">
        <v>13.29541</v>
      </c>
      <c r="M4871">
        <v>0.61390630000000002</v>
      </c>
      <c r="N4871">
        <v>0</v>
      </c>
      <c r="O4871">
        <v>-0.78923710000000002</v>
      </c>
      <c r="P4871">
        <v>0.2177154</v>
      </c>
      <c r="Q4871">
        <v>2.3973560000000001E-2</v>
      </c>
      <c r="R4871">
        <v>-0.97571799999999997</v>
      </c>
      <c r="S4871">
        <v>0.10202029999999999</v>
      </c>
      <c r="T4871">
        <v>-0.24820439999999999</v>
      </c>
      <c r="U4871">
        <v>-3.061096</v>
      </c>
      <c r="V4871">
        <v>0.4275987</v>
      </c>
      <c r="W4871">
        <v>3.2883740000000002E-2</v>
      </c>
      <c r="X4871">
        <v>0.90337040000000002</v>
      </c>
      <c r="Y4871">
        <v>0.58717319999999995</v>
      </c>
      <c r="Z4871">
        <v>4.7687109999999998E-2</v>
      </c>
      <c r="AA4871">
        <v>0.80805539999999998</v>
      </c>
      <c r="AB4871">
        <v>14</v>
      </c>
      <c r="AC4871">
        <v>0.36930000000000901</v>
      </c>
      <c r="AD4871">
        <v>-1.100357</v>
      </c>
      <c r="AE4871">
        <v>-13.4428862</v>
      </c>
      <c r="AF4871">
        <v>7.9091462773369701</v>
      </c>
      <c r="AG4871">
        <v>-1.100357</v>
      </c>
      <c r="AH4871">
        <v>10.765477673931899</v>
      </c>
      <c r="AI4871">
        <v>94.708889346936701</v>
      </c>
      <c r="AJ4871">
        <v>53.696139765887501</v>
      </c>
      <c r="AK4871">
        <v>13.403764020292501</v>
      </c>
    </row>
    <row r="4872" spans="1:37" x14ac:dyDescent="0.2">
      <c r="A4872" t="str">
        <f>"20200111160313010"</f>
        <v>20200111160313010</v>
      </c>
      <c r="B4872" t="str">
        <f>"1578729792998418"</f>
        <v>1578729792998418</v>
      </c>
      <c r="C4872" t="s">
        <v>37</v>
      </c>
      <c r="D4872">
        <v>4.8483790000000004</v>
      </c>
      <c r="E4872">
        <v>0.57654090000000002</v>
      </c>
      <c r="F4872" t="s">
        <v>38</v>
      </c>
      <c r="G4872">
        <v>-303.71440000000001</v>
      </c>
      <c r="H4872" s="1">
        <v>-4.8987339999999999E-6</v>
      </c>
      <c r="I4872">
        <v>-0.5089359</v>
      </c>
      <c r="J4872">
        <v>-303.99099999999999</v>
      </c>
      <c r="K4872">
        <v>1.050411</v>
      </c>
      <c r="L4872">
        <v>13.159179999999999</v>
      </c>
      <c r="M4872">
        <v>0.60381819999999997</v>
      </c>
      <c r="N4872">
        <v>0</v>
      </c>
      <c r="O4872">
        <v>-0.79698179999999996</v>
      </c>
      <c r="P4872">
        <v>0.21005639999999901</v>
      </c>
      <c r="Q4872">
        <v>2.6470090000000002E-2</v>
      </c>
      <c r="R4872">
        <v>-0.97733130000000001</v>
      </c>
      <c r="S4872">
        <v>8.0566410000000005E-2</v>
      </c>
      <c r="T4872">
        <v>-0.23301620000000001</v>
      </c>
      <c r="U4872">
        <v>-3.062408</v>
      </c>
      <c r="V4872">
        <v>0.42317109999999902</v>
      </c>
      <c r="W4872">
        <v>3.5482890000000003E-2</v>
      </c>
      <c r="X4872">
        <v>0.90535469999999896</v>
      </c>
      <c r="Y4872">
        <v>0.58256569999999996</v>
      </c>
      <c r="Z4872">
        <v>4.5752830000000001E-2</v>
      </c>
      <c r="AA4872">
        <v>0.81149490000000002</v>
      </c>
      <c r="AB4872">
        <v>14</v>
      </c>
      <c r="AC4872">
        <v>0.27659999999997298</v>
      </c>
      <c r="AD4872">
        <v>-1.050415898734</v>
      </c>
      <c r="AE4872">
        <v>-13.6681159</v>
      </c>
      <c r="AF4872">
        <v>7.98636071652657</v>
      </c>
      <c r="AG4872">
        <v>-1.050415898734</v>
      </c>
      <c r="AH4872">
        <v>10.996571493022101</v>
      </c>
      <c r="AI4872">
        <v>94.419572217603601</v>
      </c>
      <c r="AJ4872">
        <v>54.010628095822298</v>
      </c>
      <c r="AK4872">
        <v>13.631211085444299</v>
      </c>
    </row>
    <row r="4873" spans="1:37" x14ac:dyDescent="0.2">
      <c r="A4873" t="str">
        <f>"20200111160313028"</f>
        <v>20200111160313028</v>
      </c>
      <c r="B4873" t="str">
        <f>"1578729793017938"</f>
        <v>1578729793017938</v>
      </c>
      <c r="C4873" t="s">
        <v>37</v>
      </c>
      <c r="D4873">
        <v>4.8605739999999997</v>
      </c>
      <c r="E4873">
        <v>0.57635239999999999</v>
      </c>
      <c r="F4873" t="s">
        <v>38</v>
      </c>
      <c r="G4873">
        <v>-303.71980000000002</v>
      </c>
      <c r="H4873" s="1">
        <v>-4.5375929999999903E-6</v>
      </c>
      <c r="I4873">
        <v>-1.451883</v>
      </c>
      <c r="J4873">
        <v>-303.92399999999998</v>
      </c>
      <c r="K4873">
        <v>1.050454</v>
      </c>
      <c r="L4873">
        <v>13.0508399999999</v>
      </c>
      <c r="M4873">
        <v>0.59579939999999998</v>
      </c>
      <c r="N4873">
        <v>0</v>
      </c>
      <c r="O4873">
        <v>-0.80299419999999899</v>
      </c>
      <c r="P4873">
        <v>0.205142299999999</v>
      </c>
      <c r="Q4873">
        <v>2.8637969999999999E-2</v>
      </c>
      <c r="R4873">
        <v>-0.97831309999999905</v>
      </c>
      <c r="S4873">
        <v>5.6854250000000002E-2</v>
      </c>
      <c r="T4873">
        <v>-0.220227799999999</v>
      </c>
      <c r="U4873">
        <v>-3.0633240000000002</v>
      </c>
      <c r="V4873">
        <v>0.4186223</v>
      </c>
      <c r="W4873">
        <v>3.7753490000000001E-2</v>
      </c>
      <c r="X4873">
        <v>0.90737540000000005</v>
      </c>
      <c r="Y4873">
        <v>0.58072389999999996</v>
      </c>
      <c r="Z4873">
        <v>4.3916620000000003E-2</v>
      </c>
      <c r="AA4873">
        <v>0.81291519999999995</v>
      </c>
      <c r="AB4873">
        <v>14</v>
      </c>
      <c r="AC4873">
        <v>0.20420000000001401</v>
      </c>
      <c r="AD4873">
        <v>-1.050458537593</v>
      </c>
      <c r="AE4873">
        <v>-14.502723</v>
      </c>
      <c r="AF4873">
        <v>8.4334529877522506</v>
      </c>
      <c r="AG4873">
        <v>-1.050458537593</v>
      </c>
      <c r="AH4873">
        <v>11.707171302594899</v>
      </c>
      <c r="AI4873">
        <v>94.1640452911263</v>
      </c>
      <c r="AJ4873">
        <v>54.232288837010998</v>
      </c>
      <c r="AK4873">
        <v>14.4666669396973</v>
      </c>
    </row>
    <row r="4874" spans="1:37" x14ac:dyDescent="0.2">
      <c r="A4874" t="str">
        <f>"20200111160313052"</f>
        <v>20200111160313052</v>
      </c>
      <c r="B4874" t="str">
        <f>"1578729793048194"</f>
        <v>1578729793048194</v>
      </c>
      <c r="C4874" t="s">
        <v>37</v>
      </c>
      <c r="D4874">
        <v>4.8785470000000002</v>
      </c>
      <c r="E4874">
        <v>0.57600189999999996</v>
      </c>
      <c r="F4874" t="s">
        <v>38</v>
      </c>
      <c r="G4874">
        <v>-303.7097</v>
      </c>
      <c r="H4874" s="1">
        <v>-4.2193310000000002E-6</v>
      </c>
      <c r="I4874">
        <v>-2.2759499999999999</v>
      </c>
      <c r="J4874">
        <v>-303.84820000000002</v>
      </c>
      <c r="K4874">
        <v>1.050502</v>
      </c>
      <c r="L4874">
        <v>12.925319999999999</v>
      </c>
      <c r="M4874">
        <v>0.58652380000000004</v>
      </c>
      <c r="N4874">
        <v>0</v>
      </c>
      <c r="O4874">
        <v>-0.80979449999999997</v>
      </c>
      <c r="P4874">
        <v>0.20099410000000001</v>
      </c>
      <c r="Q4874">
        <v>3.045703E-2</v>
      </c>
      <c r="R4874">
        <v>-0.97911919999999897</v>
      </c>
      <c r="S4874">
        <v>4.2846679999999998E-2</v>
      </c>
      <c r="T4874">
        <v>-0.2099752</v>
      </c>
      <c r="U4874">
        <v>-3.06366</v>
      </c>
      <c r="V4874">
        <v>0.41199970000000002</v>
      </c>
      <c r="W4874">
        <v>3.9715640000000003E-2</v>
      </c>
      <c r="X4874">
        <v>0.91031810000000002</v>
      </c>
      <c r="Y4874">
        <v>0.57508309999999996</v>
      </c>
      <c r="Z4874">
        <v>4.269937E-2</v>
      </c>
      <c r="AA4874">
        <v>0.81697989999999998</v>
      </c>
      <c r="AB4874">
        <v>14</v>
      </c>
      <c r="AC4874">
        <v>0.138500000000021</v>
      </c>
      <c r="AD4874">
        <v>-1.050506219331</v>
      </c>
      <c r="AE4874">
        <v>-15.201269999999999</v>
      </c>
      <c r="AF4874">
        <v>8.7628850852746396</v>
      </c>
      <c r="AG4874">
        <v>-1.050506219331</v>
      </c>
      <c r="AH4874">
        <v>12.3336215166093</v>
      </c>
      <c r="AI4874">
        <v>93.971877591018796</v>
      </c>
      <c r="AJ4874">
        <v>54.606678454141303</v>
      </c>
      <c r="AK4874">
        <v>15.1660785323547</v>
      </c>
    </row>
    <row r="4875" spans="1:37" x14ac:dyDescent="0.2">
      <c r="A4875" t="str">
        <f>"20200111160313086"</f>
        <v>20200111160313086</v>
      </c>
      <c r="B4875" t="str">
        <f>"1578729793078449"</f>
        <v>1578729793078449</v>
      </c>
      <c r="C4875" t="s">
        <v>37</v>
      </c>
      <c r="D4875">
        <v>4.8409069999999996</v>
      </c>
      <c r="E4875">
        <v>0.57563589999999998</v>
      </c>
      <c r="F4875" t="s">
        <v>38</v>
      </c>
      <c r="G4875">
        <v>-303.68119999999999</v>
      </c>
      <c r="H4875" s="1">
        <v>-3.8649180000000001E-6</v>
      </c>
      <c r="I4875">
        <v>-3.185702</v>
      </c>
      <c r="J4875">
        <v>-303.73579999999998</v>
      </c>
      <c r="K4875">
        <v>1.050583</v>
      </c>
      <c r="L4875">
        <v>12.733180000000001</v>
      </c>
      <c r="M4875">
        <v>0.57238129999999998</v>
      </c>
      <c r="N4875">
        <v>0</v>
      </c>
      <c r="O4875">
        <v>-0.81985259999999904</v>
      </c>
      <c r="P4875">
        <v>0.19164320000000001</v>
      </c>
      <c r="Q4875">
        <v>3.0111189999999999E-2</v>
      </c>
      <c r="R4875">
        <v>-0.98100309999999902</v>
      </c>
      <c r="S4875">
        <v>3.17688E-2</v>
      </c>
      <c r="T4875">
        <v>-0.19976340000000001</v>
      </c>
      <c r="U4875">
        <v>-3.06366</v>
      </c>
      <c r="V4875">
        <v>0.40486309999999998</v>
      </c>
      <c r="W4875">
        <v>3.9549830000000001E-2</v>
      </c>
      <c r="X4875">
        <v>0.91352160000000004</v>
      </c>
      <c r="Y4875">
        <v>0.56380640000000004</v>
      </c>
      <c r="Z4875">
        <v>4.1857869999999998E-2</v>
      </c>
      <c r="AA4875">
        <v>0.82484570000000001</v>
      </c>
      <c r="AB4875">
        <v>14</v>
      </c>
      <c r="AC4875">
        <v>5.4599999999993501E-2</v>
      </c>
      <c r="AD4875">
        <v>-1.0505868649179999</v>
      </c>
      <c r="AE4875">
        <v>-15.918882</v>
      </c>
      <c r="AF4875">
        <v>9.0285865039349193</v>
      </c>
      <c r="AG4875">
        <v>-1.0505868649179999</v>
      </c>
      <c r="AH4875">
        <v>13.027098064894901</v>
      </c>
      <c r="AI4875">
        <v>93.792207657467003</v>
      </c>
      <c r="AJ4875">
        <v>55.275641377224503</v>
      </c>
      <c r="AK4875">
        <v>15.8847219368852</v>
      </c>
    </row>
    <row r="4876" spans="1:37" x14ac:dyDescent="0.2">
      <c r="A4876" t="str">
        <f>"20200111160313111"</f>
        <v>20200111160313111</v>
      </c>
      <c r="B4876" t="str">
        <f>"1578729793107730"</f>
        <v>1578729793107730</v>
      </c>
      <c r="C4876" t="s">
        <v>37</v>
      </c>
      <c r="D4876">
        <v>4.901694</v>
      </c>
      <c r="E4876">
        <v>0.57522320000000005</v>
      </c>
      <c r="F4876" t="s">
        <v>38</v>
      </c>
      <c r="G4876">
        <v>-303.71109999999999</v>
      </c>
      <c r="H4876" s="1">
        <v>-3.714648E-6</v>
      </c>
      <c r="I4876">
        <v>-3.590849</v>
      </c>
      <c r="J4876">
        <v>-303.6549</v>
      </c>
      <c r="K4876">
        <v>1.0506500000000001</v>
      </c>
      <c r="L4876">
        <v>12.590299999999999</v>
      </c>
      <c r="M4876">
        <v>0.56192500000000001</v>
      </c>
      <c r="N4876">
        <v>0</v>
      </c>
      <c r="O4876">
        <v>-0.82705450000000003</v>
      </c>
      <c r="P4876">
        <v>0.1851418</v>
      </c>
      <c r="Q4876">
        <v>2.8201469999999999E-2</v>
      </c>
      <c r="R4876">
        <v>-0.98230720000000005</v>
      </c>
      <c r="S4876">
        <v>4.6386719999999999E-3</v>
      </c>
      <c r="T4876">
        <v>-0.19714429999999999</v>
      </c>
      <c r="U4876">
        <v>-3.0632320000000002</v>
      </c>
      <c r="V4876">
        <v>0.399308</v>
      </c>
      <c r="W4876">
        <v>3.778542E-2</v>
      </c>
      <c r="X4876">
        <v>0.91603789999999996</v>
      </c>
      <c r="Y4876">
        <v>0.56062619999999996</v>
      </c>
      <c r="Z4876">
        <v>4.2064530000000003E-2</v>
      </c>
      <c r="AA4876">
        <v>0.82699990000000001</v>
      </c>
      <c r="AB4876">
        <v>14</v>
      </c>
      <c r="AC4876">
        <v>-5.61999999999898E-2</v>
      </c>
      <c r="AD4876">
        <v>-1.0506537146479999</v>
      </c>
      <c r="AE4876">
        <v>-16.181148999999898</v>
      </c>
      <c r="AF4876">
        <v>9.1017109875995192</v>
      </c>
      <c r="AG4876">
        <v>-1.0506537146479999</v>
      </c>
      <c r="AH4876">
        <v>13.2965309606769</v>
      </c>
      <c r="AI4876">
        <v>93.730637259953298</v>
      </c>
      <c r="AJ4876">
        <v>55.607668657738003</v>
      </c>
      <c r="AK4876">
        <v>16.147530824189001</v>
      </c>
    </row>
    <row r="4877" spans="1:37" x14ac:dyDescent="0.2">
      <c r="A4877" t="str">
        <f>"20200111160313151"</f>
        <v>20200111160313151</v>
      </c>
      <c r="B4877" t="str">
        <f>"1578729793147746"</f>
        <v>1578729793147746</v>
      </c>
      <c r="C4877" t="s">
        <v>37</v>
      </c>
      <c r="D4877">
        <v>4.9120029999999897</v>
      </c>
      <c r="E4877">
        <v>0.56609169999999998</v>
      </c>
      <c r="F4877" t="s">
        <v>38</v>
      </c>
      <c r="G4877">
        <v>-303.72559999999999</v>
      </c>
      <c r="H4877" s="1">
        <v>-3.76528399999999E-6</v>
      </c>
      <c r="I4877">
        <v>-3.4656899999999999</v>
      </c>
      <c r="J4877">
        <v>-303.5301</v>
      </c>
      <c r="K4877">
        <v>1.050775</v>
      </c>
      <c r="L4877">
        <v>12.361789999999999</v>
      </c>
      <c r="M4877">
        <v>0.54540819999999901</v>
      </c>
      <c r="N4877">
        <v>0</v>
      </c>
      <c r="O4877">
        <v>-0.8380396</v>
      </c>
      <c r="P4877">
        <v>0.1793293</v>
      </c>
      <c r="Q4877">
        <v>2.1112820000000001E-2</v>
      </c>
      <c r="R4877">
        <v>-0.98356250000000001</v>
      </c>
      <c r="S4877">
        <v>-1.3488770000000001E-2</v>
      </c>
      <c r="T4877">
        <v>-0.20038829999999999</v>
      </c>
      <c r="U4877">
        <v>-3.06231699999999</v>
      </c>
      <c r="V4877">
        <v>0.38652069999999999</v>
      </c>
      <c r="W4877">
        <v>3.101311E-2</v>
      </c>
      <c r="X4877">
        <v>0.92175910000000005</v>
      </c>
      <c r="Y4877">
        <v>0.54904540000000002</v>
      </c>
      <c r="Z4877">
        <v>4.4084650000000003E-2</v>
      </c>
      <c r="AA4877">
        <v>0.83462909999999901</v>
      </c>
      <c r="AB4877">
        <v>14</v>
      </c>
      <c r="AC4877">
        <v>-0.19549999999998099</v>
      </c>
      <c r="AD4877">
        <v>-1.0507787652839999</v>
      </c>
      <c r="AE4877">
        <v>-15.82748</v>
      </c>
      <c r="AF4877">
        <v>8.7586413566198598</v>
      </c>
      <c r="AG4877">
        <v>-1.0507787652839999</v>
      </c>
      <c r="AH4877">
        <v>13.1011367863118</v>
      </c>
      <c r="AI4877">
        <v>93.814664454031401</v>
      </c>
      <c r="AJ4877">
        <v>56.235666215387603</v>
      </c>
      <c r="AK4877">
        <v>15.794230577053</v>
      </c>
    </row>
    <row r="4878" spans="1:37" x14ac:dyDescent="0.2">
      <c r="A4878" t="str">
        <f>"20200111160313176"</f>
        <v>20200111160313176</v>
      </c>
      <c r="B4878" t="str">
        <f>"1578729793168242"</f>
        <v>1578729793168242</v>
      </c>
      <c r="C4878" t="s">
        <v>37</v>
      </c>
      <c r="D4878">
        <v>4.9963689999999996</v>
      </c>
      <c r="E4878">
        <v>0.56511309999999904</v>
      </c>
      <c r="F4878" t="s">
        <v>38</v>
      </c>
      <c r="G4878">
        <v>-303.34300000000002</v>
      </c>
      <c r="H4878" s="1">
        <v>-4.1550659999999997E-6</v>
      </c>
      <c r="I4878">
        <v>-2.2739220000000002</v>
      </c>
      <c r="J4878">
        <v>-303.45729999999998</v>
      </c>
      <c r="K4878">
        <v>1.0508599999999999</v>
      </c>
      <c r="L4878">
        <v>12.223789999999999</v>
      </c>
      <c r="M4878">
        <v>0.53556579999999998</v>
      </c>
      <c r="N4878">
        <v>0</v>
      </c>
      <c r="O4878">
        <v>-0.84436440000000001</v>
      </c>
      <c r="P4878">
        <v>0.17482639999999999</v>
      </c>
      <c r="Q4878">
        <v>1.9000630000000001E-2</v>
      </c>
      <c r="R4878">
        <v>-0.98441630000000002</v>
      </c>
      <c r="S4878">
        <v>3.8970949999999997E-2</v>
      </c>
      <c r="T4878">
        <v>-0.21881339999999999</v>
      </c>
      <c r="U4878">
        <v>-3.0477289999999999</v>
      </c>
      <c r="V4878">
        <v>0.37993680000000002</v>
      </c>
      <c r="W4878">
        <v>2.9065629999999999E-2</v>
      </c>
      <c r="X4878">
        <v>0.92455569999999898</v>
      </c>
      <c r="Y4878">
        <v>0.52469060000000001</v>
      </c>
      <c r="Z4878">
        <v>4.9610380000000003E-2</v>
      </c>
      <c r="AA4878">
        <v>0.8498462</v>
      </c>
      <c r="AB4878">
        <v>14</v>
      </c>
      <c r="AC4878">
        <v>0.11429999999995701</v>
      </c>
      <c r="AD4878">
        <v>-1.0508641550660001</v>
      </c>
      <c r="AE4878">
        <v>-14.497712</v>
      </c>
      <c r="AF4878">
        <v>7.6287247378883096</v>
      </c>
      <c r="AG4878">
        <v>-1.0508641550660001</v>
      </c>
      <c r="AH4878">
        <v>12.2396049703746</v>
      </c>
      <c r="AI4878">
        <v>94.167399467695006</v>
      </c>
      <c r="AJ4878">
        <v>58.0654580121249</v>
      </c>
      <c r="AK4878">
        <v>14.4606253816939</v>
      </c>
    </row>
    <row r="4879" spans="1:37" x14ac:dyDescent="0.2">
      <c r="A4879" t="str">
        <f>"20200111160313199"</f>
        <v>20200111160313199</v>
      </c>
      <c r="B4879" t="str">
        <f>"1578729793187762"</f>
        <v>1578729793187762</v>
      </c>
      <c r="C4879" t="s">
        <v>37</v>
      </c>
      <c r="D4879">
        <v>4.9290469999999997</v>
      </c>
      <c r="E4879">
        <v>0.56466260000000001</v>
      </c>
      <c r="F4879" t="s">
        <v>38</v>
      </c>
      <c r="G4879">
        <v>-303.3039</v>
      </c>
      <c r="H4879" s="1">
        <v>-4.2345729999999902E-6</v>
      </c>
      <c r="I4879">
        <v>-2.0488330000000001</v>
      </c>
      <c r="J4879">
        <v>-303.39010000000002</v>
      </c>
      <c r="K4879">
        <v>1.050934</v>
      </c>
      <c r="L4879">
        <v>12.09329</v>
      </c>
      <c r="M4879">
        <v>0.52634289999999995</v>
      </c>
      <c r="N4879">
        <v>0</v>
      </c>
      <c r="O4879">
        <v>-0.85014439999999902</v>
      </c>
      <c r="P4879">
        <v>0.17138729999999999</v>
      </c>
      <c r="Q4879">
        <v>1.7368310000000001E-2</v>
      </c>
      <c r="R4879">
        <v>-0.985050599999999</v>
      </c>
      <c r="S4879">
        <v>3.2745360000000001E-2</v>
      </c>
      <c r="T4879">
        <v>-0.2242701</v>
      </c>
      <c r="U4879">
        <v>-3.0459900000000002</v>
      </c>
      <c r="V4879">
        <v>0.37308279999999999</v>
      </c>
      <c r="W4879">
        <v>2.7588029999999999E-2</v>
      </c>
      <c r="X4879">
        <v>0.92738779999999998</v>
      </c>
      <c r="Y4879">
        <v>0.51713569999999998</v>
      </c>
      <c r="Z4879">
        <v>5.1672210000000003E-2</v>
      </c>
      <c r="AA4879">
        <v>0.8543423</v>
      </c>
      <c r="AB4879">
        <v>14</v>
      </c>
      <c r="AC4879">
        <v>8.6200000000019303E-2</v>
      </c>
      <c r="AD4879">
        <v>-1.0509382345730001</v>
      </c>
      <c r="AE4879">
        <v>-14.142123</v>
      </c>
      <c r="AF4879">
        <v>7.3306447963528996</v>
      </c>
      <c r="AG4879">
        <v>-1.0509382345730001</v>
      </c>
      <c r="AH4879">
        <v>12.003247115519001</v>
      </c>
      <c r="AI4879">
        <v>94.273291064715806</v>
      </c>
      <c r="AJ4879">
        <v>58.586677496929099</v>
      </c>
      <c r="AK4879">
        <v>14.103927311901399</v>
      </c>
    </row>
    <row r="4880" spans="1:37" x14ac:dyDescent="0.2">
      <c r="A4880" t="str">
        <f>"20200111160313221"</f>
        <v>20200111160313221</v>
      </c>
      <c r="B4880" t="str">
        <f>"1578729793218017"</f>
        <v>1578729793218017</v>
      </c>
      <c r="C4880" t="s">
        <v>37</v>
      </c>
      <c r="D4880">
        <v>4.9797969999999996</v>
      </c>
      <c r="E4880">
        <v>0.56366050000000001</v>
      </c>
      <c r="F4880" t="s">
        <v>38</v>
      </c>
      <c r="G4880">
        <v>-303.27159999999998</v>
      </c>
      <c r="H4880" s="1">
        <v>-4.3080790000000004E-6</v>
      </c>
      <c r="I4880">
        <v>-1.8424799999999999</v>
      </c>
      <c r="J4880">
        <v>-303.3229</v>
      </c>
      <c r="K4880">
        <v>1.0510250000000001</v>
      </c>
      <c r="L4880">
        <v>11.959530000000001</v>
      </c>
      <c r="M4880">
        <v>0.51702429999999999</v>
      </c>
      <c r="N4880">
        <v>0</v>
      </c>
      <c r="O4880">
        <v>-0.85584450000000001</v>
      </c>
      <c r="P4880">
        <v>0.16788800000000001</v>
      </c>
      <c r="Q4880">
        <v>1.6871710000000002E-2</v>
      </c>
      <c r="R4880">
        <v>-0.98566209999999899</v>
      </c>
      <c r="S4880">
        <v>2.5909419999999999E-2</v>
      </c>
      <c r="T4880">
        <v>-0.22963819999999999</v>
      </c>
      <c r="U4880">
        <v>-3.0450740000000001</v>
      </c>
      <c r="V4880">
        <v>0.36622559999999998</v>
      </c>
      <c r="W4880">
        <v>2.7248169999999999E-2</v>
      </c>
      <c r="X4880">
        <v>0.93012709999999998</v>
      </c>
      <c r="Y4880">
        <v>0.50968259999999999</v>
      </c>
      <c r="Z4880">
        <v>5.3724889999999997E-2</v>
      </c>
      <c r="AA4880">
        <v>0.85868349999999904</v>
      </c>
      <c r="AB4880">
        <v>14</v>
      </c>
      <c r="AC4880">
        <v>5.1300000000026102E-2</v>
      </c>
      <c r="AD4880">
        <v>-1.0510293080790001</v>
      </c>
      <c r="AE4880">
        <v>-13.802009999999999</v>
      </c>
      <c r="AF4880">
        <v>7.0519431465651596</v>
      </c>
      <c r="AG4880">
        <v>-1.0510293080790001</v>
      </c>
      <c r="AH4880">
        <v>11.7719137803496</v>
      </c>
      <c r="AI4880">
        <v>94.379818992366097</v>
      </c>
      <c r="AJ4880">
        <v>59.076361125749699</v>
      </c>
      <c r="AK4880">
        <v>13.7627220708991</v>
      </c>
    </row>
    <row r="4881" spans="1:37" x14ac:dyDescent="0.2">
      <c r="A4881" t="str">
        <f>"20200111160313245"</f>
        <v>20200111160313245</v>
      </c>
      <c r="B4881" t="str">
        <f>"1578729793238514"</f>
        <v>1578729793238514</v>
      </c>
      <c r="C4881" t="s">
        <v>37</v>
      </c>
      <c r="D4881">
        <v>4.9413070000000001</v>
      </c>
      <c r="E4881">
        <v>0.56329899999999999</v>
      </c>
      <c r="F4881" t="s">
        <v>38</v>
      </c>
      <c r="G4881">
        <v>-303.21710000000002</v>
      </c>
      <c r="H4881" s="1">
        <v>-4.2978109999999998E-6</v>
      </c>
      <c r="I4881">
        <v>-1.844041</v>
      </c>
      <c r="J4881">
        <v>-303.2568</v>
      </c>
      <c r="K4881">
        <v>1.05114</v>
      </c>
      <c r="L4881">
        <v>11.82483</v>
      </c>
      <c r="M4881">
        <v>0.50779969999999996</v>
      </c>
      <c r="N4881">
        <v>0</v>
      </c>
      <c r="O4881">
        <v>-0.86135059999999997</v>
      </c>
      <c r="P4881">
        <v>0.16454540000000001</v>
      </c>
      <c r="Q4881">
        <v>1.666606E-2</v>
      </c>
      <c r="R4881">
        <v>-0.98622900000000002</v>
      </c>
      <c r="S4881">
        <v>2.3345950000000001E-2</v>
      </c>
      <c r="T4881">
        <v>-0.23174829999999899</v>
      </c>
      <c r="U4881">
        <v>-3.0436399999999999</v>
      </c>
      <c r="V4881">
        <v>0.3593655</v>
      </c>
      <c r="W4881">
        <v>2.7205750000000001E-2</v>
      </c>
      <c r="X4881">
        <v>0.93280019999999997</v>
      </c>
      <c r="Y4881">
        <v>0.501139</v>
      </c>
      <c r="Z4881">
        <v>5.5056180000000003E-2</v>
      </c>
      <c r="AA4881">
        <v>0.86361369999999904</v>
      </c>
      <c r="AB4881">
        <v>14</v>
      </c>
      <c r="AC4881">
        <v>3.9699999999982E-2</v>
      </c>
      <c r="AD4881">
        <v>-1.0511442978109999</v>
      </c>
      <c r="AE4881">
        <v>-13.668870999999999</v>
      </c>
      <c r="AF4881">
        <v>6.8669852710633696</v>
      </c>
      <c r="AG4881">
        <v>-1.0511442978109999</v>
      </c>
      <c r="AH4881">
        <v>11.725773482129</v>
      </c>
      <c r="AI4881">
        <v>94.4233080997153</v>
      </c>
      <c r="AJ4881">
        <v>59.645405593089002</v>
      </c>
      <c r="AK4881">
        <v>13.629165594489701</v>
      </c>
    </row>
    <row r="4882" spans="1:37" x14ac:dyDescent="0.2">
      <c r="A4882" t="str">
        <f>"20200111160313267"</f>
        <v>20200111160313267</v>
      </c>
      <c r="B4882" t="str">
        <f>"1578729793258035"</f>
        <v>1578729793258035</v>
      </c>
      <c r="C4882" t="s">
        <v>37</v>
      </c>
      <c r="D4882">
        <v>5.081474</v>
      </c>
      <c r="E4882">
        <v>0.56284089999999998</v>
      </c>
      <c r="F4882" t="s">
        <v>38</v>
      </c>
      <c r="G4882">
        <v>-303.1832</v>
      </c>
      <c r="H4882" s="1">
        <v>-4.2443969999999997E-6</v>
      </c>
      <c r="I4882">
        <v>-1.9674909999999901</v>
      </c>
      <c r="J4882">
        <v>-303.19580000000002</v>
      </c>
      <c r="K4882">
        <v>1.051261</v>
      </c>
      <c r="L4882">
        <v>11.69797</v>
      </c>
      <c r="M4882">
        <v>0.49928050000000002</v>
      </c>
      <c r="N4882">
        <v>0</v>
      </c>
      <c r="O4882">
        <v>-0.86631749999999996</v>
      </c>
      <c r="P4882">
        <v>0.16212119999999999</v>
      </c>
      <c r="Q4882">
        <v>1.6800320000000001E-2</v>
      </c>
      <c r="R4882">
        <v>-0.98662799999999995</v>
      </c>
      <c r="S4882">
        <v>1.6235349999999999E-2</v>
      </c>
      <c r="T4882">
        <v>-0.23192080000000001</v>
      </c>
      <c r="U4882">
        <v>-3.043091</v>
      </c>
      <c r="V4882">
        <v>0.35243740000000001</v>
      </c>
      <c r="W4882">
        <v>2.7506050000000001E-2</v>
      </c>
      <c r="X4882">
        <v>0.93543109999999996</v>
      </c>
      <c r="Y4882">
        <v>0.4946122</v>
      </c>
      <c r="Z4882">
        <v>5.58115E-2</v>
      </c>
      <c r="AA4882">
        <v>0.86731990000000003</v>
      </c>
      <c r="AB4882">
        <v>14</v>
      </c>
      <c r="AC4882">
        <v>1.26000000000203E-2</v>
      </c>
      <c r="AD4882">
        <v>-1.0512652443970001</v>
      </c>
      <c r="AE4882">
        <v>-13.665461000000001</v>
      </c>
      <c r="AF4882">
        <v>6.7726276196360899</v>
      </c>
      <c r="AG4882">
        <v>-1.0512652443970001</v>
      </c>
      <c r="AH4882">
        <v>11.776487096423701</v>
      </c>
      <c r="AI4882">
        <v>94.424950354081403</v>
      </c>
      <c r="AJ4882">
        <v>60.096902499983202</v>
      </c>
      <c r="AK4882">
        <v>13.6256850037189</v>
      </c>
    </row>
    <row r="4883" spans="1:37" x14ac:dyDescent="0.2">
      <c r="A4883" t="str">
        <f>"20200111160313293"</f>
        <v>20200111160313293</v>
      </c>
      <c r="B4883" t="str">
        <f>"1578729793288289"</f>
        <v>1578729793288289</v>
      </c>
      <c r="C4883" t="s">
        <v>37</v>
      </c>
      <c r="D4883">
        <v>6.9039070000000002</v>
      </c>
      <c r="E4883">
        <v>0.50338139999999998</v>
      </c>
      <c r="F4883" t="s">
        <v>38</v>
      </c>
      <c r="G4883">
        <v>-303.13839999999999</v>
      </c>
      <c r="H4883" s="1">
        <v>-4.1737009999999998E-6</v>
      </c>
      <c r="I4883">
        <v>-2.1309009999999899</v>
      </c>
      <c r="J4883">
        <v>-303.12880000000001</v>
      </c>
      <c r="K4883">
        <v>1.051412</v>
      </c>
      <c r="L4883">
        <v>11.555210000000001</v>
      </c>
      <c r="M4883">
        <v>0.48990829999999902</v>
      </c>
      <c r="N4883">
        <v>0</v>
      </c>
      <c r="O4883">
        <v>-0.8716526</v>
      </c>
      <c r="P4883">
        <v>0.1586796</v>
      </c>
      <c r="Q4883">
        <v>1.812302E-2</v>
      </c>
      <c r="R4883">
        <v>-0.98716399999999904</v>
      </c>
      <c r="S4883">
        <v>1.2634279999999999E-2</v>
      </c>
      <c r="T4883">
        <v>-0.23129040000000001</v>
      </c>
      <c r="U4883">
        <v>-3.0425110000000002</v>
      </c>
      <c r="V4883">
        <v>0.34558709999999998</v>
      </c>
      <c r="W4883">
        <v>2.9002719999999999E-2</v>
      </c>
      <c r="X4883">
        <v>0.9379383</v>
      </c>
      <c r="Y4883">
        <v>0.48624830000000002</v>
      </c>
      <c r="Z4883">
        <v>5.645385E-2</v>
      </c>
      <c r="AA4883">
        <v>0.87199519999999997</v>
      </c>
      <c r="AB4883">
        <v>14</v>
      </c>
      <c r="AC4883">
        <v>-9.5999999999776195E-3</v>
      </c>
      <c r="AD4883">
        <v>-1.0514161737009999</v>
      </c>
      <c r="AE4883">
        <v>-13.686111</v>
      </c>
      <c r="AF4883">
        <v>6.6746249191079299</v>
      </c>
      <c r="AG4883">
        <v>-1.0514161737009999</v>
      </c>
      <c r="AH4883">
        <v>11.8561198085276</v>
      </c>
      <c r="AI4883">
        <v>94.418862266141204</v>
      </c>
      <c r="AJ4883">
        <v>60.621848593429696</v>
      </c>
      <c r="AK4883">
        <v>13.646379398773</v>
      </c>
    </row>
    <row r="4884" spans="1:37" x14ac:dyDescent="0.2">
      <c r="A4884" t="str">
        <f>"20200111160313314"</f>
        <v>20200111160313314</v>
      </c>
      <c r="B4884" t="str">
        <f>"1578729793307809"</f>
        <v>1578729793307809</v>
      </c>
      <c r="C4884" t="s">
        <v>37</v>
      </c>
      <c r="D4884">
        <v>5.0284279999999999</v>
      </c>
      <c r="E4884">
        <v>0.42445450000000001</v>
      </c>
      <c r="F4884" t="s">
        <v>38</v>
      </c>
      <c r="G4884">
        <v>-297.91980000000001</v>
      </c>
      <c r="H4884" s="1">
        <v>-3.9780629999999997E-6</v>
      </c>
      <c r="I4884">
        <v>-21.95439</v>
      </c>
      <c r="J4884">
        <v>-303.07240000000002</v>
      </c>
      <c r="K4884">
        <v>1.0515490000000001</v>
      </c>
      <c r="L4884">
        <v>11.432829999999999</v>
      </c>
      <c r="M4884">
        <v>0.48205130000000002</v>
      </c>
      <c r="N4884">
        <v>0</v>
      </c>
      <c r="O4884">
        <v>-0.876023</v>
      </c>
      <c r="P4884">
        <v>0.15708079999999999</v>
      </c>
      <c r="Q4884">
        <v>1.849601E-2</v>
      </c>
      <c r="R4884">
        <v>-0.98741279999999998</v>
      </c>
      <c r="S4884">
        <v>0.46115109999999898</v>
      </c>
      <c r="T4884">
        <v>-9.3082129999999999E-2</v>
      </c>
      <c r="U4884">
        <v>-2.9666139999999999</v>
      </c>
      <c r="V4884">
        <v>0.33865040000000002</v>
      </c>
      <c r="W4884">
        <v>2.9532260000000001E-2</v>
      </c>
      <c r="X4884">
        <v>0.94044869999999903</v>
      </c>
      <c r="Y4884">
        <v>0.3418525</v>
      </c>
      <c r="Z4884">
        <v>2.451828E-2</v>
      </c>
      <c r="AA4884">
        <v>0.93943379999999999</v>
      </c>
      <c r="AB4884">
        <v>14</v>
      </c>
      <c r="AC4884">
        <v>5.1525999999999996</v>
      </c>
      <c r="AD4884">
        <v>-1.051552978063</v>
      </c>
      <c r="AE4884">
        <v>-33.387219999999999</v>
      </c>
      <c r="AF4884">
        <v>11.570563550047201</v>
      </c>
      <c r="AG4884">
        <v>-1.051552978063</v>
      </c>
      <c r="AH4884">
        <v>31.704408019552101</v>
      </c>
      <c r="AI4884">
        <v>91.784606253400597</v>
      </c>
      <c r="AJ4884">
        <v>69.950382349940497</v>
      </c>
      <c r="AK4884">
        <v>33.766154539739901</v>
      </c>
    </row>
    <row r="4885" spans="1:37" x14ac:dyDescent="0.2">
      <c r="A4885" t="str">
        <f>"20200111160313334"</f>
        <v>20200111160313334</v>
      </c>
      <c r="B4885" t="str">
        <f>"1578729793328306"</f>
        <v>1578729793328306</v>
      </c>
      <c r="C4885" t="s">
        <v>37</v>
      </c>
      <c r="D4885">
        <v>5.0146769999999998</v>
      </c>
      <c r="E4885">
        <v>0.42311189999999999</v>
      </c>
      <c r="F4885" t="s">
        <v>38</v>
      </c>
      <c r="G4885">
        <v>-295.54079999999999</v>
      </c>
      <c r="H4885" s="1">
        <v>-1.462786E-6</v>
      </c>
      <c r="I4885">
        <v>-8.4718879999999999</v>
      </c>
      <c r="J4885">
        <v>-303.0197</v>
      </c>
      <c r="K4885">
        <v>1.0516529999999999</v>
      </c>
      <c r="L4885">
        <v>11.316129999999999</v>
      </c>
      <c r="M4885">
        <v>0.4746919</v>
      </c>
      <c r="N4885">
        <v>0</v>
      </c>
      <c r="O4885">
        <v>-0.88003330000000002</v>
      </c>
      <c r="P4885">
        <v>0.1550877</v>
      </c>
      <c r="Q4885">
        <v>1.8806819999999998E-2</v>
      </c>
      <c r="R4885">
        <v>-0.98772169999999904</v>
      </c>
      <c r="S4885">
        <v>1.085358</v>
      </c>
      <c r="T4885">
        <v>-0.1515357</v>
      </c>
      <c r="U4885">
        <v>-2.8684080000000001</v>
      </c>
      <c r="V4885">
        <v>0.3326481</v>
      </c>
      <c r="W4885">
        <v>2.996646E-2</v>
      </c>
      <c r="X4885">
        <v>0.94257479999999905</v>
      </c>
      <c r="Y4885">
        <v>0.1328955</v>
      </c>
      <c r="Z4885">
        <v>4.1875719999999998E-2</v>
      </c>
      <c r="AA4885">
        <v>0.99024500000000004</v>
      </c>
      <c r="AB4885">
        <v>14</v>
      </c>
      <c r="AC4885">
        <v>7.4789000000000003</v>
      </c>
      <c r="AD4885">
        <v>-1.0516544627860001</v>
      </c>
      <c r="AE4885">
        <v>-19.788018000000001</v>
      </c>
      <c r="AF4885">
        <v>2.80489247466239</v>
      </c>
      <c r="AG4885">
        <v>-1.0516544627860001</v>
      </c>
      <c r="AH4885">
        <v>20.914788996302899</v>
      </c>
      <c r="AI4885">
        <v>92.853068687405894</v>
      </c>
      <c r="AJ4885">
        <v>82.361611413527896</v>
      </c>
      <c r="AK4885">
        <v>21.128222775789499</v>
      </c>
    </row>
    <row r="4886" spans="1:37" x14ac:dyDescent="0.2">
      <c r="A4886" t="str">
        <f>"20200111160313360"</f>
        <v>20200111160313360</v>
      </c>
      <c r="B4886" t="str">
        <f>"1578729793347826"</f>
        <v>1578729793347826</v>
      </c>
      <c r="C4886" t="s">
        <v>37</v>
      </c>
      <c r="D4886">
        <v>4.9815300000000002</v>
      </c>
      <c r="E4886">
        <v>0.42325410000000002</v>
      </c>
      <c r="F4886" t="s">
        <v>42</v>
      </c>
      <c r="G4886">
        <v>-302.71870000000001</v>
      </c>
      <c r="H4886">
        <v>1.005217</v>
      </c>
      <c r="I4886">
        <v>10.52525</v>
      </c>
      <c r="J4886">
        <v>-302.95409999999998</v>
      </c>
      <c r="K4886">
        <v>1.0517639999999999</v>
      </c>
      <c r="L4886">
        <v>11.16779</v>
      </c>
      <c r="M4886">
        <v>0.46554289999999998</v>
      </c>
      <c r="N4886">
        <v>0</v>
      </c>
      <c r="O4886">
        <v>-0.88490829999999998</v>
      </c>
      <c r="P4886">
        <v>0.15050620000000001</v>
      </c>
      <c r="Q4886">
        <v>2.0161109999999999E-2</v>
      </c>
      <c r="R4886">
        <v>-0.9884039</v>
      </c>
      <c r="S4886">
        <v>1.092255</v>
      </c>
      <c r="T4886">
        <v>-0.16794479999999901</v>
      </c>
      <c r="U4886">
        <v>-2.8689879999999999</v>
      </c>
      <c r="V4886">
        <v>0.3272275</v>
      </c>
      <c r="W4886">
        <v>3.1424889999999997E-2</v>
      </c>
      <c r="X4886">
        <v>0.94442289999999995</v>
      </c>
      <c r="Y4886">
        <v>0.1206808</v>
      </c>
      <c r="Z4886">
        <v>4.6810299999999999E-2</v>
      </c>
      <c r="AA4886">
        <v>0.99158709999999906</v>
      </c>
      <c r="AB4886">
        <v>14</v>
      </c>
      <c r="AC4886">
        <v>0.23539999999996999</v>
      </c>
      <c r="AD4886">
        <v>-4.6546999999999797E-2</v>
      </c>
      <c r="AE4886">
        <v>-0.64254</v>
      </c>
      <c r="AF4886">
        <v>9.0413596680976593E-2</v>
      </c>
      <c r="AG4886">
        <v>-4.6546999999999797E-2</v>
      </c>
      <c r="AH4886">
        <v>0.67512431169113696</v>
      </c>
      <c r="AI4886">
        <v>93.909272226564397</v>
      </c>
      <c r="AJ4886">
        <v>82.372253676887198</v>
      </c>
      <c r="AK4886">
        <v>0.68274012472552204</v>
      </c>
    </row>
    <row r="4887" spans="1:37" x14ac:dyDescent="0.2">
      <c r="A4887" t="str">
        <f>"20200111160313382"</f>
        <v>20200111160313382</v>
      </c>
      <c r="B4887" t="str">
        <f>"1578729793378082"</f>
        <v>1578729793378082</v>
      </c>
      <c r="C4887" t="s">
        <v>37</v>
      </c>
      <c r="D4887">
        <v>4.9459530000000003</v>
      </c>
      <c r="E4887">
        <v>0.42210519999999901</v>
      </c>
      <c r="F4887" t="s">
        <v>38</v>
      </c>
      <c r="G4887">
        <v>-295.92970000000003</v>
      </c>
      <c r="H4887" s="1">
        <v>-1.709027E-6</v>
      </c>
      <c r="I4887">
        <v>-7.5612079999999997</v>
      </c>
      <c r="J4887">
        <v>-302.89749999999998</v>
      </c>
      <c r="K4887">
        <v>1.0518559999999999</v>
      </c>
      <c r="L4887">
        <v>11.0371399999999</v>
      </c>
      <c r="M4887">
        <v>0.45767570000000002</v>
      </c>
      <c r="N4887">
        <v>0</v>
      </c>
      <c r="O4887">
        <v>-0.88900330000000005</v>
      </c>
      <c r="P4887">
        <v>0.1458766</v>
      </c>
      <c r="Q4887">
        <v>2.2616540000000001E-2</v>
      </c>
      <c r="R4887">
        <v>-0.98904419999999904</v>
      </c>
      <c r="S4887">
        <v>1.078033</v>
      </c>
      <c r="T4887">
        <v>-0.16141559999999999</v>
      </c>
      <c r="U4887">
        <v>-2.8743590000000001</v>
      </c>
      <c r="V4887">
        <v>0.32325379999999998</v>
      </c>
      <c r="W4887">
        <v>3.395078E-2</v>
      </c>
      <c r="X4887">
        <v>0.94570309999999902</v>
      </c>
      <c r="Y4887">
        <v>0.11675489999999999</v>
      </c>
      <c r="Z4887">
        <v>4.5282650000000001E-2</v>
      </c>
      <c r="AA4887">
        <v>0.99212789999999995</v>
      </c>
      <c r="AB4887">
        <v>14</v>
      </c>
      <c r="AC4887">
        <v>6.9677999999999498</v>
      </c>
      <c r="AD4887">
        <v>-1.0518577090269901</v>
      </c>
      <c r="AE4887">
        <v>-18.598348000000001</v>
      </c>
      <c r="AF4887">
        <v>2.3113703451533998</v>
      </c>
      <c r="AG4887">
        <v>-1.0518577090269901</v>
      </c>
      <c r="AH4887">
        <v>19.6698454114483</v>
      </c>
      <c r="AI4887">
        <v>93.040135495000499</v>
      </c>
      <c r="AJ4887">
        <v>83.298004359844498</v>
      </c>
      <c r="AK4887">
        <v>19.833094968329299</v>
      </c>
    </row>
    <row r="4888" spans="1:37" x14ac:dyDescent="0.2">
      <c r="A4888" t="str">
        <f>"20200111160313421"</f>
        <v>20200111160313421</v>
      </c>
      <c r="B4888" t="str">
        <f>"1578729793408338"</f>
        <v>1578729793408338</v>
      </c>
      <c r="C4888" t="s">
        <v>37</v>
      </c>
      <c r="D4888">
        <v>4.9965339999999996</v>
      </c>
      <c r="E4888">
        <v>0.42162309999999997</v>
      </c>
      <c r="F4888" t="s">
        <v>38</v>
      </c>
      <c r="G4888">
        <v>-295.92910000000001</v>
      </c>
      <c r="H4888" s="1">
        <v>-1.685552E-6</v>
      </c>
      <c r="I4888">
        <v>-7.6227899999999904</v>
      </c>
      <c r="J4888">
        <v>-302.8073</v>
      </c>
      <c r="K4888">
        <v>1.0519889999999901</v>
      </c>
      <c r="L4888">
        <v>10.823789999999899</v>
      </c>
      <c r="M4888">
        <v>0.44523489999999999</v>
      </c>
      <c r="N4888">
        <v>0</v>
      </c>
      <c r="O4888">
        <v>-0.89530080000000001</v>
      </c>
      <c r="P4888">
        <v>0.13809370000000001</v>
      </c>
      <c r="Q4888">
        <v>2.4596159999999999E-2</v>
      </c>
      <c r="R4888">
        <v>-0.99011389999999999</v>
      </c>
      <c r="S4888">
        <v>1.074921</v>
      </c>
      <c r="T4888">
        <v>-0.16225609999999999</v>
      </c>
      <c r="U4888">
        <v>-2.8784179999999999</v>
      </c>
      <c r="V4888">
        <v>0.317474599999999</v>
      </c>
      <c r="W4888">
        <v>3.599231E-2</v>
      </c>
      <c r="X4888">
        <v>0.94758349999999902</v>
      </c>
      <c r="Y4888">
        <v>0.104307199999999</v>
      </c>
      <c r="Z4888">
        <v>4.599557E-2</v>
      </c>
      <c r="AA4888">
        <v>0.99348099999999995</v>
      </c>
      <c r="AB4888">
        <v>14</v>
      </c>
      <c r="AC4888">
        <v>6.8781999999999899</v>
      </c>
      <c r="AD4888">
        <v>-1.05199068555199</v>
      </c>
      <c r="AE4888">
        <v>-18.446579999999901</v>
      </c>
      <c r="AF4888">
        <v>2.0493596066086401</v>
      </c>
      <c r="AG4888">
        <v>-1.05199068555199</v>
      </c>
      <c r="AH4888">
        <v>19.523886631702101</v>
      </c>
      <c r="AI4888">
        <v>93.067422522091107</v>
      </c>
      <c r="AJ4888">
        <v>84.007789395153495</v>
      </c>
      <c r="AK4888">
        <v>19.659316071706101</v>
      </c>
    </row>
    <row r="4889" spans="1:37" x14ac:dyDescent="0.2">
      <c r="A4889" t="str">
        <f>"20200111160313448"</f>
        <v>20200111160313448</v>
      </c>
      <c r="B4889" t="str">
        <f>"1578729793438594"</f>
        <v>1578729793438594</v>
      </c>
      <c r="C4889" t="s">
        <v>37</v>
      </c>
      <c r="D4889">
        <v>4.9698349999999998</v>
      </c>
      <c r="E4889">
        <v>0.42143829999999999</v>
      </c>
      <c r="F4889" t="s">
        <v>38</v>
      </c>
      <c r="G4889">
        <v>-295.83350000000002</v>
      </c>
      <c r="H4889" s="1">
        <v>-1.4786379999999999E-6</v>
      </c>
      <c r="I4889">
        <v>-8.2278219999999997</v>
      </c>
      <c r="J4889">
        <v>-302.73930000000001</v>
      </c>
      <c r="K4889">
        <v>1.0520499999999999</v>
      </c>
      <c r="L4889">
        <v>10.658480000000001</v>
      </c>
      <c r="M4889">
        <v>0.43587399999999998</v>
      </c>
      <c r="N4889">
        <v>0</v>
      </c>
      <c r="O4889">
        <v>-0.89989809999999903</v>
      </c>
      <c r="P4889">
        <v>0.13039609999999999</v>
      </c>
      <c r="Q4889">
        <v>2.400416E-2</v>
      </c>
      <c r="R4889">
        <v>-0.99117169999999899</v>
      </c>
      <c r="S4889">
        <v>1.05661</v>
      </c>
      <c r="T4889">
        <v>-0.15938840000000001</v>
      </c>
      <c r="U4889">
        <v>-2.886536</v>
      </c>
      <c r="V4889">
        <v>0.31494490000000003</v>
      </c>
      <c r="W4889">
        <v>3.5328489999999997E-2</v>
      </c>
      <c r="X4889">
        <v>0.94845219999999897</v>
      </c>
      <c r="Y4889">
        <v>0.100384</v>
      </c>
      <c r="Z4889">
        <v>4.5473909999999999E-2</v>
      </c>
      <c r="AA4889">
        <v>0.99390909999999999</v>
      </c>
      <c r="AB4889">
        <v>14</v>
      </c>
      <c r="AC4889">
        <v>6.9057999999999904</v>
      </c>
      <c r="AD4889">
        <v>-1.052051478638</v>
      </c>
      <c r="AE4889">
        <v>-18.886302000000001</v>
      </c>
      <c r="AF4889">
        <v>2.01222318155448</v>
      </c>
      <c r="AG4889">
        <v>-1.052051478638</v>
      </c>
      <c r="AH4889">
        <v>19.953166797317699</v>
      </c>
      <c r="AI4889">
        <v>93.002981061156902</v>
      </c>
      <c r="AJ4889">
        <v>84.241344330413</v>
      </c>
      <c r="AK4889">
        <v>20.0819500967329</v>
      </c>
    </row>
    <row r="4890" spans="1:37" x14ac:dyDescent="0.2">
      <c r="A4890" t="str">
        <f>"20200111160313471"</f>
        <v>20200111160313471</v>
      </c>
      <c r="B4890" t="str">
        <f>"1578729793467874"</f>
        <v>1578729793467874</v>
      </c>
      <c r="C4890" t="s">
        <v>37</v>
      </c>
      <c r="D4890">
        <v>5.0365760000000002</v>
      </c>
      <c r="E4890">
        <v>0.42086869999999998</v>
      </c>
      <c r="F4890" t="s">
        <v>38</v>
      </c>
      <c r="G4890">
        <v>-296.16890000000001</v>
      </c>
      <c r="H4890" s="1">
        <v>-1.591265E-6</v>
      </c>
      <c r="I4890">
        <v>-7.7021819999999996</v>
      </c>
      <c r="J4890">
        <v>-302.6875</v>
      </c>
      <c r="K4890">
        <v>1.0520529999999999</v>
      </c>
      <c r="L4890">
        <v>10.52975</v>
      </c>
      <c r="M4890">
        <v>0.42875679999999999</v>
      </c>
      <c r="N4890">
        <v>0</v>
      </c>
      <c r="O4890">
        <v>-0.90331430000000001</v>
      </c>
      <c r="P4890">
        <v>0.1244657</v>
      </c>
      <c r="Q4890">
        <v>2.250195E-2</v>
      </c>
      <c r="R4890">
        <v>-0.99196890000000004</v>
      </c>
      <c r="S4890">
        <v>1.0357969999999901</v>
      </c>
      <c r="T4890">
        <v>-0.1658509</v>
      </c>
      <c r="U4890">
        <v>-2.8944700000000001</v>
      </c>
      <c r="V4890">
        <v>0.31312669999999998</v>
      </c>
      <c r="W4890">
        <v>3.367295E-2</v>
      </c>
      <c r="X4890">
        <v>0.94911420000000002</v>
      </c>
      <c r="Y4890">
        <v>9.9762729999999994E-2</v>
      </c>
      <c r="Z4890">
        <v>4.7517320000000002E-2</v>
      </c>
      <c r="AA4890">
        <v>0.99387599999999998</v>
      </c>
      <c r="AB4890">
        <v>14</v>
      </c>
      <c r="AC4890">
        <v>6.5185999999999904</v>
      </c>
      <c r="AD4890">
        <v>-1.0520545912649999</v>
      </c>
      <c r="AE4890">
        <v>-18.231932</v>
      </c>
      <c r="AF4890">
        <v>1.9232263138577701</v>
      </c>
      <c r="AG4890">
        <v>-1.0520545912649999</v>
      </c>
      <c r="AH4890">
        <v>19.2091857688118</v>
      </c>
      <c r="AI4890">
        <v>93.119296989341095</v>
      </c>
      <c r="AJ4890">
        <v>84.282591743508902</v>
      </c>
      <c r="AK4890">
        <v>19.3338675959581</v>
      </c>
    </row>
    <row r="4891" spans="1:37" x14ac:dyDescent="0.2">
      <c r="A4891" t="str">
        <f>"20200111160313494"</f>
        <v>20200111160313494</v>
      </c>
      <c r="B4891" t="str">
        <f>"1578729793488369"</f>
        <v>1578729793488369</v>
      </c>
      <c r="C4891" t="s">
        <v>37</v>
      </c>
      <c r="D4891">
        <v>5.0334050000000001</v>
      </c>
      <c r="E4891">
        <v>0.42040759999999999</v>
      </c>
      <c r="F4891" t="s">
        <v>42</v>
      </c>
      <c r="G4891">
        <v>-302.4042</v>
      </c>
      <c r="H4891">
        <v>1.003531</v>
      </c>
      <c r="I4891">
        <v>9.7267659999999996</v>
      </c>
      <c r="J4891">
        <v>-302.63310000000001</v>
      </c>
      <c r="K4891">
        <v>1.052038</v>
      </c>
      <c r="L4891">
        <v>10.391999999999999</v>
      </c>
      <c r="M4891">
        <v>0.42132969999999997</v>
      </c>
      <c r="N4891">
        <v>0</v>
      </c>
      <c r="O4891">
        <v>-0.90680799999999995</v>
      </c>
      <c r="P4891">
        <v>0.1186614</v>
      </c>
      <c r="Q4891">
        <v>1.967499E-2</v>
      </c>
      <c r="R4891">
        <v>-0.99274010000000001</v>
      </c>
      <c r="S4891">
        <v>1.0231319999999999</v>
      </c>
      <c r="T4891">
        <v>-0.17481759999999999</v>
      </c>
      <c r="U4891">
        <v>-2.8998719999999998</v>
      </c>
      <c r="V4891">
        <v>0.31088660000000001</v>
      </c>
      <c r="W4891">
        <v>3.057462E-2</v>
      </c>
      <c r="X4891">
        <v>0.94995509999999905</v>
      </c>
      <c r="Y4891">
        <v>9.6085199999999996E-2</v>
      </c>
      <c r="Z4891">
        <v>5.0328390000000001E-2</v>
      </c>
      <c r="AA4891">
        <v>0.99409989999999904</v>
      </c>
      <c r="AB4891">
        <v>14</v>
      </c>
      <c r="AC4891">
        <v>0.22890000000001001</v>
      </c>
      <c r="AD4891">
        <v>-4.8507000000000002E-2</v>
      </c>
      <c r="AE4891">
        <v>-0.66523400000000099</v>
      </c>
      <c r="AF4891">
        <v>7.2376971351020003E-2</v>
      </c>
      <c r="AG4891">
        <v>-4.8507000000000002E-2</v>
      </c>
      <c r="AH4891">
        <v>0.69643416562243099</v>
      </c>
      <c r="AI4891">
        <v>93.962971370184405</v>
      </c>
      <c r="AJ4891">
        <v>84.066831010161195</v>
      </c>
      <c r="AK4891">
        <v>0.70186316478153898</v>
      </c>
    </row>
    <row r="4892" spans="1:37" x14ac:dyDescent="0.2">
      <c r="A4892" t="str">
        <f>"20200111160313532"</f>
        <v>20200111160313532</v>
      </c>
      <c r="B4892" t="str">
        <f>"1578729793528386"</f>
        <v>1578729793528386</v>
      </c>
      <c r="C4892" t="s">
        <v>37</v>
      </c>
      <c r="D4892">
        <v>5.0355449999999999</v>
      </c>
      <c r="E4892">
        <v>0.41954849999999999</v>
      </c>
      <c r="F4892" t="s">
        <v>42</v>
      </c>
      <c r="G4892">
        <v>-302.36189999999999</v>
      </c>
      <c r="H4892">
        <v>1.001433</v>
      </c>
      <c r="I4892">
        <v>9.6114560000000004</v>
      </c>
      <c r="J4892">
        <v>-302.54880000000003</v>
      </c>
      <c r="K4892">
        <v>1.051963</v>
      </c>
      <c r="L4892">
        <v>10.17404</v>
      </c>
      <c r="M4892">
        <v>0.40991229999999901</v>
      </c>
      <c r="N4892">
        <v>0</v>
      </c>
      <c r="O4892">
        <v>-0.91203650000000003</v>
      </c>
      <c r="P4892">
        <v>0.10877239999999901</v>
      </c>
      <c r="Q4892">
        <v>1.3574050000000001E-2</v>
      </c>
      <c r="R4892">
        <v>-0.99397449999999998</v>
      </c>
      <c r="S4892">
        <v>1.0094299999999901</v>
      </c>
      <c r="T4892">
        <v>-0.18797809999999901</v>
      </c>
      <c r="U4892">
        <v>-2.9049990000000001</v>
      </c>
      <c r="V4892">
        <v>0.30840809999999902</v>
      </c>
      <c r="W4892">
        <v>2.3869930000000001E-2</v>
      </c>
      <c r="X4892">
        <v>0.95095459999999998</v>
      </c>
      <c r="Y4892">
        <v>8.8386619999999999E-2</v>
      </c>
      <c r="Z4892">
        <v>5.4547819999999997E-2</v>
      </c>
      <c r="AA4892">
        <v>0.99459149999999996</v>
      </c>
      <c r="AB4892">
        <v>14</v>
      </c>
      <c r="AC4892">
        <v>0.18690000000003601</v>
      </c>
      <c r="AD4892">
        <v>-5.0529999999999901E-2</v>
      </c>
      <c r="AE4892">
        <v>-0.56258399999999897</v>
      </c>
      <c r="AF4892">
        <v>5.9721434704607598E-2</v>
      </c>
      <c r="AG4892">
        <v>-5.0529999999999901E-2</v>
      </c>
      <c r="AH4892">
        <v>0.58550343527531001</v>
      </c>
      <c r="AI4892">
        <v>94.907171488867903</v>
      </c>
      <c r="AJ4892">
        <v>84.175964318796105</v>
      </c>
      <c r="AK4892">
        <v>0.59070652898234199</v>
      </c>
    </row>
    <row r="4893" spans="1:37" x14ac:dyDescent="0.2">
      <c r="A4893" t="str">
        <f>"20200111160313560"</f>
        <v>20200111160313560</v>
      </c>
      <c r="B4893" t="str">
        <f>"1578729793557666"</f>
        <v>1578729793557666</v>
      </c>
      <c r="C4893" t="s">
        <v>37</v>
      </c>
      <c r="D4893">
        <v>5.5833050000000002</v>
      </c>
      <c r="E4893">
        <v>0.44824700000000001</v>
      </c>
      <c r="F4893" t="s">
        <v>42</v>
      </c>
      <c r="G4893">
        <v>-302.27940000000001</v>
      </c>
      <c r="H4893">
        <v>0.99438449999999901</v>
      </c>
      <c r="I4893">
        <v>9.3784949999999991</v>
      </c>
      <c r="J4893">
        <v>-302.48450000000003</v>
      </c>
      <c r="K4893">
        <v>1.051887</v>
      </c>
      <c r="L4893">
        <v>10.00314</v>
      </c>
      <c r="M4893">
        <v>0.40127259999999998</v>
      </c>
      <c r="N4893">
        <v>0</v>
      </c>
      <c r="O4893">
        <v>-0.91587969999999896</v>
      </c>
      <c r="P4893">
        <v>9.8570260000000007E-2</v>
      </c>
      <c r="Q4893">
        <v>1.169092E-2</v>
      </c>
      <c r="R4893">
        <v>-0.99506170000000005</v>
      </c>
      <c r="S4893">
        <v>0.98669430000000002</v>
      </c>
      <c r="T4893">
        <v>-0.2105775</v>
      </c>
      <c r="U4893">
        <v>-2.9130859999999998</v>
      </c>
      <c r="V4893">
        <v>0.30916290000000002</v>
      </c>
      <c r="W4893">
        <v>2.13729E-2</v>
      </c>
      <c r="X4893">
        <v>0.95076890000000003</v>
      </c>
      <c r="Y4893">
        <v>8.6906170000000005E-2</v>
      </c>
      <c r="Z4893">
        <v>6.1381770000000002E-2</v>
      </c>
      <c r="AA4893">
        <v>0.99432369999999903</v>
      </c>
      <c r="AB4893">
        <v>14</v>
      </c>
      <c r="AC4893">
        <v>0.20510000000001499</v>
      </c>
      <c r="AD4893">
        <v>-5.7502500000000102E-2</v>
      </c>
      <c r="AE4893">
        <v>-0.624645000000001</v>
      </c>
      <c r="AF4893">
        <v>6.2333709968776498E-2</v>
      </c>
      <c r="AG4893">
        <v>-5.7502500000000102E-2</v>
      </c>
      <c r="AH4893">
        <v>0.64947974138632902</v>
      </c>
      <c r="AI4893">
        <v>95.036537666803994</v>
      </c>
      <c r="AJ4893">
        <v>84.517838332005198</v>
      </c>
      <c r="AK4893">
        <v>0.654993101777396</v>
      </c>
    </row>
    <row r="4894" spans="1:37" x14ac:dyDescent="0.2">
      <c r="A4894" t="str">
        <f>"20200111160313583"</f>
        <v>20200111160313583</v>
      </c>
      <c r="B4894" t="str">
        <f>"1578729793578162"</f>
        <v>1578729793578162</v>
      </c>
      <c r="C4894" t="s">
        <v>37</v>
      </c>
      <c r="D4894">
        <v>5.0435910000000002</v>
      </c>
      <c r="E4894">
        <v>0.54203109999999999</v>
      </c>
      <c r="F4894" t="s">
        <v>66</v>
      </c>
      <c r="G4894">
        <v>-277.17500000000001</v>
      </c>
      <c r="H4894">
        <v>11.668329999999999</v>
      </c>
      <c r="I4894">
        <v>-98.37</v>
      </c>
      <c r="J4894">
        <v>-302.4348</v>
      </c>
      <c r="K4894">
        <v>1.051806</v>
      </c>
      <c r="L4894">
        <v>9.8686220000000002</v>
      </c>
      <c r="M4894">
        <v>0.394650099999999</v>
      </c>
      <c r="N4894">
        <v>0</v>
      </c>
      <c r="O4894">
        <v>-0.91875989999999996</v>
      </c>
      <c r="P4894">
        <v>9.0525910000000001E-2</v>
      </c>
      <c r="Q4894">
        <v>9.6885010000000004E-3</v>
      </c>
      <c r="R4894">
        <v>-0.99584719999999904</v>
      </c>
      <c r="S4894">
        <v>0.68740840000000003</v>
      </c>
      <c r="T4894">
        <v>0.28834349999999997</v>
      </c>
      <c r="U4894">
        <v>-2.9434200000000001</v>
      </c>
      <c r="V4894">
        <v>0.30997199999999903</v>
      </c>
      <c r="W4894">
        <v>1.8840929999999999E-2</v>
      </c>
      <c r="X4894">
        <v>0.95055900000000004</v>
      </c>
      <c r="Y4894">
        <v>0.1762341</v>
      </c>
      <c r="Z4894">
        <v>-8.3950230000000001E-2</v>
      </c>
      <c r="AA4894">
        <v>0.98076189999999996</v>
      </c>
      <c r="AB4894">
        <v>14</v>
      </c>
      <c r="AC4894">
        <v>25.259799999999899</v>
      </c>
      <c r="AD4894">
        <v>10.616524</v>
      </c>
      <c r="AE4894">
        <v>-108.23862200000001</v>
      </c>
      <c r="AF4894">
        <v>19.333581878356799</v>
      </c>
      <c r="AG4894">
        <v>10.616524</v>
      </c>
      <c r="AH4894">
        <v>108.431988503554</v>
      </c>
      <c r="AI4894">
        <v>84.494307012143807</v>
      </c>
      <c r="AJ4894">
        <v>79.890319096035398</v>
      </c>
      <c r="AK4894">
        <v>110.652582893146</v>
      </c>
    </row>
    <row r="4895" spans="1:37" x14ac:dyDescent="0.2">
      <c r="A4895" t="str">
        <f>"20200111160313605"</f>
        <v>20200111160313605</v>
      </c>
      <c r="B4895" t="str">
        <f>"1578729793597681"</f>
        <v>1578729793597681</v>
      </c>
      <c r="C4895" t="s">
        <v>37</v>
      </c>
      <c r="D4895">
        <v>5.1655809999999898</v>
      </c>
      <c r="E4895">
        <v>0.57348599999999905</v>
      </c>
      <c r="F4895" t="s">
        <v>38</v>
      </c>
      <c r="G4895">
        <v>-302.73379999999997</v>
      </c>
      <c r="H4895" s="1">
        <v>-1.000393E-6</v>
      </c>
      <c r="I4895">
        <v>-8.8851630000000004</v>
      </c>
      <c r="J4895">
        <v>-302.3845</v>
      </c>
      <c r="K4895">
        <v>1.051733</v>
      </c>
      <c r="L4895">
        <v>9.7301640000000003</v>
      </c>
      <c r="M4895">
        <v>0.38803539999999997</v>
      </c>
      <c r="N4895">
        <v>0</v>
      </c>
      <c r="O4895">
        <v>-0.92158090000000004</v>
      </c>
      <c r="P4895">
        <v>8.0804730000000005E-2</v>
      </c>
      <c r="Q4895">
        <v>8.8453739999999996E-3</v>
      </c>
      <c r="R4895">
        <v>-0.99669089999999905</v>
      </c>
      <c r="S4895">
        <v>-4.8126219999999997E-2</v>
      </c>
      <c r="T4895">
        <v>-0.1692941</v>
      </c>
      <c r="U4895">
        <v>-3.0185240000000002</v>
      </c>
      <c r="V4895">
        <v>0.31240380000000001</v>
      </c>
      <c r="W4895">
        <v>1.7398730000000001E-2</v>
      </c>
      <c r="X4895">
        <v>0.94979009999999997</v>
      </c>
      <c r="Y4895">
        <v>0.40265529999999999</v>
      </c>
      <c r="Z4895">
        <v>4.7037830000000003E-2</v>
      </c>
      <c r="AA4895">
        <v>0.91414229999999996</v>
      </c>
      <c r="AB4895">
        <v>14</v>
      </c>
      <c r="AC4895">
        <v>-0.34929999999997102</v>
      </c>
      <c r="AD4895">
        <v>-1.051734000393</v>
      </c>
      <c r="AE4895">
        <v>-18.615327000000001</v>
      </c>
      <c r="AF4895">
        <v>7.5217547487574903</v>
      </c>
      <c r="AG4895">
        <v>-1.051734000393</v>
      </c>
      <c r="AH4895">
        <v>16.966846215933899</v>
      </c>
      <c r="AI4895">
        <v>93.243402079261202</v>
      </c>
      <c r="AJ4895">
        <v>66.091297201300904</v>
      </c>
      <c r="AK4895">
        <v>18.589158383939498</v>
      </c>
    </row>
    <row r="4896" spans="1:37" x14ac:dyDescent="0.2">
      <c r="A4896" t="str">
        <f>"20200111160313626"</f>
        <v>20200111160313626</v>
      </c>
      <c r="B4896" t="str">
        <f>"1578729793618178"</f>
        <v>1578729793618178</v>
      </c>
      <c r="C4896" t="s">
        <v>37</v>
      </c>
      <c r="D4896">
        <v>5.2016939999999998</v>
      </c>
      <c r="E4896">
        <v>0.63992579999999999</v>
      </c>
      <c r="F4896" t="s">
        <v>38</v>
      </c>
      <c r="G4896">
        <v>-303.86919999999998</v>
      </c>
      <c r="H4896" s="1">
        <v>-3.504788E-6</v>
      </c>
      <c r="I4896">
        <v>-4.2103489999999999</v>
      </c>
      <c r="J4896">
        <v>-302.33769999999998</v>
      </c>
      <c r="K4896">
        <v>1.0516700000000001</v>
      </c>
      <c r="L4896">
        <v>9.5993960000000005</v>
      </c>
      <c r="M4896">
        <v>0.38200580000000001</v>
      </c>
      <c r="N4896">
        <v>0</v>
      </c>
      <c r="O4896">
        <v>-0.92410389999999998</v>
      </c>
      <c r="P4896">
        <v>7.1114930000000007E-2</v>
      </c>
      <c r="Q4896">
        <v>6.2331359999999898E-3</v>
      </c>
      <c r="R4896">
        <v>-0.99744900000000003</v>
      </c>
      <c r="S4896">
        <v>-0.32357789999999997</v>
      </c>
      <c r="T4896">
        <v>-0.2292187</v>
      </c>
      <c r="U4896">
        <v>-3.0382389999999999</v>
      </c>
      <c r="V4896">
        <v>0.31541239999999998</v>
      </c>
      <c r="W4896">
        <v>1.4184779999999999E-2</v>
      </c>
      <c r="X4896">
        <v>0.94884869999999899</v>
      </c>
      <c r="Y4896">
        <v>0.4774621</v>
      </c>
      <c r="Z4896">
        <v>6.1878339999999997E-2</v>
      </c>
      <c r="AA4896">
        <v>0.87647070000000005</v>
      </c>
      <c r="AB4896">
        <v>14</v>
      </c>
      <c r="AC4896">
        <v>-1.5314999999999901</v>
      </c>
      <c r="AD4896">
        <v>-1.0516735047879999</v>
      </c>
      <c r="AE4896">
        <v>-13.809744999999999</v>
      </c>
      <c r="AF4896">
        <v>6.6528995232464601</v>
      </c>
      <c r="AG4896">
        <v>-1.0516735047879999</v>
      </c>
      <c r="AH4896">
        <v>12.1078614091054</v>
      </c>
      <c r="AI4896">
        <v>94.353191183101501</v>
      </c>
      <c r="AJ4896">
        <v>61.212551441009602</v>
      </c>
      <c r="AK4896">
        <v>13.8552299558394</v>
      </c>
    </row>
    <row r="4897" spans="1:37" x14ac:dyDescent="0.2">
      <c r="A4897" t="str">
        <f>"20200111160313652"</f>
        <v>20200111160313652</v>
      </c>
      <c r="B4897" t="str">
        <f>"1578729793648434"</f>
        <v>1578729793648434</v>
      </c>
      <c r="C4897" t="s">
        <v>37</v>
      </c>
      <c r="D4897">
        <v>5.0760800000000001</v>
      </c>
      <c r="E4897">
        <v>0.64009490000000002</v>
      </c>
      <c r="F4897" t="s">
        <v>39</v>
      </c>
      <c r="G4897">
        <v>-305.23469999999998</v>
      </c>
      <c r="H4897">
        <v>-0.05</v>
      </c>
      <c r="I4897">
        <v>-0.56253050000000004</v>
      </c>
      <c r="J4897">
        <v>-302.28410000000002</v>
      </c>
      <c r="K4897">
        <v>1.051612</v>
      </c>
      <c r="L4897">
        <v>9.4476320000000005</v>
      </c>
      <c r="M4897">
        <v>0.37527779999999999</v>
      </c>
      <c r="N4897">
        <v>0</v>
      </c>
      <c r="O4897">
        <v>-0.92686449999999998</v>
      </c>
      <c r="P4897">
        <v>6.2132359999999998E-2</v>
      </c>
      <c r="Q4897">
        <v>1.963579E-3</v>
      </c>
      <c r="R4897">
        <v>-0.99806589999999995</v>
      </c>
      <c r="S4897">
        <v>-0.87582399999999905</v>
      </c>
      <c r="T4897">
        <v>-0.33306219999999997</v>
      </c>
      <c r="U4897">
        <v>-3.0722049999999999</v>
      </c>
      <c r="V4897">
        <v>0.31703109999999901</v>
      </c>
      <c r="W4897">
        <v>9.2098059999999992E-3</v>
      </c>
      <c r="X4897">
        <v>0.94837039999999995</v>
      </c>
      <c r="Y4897">
        <v>0.61381359999999996</v>
      </c>
      <c r="Z4897">
        <v>8.2773860000000005E-2</v>
      </c>
      <c r="AA4897">
        <v>0.78509960000000001</v>
      </c>
      <c r="AB4897">
        <v>14</v>
      </c>
      <c r="AC4897">
        <v>-2.9505999999999499</v>
      </c>
      <c r="AD4897">
        <v>-1.101612</v>
      </c>
      <c r="AE4897">
        <v>-10.0101625</v>
      </c>
      <c r="AF4897">
        <v>6.42014825961376</v>
      </c>
      <c r="AG4897">
        <v>-1.101612</v>
      </c>
      <c r="AH4897">
        <v>8.0810868284292496</v>
      </c>
      <c r="AI4897">
        <v>96.092421588346596</v>
      </c>
      <c r="AJ4897">
        <v>51.534054694340597</v>
      </c>
      <c r="AK4897">
        <v>10.379586552583699</v>
      </c>
    </row>
    <row r="4898" spans="1:37" x14ac:dyDescent="0.2">
      <c r="A4898" t="str">
        <f>"20200111160313673"</f>
        <v>20200111160313673</v>
      </c>
      <c r="B4898" t="str">
        <f>"1578729793667954"</f>
        <v>1578729793667954</v>
      </c>
      <c r="C4898" t="s">
        <v>37</v>
      </c>
      <c r="D4898">
        <v>5.0343519999999904</v>
      </c>
      <c r="E4898">
        <v>0.63924300000000001</v>
      </c>
      <c r="F4898" t="s">
        <v>38</v>
      </c>
      <c r="G4898">
        <v>-305.20249999999999</v>
      </c>
      <c r="H4898" s="1">
        <v>-5.2025989999999997E-6</v>
      </c>
      <c r="I4898">
        <v>-0.40500929999999902</v>
      </c>
      <c r="J4898">
        <v>-302.23520000000002</v>
      </c>
      <c r="K4898">
        <v>1.051561</v>
      </c>
      <c r="L4898">
        <v>9.3066410000000008</v>
      </c>
      <c r="M4898">
        <v>0.36928359999999999</v>
      </c>
      <c r="N4898">
        <v>0</v>
      </c>
      <c r="O4898">
        <v>-0.92927630000000006</v>
      </c>
      <c r="P4898">
        <v>5.4993260000000002E-2</v>
      </c>
      <c r="Q4898">
        <v>-1.5434069999999999E-3</v>
      </c>
      <c r="R4898">
        <v>-0.99848539999999997</v>
      </c>
      <c r="S4898">
        <v>-0.90722659999999999</v>
      </c>
      <c r="T4898">
        <v>-0.32691999999999999</v>
      </c>
      <c r="U4898">
        <v>-3.0629270000000002</v>
      </c>
      <c r="V4898">
        <v>0.31766259999999902</v>
      </c>
      <c r="W4898">
        <v>5.03854299999999E-3</v>
      </c>
      <c r="X4898">
        <v>0.94819050000000005</v>
      </c>
      <c r="Y4898">
        <v>0.61680059999999903</v>
      </c>
      <c r="Z4898">
        <v>8.1640389999999993E-2</v>
      </c>
      <c r="AA4898">
        <v>0.78287410000000002</v>
      </c>
      <c r="AB4898">
        <v>14</v>
      </c>
      <c r="AC4898">
        <v>-2.9672999999999599</v>
      </c>
      <c r="AD4898">
        <v>-1.051566202599</v>
      </c>
      <c r="AE4898">
        <v>-9.7116503000000005</v>
      </c>
      <c r="AF4898">
        <v>6.2767263848363104</v>
      </c>
      <c r="AG4898">
        <v>-1.051566202599</v>
      </c>
      <c r="AH4898">
        <v>7.8452033049369696</v>
      </c>
      <c r="AI4898">
        <v>95.975022713076498</v>
      </c>
      <c r="AJ4898">
        <v>51.337681369224697</v>
      </c>
      <c r="AK4898">
        <v>10.1019948764757</v>
      </c>
    </row>
    <row r="4899" spans="1:37" x14ac:dyDescent="0.2">
      <c r="A4899" t="str">
        <f>"20200111160313699"</f>
        <v>20200111160313699</v>
      </c>
      <c r="B4899" t="str">
        <f>"1578729793688450"</f>
        <v>1578729793688450</v>
      </c>
      <c r="C4899" t="s">
        <v>37</v>
      </c>
      <c r="D4899">
        <v>4.9880979999999999</v>
      </c>
      <c r="E4899">
        <v>0.6387195</v>
      </c>
      <c r="F4899" t="s">
        <v>38</v>
      </c>
      <c r="G4899">
        <v>-305.20670000000001</v>
      </c>
      <c r="H4899" s="1">
        <v>-5.1594290000000003E-6</v>
      </c>
      <c r="I4899">
        <v>-0.51938819999999997</v>
      </c>
      <c r="J4899">
        <v>-302.17939999999999</v>
      </c>
      <c r="K4899">
        <v>1.0514870000000001</v>
      </c>
      <c r="L4899">
        <v>9.1437679999999997</v>
      </c>
      <c r="M4899">
        <v>0.36260870000000001</v>
      </c>
      <c r="N4899">
        <v>0</v>
      </c>
      <c r="O4899">
        <v>-0.93190879999999998</v>
      </c>
      <c r="P4899">
        <v>4.8365039999999998E-2</v>
      </c>
      <c r="Q4899">
        <v>-2.0517879999999902E-3</v>
      </c>
      <c r="R4899">
        <v>-0.99882800000000005</v>
      </c>
      <c r="S4899">
        <v>-0.92385859999999997</v>
      </c>
      <c r="T4899">
        <v>-0.3269339</v>
      </c>
      <c r="U4899">
        <v>-3.054932</v>
      </c>
      <c r="V4899">
        <v>0.3171446</v>
      </c>
      <c r="W4899">
        <v>3.7615859999999999E-3</v>
      </c>
      <c r="X4899">
        <v>0.94836969999999998</v>
      </c>
      <c r="Y4899">
        <v>0.61561849999999996</v>
      </c>
      <c r="Z4899">
        <v>8.2249669999999997E-2</v>
      </c>
      <c r="AA4899">
        <v>0.78374029999999995</v>
      </c>
      <c r="AB4899">
        <v>15</v>
      </c>
      <c r="AC4899">
        <v>-3.0273000000000199</v>
      </c>
      <c r="AD4899">
        <v>-1.0514921594290001</v>
      </c>
      <c r="AE4899">
        <v>-9.6631561999999995</v>
      </c>
      <c r="AF4899">
        <v>6.25783048442874</v>
      </c>
      <c r="AG4899">
        <v>-1.0514921594290001</v>
      </c>
      <c r="AH4899">
        <v>7.8233417361186097</v>
      </c>
      <c r="AI4899">
        <v>95.991700317951796</v>
      </c>
      <c r="AJ4899">
        <v>51.343956075687998</v>
      </c>
      <c r="AK4899">
        <v>10.0732692832705</v>
      </c>
    </row>
    <row r="4900" spans="1:37" x14ac:dyDescent="0.2">
      <c r="A4900" t="str">
        <f>"20200111160313733"</f>
        <v>20200111160313733</v>
      </c>
      <c r="B4900" t="str">
        <f>"1578729793728467"</f>
        <v>1578729793728467</v>
      </c>
      <c r="C4900" t="s">
        <v>37</v>
      </c>
      <c r="D4900">
        <v>4.9012149999999997</v>
      </c>
      <c r="E4900">
        <v>0.63695139999999995</v>
      </c>
      <c r="F4900" t="s">
        <v>38</v>
      </c>
      <c r="G4900">
        <v>-305.20760000000001</v>
      </c>
      <c r="H4900" s="1">
        <v>-5.0988619999999998E-6</v>
      </c>
      <c r="I4900">
        <v>-0.67750259999999995</v>
      </c>
      <c r="J4900">
        <v>-302.10579999999999</v>
      </c>
      <c r="K4900">
        <v>1.051385</v>
      </c>
      <c r="L4900">
        <v>8.9250179999999997</v>
      </c>
      <c r="M4900">
        <v>0.35404000000000002</v>
      </c>
      <c r="N4900">
        <v>0</v>
      </c>
      <c r="O4900">
        <v>-0.93520609999999904</v>
      </c>
      <c r="P4900">
        <v>4.0720109999999997E-2</v>
      </c>
      <c r="Q4900">
        <v>2.0406970000000002E-3</v>
      </c>
      <c r="R4900">
        <v>-0.99916849999999902</v>
      </c>
      <c r="S4900">
        <v>-0.93991089999999999</v>
      </c>
      <c r="T4900">
        <v>-0.32636690000000002</v>
      </c>
      <c r="U4900">
        <v>-3.0483699999999998</v>
      </c>
      <c r="V4900">
        <v>0.31570939999999997</v>
      </c>
      <c r="W4900">
        <v>6.8299859999999997E-3</v>
      </c>
      <c r="X4900">
        <v>0.94883130000000004</v>
      </c>
      <c r="Y4900">
        <v>0.61262359999999905</v>
      </c>
      <c r="Z4900">
        <v>8.2859660000000002E-2</v>
      </c>
      <c r="AA4900">
        <v>0.78601940000000003</v>
      </c>
      <c r="AB4900">
        <v>15</v>
      </c>
      <c r="AC4900">
        <v>-3.1018000000000199</v>
      </c>
      <c r="AD4900">
        <v>-1.051390098862</v>
      </c>
      <c r="AE4900">
        <v>-9.6025205999999894</v>
      </c>
      <c r="AF4900">
        <v>6.2329784338222503</v>
      </c>
      <c r="AG4900">
        <v>-1.051390098862</v>
      </c>
      <c r="AH4900">
        <v>7.7977040608237802</v>
      </c>
      <c r="AI4900">
        <v>96.012298654504505</v>
      </c>
      <c r="AJ4900">
        <v>51.363429071804198</v>
      </c>
      <c r="AK4900">
        <v>10.037909638797601</v>
      </c>
    </row>
    <row r="4901" spans="1:37" x14ac:dyDescent="0.2">
      <c r="A4901" t="str">
        <f>"20200111160313778"</f>
        <v>20200111160313778</v>
      </c>
      <c r="B4901" t="str">
        <f>"1578729793768481"</f>
        <v>1578729793768481</v>
      </c>
      <c r="C4901" t="s">
        <v>37</v>
      </c>
      <c r="D4901">
        <v>4.8756139999999997</v>
      </c>
      <c r="E4901">
        <v>0.63620909999999997</v>
      </c>
      <c r="F4901" t="s">
        <v>38</v>
      </c>
      <c r="G4901">
        <v>-305.31950000000001</v>
      </c>
      <c r="H4901" s="1">
        <v>-4.8460849999999999E-6</v>
      </c>
      <c r="I4901">
        <v>-1.38744</v>
      </c>
      <c r="J4901">
        <v>-302.00790000000001</v>
      </c>
      <c r="K4901">
        <v>1.0511969999999999</v>
      </c>
      <c r="L4901">
        <v>8.6261899999999994</v>
      </c>
      <c r="M4901">
        <v>0.3430357</v>
      </c>
      <c r="N4901">
        <v>0</v>
      </c>
      <c r="O4901">
        <v>-0.93930759999999902</v>
      </c>
      <c r="P4901">
        <v>3.3613799999999999E-2</v>
      </c>
      <c r="Q4901">
        <v>2.326411E-3</v>
      </c>
      <c r="R4901">
        <v>-0.9994324</v>
      </c>
      <c r="S4901">
        <v>-0.94790649999999999</v>
      </c>
      <c r="T4901">
        <v>-0.31011630000000001</v>
      </c>
      <c r="U4901">
        <v>-3.0417480000000001</v>
      </c>
      <c r="V4901">
        <v>0.3113052</v>
      </c>
      <c r="W4901">
        <v>5.7919340000000003E-3</v>
      </c>
      <c r="X4901">
        <v>0.95029229999999998</v>
      </c>
      <c r="Y4901">
        <v>0.60580639999999997</v>
      </c>
      <c r="Z4901">
        <v>7.9790109999999997E-2</v>
      </c>
      <c r="AA4901">
        <v>0.79160109999999995</v>
      </c>
      <c r="AB4901">
        <v>15</v>
      </c>
      <c r="AC4901">
        <v>-3.3115999999999901</v>
      </c>
      <c r="AD4901">
        <v>-1.0512018460849999</v>
      </c>
      <c r="AE4901">
        <v>-10.013629999999999</v>
      </c>
      <c r="AF4901">
        <v>6.4813502970557497</v>
      </c>
      <c r="AG4901">
        <v>-1.0512018460849999</v>
      </c>
      <c r="AH4901">
        <v>8.1886524129664195</v>
      </c>
      <c r="AI4901">
        <v>95.747934199354304</v>
      </c>
      <c r="AJ4901">
        <v>51.638248026072901</v>
      </c>
      <c r="AK4901">
        <v>10.4960447471768</v>
      </c>
    </row>
    <row r="4902" spans="1:37" x14ac:dyDescent="0.2">
      <c r="A4902" t="str">
        <f>"20200111160313810"</f>
        <v>20200111160313810</v>
      </c>
      <c r="B4902" t="str">
        <f>"1578729793798738"</f>
        <v>1578729793798738</v>
      </c>
      <c r="C4902" t="s">
        <v>37</v>
      </c>
      <c r="D4902">
        <v>4.8667089999999904</v>
      </c>
      <c r="E4902">
        <v>0.62330620000000003</v>
      </c>
      <c r="F4902" t="s">
        <v>38</v>
      </c>
      <c r="G4902">
        <v>-305.49919999999997</v>
      </c>
      <c r="H4902" s="1">
        <v>-4.5105320000000003E-6</v>
      </c>
      <c r="I4902">
        <v>-2.344252</v>
      </c>
      <c r="J4902">
        <v>-301.9357</v>
      </c>
      <c r="K4902">
        <v>1.05105</v>
      </c>
      <c r="L4902">
        <v>8.400055</v>
      </c>
      <c r="M4902">
        <v>0.33510190000000001</v>
      </c>
      <c r="N4902">
        <v>0</v>
      </c>
      <c r="O4902">
        <v>-0.94217189999999995</v>
      </c>
      <c r="P4902">
        <v>2.8215170000000001E-2</v>
      </c>
      <c r="Q4902">
        <v>2.9360129999999999E-3</v>
      </c>
      <c r="R4902">
        <v>-0.99959799999999999</v>
      </c>
      <c r="S4902">
        <v>-0.96582029999999996</v>
      </c>
      <c r="T4902">
        <v>-0.29080329999999999</v>
      </c>
      <c r="U4902">
        <v>-3.03485099999999</v>
      </c>
      <c r="V4902">
        <v>0.3084192</v>
      </c>
      <c r="W4902">
        <v>5.468166E-3</v>
      </c>
      <c r="X4902">
        <v>0.95123480000000005</v>
      </c>
      <c r="Y4902">
        <v>0.6039968</v>
      </c>
      <c r="Z4902">
        <v>7.5432579999999999E-2</v>
      </c>
      <c r="AA4902">
        <v>0.79340900000000003</v>
      </c>
      <c r="AB4902">
        <v>16</v>
      </c>
      <c r="AC4902">
        <v>-3.5634999999999701</v>
      </c>
      <c r="AD4902">
        <v>-1.0510545105319999</v>
      </c>
      <c r="AE4902">
        <v>-10.744306999999999</v>
      </c>
      <c r="AF4902">
        <v>6.8984594065031599</v>
      </c>
      <c r="AG4902">
        <v>-1.0510545105319999</v>
      </c>
      <c r="AH4902">
        <v>8.85261198553955</v>
      </c>
      <c r="AI4902">
        <v>95.350212387374597</v>
      </c>
      <c r="AJ4902">
        <v>52.072248253311002</v>
      </c>
      <c r="AK4902">
        <v>11.2721868656352</v>
      </c>
    </row>
    <row r="4903" spans="1:37" x14ac:dyDescent="0.2">
      <c r="A4903" t="str">
        <f>"20200111160313837"</f>
        <v>20200111160313837</v>
      </c>
      <c r="B4903" t="str">
        <f>"1578729793828018"</f>
        <v>1578729793828018</v>
      </c>
      <c r="C4903" t="s">
        <v>37</v>
      </c>
      <c r="D4903">
        <v>4.8983980000000003</v>
      </c>
      <c r="E4903">
        <v>0.62303529999999996</v>
      </c>
      <c r="F4903" t="s">
        <v>38</v>
      </c>
      <c r="G4903">
        <v>-305.18950000000001</v>
      </c>
      <c r="H4903" s="1">
        <v>-4.2817759999999903E-6</v>
      </c>
      <c r="I4903">
        <v>-2.7969089999999999</v>
      </c>
      <c r="J4903">
        <v>-301.87470000000002</v>
      </c>
      <c r="K4903">
        <v>1.050924</v>
      </c>
      <c r="L4903">
        <v>8.2041020000000007</v>
      </c>
      <c r="M4903">
        <v>0.32850259999999998</v>
      </c>
      <c r="N4903">
        <v>0</v>
      </c>
      <c r="O4903">
        <v>-0.94449629999999996</v>
      </c>
      <c r="P4903">
        <v>2.355937E-2</v>
      </c>
      <c r="Q4903">
        <v>3.528134E-3</v>
      </c>
      <c r="R4903">
        <v>-0.99971639999999995</v>
      </c>
      <c r="S4903">
        <v>-0.87960819999999995</v>
      </c>
      <c r="T4903">
        <v>-0.28413249999999901</v>
      </c>
      <c r="U4903">
        <v>-3.0268860000000002</v>
      </c>
      <c r="V4903">
        <v>0.30619220000000003</v>
      </c>
      <c r="W4903">
        <v>5.3236859999999898E-3</v>
      </c>
      <c r="X4903">
        <v>0.95195479999999999</v>
      </c>
      <c r="Y4903">
        <v>0.57806459999999904</v>
      </c>
      <c r="Z4903">
        <v>7.5408260000000005E-2</v>
      </c>
      <c r="AA4903">
        <v>0.81249919999999998</v>
      </c>
      <c r="AB4903">
        <v>16</v>
      </c>
      <c r="AC4903">
        <v>-3.3147999999999902</v>
      </c>
      <c r="AD4903">
        <v>-1.050928281776</v>
      </c>
      <c r="AE4903">
        <v>-11.001011</v>
      </c>
      <c r="AF4903">
        <v>6.6887592877575202</v>
      </c>
      <c r="AG4903">
        <v>-1.050928281776</v>
      </c>
      <c r="AH4903">
        <v>9.2243783285789291</v>
      </c>
      <c r="AI4903">
        <v>95.269670189009403</v>
      </c>
      <c r="AJ4903">
        <v>54.053470969882</v>
      </c>
      <c r="AK4903">
        <v>11.442600517878599</v>
      </c>
    </row>
    <row r="4904" spans="1:37" x14ac:dyDescent="0.2">
      <c r="A4904" t="str">
        <f>"20200111160313867"</f>
        <v>20200111160313867</v>
      </c>
      <c r="B4904" t="str">
        <f>"1578729793858273"</f>
        <v>1578729793858273</v>
      </c>
      <c r="C4904" t="s">
        <v>37</v>
      </c>
      <c r="D4904">
        <v>4.863302</v>
      </c>
      <c r="E4904">
        <v>0.62267989999999995</v>
      </c>
      <c r="F4904" t="s">
        <v>38</v>
      </c>
      <c r="G4904">
        <v>-305.15550000000002</v>
      </c>
      <c r="H4904" s="1">
        <v>-4.2290069999999996E-6</v>
      </c>
      <c r="I4904">
        <v>-2.918587</v>
      </c>
      <c r="J4904">
        <v>-301.81049999999999</v>
      </c>
      <c r="K4904">
        <v>1.0508029999999999</v>
      </c>
      <c r="L4904">
        <v>7.9943539999999897</v>
      </c>
      <c r="M4904">
        <v>0.32163509999999901</v>
      </c>
      <c r="N4904">
        <v>0</v>
      </c>
      <c r="O4904">
        <v>-0.94685949999999997</v>
      </c>
      <c r="P4904">
        <v>2.2501E-2</v>
      </c>
      <c r="Q4904">
        <v>2.8549090000000001E-3</v>
      </c>
      <c r="R4904">
        <v>-0.99974300000000005</v>
      </c>
      <c r="S4904">
        <v>-0.89163210000000004</v>
      </c>
      <c r="T4904">
        <v>-0.28561510000000001</v>
      </c>
      <c r="U4904">
        <v>-3.0228579999999998</v>
      </c>
      <c r="V4904">
        <v>0.30027419999999999</v>
      </c>
      <c r="W4904">
        <v>3.9456450000000002E-3</v>
      </c>
      <c r="X4904">
        <v>0.95384480000000005</v>
      </c>
      <c r="Y4904">
        <v>0.57539130000000005</v>
      </c>
      <c r="Z4904">
        <v>7.6272439999999997E-2</v>
      </c>
      <c r="AA4904">
        <v>0.81431409999999904</v>
      </c>
      <c r="AB4904">
        <v>16</v>
      </c>
      <c r="AC4904">
        <v>-3.3450000000000202</v>
      </c>
      <c r="AD4904">
        <v>-1.0508072290070001</v>
      </c>
      <c r="AE4904">
        <v>-10.912941</v>
      </c>
      <c r="AF4904">
        <v>6.6211391453882902</v>
      </c>
      <c r="AG4904">
        <v>-1.0508072290070001</v>
      </c>
      <c r="AH4904">
        <v>9.1793895671219605</v>
      </c>
      <c r="AI4904">
        <v>95.304284045806099</v>
      </c>
      <c r="AJ4904">
        <v>54.196901766174904</v>
      </c>
      <c r="AK4904">
        <v>11.3668321110199</v>
      </c>
    </row>
    <row r="4905" spans="1:37" x14ac:dyDescent="0.2">
      <c r="A4905" t="str">
        <f>"20200111160313911"</f>
        <v>20200111160313911</v>
      </c>
      <c r="B4905" t="str">
        <f>"1578729793908050"</f>
        <v>1578729793908050</v>
      </c>
      <c r="C4905" t="s">
        <v>37</v>
      </c>
      <c r="D4905">
        <v>9.0643220000000007</v>
      </c>
      <c r="E4905">
        <v>0.54962919999999904</v>
      </c>
      <c r="F4905" t="s">
        <v>38</v>
      </c>
      <c r="G4905">
        <v>-305.04590000000002</v>
      </c>
      <c r="H4905" s="1">
        <v>-4.1928459999999999E-6</v>
      </c>
      <c r="I4905">
        <v>-2.962154</v>
      </c>
      <c r="J4905">
        <v>-301.7131</v>
      </c>
      <c r="K4905">
        <v>1.0506309999999901</v>
      </c>
      <c r="L4905">
        <v>7.6663209999999999</v>
      </c>
      <c r="M4905">
        <v>0.31130219999999997</v>
      </c>
      <c r="N4905">
        <v>0</v>
      </c>
      <c r="O4905">
        <v>-0.95030949999999903</v>
      </c>
      <c r="P4905">
        <v>2.0049009999999999E-2</v>
      </c>
      <c r="Q4905">
        <v>2.8992390000000001E-3</v>
      </c>
      <c r="R4905">
        <v>-0.99979479999999998</v>
      </c>
      <c r="S4905">
        <v>-0.89227289999999904</v>
      </c>
      <c r="T4905">
        <v>-0.28979929999999998</v>
      </c>
      <c r="U4905">
        <v>-3.0216669999999999</v>
      </c>
      <c r="V4905">
        <v>0.29220750000000001</v>
      </c>
      <c r="W4905">
        <v>3.0239209999999902E-3</v>
      </c>
      <c r="X4905">
        <v>0.95635009999999998</v>
      </c>
      <c r="Y4905">
        <v>0.56666589999999994</v>
      </c>
      <c r="Z4905">
        <v>7.8185299999999999E-2</v>
      </c>
      <c r="AA4905">
        <v>0.82022980000000001</v>
      </c>
      <c r="AB4905">
        <v>16</v>
      </c>
      <c r="AC4905">
        <v>-3.3328000000000202</v>
      </c>
      <c r="AD4905">
        <v>-1.0506351928459901</v>
      </c>
      <c r="AE4905">
        <v>-10.628475</v>
      </c>
      <c r="AF4905">
        <v>6.4187622623544396</v>
      </c>
      <c r="AG4905">
        <v>-1.0506351928459901</v>
      </c>
      <c r="AH4905">
        <v>8.9829268587901492</v>
      </c>
      <c r="AI4905">
        <v>95.435988089598695</v>
      </c>
      <c r="AJ4905">
        <v>54.4522465570832</v>
      </c>
      <c r="AK4905">
        <v>11.090415602647401</v>
      </c>
    </row>
    <row r="4906" spans="1:37" x14ac:dyDescent="0.2">
      <c r="A4906" t="str">
        <f>"20200111160313941"</f>
        <v>20200111160313941</v>
      </c>
      <c r="B4906" t="str">
        <f>"1578729793938306"</f>
        <v>1578729793938306</v>
      </c>
      <c r="C4906" t="s">
        <v>37</v>
      </c>
      <c r="D4906">
        <v>4.8576870000000003</v>
      </c>
      <c r="E4906">
        <v>0.54223330000000003</v>
      </c>
      <c r="F4906" t="s">
        <v>38</v>
      </c>
      <c r="G4906">
        <v>-303.35599999999999</v>
      </c>
      <c r="H4906" s="1">
        <v>-1.7337790000000001E-6</v>
      </c>
      <c r="I4906">
        <v>-7.6839240000000002</v>
      </c>
      <c r="J4906">
        <v>-301.6472</v>
      </c>
      <c r="K4906">
        <v>1.050513</v>
      </c>
      <c r="L4906">
        <v>7.4375</v>
      </c>
      <c r="M4906">
        <v>0.30432720000000002</v>
      </c>
      <c r="N4906">
        <v>0</v>
      </c>
      <c r="O4906">
        <v>-0.95256689999999999</v>
      </c>
      <c r="P4906">
        <v>1.769368E-2</v>
      </c>
      <c r="Q4906">
        <v>2.9749859999999898E-3</v>
      </c>
      <c r="R4906">
        <v>-0.99983919999999904</v>
      </c>
      <c r="S4906">
        <v>-0.3218994</v>
      </c>
      <c r="T4906">
        <v>-0.20585639999999999</v>
      </c>
      <c r="U4906">
        <v>-3.00766</v>
      </c>
      <c r="V4906">
        <v>0.287443</v>
      </c>
      <c r="W4906">
        <v>2.5075100000000001E-3</v>
      </c>
      <c r="X4906">
        <v>0.95779439999999905</v>
      </c>
      <c r="Y4906">
        <v>0.40373680000000001</v>
      </c>
      <c r="Z4906">
        <v>6.0323559999999998E-2</v>
      </c>
      <c r="AA4906">
        <v>0.91288419999999904</v>
      </c>
      <c r="AB4906">
        <v>17</v>
      </c>
      <c r="AC4906">
        <v>-1.7087999999999901</v>
      </c>
      <c r="AD4906">
        <v>-1.050514733779</v>
      </c>
      <c r="AE4906">
        <v>-15.121423999999999</v>
      </c>
      <c r="AF4906">
        <v>6.2000644824362201</v>
      </c>
      <c r="AG4906">
        <v>-1.050514733779</v>
      </c>
      <c r="AH4906">
        <v>13.818291388811801</v>
      </c>
      <c r="AI4906">
        <v>93.967768536135495</v>
      </c>
      <c r="AJ4906">
        <v>65.834926373359593</v>
      </c>
      <c r="AK4906">
        <v>15.181882547904401</v>
      </c>
    </row>
    <row r="4907" spans="1:37" x14ac:dyDescent="0.2">
      <c r="A4907" t="str">
        <f>"20200111160313963"</f>
        <v>20200111160313963</v>
      </c>
      <c r="B4907" t="str">
        <f>"1578729793957826"</f>
        <v>1578729793957826</v>
      </c>
      <c r="C4907" t="s">
        <v>37</v>
      </c>
      <c r="D4907">
        <v>4.8281869999999998</v>
      </c>
      <c r="E4907">
        <v>0.54102899999999998</v>
      </c>
      <c r="F4907" t="s">
        <v>38</v>
      </c>
      <c r="G4907">
        <v>-303.34089999999998</v>
      </c>
      <c r="H4907" s="1">
        <v>-4.5959749999999996E-6</v>
      </c>
      <c r="I4907">
        <v>-11.249139999999899</v>
      </c>
      <c r="J4907">
        <v>-301.5976</v>
      </c>
      <c r="K4907">
        <v>1.0504180000000001</v>
      </c>
      <c r="L4907">
        <v>7.2620849999999999</v>
      </c>
      <c r="M4907">
        <v>0.29907610000000001</v>
      </c>
      <c r="N4907">
        <v>0</v>
      </c>
      <c r="O4907">
        <v>-0.95422909999999905</v>
      </c>
      <c r="P4907">
        <v>1.7349719999999999E-2</v>
      </c>
      <c r="Q4907">
        <v>2.5170290000000001E-3</v>
      </c>
      <c r="R4907">
        <v>-0.99984649999999997</v>
      </c>
      <c r="S4907">
        <v>-0.27243040000000002</v>
      </c>
      <c r="T4907">
        <v>-0.16897879999999901</v>
      </c>
      <c r="U4907">
        <v>-3.005798</v>
      </c>
      <c r="V4907">
        <v>0.28248899999999999</v>
      </c>
      <c r="W4907">
        <v>1.64491299999999E-3</v>
      </c>
      <c r="X4907">
        <v>0.95926909999999899</v>
      </c>
      <c r="Y4907">
        <v>0.38385229999999998</v>
      </c>
      <c r="Z4907">
        <v>5.000686E-2</v>
      </c>
      <c r="AA4907">
        <v>0.92203939999999995</v>
      </c>
      <c r="AB4907">
        <v>17</v>
      </c>
      <c r="AC4907">
        <v>-1.7432999999999701</v>
      </c>
      <c r="AD4907">
        <v>-1.050422595975</v>
      </c>
      <c r="AE4907">
        <v>-18.511225</v>
      </c>
      <c r="AF4907">
        <v>7.1768672316450699</v>
      </c>
      <c r="AG4907">
        <v>-1.050422595975</v>
      </c>
      <c r="AH4907">
        <v>17.0880328785308</v>
      </c>
      <c r="AI4907">
        <v>93.243797396648205</v>
      </c>
      <c r="AJ4907">
        <v>67.217898037069901</v>
      </c>
      <c r="AK4907">
        <v>18.563719415799799</v>
      </c>
    </row>
    <row r="4908" spans="1:37" x14ac:dyDescent="0.2">
      <c r="A4908" t="str">
        <f>"20200111160314000"</f>
        <v>20200111160314000</v>
      </c>
      <c r="B4908" t="str">
        <f>"1578729793998359"</f>
        <v>1578729793998359</v>
      </c>
      <c r="C4908" t="s">
        <v>37</v>
      </c>
      <c r="D4908">
        <v>4.8270730000000004</v>
      </c>
      <c r="E4908">
        <v>0.54025719999999899</v>
      </c>
      <c r="F4908" t="s">
        <v>38</v>
      </c>
      <c r="G4908">
        <v>-303.1628</v>
      </c>
      <c r="H4908" s="1">
        <v>-4.7790929999999997E-6</v>
      </c>
      <c r="I4908">
        <v>-10.61825</v>
      </c>
      <c r="J4908">
        <v>-301.51830000000001</v>
      </c>
      <c r="K4908">
        <v>1.0503209999999901</v>
      </c>
      <c r="L4908">
        <v>6.9742740000000003</v>
      </c>
      <c r="M4908">
        <v>0.29073749999999998</v>
      </c>
      <c r="N4908">
        <v>0</v>
      </c>
      <c r="O4908">
        <v>-0.95680299999999996</v>
      </c>
      <c r="P4908">
        <v>2.0068880000000001E-2</v>
      </c>
      <c r="Q4908">
        <v>1.7687479999999899E-3</v>
      </c>
      <c r="R4908">
        <v>-0.99979709999999999</v>
      </c>
      <c r="S4908">
        <v>-0.26309199999999999</v>
      </c>
      <c r="T4908">
        <v>-0.1765632</v>
      </c>
      <c r="U4908">
        <v>-3.0054630000000002</v>
      </c>
      <c r="V4908">
        <v>0.27148349999999999</v>
      </c>
      <c r="W4908">
        <v>3.6174619999999999E-4</v>
      </c>
      <c r="X4908">
        <v>0.9624431</v>
      </c>
      <c r="Y4908">
        <v>0.37292309999999901</v>
      </c>
      <c r="Z4908">
        <v>5.2615729999999999E-2</v>
      </c>
      <c r="AA4908">
        <v>0.926369199999999</v>
      </c>
      <c r="AB4908">
        <v>18</v>
      </c>
      <c r="AC4908">
        <v>-1.6444999999999901</v>
      </c>
      <c r="AD4908">
        <v>-1.0503257790929901</v>
      </c>
      <c r="AE4908">
        <v>-17.592523999999901</v>
      </c>
      <c r="AF4908">
        <v>6.6647178321658398</v>
      </c>
      <c r="AG4908">
        <v>-1.0503257790929901</v>
      </c>
      <c r="AH4908">
        <v>16.296873575798099</v>
      </c>
      <c r="AI4908">
        <v>93.413869029841095</v>
      </c>
      <c r="AJ4908">
        <v>67.757557252940899</v>
      </c>
      <c r="AK4908">
        <v>17.638303103477998</v>
      </c>
    </row>
    <row r="4909" spans="1:37" x14ac:dyDescent="0.2">
      <c r="A4909" t="str">
        <f>"20200111160314030"</f>
        <v>20200111160314030</v>
      </c>
      <c r="B4909" t="str">
        <f>"1578729794017869"</f>
        <v>1578729794017869</v>
      </c>
      <c r="C4909" t="s">
        <v>37</v>
      </c>
      <c r="D4909">
        <v>4.8110150000000003</v>
      </c>
      <c r="E4909">
        <v>0.54014069999999903</v>
      </c>
      <c r="F4909" t="s">
        <v>38</v>
      </c>
      <c r="G4909">
        <v>-302.93979999999999</v>
      </c>
      <c r="H4909" s="1">
        <v>-4.214102E-7</v>
      </c>
      <c r="I4909">
        <v>-10.225910000000001</v>
      </c>
      <c r="J4909">
        <v>-301.4545</v>
      </c>
      <c r="K4909">
        <v>1.050271</v>
      </c>
      <c r="L4909">
        <v>6.7369690000000002</v>
      </c>
      <c r="M4909">
        <v>0.28412989999999999</v>
      </c>
      <c r="N4909">
        <v>0</v>
      </c>
      <c r="O4909">
        <v>-0.95878580000000002</v>
      </c>
      <c r="P4909">
        <v>1.847126E-2</v>
      </c>
      <c r="Q4909">
        <v>2.7820240000000001E-3</v>
      </c>
      <c r="R4909">
        <v>-0.99982559999999998</v>
      </c>
      <c r="S4909">
        <v>-0.2484131</v>
      </c>
      <c r="T4909">
        <v>-0.1835551</v>
      </c>
      <c r="U4909">
        <v>-3.0059200000000001</v>
      </c>
      <c r="V4909">
        <v>0.26638109999999998</v>
      </c>
      <c r="W4909">
        <v>1.000705E-3</v>
      </c>
      <c r="X4909">
        <v>0.96386719999999904</v>
      </c>
      <c r="Y4909">
        <v>0.36198269999999999</v>
      </c>
      <c r="Z4909">
        <v>5.5009389999999998E-2</v>
      </c>
      <c r="AA4909">
        <v>0.93056030000000001</v>
      </c>
      <c r="AB4909">
        <v>18</v>
      </c>
      <c r="AC4909">
        <v>-1.4852999999999901</v>
      </c>
      <c r="AD4909">
        <v>-1.0502714214102</v>
      </c>
      <c r="AE4909">
        <v>-16.962879000000001</v>
      </c>
      <c r="AF4909">
        <v>6.22008191098202</v>
      </c>
      <c r="AG4909">
        <v>-1.0502714214102</v>
      </c>
      <c r="AH4909">
        <v>15.7817092541826</v>
      </c>
      <c r="AI4909">
        <v>93.542918472806704</v>
      </c>
      <c r="AJ4909">
        <v>68.488996713244106</v>
      </c>
      <c r="AK4909">
        <v>16.995729934942698</v>
      </c>
    </row>
    <row r="4910" spans="1:37" x14ac:dyDescent="0.2">
      <c r="A4910" t="str">
        <f>"20200111160314067"</f>
        <v>20200111160314067</v>
      </c>
      <c r="B4910" t="str">
        <f>"1578729794057884"</f>
        <v>1578729794057884</v>
      </c>
      <c r="C4910" t="s">
        <v>37</v>
      </c>
      <c r="D4910">
        <v>4.7495279999999998</v>
      </c>
      <c r="E4910">
        <v>0.54033439999999999</v>
      </c>
      <c r="F4910" t="s">
        <v>38</v>
      </c>
      <c r="G4910">
        <v>-302.92230000000001</v>
      </c>
      <c r="H4910" s="1">
        <v>-4.7003069999999997E-6</v>
      </c>
      <c r="I4910">
        <v>-10.72438</v>
      </c>
      <c r="J4910">
        <v>-301.37299999999999</v>
      </c>
      <c r="K4910">
        <v>1.0502479999999901</v>
      </c>
      <c r="L4910">
        <v>6.4245609999999997</v>
      </c>
      <c r="M4910">
        <v>0.27586329999999998</v>
      </c>
      <c r="N4910">
        <v>0</v>
      </c>
      <c r="O4910">
        <v>-0.96119669999999902</v>
      </c>
      <c r="P4910">
        <v>1.9881759999999998E-2</v>
      </c>
      <c r="Q4910">
        <v>4.4715409999999999E-3</v>
      </c>
      <c r="R4910">
        <v>-0.99979249999999997</v>
      </c>
      <c r="S4910">
        <v>-0.25265500000000002</v>
      </c>
      <c r="T4910">
        <v>-0.18078910000000001</v>
      </c>
      <c r="U4910">
        <v>-3.0057070000000001</v>
      </c>
      <c r="V4910">
        <v>0.2567142</v>
      </c>
      <c r="W4910">
        <v>2.3377559999999999E-3</v>
      </c>
      <c r="X4910">
        <v>0.96648449999999997</v>
      </c>
      <c r="Y4910">
        <v>0.35526099999999999</v>
      </c>
      <c r="Z4910">
        <v>5.4479140000000002E-2</v>
      </c>
      <c r="AA4910">
        <v>0.93317819999999996</v>
      </c>
      <c r="AB4910">
        <v>19</v>
      </c>
      <c r="AC4910">
        <v>-1.5493000000000099</v>
      </c>
      <c r="AD4910">
        <v>-1.0502527003069999</v>
      </c>
      <c r="AE4910">
        <v>-17.148941000000001</v>
      </c>
      <c r="AF4910">
        <v>6.1968920239579202</v>
      </c>
      <c r="AG4910">
        <v>-1.0502527003069999</v>
      </c>
      <c r="AH4910">
        <v>15.9966004466617</v>
      </c>
      <c r="AI4910">
        <v>93.503361774196804</v>
      </c>
      <c r="AJ4910">
        <v>68.824227041554195</v>
      </c>
      <c r="AK4910">
        <v>17.187080244801098</v>
      </c>
    </row>
    <row r="4911" spans="1:37" x14ac:dyDescent="0.2">
      <c r="A4911" t="str">
        <f>"20200111160314097"</f>
        <v>20200111160314097</v>
      </c>
      <c r="B4911" t="str">
        <f>"1578729794088141"</f>
        <v>1578729794088141</v>
      </c>
      <c r="C4911" t="s">
        <v>37</v>
      </c>
      <c r="D4911">
        <v>4.8456339999999898</v>
      </c>
      <c r="E4911">
        <v>0.54097489999999904</v>
      </c>
      <c r="F4911" t="s">
        <v>38</v>
      </c>
      <c r="G4911">
        <v>-302.86880000000002</v>
      </c>
      <c r="H4911" s="1">
        <v>-4.4051530000000004E-6</v>
      </c>
      <c r="I4911">
        <v>-11.56382</v>
      </c>
      <c r="J4911">
        <v>-301.3075</v>
      </c>
      <c r="K4911">
        <v>1.050252</v>
      </c>
      <c r="L4911">
        <v>6.1675110000000002</v>
      </c>
      <c r="M4911">
        <v>0.2694106</v>
      </c>
      <c r="N4911">
        <v>0</v>
      </c>
      <c r="O4911">
        <v>-0.96302489999999996</v>
      </c>
      <c r="P4911">
        <v>1.7731420000000001E-2</v>
      </c>
      <c r="Q4911">
        <v>5.0535980000000003E-3</v>
      </c>
      <c r="R4911">
        <v>-0.999829999999999</v>
      </c>
      <c r="S4911">
        <v>-0.25</v>
      </c>
      <c r="T4911">
        <v>-0.17552760000000001</v>
      </c>
      <c r="U4911">
        <v>-3.00637799999999</v>
      </c>
      <c r="V4911">
        <v>0.25230920000000001</v>
      </c>
      <c r="W4911">
        <v>2.6929969999999999E-3</v>
      </c>
      <c r="X4911">
        <v>0.96764289999999997</v>
      </c>
      <c r="Y4911">
        <v>0.34815459999999998</v>
      </c>
      <c r="Z4911">
        <v>5.3127479999999998E-2</v>
      </c>
      <c r="AA4911">
        <v>0.9359305</v>
      </c>
      <c r="AB4911">
        <v>19</v>
      </c>
      <c r="AC4911">
        <v>-1.5613000000000099</v>
      </c>
      <c r="AD4911">
        <v>-1.0502564051529999</v>
      </c>
      <c r="AE4911">
        <v>-17.731331000000001</v>
      </c>
      <c r="AF4911">
        <v>6.2587929947582301</v>
      </c>
      <c r="AG4911">
        <v>-1.0502564051529999</v>
      </c>
      <c r="AH4911">
        <v>16.597308728923799</v>
      </c>
      <c r="AI4911">
        <v>93.388457967831002</v>
      </c>
      <c r="AJ4911">
        <v>69.338698198948293</v>
      </c>
      <c r="AK4911">
        <v>17.769248304613502</v>
      </c>
    </row>
    <row r="4912" spans="1:37" x14ac:dyDescent="0.2">
      <c r="A4912" t="str">
        <f>"20200111160314124"</f>
        <v>20200111160314124</v>
      </c>
      <c r="B4912" t="str">
        <f>"1578729794118398"</f>
        <v>1578729794118398</v>
      </c>
      <c r="C4912" t="s">
        <v>37</v>
      </c>
      <c r="D4912">
        <v>5.1162000000000001</v>
      </c>
      <c r="E4912">
        <v>0.54105559999999997</v>
      </c>
      <c r="F4912" t="s">
        <v>38</v>
      </c>
      <c r="G4912">
        <v>-302.86630000000002</v>
      </c>
      <c r="H4912" s="1">
        <v>-4.3417869999999999E-6</v>
      </c>
      <c r="I4912">
        <v>-11.74872</v>
      </c>
      <c r="J4912">
        <v>-301.25209999999998</v>
      </c>
      <c r="K4912">
        <v>1.0502719999999901</v>
      </c>
      <c r="L4912">
        <v>5.9453430000000003</v>
      </c>
      <c r="M4912">
        <v>0.26407989999999998</v>
      </c>
      <c r="N4912">
        <v>0</v>
      </c>
      <c r="O4912">
        <v>-0.96450009999999997</v>
      </c>
      <c r="P4912">
        <v>1.7937649999999999E-2</v>
      </c>
      <c r="Q4912">
        <v>6.2347269999999998E-3</v>
      </c>
      <c r="R4912">
        <v>-0.99981980000000004</v>
      </c>
      <c r="S4912">
        <v>-0.26153559999999998</v>
      </c>
      <c r="T4912">
        <v>-0.1762155</v>
      </c>
      <c r="U4912">
        <v>-3.0060419999999999</v>
      </c>
      <c r="V4912">
        <v>0.24675729999999901</v>
      </c>
      <c r="W4912">
        <v>3.7458489999999999E-3</v>
      </c>
      <c r="X4912">
        <v>0.96907009999999905</v>
      </c>
      <c r="Y4912">
        <v>0.34654259999999998</v>
      </c>
      <c r="Z4912">
        <v>5.3479079999999998E-2</v>
      </c>
      <c r="AA4912">
        <v>0.93650849999999997</v>
      </c>
      <c r="AB4912">
        <v>19</v>
      </c>
      <c r="AC4912">
        <v>-1.6142000000000301</v>
      </c>
      <c r="AD4912">
        <v>-1.05027634178699</v>
      </c>
      <c r="AE4912">
        <v>-17.694063</v>
      </c>
      <c r="AF4912">
        <v>6.2078549714080697</v>
      </c>
      <c r="AG4912">
        <v>-1.05027634178699</v>
      </c>
      <c r="AH4912">
        <v>16.5817186260117</v>
      </c>
      <c r="AI4912">
        <v>93.394729445111196</v>
      </c>
      <c r="AJ4912">
        <v>69.475131729002698</v>
      </c>
      <c r="AK4912">
        <v>17.736796112386699</v>
      </c>
    </row>
    <row r="4913" spans="1:37" x14ac:dyDescent="0.2">
      <c r="A4913" t="str">
        <f>"20200111160314156"</f>
        <v>20200111160314156</v>
      </c>
      <c r="B4913" t="str">
        <f>"1578729794147679"</f>
        <v>1578729794147679</v>
      </c>
      <c r="C4913" t="s">
        <v>37</v>
      </c>
      <c r="D4913">
        <v>4.8966940000000001</v>
      </c>
      <c r="E4913">
        <v>0.48375240000000003</v>
      </c>
      <c r="F4913" t="s">
        <v>38</v>
      </c>
      <c r="G4913">
        <v>-302.87270000000001</v>
      </c>
      <c r="H4913" s="1">
        <v>-4.0290370000000003E-6</v>
      </c>
      <c r="I4913">
        <v>-12.671049999999999</v>
      </c>
      <c r="J4913">
        <v>-301.18110000000001</v>
      </c>
      <c r="K4913">
        <v>1.0503180000000001</v>
      </c>
      <c r="L4913">
        <v>5.6542659999999998</v>
      </c>
      <c r="M4913">
        <v>0.2574265</v>
      </c>
      <c r="N4913">
        <v>0</v>
      </c>
      <c r="O4913">
        <v>-0.96629719999999997</v>
      </c>
      <c r="P4913">
        <v>2.2253999999999999E-2</v>
      </c>
      <c r="Q4913">
        <v>8.8863329999999997E-3</v>
      </c>
      <c r="R4913">
        <v>-0.99971309999999902</v>
      </c>
      <c r="S4913">
        <v>-0.26168819999999998</v>
      </c>
      <c r="T4913">
        <v>-0.169604799999999</v>
      </c>
      <c r="U4913">
        <v>-3.0062869999999999</v>
      </c>
      <c r="V4913">
        <v>0.23588799999999999</v>
      </c>
      <c r="W4913">
        <v>6.3235969999999898E-3</v>
      </c>
      <c r="X4913">
        <v>0.9717597</v>
      </c>
      <c r="Y4913">
        <v>0.34012129999999902</v>
      </c>
      <c r="Z4913">
        <v>5.1693309999999999E-2</v>
      </c>
      <c r="AA4913">
        <v>0.93895969999999995</v>
      </c>
      <c r="AB4913">
        <v>20</v>
      </c>
      <c r="AC4913">
        <v>-1.69159999999999</v>
      </c>
      <c r="AD4913">
        <v>-1.0503220290369999</v>
      </c>
      <c r="AE4913">
        <v>-18.325316000000001</v>
      </c>
      <c r="AF4913">
        <v>6.3313912831523798</v>
      </c>
      <c r="AG4913">
        <v>-1.0503220290369999</v>
      </c>
      <c r="AH4913">
        <v>17.216172113238901</v>
      </c>
      <c r="AI4913">
        <v>93.277098794418393</v>
      </c>
      <c r="AJ4913">
        <v>69.808579247387598</v>
      </c>
      <c r="AK4913">
        <v>18.373521006538802</v>
      </c>
    </row>
    <row r="4914" spans="1:37" x14ac:dyDescent="0.2">
      <c r="A4914" t="str">
        <f>"20200111160314202"</f>
        <v>20200111160314202</v>
      </c>
      <c r="B4914" t="str">
        <f>"1578729794198244"</f>
        <v>1578729794198244</v>
      </c>
      <c r="C4914" t="s">
        <v>37</v>
      </c>
      <c r="D4914">
        <v>4.8238370000000002</v>
      </c>
      <c r="E4914">
        <v>0.43560169999999998</v>
      </c>
      <c r="F4914" t="s">
        <v>38</v>
      </c>
      <c r="G4914">
        <v>-299.88589999999999</v>
      </c>
      <c r="H4914" s="1">
        <v>-3.2622080000000001E-6</v>
      </c>
      <c r="I4914">
        <v>-12.810089999999899</v>
      </c>
      <c r="J4914">
        <v>-301.08569999999997</v>
      </c>
      <c r="K4914">
        <v>1.0503610000000001</v>
      </c>
      <c r="L4914">
        <v>5.2523799999999996</v>
      </c>
      <c r="M4914">
        <v>0.24875359999999999</v>
      </c>
      <c r="N4914">
        <v>0</v>
      </c>
      <c r="O4914">
        <v>-0.96856580000000003</v>
      </c>
      <c r="P4914">
        <v>2.1273139999999999E-2</v>
      </c>
      <c r="Q4914">
        <v>1.0312740000000001E-2</v>
      </c>
      <c r="R4914">
        <v>-0.99972050000000001</v>
      </c>
      <c r="S4914">
        <v>0.21026610000000001</v>
      </c>
      <c r="T4914">
        <v>-0.170520899999999</v>
      </c>
      <c r="U4914">
        <v>-2.9977109999999998</v>
      </c>
      <c r="V4914">
        <v>0.22812559999999901</v>
      </c>
      <c r="W4914">
        <v>7.7206949999999996E-3</v>
      </c>
      <c r="X4914">
        <v>0.9736011</v>
      </c>
      <c r="Y4914">
        <v>0.18047369999999999</v>
      </c>
      <c r="Z4914">
        <v>5.359191E-2</v>
      </c>
      <c r="AA4914">
        <v>0.98211870000000001</v>
      </c>
      <c r="AB4914">
        <v>20</v>
      </c>
      <c r="AC4914">
        <v>1.19979999999998</v>
      </c>
      <c r="AD4914">
        <v>-1.0503642622080001</v>
      </c>
      <c r="AE4914">
        <v>-18.062470000000001</v>
      </c>
      <c r="AF4914">
        <v>3.3198452587591301</v>
      </c>
      <c r="AG4914">
        <v>-1.0503642622080001</v>
      </c>
      <c r="AH4914">
        <v>17.733458019852399</v>
      </c>
      <c r="AI4914">
        <v>93.3319553938978</v>
      </c>
      <c r="AJ4914">
        <v>79.396507589354897</v>
      </c>
      <c r="AK4914">
        <v>18.072082640561899</v>
      </c>
    </row>
    <row r="4915" spans="1:37" x14ac:dyDescent="0.2">
      <c r="A4915" t="str">
        <f>"20200111160314231"</f>
        <v>20200111160314231</v>
      </c>
      <c r="B4915" t="str">
        <f>"1578729794228481"</f>
        <v>1578729794228481</v>
      </c>
      <c r="C4915" t="s">
        <v>37</v>
      </c>
      <c r="D4915">
        <v>4.8688669999999998</v>
      </c>
      <c r="E4915">
        <v>0.43589650000000002</v>
      </c>
      <c r="F4915" t="s">
        <v>42</v>
      </c>
      <c r="G4915">
        <v>-300.92970000000003</v>
      </c>
      <c r="H4915">
        <v>1.0022519999999999</v>
      </c>
      <c r="I4915">
        <v>4.4657679999999997</v>
      </c>
      <c r="J4915">
        <v>-301.02249999999998</v>
      </c>
      <c r="K4915">
        <v>1.05036</v>
      </c>
      <c r="L4915">
        <v>4.9794619999999998</v>
      </c>
      <c r="M4915">
        <v>0.24309989999999901</v>
      </c>
      <c r="N4915">
        <v>0</v>
      </c>
      <c r="O4915">
        <v>-0.97000069999999905</v>
      </c>
      <c r="P4915">
        <v>1.9051709999999999E-2</v>
      </c>
      <c r="Q4915">
        <v>9.6636389999999999E-3</v>
      </c>
      <c r="R4915">
        <v>-0.99977209999999905</v>
      </c>
      <c r="S4915">
        <v>0.59371949999999996</v>
      </c>
      <c r="T4915">
        <v>-0.18234220000000001</v>
      </c>
      <c r="U4915">
        <v>-2.9900820000000001</v>
      </c>
      <c r="V4915">
        <v>0.22460649999999999</v>
      </c>
      <c r="W4915">
        <v>7.0951039999999996E-3</v>
      </c>
      <c r="X4915">
        <v>0.974423699999999</v>
      </c>
      <c r="Y4915">
        <v>4.9859390000000003E-2</v>
      </c>
      <c r="Z4915">
        <v>5.7557360000000002E-2</v>
      </c>
      <c r="AA4915">
        <v>0.99709639999999999</v>
      </c>
      <c r="AB4915">
        <v>20</v>
      </c>
      <c r="AC4915">
        <v>9.2799999999954197E-2</v>
      </c>
      <c r="AD4915">
        <v>-4.8107999999999797E-2</v>
      </c>
      <c r="AE4915">
        <v>-0.51369399999999998</v>
      </c>
      <c r="AF4915">
        <v>3.4569304937678097E-2</v>
      </c>
      <c r="AG4915">
        <v>-4.8107999999999797E-2</v>
      </c>
      <c r="AH4915">
        <v>0.51645704481211896</v>
      </c>
      <c r="AI4915">
        <v>95.3099343122948</v>
      </c>
      <c r="AJ4915">
        <v>86.170591196107097</v>
      </c>
      <c r="AK4915">
        <v>0.519843529962566</v>
      </c>
    </row>
    <row r="4916" spans="1:37" x14ac:dyDescent="0.2">
      <c r="A4916" t="str">
        <f>"20200111160314253"</f>
        <v>20200111160314253</v>
      </c>
      <c r="B4916" t="str">
        <f>"1578729794248002"</f>
        <v>1578729794248002</v>
      </c>
      <c r="C4916" t="s">
        <v>37</v>
      </c>
      <c r="D4916">
        <v>5.0149029999999897</v>
      </c>
      <c r="E4916">
        <v>0.4359633</v>
      </c>
      <c r="F4916" t="s">
        <v>42</v>
      </c>
      <c r="G4916">
        <v>-300.85039999999998</v>
      </c>
      <c r="H4916">
        <v>0.9963822</v>
      </c>
      <c r="I4916">
        <v>4.0984119999999997</v>
      </c>
      <c r="J4916">
        <v>-300.97359999999998</v>
      </c>
      <c r="K4916">
        <v>1.0503469999999999</v>
      </c>
      <c r="L4916">
        <v>4.7634280000000002</v>
      </c>
      <c r="M4916">
        <v>0.238732</v>
      </c>
      <c r="N4916">
        <v>0</v>
      </c>
      <c r="O4916">
        <v>-0.97108470000000002</v>
      </c>
      <c r="P4916">
        <v>1.8815370000000001E-2</v>
      </c>
      <c r="Q4916">
        <v>8.6624779999999995E-3</v>
      </c>
      <c r="R4916">
        <v>-0.99978549999999999</v>
      </c>
      <c r="S4916">
        <v>0.58483890000000005</v>
      </c>
      <c r="T4916">
        <v>-0.1830127</v>
      </c>
      <c r="U4916">
        <v>-2.9913020000000001</v>
      </c>
      <c r="V4916">
        <v>0.22044659999999999</v>
      </c>
      <c r="W4916">
        <v>6.1457419999999896E-3</v>
      </c>
      <c r="X4916">
        <v>0.97537969999999896</v>
      </c>
      <c r="Y4916">
        <v>4.8294879999999998E-2</v>
      </c>
      <c r="Z4916">
        <v>5.7860710000000003E-2</v>
      </c>
      <c r="AA4916">
        <v>0.99715580000000004</v>
      </c>
      <c r="AB4916">
        <v>21</v>
      </c>
      <c r="AC4916">
        <v>0.12319999999999701</v>
      </c>
      <c r="AD4916">
        <v>-5.3964799999999903E-2</v>
      </c>
      <c r="AE4916">
        <v>-0.66501599999999905</v>
      </c>
      <c r="AF4916">
        <v>3.8875493374697999E-2</v>
      </c>
      <c r="AG4916">
        <v>-5.3964799999999903E-2</v>
      </c>
      <c r="AH4916">
        <v>0.67092769375444805</v>
      </c>
      <c r="AI4916">
        <v>94.590910634264901</v>
      </c>
      <c r="AJ4916">
        <v>86.6838245268479</v>
      </c>
      <c r="AK4916">
        <v>0.67421619223423401</v>
      </c>
    </row>
    <row r="4917" spans="1:37" x14ac:dyDescent="0.2">
      <c r="A4917" t="str">
        <f>"20200111160314290"</f>
        <v>20200111160314290</v>
      </c>
      <c r="B4917" t="str">
        <f>"1578729794288017"</f>
        <v>1578729794288017</v>
      </c>
      <c r="C4917" t="s">
        <v>37</v>
      </c>
      <c r="D4917">
        <v>4.9212319999999998</v>
      </c>
      <c r="E4917">
        <v>0.43624069999999998</v>
      </c>
      <c r="F4917" t="s">
        <v>42</v>
      </c>
      <c r="G4917">
        <v>-300.8075</v>
      </c>
      <c r="H4917">
        <v>0.997778099999999</v>
      </c>
      <c r="I4917">
        <v>3.9104570000000001</v>
      </c>
      <c r="J4917">
        <v>-300.89789999999999</v>
      </c>
      <c r="K4917">
        <v>1.050306</v>
      </c>
      <c r="L4917">
        <v>4.4210209999999996</v>
      </c>
      <c r="M4917">
        <v>0.23191709999999999</v>
      </c>
      <c r="N4917">
        <v>0</v>
      </c>
      <c r="O4917">
        <v>-0.97273500000000002</v>
      </c>
      <c r="P4917">
        <v>1.9721200000000001E-2</v>
      </c>
      <c r="Q4917">
        <v>7.8571230000000006E-3</v>
      </c>
      <c r="R4917">
        <v>-0.99977479999999996</v>
      </c>
      <c r="S4917">
        <v>0.58312989999999998</v>
      </c>
      <c r="T4917">
        <v>-0.1841217</v>
      </c>
      <c r="U4917">
        <v>-2.9912719999999999</v>
      </c>
      <c r="V4917">
        <v>0.21271519999999999</v>
      </c>
      <c r="W4917">
        <v>5.4524309999999998E-3</v>
      </c>
      <c r="X4917">
        <v>0.97709899999999905</v>
      </c>
      <c r="Y4917">
        <v>4.1842320000000002E-2</v>
      </c>
      <c r="Z4917">
        <v>5.8371399999999997E-2</v>
      </c>
      <c r="AA4917">
        <v>0.99741769999999996</v>
      </c>
      <c r="AB4917">
        <v>21</v>
      </c>
      <c r="AC4917">
        <v>9.0399999999988198E-2</v>
      </c>
      <c r="AD4917">
        <v>-5.2527900000000002E-2</v>
      </c>
      <c r="AE4917">
        <v>-0.51056399999999902</v>
      </c>
      <c r="AF4917">
        <v>3.01637248473558E-2</v>
      </c>
      <c r="AG4917">
        <v>-5.2527900000000002E-2</v>
      </c>
      <c r="AH4917">
        <v>0.51235080926987497</v>
      </c>
      <c r="AI4917">
        <v>95.843652332868402</v>
      </c>
      <c r="AJ4917">
        <v>86.630704002959902</v>
      </c>
      <c r="AK4917">
        <v>0.51591896876793797</v>
      </c>
    </row>
    <row r="4918" spans="1:37" x14ac:dyDescent="0.2">
      <c r="A4918" t="str">
        <f>"20200111160314319"</f>
        <v>20200111160314319</v>
      </c>
      <c r="B4918" t="str">
        <f>"1578729794308074"</f>
        <v>1578729794308074</v>
      </c>
      <c r="C4918" t="s">
        <v>37</v>
      </c>
      <c r="D4918">
        <v>4.9755659999999997</v>
      </c>
      <c r="E4918">
        <v>0.43649830000000001</v>
      </c>
      <c r="F4918" t="s">
        <v>42</v>
      </c>
      <c r="G4918">
        <v>-300.72460000000001</v>
      </c>
      <c r="H4918">
        <v>0.99220039999999998</v>
      </c>
      <c r="I4918">
        <v>3.5321150000000001</v>
      </c>
      <c r="J4918">
        <v>-300.8372</v>
      </c>
      <c r="K4918">
        <v>1.050241</v>
      </c>
      <c r="L4918">
        <v>4.1388550000000004</v>
      </c>
      <c r="M4918">
        <v>0.2263609</v>
      </c>
      <c r="N4918">
        <v>0</v>
      </c>
      <c r="O4918">
        <v>-0.97404290000000004</v>
      </c>
      <c r="P4918">
        <v>1.8373440000000001E-2</v>
      </c>
      <c r="Q4918">
        <v>7.4556140000000002E-3</v>
      </c>
      <c r="R4918">
        <v>-0.99980349999999996</v>
      </c>
      <c r="S4918">
        <v>0.5837097</v>
      </c>
      <c r="T4918">
        <v>-0.19523379999999901</v>
      </c>
      <c r="U4918">
        <v>-2.9906919999999899</v>
      </c>
      <c r="V4918">
        <v>0.2084529</v>
      </c>
      <c r="W4918">
        <v>5.1453530000000001E-3</v>
      </c>
      <c r="X4918">
        <v>0.97801890000000002</v>
      </c>
      <c r="Y4918">
        <v>3.5958789999999997E-2</v>
      </c>
      <c r="Z4918">
        <v>6.2023450000000001E-2</v>
      </c>
      <c r="AA4918">
        <v>0.9974267</v>
      </c>
      <c r="AB4918">
        <v>22</v>
      </c>
      <c r="AC4918">
        <v>0.112599999999986</v>
      </c>
      <c r="AD4918">
        <v>-5.8040599999999803E-2</v>
      </c>
      <c r="AE4918">
        <v>-0.60673999999999995</v>
      </c>
      <c r="AF4918">
        <v>2.7422416085445499E-2</v>
      </c>
      <c r="AG4918">
        <v>-5.8040599999999803E-2</v>
      </c>
      <c r="AH4918">
        <v>0.61107375444743295</v>
      </c>
      <c r="AI4918">
        <v>95.420329999298005</v>
      </c>
      <c r="AJ4918">
        <v>87.430530666284199</v>
      </c>
      <c r="AK4918">
        <v>0.61443619158282403</v>
      </c>
    </row>
    <row r="4919" spans="1:37" x14ac:dyDescent="0.2">
      <c r="A4919" t="str">
        <f>"20200111160314357"</f>
        <v>20200111160314357</v>
      </c>
      <c r="B4919" t="str">
        <f>"1578729794348089"</f>
        <v>1578729794348089</v>
      </c>
      <c r="C4919" t="s">
        <v>37</v>
      </c>
      <c r="D4919">
        <v>4.955819</v>
      </c>
      <c r="E4919">
        <v>0.43651620000000002</v>
      </c>
      <c r="F4919" t="s">
        <v>42</v>
      </c>
      <c r="G4919">
        <v>-300.68259999999998</v>
      </c>
      <c r="H4919">
        <v>0.99637569999999998</v>
      </c>
      <c r="I4919">
        <v>3.3368479999999998</v>
      </c>
      <c r="J4919">
        <v>-300.7602</v>
      </c>
      <c r="K4919">
        <v>1.050138</v>
      </c>
      <c r="L4919">
        <v>3.7696529999999999</v>
      </c>
      <c r="M4919">
        <v>0.21911439999999999</v>
      </c>
      <c r="N4919">
        <v>0</v>
      </c>
      <c r="O4919">
        <v>-0.97569879999999998</v>
      </c>
      <c r="P4919">
        <v>1.9677409999999999E-2</v>
      </c>
      <c r="Q4919">
        <v>5.2672229999999997E-3</v>
      </c>
      <c r="R4919">
        <v>-0.99979280000000004</v>
      </c>
      <c r="S4919">
        <v>0.57778929999999995</v>
      </c>
      <c r="T4919">
        <v>-0.20055870000000001</v>
      </c>
      <c r="U4919">
        <v>-2.99145499999999</v>
      </c>
      <c r="V4919">
        <v>0.19989199999999999</v>
      </c>
      <c r="W4919">
        <v>3.0997400000000001E-3</v>
      </c>
      <c r="X4919">
        <v>0.97981299999999905</v>
      </c>
      <c r="Y4919">
        <v>3.050195E-2</v>
      </c>
      <c r="Z4919">
        <v>6.3872410000000004E-2</v>
      </c>
      <c r="AA4919">
        <v>0.99749179999999904</v>
      </c>
      <c r="AB4919">
        <v>22</v>
      </c>
      <c r="AC4919">
        <v>7.7600000000018099E-2</v>
      </c>
      <c r="AD4919">
        <v>-5.3762299999999999E-2</v>
      </c>
      <c r="AE4919">
        <v>-0.432804999999999</v>
      </c>
      <c r="AF4919">
        <v>1.8837967878983099E-2</v>
      </c>
      <c r="AG4919">
        <v>-5.3762299999999999E-2</v>
      </c>
      <c r="AH4919">
        <v>0.43282026643859201</v>
      </c>
      <c r="AI4919">
        <v>97.074036533756498</v>
      </c>
      <c r="AJ4919">
        <v>87.507844766095999</v>
      </c>
      <c r="AK4919">
        <v>0.43655313190386502</v>
      </c>
    </row>
    <row r="4920" spans="1:37" x14ac:dyDescent="0.2">
      <c r="A4920" t="str">
        <f>"20200111160314387"</f>
        <v>20200111160314387</v>
      </c>
      <c r="B4920" t="str">
        <f>"1578729794378345"</f>
        <v>1578729794378345</v>
      </c>
      <c r="C4920" t="s">
        <v>37</v>
      </c>
      <c r="D4920">
        <v>4.970491</v>
      </c>
      <c r="E4920">
        <v>0.43714059999999999</v>
      </c>
      <c r="F4920" t="s">
        <v>42</v>
      </c>
      <c r="G4920">
        <v>-300.60019999999997</v>
      </c>
      <c r="H4920">
        <v>0.99283739999999998</v>
      </c>
      <c r="I4920">
        <v>2.9460380000000002</v>
      </c>
      <c r="J4920">
        <v>-300.7013</v>
      </c>
      <c r="K4920">
        <v>1.0500479999999901</v>
      </c>
      <c r="L4920">
        <v>3.4779969999999998</v>
      </c>
      <c r="M4920">
        <v>0.21339749999999999</v>
      </c>
      <c r="N4920">
        <v>0</v>
      </c>
      <c r="O4920">
        <v>-0.97696519999999998</v>
      </c>
      <c r="P4920">
        <v>1.9260989999999999E-2</v>
      </c>
      <c r="Q4920">
        <v>3.9796069999999996E-3</v>
      </c>
      <c r="R4920">
        <v>-0.99980669999999905</v>
      </c>
      <c r="S4920">
        <v>0.5814819</v>
      </c>
      <c r="T4920">
        <v>-0.2077782</v>
      </c>
      <c r="U4920">
        <v>-2.990265</v>
      </c>
      <c r="V4920">
        <v>0.1945547</v>
      </c>
      <c r="W4920">
        <v>1.91766299999999E-3</v>
      </c>
      <c r="X4920">
        <v>0.98088980000000003</v>
      </c>
      <c r="Y4920">
        <v>2.341795E-2</v>
      </c>
      <c r="Z4920">
        <v>6.6314940000000003E-2</v>
      </c>
      <c r="AA4920">
        <v>0.99752389999999902</v>
      </c>
      <c r="AB4920">
        <v>22</v>
      </c>
      <c r="AC4920">
        <v>0.10110000000003</v>
      </c>
      <c r="AD4920">
        <v>-5.7210599999999799E-2</v>
      </c>
      <c r="AE4920">
        <v>-0.53195899999999996</v>
      </c>
      <c r="AF4920">
        <v>1.4584731191513199E-2</v>
      </c>
      <c r="AG4920">
        <v>-5.7210599999999799E-2</v>
      </c>
      <c r="AH4920">
        <v>0.53530437274303799</v>
      </c>
      <c r="AI4920">
        <v>96.098078523717803</v>
      </c>
      <c r="AJ4920">
        <v>88.439323675284498</v>
      </c>
      <c r="AK4920">
        <v>0.53855040489642803</v>
      </c>
    </row>
    <row r="4921" spans="1:37" x14ac:dyDescent="0.2">
      <c r="A4921" t="str">
        <f>"20200111160314411"</f>
        <v>20200111160314411</v>
      </c>
      <c r="B4921" t="str">
        <f>"1578729794408603"</f>
        <v>1578729794408603</v>
      </c>
      <c r="C4921" t="s">
        <v>37</v>
      </c>
      <c r="D4921">
        <v>5.0979609999999997</v>
      </c>
      <c r="E4921">
        <v>0.43759239999999999</v>
      </c>
      <c r="F4921" t="s">
        <v>42</v>
      </c>
      <c r="G4921">
        <v>-300.56020000000001</v>
      </c>
      <c r="H4921">
        <v>0.99706410000000001</v>
      </c>
      <c r="I4921">
        <v>2.7441939999999998</v>
      </c>
      <c r="J4921">
        <v>-300.65460000000002</v>
      </c>
      <c r="K4921">
        <v>1.0499700000000001</v>
      </c>
      <c r="L4921">
        <v>3.2406009999999998</v>
      </c>
      <c r="M4921">
        <v>0.20874870000000001</v>
      </c>
      <c r="N4921">
        <v>0</v>
      </c>
      <c r="O4921">
        <v>-0.97796909999999904</v>
      </c>
      <c r="P4921">
        <v>2.0746980000000002E-2</v>
      </c>
      <c r="Q4921">
        <v>4.3460540000000002E-3</v>
      </c>
      <c r="R4921">
        <v>-0.99977539999999998</v>
      </c>
      <c r="S4921">
        <v>0.57534790000000002</v>
      </c>
      <c r="T4921">
        <v>-0.21563260000000001</v>
      </c>
      <c r="U4921">
        <v>-2.9903559999999998</v>
      </c>
      <c r="V4921">
        <v>0.18843089999999901</v>
      </c>
      <c r="W4921">
        <v>2.3801949999999999E-3</v>
      </c>
      <c r="X4921">
        <v>0.98208359999999995</v>
      </c>
      <c r="Y4921">
        <v>2.0674990000000001E-2</v>
      </c>
      <c r="Z4921">
        <v>6.8928760000000006E-2</v>
      </c>
      <c r="AA4921">
        <v>0.9974073</v>
      </c>
      <c r="AB4921">
        <v>22</v>
      </c>
      <c r="AC4921">
        <v>9.4400000000007298E-2</v>
      </c>
      <c r="AD4921">
        <v>-5.2905899999999999E-2</v>
      </c>
      <c r="AE4921">
        <v>-0.49640699999999999</v>
      </c>
      <c r="AF4921">
        <v>1.11814600209945E-2</v>
      </c>
      <c r="AG4921">
        <v>-5.2905899999999999E-2</v>
      </c>
      <c r="AH4921">
        <v>0.49969881019032097</v>
      </c>
      <c r="AI4921">
        <v>96.042206955707897</v>
      </c>
      <c r="AJ4921">
        <v>88.718140684365594</v>
      </c>
      <c r="AK4921">
        <v>0.50261611614495005</v>
      </c>
    </row>
    <row r="4922" spans="1:37" x14ac:dyDescent="0.2">
      <c r="A4922" t="str">
        <f>"20200111160314446"</f>
        <v>20200111160314446</v>
      </c>
      <c r="B4922" t="str">
        <f>"1578729794437887"</f>
        <v>1578729794437887</v>
      </c>
      <c r="C4922" t="s">
        <v>37</v>
      </c>
      <c r="D4922">
        <v>5.1511430000000002</v>
      </c>
      <c r="E4922">
        <v>0.43772119999999998</v>
      </c>
      <c r="F4922" t="s">
        <v>42</v>
      </c>
      <c r="G4922">
        <v>-300.4821</v>
      </c>
      <c r="H4922">
        <v>0.98475409999999997</v>
      </c>
      <c r="I4922">
        <v>2.3460969999999999</v>
      </c>
      <c r="J4922">
        <v>-300.58420000000001</v>
      </c>
      <c r="K4922">
        <v>1.0498879999999999</v>
      </c>
      <c r="L4922">
        <v>2.8707889999999998</v>
      </c>
      <c r="M4922">
        <v>0.20152719999999999</v>
      </c>
      <c r="N4922">
        <v>0</v>
      </c>
      <c r="O4922">
        <v>-0.97948279999999999</v>
      </c>
      <c r="P4922">
        <v>2.565038E-2</v>
      </c>
      <c r="Q4922">
        <v>5.9093669999999996E-3</v>
      </c>
      <c r="R4922">
        <v>-0.99965360000000003</v>
      </c>
      <c r="S4922">
        <v>0.57635499999999995</v>
      </c>
      <c r="T4922">
        <v>-0.21791830000000001</v>
      </c>
      <c r="U4922">
        <v>-2.989655</v>
      </c>
      <c r="V4922">
        <v>0.1763644</v>
      </c>
      <c r="W4922">
        <v>4.1134880000000002E-3</v>
      </c>
      <c r="X4922">
        <v>0.98431630000000003</v>
      </c>
      <c r="Y4922">
        <v>1.294171E-2</v>
      </c>
      <c r="Z4922">
        <v>6.9835990000000001E-2</v>
      </c>
      <c r="AA4922">
        <v>0.99747459999999899</v>
      </c>
      <c r="AB4922">
        <v>23</v>
      </c>
      <c r="AC4922">
        <v>0.102100000000007</v>
      </c>
      <c r="AD4922">
        <v>-6.5133899999999897E-2</v>
      </c>
      <c r="AE4922">
        <v>-0.52469199999999905</v>
      </c>
      <c r="AF4922">
        <v>5.6506167677038699E-3</v>
      </c>
      <c r="AG4922">
        <v>-6.5133899999999897E-2</v>
      </c>
      <c r="AH4922">
        <v>0.52668266117834095</v>
      </c>
      <c r="AI4922">
        <v>97.049470237654205</v>
      </c>
      <c r="AJ4922">
        <v>89.385314734708004</v>
      </c>
      <c r="AK4922">
        <v>0.53072495700217903</v>
      </c>
    </row>
    <row r="4923" spans="1:37" x14ac:dyDescent="0.2">
      <c r="A4923" t="str">
        <f>"20200111160314493"</f>
        <v>20200111160314493</v>
      </c>
      <c r="B4923" t="str">
        <f>"1578729794487658"</f>
        <v>1578729794487658</v>
      </c>
      <c r="C4923" t="s">
        <v>37</v>
      </c>
      <c r="D4923">
        <v>5.2509930000000002</v>
      </c>
      <c r="E4923">
        <v>0.4384497</v>
      </c>
      <c r="F4923" t="s">
        <v>42</v>
      </c>
      <c r="G4923">
        <v>-300.43869999999998</v>
      </c>
      <c r="H4923">
        <v>0.99692639999999999</v>
      </c>
      <c r="I4923">
        <v>2.1339739999999998</v>
      </c>
      <c r="J4923">
        <v>-300.49880000000002</v>
      </c>
      <c r="K4923">
        <v>1.0498160000000001</v>
      </c>
      <c r="L4923">
        <v>2.4014279999999899</v>
      </c>
      <c r="M4923">
        <v>0.19245609999999999</v>
      </c>
      <c r="N4923">
        <v>0</v>
      </c>
      <c r="O4923">
        <v>-0.98130569999999895</v>
      </c>
      <c r="P4923">
        <v>2.9362530000000001E-2</v>
      </c>
      <c r="Q4923">
        <v>7.1014839999999999E-3</v>
      </c>
      <c r="R4923">
        <v>-0.99954409999999905</v>
      </c>
      <c r="S4923">
        <v>0.59005739999999995</v>
      </c>
      <c r="T4923">
        <v>-0.21453609999999901</v>
      </c>
      <c r="U4923">
        <v>-2.9871829999999999</v>
      </c>
      <c r="V4923">
        <v>0.1635962</v>
      </c>
      <c r="W4923">
        <v>5.5101269999999897E-3</v>
      </c>
      <c r="X4923">
        <v>0.98651200000000006</v>
      </c>
      <c r="Y4923">
        <v>-8.843837E-4</v>
      </c>
      <c r="Z4923">
        <v>6.8978490000000003E-2</v>
      </c>
      <c r="AA4923">
        <v>0.9976178</v>
      </c>
      <c r="AB4923">
        <v>23</v>
      </c>
      <c r="AC4923">
        <v>6.0100000000034001E-2</v>
      </c>
      <c r="AD4923">
        <v>-5.2889599999999898E-2</v>
      </c>
      <c r="AE4923">
        <v>-0.26745399999999903</v>
      </c>
      <c r="AF4923">
        <v>-7.2340230325919699E-3</v>
      </c>
      <c r="AG4923">
        <v>-5.2889599999999898E-2</v>
      </c>
      <c r="AH4923">
        <v>0.26418608122568499</v>
      </c>
      <c r="AI4923">
        <v>101.31672364516299</v>
      </c>
      <c r="AJ4923">
        <v>91.568498395246806</v>
      </c>
      <c r="AK4923">
        <v>0.26952537244344899</v>
      </c>
    </row>
    <row r="4924" spans="1:37" x14ac:dyDescent="0.2">
      <c r="A4924" t="str">
        <f>"20200111160314522"</f>
        <v>20200111160314522</v>
      </c>
      <c r="B4924" t="str">
        <f>"1578729794517913"</f>
        <v>1578729794517913</v>
      </c>
      <c r="C4924" t="s">
        <v>37</v>
      </c>
      <c r="D4924">
        <v>5.0113139999999996</v>
      </c>
      <c r="E4924">
        <v>0.43895689999999998</v>
      </c>
      <c r="F4924" t="s">
        <v>42</v>
      </c>
      <c r="G4924">
        <v>-300.322</v>
      </c>
      <c r="H4924">
        <v>0.98650939999999998</v>
      </c>
      <c r="I4924">
        <v>1.514378</v>
      </c>
      <c r="J4924">
        <v>-300.4434</v>
      </c>
      <c r="K4924">
        <v>1.0497969999999901</v>
      </c>
      <c r="L4924">
        <v>2.0835270000000001</v>
      </c>
      <c r="M4924">
        <v>0.1864246</v>
      </c>
      <c r="N4924">
        <v>0</v>
      </c>
      <c r="O4924">
        <v>-0.98246929999999999</v>
      </c>
      <c r="P4924">
        <v>2.9683009999999999E-2</v>
      </c>
      <c r="Q4924">
        <v>8.098292E-3</v>
      </c>
      <c r="R4924">
        <v>-0.99952680000000005</v>
      </c>
      <c r="S4924">
        <v>0.59515379999999996</v>
      </c>
      <c r="T4924">
        <v>-0.2129635</v>
      </c>
      <c r="U4924">
        <v>-2.9854129999999999</v>
      </c>
      <c r="V4924">
        <v>0.15722320000000001</v>
      </c>
      <c r="W4924">
        <v>6.6239979999999999E-3</v>
      </c>
      <c r="X4924">
        <v>0.98754089999999894</v>
      </c>
      <c r="Y4924">
        <v>-8.7833330000000008E-3</v>
      </c>
      <c r="Z4924">
        <v>6.8624240000000003E-2</v>
      </c>
      <c r="AA4924">
        <v>0.99760389999999999</v>
      </c>
      <c r="AB4924">
        <v>24</v>
      </c>
      <c r="AC4924">
        <v>0.121399999999994</v>
      </c>
      <c r="AD4924">
        <v>-6.3287599999999694E-2</v>
      </c>
      <c r="AE4924">
        <v>-0.56914900000000002</v>
      </c>
      <c r="AF4924">
        <v>-1.30144800496637E-2</v>
      </c>
      <c r="AG4924">
        <v>-6.3287599999999694E-2</v>
      </c>
      <c r="AH4924">
        <v>0.57500298036226705</v>
      </c>
      <c r="AI4924">
        <v>96.279372657812303</v>
      </c>
      <c r="AJ4924">
        <v>91.296597601734106</v>
      </c>
      <c r="AK4924">
        <v>0.57862174555594803</v>
      </c>
    </row>
    <row r="4925" spans="1:37" x14ac:dyDescent="0.2">
      <c r="A4925" t="str">
        <f>"20200111160314558"</f>
        <v>20200111160314558</v>
      </c>
      <c r="B4925" t="str">
        <f>"1578729794548169"</f>
        <v>1578729794548169</v>
      </c>
      <c r="C4925" t="s">
        <v>37</v>
      </c>
      <c r="D4925">
        <v>4.9357059999999997</v>
      </c>
      <c r="E4925">
        <v>0.43948109999999901</v>
      </c>
      <c r="F4925" t="s">
        <v>42</v>
      </c>
      <c r="G4925">
        <v>-300.28719999999998</v>
      </c>
      <c r="H4925">
        <v>0.99393359999999997</v>
      </c>
      <c r="I4925">
        <v>1.2951010000000001</v>
      </c>
      <c r="J4925">
        <v>-300.37740000000002</v>
      </c>
      <c r="K4925">
        <v>1.0498179999999999</v>
      </c>
      <c r="L4925">
        <v>1.6905520000000001</v>
      </c>
      <c r="M4925">
        <v>0.1791876</v>
      </c>
      <c r="N4925">
        <v>0</v>
      </c>
      <c r="O4925">
        <v>-0.98381489999999905</v>
      </c>
      <c r="P4925">
        <v>3.5882480000000001E-2</v>
      </c>
      <c r="Q4925">
        <v>9.4787959999999994E-3</v>
      </c>
      <c r="R4925">
        <v>-0.99931109999999901</v>
      </c>
      <c r="S4925">
        <v>0.59243769999999996</v>
      </c>
      <c r="T4925">
        <v>-0.21122750000000001</v>
      </c>
      <c r="U4925">
        <v>-2.985535</v>
      </c>
      <c r="V4925">
        <v>0.14382200000000001</v>
      </c>
      <c r="W4925">
        <v>8.1817820000000003E-3</v>
      </c>
      <c r="X4925">
        <v>0.9895697</v>
      </c>
      <c r="Y4925">
        <v>-1.5269339999999999E-2</v>
      </c>
      <c r="Z4925">
        <v>6.8207610000000002E-2</v>
      </c>
      <c r="AA4925">
        <v>0.9975543</v>
      </c>
      <c r="AB4925">
        <v>24</v>
      </c>
      <c r="AC4925">
        <v>9.0200000000038402E-2</v>
      </c>
      <c r="AD4925">
        <v>-5.5884400000000098E-2</v>
      </c>
      <c r="AE4925">
        <v>-0.395451</v>
      </c>
      <c r="AF4925">
        <v>-1.7547089212758001E-2</v>
      </c>
      <c r="AG4925">
        <v>-5.5884400000000098E-2</v>
      </c>
      <c r="AH4925">
        <v>0.39766438191221698</v>
      </c>
      <c r="AI4925">
        <v>97.991803648151006</v>
      </c>
      <c r="AJ4925">
        <v>92.526558719990206</v>
      </c>
      <c r="AK4925">
        <v>0.40195513076066902</v>
      </c>
    </row>
    <row r="4926" spans="1:37" x14ac:dyDescent="0.2">
      <c r="A4926" t="str">
        <f>"20200111160314605"</f>
        <v>20200111160314605</v>
      </c>
      <c r="B4926" t="str">
        <f>"1578729794598521"</f>
        <v>1578729794598521</v>
      </c>
      <c r="C4926" t="s">
        <v>37</v>
      </c>
      <c r="D4926">
        <v>4.9543229999999996</v>
      </c>
      <c r="E4926">
        <v>0.44012180000000001</v>
      </c>
      <c r="F4926" t="s">
        <v>38</v>
      </c>
      <c r="G4926">
        <v>-297.337999999999</v>
      </c>
      <c r="H4926" s="1">
        <v>-3.5222029999999998E-6</v>
      </c>
      <c r="I4926">
        <v>-13.2575799999999</v>
      </c>
      <c r="J4926">
        <v>-300.29640000000001</v>
      </c>
      <c r="K4926">
        <v>1.049933</v>
      </c>
      <c r="L4926">
        <v>1.186768</v>
      </c>
      <c r="M4926">
        <v>0.17050950000000001</v>
      </c>
      <c r="N4926">
        <v>0</v>
      </c>
      <c r="O4926">
        <v>-0.98535599999999901</v>
      </c>
      <c r="P4926">
        <v>4.1549139999999998E-2</v>
      </c>
      <c r="Q4926">
        <v>8.1864969999999992E-3</v>
      </c>
      <c r="R4926">
        <v>-0.99910290000000002</v>
      </c>
      <c r="S4926">
        <v>0.60638429999999999</v>
      </c>
      <c r="T4926">
        <v>-0.20944769999999999</v>
      </c>
      <c r="U4926">
        <v>-2.9822690000000001</v>
      </c>
      <c r="V4926">
        <v>0.12946489999999999</v>
      </c>
      <c r="W4926">
        <v>7.0726909999999999E-3</v>
      </c>
      <c r="X4926">
        <v>0.99155879999999996</v>
      </c>
      <c r="Y4926">
        <v>-2.8778789999999999E-2</v>
      </c>
      <c r="Z4926">
        <v>6.7825849999999993E-2</v>
      </c>
      <c r="AA4926">
        <v>0.997282</v>
      </c>
      <c r="AB4926">
        <v>24</v>
      </c>
      <c r="AC4926">
        <v>2.9584000000000401</v>
      </c>
      <c r="AD4926">
        <v>-1.0499365222029999</v>
      </c>
      <c r="AE4926">
        <v>-14.444348</v>
      </c>
      <c r="AF4926">
        <v>-0.44989727150537101</v>
      </c>
      <c r="AG4926">
        <v>-1.0499365222029999</v>
      </c>
      <c r="AH4926">
        <v>14.6629068062181</v>
      </c>
      <c r="AI4926">
        <v>94.093750402945304</v>
      </c>
      <c r="AJ4926">
        <v>91.757436684134305</v>
      </c>
      <c r="AK4926">
        <v>14.7073318539905</v>
      </c>
    </row>
    <row r="4927" spans="1:37" x14ac:dyDescent="0.2">
      <c r="A4927" t="str">
        <f>"20200111160314636"</f>
        <v>20200111160314636</v>
      </c>
      <c r="B4927" t="str">
        <f>"1578729794627794"</f>
        <v>1578729794627794</v>
      </c>
      <c r="C4927" t="s">
        <v>37</v>
      </c>
      <c r="D4927">
        <v>4.9089879999999999</v>
      </c>
      <c r="E4927">
        <v>0.44052809999999998</v>
      </c>
      <c r="F4927" t="s">
        <v>38</v>
      </c>
      <c r="G4927">
        <v>-297.27050000000003</v>
      </c>
      <c r="H4927" s="1">
        <v>-3.476581E-6</v>
      </c>
      <c r="I4927">
        <v>-13.391829999999899</v>
      </c>
      <c r="J4927">
        <v>-300.24340000000001</v>
      </c>
      <c r="K4927">
        <v>1.0504519999999999</v>
      </c>
      <c r="L4927">
        <v>0.84759519999999899</v>
      </c>
      <c r="M4927">
        <v>0.1633609</v>
      </c>
      <c r="N4927">
        <v>0</v>
      </c>
      <c r="O4927">
        <v>-0.9865661</v>
      </c>
      <c r="P4927">
        <v>4.0413709999999999E-2</v>
      </c>
      <c r="Q4927">
        <v>7.5859550000000001E-3</v>
      </c>
      <c r="R4927">
        <v>-0.9991544</v>
      </c>
      <c r="S4927">
        <v>0.61825559999999902</v>
      </c>
      <c r="T4927">
        <v>-0.214525299999999</v>
      </c>
      <c r="U4927">
        <v>-2.978729</v>
      </c>
      <c r="V4927">
        <v>0.123401</v>
      </c>
      <c r="W4927">
        <v>7.6806409999999898E-3</v>
      </c>
      <c r="X4927">
        <v>0.99232719999999897</v>
      </c>
      <c r="Y4927">
        <v>-4.0043759999999998E-2</v>
      </c>
      <c r="Z4927">
        <v>6.9629319999999995E-2</v>
      </c>
      <c r="AA4927">
        <v>0.99676889999999996</v>
      </c>
      <c r="AB4927">
        <v>25</v>
      </c>
      <c r="AC4927">
        <v>2.9728999999999801</v>
      </c>
      <c r="AD4927">
        <v>-1.0504554765809999</v>
      </c>
      <c r="AE4927">
        <v>-14.2394251999999</v>
      </c>
      <c r="AF4927">
        <v>-0.60364927436216897</v>
      </c>
      <c r="AG4927">
        <v>-1.0504554765809999</v>
      </c>
      <c r="AH4927">
        <v>14.4583955668523</v>
      </c>
      <c r="AI4927">
        <v>94.151842885304802</v>
      </c>
      <c r="AJ4927">
        <v>92.3907549285274</v>
      </c>
      <c r="AK4927">
        <v>14.509067906736499</v>
      </c>
    </row>
    <row r="4928" spans="1:37" x14ac:dyDescent="0.2">
      <c r="A4928" t="str">
        <f>"20200111160314671"</f>
        <v>20200111160314671</v>
      </c>
      <c r="B4928" t="str">
        <f>"1578729794667811"</f>
        <v>1578729794667811</v>
      </c>
      <c r="C4928" t="s">
        <v>37</v>
      </c>
      <c r="D4928">
        <v>6.1021179999999999</v>
      </c>
      <c r="E4928">
        <v>0.45987410000000001</v>
      </c>
      <c r="F4928" t="s">
        <v>38</v>
      </c>
      <c r="G4928">
        <v>-297.25009999999997</v>
      </c>
      <c r="H4928" s="1">
        <v>-3.3288670000000002E-6</v>
      </c>
      <c r="I4928">
        <v>-13.7446</v>
      </c>
      <c r="J4928">
        <v>-300.18560000000002</v>
      </c>
      <c r="K4928">
        <v>1.050934</v>
      </c>
      <c r="L4928">
        <v>0.46511839999999999</v>
      </c>
      <c r="M4928">
        <v>0.15865109999999999</v>
      </c>
      <c r="N4928">
        <v>0</v>
      </c>
      <c r="O4928">
        <v>-0.98733199999999999</v>
      </c>
      <c r="P4928">
        <v>4.7603850000000003E-2</v>
      </c>
      <c r="Q4928">
        <v>4.3994209999999997E-3</v>
      </c>
      <c r="R4928">
        <v>-0.99885659999999898</v>
      </c>
      <c r="S4928">
        <v>0.61117549999999998</v>
      </c>
      <c r="T4928">
        <v>-0.2144817</v>
      </c>
      <c r="U4928">
        <v>-2.9794309999999999</v>
      </c>
      <c r="V4928">
        <v>0.1115154</v>
      </c>
      <c r="W4928">
        <v>5.916386E-3</v>
      </c>
      <c r="X4928">
        <v>0.99374509999999905</v>
      </c>
      <c r="Y4928">
        <v>-4.2492199999999897E-2</v>
      </c>
      <c r="Z4928">
        <v>6.9693140000000001E-2</v>
      </c>
      <c r="AA4928">
        <v>0.99666309999999902</v>
      </c>
      <c r="AB4928">
        <v>25</v>
      </c>
      <c r="AC4928">
        <v>2.9355000000000402</v>
      </c>
      <c r="AD4928">
        <v>-1.0509373288670001</v>
      </c>
      <c r="AE4928">
        <v>-14.2097184</v>
      </c>
      <c r="AF4928">
        <v>-0.64056690385142601</v>
      </c>
      <c r="AG4928">
        <v>-1.0509373288670001</v>
      </c>
      <c r="AH4928">
        <v>14.4198215762584</v>
      </c>
      <c r="AI4928">
        <v>94.164336327315098</v>
      </c>
      <c r="AJ4928">
        <v>92.543558970849901</v>
      </c>
      <c r="AK4928">
        <v>14.472251017676699</v>
      </c>
    </row>
    <row r="4929" spans="1:37" x14ac:dyDescent="0.2">
      <c r="A4929" t="str">
        <f>"20200111160314716"</f>
        <v>20200111160314716</v>
      </c>
      <c r="B4929" t="str">
        <f>"1578729794708385"</f>
        <v>1578729794708385</v>
      </c>
      <c r="C4929" t="s">
        <v>37</v>
      </c>
      <c r="D4929">
        <v>4.9308579999999997</v>
      </c>
      <c r="E4929">
        <v>0.4613852</v>
      </c>
      <c r="F4929" t="s">
        <v>42</v>
      </c>
      <c r="G4929">
        <v>-300.03960000000001</v>
      </c>
      <c r="H4929">
        <v>0.98202610000000001</v>
      </c>
      <c r="I4929">
        <v>-0.44645990000000002</v>
      </c>
      <c r="J4929">
        <v>-300.11369999999999</v>
      </c>
      <c r="K4929">
        <v>1.0524799999999901</v>
      </c>
      <c r="L4929">
        <v>-3.668213E-2</v>
      </c>
      <c r="M4929">
        <v>0.15443560000000001</v>
      </c>
      <c r="N4929">
        <v>0</v>
      </c>
      <c r="O4929">
        <v>-0.98800270000000001</v>
      </c>
      <c r="P4929">
        <v>5.495274E-2</v>
      </c>
      <c r="Q4929">
        <v>1.425391E-3</v>
      </c>
      <c r="R4929">
        <v>-0.99848780000000004</v>
      </c>
      <c r="S4929">
        <v>0.477356</v>
      </c>
      <c r="T4929">
        <v>-0.2253906</v>
      </c>
      <c r="U4929">
        <v>-2.9816889999999998</v>
      </c>
      <c r="V4929">
        <v>9.9913740000000001E-2</v>
      </c>
      <c r="W4929">
        <v>3.0309329999999999E-4</v>
      </c>
      <c r="X4929">
        <v>0.99499609999999905</v>
      </c>
      <c r="Y4929">
        <v>-3.2589509999999999E-3</v>
      </c>
      <c r="Z4929">
        <v>7.3562219999999998E-2</v>
      </c>
      <c r="AA4929">
        <v>0.99728530000000004</v>
      </c>
      <c r="AB4929">
        <v>24</v>
      </c>
      <c r="AC4929">
        <v>7.4099999999987107E-2</v>
      </c>
      <c r="AD4929">
        <v>-7.0453899999999806E-2</v>
      </c>
      <c r="AE4929">
        <v>-0.40977776999999999</v>
      </c>
      <c r="AF4929">
        <v>-9.6504846086593096E-3</v>
      </c>
      <c r="AG4929">
        <v>-7.0453899999999806E-2</v>
      </c>
      <c r="AH4929">
        <v>0.40472032970674698</v>
      </c>
      <c r="AI4929">
        <v>99.872366214097994</v>
      </c>
      <c r="AJ4929">
        <v>91.365948876144998</v>
      </c>
      <c r="AK4929">
        <v>0.41092022237452602</v>
      </c>
    </row>
    <row r="4930" spans="1:37" x14ac:dyDescent="0.2">
      <c r="A4930" t="str">
        <f>"20200111160314761"</f>
        <v>20200111160314761</v>
      </c>
      <c r="B4930" t="str">
        <f>"1578729794758161"</f>
        <v>1578729794758161</v>
      </c>
      <c r="C4930" t="s">
        <v>37</v>
      </c>
      <c r="D4930">
        <v>4.8885160000000001</v>
      </c>
      <c r="E4930">
        <v>0.4625108</v>
      </c>
      <c r="F4930" t="s">
        <v>42</v>
      </c>
      <c r="G4930">
        <v>-299.97280000000001</v>
      </c>
      <c r="H4930">
        <v>0.989216599999999</v>
      </c>
      <c r="I4930">
        <v>-0.89897019999999905</v>
      </c>
      <c r="J4930">
        <v>-300.04239999999999</v>
      </c>
      <c r="K4930">
        <v>1.056022</v>
      </c>
      <c r="L4930">
        <v>-0.54516600000000004</v>
      </c>
      <c r="M4930">
        <v>0.14838760000000001</v>
      </c>
      <c r="N4930">
        <v>0</v>
      </c>
      <c r="O4930">
        <v>-0.98892190000000002</v>
      </c>
      <c r="P4930">
        <v>6.1457770000000002E-2</v>
      </c>
      <c r="Q4930">
        <v>-2.8568389999999999E-3</v>
      </c>
      <c r="R4930">
        <v>-0.99810580000000004</v>
      </c>
      <c r="S4930">
        <v>0.48730469999999998</v>
      </c>
      <c r="T4930">
        <v>-0.21838649999999901</v>
      </c>
      <c r="U4930">
        <v>-2.978027</v>
      </c>
      <c r="V4930">
        <v>8.7292309999999998E-2</v>
      </c>
      <c r="W4930">
        <v>-7.1394099999999997E-3</v>
      </c>
      <c r="X4930">
        <v>0.99615719999999996</v>
      </c>
      <c r="Y4930">
        <v>-1.283946E-2</v>
      </c>
      <c r="Z4930">
        <v>7.1453149999999993E-2</v>
      </c>
      <c r="AA4930">
        <v>0.99736130000000001</v>
      </c>
      <c r="AB4930">
        <v>25</v>
      </c>
      <c r="AC4930">
        <v>6.95999999999799E-2</v>
      </c>
      <c r="AD4930">
        <v>-6.6805400000000098E-2</v>
      </c>
      <c r="AE4930">
        <v>-0.35380419999999901</v>
      </c>
      <c r="AF4930">
        <v>-1.57870406492659E-2</v>
      </c>
      <c r="AG4930">
        <v>-6.6805400000000098E-2</v>
      </c>
      <c r="AH4930">
        <v>0.34826114145018999</v>
      </c>
      <c r="AI4930">
        <v>100.848012156718</v>
      </c>
      <c r="AJ4930">
        <v>92.595500562423794</v>
      </c>
      <c r="AK4930">
        <v>0.35496199059309302</v>
      </c>
    </row>
    <row r="4931" spans="1:37" x14ac:dyDescent="0.2">
      <c r="A4931" t="str">
        <f>"20200111160314806"</f>
        <v>20200111160314806</v>
      </c>
      <c r="B4931" t="str">
        <f>"1578729794798177"</f>
        <v>1578729794798177</v>
      </c>
      <c r="C4931" t="s">
        <v>37</v>
      </c>
      <c r="D4931">
        <v>4.9265639999999999</v>
      </c>
      <c r="E4931">
        <v>0.4645377</v>
      </c>
      <c r="F4931" t="s">
        <v>42</v>
      </c>
      <c r="G4931">
        <v>-299.90620000000001</v>
      </c>
      <c r="H4931">
        <v>0.992382599999999</v>
      </c>
      <c r="I4931">
        <v>-1.358471</v>
      </c>
      <c r="J4931">
        <v>-299.96899999999999</v>
      </c>
      <c r="K4931">
        <v>1.05972</v>
      </c>
      <c r="L4931">
        <v>-1.0772709999999901</v>
      </c>
      <c r="M4931">
        <v>0.14217969999999999</v>
      </c>
      <c r="N4931">
        <v>0</v>
      </c>
      <c r="O4931">
        <v>-0.98981409999999903</v>
      </c>
      <c r="P4931">
        <v>6.8210839999999995E-2</v>
      </c>
      <c r="Q4931">
        <v>1.00717399999999E-4</v>
      </c>
      <c r="R4931">
        <v>-0.99767099999999898</v>
      </c>
      <c r="S4931">
        <v>0.498260499999999</v>
      </c>
      <c r="T4931">
        <v>-0.23271020000000001</v>
      </c>
      <c r="U4931">
        <v>-2.974335</v>
      </c>
      <c r="V4931">
        <v>7.4302960000000001E-2</v>
      </c>
      <c r="W4931">
        <v>-7.4946469999999897E-3</v>
      </c>
      <c r="X4931">
        <v>0.99720750000000002</v>
      </c>
      <c r="Y4931">
        <v>-2.282346E-2</v>
      </c>
      <c r="Z4931">
        <v>7.6281169999999995E-2</v>
      </c>
      <c r="AA4931">
        <v>0.99682510000000002</v>
      </c>
      <c r="AB4931">
        <v>26</v>
      </c>
      <c r="AC4931">
        <v>6.2799999999981496E-2</v>
      </c>
      <c r="AD4931">
        <v>-6.7337400000000103E-2</v>
      </c>
      <c r="AE4931">
        <v>-0.28120000000000001</v>
      </c>
      <c r="AF4931">
        <v>-2.1031273121678899E-2</v>
      </c>
      <c r="AG4931">
        <v>-6.7337400000000103E-2</v>
      </c>
      <c r="AH4931">
        <v>0.27239430060050801</v>
      </c>
      <c r="AI4931">
        <v>103.845840796156</v>
      </c>
      <c r="AJ4931">
        <v>94.414986963929294</v>
      </c>
      <c r="AK4931">
        <v>0.281381049268636</v>
      </c>
    </row>
    <row r="4932" spans="1:37" x14ac:dyDescent="0.2">
      <c r="A4932" t="str">
        <f>"20200111160314851"</f>
        <v>20200111160314851</v>
      </c>
      <c r="B4932" t="str">
        <f>"1578729794848583"</f>
        <v>1578729794848583</v>
      </c>
      <c r="C4932" t="s">
        <v>37</v>
      </c>
      <c r="D4932">
        <v>5.0743619999999998</v>
      </c>
      <c r="E4932">
        <v>0.466366</v>
      </c>
      <c r="F4932" t="s">
        <v>42</v>
      </c>
      <c r="G4932">
        <v>-299.84100000000001</v>
      </c>
      <c r="H4932">
        <v>1.00495</v>
      </c>
      <c r="I4932">
        <v>-1.8388249999999999</v>
      </c>
      <c r="J4932">
        <v>-299.89789999999999</v>
      </c>
      <c r="K4932">
        <v>1.0630010000000001</v>
      </c>
      <c r="L4932">
        <v>-1.6063540000000001</v>
      </c>
      <c r="M4932">
        <v>0.136522</v>
      </c>
      <c r="N4932">
        <v>0</v>
      </c>
      <c r="O4932">
        <v>-0.99058760000000001</v>
      </c>
      <c r="P4932">
        <v>7.3423950000000002E-2</v>
      </c>
      <c r="Q4932">
        <v>7.5475769999999998E-3</v>
      </c>
      <c r="R4932">
        <v>-0.99727239999999995</v>
      </c>
      <c r="S4932">
        <v>0.50076290000000001</v>
      </c>
      <c r="T4932">
        <v>-0.213646999999999</v>
      </c>
      <c r="U4932">
        <v>-2.9727779999999999</v>
      </c>
      <c r="V4932">
        <v>6.3410159999999993E-2</v>
      </c>
      <c r="W4932">
        <v>-2.5909639999999999E-3</v>
      </c>
      <c r="X4932">
        <v>0.99798419999999899</v>
      </c>
      <c r="Y4932">
        <v>-2.9508630000000001E-2</v>
      </c>
      <c r="Z4932">
        <v>7.017437E-2</v>
      </c>
      <c r="AA4932">
        <v>0.99709820000000005</v>
      </c>
      <c r="AB4932">
        <v>26</v>
      </c>
      <c r="AC4932">
        <v>5.6899999999984602E-2</v>
      </c>
      <c r="AD4932">
        <v>-5.8050999999999998E-2</v>
      </c>
      <c r="AE4932">
        <v>-0.23247099999999901</v>
      </c>
      <c r="AF4932">
        <v>-2.3259813614766301E-2</v>
      </c>
      <c r="AG4932">
        <v>-5.8050999999999998E-2</v>
      </c>
      <c r="AH4932">
        <v>0.224835151411173</v>
      </c>
      <c r="AI4932">
        <v>104.403579297885</v>
      </c>
      <c r="AJ4932">
        <v>95.906394472402496</v>
      </c>
      <c r="AK4932">
        <v>0.233370484081597</v>
      </c>
    </row>
    <row r="4933" spans="1:37" x14ac:dyDescent="0.2">
      <c r="A4933" t="str">
        <f>"20200111160314883"</f>
        <v>20200111160314883</v>
      </c>
      <c r="B4933" t="str">
        <f>"1578729794877862"</f>
        <v>1578729794877862</v>
      </c>
      <c r="C4933" t="s">
        <v>37</v>
      </c>
      <c r="D4933">
        <v>5.2188429999999997</v>
      </c>
      <c r="E4933">
        <v>0.46743249999999997</v>
      </c>
      <c r="F4933" t="s">
        <v>42</v>
      </c>
      <c r="G4933">
        <v>-299.73750000000001</v>
      </c>
      <c r="H4933">
        <v>1.0044169999999999</v>
      </c>
      <c r="I4933">
        <v>-2.5588630000000001</v>
      </c>
      <c r="J4933">
        <v>-299.84440000000001</v>
      </c>
      <c r="K4933">
        <v>1.0657650000000001</v>
      </c>
      <c r="L4933">
        <v>-2.008575</v>
      </c>
      <c r="M4933">
        <v>0.13232169999999999</v>
      </c>
      <c r="N4933">
        <v>0</v>
      </c>
      <c r="O4933">
        <v>-0.99115849999999905</v>
      </c>
      <c r="P4933">
        <v>7.3128929999999995E-2</v>
      </c>
      <c r="Q4933">
        <v>9.1338319999999997E-3</v>
      </c>
      <c r="R4933">
        <v>-0.99728050000000001</v>
      </c>
      <c r="S4933">
        <v>0.50103759999999997</v>
      </c>
      <c r="T4933">
        <v>-0.1827346</v>
      </c>
      <c r="U4933">
        <v>-2.9726870000000001</v>
      </c>
      <c r="V4933">
        <v>5.9478789999999997E-2</v>
      </c>
      <c r="W4933">
        <v>-9.0104869999999904E-4</v>
      </c>
      <c r="X4933">
        <v>0.99822909999999998</v>
      </c>
      <c r="Y4933">
        <v>-3.3950609999999999E-2</v>
      </c>
      <c r="Z4933">
        <v>6.0110139999999999E-2</v>
      </c>
      <c r="AA4933">
        <v>0.99761420000000001</v>
      </c>
      <c r="AB4933">
        <v>27</v>
      </c>
      <c r="AC4933">
        <v>0.106899999999996</v>
      </c>
      <c r="AD4933">
        <v>-6.1347999999999903E-2</v>
      </c>
      <c r="AE4933">
        <v>-0.550288</v>
      </c>
      <c r="AF4933">
        <v>-3.27491641619738E-2</v>
      </c>
      <c r="AG4933">
        <v>-6.1347999999999903E-2</v>
      </c>
      <c r="AH4933">
        <v>0.552971905189521</v>
      </c>
      <c r="AI4933">
        <v>96.319656432793394</v>
      </c>
      <c r="AJ4933">
        <v>93.389321740283904</v>
      </c>
      <c r="AK4933">
        <v>0.55732756327516797</v>
      </c>
    </row>
    <row r="4934" spans="1:37" x14ac:dyDescent="0.2">
      <c r="A4934" t="str">
        <f>"20200111160314917"</f>
        <v>20200111160314917</v>
      </c>
      <c r="B4934" t="str">
        <f>"1578729794908117"</f>
        <v>1578729794908117</v>
      </c>
      <c r="C4934" t="s">
        <v>37</v>
      </c>
      <c r="D4934">
        <v>5.2240650000000004</v>
      </c>
      <c r="E4934">
        <v>0.50983059999999902</v>
      </c>
      <c r="F4934" t="s">
        <v>38</v>
      </c>
      <c r="G4934">
        <v>-296.89210000000003</v>
      </c>
      <c r="H4934" s="1">
        <v>-9.9622809999999996E-7</v>
      </c>
      <c r="I4934">
        <v>-19.854420000000001</v>
      </c>
      <c r="J4934">
        <v>-299.79239999999999</v>
      </c>
      <c r="K4934">
        <v>1.068991</v>
      </c>
      <c r="L4934">
        <v>-2.4131469999999999</v>
      </c>
      <c r="M4934">
        <v>0.1302304</v>
      </c>
      <c r="N4934">
        <v>0</v>
      </c>
      <c r="O4934">
        <v>-0.99143979999999998</v>
      </c>
      <c r="P4934">
        <v>7.8022880000000003E-2</v>
      </c>
      <c r="Q4934">
        <v>9.1609469999999991E-3</v>
      </c>
      <c r="R4934">
        <v>-0.99690970000000001</v>
      </c>
      <c r="S4934">
        <v>0.49194339999999998</v>
      </c>
      <c r="T4934">
        <v>-0.1775928</v>
      </c>
      <c r="U4934">
        <v>-2.9737239999999998</v>
      </c>
      <c r="V4934">
        <v>5.2473470000000001E-2</v>
      </c>
      <c r="W4934">
        <v>-4.631956E-4</v>
      </c>
      <c r="X4934">
        <v>0.99862220000000002</v>
      </c>
      <c r="Y4934">
        <v>-3.3050620000000003E-2</v>
      </c>
      <c r="Z4934">
        <v>5.8444500000000003E-2</v>
      </c>
      <c r="AA4934">
        <v>0.99774339999999995</v>
      </c>
      <c r="AB4934">
        <v>27</v>
      </c>
      <c r="AC4934">
        <v>2.9002999999999499</v>
      </c>
      <c r="AD4934">
        <v>-1.06899199622809</v>
      </c>
      <c r="AE4934">
        <v>-17.441272999999999</v>
      </c>
      <c r="AF4934">
        <v>-0.601914924314916</v>
      </c>
      <c r="AG4934">
        <v>-1.06899199622809</v>
      </c>
      <c r="AH4934">
        <v>17.6060905849499</v>
      </c>
      <c r="AI4934">
        <v>93.472548206581905</v>
      </c>
      <c r="AJ4934">
        <v>91.958058644644694</v>
      </c>
      <c r="AK4934">
        <v>17.648781010301398</v>
      </c>
    </row>
    <row r="4935" spans="1:37" x14ac:dyDescent="0.2">
      <c r="A4935" t="str">
        <f>"20200111160314973"</f>
        <v>20200111160314973</v>
      </c>
      <c r="B4935" t="str">
        <f>"1578729794968629"</f>
        <v>1578729794968629</v>
      </c>
      <c r="C4935" t="s">
        <v>37</v>
      </c>
      <c r="D4935">
        <v>5.323137</v>
      </c>
      <c r="E4935">
        <v>0.50872170000000005</v>
      </c>
      <c r="F4935" t="s">
        <v>42</v>
      </c>
      <c r="G4935">
        <v>-299.74209999999999</v>
      </c>
      <c r="H4935">
        <v>0.98871529999999996</v>
      </c>
      <c r="I4935">
        <v>-3.2784550000000001</v>
      </c>
      <c r="J4935">
        <v>-299.7063</v>
      </c>
      <c r="K4935">
        <v>1.075925</v>
      </c>
      <c r="L4935">
        <v>-3.1098330000000001</v>
      </c>
      <c r="M4935">
        <v>0.1270442</v>
      </c>
      <c r="N4935">
        <v>0</v>
      </c>
      <c r="O4935">
        <v>-0.99185669999999904</v>
      </c>
      <c r="P4935">
        <v>7.5723540000000006E-2</v>
      </c>
      <c r="Q4935">
        <v>6.1136630000000001E-3</v>
      </c>
      <c r="R4935">
        <v>-0.99711070000000002</v>
      </c>
      <c r="S4935">
        <v>0.17486570000000001</v>
      </c>
      <c r="T4935">
        <v>-0.27806409999999998</v>
      </c>
      <c r="U4935">
        <v>-2.9981689999999999</v>
      </c>
      <c r="V4935">
        <v>5.1557489999999997E-2</v>
      </c>
      <c r="W4935">
        <v>-3.104412E-3</v>
      </c>
      <c r="X4935">
        <v>0.99866520000000003</v>
      </c>
      <c r="Y4935">
        <v>6.9323529999999994E-2</v>
      </c>
      <c r="Z4935">
        <v>9.1041689999999995E-2</v>
      </c>
      <c r="AA4935">
        <v>0.99343130000000002</v>
      </c>
      <c r="AB4935">
        <v>27</v>
      </c>
      <c r="AC4935">
        <v>-3.5799999999994697E-2</v>
      </c>
      <c r="AD4935">
        <v>-8.7209699999999904E-2</v>
      </c>
      <c r="AE4935">
        <v>-0.16862199999999999</v>
      </c>
      <c r="AF4935">
        <v>4.5330815426721398E-2</v>
      </c>
      <c r="AG4935">
        <v>-8.7209699999999904E-2</v>
      </c>
      <c r="AH4935">
        <v>0.129549194074218</v>
      </c>
      <c r="AI4935">
        <v>122.431973070897</v>
      </c>
      <c r="AJ4935">
        <v>70.714446544103097</v>
      </c>
      <c r="AK4935">
        <v>0.162614292996098</v>
      </c>
    </row>
    <row r="4936" spans="1:37" x14ac:dyDescent="0.2">
      <c r="A4936" t="str">
        <f>"20200111160315006"</f>
        <v>20200111160315006</v>
      </c>
      <c r="B4936" t="str">
        <f>"1578729794997909"</f>
        <v>1578729794997909</v>
      </c>
      <c r="C4936" t="s">
        <v>37</v>
      </c>
      <c r="D4936">
        <v>6.4089790000000004</v>
      </c>
      <c r="E4936">
        <v>0.5085769</v>
      </c>
      <c r="F4936" t="s">
        <v>42</v>
      </c>
      <c r="G4936">
        <v>-299.65170000000001</v>
      </c>
      <c r="H4936">
        <v>0.98869589999999996</v>
      </c>
      <c r="I4936">
        <v>-4.0328080000000002</v>
      </c>
      <c r="J4936">
        <v>-299.65410000000003</v>
      </c>
      <c r="K4936">
        <v>1.0804739999999999</v>
      </c>
      <c r="L4936">
        <v>-3.5414729999999999</v>
      </c>
      <c r="M4936">
        <v>0.1247028</v>
      </c>
      <c r="N4936">
        <v>0</v>
      </c>
      <c r="O4936">
        <v>-0.99216260000000001</v>
      </c>
      <c r="P4936">
        <v>7.2779930000000007E-2</v>
      </c>
      <c r="Q4936">
        <v>5.0229150000000002E-3</v>
      </c>
      <c r="R4936">
        <v>-0.99733539999999998</v>
      </c>
      <c r="S4936">
        <v>0.177612299999999</v>
      </c>
      <c r="T4936">
        <v>-0.28320009999999901</v>
      </c>
      <c r="U4936">
        <v>-2.9969480000000002</v>
      </c>
      <c r="V4936">
        <v>5.2150580000000002E-2</v>
      </c>
      <c r="W4936">
        <v>-3.0954629999999901E-3</v>
      </c>
      <c r="X4936">
        <v>0.99863449999999998</v>
      </c>
      <c r="Y4936">
        <v>6.6046220000000003E-2</v>
      </c>
      <c r="Z4936">
        <v>9.2795820000000001E-2</v>
      </c>
      <c r="AA4936">
        <v>0.99349219999999905</v>
      </c>
      <c r="AB4936">
        <v>28</v>
      </c>
      <c r="AC4936">
        <v>2.4000000000228201E-3</v>
      </c>
      <c r="AD4936">
        <v>-9.1778099999999793E-2</v>
      </c>
      <c r="AE4936">
        <v>-0.49133499999999902</v>
      </c>
      <c r="AF4936">
        <v>5.6906000514132797E-2</v>
      </c>
      <c r="AG4936">
        <v>-9.1778099999999793E-2</v>
      </c>
      <c r="AH4936">
        <v>0.47135283132953498</v>
      </c>
      <c r="AI4936">
        <v>100.94080898533601</v>
      </c>
      <c r="AJ4936">
        <v>83.1160491153924</v>
      </c>
      <c r="AK4936">
        <v>0.483564891339822</v>
      </c>
    </row>
    <row r="4937" spans="1:37" x14ac:dyDescent="0.2">
      <c r="A4937" t="str">
        <f>"20200111160315039"</f>
        <v>20200111160315039</v>
      </c>
      <c r="B4937" t="str">
        <f>"1578729795027963"</f>
        <v>1578729795027963</v>
      </c>
      <c r="C4937" t="s">
        <v>37</v>
      </c>
      <c r="D4937">
        <v>5.3384150000000004</v>
      </c>
      <c r="E4937">
        <v>0.50834179999999995</v>
      </c>
      <c r="F4937" t="s">
        <v>42</v>
      </c>
      <c r="G4937">
        <v>-299.61149999999998</v>
      </c>
      <c r="H4937">
        <v>1.0066170000000001</v>
      </c>
      <c r="I4937">
        <v>-4.295401</v>
      </c>
      <c r="J4937">
        <v>-299.60340000000002</v>
      </c>
      <c r="K4937">
        <v>1.0844240000000001</v>
      </c>
      <c r="L4937">
        <v>-3.9665219999999999</v>
      </c>
      <c r="M4937">
        <v>0.1225902</v>
      </c>
      <c r="N4937">
        <v>0</v>
      </c>
      <c r="O4937">
        <v>-0.99243479999999995</v>
      </c>
      <c r="P4937">
        <v>6.91465E-2</v>
      </c>
      <c r="Q4937">
        <v>2.4678959999999998E-3</v>
      </c>
      <c r="R4937">
        <v>-0.99760360000000003</v>
      </c>
      <c r="S4937">
        <v>0.17053219999999999</v>
      </c>
      <c r="T4937">
        <v>-0.29345009999999999</v>
      </c>
      <c r="U4937">
        <v>-2.9970400000000001</v>
      </c>
      <c r="V4937">
        <v>5.3659699999999998E-2</v>
      </c>
      <c r="W4937">
        <v>-4.3942240000000004E-3</v>
      </c>
      <c r="X4937">
        <v>0.99854959999999904</v>
      </c>
      <c r="Y4937">
        <v>6.6279840000000007E-2</v>
      </c>
      <c r="Z4937">
        <v>9.61643999999999E-2</v>
      </c>
      <c r="AA4937">
        <v>0.99315629999999999</v>
      </c>
      <c r="AB4937">
        <v>29</v>
      </c>
      <c r="AC4937">
        <v>-8.0999999999562498E-3</v>
      </c>
      <c r="AD4937">
        <v>-7.7806999999999904E-2</v>
      </c>
      <c r="AE4937">
        <v>-0.32887899999999898</v>
      </c>
      <c r="AF4937">
        <v>4.5795471556610602E-2</v>
      </c>
      <c r="AG4937">
        <v>-7.7806999999999904E-2</v>
      </c>
      <c r="AH4937">
        <v>0.30816722464307</v>
      </c>
      <c r="AI4937">
        <v>104.022249327483</v>
      </c>
      <c r="AJ4937">
        <v>81.547368014686299</v>
      </c>
      <c r="AK4937">
        <v>0.32112021550862402</v>
      </c>
    </row>
    <row r="4938" spans="1:37" x14ac:dyDescent="0.2">
      <c r="A4938" t="str">
        <f>"20200111160315073"</f>
        <v>20200111160315073</v>
      </c>
      <c r="B4938" t="str">
        <f>"1578729795067978"</f>
        <v>1578729795067978</v>
      </c>
      <c r="C4938" t="s">
        <v>37</v>
      </c>
      <c r="D4938">
        <v>6.8397189999999997</v>
      </c>
      <c r="E4938">
        <v>0.5087275</v>
      </c>
      <c r="F4938" t="s">
        <v>42</v>
      </c>
      <c r="G4938">
        <v>-299.5582</v>
      </c>
      <c r="H4938">
        <v>1.0002169999999999</v>
      </c>
      <c r="I4938">
        <v>-4.8091819999999998</v>
      </c>
      <c r="J4938">
        <v>-299.5505</v>
      </c>
      <c r="K4938">
        <v>1.0879700000000001</v>
      </c>
      <c r="L4938">
        <v>-4.4148860000000001</v>
      </c>
      <c r="M4938">
        <v>0.1204911</v>
      </c>
      <c r="N4938">
        <v>0</v>
      </c>
      <c r="O4938">
        <v>-0.99270029999999998</v>
      </c>
      <c r="P4938">
        <v>6.738073E-2</v>
      </c>
      <c r="Q4938">
        <v>-2.6413779999999898E-3</v>
      </c>
      <c r="R4938">
        <v>-0.9977241</v>
      </c>
      <c r="S4938">
        <v>0.16171259999999901</v>
      </c>
      <c r="T4938">
        <v>-0.29934470000000002</v>
      </c>
      <c r="U4938">
        <v>-2.9967349999999899</v>
      </c>
      <c r="V4938">
        <v>5.330476E-2</v>
      </c>
      <c r="W4938">
        <v>-8.1194490000000008E-3</v>
      </c>
      <c r="X4938">
        <v>0.99854529999999997</v>
      </c>
      <c r="Y4938">
        <v>6.708712E-2</v>
      </c>
      <c r="Z4938">
        <v>9.8130469999999997E-2</v>
      </c>
      <c r="AA4938">
        <v>0.99290970000000001</v>
      </c>
      <c r="AB4938">
        <v>29</v>
      </c>
      <c r="AC4938">
        <v>-7.6999999999998103E-3</v>
      </c>
      <c r="AD4938">
        <v>-8.7753000000000095E-2</v>
      </c>
      <c r="AE4938">
        <v>-0.39429599999999898</v>
      </c>
      <c r="AF4938">
        <v>5.2551761835182002E-2</v>
      </c>
      <c r="AG4938">
        <v>-8.7753000000000095E-2</v>
      </c>
      <c r="AH4938">
        <v>0.37207322216788102</v>
      </c>
      <c r="AI4938">
        <v>103.144757367043</v>
      </c>
      <c r="AJ4938">
        <v>81.960699356060701</v>
      </c>
      <c r="AK4938">
        <v>0.38587661154230501</v>
      </c>
    </row>
    <row r="4939" spans="1:37" x14ac:dyDescent="0.2">
      <c r="A4939" t="str">
        <f>"20200111160315106"</f>
        <v>20200111160315106</v>
      </c>
      <c r="B4939" t="str">
        <f>"1578729795098234"</f>
        <v>1578729795098234</v>
      </c>
      <c r="C4939" t="s">
        <v>37</v>
      </c>
      <c r="D4939">
        <v>5.3269289999999998</v>
      </c>
      <c r="E4939">
        <v>0.50535099999999999</v>
      </c>
      <c r="F4939" t="s">
        <v>42</v>
      </c>
      <c r="G4939">
        <v>-299.50380000000001</v>
      </c>
      <c r="H4939">
        <v>0.9895699</v>
      </c>
      <c r="I4939">
        <v>-5.3269000000000002</v>
      </c>
      <c r="J4939">
        <v>-299.50029999999998</v>
      </c>
      <c r="K4939">
        <v>1.090808</v>
      </c>
      <c r="L4939">
        <v>-4.8480829999999999</v>
      </c>
      <c r="M4939">
        <v>0.11848589999999901</v>
      </c>
      <c r="N4939">
        <v>0</v>
      </c>
      <c r="O4939">
        <v>-0.99294780000000005</v>
      </c>
      <c r="P4939">
        <v>6.6060519999999998E-2</v>
      </c>
      <c r="Q4939">
        <v>-9.4349550000000001E-3</v>
      </c>
      <c r="R4939">
        <v>-0.99777109999999902</v>
      </c>
      <c r="S4939">
        <v>0.15405269999999999</v>
      </c>
      <c r="T4939">
        <v>-0.32314530000000002</v>
      </c>
      <c r="U4939">
        <v>-2.9955750000000001</v>
      </c>
      <c r="V4939">
        <v>5.2589549999999999E-2</v>
      </c>
      <c r="W4939">
        <v>-1.356254E-2</v>
      </c>
      <c r="X4939">
        <v>0.99852410000000003</v>
      </c>
      <c r="Y4939">
        <v>6.7623569999999994E-2</v>
      </c>
      <c r="Z4939">
        <v>0.105931</v>
      </c>
      <c r="AA4939">
        <v>0.99207140000000005</v>
      </c>
      <c r="AB4939">
        <v>29</v>
      </c>
      <c r="AC4939">
        <v>-3.5000000000309198E-3</v>
      </c>
      <c r="AD4939">
        <v>-0.1012381</v>
      </c>
      <c r="AE4939">
        <v>-0.47881699999999999</v>
      </c>
      <c r="AF4939">
        <v>5.7632571426465599E-2</v>
      </c>
      <c r="AG4939">
        <v>-0.1012381</v>
      </c>
      <c r="AH4939">
        <v>0.45470324566196002</v>
      </c>
      <c r="AI4939">
        <v>102.455468868458</v>
      </c>
      <c r="AJ4939">
        <v>82.776412043329003</v>
      </c>
      <c r="AK4939">
        <v>0.46938865324628098</v>
      </c>
    </row>
    <row r="4940" spans="1:37" x14ac:dyDescent="0.2">
      <c r="A4940" t="str">
        <f>"20200111160315140"</f>
        <v>20200111160315140</v>
      </c>
      <c r="B4940" t="str">
        <f>"1578729795128491"</f>
        <v>1578729795128491</v>
      </c>
      <c r="C4940" t="s">
        <v>37</v>
      </c>
      <c r="D4940">
        <v>5.35046</v>
      </c>
      <c r="E4940">
        <v>0.50706309999999999</v>
      </c>
      <c r="F4940" t="s">
        <v>42</v>
      </c>
      <c r="G4940">
        <v>-299.45740000000001</v>
      </c>
      <c r="H4940">
        <v>1.029749</v>
      </c>
      <c r="I4940">
        <v>-5.6071900000000001</v>
      </c>
      <c r="J4940">
        <v>-299.44929999999999</v>
      </c>
      <c r="K4940">
        <v>1.093216</v>
      </c>
      <c r="L4940">
        <v>-5.2957460000000003</v>
      </c>
      <c r="M4940">
        <v>0.116413</v>
      </c>
      <c r="N4940">
        <v>0</v>
      </c>
      <c r="O4940">
        <v>-0.99319780000000002</v>
      </c>
      <c r="P4940">
        <v>6.5373580000000001E-2</v>
      </c>
      <c r="Q4940">
        <v>-1.386274E-2</v>
      </c>
      <c r="R4940">
        <v>-0.99776489999999995</v>
      </c>
      <c r="S4940">
        <v>0.17022709999999999</v>
      </c>
      <c r="T4940">
        <v>-0.24064949999999999</v>
      </c>
      <c r="U4940">
        <v>-2.9931640000000002</v>
      </c>
      <c r="V4940">
        <v>5.117882E-2</v>
      </c>
      <c r="W4940">
        <v>-1.6588829999999999E-2</v>
      </c>
      <c r="X4940">
        <v>0.99855169999999904</v>
      </c>
      <c r="Y4940">
        <v>6.001066E-2</v>
      </c>
      <c r="Z4940">
        <v>7.9190170000000004E-2</v>
      </c>
      <c r="AA4940">
        <v>0.99505159999999904</v>
      </c>
      <c r="AB4940">
        <v>29</v>
      </c>
      <c r="AC4940">
        <v>-8.1000000000130898E-3</v>
      </c>
      <c r="AD4940">
        <v>-6.3466999999999898E-2</v>
      </c>
      <c r="AE4940">
        <v>-0.311443999999999</v>
      </c>
      <c r="AF4940">
        <v>4.2535950097780897E-2</v>
      </c>
      <c r="AG4940">
        <v>-6.3466999999999898E-2</v>
      </c>
      <c r="AH4940">
        <v>0.29609568933123898</v>
      </c>
      <c r="AI4940">
        <v>101.978706665396</v>
      </c>
      <c r="AJ4940">
        <v>81.825041689844198</v>
      </c>
      <c r="AK4940">
        <v>0.305794088203586</v>
      </c>
    </row>
    <row r="4941" spans="1:37" x14ac:dyDescent="0.2">
      <c r="A4941" t="str">
        <f>"20200111160315174"</f>
        <v>20200111160315174</v>
      </c>
      <c r="B4941" t="str">
        <f>"1578729795168507"</f>
        <v>1578729795168507</v>
      </c>
      <c r="C4941" t="s">
        <v>37</v>
      </c>
      <c r="D4941">
        <v>5.6644249999999996</v>
      </c>
      <c r="E4941">
        <v>0.50424709999999995</v>
      </c>
      <c r="F4941" t="s">
        <v>42</v>
      </c>
      <c r="G4941">
        <v>-299.40530000000001</v>
      </c>
      <c r="H4941">
        <v>1.0062260000000001</v>
      </c>
      <c r="I4941">
        <v>-6.1261349999999997</v>
      </c>
      <c r="J4941">
        <v>-299.39870000000002</v>
      </c>
      <c r="K4941">
        <v>1.0952249999999999</v>
      </c>
      <c r="L4941">
        <v>-5.7471009999999998</v>
      </c>
      <c r="M4941">
        <v>0.1143623</v>
      </c>
      <c r="N4941">
        <v>0</v>
      </c>
      <c r="O4941">
        <v>-0.99343869999999901</v>
      </c>
      <c r="P4941">
        <v>6.5021239999999994E-2</v>
      </c>
      <c r="Q4941">
        <v>-1.4932910000000001E-2</v>
      </c>
      <c r="R4941">
        <v>-0.99777260000000001</v>
      </c>
      <c r="S4941">
        <v>0.1583252</v>
      </c>
      <c r="T4941">
        <v>-0.31345329999999999</v>
      </c>
      <c r="U4941">
        <v>-2.9920040000000001</v>
      </c>
      <c r="V4941">
        <v>4.946971E-2</v>
      </c>
      <c r="W4941">
        <v>-1.6224120000000002E-2</v>
      </c>
      <c r="X4941">
        <v>0.99864379999999997</v>
      </c>
      <c r="Y4941">
        <v>6.1989389999999998E-2</v>
      </c>
      <c r="Z4941">
        <v>0.103000299999999</v>
      </c>
      <c r="AA4941">
        <v>0.99274779999999996</v>
      </c>
      <c r="AB4941">
        <v>30</v>
      </c>
      <c r="AC4941">
        <v>-6.5999999999917201E-3</v>
      </c>
      <c r="AD4941">
        <v>-8.89989999999998E-2</v>
      </c>
      <c r="AE4941">
        <v>-0.37903399999999898</v>
      </c>
      <c r="AF4941">
        <v>4.7297063387277898E-2</v>
      </c>
      <c r="AG4941">
        <v>-8.89989999999998E-2</v>
      </c>
      <c r="AH4941">
        <v>0.35616197605848199</v>
      </c>
      <c r="AI4941">
        <v>103.912627381134</v>
      </c>
      <c r="AJ4941">
        <v>82.435579849543302</v>
      </c>
      <c r="AK4941">
        <v>0.37014752112629701</v>
      </c>
    </row>
    <row r="4942" spans="1:37" x14ac:dyDescent="0.2">
      <c r="A4942" t="str">
        <f>"20200111160315206"</f>
        <v>20200111160315206</v>
      </c>
      <c r="B4942" t="str">
        <f>"1578729795197786"</f>
        <v>1578729795197786</v>
      </c>
      <c r="C4942" t="s">
        <v>37</v>
      </c>
      <c r="D4942">
        <v>5.1651360000000004</v>
      </c>
      <c r="E4942">
        <v>0.42395240000000001</v>
      </c>
      <c r="F4942" t="s">
        <v>42</v>
      </c>
      <c r="G4942">
        <v>-299.34449999999998</v>
      </c>
      <c r="H4942">
        <v>1.0044740000000001</v>
      </c>
      <c r="I4942">
        <v>-6.6577029999999997</v>
      </c>
      <c r="J4942">
        <v>-299.3503</v>
      </c>
      <c r="K4942">
        <v>1.096838</v>
      </c>
      <c r="L4942">
        <v>-6.1853939999999996</v>
      </c>
      <c r="M4942">
        <v>0.11245280000000001</v>
      </c>
      <c r="N4942">
        <v>0</v>
      </c>
      <c r="O4942">
        <v>-0.99365709999999996</v>
      </c>
      <c r="P4942">
        <v>6.4899929999999995E-2</v>
      </c>
      <c r="Q4942">
        <v>-1.6100509999999998E-2</v>
      </c>
      <c r="R4942">
        <v>-0.99776169999999997</v>
      </c>
      <c r="S4942">
        <v>0.17852779999999999</v>
      </c>
      <c r="T4942">
        <v>-0.29799209999999998</v>
      </c>
      <c r="U4942">
        <v>-2.9906009999999998</v>
      </c>
      <c r="V4942">
        <v>4.7671669999999999E-2</v>
      </c>
      <c r="W4942">
        <v>-1.600965E-2</v>
      </c>
      <c r="X4942">
        <v>0.99873480000000003</v>
      </c>
      <c r="Y4942">
        <v>5.3329330000000001E-2</v>
      </c>
      <c r="Z4942">
        <v>9.8054920000000004E-2</v>
      </c>
      <c r="AA4942">
        <v>0.9937511</v>
      </c>
      <c r="AB4942">
        <v>30</v>
      </c>
      <c r="AC4942">
        <v>5.8000000000220098E-3</v>
      </c>
      <c r="AD4942">
        <v>-9.2363999999999793E-2</v>
      </c>
      <c r="AE4942">
        <v>-0.47230899999999898</v>
      </c>
      <c r="AF4942">
        <v>4.5605427132895601E-2</v>
      </c>
      <c r="AG4942">
        <v>-9.2363999999999793E-2</v>
      </c>
      <c r="AH4942">
        <v>0.45265700785263102</v>
      </c>
      <c r="AI4942">
        <v>101.47625429820199</v>
      </c>
      <c r="AJ4942">
        <v>84.246834388406796</v>
      </c>
      <c r="AK4942">
        <v>0.46422982480455799</v>
      </c>
    </row>
    <row r="4943" spans="1:37" x14ac:dyDescent="0.2">
      <c r="A4943" t="str">
        <f>"20200111160315240"</f>
        <v>20200111160315240</v>
      </c>
      <c r="B4943" t="str">
        <f>"1578729795237803"</f>
        <v>1578729795237803</v>
      </c>
      <c r="C4943" t="s">
        <v>37</v>
      </c>
      <c r="D4943">
        <v>5.0982209999999997</v>
      </c>
      <c r="E4943">
        <v>0.4251799</v>
      </c>
      <c r="F4943" t="s">
        <v>38</v>
      </c>
      <c r="G4943">
        <v>-294.50259999999997</v>
      </c>
      <c r="H4943" s="1">
        <v>-3.779493E-6</v>
      </c>
      <c r="I4943">
        <v>-23.830200000000001</v>
      </c>
      <c r="J4943">
        <v>-299.30110000000002</v>
      </c>
      <c r="K4943">
        <v>1.0982190000000001</v>
      </c>
      <c r="L4943">
        <v>-6.6389469999999999</v>
      </c>
      <c r="M4943">
        <v>0.1106774</v>
      </c>
      <c r="N4943">
        <v>0</v>
      </c>
      <c r="O4943">
        <v>-0.99385540000000006</v>
      </c>
      <c r="P4943">
        <v>6.5441639999999995E-2</v>
      </c>
      <c r="Q4943">
        <v>-1.8564890000000001E-2</v>
      </c>
      <c r="R4943">
        <v>-0.99768400000000002</v>
      </c>
      <c r="S4943">
        <v>0.8107605</v>
      </c>
      <c r="T4943">
        <v>-0.1834421</v>
      </c>
      <c r="U4943">
        <v>-2.9510190000000001</v>
      </c>
      <c r="V4943">
        <v>4.5341260000000001E-2</v>
      </c>
      <c r="W4943">
        <v>-1.7052310000000001E-2</v>
      </c>
      <c r="X4943">
        <v>0.99882599999999999</v>
      </c>
      <c r="Y4943">
        <v>-0.15609319999999999</v>
      </c>
      <c r="Z4943">
        <v>5.9987400000000003E-2</v>
      </c>
      <c r="AA4943">
        <v>0.98591909999999905</v>
      </c>
      <c r="AB4943">
        <v>30</v>
      </c>
      <c r="AC4943">
        <v>4.7985000000000397</v>
      </c>
      <c r="AD4943">
        <v>-1.098222779493</v>
      </c>
      <c r="AE4943">
        <v>-17.191253</v>
      </c>
      <c r="AF4943">
        <v>-2.8555236813731302</v>
      </c>
      <c r="AG4943">
        <v>-1.098222779493</v>
      </c>
      <c r="AH4943">
        <v>17.550276635390698</v>
      </c>
      <c r="AI4943">
        <v>93.534304899910296</v>
      </c>
      <c r="AJ4943">
        <v>99.241348161090102</v>
      </c>
      <c r="AK4943">
        <v>17.814946498573001</v>
      </c>
    </row>
    <row r="4944" spans="1:37" x14ac:dyDescent="0.2">
      <c r="A4944" t="str">
        <f>"20200111160315274"</f>
        <v>20200111160315274</v>
      </c>
      <c r="B4944" t="str">
        <f>"1578729795268058"</f>
        <v>1578729795268058</v>
      </c>
      <c r="C4944" t="s">
        <v>37</v>
      </c>
      <c r="D4944">
        <v>5.1844970000000004</v>
      </c>
      <c r="E4944">
        <v>0.42569869999999999</v>
      </c>
      <c r="F4944" t="s">
        <v>38</v>
      </c>
      <c r="G4944">
        <v>-294.83629999999999</v>
      </c>
      <c r="H4944" s="1">
        <v>-4.0557190000000003E-6</v>
      </c>
      <c r="I4944">
        <v>-23.04834</v>
      </c>
      <c r="J4944">
        <v>-299.25279999999998</v>
      </c>
      <c r="K4944">
        <v>1.0994010000000001</v>
      </c>
      <c r="L4944">
        <v>-7.0874940000000004</v>
      </c>
      <c r="M4944">
        <v>0.10922759999999999</v>
      </c>
      <c r="N4944">
        <v>0</v>
      </c>
      <c r="O4944">
        <v>-0.99401240000000002</v>
      </c>
      <c r="P4944">
        <v>6.7155969999999995E-2</v>
      </c>
      <c r="Q4944">
        <v>-2.1814630000000002E-2</v>
      </c>
      <c r="R4944">
        <v>-0.99750409999999901</v>
      </c>
      <c r="S4944">
        <v>0.80282589999999998</v>
      </c>
      <c r="T4944">
        <v>-0.19747479999999901</v>
      </c>
      <c r="U4944">
        <v>-2.95062299999999</v>
      </c>
      <c r="V4944">
        <v>4.2163470000000002E-2</v>
      </c>
      <c r="W4944">
        <v>-1.887453E-2</v>
      </c>
      <c r="X4944">
        <v>0.99893240000000005</v>
      </c>
      <c r="Y4944">
        <v>-0.15502449999999901</v>
      </c>
      <c r="Z4944">
        <v>6.4609260000000002E-2</v>
      </c>
      <c r="AA4944">
        <v>0.98579559999999999</v>
      </c>
      <c r="AB4944">
        <v>30</v>
      </c>
      <c r="AC4944">
        <v>4.4164999999999797</v>
      </c>
      <c r="AD4944">
        <v>-1.099405055719</v>
      </c>
      <c r="AE4944">
        <v>-15.960845999999901</v>
      </c>
      <c r="AF4944">
        <v>-2.6350889951036902</v>
      </c>
      <c r="AG4944">
        <v>-1.099405055719</v>
      </c>
      <c r="AH4944">
        <v>16.276021864953002</v>
      </c>
      <c r="AI4944">
        <v>93.814795177835094</v>
      </c>
      <c r="AJ4944">
        <v>99.196393643203706</v>
      </c>
      <c r="AK4944">
        <v>16.524565750333199</v>
      </c>
    </row>
    <row r="4945" spans="1:37" x14ac:dyDescent="0.2">
      <c r="A4945" t="str">
        <f>"20200111160315307"</f>
        <v>20200111160315307</v>
      </c>
      <c r="B4945" t="str">
        <f>"1578729795298314"</f>
        <v>1578729795298314</v>
      </c>
      <c r="C4945" t="s">
        <v>37</v>
      </c>
      <c r="D4945">
        <v>5.1893440000000002</v>
      </c>
      <c r="E4945">
        <v>0.42612489999999997</v>
      </c>
      <c r="F4945" t="s">
        <v>38</v>
      </c>
      <c r="G4945">
        <v>-294.78269999999998</v>
      </c>
      <c r="H4945" s="1">
        <v>-3.8668809999999999E-6</v>
      </c>
      <c r="I4945">
        <v>-23.51069</v>
      </c>
      <c r="J4945">
        <v>-299.2054</v>
      </c>
      <c r="K4945">
        <v>1.100425</v>
      </c>
      <c r="L4945">
        <v>-7.5297850000000004</v>
      </c>
      <c r="M4945">
        <v>0.1081864</v>
      </c>
      <c r="N4945">
        <v>0</v>
      </c>
      <c r="O4945">
        <v>-0.99412099999999903</v>
      </c>
      <c r="P4945">
        <v>7.0311810000000002E-2</v>
      </c>
      <c r="Q4945">
        <v>-2.649023E-2</v>
      </c>
      <c r="R4945">
        <v>-0.99717350000000005</v>
      </c>
      <c r="S4945">
        <v>0.80270390000000003</v>
      </c>
      <c r="T4945">
        <v>-0.19742319999999999</v>
      </c>
      <c r="U4945">
        <v>-2.9491580000000002</v>
      </c>
      <c r="V4945">
        <v>3.794898E-2</v>
      </c>
      <c r="W4945">
        <v>-2.2134879999999999E-2</v>
      </c>
      <c r="X4945">
        <v>0.99903449999999905</v>
      </c>
      <c r="Y4945">
        <v>-0.15614429999999899</v>
      </c>
      <c r="Z4945">
        <v>6.4628909999999998E-2</v>
      </c>
      <c r="AA4945">
        <v>0.98561759999999998</v>
      </c>
      <c r="AB4945">
        <v>30</v>
      </c>
      <c r="AC4945">
        <v>4.4227000000000096</v>
      </c>
      <c r="AD4945">
        <v>-1.1004288668810001</v>
      </c>
      <c r="AE4945">
        <v>-15.9809049999999</v>
      </c>
      <c r="AF4945">
        <v>-2.6561097557413</v>
      </c>
      <c r="AG4945">
        <v>-1.1004288668810001</v>
      </c>
      <c r="AH4945">
        <v>16.293823980457901</v>
      </c>
      <c r="AI4945">
        <v>93.813507680342099</v>
      </c>
      <c r="AJ4945">
        <v>99.258536316702205</v>
      </c>
      <c r="AK4945">
        <v>16.545529989448902</v>
      </c>
    </row>
    <row r="4946" spans="1:37" x14ac:dyDescent="0.2">
      <c r="A4946" t="str">
        <f>"20200111160315341"</f>
        <v>20200111160315341</v>
      </c>
      <c r="B4946" t="str">
        <f>"1578729795338330"</f>
        <v>1578729795338330</v>
      </c>
      <c r="C4946" t="s">
        <v>37</v>
      </c>
      <c r="D4946">
        <v>5.090433</v>
      </c>
      <c r="E4946">
        <v>0.42597799999999902</v>
      </c>
      <c r="F4946" t="s">
        <v>38</v>
      </c>
      <c r="G4946">
        <v>-294.80619999999999</v>
      </c>
      <c r="H4946" s="1">
        <v>-3.8363150000000002E-6</v>
      </c>
      <c r="I4946">
        <v>-23.57225</v>
      </c>
      <c r="J4946">
        <v>-299.15690000000001</v>
      </c>
      <c r="K4946">
        <v>1.1013569999999999</v>
      </c>
      <c r="L4946">
        <v>-7.9824830000000002</v>
      </c>
      <c r="M4946">
        <v>0.107610999999999</v>
      </c>
      <c r="N4946">
        <v>0</v>
      </c>
      <c r="O4946">
        <v>-0.99417599999999995</v>
      </c>
      <c r="P4946">
        <v>7.2143289999999999E-2</v>
      </c>
      <c r="Q4946">
        <v>-3.0618650000000001E-2</v>
      </c>
      <c r="R4946">
        <v>-0.99692449999999999</v>
      </c>
      <c r="S4946">
        <v>0.80792240000000004</v>
      </c>
      <c r="T4946">
        <v>-0.20209170000000001</v>
      </c>
      <c r="U4946">
        <v>-2.946167</v>
      </c>
      <c r="V4946">
        <v>3.55346E-2</v>
      </c>
      <c r="W4946">
        <v>-2.481384E-2</v>
      </c>
      <c r="X4946">
        <v>0.99906030000000001</v>
      </c>
      <c r="Y4946">
        <v>-0.1585655</v>
      </c>
      <c r="Z4946">
        <v>6.6193139999999998E-2</v>
      </c>
      <c r="AA4946">
        <v>0.98512719999999898</v>
      </c>
      <c r="AB4946">
        <v>30</v>
      </c>
      <c r="AC4946">
        <v>4.3507000000000096</v>
      </c>
      <c r="AD4946">
        <v>-1.10136083631499</v>
      </c>
      <c r="AE4946">
        <v>-15.589767</v>
      </c>
      <c r="AF4946">
        <v>-2.6355725796074299</v>
      </c>
      <c r="AG4946">
        <v>-1.10136083631499</v>
      </c>
      <c r="AH4946">
        <v>15.893833318480899</v>
      </c>
      <c r="AI4946">
        <v>93.910732120619301</v>
      </c>
      <c r="AJ4946">
        <v>99.415316870995099</v>
      </c>
      <c r="AK4946">
        <v>16.148472871135599</v>
      </c>
    </row>
    <row r="4947" spans="1:37" x14ac:dyDescent="0.2">
      <c r="A4947" t="str">
        <f>"20200111160315375"</f>
        <v>20200111160315375</v>
      </c>
      <c r="B4947" t="str">
        <f>"1578729795368586"</f>
        <v>1578729795368586</v>
      </c>
      <c r="C4947" t="s">
        <v>37</v>
      </c>
      <c r="D4947">
        <v>5.1663370000000004</v>
      </c>
      <c r="E4947">
        <v>0.4255584</v>
      </c>
      <c r="F4947" t="s">
        <v>38</v>
      </c>
      <c r="G4947">
        <v>-294.87970000000001</v>
      </c>
      <c r="H4947" s="1">
        <v>-3.8773400000000004E-6</v>
      </c>
      <c r="I4947">
        <v>-23.446210000000001</v>
      </c>
      <c r="J4947">
        <v>-299.10809999999998</v>
      </c>
      <c r="K4947">
        <v>1.102198</v>
      </c>
      <c r="L4947">
        <v>-8.4355469999999997</v>
      </c>
      <c r="M4947">
        <v>0.107551299999999</v>
      </c>
      <c r="N4947">
        <v>0</v>
      </c>
      <c r="O4947">
        <v>-0.99417299999999997</v>
      </c>
      <c r="P4947">
        <v>7.4468039999999999E-2</v>
      </c>
      <c r="Q4947">
        <v>-3.4947060000000002E-2</v>
      </c>
      <c r="R4947">
        <v>-0.99661089999999997</v>
      </c>
      <c r="S4947">
        <v>0.81426999999999905</v>
      </c>
      <c r="T4947">
        <v>-0.20966959999999901</v>
      </c>
      <c r="U4947">
        <v>-2.94387799999999</v>
      </c>
      <c r="V4947">
        <v>3.3146499999999898E-2</v>
      </c>
      <c r="W4947">
        <v>-2.7678419999999999E-2</v>
      </c>
      <c r="X4947">
        <v>0.99906719999999904</v>
      </c>
      <c r="Y4947">
        <v>-0.1607481</v>
      </c>
      <c r="Z4947">
        <v>6.8683889999999997E-2</v>
      </c>
      <c r="AA4947">
        <v>0.98460270000000005</v>
      </c>
      <c r="AB4947">
        <v>30</v>
      </c>
      <c r="AC4947">
        <v>4.2283999999999597</v>
      </c>
      <c r="AD4947">
        <v>-1.10220187734</v>
      </c>
      <c r="AE4947">
        <v>-15.010662999999999</v>
      </c>
      <c r="AF4947">
        <v>-2.5765425566069502</v>
      </c>
      <c r="AG4947">
        <v>-1.10220187734</v>
      </c>
      <c r="AH4947">
        <v>15.3019340537902</v>
      </c>
      <c r="AI4947">
        <v>94.062915465721503</v>
      </c>
      <c r="AJ4947">
        <v>99.557819764211601</v>
      </c>
      <c r="AK4947">
        <v>15.556432955885599</v>
      </c>
    </row>
    <row r="4948" spans="1:37" x14ac:dyDescent="0.2">
      <c r="A4948" t="str">
        <f>"20200111160315508"</f>
        <v>20200111160315508</v>
      </c>
      <c r="B4948" t="str">
        <f>"1578729795498394"</f>
        <v>1578729795498394</v>
      </c>
      <c r="C4948" t="s">
        <v>37</v>
      </c>
      <c r="D4948">
        <v>5.2401410000000004</v>
      </c>
      <c r="E4948">
        <v>0.42468139999999999</v>
      </c>
      <c r="F4948" t="s">
        <v>38</v>
      </c>
      <c r="G4948">
        <v>-294.80860000000001</v>
      </c>
      <c r="H4948" s="1">
        <v>-3.743807E-6</v>
      </c>
      <c r="I4948">
        <v>-23.78687</v>
      </c>
      <c r="J4948">
        <v>-298.91090000000003</v>
      </c>
      <c r="K4948">
        <v>1.104363</v>
      </c>
      <c r="L4948">
        <v>-10.19473</v>
      </c>
      <c r="M4948">
        <v>0.1119058</v>
      </c>
      <c r="N4948">
        <v>0</v>
      </c>
      <c r="O4948">
        <v>-0.99365009999999998</v>
      </c>
      <c r="P4948">
        <v>8.1881869999999995E-2</v>
      </c>
      <c r="Q4948">
        <v>-3.6547679999999999E-2</v>
      </c>
      <c r="R4948">
        <v>-0.99597219999999997</v>
      </c>
      <c r="S4948">
        <v>0.82376099999999997</v>
      </c>
      <c r="T4948">
        <v>-0.21117749999999999</v>
      </c>
      <c r="U4948">
        <v>-2.9412539999999998</v>
      </c>
      <c r="V4948">
        <v>3.014387E-2</v>
      </c>
      <c r="W4948">
        <v>-2.4790630000000001E-2</v>
      </c>
      <c r="X4948">
        <v>0.99923809999999902</v>
      </c>
      <c r="Y4948">
        <v>-0.1595847</v>
      </c>
      <c r="Z4948">
        <v>6.9161810000000004E-2</v>
      </c>
      <c r="AA4948">
        <v>0.98475859999999904</v>
      </c>
      <c r="AB4948">
        <v>30</v>
      </c>
      <c r="AC4948">
        <v>4.1023000000000103</v>
      </c>
      <c r="AD4948">
        <v>-1.104366743807</v>
      </c>
      <c r="AE4948">
        <v>-13.592140000000001</v>
      </c>
      <c r="AF4948">
        <v>-2.54001768526726</v>
      </c>
      <c r="AG4948">
        <v>-1.104366743807</v>
      </c>
      <c r="AH4948">
        <v>13.881864216475201</v>
      </c>
      <c r="AI4948">
        <v>94.474588072267096</v>
      </c>
      <c r="AJ4948">
        <v>100.36892762044</v>
      </c>
      <c r="AK4948">
        <v>14.1554749079977</v>
      </c>
    </row>
    <row r="4949" spans="1:37" x14ac:dyDescent="0.2">
      <c r="A4949" t="str">
        <f>"20200111160315643"</f>
        <v>20200111160315643</v>
      </c>
      <c r="B4949" t="str">
        <f>"1578729795637962"</f>
        <v>1578729795637962</v>
      </c>
      <c r="C4949" t="s">
        <v>37</v>
      </c>
      <c r="D4949">
        <v>5.3444469999999997</v>
      </c>
      <c r="E4949">
        <v>0.42451430000000001</v>
      </c>
      <c r="F4949" t="s">
        <v>38</v>
      </c>
      <c r="G4949">
        <v>-294.62479999999999</v>
      </c>
      <c r="H4949" s="1">
        <v>-3.2666619999999998E-6</v>
      </c>
      <c r="I4949">
        <v>-24.975110000000001</v>
      </c>
      <c r="J4949">
        <v>-298.7013</v>
      </c>
      <c r="K4949">
        <v>1.104568</v>
      </c>
      <c r="L4949">
        <v>-11.952450000000001</v>
      </c>
      <c r="M4949">
        <v>0.1178434</v>
      </c>
      <c r="N4949">
        <v>0</v>
      </c>
      <c r="O4949">
        <v>-0.99293609999999899</v>
      </c>
      <c r="P4949">
        <v>9.3964270000000003E-2</v>
      </c>
      <c r="Q4949">
        <v>-3.3005109999999997E-2</v>
      </c>
      <c r="R4949">
        <v>-0.99502869999999999</v>
      </c>
      <c r="S4949">
        <v>0.85086059999999997</v>
      </c>
      <c r="T4949">
        <v>-0.219234499999999</v>
      </c>
      <c r="U4949">
        <v>-2.9341430000000002</v>
      </c>
      <c r="V4949">
        <v>2.3986919999999998E-2</v>
      </c>
      <c r="W4949">
        <v>-1.9149659999999999E-2</v>
      </c>
      <c r="X4949">
        <v>0.9995288</v>
      </c>
      <c r="Y4949">
        <v>-0.16265839999999901</v>
      </c>
      <c r="Z4949">
        <v>7.1771989999999994E-2</v>
      </c>
      <c r="AA4949">
        <v>0.98406859999999996</v>
      </c>
      <c r="AB4949">
        <v>29</v>
      </c>
      <c r="AC4949">
        <v>4.0765000000000002</v>
      </c>
      <c r="AD4949">
        <v>-1.104571266662</v>
      </c>
      <c r="AE4949">
        <v>-13.02266</v>
      </c>
      <c r="AF4949">
        <v>-2.4969486803269398</v>
      </c>
      <c r="AG4949">
        <v>-1.104571266662</v>
      </c>
      <c r="AH4949">
        <v>13.325028802191801</v>
      </c>
      <c r="AI4949">
        <v>94.657960803433596</v>
      </c>
      <c r="AJ4949">
        <v>100.61344841605801</v>
      </c>
      <c r="AK4949">
        <v>13.6018830672287</v>
      </c>
    </row>
    <row r="4950" spans="1:37" x14ac:dyDescent="0.2">
      <c r="A4950" t="str">
        <f>"20200111160315677"</f>
        <v>20200111160315677</v>
      </c>
      <c r="B4950" t="str">
        <f>"1578729795668218"</f>
        <v>1578729795668218</v>
      </c>
      <c r="C4950" t="s">
        <v>37</v>
      </c>
      <c r="D4950">
        <v>5.378558</v>
      </c>
      <c r="E4950">
        <v>0.42493829999999999</v>
      </c>
      <c r="F4950" t="s">
        <v>38</v>
      </c>
      <c r="G4950">
        <v>-293.66969999999998</v>
      </c>
      <c r="H4950" s="1">
        <v>-2.307143E-6</v>
      </c>
      <c r="I4950">
        <v>-28.52177</v>
      </c>
      <c r="J4950">
        <v>-298.64940000000001</v>
      </c>
      <c r="K4950">
        <v>1.1044940000000001</v>
      </c>
      <c r="L4950">
        <v>-12.379489999999899</v>
      </c>
      <c r="M4950">
        <v>0.1187218</v>
      </c>
      <c r="N4950">
        <v>0</v>
      </c>
      <c r="O4950">
        <v>-0.99282719999999902</v>
      </c>
      <c r="P4950">
        <v>9.3839210000000006E-2</v>
      </c>
      <c r="Q4950">
        <v>-3.2232690000000001E-2</v>
      </c>
      <c r="R4950">
        <v>-0.995065599999999</v>
      </c>
      <c r="S4950">
        <v>0.88812259999999998</v>
      </c>
      <c r="T4950">
        <v>-0.1949679</v>
      </c>
      <c r="U4950">
        <v>-2.924652</v>
      </c>
      <c r="V4950">
        <v>2.4992810000000001E-2</v>
      </c>
      <c r="W4950">
        <v>-1.8092609999999999E-2</v>
      </c>
      <c r="X4950">
        <v>0.99952389999999902</v>
      </c>
      <c r="Y4950">
        <v>-0.17430409999999999</v>
      </c>
      <c r="Z4950">
        <v>6.3873159999999998E-2</v>
      </c>
      <c r="AA4950">
        <v>0.98261810000000005</v>
      </c>
      <c r="AB4950">
        <v>29</v>
      </c>
      <c r="AC4950">
        <v>4.9797000000000304</v>
      </c>
      <c r="AD4950">
        <v>-1.1044963071430001</v>
      </c>
      <c r="AE4950">
        <v>-16.14228</v>
      </c>
      <c r="AF4950">
        <v>-3.0149543569537101</v>
      </c>
      <c r="AG4950">
        <v>-1.1044963071430001</v>
      </c>
      <c r="AH4950">
        <v>16.5486071255973</v>
      </c>
      <c r="AI4950">
        <v>93.756746319579506</v>
      </c>
      <c r="AJ4950">
        <v>100.325345120424</v>
      </c>
      <c r="AK4950">
        <v>16.8572316726199</v>
      </c>
    </row>
    <row r="4951" spans="1:37" x14ac:dyDescent="0.2">
      <c r="A4951" t="str">
        <f>"20200111160315743"</f>
        <v>20200111160315743</v>
      </c>
      <c r="B4951" t="str">
        <f>"1578729795738491"</f>
        <v>1578729795738491</v>
      </c>
      <c r="C4951" t="s">
        <v>37</v>
      </c>
      <c r="D4951">
        <v>5.3412129999999998</v>
      </c>
      <c r="E4951">
        <v>0.42518240000000002</v>
      </c>
      <c r="F4951" t="s">
        <v>38</v>
      </c>
      <c r="G4951">
        <v>-293.59140000000002</v>
      </c>
      <c r="H4951" s="1">
        <v>-2.1275719999999998E-6</v>
      </c>
      <c r="I4951">
        <v>-29.110690000000002</v>
      </c>
      <c r="J4951">
        <v>-298.54419999999999</v>
      </c>
      <c r="K4951">
        <v>1.104406</v>
      </c>
      <c r="L4951">
        <v>-13.245389999999899</v>
      </c>
      <c r="M4951">
        <v>0.11988550000000001</v>
      </c>
      <c r="N4951">
        <v>0</v>
      </c>
      <c r="O4951">
        <v>-0.99268099999999904</v>
      </c>
      <c r="P4951">
        <v>9.1384489999999999E-2</v>
      </c>
      <c r="Q4951">
        <v>-2.9863919999999999E-2</v>
      </c>
      <c r="R4951">
        <v>-0.99536780000000002</v>
      </c>
      <c r="S4951">
        <v>0.88433839999999997</v>
      </c>
      <c r="T4951">
        <v>-0.19310659999999999</v>
      </c>
      <c r="U4951">
        <v>-2.9252319999999998</v>
      </c>
      <c r="V4951">
        <v>2.8627409999999999E-2</v>
      </c>
      <c r="W4951">
        <v>-1.5310239999999999E-2</v>
      </c>
      <c r="X4951">
        <v>0.999472899999999</v>
      </c>
      <c r="Y4951">
        <v>-0.17194129999999999</v>
      </c>
      <c r="Z4951">
        <v>6.3265470000000004E-2</v>
      </c>
      <c r="AA4951">
        <v>0.98307359999999899</v>
      </c>
      <c r="AB4951">
        <v>29</v>
      </c>
      <c r="AC4951">
        <v>4.9527999999999599</v>
      </c>
      <c r="AD4951">
        <v>-1.1044081275719999</v>
      </c>
      <c r="AE4951">
        <v>-15.8653</v>
      </c>
      <c r="AF4951">
        <v>-3.00159704535956</v>
      </c>
      <c r="AG4951">
        <v>-1.1044081275719999</v>
      </c>
      <c r="AH4951">
        <v>16.272830568740002</v>
      </c>
      <c r="AI4951">
        <v>93.8183902044333</v>
      </c>
      <c r="AJ4951">
        <v>100.450995394825</v>
      </c>
      <c r="AK4951">
        <v>16.584158611574999</v>
      </c>
    </row>
    <row r="4952" spans="1:37" x14ac:dyDescent="0.2">
      <c r="A4952" t="str">
        <f>"20200111160315776"</f>
        <v>20200111160315776</v>
      </c>
      <c r="B4952" t="str">
        <f>"1578729795767770"</f>
        <v>1578729795767770</v>
      </c>
      <c r="C4952" t="s">
        <v>37</v>
      </c>
      <c r="D4952">
        <v>5.3700239999999999</v>
      </c>
      <c r="E4952">
        <v>0.32955509999999999</v>
      </c>
      <c r="F4952" t="s">
        <v>38</v>
      </c>
      <c r="G4952">
        <v>-293.35739999999998</v>
      </c>
      <c r="H4952" s="1">
        <v>-5.3704479999999999E-6</v>
      </c>
      <c r="I4952">
        <v>-30.595179999999999</v>
      </c>
      <c r="J4952">
        <v>-298.49250000000001</v>
      </c>
      <c r="K4952">
        <v>1.1043940000000001</v>
      </c>
      <c r="L4952">
        <v>-13.669370000000001</v>
      </c>
      <c r="M4952">
        <v>0.1202549</v>
      </c>
      <c r="N4952">
        <v>0</v>
      </c>
      <c r="O4952">
        <v>-0.99263419999999902</v>
      </c>
      <c r="P4952">
        <v>9.0355249999999998E-2</v>
      </c>
      <c r="Q4952">
        <v>-3.0344920000000001E-2</v>
      </c>
      <c r="R4952">
        <v>-0.99544699999999997</v>
      </c>
      <c r="S4952">
        <v>0.87533570000000005</v>
      </c>
      <c r="T4952">
        <v>-0.1863841</v>
      </c>
      <c r="U4952">
        <v>-2.9280089999999999</v>
      </c>
      <c r="V4952">
        <v>3.002881E-2</v>
      </c>
      <c r="W4952">
        <v>-1.564948E-2</v>
      </c>
      <c r="X4952">
        <v>0.9994265</v>
      </c>
      <c r="Y4952">
        <v>-0.16858239999999999</v>
      </c>
      <c r="Z4952">
        <v>6.1056550000000001E-2</v>
      </c>
      <c r="AA4952">
        <v>0.98379470000000002</v>
      </c>
      <c r="AB4952">
        <v>29</v>
      </c>
      <c r="AC4952">
        <v>5.13510000000002</v>
      </c>
      <c r="AD4952">
        <v>-1.104399370448</v>
      </c>
      <c r="AE4952">
        <v>-16.925809999999998</v>
      </c>
      <c r="AF4952">
        <v>-3.0503031567074101</v>
      </c>
      <c r="AG4952">
        <v>-1.104399370448</v>
      </c>
      <c r="AH4952">
        <v>17.352888594364199</v>
      </c>
      <c r="AI4952">
        <v>93.586750320109601</v>
      </c>
      <c r="AJ4952">
        <v>99.969642194454593</v>
      </c>
      <c r="AK4952">
        <v>17.653520608809998</v>
      </c>
    </row>
    <row r="4953" spans="1:37" x14ac:dyDescent="0.2">
      <c r="A4953" t="str">
        <f>"20200111160315855"</f>
        <v>20200111160315855</v>
      </c>
      <c r="B4953" t="str">
        <f>"1578729795847802"</f>
        <v>1578729795847802</v>
      </c>
      <c r="C4953" t="s">
        <v>37</v>
      </c>
      <c r="D4953">
        <v>5.3611250000000004</v>
      </c>
      <c r="E4953">
        <v>0.33133609999999902</v>
      </c>
      <c r="F4953" t="s">
        <v>39</v>
      </c>
      <c r="G4953">
        <v>-281.1345</v>
      </c>
      <c r="H4953">
        <v>-0.05</v>
      </c>
      <c r="I4953">
        <v>-44.177659999999896</v>
      </c>
      <c r="J4953">
        <v>-298.3698</v>
      </c>
      <c r="K4953">
        <v>1.1044119999999999</v>
      </c>
      <c r="L4953">
        <v>-14.672420000000001</v>
      </c>
      <c r="M4953">
        <v>0.1209519</v>
      </c>
      <c r="N4953">
        <v>0</v>
      </c>
      <c r="O4953">
        <v>-0.99254619999999905</v>
      </c>
      <c r="P4953">
        <v>9.1339080000000003E-2</v>
      </c>
      <c r="Q4953">
        <v>-2.7973700000000001E-2</v>
      </c>
      <c r="R4953">
        <v>-0.99542710000000001</v>
      </c>
      <c r="S4953">
        <v>1.6286929999999999</v>
      </c>
      <c r="T4953">
        <v>-0.1083162</v>
      </c>
      <c r="U4953">
        <v>-2.8625790000000002</v>
      </c>
      <c r="V4953">
        <v>2.9748529999999999E-2</v>
      </c>
      <c r="W4953">
        <v>-1.3047110000000001E-2</v>
      </c>
      <c r="X4953">
        <v>0.99947229999999998</v>
      </c>
      <c r="Y4953">
        <v>-0.38547419999999999</v>
      </c>
      <c r="Z4953">
        <v>3.3426499999999998E-2</v>
      </c>
      <c r="AA4953">
        <v>0.92211290000000001</v>
      </c>
      <c r="AB4953">
        <v>29</v>
      </c>
      <c r="AC4953">
        <v>17.235299999999899</v>
      </c>
      <c r="AD4953">
        <v>-1.154412</v>
      </c>
      <c r="AE4953">
        <v>-29.505239999999901</v>
      </c>
      <c r="AF4953">
        <v>-13.524188312378</v>
      </c>
      <c r="AG4953">
        <v>-1.154412</v>
      </c>
      <c r="AH4953">
        <v>31.3376818881977</v>
      </c>
      <c r="AI4953">
        <v>91.937151365951493</v>
      </c>
      <c r="AJ4953">
        <v>113.343247340378</v>
      </c>
      <c r="AK4953">
        <v>34.150939118862901</v>
      </c>
    </row>
    <row r="4954" spans="1:37" x14ac:dyDescent="0.2">
      <c r="A4954" t="str">
        <f>"20200111160315900"</f>
        <v>20200111160315900</v>
      </c>
      <c r="B4954" t="str">
        <f>"1578729795887818"</f>
        <v>1578729795887818</v>
      </c>
      <c r="C4954" t="s">
        <v>37</v>
      </c>
      <c r="D4954">
        <v>5.355219</v>
      </c>
      <c r="E4954">
        <v>0.33123999999999998</v>
      </c>
      <c r="F4954" t="s">
        <v>39</v>
      </c>
      <c r="G4954">
        <v>-282.50790000000001</v>
      </c>
      <c r="H4954">
        <v>-0.05</v>
      </c>
      <c r="I4954">
        <v>-42.729570000000002</v>
      </c>
      <c r="J4954">
        <v>-298.30029999999999</v>
      </c>
      <c r="K4954">
        <v>1.104411</v>
      </c>
      <c r="L4954">
        <v>-15.23859</v>
      </c>
      <c r="M4954">
        <v>0.1213108</v>
      </c>
      <c r="N4954">
        <v>0</v>
      </c>
      <c r="O4954">
        <v>-0.99250130000000003</v>
      </c>
      <c r="P4954">
        <v>9.5340499999999995E-2</v>
      </c>
      <c r="Q4954">
        <v>-2.957779E-2</v>
      </c>
      <c r="R4954">
        <v>-0.99500549999999999</v>
      </c>
      <c r="S4954">
        <v>1.6180110000000001</v>
      </c>
      <c r="T4954">
        <v>-0.117757</v>
      </c>
      <c r="U4954">
        <v>-2.8620000000000001</v>
      </c>
      <c r="V4954">
        <v>2.6087039999999999E-2</v>
      </c>
      <c r="W4954">
        <v>-1.456931E-2</v>
      </c>
      <c r="X4954">
        <v>0.99955349999999998</v>
      </c>
      <c r="Y4954">
        <v>-0.38256420000000002</v>
      </c>
      <c r="Z4954">
        <v>3.6394049999999997E-2</v>
      </c>
      <c r="AA4954">
        <v>0.92321189999999997</v>
      </c>
      <c r="AB4954">
        <v>29</v>
      </c>
      <c r="AC4954">
        <v>15.792399999999899</v>
      </c>
      <c r="AD4954">
        <v>-1.1544110000000001</v>
      </c>
      <c r="AE4954">
        <v>-27.49098</v>
      </c>
      <c r="AF4954">
        <v>-12.324072615098</v>
      </c>
      <c r="AG4954">
        <v>-1.1544110000000001</v>
      </c>
      <c r="AH4954">
        <v>29.165237442827799</v>
      </c>
      <c r="AI4954">
        <v>92.088093300227499</v>
      </c>
      <c r="AJ4954">
        <v>112.906991249209</v>
      </c>
      <c r="AK4954">
        <v>31.683221201065699</v>
      </c>
    </row>
    <row r="4955" spans="1:37" x14ac:dyDescent="0.2">
      <c r="A4955" t="str">
        <f>"20200111160316034"</f>
        <v>20200111160316034</v>
      </c>
      <c r="B4955" t="str">
        <f>"1578729796028362"</f>
        <v>1578729796028362</v>
      </c>
      <c r="C4955" t="s">
        <v>37</v>
      </c>
      <c r="D4955">
        <v>5.5175619999999999</v>
      </c>
      <c r="E4955">
        <v>0.3886715</v>
      </c>
      <c r="F4955" t="s">
        <v>39</v>
      </c>
      <c r="G4955">
        <v>-282.49040000000002</v>
      </c>
      <c r="H4955">
        <v>-0.05</v>
      </c>
      <c r="I4955">
        <v>-42.935519999999997</v>
      </c>
      <c r="J4955">
        <v>-298.0942</v>
      </c>
      <c r="K4955">
        <v>1.104287</v>
      </c>
      <c r="L4955">
        <v>-16.917390000000001</v>
      </c>
      <c r="M4955">
        <v>0.121583399999999</v>
      </c>
      <c r="N4955">
        <v>0</v>
      </c>
      <c r="O4955">
        <v>-0.99246610000000002</v>
      </c>
      <c r="P4955">
        <v>0.1002242</v>
      </c>
      <c r="Q4955">
        <v>-2.5320479999999999E-2</v>
      </c>
      <c r="R4955">
        <v>-0.99464319999999895</v>
      </c>
      <c r="S4955">
        <v>1.629883</v>
      </c>
      <c r="T4955">
        <v>-0.1190112</v>
      </c>
      <c r="U4955">
        <v>-2.8553470000000001</v>
      </c>
      <c r="V4955">
        <v>2.146352E-2</v>
      </c>
      <c r="W4955">
        <v>-1.0197070000000001E-2</v>
      </c>
      <c r="X4955">
        <v>0.99971769999999904</v>
      </c>
      <c r="Y4955">
        <v>-0.38612150000000001</v>
      </c>
      <c r="Z4955">
        <v>3.6789879999999997E-2</v>
      </c>
      <c r="AA4955">
        <v>0.92171399999999903</v>
      </c>
      <c r="AB4955">
        <v>28</v>
      </c>
      <c r="AC4955">
        <v>15.6037999999999</v>
      </c>
      <c r="AD4955">
        <v>-1.1542870000000001</v>
      </c>
      <c r="AE4955">
        <v>-26.018129999999999</v>
      </c>
      <c r="AF4955">
        <v>-12.3064635425349</v>
      </c>
      <c r="AG4955">
        <v>-1.1542870000000001</v>
      </c>
      <c r="AH4955">
        <v>27.682370495644399</v>
      </c>
      <c r="AI4955">
        <v>92.182032460737204</v>
      </c>
      <c r="AJ4955">
        <v>113.96799832766899</v>
      </c>
      <c r="AK4955">
        <v>30.316580606332099</v>
      </c>
    </row>
    <row r="4956" spans="1:37" x14ac:dyDescent="0.2">
      <c r="A4956" t="str">
        <f>"20200111160316078"</f>
        <v>20200111160316078</v>
      </c>
      <c r="B4956" t="str">
        <f>"1578729796068378"</f>
        <v>1578729796068378</v>
      </c>
      <c r="C4956" t="s">
        <v>37</v>
      </c>
      <c r="D4956">
        <v>5.5477460000000001</v>
      </c>
      <c r="E4956">
        <v>0.39113009999999998</v>
      </c>
      <c r="F4956" t="s">
        <v>38</v>
      </c>
      <c r="G4956">
        <v>-290.64120000000003</v>
      </c>
      <c r="H4956" s="1">
        <v>-4.3082630000000004E-6</v>
      </c>
      <c r="I4956">
        <v>-35.009300000000003</v>
      </c>
      <c r="J4956">
        <v>-298.02730000000003</v>
      </c>
      <c r="K4956">
        <v>1.104196</v>
      </c>
      <c r="L4956">
        <v>-17.467770000000002</v>
      </c>
      <c r="M4956">
        <v>0.1211436</v>
      </c>
      <c r="N4956">
        <v>0</v>
      </c>
      <c r="O4956">
        <v>-0.99251929999999999</v>
      </c>
      <c r="P4956">
        <v>9.9560780000000001E-2</v>
      </c>
      <c r="Q4956">
        <v>-2.4291529999999999E-2</v>
      </c>
      <c r="R4956">
        <v>-0.99473469999999997</v>
      </c>
      <c r="S4956">
        <v>1.1912229999999999</v>
      </c>
      <c r="T4956">
        <v>-0.17649899999999999</v>
      </c>
      <c r="U4956">
        <v>-2.891632</v>
      </c>
      <c r="V4956">
        <v>2.1687950000000001E-2</v>
      </c>
      <c r="W4956">
        <v>-9.1576049999999992E-3</v>
      </c>
      <c r="X4956">
        <v>0.99972280000000002</v>
      </c>
      <c r="Y4956">
        <v>-0.26545299999999999</v>
      </c>
      <c r="Z4956">
        <v>5.6855959999999997E-2</v>
      </c>
      <c r="AA4956">
        <v>0.96244589999999997</v>
      </c>
      <c r="AB4956">
        <v>28</v>
      </c>
      <c r="AC4956">
        <v>7.3860999999999901</v>
      </c>
      <c r="AD4956">
        <v>-1.1042003082629901</v>
      </c>
      <c r="AE4956">
        <v>-17.541529999999899</v>
      </c>
      <c r="AF4956">
        <v>-5.1889361999465704</v>
      </c>
      <c r="AG4956">
        <v>-1.1042003082629901</v>
      </c>
      <c r="AH4956">
        <v>18.2457783716421</v>
      </c>
      <c r="AI4956">
        <v>93.331423966603793</v>
      </c>
      <c r="AJ4956">
        <v>105.875277934165</v>
      </c>
      <c r="AK4956">
        <v>19.0013879912749</v>
      </c>
    </row>
    <row r="4957" spans="1:37" x14ac:dyDescent="0.2">
      <c r="A4957" t="str">
        <f>"20200111160316108"</f>
        <v>20200111160316108</v>
      </c>
      <c r="B4957" t="str">
        <f>"1578729796098635"</f>
        <v>1578729796098635</v>
      </c>
      <c r="C4957" t="s">
        <v>37</v>
      </c>
      <c r="D4957">
        <v>5.5415999999999999</v>
      </c>
      <c r="E4957">
        <v>0.39193</v>
      </c>
      <c r="F4957" t="s">
        <v>38</v>
      </c>
      <c r="G4957">
        <v>-290.97280000000001</v>
      </c>
      <c r="H4957" s="1">
        <v>-4.2527989999999999E-6</v>
      </c>
      <c r="I4957">
        <v>-34.912979999999997</v>
      </c>
      <c r="J4957">
        <v>-297.98110000000003</v>
      </c>
      <c r="K4957">
        <v>1.1041270000000001</v>
      </c>
      <c r="L4957">
        <v>-17.850739999999998</v>
      </c>
      <c r="M4957">
        <v>0.1206595</v>
      </c>
      <c r="N4957">
        <v>0</v>
      </c>
      <c r="O4957">
        <v>-0.99257830000000002</v>
      </c>
      <c r="P4957">
        <v>9.9278450000000004E-2</v>
      </c>
      <c r="Q4957">
        <v>-2.3751479999999998E-2</v>
      </c>
      <c r="R4957">
        <v>-0.99477640000000001</v>
      </c>
      <c r="S4957">
        <v>1.17038</v>
      </c>
      <c r="T4957">
        <v>-0.18319299999999999</v>
      </c>
      <c r="U4957">
        <v>-2.8942570000000001</v>
      </c>
      <c r="V4957">
        <v>2.148425E-2</v>
      </c>
      <c r="W4957">
        <v>-8.6142559999999903E-3</v>
      </c>
      <c r="X4957">
        <v>0.99973210000000001</v>
      </c>
      <c r="Y4957">
        <v>-0.25962020000000002</v>
      </c>
      <c r="Z4957">
        <v>5.9085609999999997E-2</v>
      </c>
      <c r="AA4957">
        <v>0.96390159999999903</v>
      </c>
      <c r="AB4957">
        <v>28</v>
      </c>
      <c r="AC4957">
        <v>7.00830000000001</v>
      </c>
      <c r="AD4957">
        <v>-1.1041312527989999</v>
      </c>
      <c r="AE4957">
        <v>-17.062239999999999</v>
      </c>
      <c r="AF4957">
        <v>-4.8806396050080103</v>
      </c>
      <c r="AG4957">
        <v>-1.1041312527989999</v>
      </c>
      <c r="AH4957">
        <v>17.719776814857401</v>
      </c>
      <c r="AI4957">
        <v>93.437832700956903</v>
      </c>
      <c r="AJ4957">
        <v>105.3993985983</v>
      </c>
      <c r="AK4957">
        <v>18.4127738036869</v>
      </c>
    </row>
    <row r="4958" spans="1:37" x14ac:dyDescent="0.2">
      <c r="A4958" t="str">
        <f>"20200111160316146"</f>
        <v>20200111160316146</v>
      </c>
      <c r="B4958" t="str">
        <f>"1578729796138650"</f>
        <v>1578729796138650</v>
      </c>
      <c r="C4958" t="s">
        <v>37</v>
      </c>
      <c r="D4958">
        <v>5.2111549999999998</v>
      </c>
      <c r="E4958">
        <v>0.39202789999999998</v>
      </c>
      <c r="F4958" t="s">
        <v>38</v>
      </c>
      <c r="G4958">
        <v>-290.93110000000001</v>
      </c>
      <c r="H4958" s="1">
        <v>-4.0994099999999999E-6</v>
      </c>
      <c r="I4958">
        <v>-35.396349999999998</v>
      </c>
      <c r="J4958">
        <v>-297.92619999999999</v>
      </c>
      <c r="K4958">
        <v>1.104028</v>
      </c>
      <c r="L4958">
        <v>-18.309629999999999</v>
      </c>
      <c r="M4958">
        <v>0.1198321</v>
      </c>
      <c r="N4958">
        <v>0</v>
      </c>
      <c r="O4958">
        <v>-0.99267850000000002</v>
      </c>
      <c r="P4958">
        <v>9.7999069999999994E-2</v>
      </c>
      <c r="Q4958">
        <v>-2.4872869999999998E-2</v>
      </c>
      <c r="R4958">
        <v>-0.99487559999999997</v>
      </c>
      <c r="S4958">
        <v>1.1633610000000001</v>
      </c>
      <c r="T4958">
        <v>-0.18219849999999899</v>
      </c>
      <c r="U4958">
        <v>-2.8952939999999998</v>
      </c>
      <c r="V4958">
        <v>2.1929850000000001E-2</v>
      </c>
      <c r="W4958">
        <v>-9.7372869999999903E-3</v>
      </c>
      <c r="X4958">
        <v>0.99971209999999899</v>
      </c>
      <c r="Y4958">
        <v>-0.2583008</v>
      </c>
      <c r="Z4958">
        <v>5.8791719999999999E-2</v>
      </c>
      <c r="AA4958">
        <v>0.96427389999999902</v>
      </c>
      <c r="AB4958">
        <v>28</v>
      </c>
      <c r="AC4958">
        <v>6.9950999999999697</v>
      </c>
      <c r="AD4958">
        <v>-1.1040320994099999</v>
      </c>
      <c r="AE4958">
        <v>-17.08672</v>
      </c>
      <c r="AF4958">
        <v>-4.8794630402136203</v>
      </c>
      <c r="AG4958">
        <v>-1.1040320994099999</v>
      </c>
      <c r="AH4958">
        <v>17.738475240515299</v>
      </c>
      <c r="AI4958">
        <v>93.434222484830499</v>
      </c>
      <c r="AJ4958">
        <v>105.38040226600199</v>
      </c>
      <c r="AK4958">
        <v>18.430451711656801</v>
      </c>
    </row>
    <row r="4959" spans="1:37" x14ac:dyDescent="0.2">
      <c r="A4959" t="str">
        <f>"20200111160316190"</f>
        <v>20200111160316190</v>
      </c>
      <c r="B4959" t="str">
        <f>"1578729796178666"</f>
        <v>1578729796178666</v>
      </c>
      <c r="C4959" t="s">
        <v>37</v>
      </c>
      <c r="D4959">
        <v>5.2113490000000002</v>
      </c>
      <c r="E4959">
        <v>0.39145180000000002</v>
      </c>
      <c r="F4959" t="s">
        <v>38</v>
      </c>
      <c r="G4959">
        <v>-291.13729999999998</v>
      </c>
      <c r="H4959" s="1">
        <v>-4.0864210000000003E-6</v>
      </c>
      <c r="I4959">
        <v>-35.27328</v>
      </c>
      <c r="J4959">
        <v>-297.86250000000001</v>
      </c>
      <c r="K4959">
        <v>1.103904</v>
      </c>
      <c r="L4959">
        <v>-18.850429999999999</v>
      </c>
      <c r="M4959">
        <v>0.11856510000000001</v>
      </c>
      <c r="N4959">
        <v>0</v>
      </c>
      <c r="O4959">
        <v>-0.99283049999999995</v>
      </c>
      <c r="P4959">
        <v>9.5702910000000002E-2</v>
      </c>
      <c r="Q4959">
        <v>-2.4449439999999999E-2</v>
      </c>
      <c r="R4959">
        <v>-0.99510980000000004</v>
      </c>
      <c r="S4959">
        <v>1.1592100000000001</v>
      </c>
      <c r="T4959">
        <v>-0.18851370000000001</v>
      </c>
      <c r="U4959">
        <v>-2.8965450000000001</v>
      </c>
      <c r="V4959">
        <v>2.2959489999999999E-2</v>
      </c>
      <c r="W4959">
        <v>-9.3199759999999902E-3</v>
      </c>
      <c r="X4959">
        <v>0.99969300000000005</v>
      </c>
      <c r="Y4959">
        <v>-0.25815369999999999</v>
      </c>
      <c r="Z4959">
        <v>6.0828350000000003E-2</v>
      </c>
      <c r="AA4959">
        <v>0.96418700000000002</v>
      </c>
      <c r="AB4959">
        <v>28</v>
      </c>
      <c r="AC4959">
        <v>6.7252000000000196</v>
      </c>
      <c r="AD4959">
        <v>-1.103908086421</v>
      </c>
      <c r="AE4959">
        <v>-16.42285</v>
      </c>
      <c r="AF4959">
        <v>-4.7121177176633102</v>
      </c>
      <c r="AG4959">
        <v>-1.103908086421</v>
      </c>
      <c r="AH4959">
        <v>17.038518445522801</v>
      </c>
      <c r="AI4959">
        <v>93.573192871482505</v>
      </c>
      <c r="AJ4959">
        <v>105.459143619683</v>
      </c>
      <c r="AK4959">
        <v>17.7125316447651</v>
      </c>
    </row>
    <row r="4960" spans="1:37" x14ac:dyDescent="0.2">
      <c r="A4960" t="str">
        <f>"20200111160316235"</f>
        <v>20200111160316235</v>
      </c>
      <c r="B4960" t="str">
        <f>"1578729796228442"</f>
        <v>1578729796228442</v>
      </c>
      <c r="C4960" t="s">
        <v>37</v>
      </c>
      <c r="D4960">
        <v>5.009944</v>
      </c>
      <c r="E4960">
        <v>0.39086090000000001</v>
      </c>
      <c r="F4960" t="s">
        <v>38</v>
      </c>
      <c r="G4960">
        <v>-291.27010000000001</v>
      </c>
      <c r="H4960" s="1">
        <v>-4.0197940000000003E-6</v>
      </c>
      <c r="I4960">
        <v>-35.365220000000001</v>
      </c>
      <c r="J4960">
        <v>-297.7971</v>
      </c>
      <c r="K4960">
        <v>1.103823</v>
      </c>
      <c r="L4960">
        <v>-19.414760000000001</v>
      </c>
      <c r="M4960">
        <v>0.1169635</v>
      </c>
      <c r="N4960">
        <v>0</v>
      </c>
      <c r="O4960">
        <v>-0.99302060000000003</v>
      </c>
      <c r="P4960">
        <v>9.5489770000000002E-2</v>
      </c>
      <c r="Q4960">
        <v>-2.427406E-2</v>
      </c>
      <c r="R4960">
        <v>-0.99513469999999904</v>
      </c>
      <c r="S4960">
        <v>1.1571039999999999</v>
      </c>
      <c r="T4960">
        <v>-0.1937603</v>
      </c>
      <c r="U4960">
        <v>-2.89871199999999</v>
      </c>
      <c r="V4960">
        <v>2.1559990000000001E-2</v>
      </c>
      <c r="W4960">
        <v>-9.1490210000000002E-3</v>
      </c>
      <c r="X4960">
        <v>0.99972569999999905</v>
      </c>
      <c r="Y4960">
        <v>-0.25882100000000002</v>
      </c>
      <c r="Z4960">
        <v>6.2491669999999999E-2</v>
      </c>
      <c r="AA4960">
        <v>0.96390169999999997</v>
      </c>
      <c r="AB4960">
        <v>28</v>
      </c>
      <c r="AC4960">
        <v>6.5269999999999797</v>
      </c>
      <c r="AD4960">
        <v>-1.1038270197940001</v>
      </c>
      <c r="AE4960">
        <v>-15.95046</v>
      </c>
      <c r="AF4960">
        <v>-4.5974939911223602</v>
      </c>
      <c r="AG4960">
        <v>-1.1038270197940001</v>
      </c>
      <c r="AH4960">
        <v>16.536625933249699</v>
      </c>
      <c r="AI4960">
        <v>93.679695346427096</v>
      </c>
      <c r="AJ4960">
        <v>105.536934048281</v>
      </c>
      <c r="AK4960">
        <v>17.199284355584702</v>
      </c>
    </row>
    <row r="4961" spans="1:37" x14ac:dyDescent="0.2">
      <c r="A4961" t="str">
        <f>"20200111160316279"</f>
        <v>20200111160316279</v>
      </c>
      <c r="B4961" t="str">
        <f>"1578729796268458"</f>
        <v>1578729796268458</v>
      </c>
      <c r="C4961" t="s">
        <v>37</v>
      </c>
      <c r="D4961">
        <v>6.6102850000000002</v>
      </c>
      <c r="E4961">
        <v>0.39048490000000002</v>
      </c>
      <c r="F4961" t="s">
        <v>38</v>
      </c>
      <c r="G4961">
        <v>-291.14060000000001</v>
      </c>
      <c r="H4961" s="1">
        <v>-3.8265830000000001E-6</v>
      </c>
      <c r="I4961">
        <v>-36.034279999999903</v>
      </c>
      <c r="J4961">
        <v>-297.73630000000003</v>
      </c>
      <c r="K4961">
        <v>1.103777</v>
      </c>
      <c r="L4961">
        <v>-19.94821</v>
      </c>
      <c r="M4961">
        <v>0.11524719999999999</v>
      </c>
      <c r="N4961">
        <v>0</v>
      </c>
      <c r="O4961">
        <v>-0.99322129999999997</v>
      </c>
      <c r="P4961">
        <v>9.7392370000000006E-2</v>
      </c>
      <c r="Q4961">
        <v>-2.3434750000000001E-2</v>
      </c>
      <c r="R4961">
        <v>-0.99497039999999903</v>
      </c>
      <c r="S4961">
        <v>1.1609499999999999</v>
      </c>
      <c r="T4961">
        <v>-0.1925172</v>
      </c>
      <c r="U4961">
        <v>-2.89859</v>
      </c>
      <c r="V4961">
        <v>1.7923870000000001E-2</v>
      </c>
      <c r="W4961">
        <v>-8.3097150000000005E-3</v>
      </c>
      <c r="X4961">
        <v>0.99980480000000005</v>
      </c>
      <c r="Y4961">
        <v>-0.26161509999999999</v>
      </c>
      <c r="Z4961">
        <v>6.2075070000000003E-2</v>
      </c>
      <c r="AA4961">
        <v>0.96317399999999997</v>
      </c>
      <c r="AB4961">
        <v>28</v>
      </c>
      <c r="AC4961">
        <v>6.5957000000000203</v>
      </c>
      <c r="AD4961">
        <v>-1.103780826583</v>
      </c>
      <c r="AE4961">
        <v>-16.0860699999999</v>
      </c>
      <c r="AF4961">
        <v>-4.6787956515531599</v>
      </c>
      <c r="AG4961">
        <v>-1.103780826583</v>
      </c>
      <c r="AH4961">
        <v>16.671885522980102</v>
      </c>
      <c r="AI4961">
        <v>93.6472994083055</v>
      </c>
      <c r="AJ4961">
        <v>105.676236901309</v>
      </c>
      <c r="AK4961">
        <v>17.351116037692702</v>
      </c>
    </row>
    <row r="4962" spans="1:37" x14ac:dyDescent="0.2">
      <c r="A4962" t="str">
        <f>"20200111160316311"</f>
        <v>20200111160316311</v>
      </c>
      <c r="B4962" t="str">
        <f>"1578729796308476"</f>
        <v>1578729796308476</v>
      </c>
      <c r="C4962" t="s">
        <v>37</v>
      </c>
      <c r="D4962">
        <v>4.818695</v>
      </c>
      <c r="E4962">
        <v>0.32805139999999999</v>
      </c>
      <c r="F4962" t="s">
        <v>38</v>
      </c>
      <c r="G4962">
        <v>-290.89350000000002</v>
      </c>
      <c r="H4962" s="1">
        <v>-3.5962199999999899E-6</v>
      </c>
      <c r="I4962">
        <v>-36.904379999999897</v>
      </c>
      <c r="J4962">
        <v>-297.69170000000003</v>
      </c>
      <c r="K4962">
        <v>1.1037410000000001</v>
      </c>
      <c r="L4962">
        <v>-20.34637</v>
      </c>
      <c r="M4962">
        <v>0.113846499999999</v>
      </c>
      <c r="N4962">
        <v>0</v>
      </c>
      <c r="O4962">
        <v>-0.99338300000000002</v>
      </c>
      <c r="P4962">
        <v>9.8137539999999995E-2</v>
      </c>
      <c r="Q4962">
        <v>-2.2213670000000001E-2</v>
      </c>
      <c r="R4962">
        <v>-0.99492539999999996</v>
      </c>
      <c r="S4962">
        <v>1.1688229999999999</v>
      </c>
      <c r="T4962">
        <v>-0.18853800000000001</v>
      </c>
      <c r="U4962">
        <v>-2.8963009999999998</v>
      </c>
      <c r="V4962">
        <v>1.5769890000000002E-2</v>
      </c>
      <c r="W4962">
        <v>-7.0902669999999999E-3</v>
      </c>
      <c r="X4962">
        <v>0.99985049999999998</v>
      </c>
      <c r="Y4962">
        <v>-0.26551999999999998</v>
      </c>
      <c r="Z4962">
        <v>6.0793499999999903E-2</v>
      </c>
      <c r="AA4962">
        <v>0.96218669999999995</v>
      </c>
      <c r="AB4962">
        <v>28</v>
      </c>
      <c r="AC4962">
        <v>6.7981999999999996</v>
      </c>
      <c r="AD4962">
        <v>-1.1037445962200001</v>
      </c>
      <c r="AE4962">
        <v>-16.5580099999999</v>
      </c>
      <c r="AF4962">
        <v>-4.8502597493102799</v>
      </c>
      <c r="AG4962">
        <v>-1.1037445962200001</v>
      </c>
      <c r="AH4962">
        <v>17.159123565194299</v>
      </c>
      <c r="AI4962">
        <v>93.542018845570894</v>
      </c>
      <c r="AJ4962">
        <v>105.783666729361</v>
      </c>
      <c r="AK4962">
        <v>17.8655756496977</v>
      </c>
    </row>
    <row r="4963" spans="1:37" x14ac:dyDescent="0.2">
      <c r="A4963" t="str">
        <f>"20200111160316346"</f>
        <v>20200111160316346</v>
      </c>
      <c r="B4963" t="str">
        <f>"1578729796337757"</f>
        <v>1578729796337757</v>
      </c>
      <c r="C4963" t="s">
        <v>37</v>
      </c>
      <c r="D4963">
        <v>4.798305</v>
      </c>
      <c r="E4963">
        <v>0.330069</v>
      </c>
      <c r="F4963" t="s">
        <v>66</v>
      </c>
      <c r="G4963">
        <v>-256.28769999999997</v>
      </c>
      <c r="H4963">
        <v>0.92211529999999997</v>
      </c>
      <c r="I4963">
        <v>-91.564989999999995</v>
      </c>
      <c r="J4963">
        <v>-297.64499999999998</v>
      </c>
      <c r="K4963">
        <v>1.103688</v>
      </c>
      <c r="L4963">
        <v>-20.770659999999999</v>
      </c>
      <c r="M4963">
        <v>0.1122206</v>
      </c>
      <c r="N4963">
        <v>0</v>
      </c>
      <c r="O4963">
        <v>-0.99356800000000001</v>
      </c>
      <c r="P4963">
        <v>9.9029779999999998E-2</v>
      </c>
      <c r="Q4963">
        <v>-2.183324E-2</v>
      </c>
      <c r="R4963">
        <v>-0.99484530000000004</v>
      </c>
      <c r="S4963">
        <v>1.657837</v>
      </c>
      <c r="T4963">
        <v>-7.271886E-3</v>
      </c>
      <c r="U4963">
        <v>-2.8516240000000002</v>
      </c>
      <c r="V4963">
        <v>1.3237820000000001E-2</v>
      </c>
      <c r="W4963">
        <v>-6.7117890000000001E-3</v>
      </c>
      <c r="X4963">
        <v>0.9998899</v>
      </c>
      <c r="Y4963">
        <v>-0.4023969</v>
      </c>
      <c r="Z4963">
        <v>2.242642E-3</v>
      </c>
      <c r="AA4963">
        <v>0.91546260000000002</v>
      </c>
      <c r="AB4963">
        <v>27</v>
      </c>
      <c r="AC4963">
        <v>41.357300000000002</v>
      </c>
      <c r="AD4963">
        <v>-0.1815727</v>
      </c>
      <c r="AE4963">
        <v>-70.794330000000002</v>
      </c>
      <c r="AF4963">
        <v>-33.150343782053703</v>
      </c>
      <c r="AG4963">
        <v>-0.1815727</v>
      </c>
      <c r="AH4963">
        <v>74.988347053157796</v>
      </c>
      <c r="AI4963">
        <v>90.126886915568704</v>
      </c>
      <c r="AJ4963">
        <v>113.84894051674701</v>
      </c>
      <c r="AK4963">
        <v>81.989209383177794</v>
      </c>
    </row>
    <row r="4964" spans="1:37" x14ac:dyDescent="0.2">
      <c r="A4964" t="str">
        <f>"20200111160316422"</f>
        <v>20200111160316422</v>
      </c>
      <c r="B4964" t="str">
        <f>"1578729796418134"</f>
        <v>1578729796418134</v>
      </c>
      <c r="C4964" t="s">
        <v>37</v>
      </c>
      <c r="D4964">
        <v>4.9914759999999996</v>
      </c>
      <c r="E4964">
        <v>0.33128489999999999</v>
      </c>
      <c r="F4964" t="s">
        <v>38</v>
      </c>
      <c r="G4964">
        <v>-268.49299999999999</v>
      </c>
      <c r="H4964">
        <v>7.9986849999999998E-2</v>
      </c>
      <c r="I4964">
        <v>-71.215649999999997</v>
      </c>
      <c r="J4964">
        <v>-297.54680000000002</v>
      </c>
      <c r="K4964">
        <v>1.103521</v>
      </c>
      <c r="L4964">
        <v>-21.692720000000001</v>
      </c>
      <c r="M4964">
        <v>0.108062799999999</v>
      </c>
      <c r="N4964">
        <v>0</v>
      </c>
      <c r="O4964">
        <v>-0.99402889999999999</v>
      </c>
      <c r="P4964">
        <v>9.3942680000000001E-2</v>
      </c>
      <c r="Q4964">
        <v>-2.115121E-2</v>
      </c>
      <c r="R4964">
        <v>-0.99535300000000004</v>
      </c>
      <c r="S4964">
        <v>1.647186</v>
      </c>
      <c r="T4964">
        <v>-5.7842490000000003E-2</v>
      </c>
      <c r="U4964">
        <v>-2.850311</v>
      </c>
      <c r="V4964">
        <v>1.4166079999999999E-2</v>
      </c>
      <c r="W4964">
        <v>-6.0501829999999998E-3</v>
      </c>
      <c r="X4964">
        <v>0.99988129999999997</v>
      </c>
      <c r="Y4964">
        <v>-0.40377099999999999</v>
      </c>
      <c r="Z4964">
        <v>1.7865229999999999E-2</v>
      </c>
      <c r="AA4964">
        <v>0.91468570000000005</v>
      </c>
      <c r="AB4964">
        <v>27</v>
      </c>
      <c r="AC4964">
        <v>29.053799999999999</v>
      </c>
      <c r="AD4964">
        <v>-1.0235341499999999</v>
      </c>
      <c r="AE4964">
        <v>-49.522930000000002</v>
      </c>
      <c r="AF4964">
        <v>-23.5239490640115</v>
      </c>
      <c r="AG4964">
        <v>-1.0235341499999999</v>
      </c>
      <c r="AH4964">
        <v>52.356217058505301</v>
      </c>
      <c r="AI4964">
        <v>91.021600071873806</v>
      </c>
      <c r="AJ4964">
        <v>114.19465736334</v>
      </c>
      <c r="AK4964">
        <v>57.407292798038696</v>
      </c>
    </row>
    <row r="4965" spans="1:37" x14ac:dyDescent="0.2">
      <c r="A4965" t="str">
        <f>"20200111160316503"</f>
        <v>20200111160316503</v>
      </c>
      <c r="B4965" t="str">
        <f>"1578729796498165"</f>
        <v>1578729796498165</v>
      </c>
      <c r="C4965" t="s">
        <v>37</v>
      </c>
      <c r="D4965">
        <v>5.0512370000000004</v>
      </c>
      <c r="E4965">
        <v>0.55228080000000002</v>
      </c>
      <c r="F4965" t="s">
        <v>38</v>
      </c>
      <c r="G4965">
        <v>-275.06360000000001</v>
      </c>
      <c r="H4965" s="1">
        <v>-1.526701E-6</v>
      </c>
      <c r="I4965">
        <v>-61.283749999999998</v>
      </c>
      <c r="J4965">
        <v>-297.44929999999999</v>
      </c>
      <c r="K4965">
        <v>1.1033029999999999</v>
      </c>
      <c r="L4965">
        <v>-22.66187</v>
      </c>
      <c r="M4965">
        <v>0.10265819999999901</v>
      </c>
      <c r="N4965">
        <v>0</v>
      </c>
      <c r="O4965">
        <v>-0.99460170000000003</v>
      </c>
      <c r="P4965">
        <v>7.8800510000000004E-2</v>
      </c>
      <c r="Q4965">
        <v>-2.21889999999999E-2</v>
      </c>
      <c r="R4965">
        <v>-0.99664349999999902</v>
      </c>
      <c r="S4965">
        <v>1.6236269999999999</v>
      </c>
      <c r="T4965">
        <v>-7.9690929999999993E-2</v>
      </c>
      <c r="U4965">
        <v>-2.85907</v>
      </c>
      <c r="V4965">
        <v>2.3920690000000001E-2</v>
      </c>
      <c r="W4965">
        <v>-7.1405469999999997E-3</v>
      </c>
      <c r="X4965">
        <v>0.99968840000000003</v>
      </c>
      <c r="Y4965">
        <v>-0.40177790000000002</v>
      </c>
      <c r="Z4965">
        <v>2.4624170000000001E-2</v>
      </c>
      <c r="AA4965">
        <v>0.91540599999999905</v>
      </c>
      <c r="AB4965">
        <v>27</v>
      </c>
      <c r="AC4965">
        <v>22.3856999999999</v>
      </c>
      <c r="AD4965">
        <v>-1.103304526701</v>
      </c>
      <c r="AE4965">
        <v>-38.621879999999997</v>
      </c>
      <c r="AF4965">
        <v>-18.2909230471714</v>
      </c>
      <c r="AG4965">
        <v>-1.103304526701</v>
      </c>
      <c r="AH4965">
        <v>40.691264178668597</v>
      </c>
      <c r="AI4965">
        <v>91.416661941850506</v>
      </c>
      <c r="AJ4965">
        <v>114.204151292418</v>
      </c>
      <c r="AK4965">
        <v>44.626831920430803</v>
      </c>
    </row>
    <row r="4966" spans="1:37" x14ac:dyDescent="0.2">
      <c r="A4966" t="str">
        <f>"20200111160316546"</f>
        <v>20200111160316546</v>
      </c>
      <c r="B4966" t="str">
        <f>"1578729796538181"</f>
        <v>1578729796538181</v>
      </c>
      <c r="C4966" t="s">
        <v>37</v>
      </c>
      <c r="D4966">
        <v>5.0494059999999896</v>
      </c>
      <c r="E4966">
        <v>0.56917949999999995</v>
      </c>
      <c r="F4966" t="s">
        <v>42</v>
      </c>
      <c r="G4966">
        <v>-297.49360000000001</v>
      </c>
      <c r="H4966">
        <v>1.013752</v>
      </c>
      <c r="I4966">
        <v>-23.46265</v>
      </c>
      <c r="J4966">
        <v>-297.39890000000003</v>
      </c>
      <c r="K4966">
        <v>1.1032010000000001</v>
      </c>
      <c r="L4966">
        <v>-23.191859999999998</v>
      </c>
      <c r="M4966">
        <v>9.9236089999999999E-2</v>
      </c>
      <c r="N4966">
        <v>0</v>
      </c>
      <c r="O4966">
        <v>-0.99494899999999997</v>
      </c>
      <c r="P4966">
        <v>6.9625000000000006E-2</v>
      </c>
      <c r="Q4966">
        <v>-2.145758E-2</v>
      </c>
      <c r="R4966">
        <v>-0.99734259999999997</v>
      </c>
      <c r="S4966">
        <v>-0.1668396</v>
      </c>
      <c r="T4966">
        <v>-0.33723309999999901</v>
      </c>
      <c r="U4966">
        <v>-3.0157780000000001</v>
      </c>
      <c r="V4966">
        <v>2.9682090000000001E-2</v>
      </c>
      <c r="W4966">
        <v>-6.4439049999999998E-3</v>
      </c>
      <c r="X4966">
        <v>0.99953860000000005</v>
      </c>
      <c r="Y4966">
        <v>0.1537231</v>
      </c>
      <c r="Z4966">
        <v>0.1095641</v>
      </c>
      <c r="AA4966">
        <v>0.98202089999999997</v>
      </c>
      <c r="AB4966">
        <v>27</v>
      </c>
      <c r="AC4966">
        <v>-9.4699999999988904E-2</v>
      </c>
      <c r="AD4966">
        <v>-8.9449000000000098E-2</v>
      </c>
      <c r="AE4966">
        <v>-0.27078999999999798</v>
      </c>
      <c r="AF4966">
        <v>0.110376368649811</v>
      </c>
      <c r="AG4966">
        <v>-8.9449000000000098E-2</v>
      </c>
      <c r="AH4966">
        <v>0.23701103182788499</v>
      </c>
      <c r="AI4966">
        <v>108.887044596059</v>
      </c>
      <c r="AJ4966">
        <v>65.028538724033496</v>
      </c>
      <c r="AK4966">
        <v>0.276330048249259</v>
      </c>
    </row>
    <row r="4967" spans="1:37" x14ac:dyDescent="0.2">
      <c r="A4967" t="str">
        <f>"20200111160316592"</f>
        <v>20200111160316592</v>
      </c>
      <c r="B4967" t="str">
        <f>"1578729796587959"</f>
        <v>1578729796587959</v>
      </c>
      <c r="C4967" t="s">
        <v>37</v>
      </c>
      <c r="D4967">
        <v>5.1371929999999999</v>
      </c>
      <c r="E4967">
        <v>0.57598340000000003</v>
      </c>
      <c r="F4967" t="s">
        <v>42</v>
      </c>
      <c r="G4967">
        <v>-297.4803</v>
      </c>
      <c r="H4967">
        <v>1.0099129999999901</v>
      </c>
      <c r="I4967">
        <v>-23.943909999999999</v>
      </c>
      <c r="J4967">
        <v>-297.35000000000002</v>
      </c>
      <c r="K4967">
        <v>1.10314</v>
      </c>
      <c r="L4967">
        <v>-23.730219999999999</v>
      </c>
      <c r="M4967">
        <v>9.5470269999999996E-2</v>
      </c>
      <c r="N4967">
        <v>0</v>
      </c>
      <c r="O4967">
        <v>-0.99531769999999997</v>
      </c>
      <c r="P4967">
        <v>6.1346730000000002E-2</v>
      </c>
      <c r="Q4967">
        <v>-2.0782760000000001E-2</v>
      </c>
      <c r="R4967">
        <v>-0.99790040000000002</v>
      </c>
      <c r="S4967">
        <v>-0.32656859999999999</v>
      </c>
      <c r="T4967">
        <v>-0.37485459999999998</v>
      </c>
      <c r="U4967">
        <v>-3.0227360000000001</v>
      </c>
      <c r="V4967">
        <v>3.4194719999999998E-2</v>
      </c>
      <c r="W4967">
        <v>-5.8011989999999999E-3</v>
      </c>
      <c r="X4967">
        <v>0.99939840000000002</v>
      </c>
      <c r="Y4967">
        <v>0.20105519999999999</v>
      </c>
      <c r="Z4967">
        <v>0.120621699999999</v>
      </c>
      <c r="AA4967">
        <v>0.97212509999999996</v>
      </c>
      <c r="AB4967">
        <v>27</v>
      </c>
      <c r="AC4967">
        <v>-0.13029999999997699</v>
      </c>
      <c r="AD4967">
        <v>-9.3227000000000101E-2</v>
      </c>
      <c r="AE4967">
        <v>-0.21368999999999599</v>
      </c>
      <c r="AF4967">
        <v>0.131818708959488</v>
      </c>
      <c r="AG4967">
        <v>-9.3227000000000101E-2</v>
      </c>
      <c r="AH4967">
        <v>0.17587105765017699</v>
      </c>
      <c r="AI4967">
        <v>112.98508720970101</v>
      </c>
      <c r="AJ4967">
        <v>53.147742336034</v>
      </c>
      <c r="AK4967">
        <v>0.238742695133774</v>
      </c>
    </row>
    <row r="4968" spans="1:37" x14ac:dyDescent="0.2">
      <c r="A4968" t="str">
        <f>"20200111160316621"</f>
        <v>20200111160316621</v>
      </c>
      <c r="B4968" t="str">
        <f>"1578729796617991"</f>
        <v>1578729796617991</v>
      </c>
      <c r="C4968" t="s">
        <v>37</v>
      </c>
      <c r="D4968">
        <v>5.104609</v>
      </c>
      <c r="E4968">
        <v>0.57825019999999905</v>
      </c>
      <c r="F4968" t="s">
        <v>42</v>
      </c>
      <c r="G4968">
        <v>-297.4742</v>
      </c>
      <c r="H4968">
        <v>0.98268619999999995</v>
      </c>
      <c r="I4968">
        <v>-24.656389999999998</v>
      </c>
      <c r="J4968">
        <v>-297.31900000000002</v>
      </c>
      <c r="K4968">
        <v>1.1031139999999999</v>
      </c>
      <c r="L4968">
        <v>-24.08597</v>
      </c>
      <c r="M4968">
        <v>9.2874399999999996E-2</v>
      </c>
      <c r="N4968">
        <v>0</v>
      </c>
      <c r="O4968">
        <v>-0.99556350000000005</v>
      </c>
      <c r="P4968">
        <v>5.5672439999999997E-2</v>
      </c>
      <c r="Q4968">
        <v>-2.2476590000000001E-2</v>
      </c>
      <c r="R4968">
        <v>-0.99819629999999904</v>
      </c>
      <c r="S4968">
        <v>-0.40448000000000001</v>
      </c>
      <c r="T4968">
        <v>-0.39299440000000002</v>
      </c>
      <c r="U4968">
        <v>-3.02298</v>
      </c>
      <c r="V4968">
        <v>3.7259779999999999E-2</v>
      </c>
      <c r="W4968">
        <v>-7.5165839999999998E-3</v>
      </c>
      <c r="X4968">
        <v>0.99927739999999998</v>
      </c>
      <c r="Y4968">
        <v>0.2230415</v>
      </c>
      <c r="Z4968">
        <v>0.1259033</v>
      </c>
      <c r="AA4968">
        <v>0.96664409999999901</v>
      </c>
      <c r="AB4968">
        <v>27</v>
      </c>
      <c r="AC4968">
        <v>-0.15519999999997899</v>
      </c>
      <c r="AD4968">
        <v>-0.120427799999999</v>
      </c>
      <c r="AE4968">
        <v>-0.57041999999999804</v>
      </c>
      <c r="AF4968">
        <v>0.199243864176468</v>
      </c>
      <c r="AG4968">
        <v>-0.120427799999999</v>
      </c>
      <c r="AH4968">
        <v>0.53148172369441404</v>
      </c>
      <c r="AI4968">
        <v>101.97879652380399</v>
      </c>
      <c r="AJ4968">
        <v>69.449794223634697</v>
      </c>
      <c r="AK4968">
        <v>0.58023598220551298</v>
      </c>
    </row>
    <row r="4969" spans="1:37" x14ac:dyDescent="0.2">
      <c r="A4969" t="str">
        <f>"20200111160316670"</f>
        <v>20200111160316670</v>
      </c>
      <c r="B4969" t="str">
        <f>"1578729796658006"</f>
        <v>1578729796658006</v>
      </c>
      <c r="C4969" t="s">
        <v>37</v>
      </c>
      <c r="D4969">
        <v>5.1793979999999999</v>
      </c>
      <c r="E4969">
        <v>0.57998309999999997</v>
      </c>
      <c r="F4969" t="s">
        <v>42</v>
      </c>
      <c r="G4969">
        <v>-297.43669999999997</v>
      </c>
      <c r="H4969">
        <v>0.99393980000000004</v>
      </c>
      <c r="I4969">
        <v>-24.894909999999999</v>
      </c>
      <c r="J4969">
        <v>-297.2713</v>
      </c>
      <c r="K4969">
        <v>1.1031219999999999</v>
      </c>
      <c r="L4969">
        <v>-24.656310000000001</v>
      </c>
      <c r="M4969">
        <v>8.8639889999999999E-2</v>
      </c>
      <c r="N4969">
        <v>0</v>
      </c>
      <c r="O4969">
        <v>-0.99594959999999899</v>
      </c>
      <c r="P4969">
        <v>4.7137209999999999E-2</v>
      </c>
      <c r="Q4969">
        <v>-2.72862E-2</v>
      </c>
      <c r="R4969">
        <v>-0.99851579999999995</v>
      </c>
      <c r="S4969">
        <v>-0.43905640000000001</v>
      </c>
      <c r="T4969">
        <v>-0.40762799999999999</v>
      </c>
      <c r="U4969">
        <v>-3.020721</v>
      </c>
      <c r="V4969">
        <v>4.1523600000000001E-2</v>
      </c>
      <c r="W4969">
        <v>-1.235757E-2</v>
      </c>
      <c r="X4969">
        <v>0.99906109999999904</v>
      </c>
      <c r="Y4969">
        <v>0.2297536</v>
      </c>
      <c r="Z4969">
        <v>0.1304768</v>
      </c>
      <c r="AA4969">
        <v>0.96446309999999902</v>
      </c>
      <c r="AB4969">
        <v>27</v>
      </c>
      <c r="AC4969">
        <v>-0.16539999999997601</v>
      </c>
      <c r="AD4969">
        <v>-0.10918219999999899</v>
      </c>
      <c r="AE4969">
        <v>-0.23859999999999801</v>
      </c>
      <c r="AF4969">
        <v>0.16286642830624101</v>
      </c>
      <c r="AG4969">
        <v>-0.10918219999999899</v>
      </c>
      <c r="AH4969">
        <v>0.195367066004658</v>
      </c>
      <c r="AI4969">
        <v>113.23192258204401</v>
      </c>
      <c r="AJ4969">
        <v>50.1839523176344</v>
      </c>
      <c r="AK4969">
        <v>0.27679327438603102</v>
      </c>
    </row>
    <row r="4970" spans="1:37" x14ac:dyDescent="0.2">
      <c r="A4970" t="str">
        <f>"20200111160316703"</f>
        <v>20200111160316703</v>
      </c>
      <c r="B4970" t="str">
        <f>"1578729796698022"</f>
        <v>1578729796698022</v>
      </c>
      <c r="C4970" t="s">
        <v>37</v>
      </c>
      <c r="D4970">
        <v>5.19285</v>
      </c>
      <c r="E4970">
        <v>0.58079930000000002</v>
      </c>
      <c r="F4970" t="s">
        <v>38</v>
      </c>
      <c r="G4970">
        <v>-298.49259999999998</v>
      </c>
      <c r="H4970" s="1">
        <v>-3.70048299999999E-6</v>
      </c>
      <c r="I4970">
        <v>-32.364570000000001</v>
      </c>
      <c r="J4970">
        <v>-297.23910000000001</v>
      </c>
      <c r="K4970">
        <v>1.1031709999999999</v>
      </c>
      <c r="L4970">
        <v>-25.059329999999999</v>
      </c>
      <c r="M4970">
        <v>8.5632630000000001E-2</v>
      </c>
      <c r="N4970">
        <v>0</v>
      </c>
      <c r="O4970">
        <v>-0.99621280000000001</v>
      </c>
      <c r="P4970">
        <v>4.1789020000000003E-2</v>
      </c>
      <c r="Q4970">
        <v>-2.4033160000000001E-2</v>
      </c>
      <c r="R4970">
        <v>-0.99883739999999999</v>
      </c>
      <c r="S4970">
        <v>-0.47775269999999997</v>
      </c>
      <c r="T4970">
        <v>-0.431507799999999</v>
      </c>
      <c r="U4970">
        <v>-3.015228</v>
      </c>
      <c r="V4970">
        <v>4.3875650000000002E-2</v>
      </c>
      <c r="W4970">
        <v>-9.1213969999999998E-3</v>
      </c>
      <c r="X4970">
        <v>0.99899539999999998</v>
      </c>
      <c r="Y4970">
        <v>0.2389917</v>
      </c>
      <c r="Z4970">
        <v>0.13798540000000001</v>
      </c>
      <c r="AA4970">
        <v>0.96116749999999995</v>
      </c>
      <c r="AB4970">
        <v>27</v>
      </c>
      <c r="AC4970">
        <v>-1.2534999999999701</v>
      </c>
      <c r="AD4970">
        <v>-1.1031747004829999</v>
      </c>
      <c r="AE4970">
        <v>-7.3052400000000004</v>
      </c>
      <c r="AF4970">
        <v>1.83390740206381</v>
      </c>
      <c r="AG4970">
        <v>-1.1031747004829999</v>
      </c>
      <c r="AH4970">
        <v>7.0156355042445098</v>
      </c>
      <c r="AI4970">
        <v>98.650267078829202</v>
      </c>
      <c r="AJ4970">
        <v>75.350519445792997</v>
      </c>
      <c r="AK4970">
        <v>7.3348041764962204</v>
      </c>
    </row>
    <row r="4971" spans="1:37" x14ac:dyDescent="0.2">
      <c r="A4971" t="str">
        <f>"20200111160316736"</f>
        <v>20200111160316736</v>
      </c>
      <c r="B4971" t="str">
        <f>"1578729796727857"</f>
        <v>1578729796727857</v>
      </c>
      <c r="C4971" t="s">
        <v>37</v>
      </c>
      <c r="D4971">
        <v>5.1807889999999999</v>
      </c>
      <c r="E4971">
        <v>0.5811267</v>
      </c>
      <c r="F4971" t="s">
        <v>42</v>
      </c>
      <c r="G4971">
        <v>-297.3689</v>
      </c>
      <c r="H4971">
        <v>0.99207250000000002</v>
      </c>
      <c r="I4971">
        <v>-25.842679999999898</v>
      </c>
      <c r="J4971">
        <v>-297.20940000000002</v>
      </c>
      <c r="K4971">
        <v>1.1032109999999999</v>
      </c>
      <c r="L4971">
        <v>-25.44556</v>
      </c>
      <c r="M4971">
        <v>8.275805E-2</v>
      </c>
      <c r="N4971">
        <v>0</v>
      </c>
      <c r="O4971">
        <v>-0.9964558</v>
      </c>
      <c r="P4971">
        <v>3.869765E-2</v>
      </c>
      <c r="Q4971">
        <v>-2.2915620000000001E-2</v>
      </c>
      <c r="R4971">
        <v>-0.99898849999999995</v>
      </c>
      <c r="S4971">
        <v>-0.49954219999999999</v>
      </c>
      <c r="T4971">
        <v>-0.4274771</v>
      </c>
      <c r="U4971">
        <v>-3.0140989999999999</v>
      </c>
      <c r="V4971">
        <v>4.409122E-2</v>
      </c>
      <c r="W4971">
        <v>-8.0121369999999904E-3</v>
      </c>
      <c r="X4971">
        <v>0.99899539999999998</v>
      </c>
      <c r="Y4971">
        <v>0.2430457</v>
      </c>
      <c r="Z4971">
        <v>0.13667470000000001</v>
      </c>
      <c r="AA4971">
        <v>0.96033789999999997</v>
      </c>
      <c r="AB4971">
        <v>26</v>
      </c>
      <c r="AC4971">
        <v>-0.15949999999997999</v>
      </c>
      <c r="AD4971">
        <v>-0.1111385</v>
      </c>
      <c r="AE4971">
        <v>-0.39711999999999698</v>
      </c>
      <c r="AF4971">
        <v>0.179701768473813</v>
      </c>
      <c r="AG4971">
        <v>-0.1111385</v>
      </c>
      <c r="AH4971">
        <v>0.35838553494799302</v>
      </c>
      <c r="AI4971">
        <v>105.49401514006701</v>
      </c>
      <c r="AJ4971">
        <v>63.3698858443828</v>
      </c>
      <c r="AK4971">
        <v>0.41603447385381997</v>
      </c>
    </row>
    <row r="4972" spans="1:37" x14ac:dyDescent="0.2">
      <c r="A4972" t="str">
        <f>"20200111160316770"</f>
        <v>20200111160316770</v>
      </c>
      <c r="B4972" t="str">
        <f>"1578729796758113"</f>
        <v>1578729796758113</v>
      </c>
      <c r="C4972" t="s">
        <v>37</v>
      </c>
      <c r="D4972">
        <v>5.1567679999999996</v>
      </c>
      <c r="E4972">
        <v>0.58136089999999996</v>
      </c>
      <c r="F4972" t="s">
        <v>42</v>
      </c>
      <c r="G4972">
        <v>-297.35730000000001</v>
      </c>
      <c r="H4972">
        <v>0.9794813</v>
      </c>
      <c r="I4972">
        <v>-26.317299999999999</v>
      </c>
      <c r="J4972">
        <v>-297.18009999999998</v>
      </c>
      <c r="K4972">
        <v>1.1032309999999901</v>
      </c>
      <c r="L4972">
        <v>-25.84027</v>
      </c>
      <c r="M4972">
        <v>7.9828270000000007E-2</v>
      </c>
      <c r="N4972">
        <v>0</v>
      </c>
      <c r="O4972">
        <v>-0.99669490000000005</v>
      </c>
      <c r="P4972">
        <v>3.7561410000000003E-2</v>
      </c>
      <c r="Q4972">
        <v>-2.191135E-2</v>
      </c>
      <c r="R4972">
        <v>-0.999054</v>
      </c>
      <c r="S4972">
        <v>-0.51119999999999999</v>
      </c>
      <c r="T4972">
        <v>-0.42762790000000001</v>
      </c>
      <c r="U4972">
        <v>-3.0130309999999998</v>
      </c>
      <c r="V4972">
        <v>4.2296340000000002E-2</v>
      </c>
      <c r="W4972">
        <v>-7.0082900000000004E-3</v>
      </c>
      <c r="X4972">
        <v>0.99908050000000004</v>
      </c>
      <c r="Y4972">
        <v>0.24386260000000001</v>
      </c>
      <c r="Z4972">
        <v>0.13676199999999999</v>
      </c>
      <c r="AA4972">
        <v>0.96011829999999998</v>
      </c>
      <c r="AB4972">
        <v>26</v>
      </c>
      <c r="AC4972">
        <v>-0.177200000000027</v>
      </c>
      <c r="AD4972">
        <v>-0.123749699999999</v>
      </c>
      <c r="AE4972">
        <v>-0.47702999999999901</v>
      </c>
      <c r="AF4972">
        <v>0.20273028125779</v>
      </c>
      <c r="AG4972">
        <v>-0.123749699999999</v>
      </c>
      <c r="AH4972">
        <v>0.43559999051460302</v>
      </c>
      <c r="AI4972">
        <v>104.44330686994201</v>
      </c>
      <c r="AJ4972">
        <v>65.042510248947707</v>
      </c>
      <c r="AK4972">
        <v>0.496146054025702</v>
      </c>
    </row>
    <row r="4973" spans="1:37" x14ac:dyDescent="0.2">
      <c r="A4973" t="str">
        <f>"20200111160316804"</f>
        <v>20200111160316804</v>
      </c>
      <c r="B4973" t="str">
        <f>"1578729796798129"</f>
        <v>1578729796798129</v>
      </c>
      <c r="C4973" t="s">
        <v>37</v>
      </c>
      <c r="D4973">
        <v>5.5622550000000004</v>
      </c>
      <c r="E4973">
        <v>0.58161379999999996</v>
      </c>
      <c r="F4973" t="s">
        <v>38</v>
      </c>
      <c r="G4973">
        <v>-298.51929999999999</v>
      </c>
      <c r="H4973" s="1">
        <v>-3.1479879999999999E-6</v>
      </c>
      <c r="I4973">
        <v>-33.64143</v>
      </c>
      <c r="J4973">
        <v>-297.15140000000002</v>
      </c>
      <c r="K4973">
        <v>1.1032189999999999</v>
      </c>
      <c r="L4973">
        <v>-26.244319999999998</v>
      </c>
      <c r="M4973">
        <v>7.6836290000000002E-2</v>
      </c>
      <c r="N4973">
        <v>0</v>
      </c>
      <c r="O4973">
        <v>-0.99693029999999905</v>
      </c>
      <c r="P4973">
        <v>3.7865889999999999E-2</v>
      </c>
      <c r="Q4973">
        <v>-2.267957E-2</v>
      </c>
      <c r="R4973">
        <v>-0.99902579999999996</v>
      </c>
      <c r="S4973">
        <v>-0.51721189999999995</v>
      </c>
      <c r="T4973">
        <v>-0.42608770000000001</v>
      </c>
      <c r="U4973">
        <v>-3.0129389999999998</v>
      </c>
      <c r="V4973">
        <v>3.8989749999999997E-2</v>
      </c>
      <c r="W4973">
        <v>-7.7718400000000003E-3</v>
      </c>
      <c r="X4973">
        <v>0.99920940000000003</v>
      </c>
      <c r="Y4973">
        <v>0.2428303</v>
      </c>
      <c r="Z4973">
        <v>0.1363279</v>
      </c>
      <c r="AA4973">
        <v>0.96044159999999901</v>
      </c>
      <c r="AB4973">
        <v>26</v>
      </c>
      <c r="AC4973">
        <v>-1.3678999999999599</v>
      </c>
      <c r="AD4973">
        <v>-1.103222147988</v>
      </c>
      <c r="AE4973">
        <v>-7.3971099999999899</v>
      </c>
      <c r="AF4973">
        <v>1.8916015283602201</v>
      </c>
      <c r="AG4973">
        <v>-1.103222147988</v>
      </c>
      <c r="AH4973">
        <v>7.1170479133062896</v>
      </c>
      <c r="AI4973">
        <v>98.520123579148901</v>
      </c>
      <c r="AJ4973">
        <v>75.115778143457902</v>
      </c>
      <c r="AK4973">
        <v>7.4463163007089301</v>
      </c>
    </row>
    <row r="4974" spans="1:37" x14ac:dyDescent="0.2">
      <c r="A4974" t="str">
        <f>"20200111160316905"</f>
        <v>20200111160316905</v>
      </c>
      <c r="B4974" t="str">
        <f>"1578729796898265"</f>
        <v>1578729796898265</v>
      </c>
      <c r="C4974" t="s">
        <v>37</v>
      </c>
      <c r="D4974">
        <v>4.8091029999999897</v>
      </c>
      <c r="E4974">
        <v>0.4511984</v>
      </c>
      <c r="F4974" t="s">
        <v>38</v>
      </c>
      <c r="G4974">
        <v>-294.82400000000001</v>
      </c>
      <c r="H4974" s="1">
        <v>-1.6346899999999999E-6</v>
      </c>
      <c r="I4974">
        <v>-39.595289999999999</v>
      </c>
      <c r="J4974">
        <v>-297.07530000000003</v>
      </c>
      <c r="K4974">
        <v>1.1031389999999901</v>
      </c>
      <c r="L4974">
        <v>-27.411470000000001</v>
      </c>
      <c r="M4974">
        <v>6.8194110000000002E-2</v>
      </c>
      <c r="N4974">
        <v>0</v>
      </c>
      <c r="O4974">
        <v>-0.99755899999999997</v>
      </c>
      <c r="P4974">
        <v>4.5707449999999997E-2</v>
      </c>
      <c r="Q4974">
        <v>-2.7803870000000001E-2</v>
      </c>
      <c r="R4974">
        <v>-0.99856809999999996</v>
      </c>
      <c r="S4974">
        <v>0.53808590000000001</v>
      </c>
      <c r="T4974">
        <v>-0.26084279999999999</v>
      </c>
      <c r="U4974">
        <v>-2.9734799999999999</v>
      </c>
      <c r="V4974">
        <v>2.2459949999999999E-2</v>
      </c>
      <c r="W4974">
        <v>-1.285977E-2</v>
      </c>
      <c r="X4974">
        <v>0.99966499999999903</v>
      </c>
      <c r="Y4974">
        <v>-0.1098807</v>
      </c>
      <c r="Z4974">
        <v>8.6125599999999997E-2</v>
      </c>
      <c r="AA4974">
        <v>0.99020640000000004</v>
      </c>
      <c r="AB4974">
        <v>26</v>
      </c>
      <c r="AC4974">
        <v>2.2513000000000098</v>
      </c>
      <c r="AD4974">
        <v>-1.1031406346899999</v>
      </c>
      <c r="AE4974">
        <v>-12.183820000000001</v>
      </c>
      <c r="AF4974">
        <v>-1.40397004157036</v>
      </c>
      <c r="AG4974">
        <v>-1.1031406346899999</v>
      </c>
      <c r="AH4974">
        <v>12.212186050260501</v>
      </c>
      <c r="AI4974">
        <v>95.1279893264972</v>
      </c>
      <c r="AJ4974">
        <v>96.558199027892599</v>
      </c>
      <c r="AK4974">
        <v>12.342023305103201</v>
      </c>
    </row>
    <row r="4975" spans="1:37" x14ac:dyDescent="0.2">
      <c r="A4975" t="str">
        <f>"20200111160316938"</f>
        <v>20200111160316938</v>
      </c>
      <c r="B4975" t="str">
        <f>"1578729796928521"</f>
        <v>1578729796928521</v>
      </c>
      <c r="C4975" t="s">
        <v>37</v>
      </c>
      <c r="D4975">
        <v>4.7228820000000002</v>
      </c>
      <c r="E4975">
        <v>0.45311639999999997</v>
      </c>
      <c r="F4975" t="s">
        <v>38</v>
      </c>
      <c r="G4975">
        <v>-294.85129999999998</v>
      </c>
      <c r="H4975" s="1">
        <v>-1.57523E-6</v>
      </c>
      <c r="I4975">
        <v>-39.748690000000003</v>
      </c>
      <c r="J4975">
        <v>-297.05259999999998</v>
      </c>
      <c r="K4975">
        <v>1.103135</v>
      </c>
      <c r="L4975">
        <v>-27.79382</v>
      </c>
      <c r="M4975">
        <v>6.5359920000000002E-2</v>
      </c>
      <c r="N4975">
        <v>0</v>
      </c>
      <c r="O4975">
        <v>-0.99774889999999905</v>
      </c>
      <c r="P4975">
        <v>4.706871E-2</v>
      </c>
      <c r="Q4975">
        <v>-2.8187440000000001E-2</v>
      </c>
      <c r="R4975">
        <v>-0.99849409999999905</v>
      </c>
      <c r="S4975">
        <v>0.53582759999999996</v>
      </c>
      <c r="T4975">
        <v>-0.2657774</v>
      </c>
      <c r="U4975">
        <v>-2.9723820000000001</v>
      </c>
      <c r="V4975">
        <v>1.825661E-2</v>
      </c>
      <c r="W4975">
        <v>-1.323684E-2</v>
      </c>
      <c r="X4975">
        <v>0.99974569999999996</v>
      </c>
      <c r="Y4975">
        <v>-0.11201369999999999</v>
      </c>
      <c r="Z4975">
        <v>8.7794339999999998E-2</v>
      </c>
      <c r="AA4975">
        <v>0.9898207</v>
      </c>
      <c r="AB4975">
        <v>26</v>
      </c>
      <c r="AC4975">
        <v>2.2012999999999998</v>
      </c>
      <c r="AD4975">
        <v>-1.10313657523</v>
      </c>
      <c r="AE4975">
        <v>-11.95487</v>
      </c>
      <c r="AF4975">
        <v>-1.40357557380938</v>
      </c>
      <c r="AG4975">
        <v>-1.10313657523</v>
      </c>
      <c r="AH4975">
        <v>11.974578577043999</v>
      </c>
      <c r="AI4975">
        <v>95.227825455844098</v>
      </c>
      <c r="AJ4975">
        <v>96.685302026327506</v>
      </c>
      <c r="AK4975">
        <v>12.106918137693301</v>
      </c>
    </row>
    <row r="4976" spans="1:37" x14ac:dyDescent="0.2">
      <c r="A4976" t="str">
        <f>"20200111160316971"</f>
        <v>20200111160316971</v>
      </c>
      <c r="B4976" t="str">
        <f>"1578729796968538"</f>
        <v>1578729796968538</v>
      </c>
      <c r="C4976" t="s">
        <v>37</v>
      </c>
      <c r="D4976">
        <v>4.9702609999999998</v>
      </c>
      <c r="E4976">
        <v>0.45499539999999999</v>
      </c>
      <c r="F4976" t="s">
        <v>38</v>
      </c>
      <c r="G4976">
        <v>-294.89580000000001</v>
      </c>
      <c r="H4976" s="1">
        <v>-1.474007E-6</v>
      </c>
      <c r="I4976">
        <v>-40.011299999999999</v>
      </c>
      <c r="J4976">
        <v>-297.03050000000002</v>
      </c>
      <c r="K4976">
        <v>1.1031469999999901</v>
      </c>
      <c r="L4976">
        <v>-28.183350000000001</v>
      </c>
      <c r="M4976">
        <v>6.2471770000000003E-2</v>
      </c>
      <c r="N4976">
        <v>0</v>
      </c>
      <c r="O4976">
        <v>-0.99793399999999999</v>
      </c>
      <c r="P4976">
        <v>4.7399089999999998E-2</v>
      </c>
      <c r="Q4976">
        <v>-2.876341E-2</v>
      </c>
      <c r="R4976">
        <v>-0.99846179999999995</v>
      </c>
      <c r="S4976">
        <v>0.52468870000000001</v>
      </c>
      <c r="T4976">
        <v>-0.26836749999999998</v>
      </c>
      <c r="U4976">
        <v>-2.972229</v>
      </c>
      <c r="V4976">
        <v>1.503035E-2</v>
      </c>
      <c r="W4976">
        <v>-1.381056E-2</v>
      </c>
      <c r="X4976">
        <v>0.99979169999999995</v>
      </c>
      <c r="Y4976">
        <v>-0.1112895</v>
      </c>
      <c r="Z4976">
        <v>8.8704580000000005E-2</v>
      </c>
      <c r="AA4976">
        <v>0.98982130000000002</v>
      </c>
      <c r="AB4976">
        <v>26</v>
      </c>
      <c r="AC4976">
        <v>2.1347</v>
      </c>
      <c r="AD4976">
        <v>-1.1031484740069999</v>
      </c>
      <c r="AE4976">
        <v>-11.8279499999999</v>
      </c>
      <c r="AF4976">
        <v>-1.37990868374793</v>
      </c>
      <c r="AG4976">
        <v>-1.1031484740069999</v>
      </c>
      <c r="AH4976">
        <v>11.838485438711601</v>
      </c>
      <c r="AI4976">
        <v>95.288036714346504</v>
      </c>
      <c r="AJ4976">
        <v>96.648466259218495</v>
      </c>
      <c r="AK4976">
        <v>11.9695790240833</v>
      </c>
    </row>
    <row r="4977" spans="1:37" x14ac:dyDescent="0.2">
      <c r="A4977" t="str">
        <f>"20200111160317005"</f>
        <v>20200111160317005</v>
      </c>
      <c r="B4977" t="str">
        <f>"1578729796997817"</f>
        <v>1578729796997817</v>
      </c>
      <c r="C4977" t="s">
        <v>37</v>
      </c>
      <c r="D4977">
        <v>4.6697980000000001</v>
      </c>
      <c r="E4977">
        <v>0.4560111</v>
      </c>
      <c r="F4977" t="s">
        <v>38</v>
      </c>
      <c r="G4977">
        <v>-295.0326</v>
      </c>
      <c r="H4977" s="1">
        <v>-1.511927E-6</v>
      </c>
      <c r="I4977">
        <v>-39.792949999999998</v>
      </c>
      <c r="J4977">
        <v>-297.0095</v>
      </c>
      <c r="K4977">
        <v>1.1031679999999999</v>
      </c>
      <c r="L4977">
        <v>-28.57742</v>
      </c>
      <c r="M4977">
        <v>5.9547419999999997E-2</v>
      </c>
      <c r="N4977">
        <v>0</v>
      </c>
      <c r="O4977">
        <v>-0.99811299999999903</v>
      </c>
      <c r="P4977">
        <v>4.5713539999999997E-2</v>
      </c>
      <c r="Q4977">
        <v>-2.8080250000000001E-2</v>
      </c>
      <c r="R4977">
        <v>-0.99856009999999995</v>
      </c>
      <c r="S4977">
        <v>0.51150509999999905</v>
      </c>
      <c r="T4977">
        <v>-0.28241939999999999</v>
      </c>
      <c r="U4977">
        <v>-2.9721980000000001</v>
      </c>
      <c r="V4977">
        <v>1.37926E-2</v>
      </c>
      <c r="W4977">
        <v>-1.313214E-2</v>
      </c>
      <c r="X4977">
        <v>0.9998186</v>
      </c>
      <c r="Y4977">
        <v>-0.10986939999999901</v>
      </c>
      <c r="Z4977">
        <v>9.3377749999999995E-2</v>
      </c>
      <c r="AA4977">
        <v>0.98955009999999999</v>
      </c>
      <c r="AB4977">
        <v>26</v>
      </c>
      <c r="AC4977">
        <v>1.9769000000000001</v>
      </c>
      <c r="AD4977">
        <v>-1.103169511927</v>
      </c>
      <c r="AE4977">
        <v>-11.2155299999999</v>
      </c>
      <c r="AF4977">
        <v>-1.29332459478674</v>
      </c>
      <c r="AG4977">
        <v>-1.103169511927</v>
      </c>
      <c r="AH4977">
        <v>11.2081857037935</v>
      </c>
      <c r="AI4977">
        <v>95.584432166128707</v>
      </c>
      <c r="AJ4977">
        <v>96.5823098888917</v>
      </c>
      <c r="AK4977">
        <v>11.336361773084301</v>
      </c>
    </row>
    <row r="4978" spans="1:37" x14ac:dyDescent="0.2">
      <c r="A4978" t="str">
        <f>"20200111160317038"</f>
        <v>20200111160317038</v>
      </c>
      <c r="B4978" t="str">
        <f>"1578729797028074"</f>
        <v>1578729797028074</v>
      </c>
      <c r="C4978" t="s">
        <v>37</v>
      </c>
      <c r="D4978">
        <v>4.7372449999999997</v>
      </c>
      <c r="E4978">
        <v>0.45686709999999903</v>
      </c>
      <c r="F4978" t="s">
        <v>64</v>
      </c>
      <c r="G4978">
        <v>-295.02719999999999</v>
      </c>
      <c r="H4978" s="1">
        <v>-1.3193199999999999E-6</v>
      </c>
      <c r="I4978">
        <v>-40.397829999999999</v>
      </c>
      <c r="J4978">
        <v>-296.99040000000002</v>
      </c>
      <c r="K4978">
        <v>1.1032150000000001</v>
      </c>
      <c r="L4978">
        <v>-28.955109999999902</v>
      </c>
      <c r="M4978">
        <v>5.6743479999999999E-2</v>
      </c>
      <c r="N4978">
        <v>0</v>
      </c>
      <c r="O4978">
        <v>-0.99827649999999901</v>
      </c>
      <c r="P4978">
        <v>4.3445570000000003E-2</v>
      </c>
      <c r="Q4978">
        <v>-2.4101549999999999E-2</v>
      </c>
      <c r="R4978">
        <v>-0.99876549999999997</v>
      </c>
      <c r="S4978">
        <v>0.49868770000000001</v>
      </c>
      <c r="T4978">
        <v>-0.27752729999999998</v>
      </c>
      <c r="U4978">
        <v>-2.9736940000000001</v>
      </c>
      <c r="V4978">
        <v>1.327419E-2</v>
      </c>
      <c r="W4978">
        <v>-9.1595329999999992E-3</v>
      </c>
      <c r="X4978">
        <v>0.99986989999999998</v>
      </c>
      <c r="Y4978">
        <v>-0.1084567</v>
      </c>
      <c r="Z4978">
        <v>9.179118E-2</v>
      </c>
      <c r="AA4978">
        <v>0.98985429999999996</v>
      </c>
      <c r="AB4978">
        <v>26</v>
      </c>
      <c r="AC4978">
        <v>1.96320000000002</v>
      </c>
      <c r="AD4978">
        <v>-1.10321631932</v>
      </c>
      <c r="AE4978">
        <v>-11.44272</v>
      </c>
      <c r="AF4978">
        <v>-1.2989348772340801</v>
      </c>
      <c r="AG4978">
        <v>-1.10321631932</v>
      </c>
      <c r="AH4978">
        <v>11.4324611294257</v>
      </c>
      <c r="AI4978">
        <v>95.476874004087193</v>
      </c>
      <c r="AJ4978">
        <v>96.482042409856803</v>
      </c>
      <c r="AK4978">
        <v>11.558783912606801</v>
      </c>
    </row>
    <row r="4979" spans="1:37" x14ac:dyDescent="0.2">
      <c r="A4979" t="str">
        <f>"20200111160317072"</f>
        <v>20200111160317072</v>
      </c>
      <c r="B4979" t="str">
        <f>"1578729797068090"</f>
        <v>1578729797068090</v>
      </c>
      <c r="C4979" t="s">
        <v>37</v>
      </c>
      <c r="D4979">
        <v>4.5730849999999998</v>
      </c>
      <c r="E4979">
        <v>0.45673199999999903</v>
      </c>
      <c r="F4979" t="s">
        <v>64</v>
      </c>
      <c r="G4979">
        <v>-295.06729999999999</v>
      </c>
      <c r="H4979" s="1">
        <v>-1.518823E-6</v>
      </c>
      <c r="I4979">
        <v>-40.728459999999998</v>
      </c>
      <c r="J4979">
        <v>-296.97190000000001</v>
      </c>
      <c r="K4979">
        <v>1.103232</v>
      </c>
      <c r="L4979">
        <v>-29.340420000000002</v>
      </c>
      <c r="M4979">
        <v>5.3886820000000002E-2</v>
      </c>
      <c r="N4979">
        <v>0</v>
      </c>
      <c r="O4979">
        <v>-0.99843470000000001</v>
      </c>
      <c r="P4979">
        <v>4.0545020000000001E-2</v>
      </c>
      <c r="Q4979">
        <v>-2.1240519999999999E-2</v>
      </c>
      <c r="R4979">
        <v>-0.9989519</v>
      </c>
      <c r="S4979">
        <v>0.48608400000000002</v>
      </c>
      <c r="T4979">
        <v>-0.27884880000000001</v>
      </c>
      <c r="U4979">
        <v>-2.97582999999999</v>
      </c>
      <c r="V4979">
        <v>1.3329779999999999E-2</v>
      </c>
      <c r="W4979">
        <v>-6.3075319999999898E-3</v>
      </c>
      <c r="X4979">
        <v>0.99989130000000004</v>
      </c>
      <c r="Y4979">
        <v>-0.107098</v>
      </c>
      <c r="Z4979">
        <v>9.2219860000000001E-2</v>
      </c>
      <c r="AA4979">
        <v>0.98996240000000002</v>
      </c>
      <c r="AB4979">
        <v>26</v>
      </c>
      <c r="AC4979">
        <v>1.9046000000000101</v>
      </c>
      <c r="AD4979">
        <v>-1.103233518823</v>
      </c>
      <c r="AE4979">
        <v>-11.388039999999901</v>
      </c>
      <c r="AF4979">
        <v>-1.2764444334877201</v>
      </c>
      <c r="AG4979">
        <v>-1.103233518823</v>
      </c>
      <c r="AH4979">
        <v>11.3703268246959</v>
      </c>
      <c r="AI4979">
        <v>95.507533128445701</v>
      </c>
      <c r="AJ4979">
        <v>96.405264689854803</v>
      </c>
      <c r="AK4979">
        <v>11.494814774029001</v>
      </c>
    </row>
    <row r="4980" spans="1:37" x14ac:dyDescent="0.2">
      <c r="A4980" t="str">
        <f>"20200111160317105"</f>
        <v>20200111160317105</v>
      </c>
      <c r="B4980" t="str">
        <f>"1578729797098345"</f>
        <v>1578729797098345</v>
      </c>
      <c r="C4980" t="s">
        <v>37</v>
      </c>
      <c r="D4980">
        <v>4.7213180000000001</v>
      </c>
      <c r="E4980">
        <v>0.456387299999999</v>
      </c>
      <c r="F4980" t="s">
        <v>64</v>
      </c>
      <c r="G4980">
        <v>-295.01609999999999</v>
      </c>
      <c r="H4980" s="1">
        <v>-2.0420570000000002E-6</v>
      </c>
      <c r="I4980">
        <v>-41.530229999999897</v>
      </c>
      <c r="J4980">
        <v>-296.95460000000003</v>
      </c>
      <c r="K4980">
        <v>1.1032120000000001</v>
      </c>
      <c r="L4980">
        <v>-29.725069999999999</v>
      </c>
      <c r="M4980">
        <v>5.1041330000000003E-2</v>
      </c>
      <c r="N4980">
        <v>0</v>
      </c>
      <c r="O4980">
        <v>-0.99858440000000004</v>
      </c>
      <c r="P4980">
        <v>3.941596E-2</v>
      </c>
      <c r="Q4980">
        <v>-2.286701E-2</v>
      </c>
      <c r="R4980">
        <v>-0.99896109999999905</v>
      </c>
      <c r="S4980">
        <v>0.47781369999999901</v>
      </c>
      <c r="T4980">
        <v>-0.26952520000000002</v>
      </c>
      <c r="U4980">
        <v>-2.978027</v>
      </c>
      <c r="V4980">
        <v>1.1603850000000001E-2</v>
      </c>
      <c r="W4980">
        <v>-7.9378109999999995E-3</v>
      </c>
      <c r="X4980">
        <v>0.99990119999999905</v>
      </c>
      <c r="Y4980">
        <v>-0.1071805</v>
      </c>
      <c r="Z4980">
        <v>8.9136119999999999E-2</v>
      </c>
      <c r="AA4980">
        <v>0.99023589999999995</v>
      </c>
      <c r="AB4980">
        <v>26</v>
      </c>
      <c r="AC4980">
        <v>1.9385000000000301</v>
      </c>
      <c r="AD4980">
        <v>-1.103214042057</v>
      </c>
      <c r="AE4980">
        <v>-11.8051599999999</v>
      </c>
      <c r="AF4980">
        <v>-1.32211096173019</v>
      </c>
      <c r="AG4980">
        <v>-1.103214042057</v>
      </c>
      <c r="AH4980">
        <v>11.788475162452899</v>
      </c>
      <c r="AI4980">
        <v>95.313284247650998</v>
      </c>
      <c r="AJ4980">
        <v>96.399143733646596</v>
      </c>
      <c r="AK4980">
        <v>11.913572313688601</v>
      </c>
    </row>
    <row r="4981" spans="1:37" x14ac:dyDescent="0.2">
      <c r="A4981" t="str">
        <f>"20200111160317138"</f>
        <v>20200111160317138</v>
      </c>
      <c r="B4981" t="str">
        <f>"1578729797128196"</f>
        <v>1578729797128196</v>
      </c>
      <c r="C4981" t="s">
        <v>37</v>
      </c>
      <c r="D4981">
        <v>4.8255679999999996</v>
      </c>
      <c r="E4981">
        <v>0.45564880000000002</v>
      </c>
      <c r="F4981" t="s">
        <v>64</v>
      </c>
      <c r="G4981">
        <v>-295.02730000000003</v>
      </c>
      <c r="H4981" s="1">
        <v>-2.1882519999999998E-6</v>
      </c>
      <c r="I4981">
        <v>-41.76493</v>
      </c>
      <c r="J4981">
        <v>-296.93880000000001</v>
      </c>
      <c r="K4981">
        <v>1.1031979999999999</v>
      </c>
      <c r="L4981">
        <v>-30.099729999999902</v>
      </c>
      <c r="M4981">
        <v>4.8283680000000002E-2</v>
      </c>
      <c r="N4981">
        <v>0</v>
      </c>
      <c r="O4981">
        <v>-0.99872169999999905</v>
      </c>
      <c r="P4981">
        <v>3.901197E-2</v>
      </c>
      <c r="Q4981">
        <v>-2.6260289999999999E-2</v>
      </c>
      <c r="R4981">
        <v>-0.99889359999999905</v>
      </c>
      <c r="S4981">
        <v>0.4767151</v>
      </c>
      <c r="T4981">
        <v>-0.27287979999999901</v>
      </c>
      <c r="U4981">
        <v>-2.9780579999999999</v>
      </c>
      <c r="V4981">
        <v>9.2330060000000002E-3</v>
      </c>
      <c r="W4981">
        <v>-1.1332739999999999E-2</v>
      </c>
      <c r="X4981">
        <v>0.99989309999999998</v>
      </c>
      <c r="Y4981">
        <v>-0.109552</v>
      </c>
      <c r="Z4981">
        <v>9.0245030000000004E-2</v>
      </c>
      <c r="AA4981">
        <v>0.98987590000000003</v>
      </c>
      <c r="AB4981">
        <v>26</v>
      </c>
      <c r="AC4981">
        <v>1.91149999999998</v>
      </c>
      <c r="AD4981">
        <v>-1.1032001882519999</v>
      </c>
      <c r="AE4981">
        <v>-11.6652</v>
      </c>
      <c r="AF4981">
        <v>-1.3343461511008301</v>
      </c>
      <c r="AG4981">
        <v>-1.1032001882519999</v>
      </c>
      <c r="AH4981">
        <v>11.642490215534201</v>
      </c>
      <c r="AI4981">
        <v>95.377980989489501</v>
      </c>
      <c r="AJ4981">
        <v>96.538143419471098</v>
      </c>
      <c r="AK4981">
        <v>11.770518626004799</v>
      </c>
    </row>
    <row r="4982" spans="1:37" x14ac:dyDescent="0.2">
      <c r="A4982" t="str">
        <f>"20200111160317174"</f>
        <v>20200111160317174</v>
      </c>
      <c r="B4982" t="str">
        <f>"1578729797168212"</f>
        <v>1578729797168212</v>
      </c>
      <c r="C4982" t="s">
        <v>37</v>
      </c>
      <c r="D4982">
        <v>5.0500809999999996</v>
      </c>
      <c r="E4982">
        <v>0.45490730000000001</v>
      </c>
      <c r="F4982" t="s">
        <v>64</v>
      </c>
      <c r="G4982">
        <v>-295.0403</v>
      </c>
      <c r="H4982" s="1">
        <v>-2.23707699999999E-6</v>
      </c>
      <c r="I4982">
        <v>-41.847189999999998</v>
      </c>
      <c r="J4982">
        <v>-296.92340000000002</v>
      </c>
      <c r="K4982">
        <v>1.103237</v>
      </c>
      <c r="L4982">
        <v>-30.489750000000001</v>
      </c>
      <c r="M4982">
        <v>4.545167E-2</v>
      </c>
      <c r="N4982">
        <v>0</v>
      </c>
      <c r="O4982">
        <v>-0.99885480000000004</v>
      </c>
      <c r="P4982">
        <v>3.9902050000000001E-2</v>
      </c>
      <c r="Q4982">
        <v>-2.7195859999999999E-2</v>
      </c>
      <c r="R4982">
        <v>-0.99883369999999905</v>
      </c>
      <c r="S4982">
        <v>0.48114009999999902</v>
      </c>
      <c r="T4982">
        <v>-0.27958549999999999</v>
      </c>
      <c r="U4982">
        <v>-2.9771730000000001</v>
      </c>
      <c r="V4982">
        <v>5.5045019999999997E-3</v>
      </c>
      <c r="W4982">
        <v>-1.22656E-2</v>
      </c>
      <c r="X4982">
        <v>0.99990959999999995</v>
      </c>
      <c r="Y4982">
        <v>-0.113816899999999</v>
      </c>
      <c r="Z4982">
        <v>9.2456140000000006E-2</v>
      </c>
      <c r="AA4982">
        <v>0.98919029999999997</v>
      </c>
      <c r="AB4982">
        <v>25</v>
      </c>
      <c r="AC4982">
        <v>1.88310000000001</v>
      </c>
      <c r="AD4982">
        <v>-1.1032392370769999</v>
      </c>
      <c r="AE4982">
        <v>-11.35744</v>
      </c>
      <c r="AF4982">
        <v>-1.3524611033724201</v>
      </c>
      <c r="AG4982">
        <v>-1.1032392370769999</v>
      </c>
      <c r="AH4982">
        <v>11.32727727728</v>
      </c>
      <c r="AI4982">
        <v>95.523883416505996</v>
      </c>
      <c r="AJ4982">
        <v>96.808802737464106</v>
      </c>
      <c r="AK4982">
        <v>11.4609553862994</v>
      </c>
    </row>
    <row r="4983" spans="1:37" x14ac:dyDescent="0.2">
      <c r="A4983" t="str">
        <f>"20200111160317209"</f>
        <v>20200111160317209</v>
      </c>
      <c r="B4983" t="str">
        <f>"1578729797198467"</f>
        <v>1578729797198467</v>
      </c>
      <c r="C4983" t="s">
        <v>37</v>
      </c>
      <c r="D4983">
        <v>5.0167229999999998</v>
      </c>
      <c r="E4983">
        <v>0.45400029999999902</v>
      </c>
      <c r="F4983" t="s">
        <v>64</v>
      </c>
      <c r="G4983">
        <v>-295.02069999999998</v>
      </c>
      <c r="H4983" s="1">
        <v>-2.3731099999999899E-6</v>
      </c>
      <c r="I4983">
        <v>-42.052990000000001</v>
      </c>
      <c r="J4983">
        <v>-296.90839999999997</v>
      </c>
      <c r="K4983">
        <v>1.1032979999999999</v>
      </c>
      <c r="L4983">
        <v>-30.896999999999998</v>
      </c>
      <c r="M4983">
        <v>4.2569070000000001E-2</v>
      </c>
      <c r="N4983">
        <v>0</v>
      </c>
      <c r="O4983">
        <v>-0.99898199999999904</v>
      </c>
      <c r="P4983">
        <v>4.1302779999999997E-2</v>
      </c>
      <c r="Q4983">
        <v>-2.5139760000000001E-2</v>
      </c>
      <c r="R4983">
        <v>-0.99883069999999896</v>
      </c>
      <c r="S4983">
        <v>0.48971559999999997</v>
      </c>
      <c r="T4983">
        <v>-0.28395629999999999</v>
      </c>
      <c r="U4983">
        <v>-2.9761959999999998</v>
      </c>
      <c r="V4983">
        <v>1.227854E-3</v>
      </c>
      <c r="W4983">
        <v>-1.020592E-2</v>
      </c>
      <c r="X4983">
        <v>0.99994719999999904</v>
      </c>
      <c r="Y4983">
        <v>-0.1194876</v>
      </c>
      <c r="Z4983">
        <v>9.3883939999999999E-2</v>
      </c>
      <c r="AA4983">
        <v>0.98838680000000001</v>
      </c>
      <c r="AB4983">
        <v>25</v>
      </c>
      <c r="AC4983">
        <v>1.8876999999999899</v>
      </c>
      <c r="AD4983">
        <v>-1.10330037311</v>
      </c>
      <c r="AE4983">
        <v>-11.155989999999999</v>
      </c>
      <c r="AF4983">
        <v>-1.39774498991513</v>
      </c>
      <c r="AG4983">
        <v>-1.10330037311</v>
      </c>
      <c r="AH4983">
        <v>11.120502590649201</v>
      </c>
      <c r="AI4983">
        <v>95.622006287577193</v>
      </c>
      <c r="AJ4983">
        <v>97.163984655709797</v>
      </c>
      <c r="AK4983">
        <v>11.262172998084001</v>
      </c>
    </row>
    <row r="4984" spans="1:37" x14ac:dyDescent="0.2">
      <c r="A4984" t="str">
        <f>"20200111160317240"</f>
        <v>20200111160317240</v>
      </c>
      <c r="B4984" t="str">
        <f>"1578729797238483"</f>
        <v>1578729797238483</v>
      </c>
      <c r="C4984" t="s">
        <v>37</v>
      </c>
      <c r="D4984">
        <v>5.1039979999999998</v>
      </c>
      <c r="E4984">
        <v>0.45298430000000001</v>
      </c>
      <c r="F4984" t="s">
        <v>64</v>
      </c>
      <c r="G4984">
        <v>-294.9006</v>
      </c>
      <c r="H4984" s="1">
        <v>-2.90349E-6</v>
      </c>
      <c r="I4984">
        <v>-42.837119999999999</v>
      </c>
      <c r="J4984">
        <v>-296.8963</v>
      </c>
      <c r="K4984">
        <v>1.103348</v>
      </c>
      <c r="L4984">
        <v>-31.25085</v>
      </c>
      <c r="M4984">
        <v>4.0196330000000002E-2</v>
      </c>
      <c r="N4984">
        <v>0</v>
      </c>
      <c r="O4984">
        <v>-0.99908019999999997</v>
      </c>
      <c r="P4984">
        <v>4.2183270000000002E-2</v>
      </c>
      <c r="Q4984">
        <v>-2.5697600000000001E-2</v>
      </c>
      <c r="R4984">
        <v>-0.99877929999999904</v>
      </c>
      <c r="S4984">
        <v>0.50042719999999996</v>
      </c>
      <c r="T4984">
        <v>-0.27498070000000002</v>
      </c>
      <c r="U4984">
        <v>-2.9758909999999998</v>
      </c>
      <c r="V4984">
        <v>-2.028172E-3</v>
      </c>
      <c r="W4984">
        <v>-1.07645E-2</v>
      </c>
      <c r="X4984">
        <v>0.99993999999999905</v>
      </c>
      <c r="Y4984">
        <v>-0.12536739999999999</v>
      </c>
      <c r="Z4984">
        <v>9.0904449999999998E-2</v>
      </c>
      <c r="AA4984">
        <v>0.98793699999999995</v>
      </c>
      <c r="AB4984">
        <v>25</v>
      </c>
      <c r="AC4984">
        <v>1.9957</v>
      </c>
      <c r="AD4984">
        <v>-1.10335090349</v>
      </c>
      <c r="AE4984">
        <v>-11.586269999999899</v>
      </c>
      <c r="AF4984">
        <v>-1.51496649401866</v>
      </c>
      <c r="AG4984">
        <v>-1.10335090349</v>
      </c>
      <c r="AH4984">
        <v>11.555361224655799</v>
      </c>
      <c r="AI4984">
        <v>95.408284141795207</v>
      </c>
      <c r="AJ4984">
        <v>97.469167153946003</v>
      </c>
      <c r="AK4984">
        <v>11.706360652504699</v>
      </c>
    </row>
    <row r="4985" spans="1:37" x14ac:dyDescent="0.2">
      <c r="A4985" t="str">
        <f>"20200111160317273"</f>
        <v>20200111160317273</v>
      </c>
      <c r="B4985" t="str">
        <f>"1578729797268739"</f>
        <v>1578729797268739</v>
      </c>
      <c r="C4985" t="s">
        <v>37</v>
      </c>
      <c r="D4985">
        <v>5.0615139999999998</v>
      </c>
      <c r="E4985">
        <v>0.45235890000000001</v>
      </c>
      <c r="F4985" t="s">
        <v>64</v>
      </c>
      <c r="G4985">
        <v>-294.8125</v>
      </c>
      <c r="H4985" s="1">
        <v>-3.2293109999999998E-6</v>
      </c>
      <c r="I4985">
        <v>-43.39423</v>
      </c>
      <c r="J4985">
        <v>-296.88420000000002</v>
      </c>
      <c r="K4985">
        <v>1.1034389999999901</v>
      </c>
      <c r="L4985">
        <v>-31.62125</v>
      </c>
      <c r="M4985">
        <v>3.7906199999999897E-2</v>
      </c>
      <c r="N4985">
        <v>0</v>
      </c>
      <c r="O4985">
        <v>-0.99917</v>
      </c>
      <c r="P4985">
        <v>4.4658209999999997E-2</v>
      </c>
      <c r="Q4985">
        <v>-2.737289E-2</v>
      </c>
      <c r="R4985">
        <v>-0.99862719999999905</v>
      </c>
      <c r="S4985">
        <v>0.5105286</v>
      </c>
      <c r="T4985">
        <v>-0.27032390000000001</v>
      </c>
      <c r="U4985">
        <v>-2.9751590000000001</v>
      </c>
      <c r="V4985">
        <v>-6.7998980000000004E-3</v>
      </c>
      <c r="W4985">
        <v>-1.2440089999999999E-2</v>
      </c>
      <c r="X4985">
        <v>0.99989950000000005</v>
      </c>
      <c r="Y4985">
        <v>-0.13096289999999999</v>
      </c>
      <c r="Z4985">
        <v>8.9353489999999994E-2</v>
      </c>
      <c r="AA4985">
        <v>0.98735239999999902</v>
      </c>
      <c r="AB4985">
        <v>25</v>
      </c>
      <c r="AC4985">
        <v>2.0717000000000199</v>
      </c>
      <c r="AD4985">
        <v>-1.10344222931099</v>
      </c>
      <c r="AE4985">
        <v>-11.77298</v>
      </c>
      <c r="AF4985">
        <v>-1.6101721548708201</v>
      </c>
      <c r="AG4985">
        <v>-1.10344222931099</v>
      </c>
      <c r="AH4985">
        <v>11.7429957732987</v>
      </c>
      <c r="AI4985">
        <v>95.318616199254294</v>
      </c>
      <c r="AJ4985">
        <v>97.807575671475107</v>
      </c>
      <c r="AK4985">
        <v>11.904124867181901</v>
      </c>
    </row>
    <row r="4986" spans="1:37" x14ac:dyDescent="0.2">
      <c r="A4986" t="str">
        <f>"20200111160317305"</f>
        <v>20200111160317305</v>
      </c>
      <c r="B4986" t="str">
        <f>"1578729797298019"</f>
        <v>1578729797298019</v>
      </c>
      <c r="C4986" t="s">
        <v>37</v>
      </c>
      <c r="D4986">
        <v>5.1544080000000001</v>
      </c>
      <c r="E4986">
        <v>0.45191700000000001</v>
      </c>
      <c r="F4986" t="s">
        <v>64</v>
      </c>
      <c r="G4986">
        <v>-294.79599999999999</v>
      </c>
      <c r="H4986" s="1">
        <v>-3.29855E-6</v>
      </c>
      <c r="I4986">
        <v>-43.514109999999903</v>
      </c>
      <c r="J4986">
        <v>-296.87270000000001</v>
      </c>
      <c r="K4986">
        <v>1.1035709999999901</v>
      </c>
      <c r="L4986">
        <v>-31.992279999999901</v>
      </c>
      <c r="M4986">
        <v>3.5859299999999997E-2</v>
      </c>
      <c r="N4986">
        <v>0</v>
      </c>
      <c r="O4986">
        <v>-0.99924559999999996</v>
      </c>
      <c r="P4986">
        <v>4.8192310000000002E-2</v>
      </c>
      <c r="Q4986">
        <v>-2.6507989999999999E-2</v>
      </c>
      <c r="R4986">
        <v>-0.99848630000000005</v>
      </c>
      <c r="S4986">
        <v>0.52206419999999998</v>
      </c>
      <c r="T4986">
        <v>-0.27585949999999998</v>
      </c>
      <c r="U4986">
        <v>-2.9732059999999998</v>
      </c>
      <c r="V4986">
        <v>-1.237833E-2</v>
      </c>
      <c r="W4986">
        <v>-1.157738E-2</v>
      </c>
      <c r="X4986">
        <v>0.99985639999999998</v>
      </c>
      <c r="Y4986">
        <v>-0.13678969999999999</v>
      </c>
      <c r="Z4986">
        <v>9.117103E-2</v>
      </c>
      <c r="AA4986">
        <v>0.98639569999999999</v>
      </c>
      <c r="AB4986">
        <v>25</v>
      </c>
      <c r="AC4986">
        <v>2.07670000000001</v>
      </c>
      <c r="AD4986">
        <v>-1.1035742985500001</v>
      </c>
      <c r="AE4986">
        <v>-11.5218299999999</v>
      </c>
      <c r="AF4986">
        <v>-1.6475145860798299</v>
      </c>
      <c r="AG4986">
        <v>-1.1035742985500001</v>
      </c>
      <c r="AH4986">
        <v>11.486830552769099</v>
      </c>
      <c r="AI4986">
        <v>95.432480915337095</v>
      </c>
      <c r="AJ4986">
        <v>98.162062696062804</v>
      </c>
      <c r="AK4986">
        <v>11.656734392264299</v>
      </c>
    </row>
    <row r="4987" spans="1:37" x14ac:dyDescent="0.2">
      <c r="A4987" t="str">
        <f>"20200111160317339"</f>
        <v>20200111160317339</v>
      </c>
      <c r="B4987" t="str">
        <f>"1578729797328275"</f>
        <v>1578729797328275</v>
      </c>
      <c r="C4987" t="s">
        <v>37</v>
      </c>
      <c r="D4987">
        <v>5.1254029999999897</v>
      </c>
      <c r="E4987">
        <v>0.453568999999999</v>
      </c>
      <c r="F4987" t="s">
        <v>64</v>
      </c>
      <c r="G4987">
        <v>-294.70150000000001</v>
      </c>
      <c r="H4987" s="1">
        <v>-3.6095989999999999E-6</v>
      </c>
      <c r="I4987">
        <v>-44.044530000000002</v>
      </c>
      <c r="J4987">
        <v>-296.86149999999998</v>
      </c>
      <c r="K4987">
        <v>1.1037410000000001</v>
      </c>
      <c r="L4987">
        <v>-32.365049999999997</v>
      </c>
      <c r="M4987">
        <v>3.4132530000000001E-2</v>
      </c>
      <c r="N4987">
        <v>0</v>
      </c>
      <c r="O4987">
        <v>-0.99930640000000004</v>
      </c>
      <c r="P4987">
        <v>4.9389860000000001E-2</v>
      </c>
      <c r="Q4987">
        <v>-2.6044520000000002E-2</v>
      </c>
      <c r="R4987">
        <v>-0.99844040000000001</v>
      </c>
      <c r="S4987">
        <v>0.53530880000000003</v>
      </c>
      <c r="T4987">
        <v>-0.27208759999999999</v>
      </c>
      <c r="U4987">
        <v>-2.9714969999999998</v>
      </c>
      <c r="V4987">
        <v>-1.529903E-2</v>
      </c>
      <c r="W4987">
        <v>-1.1125889999999999E-2</v>
      </c>
      <c r="X4987">
        <v>0.99982109999999902</v>
      </c>
      <c r="Y4987">
        <v>-0.14287720000000001</v>
      </c>
      <c r="Z4987">
        <v>8.9919910000000006E-2</v>
      </c>
      <c r="AA4987">
        <v>0.9856473</v>
      </c>
      <c r="AB4987">
        <v>25</v>
      </c>
      <c r="AC4987">
        <v>2.1599999999999602</v>
      </c>
      <c r="AD4987">
        <v>-1.103744609599</v>
      </c>
      <c r="AE4987">
        <v>-11.67948</v>
      </c>
      <c r="AF4987">
        <v>-1.7449780704573901</v>
      </c>
      <c r="AG4987">
        <v>-1.103744609599</v>
      </c>
      <c r="AH4987">
        <v>11.6458405110335</v>
      </c>
      <c r="AI4987">
        <v>95.354662877665305</v>
      </c>
      <c r="AJ4987">
        <v>98.521632966897101</v>
      </c>
      <c r="AK4987">
        <v>11.827459652775101</v>
      </c>
    </row>
    <row r="4988" spans="1:37" x14ac:dyDescent="0.2">
      <c r="A4988" t="str">
        <f>"20200111160317375"</f>
        <v>20200111160317375</v>
      </c>
      <c r="B4988" t="str">
        <f>"1578729797368291"</f>
        <v>1578729797368291</v>
      </c>
      <c r="C4988" t="s">
        <v>37</v>
      </c>
      <c r="D4988">
        <v>5.1673499999999999</v>
      </c>
      <c r="E4988">
        <v>0.45767869999999999</v>
      </c>
      <c r="F4988" t="s">
        <v>64</v>
      </c>
      <c r="G4988">
        <v>-294.66989999999998</v>
      </c>
      <c r="H4988" s="1">
        <v>-4.0032559999999999E-6</v>
      </c>
      <c r="I4988">
        <v>-44.751469999999998</v>
      </c>
      <c r="J4988">
        <v>-296.8501</v>
      </c>
      <c r="K4988">
        <v>1.103963</v>
      </c>
      <c r="L4988">
        <v>-32.753169999999997</v>
      </c>
      <c r="M4988">
        <v>3.2777809999999998E-2</v>
      </c>
      <c r="N4988">
        <v>0</v>
      </c>
      <c r="O4988">
        <v>-0.99935209999999997</v>
      </c>
      <c r="P4988">
        <v>4.7458809999999997E-2</v>
      </c>
      <c r="Q4988">
        <v>-2.8599320000000001E-2</v>
      </c>
      <c r="R4988">
        <v>-0.99846399999999902</v>
      </c>
      <c r="S4988">
        <v>0.52581789999999995</v>
      </c>
      <c r="T4988">
        <v>-0.26481259999999901</v>
      </c>
      <c r="U4988">
        <v>-2.9717709999999999</v>
      </c>
      <c r="V4988">
        <v>-1.472121E-2</v>
      </c>
      <c r="W4988">
        <v>-1.3702860000000001E-2</v>
      </c>
      <c r="X4988">
        <v>0.99979779999999996</v>
      </c>
      <c r="Y4988">
        <v>-0.1411886</v>
      </c>
      <c r="Z4988">
        <v>8.756746E-2</v>
      </c>
      <c r="AA4988">
        <v>0.98610229999999999</v>
      </c>
      <c r="AB4988">
        <v>25</v>
      </c>
      <c r="AC4988">
        <v>2.1802000000000099</v>
      </c>
      <c r="AD4988">
        <v>-1.1039670032560001</v>
      </c>
      <c r="AE4988">
        <v>-11.998299999999899</v>
      </c>
      <c r="AF4988">
        <v>-1.7711913361321501</v>
      </c>
      <c r="AG4988">
        <v>-1.1039670032560001</v>
      </c>
      <c r="AH4988">
        <v>11.9652626251331</v>
      </c>
      <c r="AI4988">
        <v>95.214925483311404</v>
      </c>
      <c r="AJ4988">
        <v>98.420220771763994</v>
      </c>
      <c r="AK4988">
        <v>12.1459199561777</v>
      </c>
    </row>
    <row r="4989" spans="1:37" x14ac:dyDescent="0.2">
      <c r="A4989" t="str">
        <f>"20200111160317406"</f>
        <v>20200111160317406</v>
      </c>
      <c r="B4989" t="str">
        <f>"1578729797398546"</f>
        <v>1578729797398546</v>
      </c>
      <c r="C4989" t="s">
        <v>37</v>
      </c>
      <c r="D4989">
        <v>5.3938829999999998</v>
      </c>
      <c r="E4989">
        <v>0.4603795</v>
      </c>
      <c r="F4989" t="s">
        <v>64</v>
      </c>
      <c r="G4989">
        <v>-294.92380000000003</v>
      </c>
      <c r="H4989" s="1">
        <v>-3.7926400000000002E-6</v>
      </c>
      <c r="I4989">
        <v>-44.469320000000003</v>
      </c>
      <c r="J4989">
        <v>-296.83949999999999</v>
      </c>
      <c r="K4989">
        <v>1.104163</v>
      </c>
      <c r="L4989">
        <v>-33.110140000000001</v>
      </c>
      <c r="M4989">
        <v>3.1971760000000002E-2</v>
      </c>
      <c r="N4989">
        <v>0</v>
      </c>
      <c r="O4989">
        <v>-0.99937830000000005</v>
      </c>
      <c r="P4989">
        <v>4.5231359999999998E-2</v>
      </c>
      <c r="Q4989">
        <v>-3.3794970000000001E-2</v>
      </c>
      <c r="R4989">
        <v>-0.99840490000000004</v>
      </c>
      <c r="S4989">
        <v>0.48886109999999999</v>
      </c>
      <c r="T4989">
        <v>-0.28016790000000003</v>
      </c>
      <c r="U4989">
        <v>-2.9733580000000002</v>
      </c>
      <c r="V4989">
        <v>-1.329986E-2</v>
      </c>
      <c r="W4989">
        <v>-1.8920800000000002E-2</v>
      </c>
      <c r="X4989">
        <v>0.99973250000000002</v>
      </c>
      <c r="Y4989">
        <v>-0.1299023</v>
      </c>
      <c r="Z4989">
        <v>9.2724849999999998E-2</v>
      </c>
      <c r="AA4989">
        <v>0.98718159999999899</v>
      </c>
      <c r="AB4989">
        <v>25</v>
      </c>
      <c r="AC4989">
        <v>1.91569999999995</v>
      </c>
      <c r="AD4989">
        <v>-1.1041667926400001</v>
      </c>
      <c r="AE4989">
        <v>-11.35918</v>
      </c>
      <c r="AF4989">
        <v>-1.53738269835403</v>
      </c>
      <c r="AG4989">
        <v>-1.1041667926400001</v>
      </c>
      <c r="AH4989">
        <v>11.310709935808701</v>
      </c>
      <c r="AI4989">
        <v>95.525138294002204</v>
      </c>
      <c r="AJ4989">
        <v>97.740364280857904</v>
      </c>
      <c r="AK4989">
        <v>11.467994119250699</v>
      </c>
    </row>
    <row r="4990" spans="1:37" x14ac:dyDescent="0.2">
      <c r="A4990" t="str">
        <f>"20200111160317441"</f>
        <v>20200111160317441</v>
      </c>
      <c r="B4990" t="str">
        <f>"1578729797438563"</f>
        <v>1578729797438563</v>
      </c>
      <c r="C4990" t="s">
        <v>37</v>
      </c>
      <c r="D4990">
        <v>5.272875</v>
      </c>
      <c r="E4990">
        <v>0.46347280000000002</v>
      </c>
      <c r="F4990" t="s">
        <v>64</v>
      </c>
      <c r="G4990">
        <v>-295.14929999999998</v>
      </c>
      <c r="H4990" s="1">
        <v>-3.4873099999999999E-6</v>
      </c>
      <c r="I4990">
        <v>-44.002459999999999</v>
      </c>
      <c r="J4990">
        <v>-296.82799999999997</v>
      </c>
      <c r="K4990">
        <v>1.1043879999999999</v>
      </c>
      <c r="L4990">
        <v>-33.488309999999998</v>
      </c>
      <c r="M4990">
        <v>3.166099E-2</v>
      </c>
      <c r="N4990">
        <v>0</v>
      </c>
      <c r="O4990">
        <v>-0.99938859999999996</v>
      </c>
      <c r="P4990">
        <v>4.2125910000000003E-2</v>
      </c>
      <c r="Q4990">
        <v>-3.5347959999999998E-2</v>
      </c>
      <c r="R4990">
        <v>-0.99848740000000002</v>
      </c>
      <c r="S4990">
        <v>0.46145629999999999</v>
      </c>
      <c r="T4990">
        <v>-0.3014464</v>
      </c>
      <c r="U4990">
        <v>-2.9736940000000001</v>
      </c>
      <c r="V4990">
        <v>-1.049309E-2</v>
      </c>
      <c r="W4990">
        <v>-2.0494200000000001E-2</v>
      </c>
      <c r="X4990">
        <v>0.99973489999999998</v>
      </c>
      <c r="Y4990">
        <v>-0.12121169999999901</v>
      </c>
      <c r="Z4990">
        <v>9.9816020000000005E-2</v>
      </c>
      <c r="AA4990">
        <v>0.98759529999999995</v>
      </c>
      <c r="AB4990">
        <v>25</v>
      </c>
      <c r="AC4990">
        <v>1.6786999999999901</v>
      </c>
      <c r="AD4990">
        <v>-1.10439148731</v>
      </c>
      <c r="AE4990">
        <v>-10.514150000000001</v>
      </c>
      <c r="AF4990">
        <v>-1.3306172961028599</v>
      </c>
      <c r="AG4990">
        <v>-1.10439148731</v>
      </c>
      <c r="AH4990">
        <v>10.449607181266799</v>
      </c>
      <c r="AI4990">
        <v>95.985071367678103</v>
      </c>
      <c r="AJ4990">
        <v>97.256795057188299</v>
      </c>
      <c r="AK4990">
        <v>10.5917190856212</v>
      </c>
    </row>
    <row r="4991" spans="1:37" x14ac:dyDescent="0.2">
      <c r="A4991" t="str">
        <f>"20200111160317474"</f>
        <v>20200111160317474</v>
      </c>
      <c r="B4991" t="str">
        <f>"1578729797467846"</f>
        <v>1578729797467846</v>
      </c>
      <c r="C4991" t="s">
        <v>37</v>
      </c>
      <c r="D4991">
        <v>5.2413949999999998</v>
      </c>
      <c r="E4991">
        <v>0.46551579999999898</v>
      </c>
      <c r="F4991" t="s">
        <v>64</v>
      </c>
      <c r="G4991">
        <v>-295.3297</v>
      </c>
      <c r="H4991" s="1">
        <v>-3.3994119999999999E-6</v>
      </c>
      <c r="I4991">
        <v>-43.914900000000003</v>
      </c>
      <c r="J4991">
        <v>-296.81639999999999</v>
      </c>
      <c r="K4991">
        <v>1.104641</v>
      </c>
      <c r="L4991">
        <v>-33.851009999999903</v>
      </c>
      <c r="M4991">
        <v>3.195949E-2</v>
      </c>
      <c r="N4991">
        <v>0</v>
      </c>
      <c r="O4991">
        <v>-0.99937889999999996</v>
      </c>
      <c r="P4991">
        <v>3.9401140000000001E-2</v>
      </c>
      <c r="Q4991">
        <v>-3.7086979999999999E-2</v>
      </c>
      <c r="R4991">
        <v>-0.99853530000000001</v>
      </c>
      <c r="S4991">
        <v>0.42755129999999902</v>
      </c>
      <c r="T4991">
        <v>-0.31515019999999999</v>
      </c>
      <c r="U4991">
        <v>-2.9753419999999999</v>
      </c>
      <c r="V4991">
        <v>-7.45516699999999E-3</v>
      </c>
      <c r="W4991">
        <v>-2.2248830000000001E-2</v>
      </c>
      <c r="X4991">
        <v>0.99972469999999902</v>
      </c>
      <c r="Y4991">
        <v>-0.10974929999999999</v>
      </c>
      <c r="Z4991">
        <v>0.104403199999999</v>
      </c>
      <c r="AA4991">
        <v>0.98846100000000003</v>
      </c>
      <c r="AB4991">
        <v>25</v>
      </c>
      <c r="AC4991">
        <v>1.4866999999999799</v>
      </c>
      <c r="AD4991">
        <v>-1.1046443994120001</v>
      </c>
      <c r="AE4991">
        <v>-10.063890000000001</v>
      </c>
      <c r="AF4991">
        <v>-1.1507006292786099</v>
      </c>
      <c r="AG4991">
        <v>-1.1046443994120001</v>
      </c>
      <c r="AH4991">
        <v>9.9884964794935698</v>
      </c>
      <c r="AI4991">
        <v>96.269656940373096</v>
      </c>
      <c r="AJ4991">
        <v>96.571651982570998</v>
      </c>
      <c r="AK4991">
        <v>10.115058729845799</v>
      </c>
    </row>
    <row r="4992" spans="1:37" x14ac:dyDescent="0.2">
      <c r="A4992" t="str">
        <f>"20200111160317505"</f>
        <v>20200111160317505</v>
      </c>
      <c r="B4992" t="str">
        <f>"1578729797498099"</f>
        <v>1578729797498099</v>
      </c>
      <c r="C4992" t="s">
        <v>37</v>
      </c>
      <c r="D4992">
        <v>5.4584130000000002</v>
      </c>
      <c r="E4992">
        <v>0.46721549999999901</v>
      </c>
      <c r="F4992" t="s">
        <v>64</v>
      </c>
      <c r="G4992">
        <v>-295.45010000000002</v>
      </c>
      <c r="H4992" s="1">
        <v>-3.3856459999999998E-6</v>
      </c>
      <c r="I4992">
        <v>-43.93853</v>
      </c>
      <c r="J4992">
        <v>-296.80430000000001</v>
      </c>
      <c r="K4992">
        <v>1.1049089999999999</v>
      </c>
      <c r="L4992">
        <v>-34.201349999999998</v>
      </c>
      <c r="M4992">
        <v>3.2852729999999997E-2</v>
      </c>
      <c r="N4992">
        <v>0</v>
      </c>
      <c r="O4992">
        <v>-0.99934999999999996</v>
      </c>
      <c r="P4992">
        <v>3.8836130000000003E-2</v>
      </c>
      <c r="Q4992">
        <v>-4.0279599999999999E-2</v>
      </c>
      <c r="R4992">
        <v>-0.99843359999999903</v>
      </c>
      <c r="S4992">
        <v>0.40313719999999997</v>
      </c>
      <c r="T4992">
        <v>-0.32593149999999999</v>
      </c>
      <c r="U4992">
        <v>-2.9763790000000001</v>
      </c>
      <c r="V4992">
        <v>-5.9812040000000004E-3</v>
      </c>
      <c r="W4992">
        <v>-2.545333E-2</v>
      </c>
      <c r="X4992">
        <v>0.99965809999999999</v>
      </c>
      <c r="Y4992">
        <v>-0.1008034</v>
      </c>
      <c r="Z4992">
        <v>0.10800360000000001</v>
      </c>
      <c r="AA4992">
        <v>0.98902670000000004</v>
      </c>
      <c r="AB4992">
        <v>25</v>
      </c>
      <c r="AC4992">
        <v>1.3541999999999901</v>
      </c>
      <c r="AD4992">
        <v>-1.1049123856459999</v>
      </c>
      <c r="AE4992">
        <v>-9.7371800000000004</v>
      </c>
      <c r="AF4992">
        <v>-1.02064791856104</v>
      </c>
      <c r="AG4992">
        <v>-1.1049123856459999</v>
      </c>
      <c r="AH4992">
        <v>9.6544624037920208</v>
      </c>
      <c r="AI4992">
        <v>96.492982678283894</v>
      </c>
      <c r="AJ4992">
        <v>96.034764778653795</v>
      </c>
      <c r="AK4992">
        <v>9.7709363860302805</v>
      </c>
    </row>
    <row r="4993" spans="1:37" x14ac:dyDescent="0.2">
      <c r="A4993" t="str">
        <f>"20200111160317543"</f>
        <v>20200111160317543</v>
      </c>
      <c r="B4993" t="str">
        <f>"1578729797538622"</f>
        <v>1578729797538622</v>
      </c>
      <c r="C4993" t="s">
        <v>37</v>
      </c>
      <c r="D4993">
        <v>5.2993559999999897</v>
      </c>
      <c r="E4993">
        <v>0.46933639999999999</v>
      </c>
      <c r="F4993" t="s">
        <v>64</v>
      </c>
      <c r="G4993">
        <v>-295.54340000000002</v>
      </c>
      <c r="H4993" s="1">
        <v>-3.328001E-6</v>
      </c>
      <c r="I4993">
        <v>-43.870959999999997</v>
      </c>
      <c r="J4993">
        <v>-296.78949999999998</v>
      </c>
      <c r="K4993">
        <v>1.105262</v>
      </c>
      <c r="L4993">
        <v>-34.591639999999998</v>
      </c>
      <c r="M4993">
        <v>3.465203E-2</v>
      </c>
      <c r="N4993">
        <v>0</v>
      </c>
      <c r="O4993">
        <v>-0.99928950000000005</v>
      </c>
      <c r="P4993">
        <v>4.3500490000000003E-2</v>
      </c>
      <c r="Q4993">
        <v>-4.1814360000000002E-2</v>
      </c>
      <c r="R4993">
        <v>-0.99817809999999996</v>
      </c>
      <c r="S4993">
        <v>0.3880615</v>
      </c>
      <c r="T4993">
        <v>-0.34004469999999998</v>
      </c>
      <c r="U4993">
        <v>-2.9758909999999998</v>
      </c>
      <c r="V4993">
        <v>-8.8270380000000006E-3</v>
      </c>
      <c r="W4993">
        <v>-2.7005049999999999E-2</v>
      </c>
      <c r="X4993">
        <v>0.99959629999999999</v>
      </c>
      <c r="Y4993">
        <v>-9.4040600000000002E-2</v>
      </c>
      <c r="Z4993">
        <v>0.1127041</v>
      </c>
      <c r="AA4993">
        <v>0.98916839999999995</v>
      </c>
      <c r="AB4993">
        <v>25</v>
      </c>
      <c r="AC4993">
        <v>1.24609999999995</v>
      </c>
      <c r="AD4993">
        <v>-1.1052653280010001</v>
      </c>
      <c r="AE4993">
        <v>-9.2793199999999896</v>
      </c>
      <c r="AF4993">
        <v>-0.91107214546830395</v>
      </c>
      <c r="AG4993">
        <v>-1.1052653280010001</v>
      </c>
      <c r="AH4993">
        <v>9.1888742504625007</v>
      </c>
      <c r="AI4993">
        <v>96.8256073230217</v>
      </c>
      <c r="AJ4993">
        <v>95.662340624134401</v>
      </c>
      <c r="AK4993">
        <v>9.2998426809458508</v>
      </c>
    </row>
    <row r="4994" spans="1:37" x14ac:dyDescent="0.2">
      <c r="A4994" t="str">
        <f>"20200111160317586"</f>
        <v>20200111160317586</v>
      </c>
      <c r="B4994" t="str">
        <f>"1578729797578638"</f>
        <v>1578729797578638</v>
      </c>
      <c r="C4994" t="s">
        <v>37</v>
      </c>
      <c r="D4994">
        <v>5.340611</v>
      </c>
      <c r="E4994">
        <v>0.47114509999999998</v>
      </c>
      <c r="F4994" t="s">
        <v>64</v>
      </c>
      <c r="G4994">
        <v>-295.57830000000001</v>
      </c>
      <c r="H4994" s="1">
        <v>-3.3716079999999998E-6</v>
      </c>
      <c r="I4994">
        <v>-43.964840000000002</v>
      </c>
      <c r="J4994">
        <v>-296.7688</v>
      </c>
      <c r="K4994">
        <v>1.1058209999999999</v>
      </c>
      <c r="L4994">
        <v>-35.06982</v>
      </c>
      <c r="M4994">
        <v>3.810069E-2</v>
      </c>
      <c r="N4994">
        <v>0</v>
      </c>
      <c r="O4994">
        <v>-0.99916389999999999</v>
      </c>
      <c r="P4994">
        <v>5.5078769999999999E-2</v>
      </c>
      <c r="Q4994">
        <v>-3.3752070000000002E-2</v>
      </c>
      <c r="R4994">
        <v>-0.99791149999999995</v>
      </c>
      <c r="S4994">
        <v>0.38430789999999998</v>
      </c>
      <c r="T4994">
        <v>-0.35069040000000001</v>
      </c>
      <c r="U4994">
        <v>-2.97403</v>
      </c>
      <c r="V4994">
        <v>-1.6951810000000001E-2</v>
      </c>
      <c r="W4994">
        <v>-1.8976449999999999E-2</v>
      </c>
      <c r="X4994">
        <v>0.99967619999999902</v>
      </c>
      <c r="Y4994">
        <v>-8.9402699999999904E-2</v>
      </c>
      <c r="Z4994">
        <v>0.11626880000000001</v>
      </c>
      <c r="AA4994">
        <v>0.98918589999999995</v>
      </c>
      <c r="AB4994">
        <v>24</v>
      </c>
      <c r="AC4994">
        <v>1.1904999999999799</v>
      </c>
      <c r="AD4994">
        <v>-1.1058243716079901</v>
      </c>
      <c r="AE4994">
        <v>-8.8950200000000006</v>
      </c>
      <c r="AF4994">
        <v>-0.83796855856489105</v>
      </c>
      <c r="AG4994">
        <v>-1.1058243716079901</v>
      </c>
      <c r="AH4994">
        <v>8.8003056110194908</v>
      </c>
      <c r="AI4994">
        <v>97.130188233070101</v>
      </c>
      <c r="AJ4994">
        <v>95.439326881245094</v>
      </c>
      <c r="AK4994">
        <v>8.9090076716392304</v>
      </c>
    </row>
    <row r="4995" spans="1:37" x14ac:dyDescent="0.2">
      <c r="A4995" t="str">
        <f>"20200111160317697"</f>
        <v>20200111160317697</v>
      </c>
      <c r="B4995" t="str">
        <f>"1578729797687953"</f>
        <v>1578729797687953</v>
      </c>
      <c r="C4995" t="s">
        <v>37</v>
      </c>
      <c r="D4995">
        <v>5.0940849999999998</v>
      </c>
      <c r="E4995">
        <v>0.31047819999999998</v>
      </c>
      <c r="F4995" t="s">
        <v>64</v>
      </c>
      <c r="G4995">
        <v>-295.41730000000001</v>
      </c>
      <c r="H4995" s="1">
        <v>-3.9741300000000002E-6</v>
      </c>
      <c r="I4995">
        <v>-45.00121</v>
      </c>
      <c r="J4995">
        <v>-296.70069999999998</v>
      </c>
      <c r="K4995">
        <v>1.1068169999999999</v>
      </c>
      <c r="L4995">
        <v>-36.270509999999902</v>
      </c>
      <c r="M4995">
        <v>5.2375430000000001E-2</v>
      </c>
      <c r="N4995">
        <v>0</v>
      </c>
      <c r="O4995">
        <v>-0.99851719999999899</v>
      </c>
      <c r="P4995">
        <v>9.6741149999999998E-2</v>
      </c>
      <c r="Q4995">
        <v>-2.3784449999999999E-2</v>
      </c>
      <c r="R4995">
        <v>-0.99502570000000001</v>
      </c>
      <c r="S4995">
        <v>0.40454099999999998</v>
      </c>
      <c r="T4995">
        <v>-0.33100469999999999</v>
      </c>
      <c r="U4995">
        <v>-2.9727480000000002</v>
      </c>
      <c r="V4995">
        <v>-4.4437879999999999E-2</v>
      </c>
      <c r="W4995">
        <v>-9.1861059999999994E-3</v>
      </c>
      <c r="X4995">
        <v>0.99896989999999997</v>
      </c>
      <c r="Y4995">
        <v>-8.1937309999999999E-2</v>
      </c>
      <c r="Z4995">
        <v>0.1097509</v>
      </c>
      <c r="AA4995">
        <v>0.99057609999999996</v>
      </c>
      <c r="AB4995">
        <v>24</v>
      </c>
      <c r="AC4995">
        <v>1.2833999999999699</v>
      </c>
      <c r="AD4995">
        <v>-1.1068209741299999</v>
      </c>
      <c r="AE4995">
        <v>-8.7307000000000006</v>
      </c>
      <c r="AF4995">
        <v>-0.81154667177794404</v>
      </c>
      <c r="AG4995">
        <v>-1.1068209741299999</v>
      </c>
      <c r="AH4995">
        <v>8.6498642424088708</v>
      </c>
      <c r="AI4995">
        <v>97.260297275488199</v>
      </c>
      <c r="AJ4995">
        <v>95.359908518489206</v>
      </c>
      <c r="AK4995">
        <v>8.7580712534981995</v>
      </c>
    </row>
    <row r="4996" spans="1:37" x14ac:dyDescent="0.2">
      <c r="A4996" t="str">
        <f>"20200111160317742"</f>
        <v>20200111160317742</v>
      </c>
      <c r="B4996" t="str">
        <f>"1578729797738702"</f>
        <v>1578729797738702</v>
      </c>
      <c r="C4996" t="s">
        <v>37</v>
      </c>
      <c r="D4996">
        <v>5.1840479999999998</v>
      </c>
      <c r="E4996">
        <v>0.3210694</v>
      </c>
      <c r="F4996" t="s">
        <v>66</v>
      </c>
      <c r="G4996">
        <v>-266.66989999999998</v>
      </c>
      <c r="H4996">
        <v>6.6740869999999903</v>
      </c>
      <c r="I4996">
        <v>-84.342590000000001</v>
      </c>
      <c r="J4996">
        <v>-296.6669</v>
      </c>
      <c r="K4996">
        <v>1.107075</v>
      </c>
      <c r="L4996">
        <v>-36.742459999999902</v>
      </c>
      <c r="M4996">
        <v>5.9643389999999998E-2</v>
      </c>
      <c r="N4996">
        <v>0</v>
      </c>
      <c r="O4996">
        <v>-0.99810909999999997</v>
      </c>
      <c r="P4996">
        <v>0.10986659999999999</v>
      </c>
      <c r="Q4996">
        <v>-2.077975E-2</v>
      </c>
      <c r="R4996">
        <v>-0.99372909999999903</v>
      </c>
      <c r="S4996">
        <v>1.780273</v>
      </c>
      <c r="T4996">
        <v>0.33003769999999999</v>
      </c>
      <c r="U4996">
        <v>-2.8497919999999999</v>
      </c>
      <c r="V4996">
        <v>-5.0358239999999999E-2</v>
      </c>
      <c r="W4996">
        <v>-6.2377589999999998E-3</v>
      </c>
      <c r="X4996">
        <v>0.99871180000000004</v>
      </c>
      <c r="Y4996">
        <v>-0.47569040000000001</v>
      </c>
      <c r="Z4996">
        <v>-9.9057370000000006E-2</v>
      </c>
      <c r="AA4996">
        <v>0.8740173</v>
      </c>
      <c r="AB4996">
        <v>24</v>
      </c>
      <c r="AC4996">
        <v>29.997</v>
      </c>
      <c r="AD4996">
        <v>5.5670119999999903</v>
      </c>
      <c r="AE4996">
        <v>-47.60013</v>
      </c>
      <c r="AF4996">
        <v>-26.841457375548099</v>
      </c>
      <c r="AG4996">
        <v>5.5670119999999903</v>
      </c>
      <c r="AH4996">
        <v>48.826671046751201</v>
      </c>
      <c r="AI4996">
        <v>84.294292798550799</v>
      </c>
      <c r="AJ4996">
        <v>118.798889655428</v>
      </c>
      <c r="AK4996">
        <v>55.995528947936201</v>
      </c>
    </row>
    <row r="4997" spans="1:37" x14ac:dyDescent="0.2">
      <c r="A4997" t="str">
        <f>"20200111160317774"</f>
        <v>20200111160317774</v>
      </c>
      <c r="B4997" t="str">
        <f>"1578729797767983"</f>
        <v>1578729797767983</v>
      </c>
      <c r="C4997" t="s">
        <v>37</v>
      </c>
      <c r="D4997">
        <v>5.0971890000000002</v>
      </c>
      <c r="E4997">
        <v>0.32254509999999997</v>
      </c>
      <c r="F4997" t="s">
        <v>66</v>
      </c>
      <c r="G4997">
        <v>-262.94979999999998</v>
      </c>
      <c r="H4997">
        <v>4.0868820000000001</v>
      </c>
      <c r="I4997">
        <v>-91.564989999999995</v>
      </c>
      <c r="J4997">
        <v>-296.63940000000002</v>
      </c>
      <c r="K4997">
        <v>1.107237</v>
      </c>
      <c r="L4997">
        <v>-37.088470000000001</v>
      </c>
      <c r="M4997">
        <v>6.5355239999999995E-2</v>
      </c>
      <c r="N4997">
        <v>0</v>
      </c>
      <c r="O4997">
        <v>-0.99775139999999995</v>
      </c>
      <c r="P4997">
        <v>0.1173935</v>
      </c>
      <c r="Q4997">
        <v>-1.7909120000000001E-2</v>
      </c>
      <c r="R4997">
        <v>-0.99292420000000003</v>
      </c>
      <c r="S4997">
        <v>1.740356</v>
      </c>
      <c r="T4997">
        <v>0.1538079</v>
      </c>
      <c r="U4997">
        <v>-2.829742</v>
      </c>
      <c r="V4997">
        <v>-5.222185E-2</v>
      </c>
      <c r="W4997">
        <v>-3.39082599999999E-3</v>
      </c>
      <c r="X4997">
        <v>0.99862969999999895</v>
      </c>
      <c r="Y4997">
        <v>-0.46650429999999998</v>
      </c>
      <c r="Z4997">
        <v>-4.689902E-2</v>
      </c>
      <c r="AA4997">
        <v>0.88327469999999997</v>
      </c>
      <c r="AB4997">
        <v>24</v>
      </c>
      <c r="AC4997">
        <v>33.689599999999999</v>
      </c>
      <c r="AD4997">
        <v>2.9796450000000001</v>
      </c>
      <c r="AE4997">
        <v>-54.476520000000001</v>
      </c>
      <c r="AF4997">
        <v>-29.991935369675101</v>
      </c>
      <c r="AG4997">
        <v>2.9796450000000001</v>
      </c>
      <c r="AH4997">
        <v>56.439924664264801</v>
      </c>
      <c r="AI4997">
        <v>87.330820467262598</v>
      </c>
      <c r="AJ4997">
        <v>117.985986199767</v>
      </c>
      <c r="AK4997">
        <v>63.983275687109703</v>
      </c>
    </row>
    <row r="4998" spans="1:37" x14ac:dyDescent="0.2">
      <c r="A4998" t="str">
        <f>"20200111160317808"</f>
        <v>20200111160317808</v>
      </c>
      <c r="B4998" t="str">
        <f>"1578729797798238"</f>
        <v>1578729797798238</v>
      </c>
      <c r="C4998" t="s">
        <v>37</v>
      </c>
      <c r="D4998">
        <v>5.1374649999999997</v>
      </c>
      <c r="E4998">
        <v>0.32691369999999997</v>
      </c>
      <c r="F4998" t="s">
        <v>66</v>
      </c>
      <c r="G4998">
        <v>-262.78109999999998</v>
      </c>
      <c r="H4998">
        <v>3.8615519999999899</v>
      </c>
      <c r="I4998">
        <v>-91.564989999999995</v>
      </c>
      <c r="J4998">
        <v>-296.608</v>
      </c>
      <c r="K4998">
        <v>1.1073850000000001</v>
      </c>
      <c r="L4998">
        <v>-37.451479999999997</v>
      </c>
      <c r="M4998">
        <v>7.1627679999999999E-2</v>
      </c>
      <c r="N4998">
        <v>0</v>
      </c>
      <c r="O4998">
        <v>-0.9973206</v>
      </c>
      <c r="P4998">
        <v>0.12864919999999999</v>
      </c>
      <c r="Q4998">
        <v>-1.221802E-2</v>
      </c>
      <c r="R4998">
        <v>-0.99161480000000002</v>
      </c>
      <c r="S4998">
        <v>1.750793</v>
      </c>
      <c r="T4998">
        <v>0.1424252</v>
      </c>
      <c r="U4998">
        <v>-2.8169559999999998</v>
      </c>
      <c r="V4998">
        <v>-5.7299839999999998E-2</v>
      </c>
      <c r="W4998">
        <v>2.2543099999999998E-3</v>
      </c>
      <c r="X4998">
        <v>0.99835450000000003</v>
      </c>
      <c r="Y4998">
        <v>-0.46517520000000001</v>
      </c>
      <c r="Z4998">
        <v>-4.3550930000000002E-2</v>
      </c>
      <c r="AA4998">
        <v>0.88414669999999895</v>
      </c>
      <c r="AB4998">
        <v>24</v>
      </c>
      <c r="AC4998">
        <v>33.826900000000002</v>
      </c>
      <c r="AD4998">
        <v>2.7541669999999998</v>
      </c>
      <c r="AE4998">
        <v>-54.113509999999998</v>
      </c>
      <c r="AF4998">
        <v>-29.808020591955401</v>
      </c>
      <c r="AG4998">
        <v>2.7541669999999998</v>
      </c>
      <c r="AH4998">
        <v>56.292845418702598</v>
      </c>
      <c r="AI4998">
        <v>87.524183623148403</v>
      </c>
      <c r="AJ4998">
        <v>117.901981945766</v>
      </c>
      <c r="AK4998">
        <v>63.757258197073298</v>
      </c>
    </row>
    <row r="4999" spans="1:37" x14ac:dyDescent="0.2">
      <c r="A4999" t="str">
        <f>"20200111160318223"</f>
        <v>20200111160318223</v>
      </c>
      <c r="B4999" t="str">
        <f>"1578729798217918"</f>
        <v>1578729798217918</v>
      </c>
      <c r="C4999" t="s">
        <v>37</v>
      </c>
      <c r="D4999">
        <v>5.0835349999999897</v>
      </c>
      <c r="E4999">
        <v>0.32989489999999999</v>
      </c>
      <c r="F4999" t="s">
        <v>66</v>
      </c>
      <c r="G4999">
        <v>-262.74029999999999</v>
      </c>
      <c r="H4999">
        <v>2.553261</v>
      </c>
      <c r="I4999">
        <v>-91.564989999999995</v>
      </c>
      <c r="J4999">
        <v>-296.05700000000002</v>
      </c>
      <c r="K4999">
        <v>1.10694</v>
      </c>
      <c r="L4999">
        <v>-41.698239999999998</v>
      </c>
      <c r="M4999">
        <v>0.14729709999999999</v>
      </c>
      <c r="N4999">
        <v>0</v>
      </c>
      <c r="O4999">
        <v>-0.98898189999999997</v>
      </c>
      <c r="P4999">
        <v>0.30044480000000001</v>
      </c>
      <c r="Q4999">
        <v>-2.8570950000000001E-2</v>
      </c>
      <c r="R4999">
        <v>-0.95337119999999997</v>
      </c>
      <c r="S4999">
        <v>1.7518009999999999</v>
      </c>
      <c r="T4999">
        <v>7.478833E-2</v>
      </c>
      <c r="U4999">
        <v>-2.7990110000000001</v>
      </c>
      <c r="V4999">
        <v>-0.15663879999999999</v>
      </c>
      <c r="W4999">
        <v>-1.489175E-2</v>
      </c>
      <c r="X4999">
        <v>0.98754370000000002</v>
      </c>
      <c r="Y4999">
        <v>-0.3997231</v>
      </c>
      <c r="Z4999">
        <v>-2.3092330000000001E-2</v>
      </c>
      <c r="AA4999">
        <v>0.91634499999999997</v>
      </c>
      <c r="AB4999">
        <v>23</v>
      </c>
      <c r="AC4999">
        <v>33.316699999999997</v>
      </c>
      <c r="AD4999">
        <v>1.446321</v>
      </c>
      <c r="AE4999">
        <v>-49.866750000000003</v>
      </c>
      <c r="AF4999">
        <v>-25.592297099287499</v>
      </c>
      <c r="AG4999">
        <v>1.446321</v>
      </c>
      <c r="AH4999">
        <v>54.1991655083118</v>
      </c>
      <c r="AI4999">
        <v>88.617695428416198</v>
      </c>
      <c r="AJ4999">
        <v>115.276206713078</v>
      </c>
      <c r="AK4999">
        <v>59.955041965214399</v>
      </c>
    </row>
    <row r="5000" spans="1:37" x14ac:dyDescent="0.2">
      <c r="A5000" t="str">
        <f>"20200111160318255"</f>
        <v>20200111160318255</v>
      </c>
      <c r="B5000" t="str">
        <f>"1578729798248174"</f>
        <v>1578729798248174</v>
      </c>
      <c r="C5000" t="s">
        <v>37</v>
      </c>
      <c r="D5000">
        <v>5.005484</v>
      </c>
      <c r="E5000">
        <v>0.3300149</v>
      </c>
      <c r="F5000" t="s">
        <v>38</v>
      </c>
      <c r="G5000">
        <v>-266.83879999999999</v>
      </c>
      <c r="H5000">
        <v>7.9987470000000005E-2</v>
      </c>
      <c r="I5000">
        <v>-74.339489999999998</v>
      </c>
      <c r="J5000">
        <v>-296.00049999999999</v>
      </c>
      <c r="K5000">
        <v>1.106946</v>
      </c>
      <c r="L5000">
        <v>-42.029020000000003</v>
      </c>
      <c r="M5000">
        <v>0.1529672</v>
      </c>
      <c r="N5000">
        <v>0</v>
      </c>
      <c r="O5000">
        <v>-0.98812099999999903</v>
      </c>
      <c r="P5000">
        <v>0.31991839999999999</v>
      </c>
      <c r="Q5000">
        <v>-2.4316750000000002E-2</v>
      </c>
      <c r="R5000">
        <v>-0.94713320000000001</v>
      </c>
      <c r="S5000">
        <v>2.1953740000000002</v>
      </c>
      <c r="T5000">
        <v>-7.7162270000000005E-2</v>
      </c>
      <c r="U5000">
        <v>-2.4525759999999899</v>
      </c>
      <c r="V5000">
        <v>-0.17119709999999999</v>
      </c>
      <c r="W5000">
        <v>-1.076065E-2</v>
      </c>
      <c r="X5000">
        <v>0.98517809999999995</v>
      </c>
      <c r="Y5000">
        <v>-0.54492390000000002</v>
      </c>
      <c r="Z5000">
        <v>2.422266E-2</v>
      </c>
      <c r="AA5000">
        <v>0.83813549999999903</v>
      </c>
      <c r="AB5000">
        <v>23</v>
      </c>
      <c r="AC5000">
        <v>29.1617</v>
      </c>
      <c r="AD5000">
        <v>-1.0269585299999999</v>
      </c>
      <c r="AE5000">
        <v>-32.310469999999903</v>
      </c>
      <c r="AF5000">
        <v>-23.862163047535301</v>
      </c>
      <c r="AG5000">
        <v>-1.0269585299999999</v>
      </c>
      <c r="AH5000">
        <v>36.371154307943002</v>
      </c>
      <c r="AI5000">
        <v>91.352396525699803</v>
      </c>
      <c r="AJ5000">
        <v>123.267832685211</v>
      </c>
      <c r="AK5000">
        <v>43.512277977850196</v>
      </c>
    </row>
    <row r="5001" spans="1:37" x14ac:dyDescent="0.2">
      <c r="A5001" t="str">
        <f>"20200111160318323"</f>
        <v>20200111160318323</v>
      </c>
      <c r="B5001" t="str">
        <f>"1578729798318446"</f>
        <v>1578729798318446</v>
      </c>
      <c r="C5001" t="s">
        <v>37</v>
      </c>
      <c r="D5001">
        <v>5.1859000000000002</v>
      </c>
      <c r="E5001">
        <v>0.31699060000000001</v>
      </c>
      <c r="F5001" t="s">
        <v>39</v>
      </c>
      <c r="G5001">
        <v>-254.5412</v>
      </c>
      <c r="H5001">
        <v>-0.05</v>
      </c>
      <c r="I5001">
        <v>-86.512540000000001</v>
      </c>
      <c r="J5001">
        <v>-295.8809</v>
      </c>
      <c r="K5001">
        <v>1.10693</v>
      </c>
      <c r="L5001">
        <v>-42.695009999999897</v>
      </c>
      <c r="M5001">
        <v>0.16446179999999999</v>
      </c>
      <c r="N5001">
        <v>0</v>
      </c>
      <c r="O5001">
        <v>-0.98627310000000001</v>
      </c>
      <c r="P5001">
        <v>0.34970459999999998</v>
      </c>
      <c r="Q5001">
        <v>-2.1169360000000002E-2</v>
      </c>
      <c r="R5001">
        <v>-0.93662069999999997</v>
      </c>
      <c r="S5001">
        <v>2.2441409999999999</v>
      </c>
      <c r="T5001">
        <v>-6.2623979999999996E-2</v>
      </c>
      <c r="U5001">
        <v>-2.4078369999999998</v>
      </c>
      <c r="V5001">
        <v>-0.1908445</v>
      </c>
      <c r="W5001">
        <v>-7.7987619999999999E-3</v>
      </c>
      <c r="X5001">
        <v>0.9815893</v>
      </c>
      <c r="Y5001">
        <v>-0.5520621</v>
      </c>
      <c r="Z5001">
        <v>1.970566E-2</v>
      </c>
      <c r="AA5001">
        <v>0.83357009999999898</v>
      </c>
      <c r="AB5001">
        <v>23</v>
      </c>
      <c r="AC5001">
        <v>41.339699999999901</v>
      </c>
      <c r="AD5001">
        <v>-1.15693</v>
      </c>
      <c r="AE5001">
        <v>-43.817529999999998</v>
      </c>
      <c r="AF5001">
        <v>-33.557201160610902</v>
      </c>
      <c r="AG5001">
        <v>-1.15693</v>
      </c>
      <c r="AH5001">
        <v>50.001854844864397</v>
      </c>
      <c r="AI5001">
        <v>91.1006421670008</v>
      </c>
      <c r="AJ5001">
        <v>123.86631743657399</v>
      </c>
      <c r="AK5001">
        <v>60.229641578590702</v>
      </c>
    </row>
    <row r="5002" spans="1:37" x14ac:dyDescent="0.2">
      <c r="A5002" t="str">
        <f>"20200111160318355"</f>
        <v>20200111160318355</v>
      </c>
      <c r="B5002" t="str">
        <f>"1578729798348702"</f>
        <v>1578729798348702</v>
      </c>
      <c r="C5002" t="s">
        <v>37</v>
      </c>
      <c r="D5002">
        <v>5.2309539999999997</v>
      </c>
      <c r="E5002">
        <v>0.35365249999999998</v>
      </c>
      <c r="F5002" t="s">
        <v>66</v>
      </c>
      <c r="G5002">
        <v>-256.18540000000002</v>
      </c>
      <c r="H5002">
        <v>12.55954</v>
      </c>
      <c r="I5002">
        <v>-80.916469999999904</v>
      </c>
      <c r="J5002">
        <v>-295.822</v>
      </c>
      <c r="K5002">
        <v>1.10694</v>
      </c>
      <c r="L5002">
        <v>-43.00723</v>
      </c>
      <c r="M5002">
        <v>0.16995189999999999</v>
      </c>
      <c r="N5002">
        <v>0</v>
      </c>
      <c r="O5002">
        <v>-0.98534200000000005</v>
      </c>
      <c r="P5002">
        <v>0.35658459999999997</v>
      </c>
      <c r="Q5002">
        <v>-2.1119329999999999E-2</v>
      </c>
      <c r="R5002">
        <v>-0.93402450000000004</v>
      </c>
      <c r="S5002">
        <v>2.4087830000000001</v>
      </c>
      <c r="T5002">
        <v>0.69496230000000003</v>
      </c>
      <c r="U5002">
        <v>-2.3193359999999998</v>
      </c>
      <c r="V5002">
        <v>-0.1925972</v>
      </c>
      <c r="W5002">
        <v>-7.7811E-3</v>
      </c>
      <c r="X5002">
        <v>0.98124709999999904</v>
      </c>
      <c r="Y5002">
        <v>-0.57571939999999999</v>
      </c>
      <c r="Z5002">
        <v>-0.21172649999999901</v>
      </c>
      <c r="AA5002">
        <v>0.78975890000000004</v>
      </c>
      <c r="AB5002">
        <v>23</v>
      </c>
      <c r="AC5002">
        <v>39.636599999999902</v>
      </c>
      <c r="AD5002">
        <v>11.4526</v>
      </c>
      <c r="AE5002">
        <v>-37.909239999999897</v>
      </c>
      <c r="AF5002">
        <v>-31.253685430310899</v>
      </c>
      <c r="AG5002">
        <v>11.4526</v>
      </c>
      <c r="AH5002">
        <v>42.252391390072901</v>
      </c>
      <c r="AI5002">
        <v>77.706561008270299</v>
      </c>
      <c r="AJ5002">
        <v>126.489974800938</v>
      </c>
      <c r="AK5002">
        <v>53.788655661921297</v>
      </c>
    </row>
    <row r="5003" spans="1:37" x14ac:dyDescent="0.2">
      <c r="A5003" t="str">
        <f>"20200111160318378"</f>
        <v>20200111160318378</v>
      </c>
      <c r="B5003" t="str">
        <f>"1578729798368223"</f>
        <v>1578729798368223</v>
      </c>
      <c r="C5003" t="s">
        <v>37</v>
      </c>
      <c r="D5003">
        <v>5.3771839999999997</v>
      </c>
      <c r="E5003">
        <v>0.35463850000000002</v>
      </c>
      <c r="F5003" t="s">
        <v>38</v>
      </c>
      <c r="G5003">
        <v>-269.38099999999997</v>
      </c>
      <c r="H5003">
        <v>7.9986630000000003E-2</v>
      </c>
      <c r="I5003">
        <v>-72.193740000000005</v>
      </c>
      <c r="J5003">
        <v>-295.77640000000002</v>
      </c>
      <c r="K5003">
        <v>1.106948</v>
      </c>
      <c r="L5003">
        <v>-43.242100000000001</v>
      </c>
      <c r="M5003">
        <v>0.17417089999999999</v>
      </c>
      <c r="N5003">
        <v>0</v>
      </c>
      <c r="O5003">
        <v>-0.98460509999999901</v>
      </c>
      <c r="P5003">
        <v>0.36181049999999998</v>
      </c>
      <c r="Q5003">
        <v>-2.7396179999999999E-2</v>
      </c>
      <c r="R5003">
        <v>-0.93184909999999999</v>
      </c>
      <c r="S5003">
        <v>2.160736</v>
      </c>
      <c r="T5003">
        <v>-8.3921789999999996E-2</v>
      </c>
      <c r="U5003">
        <v>-2.3851009999999899</v>
      </c>
      <c r="V5003">
        <v>-0.19388059999999999</v>
      </c>
      <c r="W5003">
        <v>-1.409174E-2</v>
      </c>
      <c r="X5003">
        <v>0.98092389999999996</v>
      </c>
      <c r="Y5003">
        <v>-0.5317885</v>
      </c>
      <c r="Z5003">
        <v>2.697693E-2</v>
      </c>
      <c r="AA5003">
        <v>0.84644750000000002</v>
      </c>
      <c r="AB5003">
        <v>23</v>
      </c>
      <c r="AC5003">
        <v>26.395399999999999</v>
      </c>
      <c r="AD5003">
        <v>-1.02696137</v>
      </c>
      <c r="AE5003">
        <v>-28.951640000000001</v>
      </c>
      <c r="AF5003">
        <v>-20.934404251429399</v>
      </c>
      <c r="AG5003">
        <v>-1.02696137</v>
      </c>
      <c r="AH5003">
        <v>33.084107833762701</v>
      </c>
      <c r="AI5003">
        <v>91.502565315595504</v>
      </c>
      <c r="AJ5003">
        <v>122.32412087947399</v>
      </c>
      <c r="AK5003">
        <v>39.164551857180498</v>
      </c>
    </row>
    <row r="5004" spans="1:37" x14ac:dyDescent="0.2">
      <c r="A5004" t="str">
        <f>"20200111160318414"</f>
        <v>20200111160318414</v>
      </c>
      <c r="B5004" t="str">
        <f>"1578729798408238"</f>
        <v>1578729798408238</v>
      </c>
      <c r="C5004" t="s">
        <v>37</v>
      </c>
      <c r="D5004">
        <v>5.2989639999999998</v>
      </c>
      <c r="E5004">
        <v>0.35666019999999998</v>
      </c>
      <c r="F5004" t="s">
        <v>38</v>
      </c>
      <c r="G5004">
        <v>-273.69450000000001</v>
      </c>
      <c r="H5004" s="1">
        <v>-2.2377709999999998E-6</v>
      </c>
      <c r="I5004">
        <v>-67.438769999999906</v>
      </c>
      <c r="J5004">
        <v>-295.7097</v>
      </c>
      <c r="K5004">
        <v>1.1069879999999901</v>
      </c>
      <c r="L5004">
        <v>-43.576079999999997</v>
      </c>
      <c r="M5004">
        <v>0.18033740000000001</v>
      </c>
      <c r="N5004">
        <v>0</v>
      </c>
      <c r="O5004">
        <v>-0.98349439999999999</v>
      </c>
      <c r="P5004">
        <v>0.36753249999999998</v>
      </c>
      <c r="Q5004">
        <v>-3.6581509999999998E-2</v>
      </c>
      <c r="R5004">
        <v>-0.92929110000000004</v>
      </c>
      <c r="S5004">
        <v>2.1672060000000002</v>
      </c>
      <c r="T5004">
        <v>-0.1086404</v>
      </c>
      <c r="U5004">
        <v>-2.3747560000000001</v>
      </c>
      <c r="V5004">
        <v>-0.19376199999999999</v>
      </c>
      <c r="W5004">
        <v>-2.3320210000000001E-2</v>
      </c>
      <c r="X5004">
        <v>0.98077139999999996</v>
      </c>
      <c r="Y5004">
        <v>-0.52940509999999996</v>
      </c>
      <c r="Z5004">
        <v>3.4964229999999999E-2</v>
      </c>
      <c r="AA5004">
        <v>0.84764839999999997</v>
      </c>
      <c r="AB5004">
        <v>23</v>
      </c>
      <c r="AC5004">
        <v>22.0152</v>
      </c>
      <c r="AD5004">
        <v>-1.1069902377709999</v>
      </c>
      <c r="AE5004">
        <v>-23.862689999999901</v>
      </c>
      <c r="AF5004">
        <v>-17.330227645370801</v>
      </c>
      <c r="AG5004">
        <v>-1.1069902377709999</v>
      </c>
      <c r="AH5004">
        <v>27.4101008254958</v>
      </c>
      <c r="AI5004">
        <v>91.955069151397595</v>
      </c>
      <c r="AJ5004">
        <v>122.30340676943599</v>
      </c>
      <c r="AK5004">
        <v>32.4480483987981</v>
      </c>
    </row>
    <row r="5005" spans="1:37" x14ac:dyDescent="0.2">
      <c r="A5005" t="str">
        <f>"20200111160318448"</f>
        <v>20200111160318448</v>
      </c>
      <c r="B5005" t="str">
        <f>"1578729798438495"</f>
        <v>1578729798438495</v>
      </c>
      <c r="C5005" t="s">
        <v>37</v>
      </c>
      <c r="D5005">
        <v>5.3882519999999996</v>
      </c>
      <c r="E5005">
        <v>0.35861520000000002</v>
      </c>
      <c r="F5005" t="s">
        <v>42</v>
      </c>
      <c r="G5005">
        <v>-295.02030000000002</v>
      </c>
      <c r="H5005">
        <v>1.0604450000000001</v>
      </c>
      <c r="I5005">
        <v>-44.328609999999998</v>
      </c>
      <c r="J5005">
        <v>-295.63850000000002</v>
      </c>
      <c r="K5005">
        <v>1.1070719999999901</v>
      </c>
      <c r="L5005">
        <v>-43.918550000000003</v>
      </c>
      <c r="M5005">
        <v>0.1869671</v>
      </c>
      <c r="N5005">
        <v>0</v>
      </c>
      <c r="O5005">
        <v>-0.98225569999999895</v>
      </c>
      <c r="P5005">
        <v>0.37084790000000001</v>
      </c>
      <c r="Q5005">
        <v>-4.6069730000000003E-2</v>
      </c>
      <c r="R5005">
        <v>-0.92755030000000005</v>
      </c>
      <c r="S5005">
        <v>2.1667480000000001</v>
      </c>
      <c r="T5005">
        <v>-0.1463045</v>
      </c>
      <c r="U5005">
        <v>-2.36557</v>
      </c>
      <c r="V5005">
        <v>-0.190659</v>
      </c>
      <c r="W5005">
        <v>-3.2842410000000002E-2</v>
      </c>
      <c r="X5005">
        <v>0.98110679999999995</v>
      </c>
      <c r="Y5005">
        <v>-0.5248853</v>
      </c>
      <c r="Z5005">
        <v>4.7174679999999997E-2</v>
      </c>
      <c r="AA5005">
        <v>0.84986469999999903</v>
      </c>
      <c r="AB5005">
        <v>22</v>
      </c>
      <c r="AC5005">
        <v>0.61820000000000097</v>
      </c>
      <c r="AD5005">
        <v>-4.6626999999999703E-2</v>
      </c>
      <c r="AE5005">
        <v>-0.41005999999999398</v>
      </c>
      <c r="AF5005">
        <v>-0.52853232989019705</v>
      </c>
      <c r="AG5005">
        <v>-4.6626999999999703E-2</v>
      </c>
      <c r="AH5005">
        <v>0.51638309136840999</v>
      </c>
      <c r="AI5005">
        <v>93.610681437343302</v>
      </c>
      <c r="AJ5005">
        <v>135.666148390595</v>
      </c>
      <c r="AK5005">
        <v>0.74038638420716296</v>
      </c>
    </row>
    <row r="5006" spans="1:37" x14ac:dyDescent="0.2">
      <c r="A5006" t="str">
        <f>"20200111160318479"</f>
        <v>20200111160318479</v>
      </c>
      <c r="B5006" t="str">
        <f>"1578729798468750"</f>
        <v>1578729798468750</v>
      </c>
      <c r="C5006" t="s">
        <v>37</v>
      </c>
      <c r="D5006">
        <v>5.4176359999999999</v>
      </c>
      <c r="E5006">
        <v>0.35998289999999999</v>
      </c>
      <c r="F5006" t="s">
        <v>42</v>
      </c>
      <c r="G5006">
        <v>-295.05720000000002</v>
      </c>
      <c r="H5006">
        <v>1.0596969999999999</v>
      </c>
      <c r="I5006">
        <v>-44.554029999999997</v>
      </c>
      <c r="J5006">
        <v>-295.5736</v>
      </c>
      <c r="K5006">
        <v>1.107202</v>
      </c>
      <c r="L5006">
        <v>-44.219359999999902</v>
      </c>
      <c r="M5006">
        <v>0.1931562</v>
      </c>
      <c r="N5006">
        <v>0</v>
      </c>
      <c r="O5006">
        <v>-0.98105750000000003</v>
      </c>
      <c r="P5006">
        <v>0.37075659999999999</v>
      </c>
      <c r="Q5006">
        <v>-5.5291819999999998E-2</v>
      </c>
      <c r="R5006">
        <v>-0.92708289999999904</v>
      </c>
      <c r="S5006">
        <v>2.1607669999999999</v>
      </c>
      <c r="T5006">
        <v>-0.17606720000000001</v>
      </c>
      <c r="U5006">
        <v>-2.36166399999999</v>
      </c>
      <c r="V5006">
        <v>-0.18440010000000001</v>
      </c>
      <c r="W5006">
        <v>-4.2074920000000002E-2</v>
      </c>
      <c r="X5006">
        <v>0.9819502</v>
      </c>
      <c r="Y5006">
        <v>-0.51869739999999998</v>
      </c>
      <c r="Z5006">
        <v>5.6857970000000001E-2</v>
      </c>
      <c r="AA5006">
        <v>0.85306510000000002</v>
      </c>
      <c r="AB5006">
        <v>22</v>
      </c>
      <c r="AC5006">
        <v>0.51639999999997599</v>
      </c>
      <c r="AD5006">
        <v>-4.7505000000000103E-2</v>
      </c>
      <c r="AE5006">
        <v>-0.33467000000000202</v>
      </c>
      <c r="AF5006">
        <v>-0.43940378545321401</v>
      </c>
      <c r="AG5006">
        <v>-4.7505000000000103E-2</v>
      </c>
      <c r="AH5006">
        <v>0.42558649088737199</v>
      </c>
      <c r="AI5006">
        <v>94.440578482384694</v>
      </c>
      <c r="AJ5006">
        <v>135.915160966277</v>
      </c>
      <c r="AK5006">
        <v>0.61356032541343597</v>
      </c>
    </row>
    <row r="5007" spans="1:37" x14ac:dyDescent="0.2">
      <c r="A5007" t="str">
        <f>"20200111160318514"</f>
        <v>20200111160318514</v>
      </c>
      <c r="B5007" t="str">
        <f>"1578729798508767"</f>
        <v>1578729798508767</v>
      </c>
      <c r="C5007" t="s">
        <v>37</v>
      </c>
      <c r="D5007">
        <v>5.9996809999999998</v>
      </c>
      <c r="E5007">
        <v>0.39920040000000001</v>
      </c>
      <c r="F5007" t="s">
        <v>42</v>
      </c>
      <c r="G5007">
        <v>-294.935</v>
      </c>
      <c r="H5007">
        <v>1.0475459999999901</v>
      </c>
      <c r="I5007">
        <v>-44.921579999999999</v>
      </c>
      <c r="J5007">
        <v>-295.4984</v>
      </c>
      <c r="K5007">
        <v>1.1073949999999999</v>
      </c>
      <c r="L5007">
        <v>-44.554409999999997</v>
      </c>
      <c r="M5007">
        <v>0.20054829999999901</v>
      </c>
      <c r="N5007">
        <v>0</v>
      </c>
      <c r="O5007">
        <v>-0.97957280000000002</v>
      </c>
      <c r="P5007">
        <v>0.3703129</v>
      </c>
      <c r="Q5007">
        <v>-6.37707E-2</v>
      </c>
      <c r="R5007">
        <v>-0.92671569999999903</v>
      </c>
      <c r="S5007">
        <v>2.1504819999999998</v>
      </c>
      <c r="T5007">
        <v>-0.2008443</v>
      </c>
      <c r="U5007">
        <v>-2.3639830000000002</v>
      </c>
      <c r="V5007">
        <v>-0.17655079999999901</v>
      </c>
      <c r="W5007">
        <v>-5.0568219999999997E-2</v>
      </c>
      <c r="X5007">
        <v>0.98299169999999902</v>
      </c>
      <c r="Y5007">
        <v>-0.50945169999999995</v>
      </c>
      <c r="Z5007">
        <v>6.4900799999999995E-2</v>
      </c>
      <c r="AA5007">
        <v>0.85804829999999999</v>
      </c>
      <c r="AB5007">
        <v>22</v>
      </c>
      <c r="AC5007">
        <v>0.56340000000000101</v>
      </c>
      <c r="AD5007">
        <v>-5.9849000000000201E-2</v>
      </c>
      <c r="AE5007">
        <v>-0.367170000000001</v>
      </c>
      <c r="AF5007">
        <v>-0.47454936111040102</v>
      </c>
      <c r="AG5007">
        <v>-5.9849000000000201E-2</v>
      </c>
      <c r="AH5007">
        <v>0.46899540324350097</v>
      </c>
      <c r="AI5007">
        <v>95.125824069526701</v>
      </c>
      <c r="AJ5007">
        <v>135.33725444964401</v>
      </c>
      <c r="AK5007">
        <v>0.66987736728062697</v>
      </c>
    </row>
    <row r="5008" spans="1:37" x14ac:dyDescent="0.2">
      <c r="A5008" t="str">
        <f>"20200111160318546"</f>
        <v>20200111160318546</v>
      </c>
      <c r="B5008" t="str">
        <f>"1578729798538047"</f>
        <v>1578729798538047</v>
      </c>
      <c r="C5008" t="s">
        <v>37</v>
      </c>
      <c r="D5008">
        <v>5.6194870000000003</v>
      </c>
      <c r="E5008">
        <v>0.47066439999999998</v>
      </c>
      <c r="F5008" t="s">
        <v>66</v>
      </c>
      <c r="G5008">
        <v>-261.12849999999997</v>
      </c>
      <c r="H5008">
        <v>3.9008370000000001</v>
      </c>
      <c r="I5008">
        <v>-91.050229999999999</v>
      </c>
      <c r="J5008">
        <v>-295.4248</v>
      </c>
      <c r="K5008">
        <v>1.1075919999999999</v>
      </c>
      <c r="L5008">
        <v>-44.868650000000002</v>
      </c>
      <c r="M5008">
        <v>0.20797589999999999</v>
      </c>
      <c r="N5008">
        <v>0</v>
      </c>
      <c r="O5008">
        <v>-0.97802259999999996</v>
      </c>
      <c r="P5008">
        <v>0.37126920000000002</v>
      </c>
      <c r="Q5008">
        <v>-6.5112639999999999E-2</v>
      </c>
      <c r="R5008">
        <v>-0.92623979999999995</v>
      </c>
      <c r="S5008">
        <v>1.8532409999999999</v>
      </c>
      <c r="T5008">
        <v>0.15062439999999999</v>
      </c>
      <c r="U5008">
        <v>-2.50707999999999</v>
      </c>
      <c r="V5008">
        <v>-0.17009070000000001</v>
      </c>
      <c r="W5008">
        <v>-5.1918930000000002E-2</v>
      </c>
      <c r="X5008">
        <v>0.98405980000000004</v>
      </c>
      <c r="Y5008">
        <v>-0.41343570000000002</v>
      </c>
      <c r="Z5008">
        <v>-4.9376160000000002E-2</v>
      </c>
      <c r="AA5008">
        <v>0.90919349999999999</v>
      </c>
      <c r="AB5008">
        <v>22</v>
      </c>
      <c r="AC5008">
        <v>34.296300000000002</v>
      </c>
      <c r="AD5008">
        <v>2.7932450000000002</v>
      </c>
      <c r="AE5008">
        <v>-46.181579999999997</v>
      </c>
      <c r="AF5008">
        <v>-23.884191882849102</v>
      </c>
      <c r="AG5008">
        <v>2.7932450000000002</v>
      </c>
      <c r="AH5008">
        <v>52.182089698290802</v>
      </c>
      <c r="AI5008">
        <v>87.213460741662701</v>
      </c>
      <c r="AJ5008">
        <v>114.593977785915</v>
      </c>
      <c r="AK5008">
        <v>57.456307963593098</v>
      </c>
    </row>
    <row r="5009" spans="1:37" x14ac:dyDescent="0.2">
      <c r="A5009" t="str">
        <f>"20200111160318580"</f>
        <v>20200111160318580</v>
      </c>
      <c r="B5009" t="str">
        <f>"1578729798568302"</f>
        <v>1578729798568302</v>
      </c>
      <c r="C5009" t="s">
        <v>37</v>
      </c>
      <c r="D5009">
        <v>5.5842980000000004</v>
      </c>
      <c r="E5009">
        <v>0.473558599999999</v>
      </c>
      <c r="F5009" t="s">
        <v>64</v>
      </c>
      <c r="G5009">
        <v>-290.7362</v>
      </c>
      <c r="H5009" s="1">
        <v>-1.01224E-5</v>
      </c>
      <c r="I5009">
        <v>-54.30348</v>
      </c>
      <c r="J5009">
        <v>-295.34879999999998</v>
      </c>
      <c r="K5009">
        <v>1.107802</v>
      </c>
      <c r="L5009">
        <v>-45.179200000000002</v>
      </c>
      <c r="M5009">
        <v>0.21580469999999999</v>
      </c>
      <c r="N5009">
        <v>0</v>
      </c>
      <c r="O5009">
        <v>-0.97632479999999999</v>
      </c>
      <c r="P5009">
        <v>0.37535629999999998</v>
      </c>
      <c r="Q5009">
        <v>-6.0958779999999997E-2</v>
      </c>
      <c r="R5009">
        <v>-0.92487419999999998</v>
      </c>
      <c r="S5009">
        <v>1.333008</v>
      </c>
      <c r="T5009">
        <v>-0.31490459999999998</v>
      </c>
      <c r="U5009">
        <v>-2.6824340000000002</v>
      </c>
      <c r="V5009">
        <v>-0.16650570000000001</v>
      </c>
      <c r="W5009">
        <v>-4.7782560000000002E-2</v>
      </c>
      <c r="X5009">
        <v>0.98488209999999998</v>
      </c>
      <c r="Y5009">
        <v>-0.238758</v>
      </c>
      <c r="Z5009">
        <v>0.10484449999999999</v>
      </c>
      <c r="AA5009">
        <v>0.9654026</v>
      </c>
      <c r="AB5009">
        <v>22</v>
      </c>
      <c r="AC5009">
        <v>4.61259999999998</v>
      </c>
      <c r="AD5009">
        <v>-1.1078121223999999</v>
      </c>
      <c r="AE5009">
        <v>-9.1242800000000006</v>
      </c>
      <c r="AF5009">
        <v>-2.5051968414572698</v>
      </c>
      <c r="AG5009">
        <v>-1.1078121223999999</v>
      </c>
      <c r="AH5009">
        <v>9.7898221301146897</v>
      </c>
      <c r="AI5009">
        <v>96.256186807322194</v>
      </c>
      <c r="AJ5009">
        <v>104.35385683948699</v>
      </c>
      <c r="AK5009">
        <v>10.165819015321199</v>
      </c>
    </row>
    <row r="5010" spans="1:37" x14ac:dyDescent="0.2">
      <c r="A5010" t="str">
        <f>"20200111160318614"</f>
        <v>20200111160318614</v>
      </c>
      <c r="B5010" t="str">
        <f>"1578729798608318"</f>
        <v>1578729798608318</v>
      </c>
      <c r="C5010" t="s">
        <v>37</v>
      </c>
      <c r="D5010">
        <v>5.1547140000000002</v>
      </c>
      <c r="E5010">
        <v>0.47151499999999902</v>
      </c>
      <c r="F5010" t="s">
        <v>64</v>
      </c>
      <c r="G5010">
        <v>-284.50029999999998</v>
      </c>
      <c r="H5010" s="1">
        <v>-5.0238049999999996E-6</v>
      </c>
      <c r="I5010">
        <v>-67.345759999999999</v>
      </c>
      <c r="J5010">
        <v>-295.26569999999998</v>
      </c>
      <c r="K5010">
        <v>1.10799</v>
      </c>
      <c r="L5010">
        <v>-45.505459999999999</v>
      </c>
      <c r="M5010">
        <v>0.2244961</v>
      </c>
      <c r="N5010">
        <v>0</v>
      </c>
      <c r="O5010">
        <v>-0.97436270000000003</v>
      </c>
      <c r="P5010">
        <v>0.3849513</v>
      </c>
      <c r="Q5010">
        <v>-5.2919130000000002E-2</v>
      </c>
      <c r="R5010">
        <v>-0.92141909999999905</v>
      </c>
      <c r="S5010">
        <v>1.3208009999999999</v>
      </c>
      <c r="T5010">
        <v>-0.13487460000000001</v>
      </c>
      <c r="U5010">
        <v>-2.6987610000000002</v>
      </c>
      <c r="V5010">
        <v>-0.167907</v>
      </c>
      <c r="W5010">
        <v>-3.9800189999999999E-2</v>
      </c>
      <c r="X5010">
        <v>0.98499910000000002</v>
      </c>
      <c r="Y5010">
        <v>-0.22624949999999999</v>
      </c>
      <c r="Z5010">
        <v>4.4854520000000002E-2</v>
      </c>
      <c r="AA5010">
        <v>0.97303609999999896</v>
      </c>
      <c r="AB5010">
        <v>22</v>
      </c>
      <c r="AC5010">
        <v>10.7654</v>
      </c>
      <c r="AD5010">
        <v>-1.107995023805</v>
      </c>
      <c r="AE5010">
        <v>-21.840299999999999</v>
      </c>
      <c r="AF5010">
        <v>-5.5754088349806299</v>
      </c>
      <c r="AG5010">
        <v>-1.107995023805</v>
      </c>
      <c r="AH5010">
        <v>23.6507855392259</v>
      </c>
      <c r="AI5010">
        <v>92.610778648089607</v>
      </c>
      <c r="AJ5010">
        <v>103.264661740158</v>
      </c>
      <c r="AK5010">
        <v>24.324318968316799</v>
      </c>
    </row>
    <row r="5011" spans="1:37" x14ac:dyDescent="0.2">
      <c r="A5011" t="str">
        <f>"20200111160318647"</f>
        <v>20200111160318647</v>
      </c>
      <c r="B5011" t="str">
        <f>"1578729798638574"</f>
        <v>1578729798638574</v>
      </c>
      <c r="C5011" t="s">
        <v>37</v>
      </c>
      <c r="D5011">
        <v>5.5104689999999996</v>
      </c>
      <c r="E5011">
        <v>0.47167890000000001</v>
      </c>
      <c r="F5011" t="s">
        <v>64</v>
      </c>
      <c r="G5011">
        <v>-287.06450000000001</v>
      </c>
      <c r="H5011" s="1">
        <v>-4.7778320000000003E-6</v>
      </c>
      <c r="I5011">
        <v>-61.575090000000003</v>
      </c>
      <c r="J5011">
        <v>-295.18360000000001</v>
      </c>
      <c r="K5011">
        <v>1.1081080000000001</v>
      </c>
      <c r="L5011">
        <v>-45.814300000000003</v>
      </c>
      <c r="M5011">
        <v>0.23304829999999899</v>
      </c>
      <c r="N5011">
        <v>0</v>
      </c>
      <c r="O5011">
        <v>-0.97235229999999995</v>
      </c>
      <c r="P5011">
        <v>0.3974763</v>
      </c>
      <c r="Q5011">
        <v>-4.7420280000000002E-2</v>
      </c>
      <c r="R5011">
        <v>-0.91638619999999904</v>
      </c>
      <c r="S5011">
        <v>1.365143</v>
      </c>
      <c r="T5011">
        <v>-0.18443309999999999</v>
      </c>
      <c r="U5011">
        <v>-2.6748959999999999</v>
      </c>
      <c r="V5011">
        <v>-0.1726442</v>
      </c>
      <c r="W5011">
        <v>-3.4377079999999997E-2</v>
      </c>
      <c r="X5011">
        <v>0.98438419999999904</v>
      </c>
      <c r="Y5011">
        <v>-0.2335826</v>
      </c>
      <c r="Z5011">
        <v>6.1307170000000001E-2</v>
      </c>
      <c r="AA5011">
        <v>0.97040230000000005</v>
      </c>
      <c r="AB5011">
        <v>22</v>
      </c>
      <c r="AC5011">
        <v>8.1190999999999995</v>
      </c>
      <c r="AD5011">
        <v>-1.1081127778319999</v>
      </c>
      <c r="AE5011">
        <v>-15.76079</v>
      </c>
      <c r="AF5011">
        <v>-4.2056341322338699</v>
      </c>
      <c r="AG5011">
        <v>-1.1081127778319999</v>
      </c>
      <c r="AH5011">
        <v>17.152067398147601</v>
      </c>
      <c r="AI5011">
        <v>93.590403891101701</v>
      </c>
      <c r="AJ5011">
        <v>103.776944101205</v>
      </c>
      <c r="AK5011">
        <v>17.694877462508799</v>
      </c>
    </row>
    <row r="5012" spans="1:37" x14ac:dyDescent="0.2">
      <c r="A5012" t="str">
        <f>"20200111160318680"</f>
        <v>20200111160318680</v>
      </c>
      <c r="B5012" t="str">
        <f>"1578729798678590"</f>
        <v>1578729798678590</v>
      </c>
      <c r="C5012" t="s">
        <v>37</v>
      </c>
      <c r="D5012">
        <v>5.4246930000000004</v>
      </c>
      <c r="E5012">
        <v>0.47136169999999999</v>
      </c>
      <c r="F5012" t="s">
        <v>64</v>
      </c>
      <c r="G5012">
        <v>-285.76409999999998</v>
      </c>
      <c r="H5012" s="1">
        <v>-5.0557039999999998E-6</v>
      </c>
      <c r="I5012">
        <v>-63.690040000000003</v>
      </c>
      <c r="J5012">
        <v>-295.09739999999999</v>
      </c>
      <c r="K5012">
        <v>1.108141</v>
      </c>
      <c r="L5012">
        <v>-46.126429999999999</v>
      </c>
      <c r="M5012">
        <v>0.24185970000000001</v>
      </c>
      <c r="N5012">
        <v>0</v>
      </c>
      <c r="O5012">
        <v>-0.97019820000000001</v>
      </c>
      <c r="P5012">
        <v>0.41164590000000001</v>
      </c>
      <c r="Q5012">
        <v>-4.4182489999999998E-2</v>
      </c>
      <c r="R5012">
        <v>-0.91027250000000004</v>
      </c>
      <c r="S5012">
        <v>1.400482</v>
      </c>
      <c r="T5012">
        <v>-0.16475300000000001</v>
      </c>
      <c r="U5012">
        <v>-2.6577449999999998</v>
      </c>
      <c r="V5012">
        <v>-0.178967299999999</v>
      </c>
      <c r="W5012">
        <v>-3.12121E-2</v>
      </c>
      <c r="X5012">
        <v>0.98335980000000001</v>
      </c>
      <c r="Y5012">
        <v>-0.237628899999999</v>
      </c>
      <c r="Z5012">
        <v>5.4733650000000002E-2</v>
      </c>
      <c r="AA5012">
        <v>0.96981280000000003</v>
      </c>
      <c r="AB5012">
        <v>22</v>
      </c>
      <c r="AC5012">
        <v>9.3332999999999995</v>
      </c>
      <c r="AD5012">
        <v>-1.1081460557039999</v>
      </c>
      <c r="AE5012">
        <v>-17.563610000000001</v>
      </c>
      <c r="AF5012">
        <v>-4.7928707428300399</v>
      </c>
      <c r="AG5012">
        <v>-1.1081460557039999</v>
      </c>
      <c r="AH5012">
        <v>19.239924333559099</v>
      </c>
      <c r="AI5012">
        <v>93.198828683373193</v>
      </c>
      <c r="AJ5012">
        <v>103.988276775545</v>
      </c>
      <c r="AK5012">
        <v>19.8588591313632</v>
      </c>
    </row>
    <row r="5013" spans="1:37" x14ac:dyDescent="0.2">
      <c r="A5013" t="str">
        <f>"20200111160318714"</f>
        <v>20200111160318714</v>
      </c>
      <c r="B5013" t="str">
        <f>"1578729798707873"</f>
        <v>1578729798707873</v>
      </c>
      <c r="C5013" t="s">
        <v>37</v>
      </c>
      <c r="D5013">
        <v>5.3312549999999996</v>
      </c>
      <c r="E5013">
        <v>0.47193299999999999</v>
      </c>
      <c r="F5013" t="s">
        <v>64</v>
      </c>
      <c r="G5013">
        <v>-286.77010000000001</v>
      </c>
      <c r="H5013" s="1">
        <v>-4.974332E-6</v>
      </c>
      <c r="I5013">
        <v>-61.3033</v>
      </c>
      <c r="J5013">
        <v>-295.00779999999997</v>
      </c>
      <c r="K5013">
        <v>1.1080749999999999</v>
      </c>
      <c r="L5013">
        <v>-46.439300000000003</v>
      </c>
      <c r="M5013">
        <v>0.2507163</v>
      </c>
      <c r="N5013">
        <v>0</v>
      </c>
      <c r="O5013">
        <v>-0.96794720000000001</v>
      </c>
      <c r="P5013">
        <v>0.4243653</v>
      </c>
      <c r="Q5013">
        <v>-4.501641E-2</v>
      </c>
      <c r="R5013">
        <v>-0.90437129999999999</v>
      </c>
      <c r="S5013">
        <v>1.4447019999999999</v>
      </c>
      <c r="T5013">
        <v>-0.19225390000000001</v>
      </c>
      <c r="U5013">
        <v>-2.633057</v>
      </c>
      <c r="V5013">
        <v>-0.18376679999999901</v>
      </c>
      <c r="W5013">
        <v>-3.2081850000000002E-2</v>
      </c>
      <c r="X5013">
        <v>0.98244619999999905</v>
      </c>
      <c r="Y5013">
        <v>-0.24482799999999999</v>
      </c>
      <c r="Z5013">
        <v>6.3838950000000005E-2</v>
      </c>
      <c r="AA5013">
        <v>0.96746259999999995</v>
      </c>
      <c r="AB5013">
        <v>22</v>
      </c>
      <c r="AC5013">
        <v>8.2376999999999594</v>
      </c>
      <c r="AD5013">
        <v>-1.108079974332</v>
      </c>
      <c r="AE5013">
        <v>-14.8639999999999</v>
      </c>
      <c r="AF5013">
        <v>-4.2294959373667496</v>
      </c>
      <c r="AG5013">
        <v>-1.108079974332</v>
      </c>
      <c r="AH5013">
        <v>16.3850374226264</v>
      </c>
      <c r="AI5013">
        <v>93.746445699690895</v>
      </c>
      <c r="AJ5013">
        <v>104.473897709588</v>
      </c>
      <c r="AK5013">
        <v>16.958358660394701</v>
      </c>
    </row>
    <row r="5014" spans="1:37" x14ac:dyDescent="0.2">
      <c r="A5014" t="str">
        <f>"20200111160318747"</f>
        <v>20200111160318747</v>
      </c>
      <c r="B5014" t="str">
        <f>"1578729798738632"</f>
        <v>1578729798738632</v>
      </c>
      <c r="C5014" t="s">
        <v>37</v>
      </c>
      <c r="D5014">
        <v>5.2618339999999897</v>
      </c>
      <c r="E5014">
        <v>0.4725664</v>
      </c>
      <c r="F5014" t="s">
        <v>64</v>
      </c>
      <c r="G5014">
        <v>-287.33049999999997</v>
      </c>
      <c r="H5014" s="1">
        <v>-2.5110589999999999E-6</v>
      </c>
      <c r="I5014">
        <v>-60.011679999999998</v>
      </c>
      <c r="J5014">
        <v>-294.9178</v>
      </c>
      <c r="K5014">
        <v>1.107931</v>
      </c>
      <c r="L5014">
        <v>-46.74371</v>
      </c>
      <c r="M5014">
        <v>0.25923669999999999</v>
      </c>
      <c r="N5014">
        <v>0</v>
      </c>
      <c r="O5014">
        <v>-0.96570009999999995</v>
      </c>
      <c r="P5014">
        <v>0.43666769999999999</v>
      </c>
      <c r="Q5014">
        <v>-5.2417730000000003E-2</v>
      </c>
      <c r="R5014">
        <v>-0.89809450000000002</v>
      </c>
      <c r="S5014">
        <v>1.4780879999999901</v>
      </c>
      <c r="T5014">
        <v>-0.21333379999999899</v>
      </c>
      <c r="U5014">
        <v>-2.6130369999999998</v>
      </c>
      <c r="V5014">
        <v>-0.18855929999999901</v>
      </c>
      <c r="W5014">
        <v>-3.950501E-2</v>
      </c>
      <c r="X5014">
        <v>0.98126689999999905</v>
      </c>
      <c r="Y5014">
        <v>-0.2485811</v>
      </c>
      <c r="Z5014">
        <v>7.0788429999999999E-2</v>
      </c>
      <c r="AA5014">
        <v>0.96602089999999996</v>
      </c>
      <c r="AB5014">
        <v>22</v>
      </c>
      <c r="AC5014">
        <v>7.5873000000000204</v>
      </c>
      <c r="AD5014">
        <v>-1.1079335110590001</v>
      </c>
      <c r="AE5014">
        <v>-13.26797</v>
      </c>
      <c r="AF5014">
        <v>-3.8676156914425199</v>
      </c>
      <c r="AG5014">
        <v>-1.1079335110590001</v>
      </c>
      <c r="AH5014">
        <v>14.7041450121285</v>
      </c>
      <c r="AI5014">
        <v>94.167766151614401</v>
      </c>
      <c r="AJ5014">
        <v>104.73665264458501</v>
      </c>
      <c r="AK5014">
        <v>15.244600629053</v>
      </c>
    </row>
    <row r="5015" spans="1:37" x14ac:dyDescent="0.2">
      <c r="A5015" t="str">
        <f>"20200111160318781"</f>
        <v>20200111160318781</v>
      </c>
      <c r="B5015" t="str">
        <f>"1578729798778648"</f>
        <v>1578729798778648</v>
      </c>
      <c r="C5015" t="s">
        <v>37</v>
      </c>
      <c r="D5015">
        <v>5.1443129999999897</v>
      </c>
      <c r="E5015">
        <v>0.40340729999999902</v>
      </c>
      <c r="F5015" t="s">
        <v>64</v>
      </c>
      <c r="G5015">
        <v>-288.14519999999999</v>
      </c>
      <c r="H5015" s="1">
        <v>-2.39259099999999E-6</v>
      </c>
      <c r="I5015">
        <v>-58.375569999999897</v>
      </c>
      <c r="J5015">
        <v>-294.82400000000001</v>
      </c>
      <c r="K5015">
        <v>1.1077459999999999</v>
      </c>
      <c r="L5015">
        <v>-47.051879999999997</v>
      </c>
      <c r="M5015">
        <v>0.26764369999999998</v>
      </c>
      <c r="N5015">
        <v>0</v>
      </c>
      <c r="O5015">
        <v>-0.96340439999999905</v>
      </c>
      <c r="P5015">
        <v>0.44775409999999999</v>
      </c>
      <c r="Q5015">
        <v>-6.0748290000000003E-2</v>
      </c>
      <c r="R5015">
        <v>-0.89209090000000002</v>
      </c>
      <c r="S5015">
        <v>1.509277</v>
      </c>
      <c r="T5015">
        <v>-0.2469034</v>
      </c>
      <c r="U5015">
        <v>-2.5921630000000002</v>
      </c>
      <c r="V5015">
        <v>-0.19223860000000001</v>
      </c>
      <c r="W5015">
        <v>-4.7834370000000001E-2</v>
      </c>
      <c r="X5015">
        <v>0.98018169999999905</v>
      </c>
      <c r="Y5015">
        <v>-0.25175130000000001</v>
      </c>
      <c r="Z5015">
        <v>8.1867350000000005E-2</v>
      </c>
      <c r="AA5015">
        <v>0.96432309999999999</v>
      </c>
      <c r="AB5015">
        <v>22</v>
      </c>
      <c r="AC5015">
        <v>6.6788000000000203</v>
      </c>
      <c r="AD5015">
        <v>-1.1077483925910001</v>
      </c>
      <c r="AE5015">
        <v>-11.323689999999999</v>
      </c>
      <c r="AF5015">
        <v>-3.3800451983052802</v>
      </c>
      <c r="AG5015">
        <v>-1.1077483925910001</v>
      </c>
      <c r="AH5015">
        <v>12.6086993048567</v>
      </c>
      <c r="AI5015">
        <v>94.850478990040102</v>
      </c>
      <c r="AJ5015">
        <v>105.00659006730299</v>
      </c>
      <c r="AK5015">
        <v>13.100805708206201</v>
      </c>
    </row>
    <row r="5016" spans="1:37" x14ac:dyDescent="0.2">
      <c r="A5016" t="str">
        <f>"20200111160318850"</f>
        <v>20200111160318850</v>
      </c>
      <c r="B5016" t="str">
        <f>"1578729798847945"</f>
        <v>1578729798847945</v>
      </c>
      <c r="C5016" t="s">
        <v>37</v>
      </c>
      <c r="D5016">
        <v>4.8684180000000001</v>
      </c>
      <c r="E5016">
        <v>0.33585859999999901</v>
      </c>
      <c r="F5016" t="s">
        <v>64</v>
      </c>
      <c r="G5016">
        <v>-286.4701</v>
      </c>
      <c r="H5016" s="1">
        <v>-3.7465559999999999E-6</v>
      </c>
      <c r="I5016">
        <v>-56.5929199999999</v>
      </c>
      <c r="J5016">
        <v>-294.62450000000001</v>
      </c>
      <c r="K5016">
        <v>1.1074759999999999</v>
      </c>
      <c r="L5016">
        <v>-47.680050000000001</v>
      </c>
      <c r="M5016">
        <v>0.28406199999999998</v>
      </c>
      <c r="N5016">
        <v>0</v>
      </c>
      <c r="O5016">
        <v>-0.95869230000000005</v>
      </c>
      <c r="P5016">
        <v>0.46124340000000003</v>
      </c>
      <c r="Q5016">
        <v>-6.2398620000000002E-2</v>
      </c>
      <c r="R5016">
        <v>-0.88507690000000006</v>
      </c>
      <c r="S5016">
        <v>2.034332</v>
      </c>
      <c r="T5016">
        <v>-0.26975830000000001</v>
      </c>
      <c r="U5016">
        <v>-2.3234249999999999</v>
      </c>
      <c r="V5016">
        <v>-0.19042439999999999</v>
      </c>
      <c r="W5016">
        <v>-4.9380189999999997E-2</v>
      </c>
      <c r="X5016">
        <v>0.98045919999999898</v>
      </c>
      <c r="Y5016">
        <v>-0.41519809999999902</v>
      </c>
      <c r="Z5016">
        <v>8.8837269999999996E-2</v>
      </c>
      <c r="AA5016">
        <v>0.9053831</v>
      </c>
      <c r="AB5016">
        <v>22</v>
      </c>
      <c r="AC5016">
        <v>8.1544000000000096</v>
      </c>
      <c r="AD5016">
        <v>-1.107479746556</v>
      </c>
      <c r="AE5016">
        <v>-8.9128699999999892</v>
      </c>
      <c r="AF5016">
        <v>-5.2422695343053896</v>
      </c>
      <c r="AG5016">
        <v>-1.107479746556</v>
      </c>
      <c r="AH5016">
        <v>10.7717064750977</v>
      </c>
      <c r="AI5016">
        <v>95.281813777727905</v>
      </c>
      <c r="AJ5016">
        <v>115.950810711862</v>
      </c>
      <c r="AK5016">
        <v>12.030692484017701</v>
      </c>
    </row>
    <row r="5017" spans="1:37" x14ac:dyDescent="0.2">
      <c r="A5017" t="str">
        <f>"20200111160318882"</f>
        <v>20200111160318882</v>
      </c>
      <c r="B5017" t="str">
        <f>"1578729798878201"</f>
        <v>1578729798878201</v>
      </c>
      <c r="C5017" t="s">
        <v>37</v>
      </c>
      <c r="D5017">
        <v>4.8714379999999897</v>
      </c>
      <c r="E5017">
        <v>0.3369356</v>
      </c>
      <c r="F5017" t="s">
        <v>55</v>
      </c>
      <c r="G5017">
        <v>-233.52500000000001</v>
      </c>
      <c r="H5017">
        <v>0.35994910000000002</v>
      </c>
      <c r="I5017">
        <v>-97.20035</v>
      </c>
      <c r="J5017">
        <v>-294.52890000000002</v>
      </c>
      <c r="K5017">
        <v>1.1074389999999901</v>
      </c>
      <c r="L5017">
        <v>-47.969450000000002</v>
      </c>
      <c r="M5017">
        <v>0.29138599999999998</v>
      </c>
      <c r="N5017">
        <v>0</v>
      </c>
      <c r="O5017">
        <v>-0.9564918</v>
      </c>
      <c r="P5017">
        <v>0.46633009999999903</v>
      </c>
      <c r="Q5017">
        <v>-5.7998380000000002E-2</v>
      </c>
      <c r="R5017">
        <v>-0.88270740000000003</v>
      </c>
      <c r="S5017">
        <v>2.543793</v>
      </c>
      <c r="T5017">
        <v>-3.1122090000000002E-2</v>
      </c>
      <c r="U5017">
        <v>-2.0617070000000002</v>
      </c>
      <c r="V5017">
        <v>-0.18852339999999901</v>
      </c>
      <c r="W5017">
        <v>-4.4942410000000002E-2</v>
      </c>
      <c r="X5017">
        <v>0.98103980000000002</v>
      </c>
      <c r="Y5017">
        <v>-0.55962970000000001</v>
      </c>
      <c r="Z5017">
        <v>9.9394310000000003E-3</v>
      </c>
      <c r="AA5017">
        <v>0.82868319999999995</v>
      </c>
      <c r="AB5017">
        <v>22</v>
      </c>
      <c r="AC5017">
        <v>61.003900000000002</v>
      </c>
      <c r="AD5017">
        <v>-0.74748989999999904</v>
      </c>
      <c r="AE5017">
        <v>-49.230899999999998</v>
      </c>
      <c r="AF5017">
        <v>-44.005323215791599</v>
      </c>
      <c r="AG5017">
        <v>-0.74748989999999904</v>
      </c>
      <c r="AH5017">
        <v>64.865796293444703</v>
      </c>
      <c r="AI5017">
        <v>90.546371175633794</v>
      </c>
      <c r="AJ5017">
        <v>124.153190641899</v>
      </c>
      <c r="AK5017">
        <v>78.387490974386694</v>
      </c>
    </row>
    <row r="5018" spans="1:37" x14ac:dyDescent="0.2">
      <c r="A5018" t="str">
        <f>"20200111160318915"</f>
        <v>20200111160318915</v>
      </c>
      <c r="B5018" t="str">
        <f>"1578729798908456"</f>
        <v>1578729798908456</v>
      </c>
      <c r="C5018" t="s">
        <v>37</v>
      </c>
      <c r="D5018">
        <v>4.8044379999999904</v>
      </c>
      <c r="E5018">
        <v>0.33711079999999999</v>
      </c>
      <c r="F5018" t="s">
        <v>55</v>
      </c>
      <c r="G5018">
        <v>-233.52500000000001</v>
      </c>
      <c r="H5018">
        <v>0.58316140000000005</v>
      </c>
      <c r="I5018">
        <v>-97.06859</v>
      </c>
      <c r="J5018">
        <v>-294.4271</v>
      </c>
      <c r="K5018">
        <v>1.1074310000000001</v>
      </c>
      <c r="L5018">
        <v>-48.269779999999997</v>
      </c>
      <c r="M5018">
        <v>0.29893059999999899</v>
      </c>
      <c r="N5018">
        <v>0</v>
      </c>
      <c r="O5018">
        <v>-0.95416129999999999</v>
      </c>
      <c r="P5018">
        <v>0.47249989999999997</v>
      </c>
      <c r="Q5018">
        <v>-5.4651459999999999E-2</v>
      </c>
      <c r="R5018">
        <v>-0.8796351</v>
      </c>
      <c r="S5018">
        <v>2.5482480000000001</v>
      </c>
      <c r="T5018">
        <v>-2.189994E-2</v>
      </c>
      <c r="U5018">
        <v>-2.050964</v>
      </c>
      <c r="V5018">
        <v>-0.1876099</v>
      </c>
      <c r="W5018">
        <v>-4.1583630000000003E-2</v>
      </c>
      <c r="X5018">
        <v>0.98136299999999899</v>
      </c>
      <c r="Y5018">
        <v>-0.55592410000000003</v>
      </c>
      <c r="Z5018">
        <v>6.9962929999999998E-3</v>
      </c>
      <c r="AA5018">
        <v>0.83120360000000004</v>
      </c>
      <c r="AB5018">
        <v>21</v>
      </c>
      <c r="AC5018">
        <v>60.902099999999898</v>
      </c>
      <c r="AD5018">
        <v>-0.5242696</v>
      </c>
      <c r="AE5018">
        <v>-48.798810000000003</v>
      </c>
      <c r="AF5018">
        <v>-43.525721742351401</v>
      </c>
      <c r="AG5018">
        <v>-0.5242696</v>
      </c>
      <c r="AH5018">
        <v>64.771533165560399</v>
      </c>
      <c r="AI5018">
        <v>90.384917657870403</v>
      </c>
      <c r="AJ5018">
        <v>123.90064459112899</v>
      </c>
      <c r="AK5018">
        <v>78.039187722729295</v>
      </c>
    </row>
    <row r="5019" spans="1:37" x14ac:dyDescent="0.2">
      <c r="A5019" t="str">
        <f>"20200111160318948"</f>
        <v>20200111160318948</v>
      </c>
      <c r="B5019" t="str">
        <f>"1578729798938712"</f>
        <v>1578729798938712</v>
      </c>
      <c r="C5019" t="s">
        <v>37</v>
      </c>
      <c r="D5019">
        <v>4.7831570000000001</v>
      </c>
      <c r="E5019">
        <v>0.33780729999999998</v>
      </c>
      <c r="F5019" t="s">
        <v>55</v>
      </c>
      <c r="G5019">
        <v>-233.52500000000001</v>
      </c>
      <c r="H5019">
        <v>0.83836840000000001</v>
      </c>
      <c r="I5019">
        <v>-96.631709999999998</v>
      </c>
      <c r="J5019">
        <v>-294.32650000000001</v>
      </c>
      <c r="K5019">
        <v>1.1074280000000001</v>
      </c>
      <c r="L5019">
        <v>-48.559750000000001</v>
      </c>
      <c r="M5019">
        <v>0.30620949999999902</v>
      </c>
      <c r="N5019">
        <v>0</v>
      </c>
      <c r="O5019">
        <v>-0.95185039999999999</v>
      </c>
      <c r="P5019">
        <v>0.47858220000000001</v>
      </c>
      <c r="Q5019">
        <v>-5.3666659999999998E-2</v>
      </c>
      <c r="R5019">
        <v>-0.87640119999999899</v>
      </c>
      <c r="S5019">
        <v>2.5613709999999998</v>
      </c>
      <c r="T5019">
        <v>-1.1315820000000001E-2</v>
      </c>
      <c r="U5019">
        <v>-2.0339659999999999</v>
      </c>
      <c r="V5019">
        <v>-0.18690379999999901</v>
      </c>
      <c r="W5019">
        <v>-4.0598290000000002E-2</v>
      </c>
      <c r="X5019">
        <v>0.98153899999999905</v>
      </c>
      <c r="Y5019">
        <v>-0.55504569999999998</v>
      </c>
      <c r="Z5019">
        <v>3.6145190000000001E-3</v>
      </c>
      <c r="AA5019">
        <v>0.831812</v>
      </c>
      <c r="AB5019">
        <v>21</v>
      </c>
      <c r="AC5019">
        <v>60.801499999999997</v>
      </c>
      <c r="AD5019">
        <v>-0.26905959999999901</v>
      </c>
      <c r="AE5019">
        <v>-48.071959999999997</v>
      </c>
      <c r="AF5019">
        <v>-43.157994623840501</v>
      </c>
      <c r="AG5019">
        <v>-0.26905959999999901</v>
      </c>
      <c r="AH5019">
        <v>64.381507104295096</v>
      </c>
      <c r="AI5019">
        <v>90.198892864553201</v>
      </c>
      <c r="AJ5019">
        <v>123.83583221052</v>
      </c>
      <c r="AK5019">
        <v>77.509117850999999</v>
      </c>
    </row>
    <row r="5020" spans="1:37" x14ac:dyDescent="0.2">
      <c r="A5020" t="str">
        <f>"20200111160318982"</f>
        <v>20200111160318982</v>
      </c>
      <c r="B5020" t="str">
        <f>"1578729798978729"</f>
        <v>1578729798978729</v>
      </c>
      <c r="C5020" t="s">
        <v>37</v>
      </c>
      <c r="D5020">
        <v>4.8294309999999996</v>
      </c>
      <c r="E5020">
        <v>0.33804489999999998</v>
      </c>
      <c r="F5020" t="s">
        <v>55</v>
      </c>
      <c r="G5020">
        <v>-233.52500000000001</v>
      </c>
      <c r="H5020">
        <v>0.75422290000000003</v>
      </c>
      <c r="I5020">
        <v>-96.293850000000006</v>
      </c>
      <c r="J5020">
        <v>-294.22019999999998</v>
      </c>
      <c r="K5020">
        <v>1.10741</v>
      </c>
      <c r="L5020">
        <v>-48.857819999999997</v>
      </c>
      <c r="M5020">
        <v>0.31373390000000001</v>
      </c>
      <c r="N5020">
        <v>0</v>
      </c>
      <c r="O5020">
        <v>-0.94939709999999999</v>
      </c>
      <c r="P5020">
        <v>0.48160229999999998</v>
      </c>
      <c r="Q5020">
        <v>-5.508834E-2</v>
      </c>
      <c r="R5020">
        <v>-0.87465700000000002</v>
      </c>
      <c r="S5020">
        <v>2.5708310000000001</v>
      </c>
      <c r="T5020">
        <v>-1.493418E-2</v>
      </c>
      <c r="U5020">
        <v>-2.0183110000000002</v>
      </c>
      <c r="V5020">
        <v>-0.1825388</v>
      </c>
      <c r="W5020">
        <v>-4.1985630000000003E-2</v>
      </c>
      <c r="X5020">
        <v>0.9823018</v>
      </c>
      <c r="Y5020">
        <v>-0.55307379999999995</v>
      </c>
      <c r="Z5020">
        <v>4.770959E-3</v>
      </c>
      <c r="AA5020">
        <v>0.83311859999999904</v>
      </c>
      <c r="AB5020">
        <v>21</v>
      </c>
      <c r="AC5020">
        <v>60.6951999999999</v>
      </c>
      <c r="AD5020">
        <v>-0.35318709999999998</v>
      </c>
      <c r="AE5020">
        <v>-47.436030000000002</v>
      </c>
      <c r="AF5020">
        <v>-42.745278440655603</v>
      </c>
      <c r="AG5020">
        <v>-0.35318709999999998</v>
      </c>
      <c r="AH5020">
        <v>64.083351518493998</v>
      </c>
      <c r="AI5020">
        <v>90.262697958286495</v>
      </c>
      <c r="AJ5020">
        <v>123.704328991219</v>
      </c>
      <c r="AK5020">
        <v>77.032197891139404</v>
      </c>
    </row>
    <row r="5021" spans="1:37" x14ac:dyDescent="0.2">
      <c r="A5021" t="str">
        <f>"20200111160319016"</f>
        <v>20200111160319016</v>
      </c>
      <c r="B5021" t="str">
        <f>"1578729799008008"</f>
        <v>1578729799008008</v>
      </c>
      <c r="C5021" t="s">
        <v>37</v>
      </c>
      <c r="D5021">
        <v>4.7816559999999999</v>
      </c>
      <c r="E5021">
        <v>0.33824729999999997</v>
      </c>
      <c r="F5021" t="s">
        <v>55</v>
      </c>
      <c r="G5021">
        <v>-233.52500000000001</v>
      </c>
      <c r="H5021">
        <v>0.69826029999999994</v>
      </c>
      <c r="I5021">
        <v>-96.239359999999905</v>
      </c>
      <c r="J5021">
        <v>-294.1103</v>
      </c>
      <c r="K5021">
        <v>1.10738</v>
      </c>
      <c r="L5021">
        <v>-49.15878</v>
      </c>
      <c r="M5021">
        <v>0.3213879</v>
      </c>
      <c r="N5021">
        <v>0</v>
      </c>
      <c r="O5021">
        <v>-0.94683379999999995</v>
      </c>
      <c r="P5021">
        <v>0.47877449999999999</v>
      </c>
      <c r="Q5021">
        <v>-5.837618E-2</v>
      </c>
      <c r="R5021">
        <v>-0.87599539999999998</v>
      </c>
      <c r="S5021">
        <v>2.57562299999999</v>
      </c>
      <c r="T5021">
        <v>-1.7362240000000001E-2</v>
      </c>
      <c r="U5021">
        <v>-2.01065099999999</v>
      </c>
      <c r="V5021">
        <v>-0.17147709999999999</v>
      </c>
      <c r="W5021">
        <v>-4.5174730000000003E-2</v>
      </c>
      <c r="X5021">
        <v>0.98415180000000002</v>
      </c>
      <c r="Y5021">
        <v>-0.54862789999999995</v>
      </c>
      <c r="Z5021">
        <v>5.5419229999999998E-3</v>
      </c>
      <c r="AA5021">
        <v>0.83604829999999997</v>
      </c>
      <c r="AB5021">
        <v>21</v>
      </c>
      <c r="AC5021">
        <v>60.585299999999897</v>
      </c>
      <c r="AD5021">
        <v>-0.40911969999999998</v>
      </c>
      <c r="AE5021">
        <v>-47.080579999999898</v>
      </c>
      <c r="AF5021">
        <v>-42.236433144515203</v>
      </c>
      <c r="AG5021">
        <v>-0.40911969999999998</v>
      </c>
      <c r="AH5021">
        <v>64.053950392409305</v>
      </c>
      <c r="AI5021">
        <v>90.305512055048297</v>
      </c>
      <c r="AJ5021">
        <v>123.400395742803</v>
      </c>
      <c r="AK5021">
        <v>76.726737351286303</v>
      </c>
    </row>
    <row r="5022" spans="1:37" x14ac:dyDescent="0.2">
      <c r="A5022" t="str">
        <f>"20200111160319048"</f>
        <v>20200111160319048</v>
      </c>
      <c r="B5022" t="str">
        <f>"1578729799038073"</f>
        <v>1578729799038073</v>
      </c>
      <c r="C5022" t="s">
        <v>37</v>
      </c>
      <c r="D5022">
        <v>5.0170399999999997</v>
      </c>
      <c r="E5022">
        <v>0.33813890000000002</v>
      </c>
      <c r="F5022" t="s">
        <v>55</v>
      </c>
      <c r="G5022">
        <v>-233.52500000000001</v>
      </c>
      <c r="H5022">
        <v>0.95713999999999999</v>
      </c>
      <c r="I5022">
        <v>-96.889259999999993</v>
      </c>
      <c r="J5022">
        <v>-294.00200000000001</v>
      </c>
      <c r="K5022">
        <v>1.1073789999999999</v>
      </c>
      <c r="L5022">
        <v>-49.448209999999897</v>
      </c>
      <c r="M5022">
        <v>0.32881369999999999</v>
      </c>
      <c r="N5022">
        <v>0</v>
      </c>
      <c r="O5022">
        <v>-0.94428080000000003</v>
      </c>
      <c r="P5022">
        <v>0.4789679</v>
      </c>
      <c r="Q5022">
        <v>-6.168775E-2</v>
      </c>
      <c r="R5022">
        <v>-0.87566259999999996</v>
      </c>
      <c r="S5022">
        <v>2.5662229999999999</v>
      </c>
      <c r="T5022">
        <v>-6.3636300000000003E-3</v>
      </c>
      <c r="U5022">
        <v>-2.0217290000000001</v>
      </c>
      <c r="V5022">
        <v>-0.16401669999999999</v>
      </c>
      <c r="W5022">
        <v>-4.8426490000000003E-2</v>
      </c>
      <c r="X5022">
        <v>0.98526819999999904</v>
      </c>
      <c r="Y5022">
        <v>-0.53831660000000003</v>
      </c>
      <c r="Z5022">
        <v>2.026674E-3</v>
      </c>
      <c r="AA5022">
        <v>0.84274020000000005</v>
      </c>
      <c r="AB5022">
        <v>21</v>
      </c>
      <c r="AC5022">
        <v>60.476999999999997</v>
      </c>
      <c r="AD5022">
        <v>-0.15023900000000001</v>
      </c>
      <c r="AE5022">
        <v>-47.441049999999997</v>
      </c>
      <c r="AF5022">
        <v>-41.512313666290702</v>
      </c>
      <c r="AG5022">
        <v>-0.15023900000000001</v>
      </c>
      <c r="AH5022">
        <v>64.690056615514294</v>
      </c>
      <c r="AI5022">
        <v>90.111990643783599</v>
      </c>
      <c r="AJ5022">
        <v>122.68873123666999</v>
      </c>
      <c r="AK5022">
        <v>76.864154081106406</v>
      </c>
    </row>
    <row r="5023" spans="1:37" x14ac:dyDescent="0.2">
      <c r="A5023" t="str">
        <f>"20200111160319082"</f>
        <v>20200111160319082</v>
      </c>
      <c r="B5023" t="str">
        <f>"1578729799078090"</f>
        <v>1578729799078090</v>
      </c>
      <c r="C5023" t="s">
        <v>37</v>
      </c>
      <c r="D5023">
        <v>4.9995320000000003</v>
      </c>
      <c r="E5023">
        <v>0.30568010000000001</v>
      </c>
      <c r="F5023" t="s">
        <v>55</v>
      </c>
      <c r="G5023">
        <v>-233.52500000000001</v>
      </c>
      <c r="H5023">
        <v>1.1949259999999999</v>
      </c>
      <c r="I5023">
        <v>-97.126440000000002</v>
      </c>
      <c r="J5023">
        <v>-293.89019999999999</v>
      </c>
      <c r="K5023">
        <v>1.1074040000000001</v>
      </c>
      <c r="L5023">
        <v>-49.738889999999998</v>
      </c>
      <c r="M5023">
        <v>0.33637410000000001</v>
      </c>
      <c r="N5023">
        <v>0</v>
      </c>
      <c r="O5023">
        <v>-0.9416139</v>
      </c>
      <c r="P5023">
        <v>0.48905129999999902</v>
      </c>
      <c r="Q5023">
        <v>-6.193195E-2</v>
      </c>
      <c r="R5023">
        <v>-0.87005350000000004</v>
      </c>
      <c r="S5023">
        <v>2.56579599999999</v>
      </c>
      <c r="T5023">
        <v>3.7144420000000001E-3</v>
      </c>
      <c r="U5023">
        <v>-2.0227970000000002</v>
      </c>
      <c r="V5023">
        <v>-0.16749549999999999</v>
      </c>
      <c r="W5023">
        <v>-4.8722109999999999E-2</v>
      </c>
      <c r="X5023">
        <v>0.98466819999999899</v>
      </c>
      <c r="Y5023">
        <v>-0.53125749999999905</v>
      </c>
      <c r="Z5023">
        <v>-1.180597E-3</v>
      </c>
      <c r="AA5023">
        <v>0.84720960000000001</v>
      </c>
      <c r="AB5023">
        <v>21</v>
      </c>
      <c r="AC5023">
        <v>60.365199999999902</v>
      </c>
      <c r="AD5023">
        <v>8.7521999999999794E-2</v>
      </c>
      <c r="AE5023">
        <v>-47.387549999999997</v>
      </c>
      <c r="AF5023">
        <v>-40.905126149298297</v>
      </c>
      <c r="AG5023">
        <v>8.7521999999999794E-2</v>
      </c>
      <c r="AH5023">
        <v>64.932985458712693</v>
      </c>
      <c r="AI5023">
        <v>89.934656911904696</v>
      </c>
      <c r="AJ5023">
        <v>122.209250798382</v>
      </c>
      <c r="AK5023">
        <v>76.743270753675205</v>
      </c>
    </row>
    <row r="5024" spans="1:37" x14ac:dyDescent="0.2">
      <c r="A5024" t="str">
        <f>"20200111160319117"</f>
        <v>20200111160319117</v>
      </c>
      <c r="B5024" t="str">
        <f>"1578729799108345"</f>
        <v>1578729799108345</v>
      </c>
      <c r="C5024" t="s">
        <v>37</v>
      </c>
      <c r="D5024">
        <v>5.0363020000000001</v>
      </c>
      <c r="E5024">
        <v>0.2967765</v>
      </c>
      <c r="F5024" t="s">
        <v>93</v>
      </c>
      <c r="G5024">
        <v>-256.60129999999998</v>
      </c>
      <c r="H5024">
        <v>7.9988000000000004E-2</v>
      </c>
      <c r="I5024">
        <v>-74.331669999999903</v>
      </c>
      <c r="J5024">
        <v>-293.77429999999998</v>
      </c>
      <c r="K5024">
        <v>1.107464</v>
      </c>
      <c r="L5024">
        <v>-50.032959999999903</v>
      </c>
      <c r="M5024">
        <v>0.34415499999999999</v>
      </c>
      <c r="N5024">
        <v>0</v>
      </c>
      <c r="O5024">
        <v>-0.93879829999999997</v>
      </c>
      <c r="P5024">
        <v>0.50363559999999996</v>
      </c>
      <c r="Q5024">
        <v>-5.85356E-2</v>
      </c>
      <c r="R5024">
        <v>-0.861931</v>
      </c>
      <c r="S5024">
        <v>2.817993</v>
      </c>
      <c r="T5024">
        <v>-7.7643630000000005E-2</v>
      </c>
      <c r="U5024">
        <v>-1.8585209999999901</v>
      </c>
      <c r="V5024">
        <v>-0.17585590000000001</v>
      </c>
      <c r="W5024">
        <v>-4.5430440000000002E-2</v>
      </c>
      <c r="X5024">
        <v>0.98336710000000005</v>
      </c>
      <c r="Y5024">
        <v>-0.59403640000000002</v>
      </c>
      <c r="Z5024">
        <v>2.41964E-2</v>
      </c>
      <c r="AA5024">
        <v>0.80407419999999996</v>
      </c>
      <c r="AB5024">
        <v>21</v>
      </c>
      <c r="AC5024">
        <v>37.173000000000002</v>
      </c>
      <c r="AD5024">
        <v>-1.0274760000000001</v>
      </c>
      <c r="AE5024">
        <v>-24.29871</v>
      </c>
      <c r="AF5024">
        <v>-26.524083093287999</v>
      </c>
      <c r="AG5024">
        <v>-1.0274760000000001</v>
      </c>
      <c r="AH5024">
        <v>35.589640809429</v>
      </c>
      <c r="AI5024">
        <v>91.326072201682393</v>
      </c>
      <c r="AJ5024">
        <v>126.696255901001</v>
      </c>
      <c r="AK5024">
        <v>44.398256990724299</v>
      </c>
    </row>
    <row r="5025" spans="1:37" x14ac:dyDescent="0.2">
      <c r="A5025" t="str">
        <f>"20200111160319161"</f>
        <v>20200111160319161</v>
      </c>
      <c r="B5025" t="str">
        <f>"1578729799158121"</f>
        <v>1578729799158121</v>
      </c>
      <c r="C5025" t="s">
        <v>37</v>
      </c>
      <c r="D5025">
        <v>5.1261460000000003</v>
      </c>
      <c r="E5025">
        <v>0.29390050000000001</v>
      </c>
      <c r="F5025" t="s">
        <v>55</v>
      </c>
      <c r="G5025">
        <v>-233.52500000000001</v>
      </c>
      <c r="H5025">
        <v>6.8006040000000004E-2</v>
      </c>
      <c r="I5025">
        <v>-86.82105</v>
      </c>
      <c r="J5025">
        <v>-293.62139999999999</v>
      </c>
      <c r="K5025">
        <v>1.1075390000000001</v>
      </c>
      <c r="L5025">
        <v>-50.409239999999997</v>
      </c>
      <c r="M5025">
        <v>0.35435109999999997</v>
      </c>
      <c r="N5025">
        <v>0</v>
      </c>
      <c r="O5025">
        <v>-0.93499739999999998</v>
      </c>
      <c r="P5025">
        <v>0.52397260000000001</v>
      </c>
      <c r="Q5025">
        <v>-6.0825120000000003E-2</v>
      </c>
      <c r="R5025">
        <v>-0.84956089999999995</v>
      </c>
      <c r="S5025">
        <v>2.9099729999999999</v>
      </c>
      <c r="T5025">
        <v>-5.0204520000000002E-2</v>
      </c>
      <c r="U5025">
        <v>-1.7768250000000001</v>
      </c>
      <c r="V5025">
        <v>-0.1885261</v>
      </c>
      <c r="W5025">
        <v>-4.7887970000000002E-2</v>
      </c>
      <c r="X5025">
        <v>0.98089989999999905</v>
      </c>
      <c r="Y5025">
        <v>-0.61329419999999901</v>
      </c>
      <c r="Z5025">
        <v>1.5555640000000001E-2</v>
      </c>
      <c r="AA5025">
        <v>0.7897014</v>
      </c>
      <c r="AB5025">
        <v>21</v>
      </c>
      <c r="AC5025">
        <v>60.096399999999903</v>
      </c>
      <c r="AD5025">
        <v>-1.0395329600000001</v>
      </c>
      <c r="AE5025">
        <v>-36.411809999999903</v>
      </c>
      <c r="AF5025">
        <v>-43.282597340215098</v>
      </c>
      <c r="AG5025">
        <v>-1.0395329600000001</v>
      </c>
      <c r="AH5025">
        <v>55.334016840484203</v>
      </c>
      <c r="AI5025">
        <v>90.847764467593606</v>
      </c>
      <c r="AJ5025">
        <v>128.03272914239</v>
      </c>
      <c r="AK5025">
        <v>70.258930257961694</v>
      </c>
    </row>
    <row r="5026" spans="1:37" x14ac:dyDescent="0.2">
      <c r="A5026" t="str">
        <f>"20200111160319193"</f>
        <v>20200111160319193</v>
      </c>
      <c r="B5026" t="str">
        <f>"1578729799188377"</f>
        <v>1578729799188377</v>
      </c>
      <c r="C5026" t="s">
        <v>37</v>
      </c>
      <c r="D5026">
        <v>5.1171759999999997</v>
      </c>
      <c r="E5026">
        <v>0.29335149999999999</v>
      </c>
      <c r="F5026" t="s">
        <v>93</v>
      </c>
      <c r="G5026">
        <v>-258.53530000000001</v>
      </c>
      <c r="H5026">
        <v>5.6138929999999997E-2</v>
      </c>
      <c r="I5026">
        <v>-70.389809999999997</v>
      </c>
      <c r="J5026">
        <v>-293.5095</v>
      </c>
      <c r="K5026">
        <v>1.107588</v>
      </c>
      <c r="L5026">
        <v>-50.677030000000002</v>
      </c>
      <c r="M5026">
        <v>0.36179210000000001</v>
      </c>
      <c r="N5026">
        <v>0</v>
      </c>
      <c r="O5026">
        <v>-0.93214339999999996</v>
      </c>
      <c r="P5026">
        <v>0.53521260000000004</v>
      </c>
      <c r="Q5026">
        <v>-6.2913629999999998E-2</v>
      </c>
      <c r="R5026">
        <v>-0.84237150000000005</v>
      </c>
      <c r="S5026">
        <v>2.9714659999999999</v>
      </c>
      <c r="T5026">
        <v>-8.9043860000000002E-2</v>
      </c>
      <c r="U5026">
        <v>-1.69216899999999</v>
      </c>
      <c r="V5026">
        <v>-0.19376559999999901</v>
      </c>
      <c r="W5026">
        <v>-5.0059260000000001E-2</v>
      </c>
      <c r="X5026">
        <v>0.97976980000000002</v>
      </c>
      <c r="Y5026">
        <v>-0.6306986</v>
      </c>
      <c r="Z5026">
        <v>2.761386E-2</v>
      </c>
      <c r="AA5026">
        <v>0.77553640000000001</v>
      </c>
      <c r="AB5026">
        <v>21</v>
      </c>
      <c r="AC5026">
        <v>34.974200000000003</v>
      </c>
      <c r="AD5026">
        <v>-1.0514490700000001</v>
      </c>
      <c r="AE5026">
        <v>-19.712779999999899</v>
      </c>
      <c r="AF5026">
        <v>-25.454322578245701</v>
      </c>
      <c r="AG5026">
        <v>-1.0514490700000001</v>
      </c>
      <c r="AH5026">
        <v>31.0105950539335</v>
      </c>
      <c r="AI5026">
        <v>91.501257703908095</v>
      </c>
      <c r="AJ5026">
        <v>129.38006155728601</v>
      </c>
      <c r="AK5026">
        <v>40.133341359314201</v>
      </c>
    </row>
    <row r="5027" spans="1:37" x14ac:dyDescent="0.2">
      <c r="A5027" t="str">
        <f>"20200111160319216"</f>
        <v>20200111160319216</v>
      </c>
      <c r="B5027" t="str">
        <f>"1578729799207897"</f>
        <v>1578729799207897</v>
      </c>
      <c r="C5027" t="s">
        <v>37</v>
      </c>
      <c r="D5027">
        <v>5.2177519999999999</v>
      </c>
      <c r="E5027">
        <v>0.29346559999999999</v>
      </c>
      <c r="F5027" t="s">
        <v>38</v>
      </c>
      <c r="G5027">
        <v>-260.4828</v>
      </c>
      <c r="H5027" s="1">
        <v>-1.4644299999999899E-6</v>
      </c>
      <c r="I5027">
        <v>-68.847560000000001</v>
      </c>
      <c r="J5027">
        <v>-293.4212</v>
      </c>
      <c r="K5027">
        <v>1.107631</v>
      </c>
      <c r="L5027">
        <v>-50.883540000000004</v>
      </c>
      <c r="M5027">
        <v>0.36767659999999902</v>
      </c>
      <c r="N5027">
        <v>0</v>
      </c>
      <c r="O5027">
        <v>-0.92983799999999905</v>
      </c>
      <c r="P5027">
        <v>0.54532669999999905</v>
      </c>
      <c r="Q5027">
        <v>-6.370286E-2</v>
      </c>
      <c r="R5027">
        <v>-0.83579979999999998</v>
      </c>
      <c r="S5027">
        <v>2.997681</v>
      </c>
      <c r="T5027">
        <v>-0.1005307</v>
      </c>
      <c r="U5027">
        <v>-1.6492610000000001</v>
      </c>
      <c r="V5027">
        <v>-0.19938320000000001</v>
      </c>
      <c r="W5027">
        <v>-5.0932999999999999E-2</v>
      </c>
      <c r="X5027">
        <v>0.97859699999999905</v>
      </c>
      <c r="Y5027">
        <v>-0.63706960000000001</v>
      </c>
      <c r="Z5027">
        <v>3.1200240000000001E-2</v>
      </c>
      <c r="AA5027">
        <v>0.77017460000000004</v>
      </c>
      <c r="AB5027">
        <v>21</v>
      </c>
      <c r="AC5027">
        <v>32.938400000000001</v>
      </c>
      <c r="AD5027">
        <v>-1.10763246443</v>
      </c>
      <c r="AE5027">
        <v>-17.964019999999898</v>
      </c>
      <c r="AF5027">
        <v>-24.004090491383799</v>
      </c>
      <c r="AG5027">
        <v>-1.10763246443</v>
      </c>
      <c r="AH5027">
        <v>28.792314140296899</v>
      </c>
      <c r="AI5027">
        <v>91.692481248745196</v>
      </c>
      <c r="AJ5027">
        <v>129.81789472672901</v>
      </c>
      <c r="AK5027">
        <v>37.502274111690099</v>
      </c>
    </row>
    <row r="5028" spans="1:37" x14ac:dyDescent="0.2">
      <c r="A5028" t="str">
        <f>"20200111160319250"</f>
        <v>20200111160319250</v>
      </c>
      <c r="B5028" t="str">
        <f>"1578729799238153"</f>
        <v>1578729799238153</v>
      </c>
      <c r="C5028" t="s">
        <v>37</v>
      </c>
      <c r="D5028">
        <v>5.1800949999999997</v>
      </c>
      <c r="E5028">
        <v>0.29399259999999999</v>
      </c>
      <c r="F5028" t="s">
        <v>38</v>
      </c>
      <c r="G5028">
        <v>-264.1139</v>
      </c>
      <c r="H5028" s="1">
        <v>-2.3818359999999999E-6</v>
      </c>
      <c r="I5028">
        <v>-66.547839999999994</v>
      </c>
      <c r="J5028">
        <v>-293.29860000000002</v>
      </c>
      <c r="K5028">
        <v>1.107701</v>
      </c>
      <c r="L5028">
        <v>-51.164149999999999</v>
      </c>
      <c r="M5028">
        <v>0.3758591</v>
      </c>
      <c r="N5028">
        <v>0</v>
      </c>
      <c r="O5028">
        <v>-0.92656059999999996</v>
      </c>
      <c r="P5028">
        <v>0.56331249999999999</v>
      </c>
      <c r="Q5028">
        <v>-6.5701040000000002E-2</v>
      </c>
      <c r="R5028">
        <v>-0.82362769999999996</v>
      </c>
      <c r="S5028">
        <v>3.016724</v>
      </c>
      <c r="T5028">
        <v>-0.1140132</v>
      </c>
      <c r="U5028">
        <v>-1.6123959999999999</v>
      </c>
      <c r="V5028">
        <v>-0.2119711</v>
      </c>
      <c r="W5028">
        <v>-5.3109820000000002E-2</v>
      </c>
      <c r="X5028">
        <v>0.97583169999999897</v>
      </c>
      <c r="Y5028">
        <v>-0.63948490000000002</v>
      </c>
      <c r="Z5028">
        <v>3.5400899999999999E-2</v>
      </c>
      <c r="AA5028">
        <v>0.76798820000000001</v>
      </c>
      <c r="AB5028">
        <v>21</v>
      </c>
      <c r="AC5028">
        <v>29.184699999999999</v>
      </c>
      <c r="AD5028">
        <v>-1.107703381836</v>
      </c>
      <c r="AE5028">
        <v>-15.38369</v>
      </c>
      <c r="AF5028">
        <v>-21.237641035896001</v>
      </c>
      <c r="AG5028">
        <v>-1.107703381836</v>
      </c>
      <c r="AH5028">
        <v>25.1975666547544</v>
      </c>
      <c r="AI5028">
        <v>91.925204016351401</v>
      </c>
      <c r="AJ5028">
        <v>130.12569410978799</v>
      </c>
      <c r="AK5028">
        <v>32.972439534746201</v>
      </c>
    </row>
    <row r="5029" spans="1:37" x14ac:dyDescent="0.2">
      <c r="A5029" t="str">
        <f>"20200111160319283"</f>
        <v>20200111160319283</v>
      </c>
      <c r="B5029" t="str">
        <f>"1578729799278169"</f>
        <v>1578729799278169</v>
      </c>
      <c r="C5029" t="s">
        <v>37</v>
      </c>
      <c r="D5029">
        <v>5.2697010000000004</v>
      </c>
      <c r="E5029">
        <v>0.29521419999999998</v>
      </c>
      <c r="F5029" t="s">
        <v>94</v>
      </c>
      <c r="G5029">
        <v>-269.21159999999998</v>
      </c>
      <c r="H5029" s="1">
        <v>-3.556846E-6</v>
      </c>
      <c r="I5029">
        <v>-63.392109999999903</v>
      </c>
      <c r="J5029">
        <v>-293.17610000000002</v>
      </c>
      <c r="K5029">
        <v>1.107788</v>
      </c>
      <c r="L5029">
        <v>-51.436889999999998</v>
      </c>
      <c r="M5029">
        <v>0.38408219999999998</v>
      </c>
      <c r="N5029">
        <v>0</v>
      </c>
      <c r="O5029">
        <v>-0.92318230000000001</v>
      </c>
      <c r="P5029">
        <v>0.57663959999999903</v>
      </c>
      <c r="Q5029">
        <v>-6.744986E-2</v>
      </c>
      <c r="R5029">
        <v>-0.81420990000000004</v>
      </c>
      <c r="S5029">
        <v>3.0473629999999998</v>
      </c>
      <c r="T5029">
        <v>-0.14014109999999999</v>
      </c>
      <c r="U5029">
        <v>-1.5470280000000001</v>
      </c>
      <c r="V5029">
        <v>-0.21918969999999999</v>
      </c>
      <c r="W5029">
        <v>-5.4985760000000002E-2</v>
      </c>
      <c r="X5029">
        <v>0.97413159999999899</v>
      </c>
      <c r="Y5029">
        <v>-0.64850509999999995</v>
      </c>
      <c r="Z5029">
        <v>4.363115E-2</v>
      </c>
      <c r="AA5029">
        <v>0.75995880000000005</v>
      </c>
      <c r="AB5029">
        <v>21</v>
      </c>
      <c r="AC5029">
        <v>23.964500000000001</v>
      </c>
      <c r="AD5029">
        <v>-1.1077915568459999</v>
      </c>
      <c r="AE5029">
        <v>-11.955219999999899</v>
      </c>
      <c r="AF5029">
        <v>-17.5037529980135</v>
      </c>
      <c r="AG5029">
        <v>-1.1077915568459999</v>
      </c>
      <c r="AH5029">
        <v>20.208786635094</v>
      </c>
      <c r="AI5029">
        <v>92.372723929768597</v>
      </c>
      <c r="AJ5029">
        <v>130.897331916339</v>
      </c>
      <c r="AK5029">
        <v>26.7582441204882</v>
      </c>
    </row>
    <row r="5030" spans="1:37" x14ac:dyDescent="0.2">
      <c r="A5030" t="str">
        <f>"20200111160319317"</f>
        <v>20200111160319317</v>
      </c>
      <c r="B5030" t="str">
        <f>"1578729799308424"</f>
        <v>1578729799308424</v>
      </c>
      <c r="C5030" t="s">
        <v>37</v>
      </c>
      <c r="D5030">
        <v>5.1919360000000001</v>
      </c>
      <c r="E5030">
        <v>0.29623059999999901</v>
      </c>
      <c r="F5030" t="s">
        <v>38</v>
      </c>
      <c r="G5030">
        <v>-271.47859999999997</v>
      </c>
      <c r="H5030" s="1">
        <v>-1.6347220000000001E-7</v>
      </c>
      <c r="I5030">
        <v>-62.069559999999903</v>
      </c>
      <c r="J5030">
        <v>-293.04680000000002</v>
      </c>
      <c r="K5030">
        <v>1.107861</v>
      </c>
      <c r="L5030">
        <v>-51.717219999999998</v>
      </c>
      <c r="M5030">
        <v>0.3927949</v>
      </c>
      <c r="N5030">
        <v>0</v>
      </c>
      <c r="O5030">
        <v>-0.91950880000000002</v>
      </c>
      <c r="P5030">
        <v>0.59758480000000003</v>
      </c>
      <c r="Q5030">
        <v>-7.1793919999999997E-2</v>
      </c>
      <c r="R5030">
        <v>-0.7985854</v>
      </c>
      <c r="S5030">
        <v>3.0640869999999998</v>
      </c>
      <c r="T5030">
        <v>-0.15643979999999999</v>
      </c>
      <c r="U5030">
        <v>-1.5015259999999999</v>
      </c>
      <c r="V5030">
        <v>-0.2353248</v>
      </c>
      <c r="W5030">
        <v>-5.9571579999999999E-2</v>
      </c>
      <c r="X5030">
        <v>0.97008939999999999</v>
      </c>
      <c r="Y5030">
        <v>-0.65180360000000004</v>
      </c>
      <c r="Z5030">
        <v>4.8797239999999999E-2</v>
      </c>
      <c r="AA5030">
        <v>0.7568163</v>
      </c>
      <c r="AB5030">
        <v>21</v>
      </c>
      <c r="AC5030">
        <v>21.568200000000001</v>
      </c>
      <c r="AD5030">
        <v>-1.1078611634722</v>
      </c>
      <c r="AE5030">
        <v>-10.3523399999999</v>
      </c>
      <c r="AF5030">
        <v>-15.7337649739175</v>
      </c>
      <c r="AG5030">
        <v>-1.1078611634722</v>
      </c>
      <c r="AH5030">
        <v>17.954386511514901</v>
      </c>
      <c r="AI5030">
        <v>92.657007876254994</v>
      </c>
      <c r="AJ5030">
        <v>131.22869054759801</v>
      </c>
      <c r="AK5030">
        <v>23.898508564696499</v>
      </c>
    </row>
    <row r="5031" spans="1:37" x14ac:dyDescent="0.2">
      <c r="A5031" t="str">
        <f>"20200111160319346"</f>
        <v>20200111160319346</v>
      </c>
      <c r="B5031" t="str">
        <f>"1578729799338281"</f>
        <v>1578729799338281</v>
      </c>
      <c r="C5031" t="s">
        <v>37</v>
      </c>
      <c r="D5031">
        <v>5.2921820000000004</v>
      </c>
      <c r="E5031">
        <v>0.29732720000000001</v>
      </c>
      <c r="F5031" t="s">
        <v>38</v>
      </c>
      <c r="G5031">
        <v>-272.63170000000002</v>
      </c>
      <c r="H5031" s="1">
        <v>-4.4625609999999901E-7</v>
      </c>
      <c r="I5031">
        <v>-61.116579999999999</v>
      </c>
      <c r="J5031">
        <v>-292.9323</v>
      </c>
      <c r="K5031">
        <v>1.1079349999999999</v>
      </c>
      <c r="L5031">
        <v>-51.95926</v>
      </c>
      <c r="M5031">
        <v>0.40056120000000001</v>
      </c>
      <c r="N5031">
        <v>0</v>
      </c>
      <c r="O5031">
        <v>-0.91615219999999897</v>
      </c>
      <c r="P5031">
        <v>0.61008989999999996</v>
      </c>
      <c r="Q5031">
        <v>-7.256203E-2</v>
      </c>
      <c r="R5031">
        <v>-0.7890026</v>
      </c>
      <c r="S5031">
        <v>3.0954899999999999</v>
      </c>
      <c r="T5031">
        <v>-0.1679821</v>
      </c>
      <c r="U5031">
        <v>-1.4252009999999999</v>
      </c>
      <c r="V5031">
        <v>-0.24239289999999999</v>
      </c>
      <c r="W5031">
        <v>-6.0470509999999998E-2</v>
      </c>
      <c r="X5031">
        <v>0.96829179999999904</v>
      </c>
      <c r="Y5031">
        <v>-0.66342069999999997</v>
      </c>
      <c r="Z5031">
        <v>5.260919E-2</v>
      </c>
      <c r="AA5031">
        <v>0.74639489999999997</v>
      </c>
      <c r="AB5031">
        <v>21</v>
      </c>
      <c r="AC5031">
        <v>20.3005999999999</v>
      </c>
      <c r="AD5031">
        <v>-1.1079354462561</v>
      </c>
      <c r="AE5031">
        <v>-9.1573200000000003</v>
      </c>
      <c r="AF5031">
        <v>-14.895118834754401</v>
      </c>
      <c r="AG5031">
        <v>-1.1079354462561</v>
      </c>
      <c r="AH5031">
        <v>16.482122049118999</v>
      </c>
      <c r="AI5031">
        <v>92.8551101649781</v>
      </c>
      <c r="AJ5031">
        <v>132.10455202079601</v>
      </c>
      <c r="AK5031">
        <v>22.243031117556399</v>
      </c>
    </row>
    <row r="5032" spans="1:37" x14ac:dyDescent="0.2">
      <c r="A5032" t="str">
        <f>"20200111160319384"</f>
        <v>20200111160319384</v>
      </c>
      <c r="B5032" t="str">
        <f>"1578729799378297"</f>
        <v>1578729799378297</v>
      </c>
      <c r="C5032" t="s">
        <v>37</v>
      </c>
      <c r="D5032">
        <v>5.3119550000000002</v>
      </c>
      <c r="E5032">
        <v>0.29913809999999902</v>
      </c>
      <c r="F5032" t="s">
        <v>38</v>
      </c>
      <c r="G5032">
        <v>-272.18119999999999</v>
      </c>
      <c r="H5032" s="1">
        <v>-2.6636629999999999E-7</v>
      </c>
      <c r="I5032">
        <v>-61.176719999999897</v>
      </c>
      <c r="J5032">
        <v>-292.78390000000002</v>
      </c>
      <c r="K5032">
        <v>1.108052</v>
      </c>
      <c r="L5032">
        <v>-52.263950000000001</v>
      </c>
      <c r="M5032">
        <v>0.41071149999999901</v>
      </c>
      <c r="N5032">
        <v>0</v>
      </c>
      <c r="O5032">
        <v>-0.91164659999999997</v>
      </c>
      <c r="P5032">
        <v>0.62970090000000001</v>
      </c>
      <c r="Q5032">
        <v>-7.1551890000000007E-2</v>
      </c>
      <c r="R5032">
        <v>-0.77353559999999999</v>
      </c>
      <c r="S5032">
        <v>3.1106259999999999</v>
      </c>
      <c r="T5032">
        <v>-0.16608139999999999</v>
      </c>
      <c r="U5032">
        <v>-1.3817139999999899</v>
      </c>
      <c r="V5032">
        <v>-0.25585760000000002</v>
      </c>
      <c r="W5032">
        <v>-5.9691679999999997E-2</v>
      </c>
      <c r="X5032">
        <v>0.9648698</v>
      </c>
      <c r="Y5032">
        <v>-0.66519530000000004</v>
      </c>
      <c r="Z5032">
        <v>5.2073950000000001E-2</v>
      </c>
      <c r="AA5032">
        <v>0.74485140000000005</v>
      </c>
      <c r="AB5032">
        <v>20</v>
      </c>
      <c r="AC5032">
        <v>20.602699999999999</v>
      </c>
      <c r="AD5032">
        <v>-1.1080522663662999</v>
      </c>
      <c r="AE5032">
        <v>-8.9127699999999894</v>
      </c>
      <c r="AF5032">
        <v>-15.086682887653801</v>
      </c>
      <c r="AG5032">
        <v>-1.1080522663662999</v>
      </c>
      <c r="AH5032">
        <v>16.548537747962001</v>
      </c>
      <c r="AI5032">
        <v>92.832759819082696</v>
      </c>
      <c r="AJ5032">
        <v>132.35425987157299</v>
      </c>
      <c r="AK5032">
        <v>22.420746686347201</v>
      </c>
    </row>
    <row r="5033" spans="1:37" x14ac:dyDescent="0.2">
      <c r="A5033" t="str">
        <f>"20200111160319414"</f>
        <v>20200111160319414</v>
      </c>
      <c r="B5033" t="str">
        <f>"1578729799408553"</f>
        <v>1578729799408553</v>
      </c>
      <c r="C5033" t="s">
        <v>37</v>
      </c>
      <c r="D5033">
        <v>5.2198370000000001</v>
      </c>
      <c r="E5033">
        <v>0.29933409999999999</v>
      </c>
      <c r="F5033" t="s">
        <v>38</v>
      </c>
      <c r="G5033">
        <v>-270.31569999999999</v>
      </c>
      <c r="H5033" s="1">
        <v>4.2168990000000002E-7</v>
      </c>
      <c r="I5033">
        <v>-61.681509999999903</v>
      </c>
      <c r="J5033">
        <v>-292.6626</v>
      </c>
      <c r="K5033">
        <v>1.10816</v>
      </c>
      <c r="L5033">
        <v>-52.506009999999897</v>
      </c>
      <c r="M5033">
        <v>0.41907820000000001</v>
      </c>
      <c r="N5033">
        <v>0</v>
      </c>
      <c r="O5033">
        <v>-0.90783080000000005</v>
      </c>
      <c r="P5033">
        <v>0.64085570000000003</v>
      </c>
      <c r="Q5033">
        <v>-7.1657399999999996E-2</v>
      </c>
      <c r="R5033">
        <v>-0.76430980000000004</v>
      </c>
      <c r="S5033">
        <v>3.1333009999999999</v>
      </c>
      <c r="T5033">
        <v>-0.1545231</v>
      </c>
      <c r="U5033">
        <v>-1.3133239999999999</v>
      </c>
      <c r="V5033">
        <v>-0.26096019999999998</v>
      </c>
      <c r="W5033">
        <v>-5.9918430000000002E-2</v>
      </c>
      <c r="X5033">
        <v>0.96348819999999902</v>
      </c>
      <c r="Y5033">
        <v>-0.67417950000000004</v>
      </c>
      <c r="Z5033">
        <v>4.864955E-2</v>
      </c>
      <c r="AA5033">
        <v>0.73696349999999999</v>
      </c>
      <c r="AB5033">
        <v>20</v>
      </c>
      <c r="AC5033">
        <v>22.346900000000002</v>
      </c>
      <c r="AD5033">
        <v>-1.1081595783100999</v>
      </c>
      <c r="AE5033">
        <v>-9.1754999999999995</v>
      </c>
      <c r="AF5033">
        <v>-16.4092038783829</v>
      </c>
      <c r="AG5033">
        <v>-1.1081595783100999</v>
      </c>
      <c r="AH5033">
        <v>17.659656375928101</v>
      </c>
      <c r="AI5033">
        <v>92.631990768296603</v>
      </c>
      <c r="AJ5033">
        <v>132.897977704048</v>
      </c>
      <c r="AK5033">
        <v>24.132000598566101</v>
      </c>
    </row>
    <row r="5034" spans="1:37" x14ac:dyDescent="0.2">
      <c r="A5034" t="str">
        <f>"20200111160319437"</f>
        <v>20200111160319437</v>
      </c>
      <c r="B5034" t="str">
        <f>"1578729799428073"</f>
        <v>1578729799428073</v>
      </c>
      <c r="C5034" t="s">
        <v>37</v>
      </c>
      <c r="D5034">
        <v>5.2631969999999999</v>
      </c>
      <c r="E5034">
        <v>0.27417059999999999</v>
      </c>
      <c r="F5034" t="s">
        <v>94</v>
      </c>
      <c r="G5034">
        <v>-269.44240000000002</v>
      </c>
      <c r="H5034" s="1">
        <v>-3.3633539999999999E-6</v>
      </c>
      <c r="I5034">
        <v>-61.858649999999997</v>
      </c>
      <c r="J5034">
        <v>-292.56790000000001</v>
      </c>
      <c r="K5034">
        <v>1.108249</v>
      </c>
      <c r="L5034">
        <v>-52.690669999999997</v>
      </c>
      <c r="M5034">
        <v>0.4256549</v>
      </c>
      <c r="N5034">
        <v>0</v>
      </c>
      <c r="O5034">
        <v>-0.9047655</v>
      </c>
      <c r="P5034">
        <v>0.64685429999999999</v>
      </c>
      <c r="Q5034">
        <v>-7.1395749999999994E-2</v>
      </c>
      <c r="R5034">
        <v>-0.7592643</v>
      </c>
      <c r="S5034">
        <v>3.1508479999999999</v>
      </c>
      <c r="T5034">
        <v>-0.15037110000000001</v>
      </c>
      <c r="U5034">
        <v>-1.269104</v>
      </c>
      <c r="V5034">
        <v>-0.26153500000000002</v>
      </c>
      <c r="W5034">
        <v>-5.9705769999999998E-2</v>
      </c>
      <c r="X5034">
        <v>0.96334560000000002</v>
      </c>
      <c r="Y5034">
        <v>-0.67918919999999905</v>
      </c>
      <c r="Z5034">
        <v>4.740378E-2</v>
      </c>
      <c r="AA5034">
        <v>0.73243080000000005</v>
      </c>
      <c r="AB5034">
        <v>20</v>
      </c>
      <c r="AC5034">
        <v>23.125499999999899</v>
      </c>
      <c r="AD5034">
        <v>-1.108252363354</v>
      </c>
      <c r="AE5034">
        <v>-9.16798</v>
      </c>
      <c r="AF5034">
        <v>-16.988890399154599</v>
      </c>
      <c r="AG5034">
        <v>-1.108252363354</v>
      </c>
      <c r="AH5034">
        <v>18.1043933247052</v>
      </c>
      <c r="AI5034">
        <v>92.555905449071901</v>
      </c>
      <c r="AJ5034">
        <v>133.17936397447301</v>
      </c>
      <c r="AK5034">
        <v>24.851955213845802</v>
      </c>
    </row>
    <row r="5035" spans="1:37" x14ac:dyDescent="0.2">
      <c r="A5035" t="str">
        <f>"20200111160319592"</f>
        <v>20200111160319592</v>
      </c>
      <c r="B5035" t="str">
        <f>"1578729799588491"</f>
        <v>1578729799588491</v>
      </c>
      <c r="C5035" t="s">
        <v>37</v>
      </c>
      <c r="D5035">
        <v>5.1048929999999997</v>
      </c>
      <c r="E5035">
        <v>0.28032620000000003</v>
      </c>
      <c r="F5035" t="s">
        <v>55</v>
      </c>
      <c r="G5035">
        <v>-207.44329999999999</v>
      </c>
      <c r="H5035">
        <v>4.7070930000000004</v>
      </c>
      <c r="I5035">
        <v>-81.816730000000007</v>
      </c>
      <c r="J5035">
        <v>-291.9058</v>
      </c>
      <c r="K5035">
        <v>1.1087069999999899</v>
      </c>
      <c r="L5035">
        <v>-53.884159999999902</v>
      </c>
      <c r="M5035">
        <v>0.47213159999999998</v>
      </c>
      <c r="N5035">
        <v>0</v>
      </c>
      <c r="O5035">
        <v>-0.88140350000000001</v>
      </c>
      <c r="P5035">
        <v>0.68344539999999998</v>
      </c>
      <c r="Q5035">
        <v>-6.8024230000000005E-2</v>
      </c>
      <c r="R5035">
        <v>-0.72682550000000001</v>
      </c>
      <c r="S5035">
        <v>3.31997699999999</v>
      </c>
      <c r="T5035">
        <v>0.14035999999999901</v>
      </c>
      <c r="U5035">
        <v>-1.135956</v>
      </c>
      <c r="V5035">
        <v>-0.2586736</v>
      </c>
      <c r="W5035">
        <v>-5.6493349999999998E-2</v>
      </c>
      <c r="X5035">
        <v>0.96431139999999904</v>
      </c>
      <c r="Y5035">
        <v>-0.68024099999999998</v>
      </c>
      <c r="Z5035">
        <v>-4.2650800000000003E-2</v>
      </c>
      <c r="AA5035">
        <v>0.73174649999999997</v>
      </c>
      <c r="AB5035">
        <v>20</v>
      </c>
      <c r="AC5035">
        <v>84.462500000000006</v>
      </c>
      <c r="AD5035">
        <v>3.5983860000000001</v>
      </c>
      <c r="AE5035">
        <v>-27.932569999999998</v>
      </c>
      <c r="AF5035">
        <v>-61.164350636472101</v>
      </c>
      <c r="AG5035">
        <v>3.5983860000000001</v>
      </c>
      <c r="AH5035">
        <v>64.399000280347295</v>
      </c>
      <c r="AI5035">
        <v>87.6799306571654</v>
      </c>
      <c r="AJ5035">
        <v>133.52432425332799</v>
      </c>
      <c r="AK5035">
        <v>88.889017362633098</v>
      </c>
    </row>
    <row r="5036" spans="1:37" x14ac:dyDescent="0.2">
      <c r="A5036" t="str">
        <f>"20200111160319630"</f>
        <v>20200111160319630</v>
      </c>
      <c r="B5036" t="str">
        <f>"1578729799618746"</f>
        <v>1578729799618746</v>
      </c>
      <c r="C5036" t="s">
        <v>37</v>
      </c>
      <c r="D5036">
        <v>5.3500399999999999</v>
      </c>
      <c r="E5036">
        <v>0.28443379999999902</v>
      </c>
      <c r="F5036" t="s">
        <v>55</v>
      </c>
      <c r="G5036">
        <v>-198.9169</v>
      </c>
      <c r="H5036">
        <v>5.4331670000000001</v>
      </c>
      <c r="I5036">
        <v>-81.816969999999998</v>
      </c>
      <c r="J5036">
        <v>-291.73649999999998</v>
      </c>
      <c r="K5036">
        <v>1.1087340000000001</v>
      </c>
      <c r="L5036">
        <v>-54.164669999999902</v>
      </c>
      <c r="M5036">
        <v>0.48390369999999999</v>
      </c>
      <c r="N5036">
        <v>0</v>
      </c>
      <c r="O5036">
        <v>-0.87499539999999998</v>
      </c>
      <c r="P5036">
        <v>0.70084969999999902</v>
      </c>
      <c r="Q5036">
        <v>-6.8939550000000002E-2</v>
      </c>
      <c r="R5036">
        <v>-0.70996990000000004</v>
      </c>
      <c r="S5036">
        <v>3.3384699999999898</v>
      </c>
      <c r="T5036">
        <v>0.15525600000000001</v>
      </c>
      <c r="U5036">
        <v>-1.0028379999999999</v>
      </c>
      <c r="V5036">
        <v>-0.26910889999999998</v>
      </c>
      <c r="W5036">
        <v>-5.7571659999999997E-2</v>
      </c>
      <c r="X5036">
        <v>0.96138749999999995</v>
      </c>
      <c r="Y5036">
        <v>-0.69768589999999997</v>
      </c>
      <c r="Z5036">
        <v>-4.7705850000000001E-2</v>
      </c>
      <c r="AA5036">
        <v>0.71481359999999905</v>
      </c>
      <c r="AB5036">
        <v>20</v>
      </c>
      <c r="AC5036">
        <v>92.819599999999895</v>
      </c>
      <c r="AD5036">
        <v>4.324433</v>
      </c>
      <c r="AE5036">
        <v>-27.6523</v>
      </c>
      <c r="AF5036">
        <v>-67.708158114899106</v>
      </c>
      <c r="AG5036">
        <v>4.324433</v>
      </c>
      <c r="AH5036">
        <v>68.981470513952502</v>
      </c>
      <c r="AI5036">
        <v>87.438331750801595</v>
      </c>
      <c r="AJ5036">
        <v>134.46628491822599</v>
      </c>
      <c r="AK5036">
        <v>96.755044676497107</v>
      </c>
    </row>
    <row r="5037" spans="1:37" x14ac:dyDescent="0.2">
      <c r="A5037" t="str">
        <f>"20200111160319656"</f>
        <v>20200111160319656</v>
      </c>
      <c r="B5037" t="str">
        <f>"1578729799649003"</f>
        <v>1578729799649003</v>
      </c>
      <c r="C5037" t="s">
        <v>37</v>
      </c>
      <c r="D5037">
        <v>5.227754</v>
      </c>
      <c r="E5037">
        <v>0.28636509999999998</v>
      </c>
      <c r="F5037" t="s">
        <v>55</v>
      </c>
      <c r="G5037">
        <v>-193.8194</v>
      </c>
      <c r="H5037">
        <v>5.218585</v>
      </c>
      <c r="I5037">
        <v>-81.816890000000001</v>
      </c>
      <c r="J5037">
        <v>-291.60950000000003</v>
      </c>
      <c r="K5037">
        <v>1.1087199999999999</v>
      </c>
      <c r="L5037">
        <v>-54.369109999999999</v>
      </c>
      <c r="M5037">
        <v>0.49259160000000002</v>
      </c>
      <c r="N5037">
        <v>0</v>
      </c>
      <c r="O5037">
        <v>-0.87013390000000002</v>
      </c>
      <c r="P5037">
        <v>0.71157369999999898</v>
      </c>
      <c r="Q5037">
        <v>-6.9637299999999999E-2</v>
      </c>
      <c r="R5037">
        <v>-0.69915209999999905</v>
      </c>
      <c r="S5037">
        <v>3.3390499999999999</v>
      </c>
      <c r="T5037">
        <v>0.14014939999999901</v>
      </c>
      <c r="U5037">
        <v>-0.94296259999999998</v>
      </c>
      <c r="V5037">
        <v>-0.27418690000000001</v>
      </c>
      <c r="W5037">
        <v>-5.8335289999999998E-2</v>
      </c>
      <c r="X5037">
        <v>0.95990549999999997</v>
      </c>
      <c r="Y5037">
        <v>-0.70260459999999902</v>
      </c>
      <c r="Z5037">
        <v>-4.3296769999999998E-2</v>
      </c>
      <c r="AA5037">
        <v>0.71026210000000001</v>
      </c>
      <c r="AB5037">
        <v>20</v>
      </c>
      <c r="AC5037">
        <v>97.790099999999995</v>
      </c>
      <c r="AD5037">
        <v>4.1098650000000001</v>
      </c>
      <c r="AE5037">
        <v>-27.447780000000002</v>
      </c>
      <c r="AF5037">
        <v>-71.460823773266995</v>
      </c>
      <c r="AG5037">
        <v>4.1098650000000001</v>
      </c>
      <c r="AH5037">
        <v>71.943976514551494</v>
      </c>
      <c r="AI5037">
        <v>87.679073433211201</v>
      </c>
      <c r="AJ5037">
        <v>134.80696247170599</v>
      </c>
      <c r="AK5037">
        <v>101.48633445641001</v>
      </c>
    </row>
    <row r="5038" spans="1:37" x14ac:dyDescent="0.2">
      <c r="A5038" t="str">
        <f>"20200111160319684"</f>
        <v>20200111160319684</v>
      </c>
      <c r="B5038" t="str">
        <f>"1578729799678282"</f>
        <v>1578729799678282</v>
      </c>
      <c r="C5038" t="s">
        <v>37</v>
      </c>
      <c r="D5038">
        <v>5.1981950000000001</v>
      </c>
      <c r="E5038">
        <v>0.28907880000000002</v>
      </c>
      <c r="F5038" t="s">
        <v>55</v>
      </c>
      <c r="G5038">
        <v>-189.9288</v>
      </c>
      <c r="H5038">
        <v>5.1226430000000001</v>
      </c>
      <c r="I5038">
        <v>-81.816859999999906</v>
      </c>
      <c r="J5038">
        <v>-291.483</v>
      </c>
      <c r="K5038">
        <v>1.10869</v>
      </c>
      <c r="L5038">
        <v>-54.568449999999999</v>
      </c>
      <c r="M5038">
        <v>0.50109720000000002</v>
      </c>
      <c r="N5038">
        <v>0</v>
      </c>
      <c r="O5038">
        <v>-0.86526360000000002</v>
      </c>
      <c r="P5038">
        <v>0.72079689999999996</v>
      </c>
      <c r="Q5038">
        <v>-7.0965399999999998E-2</v>
      </c>
      <c r="R5038">
        <v>-0.68950429999999996</v>
      </c>
      <c r="S5038">
        <v>3.3424070000000001</v>
      </c>
      <c r="T5038">
        <v>0.13194429999999999</v>
      </c>
      <c r="U5038">
        <v>-0.90225219999999995</v>
      </c>
      <c r="V5038">
        <v>-0.27757919999999903</v>
      </c>
      <c r="W5038">
        <v>-5.969679E-2</v>
      </c>
      <c r="X5038">
        <v>0.95884619999999998</v>
      </c>
      <c r="Y5038">
        <v>-0.70396919999999996</v>
      </c>
      <c r="Z5038">
        <v>-4.0823030000000003E-2</v>
      </c>
      <c r="AA5038">
        <v>0.70905640000000003</v>
      </c>
      <c r="AB5038">
        <v>20</v>
      </c>
      <c r="AC5038">
        <v>101.55419999999999</v>
      </c>
      <c r="AD5038">
        <v>4.0139529999999999</v>
      </c>
      <c r="AE5038">
        <v>-27.24841</v>
      </c>
      <c r="AF5038">
        <v>-74.117221418518298</v>
      </c>
      <c r="AG5038">
        <v>4.0139529999999999</v>
      </c>
      <c r="AH5038">
        <v>74.365418985891296</v>
      </c>
      <c r="AI5038">
        <v>87.810614822789006</v>
      </c>
      <c r="AJ5038">
        <v>134.90422678494599</v>
      </c>
      <c r="AK5038">
        <v>105.069928478299</v>
      </c>
    </row>
    <row r="5039" spans="1:37" x14ac:dyDescent="0.2">
      <c r="A5039" t="str">
        <f>"20200111160319708"</f>
        <v>20200111160319708</v>
      </c>
      <c r="B5039" t="str">
        <f>"1578729799698779"</f>
        <v>1578729799698779</v>
      </c>
      <c r="C5039" t="s">
        <v>37</v>
      </c>
      <c r="D5039">
        <v>5.1483930000000004</v>
      </c>
      <c r="E5039">
        <v>0.29065530000000001</v>
      </c>
      <c r="F5039" t="s">
        <v>55</v>
      </c>
      <c r="G5039">
        <v>-187.14959999999999</v>
      </c>
      <c r="H5039">
        <v>4.5611030000000001</v>
      </c>
      <c r="I5039">
        <v>-81.816670000000002</v>
      </c>
      <c r="J5039">
        <v>-291.3698</v>
      </c>
      <c r="K5039">
        <v>1.108641</v>
      </c>
      <c r="L5039">
        <v>-54.743319999999997</v>
      </c>
      <c r="M5039">
        <v>0.50857629999999998</v>
      </c>
      <c r="N5039">
        <v>0</v>
      </c>
      <c r="O5039">
        <v>-0.86088909999999996</v>
      </c>
      <c r="P5039">
        <v>0.72672029999999999</v>
      </c>
      <c r="Q5039">
        <v>-7.2099949999999996E-2</v>
      </c>
      <c r="R5039">
        <v>-0.68313959999999996</v>
      </c>
      <c r="S5039">
        <v>3.3388059999999999</v>
      </c>
      <c r="T5039">
        <v>0.1104817</v>
      </c>
      <c r="U5039">
        <v>-0.87197880000000005</v>
      </c>
      <c r="V5039">
        <v>-0.27759840000000002</v>
      </c>
      <c r="W5039">
        <v>-6.0812419999999999E-2</v>
      </c>
      <c r="X5039">
        <v>0.95877060000000003</v>
      </c>
      <c r="Y5039">
        <v>-0.70389360000000001</v>
      </c>
      <c r="Z5039">
        <v>-3.4256410000000001E-2</v>
      </c>
      <c r="AA5039">
        <v>0.70947890000000002</v>
      </c>
      <c r="AB5039">
        <v>20</v>
      </c>
      <c r="AC5039">
        <v>104.22020000000001</v>
      </c>
      <c r="AD5039">
        <v>3.4524620000000001</v>
      </c>
      <c r="AE5039">
        <v>-27.073350000000001</v>
      </c>
      <c r="AF5039">
        <v>-75.883521800055505</v>
      </c>
      <c r="AG5039">
        <v>3.4524620000000001</v>
      </c>
      <c r="AH5039">
        <v>76.241099213141894</v>
      </c>
      <c r="AI5039">
        <v>88.161698378721098</v>
      </c>
      <c r="AJ5039">
        <v>134.86532332011399</v>
      </c>
      <c r="AK5039">
        <v>107.624038132143</v>
      </c>
    </row>
    <row r="5040" spans="1:37" x14ac:dyDescent="0.2">
      <c r="A5040" t="str">
        <f>"20200111160319742"</f>
        <v>20200111160319742</v>
      </c>
      <c r="B5040" t="str">
        <f>"1578729799738795"</f>
        <v>1578729799738795</v>
      </c>
      <c r="C5040" t="s">
        <v>37</v>
      </c>
      <c r="D5040">
        <v>4.971813</v>
      </c>
      <c r="E5040">
        <v>0.29132249999999998</v>
      </c>
      <c r="F5040" t="s">
        <v>55</v>
      </c>
      <c r="G5040">
        <v>-185.3621</v>
      </c>
      <c r="H5040">
        <v>4.4938500000000001</v>
      </c>
      <c r="I5040">
        <v>-81.816659999999999</v>
      </c>
      <c r="J5040">
        <v>-291.2106</v>
      </c>
      <c r="K5040">
        <v>1.1085799999999999</v>
      </c>
      <c r="L5040">
        <v>-54.983490000000003</v>
      </c>
      <c r="M5040">
        <v>0.51885179999999997</v>
      </c>
      <c r="N5040">
        <v>0</v>
      </c>
      <c r="O5040">
        <v>-0.85473529999999998</v>
      </c>
      <c r="P5040">
        <v>0.72890429999999995</v>
      </c>
      <c r="Q5040">
        <v>-7.4360469999999998E-2</v>
      </c>
      <c r="R5040">
        <v>-0.68056549999999905</v>
      </c>
      <c r="S5040">
        <v>3.3374629999999899</v>
      </c>
      <c r="T5040">
        <v>0.106577399999999</v>
      </c>
      <c r="U5040">
        <v>-0.852356</v>
      </c>
      <c r="V5040">
        <v>-0.26929259999999999</v>
      </c>
      <c r="W5040">
        <v>-6.2923960000000001E-2</v>
      </c>
      <c r="X5040">
        <v>0.96100059999999998</v>
      </c>
      <c r="Y5040">
        <v>-0.69926009999999905</v>
      </c>
      <c r="Z5040">
        <v>-3.2985689999999998E-2</v>
      </c>
      <c r="AA5040">
        <v>0.71410589999999996</v>
      </c>
      <c r="AB5040">
        <v>20</v>
      </c>
      <c r="AC5040">
        <v>105.8485</v>
      </c>
      <c r="AD5040">
        <v>3.3852699999999998</v>
      </c>
      <c r="AE5040">
        <v>-26.833169999999999</v>
      </c>
      <c r="AF5040">
        <v>-76.4849376777522</v>
      </c>
      <c r="AG5040">
        <v>3.3852699999999998</v>
      </c>
      <c r="AH5040">
        <v>77.788759903822296</v>
      </c>
      <c r="AI5040">
        <v>88.222603984302907</v>
      </c>
      <c r="AJ5040">
        <v>134.51578439190101</v>
      </c>
      <c r="AK5040">
        <v>109.144385617937</v>
      </c>
    </row>
    <row r="5041" spans="1:37" x14ac:dyDescent="0.2">
      <c r="A5041" t="str">
        <f>"20200111160319793"</f>
        <v>20200111160319793</v>
      </c>
      <c r="B5041" t="str">
        <f>"1578729799788572"</f>
        <v>1578729799788572</v>
      </c>
      <c r="C5041" t="s">
        <v>37</v>
      </c>
      <c r="D5041">
        <v>5.0825879999999897</v>
      </c>
      <c r="E5041">
        <v>0.25725720000000002</v>
      </c>
      <c r="F5041" t="s">
        <v>55</v>
      </c>
      <c r="G5041">
        <v>-185.14609999999999</v>
      </c>
      <c r="H5041">
        <v>4.1329339999999997</v>
      </c>
      <c r="I5041">
        <v>-81.81653</v>
      </c>
      <c r="J5041">
        <v>-290.96390000000002</v>
      </c>
      <c r="K5041">
        <v>1.1085039999999999</v>
      </c>
      <c r="L5041">
        <v>-55.344059999999999</v>
      </c>
      <c r="M5041">
        <v>0.53424759999999905</v>
      </c>
      <c r="N5041">
        <v>0</v>
      </c>
      <c r="O5041">
        <v>-0.84519809999999995</v>
      </c>
      <c r="P5041">
        <v>0.742398</v>
      </c>
      <c r="Q5041">
        <v>-7.5277129999999998E-2</v>
      </c>
      <c r="R5041">
        <v>-0.66571689999999994</v>
      </c>
      <c r="S5041">
        <v>3.337189</v>
      </c>
      <c r="T5041">
        <v>9.5157740000000005E-2</v>
      </c>
      <c r="U5041">
        <v>-0.84426880000000004</v>
      </c>
      <c r="V5041">
        <v>-0.27120240000000001</v>
      </c>
      <c r="W5041">
        <v>-6.3831689999999996E-2</v>
      </c>
      <c r="X5041">
        <v>0.96040340000000002</v>
      </c>
      <c r="Y5041">
        <v>-0.68796599999999997</v>
      </c>
      <c r="Z5041">
        <v>-2.9247800000000001E-2</v>
      </c>
      <c r="AA5041">
        <v>0.7251533</v>
      </c>
      <c r="AB5041">
        <v>20</v>
      </c>
      <c r="AC5041">
        <v>105.81780000000001</v>
      </c>
      <c r="AD5041">
        <v>3.02442999999999</v>
      </c>
      <c r="AE5041">
        <v>-26.472470000000001</v>
      </c>
      <c r="AF5041">
        <v>-75.244574347207006</v>
      </c>
      <c r="AG5041">
        <v>3.02442999999999</v>
      </c>
      <c r="AH5041">
        <v>78.855432390408097</v>
      </c>
      <c r="AI5041">
        <v>88.410546271079696</v>
      </c>
      <c r="AJ5041">
        <v>133.657695875081</v>
      </c>
      <c r="AK5041">
        <v>109.03702290046</v>
      </c>
    </row>
    <row r="5042" spans="1:37" x14ac:dyDescent="0.2">
      <c r="A5042" t="str">
        <f>"20200111160319814"</f>
        <v>20200111160319814</v>
      </c>
      <c r="B5042" t="str">
        <f>"1578729799808091"</f>
        <v>1578729799808091</v>
      </c>
      <c r="C5042" t="s">
        <v>37</v>
      </c>
      <c r="D5042">
        <v>5.0068799999999998</v>
      </c>
      <c r="E5042">
        <v>0.25766830000000002</v>
      </c>
      <c r="F5042" t="s">
        <v>43</v>
      </c>
      <c r="G5042">
        <v>0</v>
      </c>
      <c r="H5042">
        <v>0</v>
      </c>
      <c r="I5042">
        <v>0</v>
      </c>
      <c r="J5042">
        <v>-290.85430000000002</v>
      </c>
      <c r="K5042">
        <v>1.108468</v>
      </c>
      <c r="L5042">
        <v>-55.499850000000002</v>
      </c>
      <c r="M5042">
        <v>0.5408925</v>
      </c>
      <c r="N5042">
        <v>0</v>
      </c>
      <c r="O5042">
        <v>-0.84096109999999902</v>
      </c>
      <c r="P5042">
        <v>0.75067139999999999</v>
      </c>
      <c r="Q5042">
        <v>-7.5816770000000006E-2</v>
      </c>
      <c r="R5042">
        <v>-0.65631110000000004</v>
      </c>
      <c r="S5042">
        <v>3.5655519999999998</v>
      </c>
      <c r="T5042">
        <v>0.6601728</v>
      </c>
      <c r="U5042">
        <v>-0.60479740000000004</v>
      </c>
      <c r="V5042">
        <v>-0.27567779999999997</v>
      </c>
      <c r="W5042">
        <v>-6.4423610000000006E-2</v>
      </c>
      <c r="X5042">
        <v>0.95908879999999996</v>
      </c>
      <c r="Y5042">
        <v>-0.717912199999999</v>
      </c>
      <c r="Z5042">
        <v>-0.19348579999999899</v>
      </c>
      <c r="AA5042">
        <v>0.66870419999999997</v>
      </c>
      <c r="AB5042">
        <v>20</v>
      </c>
      <c r="AC5042">
        <v>3.5655519999999998</v>
      </c>
      <c r="AD5042">
        <v>0.6601728</v>
      </c>
      <c r="AE5042">
        <v>-0.60479740000000004</v>
      </c>
      <c r="AF5042">
        <v>-2.58549744413836</v>
      </c>
      <c r="AG5042">
        <v>0.6601728</v>
      </c>
      <c r="AH5042">
        <v>2.3588553501665199</v>
      </c>
      <c r="AI5042">
        <v>79.317893332398697</v>
      </c>
      <c r="AJ5042">
        <v>137.62451981121399</v>
      </c>
      <c r="AK5042">
        <v>3.5615760166694601</v>
      </c>
    </row>
    <row r="5043" spans="1:37" x14ac:dyDescent="0.2">
      <c r="A5043" t="str">
        <f>"20200111160319837"</f>
        <v>20200111160319837</v>
      </c>
      <c r="B5043" t="str">
        <f>"1578729799828588"</f>
        <v>1578729799828588</v>
      </c>
      <c r="C5043" t="s">
        <v>37</v>
      </c>
      <c r="D5043">
        <v>5.0098529999999997</v>
      </c>
      <c r="E5043">
        <v>0.25816039999999901</v>
      </c>
      <c r="F5043" t="s">
        <v>43</v>
      </c>
      <c r="G5043">
        <v>0</v>
      </c>
      <c r="H5043">
        <v>0</v>
      </c>
      <c r="I5043">
        <v>0</v>
      </c>
      <c r="J5043">
        <v>-290.74349999999998</v>
      </c>
      <c r="K5043">
        <v>1.108436</v>
      </c>
      <c r="L5043">
        <v>-55.65466</v>
      </c>
      <c r="M5043">
        <v>0.54749300000000001</v>
      </c>
      <c r="N5043">
        <v>0</v>
      </c>
      <c r="O5043">
        <v>-0.83667919999999996</v>
      </c>
      <c r="P5043">
        <v>0.75937559999999904</v>
      </c>
      <c r="Q5043">
        <v>-7.6295059999999998E-2</v>
      </c>
      <c r="R5043">
        <v>-0.64616419999999997</v>
      </c>
      <c r="S5043">
        <v>3.5704039999999999</v>
      </c>
      <c r="T5043">
        <v>0.64846890000000001</v>
      </c>
      <c r="U5043">
        <v>-0.56216429999999995</v>
      </c>
      <c r="V5043">
        <v>-0.28096870000000002</v>
      </c>
      <c r="W5043">
        <v>-6.496768E-2</v>
      </c>
      <c r="X5043">
        <v>0.95751540000000002</v>
      </c>
      <c r="Y5043">
        <v>-0.72116689999999894</v>
      </c>
      <c r="Z5043">
        <v>-0.19026460000000001</v>
      </c>
      <c r="AA5043">
        <v>0.66612139999999997</v>
      </c>
      <c r="AB5043">
        <v>19</v>
      </c>
      <c r="AC5043">
        <v>3.5704039999999999</v>
      </c>
      <c r="AD5043">
        <v>0.64846890000000001</v>
      </c>
      <c r="AE5043">
        <v>-0.56216429999999995</v>
      </c>
      <c r="AF5043">
        <v>-2.5962255721656402</v>
      </c>
      <c r="AG5043">
        <v>0.64846890000000001</v>
      </c>
      <c r="AH5043">
        <v>2.34975205321977</v>
      </c>
      <c r="AI5043">
        <v>79.508353367868295</v>
      </c>
      <c r="AJ5043">
        <v>137.85286773042699</v>
      </c>
      <c r="AK5043">
        <v>3.5612124125702702</v>
      </c>
    </row>
    <row r="5044" spans="1:37" x14ac:dyDescent="0.2">
      <c r="A5044" t="str">
        <f>"20200111160319876"</f>
        <v>20200111160319876</v>
      </c>
      <c r="B5044" t="str">
        <f>"1578729799868603"</f>
        <v>1578729799868603</v>
      </c>
      <c r="C5044" t="s">
        <v>37</v>
      </c>
      <c r="D5044">
        <v>5.2135680000000004</v>
      </c>
      <c r="E5044">
        <v>0.26172909999999999</v>
      </c>
      <c r="F5044" t="s">
        <v>43</v>
      </c>
      <c r="G5044">
        <v>0</v>
      </c>
      <c r="H5044">
        <v>0</v>
      </c>
      <c r="I5044">
        <v>0</v>
      </c>
      <c r="J5044">
        <v>-290.54730000000001</v>
      </c>
      <c r="K5044">
        <v>1.108403</v>
      </c>
      <c r="L5044">
        <v>-55.922730000000001</v>
      </c>
      <c r="M5044">
        <v>0.5589229</v>
      </c>
      <c r="N5044">
        <v>0</v>
      </c>
      <c r="O5044">
        <v>-0.82908749999999998</v>
      </c>
      <c r="P5044">
        <v>0.77611490000000005</v>
      </c>
      <c r="Q5044">
        <v>-7.8985940000000004E-2</v>
      </c>
      <c r="R5044">
        <v>-0.6256254</v>
      </c>
      <c r="S5044">
        <v>3.5754389999999998</v>
      </c>
      <c r="T5044">
        <v>0.65145679999999995</v>
      </c>
      <c r="U5044">
        <v>-0.51782229999999996</v>
      </c>
      <c r="V5044">
        <v>-0.29315629999999998</v>
      </c>
      <c r="W5044">
        <v>-6.782241E-2</v>
      </c>
      <c r="X5044">
        <v>0.95365580000000005</v>
      </c>
      <c r="Y5044">
        <v>-0.71995759999999998</v>
      </c>
      <c r="Z5044">
        <v>-0.1906572</v>
      </c>
      <c r="AA5044">
        <v>0.66731629999999997</v>
      </c>
      <c r="AB5044">
        <v>19</v>
      </c>
      <c r="AC5044">
        <v>3.5754389999999998</v>
      </c>
      <c r="AD5044">
        <v>0.65145679999999995</v>
      </c>
      <c r="AE5044">
        <v>-0.51782229999999996</v>
      </c>
      <c r="AF5044">
        <v>-2.5909739792163</v>
      </c>
      <c r="AG5044">
        <v>0.65145679999999995</v>
      </c>
      <c r="AH5044">
        <v>2.3515187138350799</v>
      </c>
      <c r="AI5044">
        <v>79.4531282282219</v>
      </c>
      <c r="AJ5044">
        <v>137.773713086936</v>
      </c>
      <c r="AK5044">
        <v>3.5590985354101599</v>
      </c>
    </row>
    <row r="5045" spans="1:37" x14ac:dyDescent="0.2">
      <c r="A5045" t="str">
        <f>"20200111160319901"</f>
        <v>20200111160319901</v>
      </c>
      <c r="B5045" t="str">
        <f>"1578729799898859"</f>
        <v>1578729799898859</v>
      </c>
      <c r="C5045" t="s">
        <v>37</v>
      </c>
      <c r="D5045">
        <v>5.4713709999999898</v>
      </c>
      <c r="E5045">
        <v>0.26131379999999998</v>
      </c>
      <c r="F5045" t="s">
        <v>43</v>
      </c>
      <c r="G5045">
        <v>0</v>
      </c>
      <c r="H5045">
        <v>0</v>
      </c>
      <c r="I5045">
        <v>0</v>
      </c>
      <c r="J5045">
        <v>-290.41379999999998</v>
      </c>
      <c r="K5045">
        <v>1.108387</v>
      </c>
      <c r="L5045">
        <v>-56.100919999999903</v>
      </c>
      <c r="M5045">
        <v>0.56652720000000001</v>
      </c>
      <c r="N5045">
        <v>0</v>
      </c>
      <c r="O5045">
        <v>-0.82391019999999904</v>
      </c>
      <c r="P5045">
        <v>0.78497340000000004</v>
      </c>
      <c r="Q5045">
        <v>-7.7970010000000006E-2</v>
      </c>
      <c r="R5045">
        <v>-0.61460380000000003</v>
      </c>
      <c r="S5045">
        <v>3.5701900000000002</v>
      </c>
      <c r="T5045">
        <v>0.623417</v>
      </c>
      <c r="U5045">
        <v>-0.44494629999999902</v>
      </c>
      <c r="V5045">
        <v>-0.29793709999999901</v>
      </c>
      <c r="W5045">
        <v>-6.6865649999999999E-2</v>
      </c>
      <c r="X5045">
        <v>0.9522408</v>
      </c>
      <c r="Y5045">
        <v>-0.72840090000000002</v>
      </c>
      <c r="Z5045">
        <v>-0.18375559999999999</v>
      </c>
      <c r="AA5045">
        <v>0.66004989999999997</v>
      </c>
      <c r="AB5045">
        <v>19</v>
      </c>
      <c r="AC5045">
        <v>3.5701900000000002</v>
      </c>
      <c r="AD5045">
        <v>0.623417</v>
      </c>
      <c r="AE5045">
        <v>-0.44494629999999902</v>
      </c>
      <c r="AF5045">
        <v>-2.6113313544047698</v>
      </c>
      <c r="AG5045">
        <v>0.623417</v>
      </c>
      <c r="AH5045">
        <v>2.3198149867231499</v>
      </c>
      <c r="AI5045">
        <v>79.880436654480704</v>
      </c>
      <c r="AJ5045">
        <v>138.383237738632</v>
      </c>
      <c r="AK5045">
        <v>3.5481321524165099</v>
      </c>
    </row>
    <row r="5046" spans="1:37" x14ac:dyDescent="0.2">
      <c r="A5046" t="str">
        <f>"20200111160319924"</f>
        <v>20200111160319924</v>
      </c>
      <c r="B5046" t="str">
        <f>"1578729799918379"</f>
        <v>1578729799918379</v>
      </c>
      <c r="C5046" t="s">
        <v>37</v>
      </c>
      <c r="D5046">
        <v>5.1646749999999999</v>
      </c>
      <c r="E5046">
        <v>0.26189839999999998</v>
      </c>
      <c r="F5046" t="s">
        <v>74</v>
      </c>
      <c r="G5046">
        <v>-157.9383</v>
      </c>
      <c r="H5046">
        <v>25.212319999999998</v>
      </c>
      <c r="I5046">
        <v>-70.652479999999997</v>
      </c>
      <c r="J5046">
        <v>-290.30029999999999</v>
      </c>
      <c r="K5046">
        <v>1.108352</v>
      </c>
      <c r="L5046">
        <v>-56.249789999999997</v>
      </c>
      <c r="M5046">
        <v>0.57288899999999998</v>
      </c>
      <c r="N5046">
        <v>0</v>
      </c>
      <c r="O5046">
        <v>-0.81949969999999905</v>
      </c>
      <c r="P5046">
        <v>0.79093219999999997</v>
      </c>
      <c r="Q5046">
        <v>-7.8056799999999996E-2</v>
      </c>
      <c r="R5046">
        <v>-0.60690519999999903</v>
      </c>
      <c r="S5046">
        <v>3.5787049999999998</v>
      </c>
      <c r="T5046">
        <v>0.65114450000000001</v>
      </c>
      <c r="U5046">
        <v>-0.39309690000000003</v>
      </c>
      <c r="V5046">
        <v>-0.29986099999999999</v>
      </c>
      <c r="W5046">
        <v>-6.697409E-2</v>
      </c>
      <c r="X5046">
        <v>0.95162909999999901</v>
      </c>
      <c r="Y5046">
        <v>-0.73109999999999997</v>
      </c>
      <c r="Z5046">
        <v>-0.1916477</v>
      </c>
      <c r="AA5046">
        <v>0.65480070000000001</v>
      </c>
      <c r="AB5046">
        <v>19</v>
      </c>
      <c r="AC5046">
        <v>132.36199999999999</v>
      </c>
      <c r="AD5046">
        <v>24.103967999999998</v>
      </c>
      <c r="AE5046">
        <v>-14.40269</v>
      </c>
      <c r="AF5046">
        <v>-97.049652590954906</v>
      </c>
      <c r="AG5046">
        <v>24.103967999999998</v>
      </c>
      <c r="AH5046">
        <v>84.860045400665797</v>
      </c>
      <c r="AI5046">
        <v>79.409613799937304</v>
      </c>
      <c r="AJ5046">
        <v>138.83360820200099</v>
      </c>
      <c r="AK5046">
        <v>131.152063067163</v>
      </c>
    </row>
    <row r="5047" spans="1:37" x14ac:dyDescent="0.2">
      <c r="A5047" t="str">
        <f>"20200111160319946"</f>
        <v>20200111160319946</v>
      </c>
      <c r="B5047" t="str">
        <f>"1578729799938875"</f>
        <v>1578729799938875</v>
      </c>
      <c r="C5047" t="s">
        <v>37</v>
      </c>
      <c r="D5047">
        <v>5.126036</v>
      </c>
      <c r="E5047">
        <v>0.26444209999999901</v>
      </c>
      <c r="F5047" t="s">
        <v>74</v>
      </c>
      <c r="G5047">
        <v>-157.9383</v>
      </c>
      <c r="H5047">
        <v>26.547529999999998</v>
      </c>
      <c r="I5047">
        <v>-69.791209999999893</v>
      </c>
      <c r="J5047">
        <v>-290.185</v>
      </c>
      <c r="K5047">
        <v>1.1083190000000001</v>
      </c>
      <c r="L5047">
        <v>-56.398679999999999</v>
      </c>
      <c r="M5047">
        <v>0.57926630000000001</v>
      </c>
      <c r="N5047">
        <v>0</v>
      </c>
      <c r="O5047">
        <v>-0.81500450000000002</v>
      </c>
      <c r="P5047">
        <v>0.79477830000000005</v>
      </c>
      <c r="Q5047">
        <v>-8.0541249999999995E-2</v>
      </c>
      <c r="R5047">
        <v>-0.60153199999999996</v>
      </c>
      <c r="S5047">
        <v>3.5798649999999999</v>
      </c>
      <c r="T5047">
        <v>0.6880269</v>
      </c>
      <c r="U5047">
        <v>-0.3662415</v>
      </c>
      <c r="V5047">
        <v>-0.29865940000000002</v>
      </c>
      <c r="W5047">
        <v>-6.9440070000000007E-2</v>
      </c>
      <c r="X5047">
        <v>0.95183009999999901</v>
      </c>
      <c r="Y5047">
        <v>-0.72841480000000003</v>
      </c>
      <c r="Z5047">
        <v>-0.2018374</v>
      </c>
      <c r="AA5047">
        <v>0.65473179999999997</v>
      </c>
      <c r="AB5047">
        <v>19</v>
      </c>
      <c r="AC5047">
        <v>132.2467</v>
      </c>
      <c r="AD5047">
        <v>25.439211</v>
      </c>
      <c r="AE5047">
        <v>-13.392529999999899</v>
      </c>
      <c r="AF5047">
        <v>-96.500176729866297</v>
      </c>
      <c r="AG5047">
        <v>25.439211</v>
      </c>
      <c r="AH5047">
        <v>84.437839191666299</v>
      </c>
      <c r="AI5047">
        <v>78.7786394619975</v>
      </c>
      <c r="AJ5047">
        <v>138.81401277356699</v>
      </c>
      <c r="AK5047">
        <v>130.72561437054199</v>
      </c>
    </row>
    <row r="5048" spans="1:37" x14ac:dyDescent="0.2">
      <c r="A5048" t="str">
        <f>"20200111160319967"</f>
        <v>20200111160319967</v>
      </c>
      <c r="B5048" t="str">
        <f>"1578729799958395"</f>
        <v>1578729799958395</v>
      </c>
      <c r="C5048" t="s">
        <v>37</v>
      </c>
      <c r="D5048">
        <v>5.2018079999999998</v>
      </c>
      <c r="E5048">
        <v>0.26645770000000002</v>
      </c>
      <c r="F5048" t="s">
        <v>74</v>
      </c>
      <c r="G5048">
        <v>-157.9383</v>
      </c>
      <c r="H5048">
        <v>26.632809999999999</v>
      </c>
      <c r="I5048">
        <v>-69.851849999999999</v>
      </c>
      <c r="J5048">
        <v>-290.0752</v>
      </c>
      <c r="K5048">
        <v>1.1083129999999899</v>
      </c>
      <c r="L5048">
        <v>-56.538209999999999</v>
      </c>
      <c r="M5048">
        <v>0.58526210000000001</v>
      </c>
      <c r="N5048">
        <v>0</v>
      </c>
      <c r="O5048">
        <v>-0.81070980000000004</v>
      </c>
      <c r="P5048">
        <v>0.79603599999999997</v>
      </c>
      <c r="Q5048">
        <v>-8.1780930000000002E-2</v>
      </c>
      <c r="R5048">
        <v>-0.59969910000000004</v>
      </c>
      <c r="S5048">
        <v>3.5696110000000001</v>
      </c>
      <c r="T5048">
        <v>0.68895729999999999</v>
      </c>
      <c r="U5048">
        <v>-0.36312870000000003</v>
      </c>
      <c r="V5048">
        <v>-0.29372090000000001</v>
      </c>
      <c r="W5048">
        <v>-7.0609610000000003E-2</v>
      </c>
      <c r="X5048">
        <v>0.95327969999999895</v>
      </c>
      <c r="Y5048">
        <v>-0.72377599999999997</v>
      </c>
      <c r="Z5048">
        <v>-0.20191899999999999</v>
      </c>
      <c r="AA5048">
        <v>0.65983099999999995</v>
      </c>
      <c r="AB5048">
        <v>19</v>
      </c>
      <c r="AC5048">
        <v>132.1369</v>
      </c>
      <c r="AD5048">
        <v>25.524497</v>
      </c>
      <c r="AE5048">
        <v>-13.313639999999999</v>
      </c>
      <c r="AF5048">
        <v>-95.804652578282997</v>
      </c>
      <c r="AG5048">
        <v>25.524497</v>
      </c>
      <c r="AH5048">
        <v>84.998116274878598</v>
      </c>
      <c r="AI5048">
        <v>78.729004999806094</v>
      </c>
      <c r="AJ5048">
        <v>138.420485153687</v>
      </c>
      <c r="AK5048">
        <v>130.59368733987901</v>
      </c>
    </row>
    <row r="5049" spans="1:37" x14ac:dyDescent="0.2">
      <c r="A5049" t="str">
        <f>"20200111160320010"</f>
        <v>20200111160320010</v>
      </c>
      <c r="B5049" t="str">
        <f>"1578729799998411"</f>
        <v>1578729799998411</v>
      </c>
      <c r="C5049" t="s">
        <v>37</v>
      </c>
      <c r="D5049">
        <v>5.1781280000000001</v>
      </c>
      <c r="E5049">
        <v>0.27050229999999997</v>
      </c>
      <c r="F5049" t="s">
        <v>74</v>
      </c>
      <c r="G5049">
        <v>-157.9383</v>
      </c>
      <c r="H5049">
        <v>26.762450000000001</v>
      </c>
      <c r="I5049">
        <v>-70.304289999999995</v>
      </c>
      <c r="J5049">
        <v>-289.85430000000002</v>
      </c>
      <c r="K5049">
        <v>1.1083259999999999</v>
      </c>
      <c r="L5049">
        <v>-56.812440000000002</v>
      </c>
      <c r="M5049">
        <v>0.59712959999999904</v>
      </c>
      <c r="N5049">
        <v>0</v>
      </c>
      <c r="O5049">
        <v>-0.80200869999999902</v>
      </c>
      <c r="P5049">
        <v>0.7985797</v>
      </c>
      <c r="Q5049">
        <v>-8.090203E-2</v>
      </c>
      <c r="R5049">
        <v>-0.59642709999999999</v>
      </c>
      <c r="S5049">
        <v>3.5602719999999999</v>
      </c>
      <c r="T5049">
        <v>0.69121909999999998</v>
      </c>
      <c r="U5049">
        <v>-0.37091059999999998</v>
      </c>
      <c r="V5049">
        <v>-0.28367890000000001</v>
      </c>
      <c r="W5049">
        <v>-6.9598560000000004E-2</v>
      </c>
      <c r="X5049">
        <v>0.95639030000000003</v>
      </c>
      <c r="Y5049">
        <v>-0.71220620000000001</v>
      </c>
      <c r="Z5049">
        <v>-0.20122000000000001</v>
      </c>
      <c r="AA5049">
        <v>0.67251240000000001</v>
      </c>
      <c r="AB5049">
        <v>19</v>
      </c>
      <c r="AC5049">
        <v>131.916</v>
      </c>
      <c r="AD5049">
        <v>25.654123999999999</v>
      </c>
      <c r="AE5049">
        <v>-13.491849999999999</v>
      </c>
      <c r="AF5049">
        <v>-94.225370500875101</v>
      </c>
      <c r="AG5049">
        <v>25.654123999999999</v>
      </c>
      <c r="AH5049">
        <v>86.368676302002797</v>
      </c>
      <c r="AI5049">
        <v>78.6512336844293</v>
      </c>
      <c r="AJ5049">
        <v>137.491066296756</v>
      </c>
      <c r="AK5049">
        <v>130.36910205410899</v>
      </c>
    </row>
    <row r="5050" spans="1:37" x14ac:dyDescent="0.2">
      <c r="A5050" t="str">
        <f>"20200111160320031"</f>
        <v>20200111160320031</v>
      </c>
      <c r="B5050" t="str">
        <f>"1578729800028667"</f>
        <v>1578729800028667</v>
      </c>
      <c r="C5050" t="s">
        <v>37</v>
      </c>
      <c r="D5050">
        <v>5.1869420000000002</v>
      </c>
      <c r="E5050">
        <v>0.27295029999999998</v>
      </c>
      <c r="F5050" t="s">
        <v>43</v>
      </c>
      <c r="G5050">
        <v>0</v>
      </c>
      <c r="H5050">
        <v>0</v>
      </c>
      <c r="I5050">
        <v>0</v>
      </c>
      <c r="J5050">
        <v>-289.73469999999998</v>
      </c>
      <c r="K5050">
        <v>1.108352</v>
      </c>
      <c r="L5050">
        <v>-56.957239999999999</v>
      </c>
      <c r="M5050">
        <v>0.60345629999999995</v>
      </c>
      <c r="N5050">
        <v>0</v>
      </c>
      <c r="O5050">
        <v>-0.79725939999999995</v>
      </c>
      <c r="P5050">
        <v>0.79978359999999904</v>
      </c>
      <c r="Q5050">
        <v>-7.978391E-2</v>
      </c>
      <c r="R5050">
        <v>-0.59496269999999996</v>
      </c>
      <c r="S5050">
        <v>3.5385129999999898</v>
      </c>
      <c r="T5050">
        <v>0.69218659999999999</v>
      </c>
      <c r="U5050">
        <v>-0.3859863</v>
      </c>
      <c r="V5050">
        <v>-0.27796520000000002</v>
      </c>
      <c r="W5050">
        <v>-6.8407540000000003E-2</v>
      </c>
      <c r="X5050">
        <v>0.95815229999999996</v>
      </c>
      <c r="Y5050">
        <v>-0.70335239999999999</v>
      </c>
      <c r="Z5050">
        <v>-0.20133319999999999</v>
      </c>
      <c r="AA5050">
        <v>0.68173339999999905</v>
      </c>
      <c r="AB5050">
        <v>19</v>
      </c>
      <c r="AC5050">
        <v>3.5385129999999898</v>
      </c>
      <c r="AD5050">
        <v>0.69218659999999999</v>
      </c>
      <c r="AE5050">
        <v>-0.3859863</v>
      </c>
      <c r="AF5050">
        <v>-2.4941518360011701</v>
      </c>
      <c r="AG5050">
        <v>0.69218659999999999</v>
      </c>
      <c r="AH5050">
        <v>2.3543065931345</v>
      </c>
      <c r="AI5050">
        <v>78.590097824135896</v>
      </c>
      <c r="AJ5050">
        <v>136.65213777992801</v>
      </c>
      <c r="AK5050">
        <v>3.49895344420645</v>
      </c>
    </row>
    <row r="5051" spans="1:37" x14ac:dyDescent="0.2">
      <c r="A5051" t="str">
        <f>"20200111160320055"</f>
        <v>20200111160320055</v>
      </c>
      <c r="B5051" t="str">
        <f>"1578729800048187"</f>
        <v>1578729800048187</v>
      </c>
      <c r="C5051" t="s">
        <v>37</v>
      </c>
      <c r="D5051">
        <v>5.206169</v>
      </c>
      <c r="E5051">
        <v>0.27421780000000001</v>
      </c>
      <c r="F5051" t="s">
        <v>43</v>
      </c>
      <c r="G5051">
        <v>0</v>
      </c>
      <c r="H5051">
        <v>0</v>
      </c>
      <c r="I5051">
        <v>0</v>
      </c>
      <c r="J5051">
        <v>-289.60989999999998</v>
      </c>
      <c r="K5051">
        <v>1.1083719999999999</v>
      </c>
      <c r="L5051">
        <v>-57.105800000000002</v>
      </c>
      <c r="M5051">
        <v>0.60998339999999995</v>
      </c>
      <c r="N5051">
        <v>0</v>
      </c>
      <c r="O5051">
        <v>-0.7922766</v>
      </c>
      <c r="P5051">
        <v>0.80207759999999995</v>
      </c>
      <c r="Q5051">
        <v>-7.6547909999999997E-2</v>
      </c>
      <c r="R5051">
        <v>-0.59229370000000003</v>
      </c>
      <c r="S5051">
        <v>3.5257869999999998</v>
      </c>
      <c r="T5051">
        <v>0.68768200000000002</v>
      </c>
      <c r="U5051">
        <v>-0.39498899999999998</v>
      </c>
      <c r="V5051">
        <v>-0.273572599999999</v>
      </c>
      <c r="W5051">
        <v>-6.5113710000000005E-2</v>
      </c>
      <c r="X5051">
        <v>0.95964490000000002</v>
      </c>
      <c r="Y5051">
        <v>-0.69596429999999998</v>
      </c>
      <c r="Z5051">
        <v>-0.19953589999999999</v>
      </c>
      <c r="AA5051">
        <v>0.68979639999999998</v>
      </c>
      <c r="AB5051">
        <v>19</v>
      </c>
      <c r="AC5051">
        <v>3.5257869999999998</v>
      </c>
      <c r="AD5051">
        <v>0.68768200000000002</v>
      </c>
      <c r="AE5051">
        <v>-0.39498899999999998</v>
      </c>
      <c r="AF5051">
        <v>-2.4603053161516102</v>
      </c>
      <c r="AG5051">
        <v>0.68768200000000002</v>
      </c>
      <c r="AH5051">
        <v>2.3746635105852198</v>
      </c>
      <c r="AI5051">
        <v>78.628744995887303</v>
      </c>
      <c r="AJ5051">
        <v>136.01477405525901</v>
      </c>
      <c r="AK5051">
        <v>3.48784110451047</v>
      </c>
    </row>
    <row r="5052" spans="1:37" x14ac:dyDescent="0.2">
      <c r="A5052" t="str">
        <f>"20200111160320079"</f>
        <v>20200111160320079</v>
      </c>
      <c r="B5052" t="str">
        <f>"1578729800068683"</f>
        <v>1578729800068683</v>
      </c>
      <c r="C5052" t="s">
        <v>37</v>
      </c>
      <c r="D5052">
        <v>5.1940150000000003</v>
      </c>
      <c r="E5052">
        <v>0.27535290000000001</v>
      </c>
      <c r="F5052" t="s">
        <v>43</v>
      </c>
      <c r="G5052">
        <v>0</v>
      </c>
      <c r="H5052">
        <v>0</v>
      </c>
      <c r="I5052">
        <v>0</v>
      </c>
      <c r="J5052">
        <v>-289.48180000000002</v>
      </c>
      <c r="K5052">
        <v>1.1084039999999999</v>
      </c>
      <c r="L5052">
        <v>-57.255710000000001</v>
      </c>
      <c r="M5052">
        <v>0.61662530000000004</v>
      </c>
      <c r="N5052">
        <v>0</v>
      </c>
      <c r="O5052">
        <v>-0.7871184</v>
      </c>
      <c r="P5052">
        <v>0.80553129999999995</v>
      </c>
      <c r="Q5052">
        <v>-7.3746899999999893E-2</v>
      </c>
      <c r="R5052">
        <v>-0.58794619999999997</v>
      </c>
      <c r="S5052">
        <v>3.5186459999999999</v>
      </c>
      <c r="T5052">
        <v>0.69863549999999996</v>
      </c>
      <c r="U5052">
        <v>-0.39038089999999998</v>
      </c>
      <c r="V5052">
        <v>-0.27092670000000002</v>
      </c>
      <c r="W5052">
        <v>-6.2282669999999998E-2</v>
      </c>
      <c r="X5052">
        <v>0.96058299999999996</v>
      </c>
      <c r="Y5052">
        <v>-0.69009409999999904</v>
      </c>
      <c r="Z5052">
        <v>-0.20202819999999999</v>
      </c>
      <c r="AA5052">
        <v>0.6949495</v>
      </c>
      <c r="AB5052">
        <v>19</v>
      </c>
      <c r="AC5052">
        <v>3.5186459999999999</v>
      </c>
      <c r="AD5052">
        <v>0.69863549999999996</v>
      </c>
      <c r="AE5052">
        <v>-0.39038089999999998</v>
      </c>
      <c r="AF5052">
        <v>-2.4343454161089699</v>
      </c>
      <c r="AG5052">
        <v>0.69863549999999996</v>
      </c>
      <c r="AH5052">
        <v>2.38437563251233</v>
      </c>
      <c r="AI5052">
        <v>78.4134033412505</v>
      </c>
      <c r="AJ5052">
        <v>135.59413173212101</v>
      </c>
      <c r="AK5052">
        <v>3.4784157778663598</v>
      </c>
    </row>
    <row r="5053" spans="1:37" x14ac:dyDescent="0.2">
      <c r="A5053" t="str">
        <f>"20200111160320105"</f>
        <v>20200111160320105</v>
      </c>
      <c r="B5053" t="str">
        <f>"1578729800097963"</f>
        <v>1578729800097963</v>
      </c>
      <c r="C5053" t="s">
        <v>37</v>
      </c>
      <c r="D5053">
        <v>5.3165469999999999</v>
      </c>
      <c r="E5053">
        <v>0.27744449999999998</v>
      </c>
      <c r="F5053" t="s">
        <v>43</v>
      </c>
      <c r="G5053">
        <v>0</v>
      </c>
      <c r="H5053">
        <v>0</v>
      </c>
      <c r="I5053">
        <v>0</v>
      </c>
      <c r="J5053">
        <v>-289.33260000000001</v>
      </c>
      <c r="K5053">
        <v>1.1084419999999999</v>
      </c>
      <c r="L5053">
        <v>-57.427030000000002</v>
      </c>
      <c r="M5053">
        <v>0.62430319999999995</v>
      </c>
      <c r="N5053">
        <v>0</v>
      </c>
      <c r="O5053">
        <v>-0.78104269999999998</v>
      </c>
      <c r="P5053">
        <v>0.81020519999999996</v>
      </c>
      <c r="Q5053">
        <v>-7.1338449999999998E-2</v>
      </c>
      <c r="R5053">
        <v>-0.58178929999999995</v>
      </c>
      <c r="S5053">
        <v>3.5133359999999998</v>
      </c>
      <c r="T5053">
        <v>0.70635199999999998</v>
      </c>
      <c r="U5053">
        <v>-0.37753300000000001</v>
      </c>
      <c r="V5053">
        <v>-0.26903319999999997</v>
      </c>
      <c r="W5053">
        <v>-5.9861820000000003E-2</v>
      </c>
      <c r="X5053">
        <v>0.96126880000000003</v>
      </c>
      <c r="Y5053">
        <v>-0.68508970000000002</v>
      </c>
      <c r="Z5053">
        <v>-0.20351569999999999</v>
      </c>
      <c r="AA5053">
        <v>0.69945219999999997</v>
      </c>
      <c r="AB5053">
        <v>19</v>
      </c>
      <c r="AC5053">
        <v>3.5133359999999998</v>
      </c>
      <c r="AD5053">
        <v>0.70635199999999998</v>
      </c>
      <c r="AE5053">
        <v>-0.37753300000000001</v>
      </c>
      <c r="AF5053">
        <v>-2.4122519171491601</v>
      </c>
      <c r="AG5053">
        <v>0.70635199999999998</v>
      </c>
      <c r="AH5053">
        <v>2.3929085957702698</v>
      </c>
      <c r="AI5053">
        <v>78.256290151462593</v>
      </c>
      <c r="AJ5053">
        <v>135.23064467613</v>
      </c>
      <c r="AK5053">
        <v>3.4704328270988198</v>
      </c>
    </row>
    <row r="5054" spans="1:37" x14ac:dyDescent="0.2">
      <c r="A5054" t="str">
        <f>"20200111160320128"</f>
        <v>20200111160320128</v>
      </c>
      <c r="B5054" t="str">
        <f>"1578729800118459"</f>
        <v>1578729800118459</v>
      </c>
      <c r="C5054" t="s">
        <v>37</v>
      </c>
      <c r="D5054">
        <v>5.3768839999999898</v>
      </c>
      <c r="E5054">
        <v>0.27880429999999901</v>
      </c>
      <c r="F5054" t="s">
        <v>74</v>
      </c>
      <c r="G5054">
        <v>-157.9383</v>
      </c>
      <c r="H5054">
        <v>26.991669999999999</v>
      </c>
      <c r="I5054">
        <v>-71.031329999999997</v>
      </c>
      <c r="J5054">
        <v>-289.21280000000002</v>
      </c>
      <c r="K5054">
        <v>1.108487</v>
      </c>
      <c r="L5054">
        <v>-57.562159999999999</v>
      </c>
      <c r="M5054">
        <v>0.63043819999999995</v>
      </c>
      <c r="N5054">
        <v>0</v>
      </c>
      <c r="O5054">
        <v>-0.77609910000000004</v>
      </c>
      <c r="P5054">
        <v>0.81492489999999995</v>
      </c>
      <c r="Q5054">
        <v>-6.953231E-2</v>
      </c>
      <c r="R5054">
        <v>-0.57538120000000004</v>
      </c>
      <c r="S5054">
        <v>3.503082</v>
      </c>
      <c r="T5054">
        <v>0.69006730000000005</v>
      </c>
      <c r="U5054">
        <v>-0.36270140000000001</v>
      </c>
      <c r="V5054">
        <v>-0.26917529999999901</v>
      </c>
      <c r="W5054">
        <v>-5.8073989999999999E-2</v>
      </c>
      <c r="X5054">
        <v>0.96133869999999899</v>
      </c>
      <c r="Y5054">
        <v>-0.68324469999999904</v>
      </c>
      <c r="Z5054">
        <v>-0.19891449999999999</v>
      </c>
      <c r="AA5054">
        <v>0.70257360000000002</v>
      </c>
      <c r="AB5054">
        <v>19</v>
      </c>
      <c r="AC5054">
        <v>131.27449999999999</v>
      </c>
      <c r="AD5054">
        <v>25.883182999999999</v>
      </c>
      <c r="AE5054">
        <v>-13.46917</v>
      </c>
      <c r="AF5054">
        <v>-89.9406648726263</v>
      </c>
      <c r="AG5054">
        <v>25.883182999999999</v>
      </c>
      <c r="AH5054">
        <v>89.770519375085499</v>
      </c>
      <c r="AI5054">
        <v>78.4872407863879</v>
      </c>
      <c r="AJ5054">
        <v>135.05424601724201</v>
      </c>
      <c r="AK5054">
        <v>129.684264692422</v>
      </c>
    </row>
    <row r="5055" spans="1:37" x14ac:dyDescent="0.2">
      <c r="A5055" t="str">
        <f>"20200111160320151"</f>
        <v>20200111160320151</v>
      </c>
      <c r="B5055" t="str">
        <f>"1578729800148715"</f>
        <v>1578729800148715</v>
      </c>
      <c r="C5055" t="s">
        <v>37</v>
      </c>
      <c r="D5055">
        <v>5.28904</v>
      </c>
      <c r="E5055">
        <v>0.27927990000000003</v>
      </c>
      <c r="F5055" t="s">
        <v>74</v>
      </c>
      <c r="G5055">
        <v>-157.93819999999999</v>
      </c>
      <c r="H5055">
        <v>26.418659999999999</v>
      </c>
      <c r="I5055">
        <v>-70.424059999999997</v>
      </c>
      <c r="J5055">
        <v>-289.0849</v>
      </c>
      <c r="K5055">
        <v>1.1085320000000001</v>
      </c>
      <c r="L5055">
        <v>-57.703609999999998</v>
      </c>
      <c r="M5055">
        <v>0.63694729999999999</v>
      </c>
      <c r="N5055">
        <v>0</v>
      </c>
      <c r="O5055">
        <v>-0.77076599999999995</v>
      </c>
      <c r="P5055">
        <v>0.82031100000000001</v>
      </c>
      <c r="Q5055">
        <v>-6.7667060000000001E-2</v>
      </c>
      <c r="R5055">
        <v>-0.56790079999999998</v>
      </c>
      <c r="S5055">
        <v>3.4969480000000002</v>
      </c>
      <c r="T5055">
        <v>0.67422249999999995</v>
      </c>
      <c r="U5055">
        <v>-0.3426208</v>
      </c>
      <c r="V5055">
        <v>-0.27001310000000001</v>
      </c>
      <c r="W5055">
        <v>-5.6242880000000002E-2</v>
      </c>
      <c r="X5055">
        <v>0.96121259999999997</v>
      </c>
      <c r="Y5055">
        <v>-0.68214949999999996</v>
      </c>
      <c r="Z5055">
        <v>-0.1942615</v>
      </c>
      <c r="AA5055">
        <v>0.7049358</v>
      </c>
      <c r="AB5055">
        <v>19</v>
      </c>
      <c r="AC5055">
        <v>131.14670000000001</v>
      </c>
      <c r="AD5055">
        <v>25.310127999999999</v>
      </c>
      <c r="AE5055">
        <v>-12.72045</v>
      </c>
      <c r="AF5055">
        <v>-89.682167044143299</v>
      </c>
      <c r="AG5055">
        <v>25.310127999999999</v>
      </c>
      <c r="AH5055">
        <v>90.026371105086795</v>
      </c>
      <c r="AI5055">
        <v>78.735399197324199</v>
      </c>
      <c r="AJ5055">
        <v>134.89025888213101</v>
      </c>
      <c r="AK5055">
        <v>129.56944531586399</v>
      </c>
    </row>
    <row r="5056" spans="1:37" x14ac:dyDescent="0.2">
      <c r="A5056" t="str">
        <f>"20200111160320170"</f>
        <v>20200111160320170</v>
      </c>
      <c r="B5056" t="str">
        <f>"1578729800158475"</f>
        <v>1578729800158475</v>
      </c>
      <c r="C5056" t="s">
        <v>37</v>
      </c>
      <c r="D5056">
        <v>5.3533289999999996</v>
      </c>
      <c r="E5056">
        <v>0.27902959999999999</v>
      </c>
      <c r="F5056" t="s">
        <v>74</v>
      </c>
      <c r="G5056">
        <v>-157.9383</v>
      </c>
      <c r="H5056">
        <v>26.192979999999999</v>
      </c>
      <c r="I5056">
        <v>-69.415719999999993</v>
      </c>
      <c r="J5056">
        <v>-288.97840000000002</v>
      </c>
      <c r="K5056">
        <v>1.1085879999999999</v>
      </c>
      <c r="L5056">
        <v>-57.819580000000002</v>
      </c>
      <c r="M5056">
        <v>0.64234969999999902</v>
      </c>
      <c r="N5056">
        <v>0</v>
      </c>
      <c r="O5056">
        <v>-0.76626939999999999</v>
      </c>
      <c r="P5056">
        <v>0.82602070000000005</v>
      </c>
      <c r="Q5056">
        <v>-6.6797159999999994E-2</v>
      </c>
      <c r="R5056">
        <v>-0.55966769999999999</v>
      </c>
      <c r="S5056">
        <v>3.4961549999999999</v>
      </c>
      <c r="T5056">
        <v>0.6687092</v>
      </c>
      <c r="U5056">
        <v>-0.31222529999999998</v>
      </c>
      <c r="V5056">
        <v>-0.2729241</v>
      </c>
      <c r="W5056">
        <v>-5.543584E-2</v>
      </c>
      <c r="X5056">
        <v>0.96043709999999904</v>
      </c>
      <c r="Y5056">
        <v>-0.68352500000000005</v>
      </c>
      <c r="Z5056">
        <v>-0.192608</v>
      </c>
      <c r="AA5056">
        <v>0.70405660000000003</v>
      </c>
      <c r="AB5056">
        <v>19</v>
      </c>
      <c r="AC5056">
        <v>131.0401</v>
      </c>
      <c r="AD5056">
        <v>25.084392000000001</v>
      </c>
      <c r="AE5056">
        <v>-11.596139999999901</v>
      </c>
      <c r="AF5056">
        <v>-89.7115638429282</v>
      </c>
      <c r="AG5056">
        <v>25.084392000000001</v>
      </c>
      <c r="AH5056">
        <v>89.804297052984097</v>
      </c>
      <c r="AI5056">
        <v>78.821627968993894</v>
      </c>
      <c r="AJ5056">
        <v>134.97040249781901</v>
      </c>
      <c r="AK5056">
        <v>129.39166579936301</v>
      </c>
    </row>
    <row r="5057" spans="1:37" x14ac:dyDescent="0.2">
      <c r="A5057" t="str">
        <f>"20200111160320188"</f>
        <v>20200111160320188</v>
      </c>
      <c r="B5057" t="str">
        <f>"1578729800177995"</f>
        <v>1578729800177995</v>
      </c>
      <c r="C5057" t="s">
        <v>37</v>
      </c>
      <c r="D5057">
        <v>5.3569290000000001</v>
      </c>
      <c r="E5057">
        <v>0.27842519999999998</v>
      </c>
      <c r="F5057" t="s">
        <v>74</v>
      </c>
      <c r="G5057">
        <v>-157.4066</v>
      </c>
      <c r="H5057">
        <v>26.35322</v>
      </c>
      <c r="I5057">
        <v>-68.182950000000005</v>
      </c>
      <c r="J5057">
        <v>-288.87090000000001</v>
      </c>
      <c r="K5057">
        <v>1.108635</v>
      </c>
      <c r="L5057">
        <v>-57.934780000000003</v>
      </c>
      <c r="M5057">
        <v>0.64777079999999998</v>
      </c>
      <c r="N5057">
        <v>0</v>
      </c>
      <c r="O5057">
        <v>-0.76169200000000004</v>
      </c>
      <c r="P5057">
        <v>0.83226679999999997</v>
      </c>
      <c r="Q5057">
        <v>-6.4500089999999996E-2</v>
      </c>
      <c r="R5057">
        <v>-0.55061079999999996</v>
      </c>
      <c r="S5057">
        <v>3.49941999999999</v>
      </c>
      <c r="T5057">
        <v>0.67143180000000002</v>
      </c>
      <c r="U5057">
        <v>-0.27563480000000001</v>
      </c>
      <c r="V5057">
        <v>-0.27675259999999902</v>
      </c>
      <c r="W5057">
        <v>-5.3210920000000002E-2</v>
      </c>
      <c r="X5057">
        <v>0.95946679999999995</v>
      </c>
      <c r="Y5057">
        <v>-0.68564799999999904</v>
      </c>
      <c r="Z5057">
        <v>-0.19314400000000001</v>
      </c>
      <c r="AA5057">
        <v>0.70184209999999903</v>
      </c>
      <c r="AB5057">
        <v>19</v>
      </c>
      <c r="AC5057">
        <v>131.46430000000001</v>
      </c>
      <c r="AD5057">
        <v>25.244585000000001</v>
      </c>
      <c r="AE5057">
        <v>-10.24817</v>
      </c>
      <c r="AF5057">
        <v>-90.201058452550498</v>
      </c>
      <c r="AG5057">
        <v>25.244585000000001</v>
      </c>
      <c r="AH5057">
        <v>89.687660640457693</v>
      </c>
      <c r="AI5057">
        <v>78.774819849035396</v>
      </c>
      <c r="AJ5057">
        <v>135.163520248118</v>
      </c>
      <c r="AK5057">
        <v>129.681905017394</v>
      </c>
    </row>
    <row r="5058" spans="1:37" x14ac:dyDescent="0.2">
      <c r="A5058" t="str">
        <f>"20200111160320212"</f>
        <v>20200111160320212</v>
      </c>
      <c r="B5058" t="str">
        <f>"1578729800208251"</f>
        <v>1578729800208251</v>
      </c>
      <c r="C5058" t="s">
        <v>37</v>
      </c>
      <c r="D5058">
        <v>5.3240489999999996</v>
      </c>
      <c r="E5058">
        <v>0.27776220000000001</v>
      </c>
      <c r="F5058" t="s">
        <v>74</v>
      </c>
      <c r="G5058">
        <v>-157.3501</v>
      </c>
      <c r="H5058">
        <v>26.445219999999999</v>
      </c>
      <c r="I5058">
        <v>-66.659530000000004</v>
      </c>
      <c r="J5058">
        <v>-288.74299999999999</v>
      </c>
      <c r="K5058">
        <v>1.10867</v>
      </c>
      <c r="L5058">
        <v>-58.069429999999997</v>
      </c>
      <c r="M5058">
        <v>0.65418390000000004</v>
      </c>
      <c r="N5058">
        <v>0</v>
      </c>
      <c r="O5058">
        <v>-0.7561911</v>
      </c>
      <c r="P5058">
        <v>0.83949629999999997</v>
      </c>
      <c r="Q5058">
        <v>-6.1951340000000001E-2</v>
      </c>
      <c r="R5058">
        <v>-0.53982220000000003</v>
      </c>
      <c r="S5058">
        <v>3.503174</v>
      </c>
      <c r="T5058">
        <v>0.67486159999999995</v>
      </c>
      <c r="U5058">
        <v>-0.232391399999999</v>
      </c>
      <c r="V5058">
        <v>-0.28119119999999997</v>
      </c>
      <c r="W5058">
        <v>-5.07407E-2</v>
      </c>
      <c r="X5058">
        <v>0.95830939999999998</v>
      </c>
      <c r="Y5058">
        <v>-0.68809030000000004</v>
      </c>
      <c r="Z5058">
        <v>-0.19379640000000001</v>
      </c>
      <c r="AA5058">
        <v>0.69926730000000004</v>
      </c>
      <c r="AB5058">
        <v>19</v>
      </c>
      <c r="AC5058">
        <v>131.3929</v>
      </c>
      <c r="AD5058">
        <v>25.336549999999999</v>
      </c>
      <c r="AE5058">
        <v>-8.5900999999999996</v>
      </c>
      <c r="AF5058">
        <v>-90.401723453508893</v>
      </c>
      <c r="AG5058">
        <v>25.336549999999999</v>
      </c>
      <c r="AH5058">
        <v>89.159805645376395</v>
      </c>
      <c r="AI5058">
        <v>78.715188691122407</v>
      </c>
      <c r="AJ5058">
        <v>135.39627371559001</v>
      </c>
      <c r="AK5058">
        <v>129.47541585949199</v>
      </c>
    </row>
    <row r="5059" spans="1:37" x14ac:dyDescent="0.2">
      <c r="A5059" t="str">
        <f>"20200111160320233"</f>
        <v>20200111160320233</v>
      </c>
      <c r="B5059" t="str">
        <f>"1578729800228747"</f>
        <v>1578729800228747</v>
      </c>
      <c r="C5059" t="s">
        <v>37</v>
      </c>
      <c r="D5059">
        <v>5.4008279999999997</v>
      </c>
      <c r="E5059">
        <v>0.27745809999999999</v>
      </c>
      <c r="F5059" t="s">
        <v>74</v>
      </c>
      <c r="G5059">
        <v>-157.3501</v>
      </c>
      <c r="H5059">
        <v>26.734929999999999</v>
      </c>
      <c r="I5059">
        <v>-64.838840000000005</v>
      </c>
      <c r="J5059">
        <v>-288.6198</v>
      </c>
      <c r="K5059">
        <v>1.1087049999999901</v>
      </c>
      <c r="L5059">
        <v>-58.196869999999997</v>
      </c>
      <c r="M5059">
        <v>0.66032939999999996</v>
      </c>
      <c r="N5059">
        <v>0</v>
      </c>
      <c r="O5059">
        <v>-0.75083049999999996</v>
      </c>
      <c r="P5059">
        <v>0.84622600000000003</v>
      </c>
      <c r="Q5059">
        <v>-6.1550970000000003E-2</v>
      </c>
      <c r="R5059">
        <v>-0.52925739999999999</v>
      </c>
      <c r="S5059">
        <v>3.5078429999999998</v>
      </c>
      <c r="T5059">
        <v>0.68415209999999904</v>
      </c>
      <c r="U5059">
        <v>-0.1807251</v>
      </c>
      <c r="V5059">
        <v>-0.28540409999999999</v>
      </c>
      <c r="W5059">
        <v>-5.0413819999999998E-2</v>
      </c>
      <c r="X5059">
        <v>0.95708040000000005</v>
      </c>
      <c r="Y5059">
        <v>-0.69197759999999997</v>
      </c>
      <c r="Z5059">
        <v>-0.19620969999999999</v>
      </c>
      <c r="AA5059">
        <v>0.69474369999999996</v>
      </c>
      <c r="AB5059">
        <v>19</v>
      </c>
      <c r="AC5059">
        <v>131.2697</v>
      </c>
      <c r="AD5059">
        <v>25.626225000000002</v>
      </c>
      <c r="AE5059">
        <v>-6.6419699999999997</v>
      </c>
      <c r="AF5059">
        <v>-90.736553195177905</v>
      </c>
      <c r="AG5059">
        <v>25.626225000000002</v>
      </c>
      <c r="AH5059">
        <v>88.320933019834598</v>
      </c>
      <c r="AI5059">
        <v>78.559007505464194</v>
      </c>
      <c r="AJ5059">
        <v>135.7729162752</v>
      </c>
      <c r="AK5059">
        <v>129.19138014196599</v>
      </c>
    </row>
    <row r="5060" spans="1:37" x14ac:dyDescent="0.2">
      <c r="A5060" t="str">
        <f>"20200111160320256"</f>
        <v>20200111160320256</v>
      </c>
      <c r="B5060" t="str">
        <f>"1578729800248268"</f>
        <v>1578729800248268</v>
      </c>
      <c r="C5060" t="s">
        <v>37</v>
      </c>
      <c r="D5060">
        <v>5.5116559999999897</v>
      </c>
      <c r="E5060">
        <v>0.27730479999999902</v>
      </c>
      <c r="F5060" t="s">
        <v>74</v>
      </c>
      <c r="G5060">
        <v>-157.3501</v>
      </c>
      <c r="H5060">
        <v>26.863099999999999</v>
      </c>
      <c r="I5060">
        <v>-63.25891</v>
      </c>
      <c r="J5060">
        <v>-288.48860000000002</v>
      </c>
      <c r="K5060">
        <v>1.1087199999999999</v>
      </c>
      <c r="L5060">
        <v>-58.330259999999903</v>
      </c>
      <c r="M5060">
        <v>0.66683239999999999</v>
      </c>
      <c r="N5060">
        <v>0</v>
      </c>
      <c r="O5060">
        <v>-0.74506090000000003</v>
      </c>
      <c r="P5060">
        <v>0.85315069999999904</v>
      </c>
      <c r="Q5060">
        <v>-6.2958959999999994E-2</v>
      </c>
      <c r="R5060">
        <v>-0.51785150000000002</v>
      </c>
      <c r="S5060">
        <v>3.5105900000000001</v>
      </c>
      <c r="T5060">
        <v>0.68875739999999996</v>
      </c>
      <c r="U5060">
        <v>-0.135376</v>
      </c>
      <c r="V5060">
        <v>-0.28982849999999999</v>
      </c>
      <c r="W5060">
        <v>-5.1896440000000002E-2</v>
      </c>
      <c r="X5060">
        <v>0.95567049999999998</v>
      </c>
      <c r="Y5060">
        <v>-0.69452700000000001</v>
      </c>
      <c r="Z5060">
        <v>-0.19716349999999999</v>
      </c>
      <c r="AA5060">
        <v>0.69192399999999998</v>
      </c>
      <c r="AB5060">
        <v>19</v>
      </c>
      <c r="AC5060">
        <v>131.13849999999999</v>
      </c>
      <c r="AD5060">
        <v>25.754379999999902</v>
      </c>
      <c r="AE5060">
        <v>-4.9286500000000002</v>
      </c>
      <c r="AF5060">
        <v>-90.927840256203794</v>
      </c>
      <c r="AG5060">
        <v>25.754379999999902</v>
      </c>
      <c r="AH5060">
        <v>87.749839312675306</v>
      </c>
      <c r="AI5060">
        <v>78.480279416544903</v>
      </c>
      <c r="AJ5060">
        <v>136.01896803495799</v>
      </c>
      <c r="AK5060">
        <v>128.96198867202</v>
      </c>
    </row>
    <row r="5061" spans="1:37" x14ac:dyDescent="0.2">
      <c r="A5061" t="str">
        <f>"20200111160320277"</f>
        <v>20200111160320277</v>
      </c>
      <c r="B5061" t="str">
        <f>"1578729800268763"</f>
        <v>1578729800268763</v>
      </c>
      <c r="C5061" t="s">
        <v>37</v>
      </c>
      <c r="D5061">
        <v>5.3753640000000003</v>
      </c>
      <c r="E5061">
        <v>0.27772170000000002</v>
      </c>
      <c r="F5061" t="s">
        <v>74</v>
      </c>
      <c r="G5061">
        <v>-157.3501</v>
      </c>
      <c r="H5061">
        <v>26.58352</v>
      </c>
      <c r="I5061">
        <v>-61.630479999999999</v>
      </c>
      <c r="J5061">
        <v>-288.36660000000001</v>
      </c>
      <c r="K5061">
        <v>1.108724</v>
      </c>
      <c r="L5061">
        <v>-58.452089999999998</v>
      </c>
      <c r="M5061">
        <v>0.67282769999999903</v>
      </c>
      <c r="N5061">
        <v>0</v>
      </c>
      <c r="O5061">
        <v>-0.73965139999999996</v>
      </c>
      <c r="P5061">
        <v>0.86011579999999999</v>
      </c>
      <c r="Q5061">
        <v>-6.5321779999999996E-2</v>
      </c>
      <c r="R5061">
        <v>-0.50589919999999999</v>
      </c>
      <c r="S5061">
        <v>3.5130620000000001</v>
      </c>
      <c r="T5061">
        <v>0.68244209999999905</v>
      </c>
      <c r="U5061">
        <v>-8.8409420000000002E-2</v>
      </c>
      <c r="V5061">
        <v>-0.29527589999999998</v>
      </c>
      <c r="W5061">
        <v>-5.4347659999999999E-2</v>
      </c>
      <c r="X5061">
        <v>0.95386499999999996</v>
      </c>
      <c r="Y5061">
        <v>-0.69854139999999998</v>
      </c>
      <c r="Z5061">
        <v>-0.19522490000000001</v>
      </c>
      <c r="AA5061">
        <v>0.68842369999999997</v>
      </c>
      <c r="AB5061">
        <v>19</v>
      </c>
      <c r="AC5061">
        <v>131.01650000000001</v>
      </c>
      <c r="AD5061">
        <v>25.474796000000001</v>
      </c>
      <c r="AE5061">
        <v>-3.1783899999999998</v>
      </c>
      <c r="AF5061">
        <v>-91.327622532475104</v>
      </c>
      <c r="AG5061">
        <v>25.474796000000001</v>
      </c>
      <c r="AH5061">
        <v>87.216880601031903</v>
      </c>
      <c r="AI5061">
        <v>78.594952026772305</v>
      </c>
      <c r="AJ5061">
        <v>136.31892360505401</v>
      </c>
      <c r="AK5061">
        <v>128.82734232471901</v>
      </c>
    </row>
    <row r="5062" spans="1:37" x14ac:dyDescent="0.2">
      <c r="A5062" t="str">
        <f>"20200111160320299"</f>
        <v>20200111160320299</v>
      </c>
      <c r="B5062" t="str">
        <f>"1578729800288283"</f>
        <v>1578729800288283</v>
      </c>
      <c r="C5062" t="s">
        <v>37</v>
      </c>
      <c r="D5062">
        <v>5.3951699999999896</v>
      </c>
      <c r="E5062">
        <v>0.27827279999999999</v>
      </c>
      <c r="F5062" t="s">
        <v>74</v>
      </c>
      <c r="G5062">
        <v>-157.3501</v>
      </c>
      <c r="H5062">
        <v>25.54082</v>
      </c>
      <c r="I5062">
        <v>-59.9929699999999</v>
      </c>
      <c r="J5062">
        <v>-288.23489999999998</v>
      </c>
      <c r="K5062">
        <v>1.108719</v>
      </c>
      <c r="L5062">
        <v>-58.581419999999902</v>
      </c>
      <c r="M5062">
        <v>0.6792475</v>
      </c>
      <c r="N5062">
        <v>0</v>
      </c>
      <c r="O5062">
        <v>-0.73376030000000003</v>
      </c>
      <c r="P5062">
        <v>0.86724820000000002</v>
      </c>
      <c r="Q5062">
        <v>-6.7640800000000001E-2</v>
      </c>
      <c r="R5062">
        <v>-0.49325989999999997</v>
      </c>
      <c r="S5062">
        <v>3.5133669999999899</v>
      </c>
      <c r="T5062">
        <v>0.65517510000000001</v>
      </c>
      <c r="U5062">
        <v>-4.1320799999999998E-2</v>
      </c>
      <c r="V5062">
        <v>-0.30075409999999902</v>
      </c>
      <c r="W5062">
        <v>-5.6755840000000002E-2</v>
      </c>
      <c r="X5062">
        <v>0.95201139999999995</v>
      </c>
      <c r="Y5062">
        <v>-0.7035093</v>
      </c>
      <c r="Z5062">
        <v>-0.18752369999999999</v>
      </c>
      <c r="AA5062">
        <v>0.68549950000000004</v>
      </c>
      <c r="AB5062">
        <v>19</v>
      </c>
      <c r="AC5062">
        <v>130.88479999999899</v>
      </c>
      <c r="AD5062">
        <v>24.432100999999999</v>
      </c>
      <c r="AE5062">
        <v>-1.4115499999999901</v>
      </c>
      <c r="AF5062">
        <v>-91.888183292638502</v>
      </c>
      <c r="AG5062">
        <v>24.432100999999999</v>
      </c>
      <c r="AH5062">
        <v>86.920340876718896</v>
      </c>
      <c r="AI5062">
        <v>79.067318395588202</v>
      </c>
      <c r="AJ5062">
        <v>136.59144091315801</v>
      </c>
      <c r="AK5062">
        <v>128.82356712271499</v>
      </c>
    </row>
    <row r="5063" spans="1:37" x14ac:dyDescent="0.2">
      <c r="A5063" t="str">
        <f>"20200111160320322"</f>
        <v>20200111160320322</v>
      </c>
      <c r="B5063" t="str">
        <f>"1578729800318539"</f>
        <v>1578729800318539</v>
      </c>
      <c r="C5063" t="s">
        <v>37</v>
      </c>
      <c r="D5063">
        <v>5.3803239999999999</v>
      </c>
      <c r="E5063">
        <v>0.29397779999999901</v>
      </c>
      <c r="F5063" t="s">
        <v>74</v>
      </c>
      <c r="G5063">
        <v>-157.3501</v>
      </c>
      <c r="H5063">
        <v>24.40156</v>
      </c>
      <c r="I5063">
        <v>-58.286900000000003</v>
      </c>
      <c r="J5063">
        <v>-288.10550000000001</v>
      </c>
      <c r="K5063">
        <v>1.108716</v>
      </c>
      <c r="L5063">
        <v>-58.706150000000001</v>
      </c>
      <c r="M5063">
        <v>0.68548819999999999</v>
      </c>
      <c r="N5063">
        <v>0</v>
      </c>
      <c r="O5063">
        <v>-0.72793350000000001</v>
      </c>
      <c r="P5063">
        <v>0.87393980000000004</v>
      </c>
      <c r="Q5063">
        <v>-6.9051130000000002E-2</v>
      </c>
      <c r="R5063">
        <v>-0.48110439999999999</v>
      </c>
      <c r="S5063">
        <v>3.5124819999999999</v>
      </c>
      <c r="T5063">
        <v>0.62509579999999998</v>
      </c>
      <c r="U5063">
        <v>7.9040529999999994E-3</v>
      </c>
      <c r="V5063">
        <v>-0.30581009999999997</v>
      </c>
      <c r="W5063">
        <v>-5.8248290000000001E-2</v>
      </c>
      <c r="X5063">
        <v>0.95030910000000002</v>
      </c>
      <c r="Y5063">
        <v>-0.70911219999999997</v>
      </c>
      <c r="Z5063">
        <v>-0.17911540000000001</v>
      </c>
      <c r="AA5063">
        <v>0.68196599999999996</v>
      </c>
      <c r="AB5063">
        <v>19</v>
      </c>
      <c r="AC5063">
        <v>130.75540000000001</v>
      </c>
      <c r="AD5063">
        <v>23.292843999999999</v>
      </c>
      <c r="AE5063">
        <v>0.41924999999999801</v>
      </c>
      <c r="AF5063">
        <v>-92.542355019647104</v>
      </c>
      <c r="AG5063">
        <v>23.292843999999999</v>
      </c>
      <c r="AH5063">
        <v>86.588104508553499</v>
      </c>
      <c r="AI5063">
        <v>79.5856796843441</v>
      </c>
      <c r="AJ5063">
        <v>136.90379606004299</v>
      </c>
      <c r="AK5063">
        <v>128.85706770128999</v>
      </c>
    </row>
    <row r="5064" spans="1:37" x14ac:dyDescent="0.2">
      <c r="A5064" t="str">
        <f>"20200111160320344"</f>
        <v>20200111160320344</v>
      </c>
      <c r="B5064" t="str">
        <f>"1578729800338058"</f>
        <v>1578729800338058</v>
      </c>
      <c r="C5064" t="s">
        <v>37</v>
      </c>
      <c r="D5064">
        <v>5.3270919999999897</v>
      </c>
      <c r="E5064">
        <v>0.29749029999999999</v>
      </c>
      <c r="F5064" t="s">
        <v>74</v>
      </c>
      <c r="G5064">
        <v>-169.244</v>
      </c>
      <c r="H5064">
        <v>6.796824</v>
      </c>
      <c r="I5064">
        <v>-59.590879999999999</v>
      </c>
      <c r="J5064">
        <v>-287.97140000000002</v>
      </c>
      <c r="K5064">
        <v>1.108717</v>
      </c>
      <c r="L5064">
        <v>-58.833159999999999</v>
      </c>
      <c r="M5064">
        <v>0.69188899999999998</v>
      </c>
      <c r="N5064">
        <v>0</v>
      </c>
      <c r="O5064">
        <v>-0.72185219999999894</v>
      </c>
      <c r="P5064">
        <v>0.88043449999999901</v>
      </c>
      <c r="Q5064">
        <v>-6.8939120000000007E-2</v>
      </c>
      <c r="R5064">
        <v>-0.46912949999999998</v>
      </c>
      <c r="S5064">
        <v>3.4316409999999999</v>
      </c>
      <c r="T5064">
        <v>0.16422010000000001</v>
      </c>
      <c r="U5064">
        <v>-2.554321E-2</v>
      </c>
      <c r="V5064">
        <v>-0.31038979999999999</v>
      </c>
      <c r="W5064">
        <v>-5.820898E-2</v>
      </c>
      <c r="X5064">
        <v>0.94882549999999899</v>
      </c>
      <c r="Y5064">
        <v>-0.71526880000000004</v>
      </c>
      <c r="Z5064">
        <v>-4.8465179999999997E-2</v>
      </c>
      <c r="AA5064">
        <v>0.69716690000000003</v>
      </c>
      <c r="AB5064">
        <v>18</v>
      </c>
      <c r="AC5064">
        <v>118.7274</v>
      </c>
      <c r="AD5064">
        <v>5.6881069999999996</v>
      </c>
      <c r="AE5064">
        <v>-0.75772000000000606</v>
      </c>
      <c r="AF5064">
        <v>-84.993630682219305</v>
      </c>
      <c r="AG5064">
        <v>5.6881069999999996</v>
      </c>
      <c r="AH5064">
        <v>82.512819426548802</v>
      </c>
      <c r="AI5064">
        <v>87.250885847796297</v>
      </c>
      <c r="AJ5064">
        <v>135.848502392038</v>
      </c>
      <c r="AK5064">
        <v>118.59442308771099</v>
      </c>
    </row>
    <row r="5065" spans="1:37" x14ac:dyDescent="0.2">
      <c r="A5065" t="str">
        <f>"20200111160320367"</f>
        <v>20200111160320367</v>
      </c>
      <c r="B5065" t="str">
        <f>"1578729800358555"</f>
        <v>1578729800358555</v>
      </c>
      <c r="C5065" t="s">
        <v>37</v>
      </c>
      <c r="D5065">
        <v>5.2942460000000002</v>
      </c>
      <c r="E5065">
        <v>0.29959659999999999</v>
      </c>
      <c r="F5065" t="s">
        <v>74</v>
      </c>
      <c r="G5065">
        <v>-157.3501</v>
      </c>
      <c r="H5065">
        <v>6.5915850000000002</v>
      </c>
      <c r="I5065">
        <v>-58.900799999999997</v>
      </c>
      <c r="J5065">
        <v>-287.84370000000001</v>
      </c>
      <c r="K5065">
        <v>1.1087209999999901</v>
      </c>
      <c r="L5065">
        <v>-58.951929999999997</v>
      </c>
      <c r="M5065">
        <v>0.69791669999999995</v>
      </c>
      <c r="N5065">
        <v>0</v>
      </c>
      <c r="O5065">
        <v>-0.71602619999999995</v>
      </c>
      <c r="P5065">
        <v>0.88692420000000005</v>
      </c>
      <c r="Q5065">
        <v>-6.9294090000000003E-2</v>
      </c>
      <c r="R5065">
        <v>-0.45668799999999998</v>
      </c>
      <c r="S5065">
        <v>3.417694</v>
      </c>
      <c r="T5065">
        <v>0.14345810000000001</v>
      </c>
      <c r="U5065">
        <v>-1.77002E-3</v>
      </c>
      <c r="V5065">
        <v>-0.31575839999999999</v>
      </c>
      <c r="W5065">
        <v>-5.8647669999999999E-2</v>
      </c>
      <c r="X5065">
        <v>0.94702540000000002</v>
      </c>
      <c r="Y5065">
        <v>-0.7145956</v>
      </c>
      <c r="Z5065">
        <v>-4.23621E-2</v>
      </c>
      <c r="AA5065">
        <v>0.69825409999999999</v>
      </c>
      <c r="AB5065">
        <v>18</v>
      </c>
      <c r="AC5065">
        <v>130.49359999999999</v>
      </c>
      <c r="AD5065">
        <v>5.4828640000000002</v>
      </c>
      <c r="AE5065">
        <v>5.11300000000076E-2</v>
      </c>
      <c r="AF5065">
        <v>-93.318005673200304</v>
      </c>
      <c r="AG5065">
        <v>5.4828640000000002</v>
      </c>
      <c r="AH5065">
        <v>90.886562890489998</v>
      </c>
      <c r="AI5065">
        <v>87.589813743908095</v>
      </c>
      <c r="AJ5065">
        <v>135.75624247913501</v>
      </c>
      <c r="AK5065">
        <v>130.378983331336</v>
      </c>
    </row>
    <row r="5066" spans="1:37" x14ac:dyDescent="0.2">
      <c r="A5066" t="str">
        <f>"20200111160320389"</f>
        <v>20200111160320389</v>
      </c>
      <c r="B5066" t="str">
        <f>"1578729800378075"</f>
        <v>1578729800378075</v>
      </c>
      <c r="C5066" t="s">
        <v>37</v>
      </c>
      <c r="D5066">
        <v>6.4741470000000003</v>
      </c>
      <c r="E5066">
        <v>0.30137509999999901</v>
      </c>
      <c r="F5066" t="s">
        <v>74</v>
      </c>
      <c r="G5066">
        <v>-157.3501</v>
      </c>
      <c r="H5066">
        <v>6.2234680000000004</v>
      </c>
      <c r="I5066">
        <v>-57.701079999999997</v>
      </c>
      <c r="J5066">
        <v>-287.71210000000002</v>
      </c>
      <c r="K5066">
        <v>1.1087149999999999</v>
      </c>
      <c r="L5066">
        <v>-59.072269999999897</v>
      </c>
      <c r="M5066">
        <v>0.70406059999999904</v>
      </c>
      <c r="N5066">
        <v>0</v>
      </c>
      <c r="O5066">
        <v>-0.7099858</v>
      </c>
      <c r="P5066">
        <v>0.89321459999999997</v>
      </c>
      <c r="Q5066">
        <v>-6.9387270000000001E-2</v>
      </c>
      <c r="R5066">
        <v>-0.4442448</v>
      </c>
      <c r="S5066">
        <v>3.4097599999999999</v>
      </c>
      <c r="T5066">
        <v>0.13364619999999999</v>
      </c>
      <c r="U5066">
        <v>3.2684329999999998E-2</v>
      </c>
      <c r="V5066">
        <v>-0.32082179999999999</v>
      </c>
      <c r="W5066">
        <v>-5.8817979999999999E-2</v>
      </c>
      <c r="X5066">
        <v>0.94531149999999997</v>
      </c>
      <c r="Y5066">
        <v>-0.71577819999999903</v>
      </c>
      <c r="Z5066">
        <v>-3.9448879999999999E-2</v>
      </c>
      <c r="AA5066">
        <v>0.69721250000000001</v>
      </c>
      <c r="AB5066">
        <v>18</v>
      </c>
      <c r="AC5066">
        <v>130.36199999999999</v>
      </c>
      <c r="AD5066">
        <v>5.1147530000000003</v>
      </c>
      <c r="AE5066">
        <v>1.3711899999999899</v>
      </c>
      <c r="AF5066">
        <v>-93.387061440028305</v>
      </c>
      <c r="AG5066">
        <v>5.1147530000000003</v>
      </c>
      <c r="AH5066">
        <v>90.6795849046391</v>
      </c>
      <c r="AI5066">
        <v>87.749822084519096</v>
      </c>
      <c r="AJ5066">
        <v>135.84271537144701</v>
      </c>
      <c r="AK5066">
        <v>130.26930206741801</v>
      </c>
    </row>
    <row r="5067" spans="1:37" x14ac:dyDescent="0.2">
      <c r="A5067" t="str">
        <f>"20200111160320412"</f>
        <v>20200111160320412</v>
      </c>
      <c r="B5067" t="str">
        <f>"1578729800408331"</f>
        <v>1578729800408331</v>
      </c>
      <c r="C5067" t="s">
        <v>37</v>
      </c>
      <c r="D5067">
        <v>5.2591460000000003</v>
      </c>
      <c r="E5067">
        <v>0.3049965</v>
      </c>
      <c r="F5067" t="s">
        <v>74</v>
      </c>
      <c r="G5067">
        <v>-157.3501</v>
      </c>
      <c r="H5067">
        <v>6.0307409999999999</v>
      </c>
      <c r="I5067">
        <v>-56.438219999999902</v>
      </c>
      <c r="J5067">
        <v>-287.57709999999997</v>
      </c>
      <c r="K5067">
        <v>1.108708</v>
      </c>
      <c r="L5067">
        <v>-59.193240000000003</v>
      </c>
      <c r="M5067">
        <v>0.71028239999999998</v>
      </c>
      <c r="N5067">
        <v>0</v>
      </c>
      <c r="O5067">
        <v>-0.70376119999999898</v>
      </c>
      <c r="P5067">
        <v>0.89803250000000001</v>
      </c>
      <c r="Q5067">
        <v>-6.9636459999999997E-2</v>
      </c>
      <c r="R5067">
        <v>-0.43438290000000002</v>
      </c>
      <c r="S5067">
        <v>3.4028320000000001</v>
      </c>
      <c r="T5067">
        <v>0.1284788</v>
      </c>
      <c r="U5067">
        <v>6.8756100000000001E-2</v>
      </c>
      <c r="V5067">
        <v>-0.32289099999999998</v>
      </c>
      <c r="W5067">
        <v>-5.9095639999999998E-2</v>
      </c>
      <c r="X5067">
        <v>0.94458940000000002</v>
      </c>
      <c r="Y5067">
        <v>-0.71711429999999998</v>
      </c>
      <c r="Z5067">
        <v>-3.7890159999999999E-2</v>
      </c>
      <c r="AA5067">
        <v>0.69592489999999996</v>
      </c>
      <c r="AB5067">
        <v>18</v>
      </c>
      <c r="AC5067">
        <v>130.22699999999901</v>
      </c>
      <c r="AD5067">
        <v>4.9220329999999999</v>
      </c>
      <c r="AE5067">
        <v>2.75502</v>
      </c>
      <c r="AF5067">
        <v>-93.482325680947596</v>
      </c>
      <c r="AG5067">
        <v>4.9220329999999999</v>
      </c>
      <c r="AH5067">
        <v>90.439854113041207</v>
      </c>
      <c r="AI5067">
        <v>87.832887467325307</v>
      </c>
      <c r="AJ5067">
        <v>135.94770996278299</v>
      </c>
      <c r="AK5067">
        <v>130.163508079492</v>
      </c>
    </row>
    <row r="5068" spans="1:37" x14ac:dyDescent="0.2">
      <c r="A5068" t="str">
        <f>"20200111160320434"</f>
        <v>20200111160320434</v>
      </c>
      <c r="B5068" t="str">
        <f>"1578729800428827"</f>
        <v>1578729800428827</v>
      </c>
      <c r="C5068" t="s">
        <v>37</v>
      </c>
      <c r="D5068">
        <v>5.269012</v>
      </c>
      <c r="E5068">
        <v>0.30701970000000001</v>
      </c>
      <c r="F5068" t="s">
        <v>74</v>
      </c>
      <c r="G5068">
        <v>-157.3501</v>
      </c>
      <c r="H5068">
        <v>5.4840710000000001</v>
      </c>
      <c r="I5068">
        <v>-56.069019999999902</v>
      </c>
      <c r="J5068">
        <v>-287.43920000000003</v>
      </c>
      <c r="K5068">
        <v>1.1087</v>
      </c>
      <c r="L5068">
        <v>-59.314639999999997</v>
      </c>
      <c r="M5068">
        <v>0.71656249999999999</v>
      </c>
      <c r="N5068">
        <v>0</v>
      </c>
      <c r="O5068">
        <v>-0.69736609999999999</v>
      </c>
      <c r="P5068">
        <v>0.90376239999999997</v>
      </c>
      <c r="Q5068">
        <v>-6.9343509999999997E-2</v>
      </c>
      <c r="R5068">
        <v>-0.4223808</v>
      </c>
      <c r="S5068">
        <v>3.3887939999999999</v>
      </c>
      <c r="T5068">
        <v>0.113856</v>
      </c>
      <c r="U5068">
        <v>8.1298830000000002E-2</v>
      </c>
      <c r="V5068">
        <v>-0.32702049999999999</v>
      </c>
      <c r="W5068">
        <v>-5.8861339999999998E-2</v>
      </c>
      <c r="X5068">
        <v>0.94318230000000003</v>
      </c>
      <c r="Y5068">
        <v>-0.71369530000000003</v>
      </c>
      <c r="Z5068">
        <v>-3.3520999999999898E-2</v>
      </c>
      <c r="AA5068">
        <v>0.69965369999999905</v>
      </c>
      <c r="AB5068">
        <v>18</v>
      </c>
      <c r="AC5068">
        <v>130.0891</v>
      </c>
      <c r="AD5068">
        <v>4.3753710000000003</v>
      </c>
      <c r="AE5068">
        <v>3.2456200000000002</v>
      </c>
      <c r="AF5068">
        <v>-92.950512092994899</v>
      </c>
      <c r="AG5068">
        <v>4.3753710000000003</v>
      </c>
      <c r="AH5068">
        <v>90.860813207040593</v>
      </c>
      <c r="AI5068">
        <v>88.072083435509995</v>
      </c>
      <c r="AJ5068">
        <v>135.65135142519901</v>
      </c>
      <c r="AK5068">
        <v>130.056253007621</v>
      </c>
    </row>
    <row r="5069" spans="1:37" x14ac:dyDescent="0.2">
      <c r="A5069" t="str">
        <f>"20200111160320456"</f>
        <v>20200111160320456</v>
      </c>
      <c r="B5069" t="str">
        <f>"1578729800448346"</f>
        <v>1578729800448346</v>
      </c>
      <c r="C5069" t="s">
        <v>37</v>
      </c>
      <c r="D5069">
        <v>5.2160330000000004</v>
      </c>
      <c r="E5069">
        <v>0.30904349999999903</v>
      </c>
      <c r="F5069" t="s">
        <v>74</v>
      </c>
      <c r="G5069">
        <v>-157.3501</v>
      </c>
      <c r="H5069">
        <v>5.4844989999999996</v>
      </c>
      <c r="I5069">
        <v>-54.993159999999897</v>
      </c>
      <c r="J5069">
        <v>-287.30950000000001</v>
      </c>
      <c r="K5069">
        <v>1.108695</v>
      </c>
      <c r="L5069">
        <v>-59.426850000000002</v>
      </c>
      <c r="M5069">
        <v>0.72238990000000003</v>
      </c>
      <c r="N5069">
        <v>0</v>
      </c>
      <c r="O5069">
        <v>-0.69132780000000005</v>
      </c>
      <c r="P5069">
        <v>0.90849539999999995</v>
      </c>
      <c r="Q5069">
        <v>-6.9015640000000003E-2</v>
      </c>
      <c r="R5069">
        <v>-0.41215689999999999</v>
      </c>
      <c r="S5069">
        <v>3.3807070000000001</v>
      </c>
      <c r="T5069">
        <v>0.113716</v>
      </c>
      <c r="U5069">
        <v>0.11230469999999999</v>
      </c>
      <c r="V5069">
        <v>-0.32976459999999902</v>
      </c>
      <c r="W5069">
        <v>-5.8568639999999998E-2</v>
      </c>
      <c r="X5069">
        <v>0.94224459999999999</v>
      </c>
      <c r="Y5069">
        <v>-0.7142733</v>
      </c>
      <c r="Z5069">
        <v>-3.3442199999999998E-2</v>
      </c>
      <c r="AA5069">
        <v>0.69906749999999995</v>
      </c>
      <c r="AB5069">
        <v>18</v>
      </c>
      <c r="AC5069">
        <v>129.95939999999999</v>
      </c>
      <c r="AD5069">
        <v>4.3758039999999996</v>
      </c>
      <c r="AE5069">
        <v>4.4336900000000004</v>
      </c>
      <c r="AF5069">
        <v>-92.952317555522697</v>
      </c>
      <c r="AG5069">
        <v>4.3758039999999996</v>
      </c>
      <c r="AH5069">
        <v>90.723423352481404</v>
      </c>
      <c r="AI5069">
        <v>88.070487945558995</v>
      </c>
      <c r="AJ5069">
        <v>135.69524675496999</v>
      </c>
      <c r="AK5069">
        <v>129.961611810498</v>
      </c>
    </row>
    <row r="5070" spans="1:37" x14ac:dyDescent="0.2">
      <c r="A5070" t="str">
        <f>"20200111160320478"</f>
        <v>20200111160320478</v>
      </c>
      <c r="B5070" t="str">
        <f>"1578729800468843"</f>
        <v>1578729800468843</v>
      </c>
      <c r="C5070" t="s">
        <v>37</v>
      </c>
      <c r="D5070">
        <v>5.2014839999999998</v>
      </c>
      <c r="E5070">
        <v>0.31001970000000001</v>
      </c>
      <c r="F5070" t="s">
        <v>74</v>
      </c>
      <c r="G5070">
        <v>-157.9383</v>
      </c>
      <c r="H5070">
        <v>5.5595059999999998</v>
      </c>
      <c r="I5070">
        <v>-54.21978</v>
      </c>
      <c r="J5070">
        <v>-287.17140000000001</v>
      </c>
      <c r="K5070">
        <v>1.1086959999999999</v>
      </c>
      <c r="L5070">
        <v>-59.54419</v>
      </c>
      <c r="M5070">
        <v>0.72850839999999994</v>
      </c>
      <c r="N5070">
        <v>0</v>
      </c>
      <c r="O5070">
        <v>-0.68487730000000002</v>
      </c>
      <c r="P5070">
        <v>0.91264859999999903</v>
      </c>
      <c r="Q5070">
        <v>-6.8766209999999994E-2</v>
      </c>
      <c r="R5070">
        <v>-0.40291949999999999</v>
      </c>
      <c r="S5070">
        <v>3.3725589999999999</v>
      </c>
      <c r="T5070">
        <v>0.1160269</v>
      </c>
      <c r="U5070">
        <v>0.13574220000000001</v>
      </c>
      <c r="V5070">
        <v>-0.33096100000000001</v>
      </c>
      <c r="W5070">
        <v>-5.8329220000000001E-2</v>
      </c>
      <c r="X5070">
        <v>0.94184000000000001</v>
      </c>
      <c r="Y5070">
        <v>-0.7129316</v>
      </c>
      <c r="Z5070">
        <v>-3.4033630000000002E-2</v>
      </c>
      <c r="AA5070">
        <v>0.70040729999999995</v>
      </c>
      <c r="AB5070">
        <v>18</v>
      </c>
      <c r="AC5070">
        <v>129.23310000000001</v>
      </c>
      <c r="AD5070">
        <v>4.4508099999999997</v>
      </c>
      <c r="AE5070">
        <v>5.3244099999999897</v>
      </c>
      <c r="AF5070">
        <v>-92.288513164458706</v>
      </c>
      <c r="AG5070">
        <v>4.4508099999999997</v>
      </c>
      <c r="AH5070">
        <v>90.403676120199407</v>
      </c>
      <c r="AI5070">
        <v>88.026842025654005</v>
      </c>
      <c r="AJ5070">
        <v>135.591100127213</v>
      </c>
      <c r="AK5070">
        <v>129.26640718998999</v>
      </c>
    </row>
    <row r="5071" spans="1:37" x14ac:dyDescent="0.2">
      <c r="A5071" t="str">
        <f>"20200111160320502"</f>
        <v>20200111160320502</v>
      </c>
      <c r="B5071" t="str">
        <f>"1578729800498123"</f>
        <v>1578729800498123</v>
      </c>
      <c r="C5071" t="s">
        <v>37</v>
      </c>
      <c r="D5071">
        <v>5.11557</v>
      </c>
      <c r="E5071">
        <v>0.32819309999999902</v>
      </c>
      <c r="F5071" t="s">
        <v>74</v>
      </c>
      <c r="G5071">
        <v>-157.93819999999999</v>
      </c>
      <c r="H5071">
        <v>5.6688929999999997</v>
      </c>
      <c r="I5071">
        <v>-53.29804</v>
      </c>
      <c r="J5071">
        <v>-287.03320000000002</v>
      </c>
      <c r="K5071">
        <v>1.1086879999999999</v>
      </c>
      <c r="L5071">
        <v>-59.659519999999901</v>
      </c>
      <c r="M5071">
        <v>0.73455199999999998</v>
      </c>
      <c r="N5071">
        <v>0</v>
      </c>
      <c r="O5071">
        <v>-0.67839110000000002</v>
      </c>
      <c r="P5071">
        <v>0.916297899999999</v>
      </c>
      <c r="Q5071">
        <v>-6.7814360000000004E-2</v>
      </c>
      <c r="R5071">
        <v>-0.39471499999999998</v>
      </c>
      <c r="S5071">
        <v>3.36795</v>
      </c>
      <c r="T5071">
        <v>0.1188428</v>
      </c>
      <c r="U5071">
        <v>0.1627808</v>
      </c>
      <c r="V5071">
        <v>-0.33112049999999998</v>
      </c>
      <c r="W5071">
        <v>-5.7371579999999998E-2</v>
      </c>
      <c r="X5071">
        <v>0.94184269999999903</v>
      </c>
      <c r="Y5071">
        <v>-0.71233310000000005</v>
      </c>
      <c r="Z5071">
        <v>-3.474228E-2</v>
      </c>
      <c r="AA5071">
        <v>0.70098110000000002</v>
      </c>
      <c r="AB5071">
        <v>18</v>
      </c>
      <c r="AC5071">
        <v>129.095</v>
      </c>
      <c r="AD5071">
        <v>4.5602049999999998</v>
      </c>
      <c r="AE5071">
        <v>6.3614799999999896</v>
      </c>
      <c r="AF5071">
        <v>-92.145132668027003</v>
      </c>
      <c r="AG5071">
        <v>4.5602049999999998</v>
      </c>
      <c r="AH5071">
        <v>90.408785903104004</v>
      </c>
      <c r="AI5071">
        <v>87.976838090146401</v>
      </c>
      <c r="AJ5071">
        <v>135.54494771897001</v>
      </c>
      <c r="AK5071">
        <v>129.17147329237801</v>
      </c>
    </row>
    <row r="5072" spans="1:37" x14ac:dyDescent="0.2">
      <c r="A5072" t="str">
        <f>"20200111160320524"</f>
        <v>20200111160320524</v>
      </c>
      <c r="B5072" t="str">
        <f>"1578729800518619"</f>
        <v>1578729800518619</v>
      </c>
      <c r="C5072" t="s">
        <v>37</v>
      </c>
      <c r="D5072">
        <v>5.103809</v>
      </c>
      <c r="E5072">
        <v>0.32962390000000003</v>
      </c>
      <c r="F5072" t="s">
        <v>74</v>
      </c>
      <c r="G5072">
        <v>-169.244</v>
      </c>
      <c r="H5072">
        <v>7.8583149999999904</v>
      </c>
      <c r="I5072">
        <v>-57.627109999999902</v>
      </c>
      <c r="J5072">
        <v>-286.89490000000001</v>
      </c>
      <c r="K5072">
        <v>1.108687</v>
      </c>
      <c r="L5072">
        <v>-59.772859999999902</v>
      </c>
      <c r="M5072">
        <v>0.74052079999999998</v>
      </c>
      <c r="N5072">
        <v>0</v>
      </c>
      <c r="O5072">
        <v>-0.67187059999999998</v>
      </c>
      <c r="P5072">
        <v>0.91937639999999998</v>
      </c>
      <c r="Q5072">
        <v>-6.7391900000000005E-2</v>
      </c>
      <c r="R5072">
        <v>-0.38756279999999999</v>
      </c>
      <c r="S5072">
        <v>3.3127140000000002</v>
      </c>
      <c r="T5072">
        <v>0.1898263</v>
      </c>
      <c r="U5072">
        <v>5.7159420000000002E-2</v>
      </c>
      <c r="V5072">
        <v>-0.33015990000000001</v>
      </c>
      <c r="W5072">
        <v>-5.6929189999999998E-2</v>
      </c>
      <c r="X5072">
        <v>0.94220669999999995</v>
      </c>
      <c r="Y5072">
        <v>-0.68255779999999999</v>
      </c>
      <c r="Z5072">
        <v>-5.5194279999999998E-2</v>
      </c>
      <c r="AA5072">
        <v>0.72874450000000002</v>
      </c>
      <c r="AB5072">
        <v>18</v>
      </c>
      <c r="AC5072">
        <v>117.650899999999</v>
      </c>
      <c r="AD5072">
        <v>6.7496279999999897</v>
      </c>
      <c r="AE5072">
        <v>2.14575</v>
      </c>
      <c r="AF5072">
        <v>-80.379511741703496</v>
      </c>
      <c r="AG5072">
        <v>6.7496279999999897</v>
      </c>
      <c r="AH5072">
        <v>85.409632754556199</v>
      </c>
      <c r="AI5072">
        <v>86.706309288412399</v>
      </c>
      <c r="AJ5072">
        <v>133.26215209023201</v>
      </c>
      <c r="AK5072">
        <v>117.47863104939999</v>
      </c>
    </row>
    <row r="5073" spans="1:37" x14ac:dyDescent="0.2">
      <c r="A5073" t="str">
        <f>"20200111160320545"</f>
        <v>20200111160320545</v>
      </c>
      <c r="B5073" t="str">
        <f>"1578729800538153"</f>
        <v>1578729800538153</v>
      </c>
      <c r="C5073" t="s">
        <v>37</v>
      </c>
      <c r="D5073">
        <v>5.1106429999999996</v>
      </c>
      <c r="E5073">
        <v>0.33138339999999999</v>
      </c>
      <c r="F5073" t="s">
        <v>74</v>
      </c>
      <c r="G5073">
        <v>-169.244</v>
      </c>
      <c r="H5073">
        <v>7.9213440000000004</v>
      </c>
      <c r="I5073">
        <v>-57.177639999999997</v>
      </c>
      <c r="J5073">
        <v>-286.75970000000001</v>
      </c>
      <c r="K5073">
        <v>1.10869</v>
      </c>
      <c r="L5073">
        <v>-59.881709999999998</v>
      </c>
      <c r="M5073">
        <v>0.74628219999999901</v>
      </c>
      <c r="N5073">
        <v>0</v>
      </c>
      <c r="O5073">
        <v>-0.66546530000000004</v>
      </c>
      <c r="P5073">
        <v>0.922178099999999</v>
      </c>
      <c r="Q5073">
        <v>-6.6776790000000003E-2</v>
      </c>
      <c r="R5073">
        <v>-0.38095800000000002</v>
      </c>
      <c r="S5073">
        <v>3.3078919999999998</v>
      </c>
      <c r="T5073">
        <v>0.19154499999999999</v>
      </c>
      <c r="U5073">
        <v>7.2967530000000003E-2</v>
      </c>
      <c r="V5073">
        <v>-0.32883849999999998</v>
      </c>
      <c r="W5073">
        <v>-5.629174E-2</v>
      </c>
      <c r="X5073">
        <v>0.94270699999999996</v>
      </c>
      <c r="Y5073">
        <v>-0.67973739999999905</v>
      </c>
      <c r="Z5073">
        <v>-5.5434230000000001E-2</v>
      </c>
      <c r="AA5073">
        <v>0.73135779999999995</v>
      </c>
      <c r="AB5073">
        <v>18</v>
      </c>
      <c r="AC5073">
        <v>117.515699999999</v>
      </c>
      <c r="AD5073">
        <v>6.8126539999999904</v>
      </c>
      <c r="AE5073">
        <v>2.70406999999999</v>
      </c>
      <c r="AF5073">
        <v>-79.960808969582203</v>
      </c>
      <c r="AG5073">
        <v>6.8126539999999904</v>
      </c>
      <c r="AH5073">
        <v>85.622204318669802</v>
      </c>
      <c r="AI5073">
        <v>86.671905408958196</v>
      </c>
      <c r="AJ5073">
        <v>133.04178131692399</v>
      </c>
      <c r="AK5073">
        <v>117.351204075551</v>
      </c>
    </row>
    <row r="5074" spans="1:37" x14ac:dyDescent="0.2">
      <c r="A5074" t="str">
        <f>"20200111160320567"</f>
        <v>20200111160320567</v>
      </c>
      <c r="B5074" t="str">
        <f>"1578729800558635"</f>
        <v>1578729800558635</v>
      </c>
      <c r="C5074" t="s">
        <v>37</v>
      </c>
      <c r="D5074">
        <v>5.1281790000000003</v>
      </c>
      <c r="E5074">
        <v>0.33278099999999999</v>
      </c>
      <c r="F5074" t="s">
        <v>74</v>
      </c>
      <c r="G5074">
        <v>-169.244</v>
      </c>
      <c r="H5074">
        <v>7.6319589999999904</v>
      </c>
      <c r="I5074">
        <v>-56.879069999999999</v>
      </c>
      <c r="J5074">
        <v>-286.62439999999998</v>
      </c>
      <c r="K5074">
        <v>1.1086940000000001</v>
      </c>
      <c r="L5074">
        <v>-59.98856</v>
      </c>
      <c r="M5074">
        <v>0.75197400000000003</v>
      </c>
      <c r="N5074">
        <v>0</v>
      </c>
      <c r="O5074">
        <v>-0.65902689999999997</v>
      </c>
      <c r="P5074">
        <v>0.92405499999999996</v>
      </c>
      <c r="Q5074">
        <v>-6.6903019999999994E-2</v>
      </c>
      <c r="R5074">
        <v>-0.37635990000000002</v>
      </c>
      <c r="S5074">
        <v>3.3012699999999899</v>
      </c>
      <c r="T5074">
        <v>0.183252</v>
      </c>
      <c r="U5074">
        <v>8.4350590000000003E-2</v>
      </c>
      <c r="V5074">
        <v>-0.3254263</v>
      </c>
      <c r="W5074">
        <v>-5.6366699999999902E-2</v>
      </c>
      <c r="X5074">
        <v>0.94388590000000006</v>
      </c>
      <c r="Y5074">
        <v>-0.67617399999999905</v>
      </c>
      <c r="Z5074">
        <v>-5.2789379999999997E-2</v>
      </c>
      <c r="AA5074">
        <v>0.73484819999999995</v>
      </c>
      <c r="AB5074">
        <v>18</v>
      </c>
      <c r="AC5074">
        <v>117.380399999999</v>
      </c>
      <c r="AD5074">
        <v>6.5232649999999897</v>
      </c>
      <c r="AE5074">
        <v>3.1094900000000001</v>
      </c>
      <c r="AF5074">
        <v>-79.458580000598502</v>
      </c>
      <c r="AG5074">
        <v>6.5232649999999897</v>
      </c>
      <c r="AH5074">
        <v>85.961896786998494</v>
      </c>
      <c r="AI5074">
        <v>86.810452439246703</v>
      </c>
      <c r="AJ5074">
        <v>132.7486413876</v>
      </c>
      <c r="AK5074">
        <v>117.24191495020099</v>
      </c>
    </row>
    <row r="5075" spans="1:37" x14ac:dyDescent="0.2">
      <c r="A5075" t="str">
        <f>"20200111160320590"</f>
        <v>20200111160320590</v>
      </c>
      <c r="B5075" t="str">
        <f>"1578729800578156"</f>
        <v>1578729800578156</v>
      </c>
      <c r="C5075" t="s">
        <v>37</v>
      </c>
      <c r="D5075">
        <v>5.0943350000000001</v>
      </c>
      <c r="E5075">
        <v>0.33405689999999999</v>
      </c>
      <c r="F5075" t="s">
        <v>74</v>
      </c>
      <c r="G5075">
        <v>-169.244</v>
      </c>
      <c r="H5075">
        <v>7.2277479999999903</v>
      </c>
      <c r="I5075">
        <v>-56.748779999999996</v>
      </c>
      <c r="J5075">
        <v>-286.48509999999999</v>
      </c>
      <c r="K5075">
        <v>1.1087020000000001</v>
      </c>
      <c r="L5075">
        <v>-60.096619999999902</v>
      </c>
      <c r="M5075">
        <v>0.75776840000000001</v>
      </c>
      <c r="N5075">
        <v>0</v>
      </c>
      <c r="O5075">
        <v>-0.65235609999999999</v>
      </c>
      <c r="P5075">
        <v>0.92600459999999996</v>
      </c>
      <c r="Q5075">
        <v>-6.7208130000000005E-2</v>
      </c>
      <c r="R5075">
        <v>-0.37148170000000003</v>
      </c>
      <c r="S5075">
        <v>3.2960509999999998</v>
      </c>
      <c r="T5075">
        <v>0.171822799999999</v>
      </c>
      <c r="U5075">
        <v>9.0972899999999995E-2</v>
      </c>
      <c r="V5075">
        <v>-0.32204569999999999</v>
      </c>
      <c r="W5075">
        <v>-5.6623670000000001E-2</v>
      </c>
      <c r="X5075">
        <v>0.94502929999999996</v>
      </c>
      <c r="Y5075">
        <v>-0.67140610000000001</v>
      </c>
      <c r="Z5075">
        <v>-4.9199859999999998E-2</v>
      </c>
      <c r="AA5075">
        <v>0.73945469999999902</v>
      </c>
      <c r="AB5075">
        <v>18</v>
      </c>
      <c r="AC5075">
        <v>117.24109999999899</v>
      </c>
      <c r="AD5075">
        <v>6.1190459999999902</v>
      </c>
      <c r="AE5075">
        <v>3.3478399999999899</v>
      </c>
      <c r="AF5075">
        <v>-78.8139566623218</v>
      </c>
      <c r="AG5075">
        <v>6.1190459999999902</v>
      </c>
      <c r="AH5075">
        <v>86.431840061933499</v>
      </c>
      <c r="AI5075">
        <v>87.005431655253204</v>
      </c>
      <c r="AJ5075">
        <v>132.36051526217</v>
      </c>
      <c r="AK5075">
        <v>117.130463438048</v>
      </c>
    </row>
    <row r="5076" spans="1:37" x14ac:dyDescent="0.2">
      <c r="A5076" t="str">
        <f>"20200111160320613"</f>
        <v>20200111160320613</v>
      </c>
      <c r="B5076" t="str">
        <f>"1578729800608410"</f>
        <v>1578729800608410</v>
      </c>
      <c r="C5076" t="s">
        <v>37</v>
      </c>
      <c r="D5076">
        <v>5.153276</v>
      </c>
      <c r="E5076">
        <v>0.33595340000000001</v>
      </c>
      <c r="F5076" t="s">
        <v>74</v>
      </c>
      <c r="G5076">
        <v>-169.244</v>
      </c>
      <c r="H5076">
        <v>6.9327719999999999</v>
      </c>
      <c r="I5076">
        <v>-56.556199999999997</v>
      </c>
      <c r="J5076">
        <v>-286.3426</v>
      </c>
      <c r="K5076">
        <v>1.1087100000000001</v>
      </c>
      <c r="L5076">
        <v>-60.20496</v>
      </c>
      <c r="M5076">
        <v>0.76362379999999996</v>
      </c>
      <c r="N5076">
        <v>0</v>
      </c>
      <c r="O5076">
        <v>-0.64549230000000002</v>
      </c>
      <c r="P5076">
        <v>0.92789859999999902</v>
      </c>
      <c r="Q5076">
        <v>-6.7781960000000002E-2</v>
      </c>
      <c r="R5076">
        <v>-0.36661949999999999</v>
      </c>
      <c r="S5076">
        <v>3.2915040000000002</v>
      </c>
      <c r="T5076">
        <v>0.16350809999999999</v>
      </c>
      <c r="U5076">
        <v>9.9395750000000005E-2</v>
      </c>
      <c r="V5076">
        <v>-0.31844329999999998</v>
      </c>
      <c r="W5076">
        <v>-5.7146990000000002E-2</v>
      </c>
      <c r="X5076">
        <v>0.9462178</v>
      </c>
      <c r="Y5076">
        <v>-0.66680240000000002</v>
      </c>
      <c r="Z5076">
        <v>-4.6519270000000001E-2</v>
      </c>
      <c r="AA5076">
        <v>0.74378129999999998</v>
      </c>
      <c r="AB5076">
        <v>18</v>
      </c>
      <c r="AC5076">
        <v>117.098599999999</v>
      </c>
      <c r="AD5076">
        <v>5.8240619999999996</v>
      </c>
      <c r="AE5076">
        <v>3.6487599999999998</v>
      </c>
      <c r="AF5076">
        <v>-78.187857240119797</v>
      </c>
      <c r="AG5076">
        <v>5.8240619999999996</v>
      </c>
      <c r="AH5076">
        <v>86.858884447408599</v>
      </c>
      <c r="AI5076">
        <v>87.147018232017402</v>
      </c>
      <c r="AJ5076">
        <v>131.99262811148401</v>
      </c>
      <c r="AK5076">
        <v>117.01165123794</v>
      </c>
    </row>
    <row r="5077" spans="1:37" x14ac:dyDescent="0.2">
      <c r="A5077" t="str">
        <f>"20200111160320635"</f>
        <v>20200111160320635</v>
      </c>
      <c r="B5077" t="str">
        <f>"1578729800627933"</f>
        <v>1578729800627933</v>
      </c>
      <c r="C5077" t="s">
        <v>37</v>
      </c>
      <c r="D5077">
        <v>5.1182559999999997</v>
      </c>
      <c r="E5077">
        <v>0.3368158</v>
      </c>
      <c r="F5077" t="s">
        <v>74</v>
      </c>
      <c r="G5077">
        <v>-165.11269999999999</v>
      </c>
      <c r="H5077">
        <v>6.6740880000000002</v>
      </c>
      <c r="I5077">
        <v>-56.404850000000003</v>
      </c>
      <c r="J5077">
        <v>-286.2</v>
      </c>
      <c r="K5077">
        <v>1.108711</v>
      </c>
      <c r="L5077">
        <v>-60.311219999999999</v>
      </c>
      <c r="M5077">
        <v>0.76940600000000003</v>
      </c>
      <c r="N5077">
        <v>0</v>
      </c>
      <c r="O5077">
        <v>-0.63858899999999996</v>
      </c>
      <c r="P5077">
        <v>0.93015820000000005</v>
      </c>
      <c r="Q5077">
        <v>-6.7560170000000003E-2</v>
      </c>
      <c r="R5077">
        <v>-0.36088999999999999</v>
      </c>
      <c r="S5077">
        <v>3.284821</v>
      </c>
      <c r="T5077">
        <v>0.15079770000000001</v>
      </c>
      <c r="U5077">
        <v>0.1029663</v>
      </c>
      <c r="V5077">
        <v>-0.31577119999999997</v>
      </c>
      <c r="W5077">
        <v>-5.6885720000000001E-2</v>
      </c>
      <c r="X5077">
        <v>0.94712859999999999</v>
      </c>
      <c r="Y5077">
        <v>-0.66116719999999995</v>
      </c>
      <c r="Z5077">
        <v>-4.262444E-2</v>
      </c>
      <c r="AA5077">
        <v>0.74902679999999999</v>
      </c>
      <c r="AB5077">
        <v>18</v>
      </c>
      <c r="AC5077">
        <v>121.0873</v>
      </c>
      <c r="AD5077">
        <v>5.5653769999999998</v>
      </c>
      <c r="AE5077">
        <v>3.9063699999999901</v>
      </c>
      <c r="AF5077">
        <v>-80.170198120037199</v>
      </c>
      <c r="AG5077">
        <v>5.5653769999999998</v>
      </c>
      <c r="AH5077">
        <v>90.489678839704993</v>
      </c>
      <c r="AI5077">
        <v>87.364264903082002</v>
      </c>
      <c r="AJ5077">
        <v>131.53964569867301</v>
      </c>
      <c r="AK5077">
        <v>121.023204652129</v>
      </c>
    </row>
    <row r="5078" spans="1:37" x14ac:dyDescent="0.2">
      <c r="A5078" t="str">
        <f>"20200111160320657"</f>
        <v>20200111160320657</v>
      </c>
      <c r="B5078" t="str">
        <f>"1578729800648426"</f>
        <v>1578729800648426</v>
      </c>
      <c r="C5078" t="s">
        <v>37</v>
      </c>
      <c r="D5078">
        <v>5.0630800000000002</v>
      </c>
      <c r="E5078">
        <v>0.33792539999999999</v>
      </c>
      <c r="F5078" t="s">
        <v>74</v>
      </c>
      <c r="G5078">
        <v>-168.8323</v>
      </c>
      <c r="H5078">
        <v>6.6740890000000004</v>
      </c>
      <c r="I5078">
        <v>-56.132350000000002</v>
      </c>
      <c r="J5078">
        <v>-286.06479999999999</v>
      </c>
      <c r="K5078">
        <v>1.1087149999999999</v>
      </c>
      <c r="L5078">
        <v>-60.410130000000002</v>
      </c>
      <c r="M5078">
        <v>0.77482039999999996</v>
      </c>
      <c r="N5078">
        <v>0</v>
      </c>
      <c r="O5078">
        <v>-0.63200840000000003</v>
      </c>
      <c r="P5078">
        <v>0.93207410000000002</v>
      </c>
      <c r="Q5078">
        <v>-6.7256759999999999E-2</v>
      </c>
      <c r="R5078">
        <v>-0.35597009999999901</v>
      </c>
      <c r="S5078">
        <v>3.2818909999999999</v>
      </c>
      <c r="T5078">
        <v>0.15562110000000001</v>
      </c>
      <c r="U5078">
        <v>0.11685180000000001</v>
      </c>
      <c r="V5078">
        <v>-0.31272280000000002</v>
      </c>
      <c r="W5078">
        <v>-5.6534859999999999E-2</v>
      </c>
      <c r="X5078">
        <v>0.94816049999999996</v>
      </c>
      <c r="Y5078">
        <v>-0.65788459999999904</v>
      </c>
      <c r="Z5078">
        <v>-4.371328E-2</v>
      </c>
      <c r="AA5078">
        <v>0.75184910000000005</v>
      </c>
      <c r="AB5078">
        <v>18</v>
      </c>
      <c r="AC5078">
        <v>117.2325</v>
      </c>
      <c r="AD5078">
        <v>5.5653739999999896</v>
      </c>
      <c r="AE5078">
        <v>4.2777799999999999</v>
      </c>
      <c r="AF5078">
        <v>-77.241057595873698</v>
      </c>
      <c r="AG5078">
        <v>5.5653739999999896</v>
      </c>
      <c r="AH5078">
        <v>87.942249301145196</v>
      </c>
      <c r="AI5078">
        <v>87.277741168436904</v>
      </c>
      <c r="AJ5078">
        <v>131.29334509599201</v>
      </c>
      <c r="AK5078">
        <v>117.179322315986</v>
      </c>
    </row>
    <row r="5079" spans="1:37" x14ac:dyDescent="0.2">
      <c r="A5079" t="str">
        <f>"20200111160320680"</f>
        <v>20200111160320680</v>
      </c>
      <c r="B5079" t="str">
        <f>"1578729800667947"</f>
        <v>1578729800667947</v>
      </c>
      <c r="C5079" t="s">
        <v>37</v>
      </c>
      <c r="D5079">
        <v>5.0850900000000001</v>
      </c>
      <c r="E5079">
        <v>0.33842179999999999</v>
      </c>
      <c r="F5079" t="s">
        <v>74</v>
      </c>
      <c r="G5079">
        <v>-167.64920000000001</v>
      </c>
      <c r="H5079">
        <v>6.6740880000000002</v>
      </c>
      <c r="I5079">
        <v>-55.854750000000003</v>
      </c>
      <c r="J5079">
        <v>-285.92290000000003</v>
      </c>
      <c r="K5079">
        <v>1.1087199999999999</v>
      </c>
      <c r="L5079">
        <v>-60.512079999999997</v>
      </c>
      <c r="M5079">
        <v>0.78043899999999999</v>
      </c>
      <c r="N5079">
        <v>0</v>
      </c>
      <c r="O5079">
        <v>-0.62505719999999898</v>
      </c>
      <c r="P5079">
        <v>0.93434039999999996</v>
      </c>
      <c r="Q5079">
        <v>-6.6276039999999994E-2</v>
      </c>
      <c r="R5079">
        <v>-0.35016510000000001</v>
      </c>
      <c r="S5079">
        <v>3.2778930000000002</v>
      </c>
      <c r="T5079">
        <v>0.15405579999999999</v>
      </c>
      <c r="U5079">
        <v>0.12609860000000001</v>
      </c>
      <c r="V5079">
        <v>-0.3102008</v>
      </c>
      <c r="W5079">
        <v>-5.5514220000000003E-2</v>
      </c>
      <c r="X5079">
        <v>0.94904880000000003</v>
      </c>
      <c r="Y5079">
        <v>-0.653335</v>
      </c>
      <c r="Z5079">
        <v>-4.2969029999999998E-2</v>
      </c>
      <c r="AA5079">
        <v>0.75584859999999998</v>
      </c>
      <c r="AB5079">
        <v>18</v>
      </c>
      <c r="AC5079">
        <v>118.27370000000001</v>
      </c>
      <c r="AD5079">
        <v>5.5653680000000003</v>
      </c>
      <c r="AE5079">
        <v>4.65733</v>
      </c>
      <c r="AF5079">
        <v>-77.3999519262441</v>
      </c>
      <c r="AG5079">
        <v>5.5653680000000003</v>
      </c>
      <c r="AH5079">
        <v>89.206863260154194</v>
      </c>
      <c r="AI5079">
        <v>87.302075461097104</v>
      </c>
      <c r="AJ5079">
        <v>130.94640157382699</v>
      </c>
      <c r="AK5079">
        <v>118.23531761650599</v>
      </c>
    </row>
    <row r="5080" spans="1:37" x14ac:dyDescent="0.2">
      <c r="A5080" t="str">
        <f>"20200111160320702"</f>
        <v>20200111160320702</v>
      </c>
      <c r="B5080" t="str">
        <f>"1578729800698203"</f>
        <v>1578729800698203</v>
      </c>
      <c r="C5080" t="s">
        <v>37</v>
      </c>
      <c r="D5080">
        <v>5.0912800000000002</v>
      </c>
      <c r="E5080">
        <v>0.3400821</v>
      </c>
      <c r="F5080" t="s">
        <v>74</v>
      </c>
      <c r="G5080">
        <v>-169.244</v>
      </c>
      <c r="H5080">
        <v>6.7065190000000001</v>
      </c>
      <c r="I5080">
        <v>-55.430900000000001</v>
      </c>
      <c r="J5080">
        <v>-285.7792</v>
      </c>
      <c r="K5080">
        <v>1.1087229999999999</v>
      </c>
      <c r="L5080">
        <v>-60.613340000000001</v>
      </c>
      <c r="M5080">
        <v>0.78606239999999905</v>
      </c>
      <c r="N5080">
        <v>0</v>
      </c>
      <c r="O5080">
        <v>-0.61797019999999903</v>
      </c>
      <c r="P5080">
        <v>0.93653949999999997</v>
      </c>
      <c r="Q5080">
        <v>-6.5894839999999996E-2</v>
      </c>
      <c r="R5080">
        <v>-0.34431339999999999</v>
      </c>
      <c r="S5080">
        <v>3.2754209999999899</v>
      </c>
      <c r="T5080">
        <v>0.15714120000000001</v>
      </c>
      <c r="U5080">
        <v>0.14263919999999999</v>
      </c>
      <c r="V5080">
        <v>-0.30757299999999999</v>
      </c>
      <c r="W5080">
        <v>-5.509381E-2</v>
      </c>
      <c r="X5080">
        <v>0.949928199999999</v>
      </c>
      <c r="Y5080">
        <v>-0.65027489999999999</v>
      </c>
      <c r="Z5080">
        <v>-4.3527059999999999E-2</v>
      </c>
      <c r="AA5080">
        <v>0.75845099999999999</v>
      </c>
      <c r="AB5080">
        <v>18</v>
      </c>
      <c r="AC5080">
        <v>116.53519999999899</v>
      </c>
      <c r="AD5080">
        <v>5.5977959999999998</v>
      </c>
      <c r="AE5080">
        <v>5.1824399999999997</v>
      </c>
      <c r="AF5080">
        <v>-75.922488544485603</v>
      </c>
      <c r="AG5080">
        <v>5.5977959999999998</v>
      </c>
      <c r="AH5080">
        <v>88.207887591964194</v>
      </c>
      <c r="AI5080">
        <v>87.246291672663304</v>
      </c>
      <c r="AJ5080">
        <v>130.719309609991</v>
      </c>
      <c r="AK5080">
        <v>116.516913022452</v>
      </c>
    </row>
    <row r="5081" spans="1:37" x14ac:dyDescent="0.2">
      <c r="A5081" t="str">
        <f>"20200111160320724"</f>
        <v>20200111160320724</v>
      </c>
      <c r="B5081" t="str">
        <f>"1578729800718698"</f>
        <v>1578729800718698</v>
      </c>
      <c r="C5081" t="s">
        <v>37</v>
      </c>
      <c r="D5081">
        <v>5.0243769999999897</v>
      </c>
      <c r="E5081">
        <v>0.3408429</v>
      </c>
      <c r="F5081" t="s">
        <v>74</v>
      </c>
      <c r="G5081">
        <v>-169.244</v>
      </c>
      <c r="H5081">
        <v>6.7520249999999997</v>
      </c>
      <c r="I5081">
        <v>-55.246869999999902</v>
      </c>
      <c r="J5081">
        <v>-285.63389999999998</v>
      </c>
      <c r="K5081">
        <v>1.1087370000000001</v>
      </c>
      <c r="L5081">
        <v>-60.713709999999999</v>
      </c>
      <c r="M5081">
        <v>0.79167959999999904</v>
      </c>
      <c r="N5081">
        <v>0</v>
      </c>
      <c r="O5081">
        <v>-0.61075740000000001</v>
      </c>
      <c r="P5081">
        <v>0.93896420000000003</v>
      </c>
      <c r="Q5081">
        <v>-6.5634239999999996E-2</v>
      </c>
      <c r="R5081">
        <v>-0.33769589999999999</v>
      </c>
      <c r="S5081">
        <v>3.2697750000000001</v>
      </c>
      <c r="T5081">
        <v>0.1583406</v>
      </c>
      <c r="U5081">
        <v>0.1505737</v>
      </c>
      <c r="V5081">
        <v>-0.30560540000000003</v>
      </c>
      <c r="W5081">
        <v>-5.4807309999999998E-2</v>
      </c>
      <c r="X5081">
        <v>0.95057959999999997</v>
      </c>
      <c r="Y5081">
        <v>-0.64520379999999999</v>
      </c>
      <c r="Z5081">
        <v>-4.3536659999999998E-2</v>
      </c>
      <c r="AA5081">
        <v>0.76276899999999903</v>
      </c>
      <c r="AB5081">
        <v>18</v>
      </c>
      <c r="AC5081">
        <v>116.389899999999</v>
      </c>
      <c r="AD5081">
        <v>5.6432880000000001</v>
      </c>
      <c r="AE5081">
        <v>5.4668400000000004</v>
      </c>
      <c r="AF5081">
        <v>-75.245724767415496</v>
      </c>
      <c r="AG5081">
        <v>5.6432880000000001</v>
      </c>
      <c r="AH5081">
        <v>88.606467476465099</v>
      </c>
      <c r="AI5081">
        <v>87.220685271678406</v>
      </c>
      <c r="AJ5081">
        <v>130.33833353979401</v>
      </c>
      <c r="AK5081">
        <v>116.382437995955</v>
      </c>
    </row>
    <row r="5082" spans="1:37" x14ac:dyDescent="0.2">
      <c r="A5082" t="str">
        <f>"20200111160320747"</f>
        <v>20200111160320747</v>
      </c>
      <c r="B5082" t="str">
        <f>"1578729800738218"</f>
        <v>1578729800738218</v>
      </c>
      <c r="C5082" t="s">
        <v>37</v>
      </c>
      <c r="D5082">
        <v>5.0214629999999998</v>
      </c>
      <c r="E5082">
        <v>0.34169490000000002</v>
      </c>
      <c r="F5082" t="s">
        <v>74</v>
      </c>
      <c r="G5082">
        <v>-169.244</v>
      </c>
      <c r="H5082">
        <v>6.8283170000000002</v>
      </c>
      <c r="I5082">
        <v>-54.737519999999897</v>
      </c>
      <c r="J5082">
        <v>-285.49549999999999</v>
      </c>
      <c r="K5082">
        <v>1.108754</v>
      </c>
      <c r="L5082">
        <v>-60.807400000000001</v>
      </c>
      <c r="M5082">
        <v>0.79696509999999998</v>
      </c>
      <c r="N5082">
        <v>0</v>
      </c>
      <c r="O5082">
        <v>-0.60384450000000001</v>
      </c>
      <c r="P5082">
        <v>0.94128509999999999</v>
      </c>
      <c r="Q5082">
        <v>-6.5087019999999995E-2</v>
      </c>
      <c r="R5082">
        <v>-0.3312794</v>
      </c>
      <c r="S5082">
        <v>3.2665410000000001</v>
      </c>
      <c r="T5082">
        <v>0.1605222</v>
      </c>
      <c r="U5082">
        <v>0.1677246</v>
      </c>
      <c r="V5082">
        <v>-0.30384929999999999</v>
      </c>
      <c r="W5082">
        <v>-5.4239259999999997E-2</v>
      </c>
      <c r="X5082">
        <v>0.95117489999999905</v>
      </c>
      <c r="Y5082">
        <v>-0.64255810000000002</v>
      </c>
      <c r="Z5082">
        <v>-4.3847490000000003E-2</v>
      </c>
      <c r="AA5082">
        <v>0.76498140000000003</v>
      </c>
      <c r="AB5082">
        <v>18</v>
      </c>
      <c r="AC5082">
        <v>116.251499999999</v>
      </c>
      <c r="AD5082">
        <v>5.719563</v>
      </c>
      <c r="AE5082">
        <v>6.0698800000000004</v>
      </c>
      <c r="AF5082">
        <v>-74.862785979697193</v>
      </c>
      <c r="AG5082">
        <v>5.719563</v>
      </c>
      <c r="AH5082">
        <v>88.778529634391504</v>
      </c>
      <c r="AI5082">
        <v>87.180370268838999</v>
      </c>
      <c r="AJ5082">
        <v>130.13937078794501</v>
      </c>
      <c r="AK5082">
        <v>116.270277584589</v>
      </c>
    </row>
    <row r="5083" spans="1:37" x14ac:dyDescent="0.2">
      <c r="A5083" t="str">
        <f>"20200111160320769"</f>
        <v>20200111160320769</v>
      </c>
      <c r="B5083" t="str">
        <f>"1578729800758715"</f>
        <v>1578729800758715</v>
      </c>
      <c r="C5083" t="s">
        <v>37</v>
      </c>
      <c r="D5083">
        <v>5.0652699999999999</v>
      </c>
      <c r="E5083">
        <v>0.342412099999999</v>
      </c>
      <c r="F5083" t="s">
        <v>74</v>
      </c>
      <c r="G5083">
        <v>-169.244</v>
      </c>
      <c r="H5083">
        <v>6.8754029999999897</v>
      </c>
      <c r="I5083">
        <v>-54.258850000000002</v>
      </c>
      <c r="J5083">
        <v>-285.35199999999998</v>
      </c>
      <c r="K5083">
        <v>1.108784</v>
      </c>
      <c r="L5083">
        <v>-60.902589999999996</v>
      </c>
      <c r="M5083">
        <v>0.80238319999999996</v>
      </c>
      <c r="N5083">
        <v>0</v>
      </c>
      <c r="O5083">
        <v>-0.59662599999999999</v>
      </c>
      <c r="P5083">
        <v>0.94371989999999994</v>
      </c>
      <c r="Q5083">
        <v>-6.3459650000000006E-2</v>
      </c>
      <c r="R5083">
        <v>-0.32460119999999998</v>
      </c>
      <c r="S5083">
        <v>3.2629999999999999</v>
      </c>
      <c r="T5083">
        <v>0.16186020000000001</v>
      </c>
      <c r="U5083">
        <v>0.18380739999999901</v>
      </c>
      <c r="V5083">
        <v>-0.30208609999999902</v>
      </c>
      <c r="W5083">
        <v>-5.2591980000000003E-2</v>
      </c>
      <c r="X5083">
        <v>0.95182880000000003</v>
      </c>
      <c r="Y5083">
        <v>-0.63943139999999998</v>
      </c>
      <c r="Z5083">
        <v>-4.3897470000000001E-2</v>
      </c>
      <c r="AA5083">
        <v>0.767594</v>
      </c>
      <c r="AB5083">
        <v>18</v>
      </c>
      <c r="AC5083">
        <v>116.108</v>
      </c>
      <c r="AD5083">
        <v>5.7666190000000004</v>
      </c>
      <c r="AE5083">
        <v>6.6437400000000002</v>
      </c>
      <c r="AF5083">
        <v>-74.429037376377195</v>
      </c>
      <c r="AG5083">
        <v>5.7666190000000004</v>
      </c>
      <c r="AH5083">
        <v>88.990235585403298</v>
      </c>
      <c r="AI5083">
        <v>87.154352469300505</v>
      </c>
      <c r="AJ5083">
        <v>129.90820323055399</v>
      </c>
      <c r="AK5083">
        <v>116.15591904423501</v>
      </c>
    </row>
    <row r="5084" spans="1:37" x14ac:dyDescent="0.2">
      <c r="A5084" t="str">
        <f>"20200111160320792"</f>
        <v>20200111160320792</v>
      </c>
      <c r="B5084" t="str">
        <f>"1578729800787995"</f>
        <v>1578729800787995</v>
      </c>
      <c r="C5084" t="s">
        <v>37</v>
      </c>
      <c r="D5084">
        <v>5.1459330000000003</v>
      </c>
      <c r="E5084">
        <v>0.34372659999999899</v>
      </c>
      <c r="F5084" t="s">
        <v>74</v>
      </c>
      <c r="G5084">
        <v>-169.244</v>
      </c>
      <c r="H5084">
        <v>7.1238299999999999</v>
      </c>
      <c r="I5084">
        <v>-53.723750000000003</v>
      </c>
      <c r="J5084">
        <v>-285.20400000000001</v>
      </c>
      <c r="K5084">
        <v>1.1088169999999999</v>
      </c>
      <c r="L5084">
        <v>-60.998629999999999</v>
      </c>
      <c r="M5084">
        <v>0.80790869999999904</v>
      </c>
      <c r="N5084">
        <v>0</v>
      </c>
      <c r="O5084">
        <v>-0.58912249999999999</v>
      </c>
      <c r="P5084">
        <v>0.9462429</v>
      </c>
      <c r="Q5084">
        <v>-6.1307390000000003E-2</v>
      </c>
      <c r="R5084">
        <v>-0.3175944</v>
      </c>
      <c r="S5084">
        <v>3.2596129999999999</v>
      </c>
      <c r="T5084">
        <v>0.1688656</v>
      </c>
      <c r="U5084">
        <v>0.2015381</v>
      </c>
      <c r="V5084">
        <v>-0.30037970000000003</v>
      </c>
      <c r="W5084">
        <v>-5.0421569999999999E-2</v>
      </c>
      <c r="X5084">
        <v>0.952486099999999</v>
      </c>
      <c r="Y5084">
        <v>-0.63635750000000002</v>
      </c>
      <c r="Z5084">
        <v>-4.5449499999999997E-2</v>
      </c>
      <c r="AA5084">
        <v>0.77005419999999902</v>
      </c>
      <c r="AB5084">
        <v>18</v>
      </c>
      <c r="AC5084">
        <v>115.959999999999</v>
      </c>
      <c r="AD5084">
        <v>6.0150129999999997</v>
      </c>
      <c r="AE5084">
        <v>7.2748799999999996</v>
      </c>
      <c r="AF5084">
        <v>-74.001847835790997</v>
      </c>
      <c r="AG5084">
        <v>6.0150129999999997</v>
      </c>
      <c r="AH5084">
        <v>89.1700683976498</v>
      </c>
      <c r="AI5084">
        <v>87.028533733558604</v>
      </c>
      <c r="AJ5084">
        <v>129.68913136854599</v>
      </c>
      <c r="AK5084">
        <v>116.033421747974</v>
      </c>
    </row>
    <row r="5085" spans="1:37" x14ac:dyDescent="0.2">
      <c r="A5085" t="str">
        <f>"20200111160320814"</f>
        <v>20200111160320814</v>
      </c>
      <c r="B5085" t="str">
        <f>"1578729800808491"</f>
        <v>1578729800808491</v>
      </c>
      <c r="C5085" t="s">
        <v>37</v>
      </c>
      <c r="D5085">
        <v>5.1827050000000003</v>
      </c>
      <c r="E5085">
        <v>0.36528040000000001</v>
      </c>
      <c r="F5085" t="s">
        <v>74</v>
      </c>
      <c r="G5085">
        <v>-169.244</v>
      </c>
      <c r="H5085">
        <v>7.3671509999999998</v>
      </c>
      <c r="I5085">
        <v>-53.294409999999999</v>
      </c>
      <c r="J5085">
        <v>-285.05599999999998</v>
      </c>
      <c r="K5085">
        <v>1.108859</v>
      </c>
      <c r="L5085">
        <v>-61.092649999999999</v>
      </c>
      <c r="M5085">
        <v>0.81337269999999995</v>
      </c>
      <c r="N5085">
        <v>0</v>
      </c>
      <c r="O5085">
        <v>-0.58155489999999999</v>
      </c>
      <c r="P5085">
        <v>0.94867190000000001</v>
      </c>
      <c r="Q5085">
        <v>-5.7376240000000002E-2</v>
      </c>
      <c r="R5085">
        <v>-0.3110137</v>
      </c>
      <c r="S5085">
        <v>3.2543950000000001</v>
      </c>
      <c r="T5085">
        <v>0.17563819999999999</v>
      </c>
      <c r="U5085">
        <v>0.21621699999999999</v>
      </c>
      <c r="V5085">
        <v>-0.29828890000000002</v>
      </c>
      <c r="W5085">
        <v>-4.6463890000000001E-2</v>
      </c>
      <c r="X5085">
        <v>0.95334399999999997</v>
      </c>
      <c r="Y5085">
        <v>-0.63257569999999996</v>
      </c>
      <c r="Z5085">
        <v>-4.6909680000000002E-2</v>
      </c>
      <c r="AA5085">
        <v>0.77307669999999995</v>
      </c>
      <c r="AB5085">
        <v>18</v>
      </c>
      <c r="AC5085">
        <v>115.811999999999</v>
      </c>
      <c r="AD5085">
        <v>6.258292</v>
      </c>
      <c r="AE5085">
        <v>7.7982399999999998</v>
      </c>
      <c r="AF5085">
        <v>-73.488345091338303</v>
      </c>
      <c r="AG5085">
        <v>6.258292</v>
      </c>
      <c r="AH5085">
        <v>89.413102142537099</v>
      </c>
      <c r="AI5085">
        <v>86.9048587797257</v>
      </c>
      <c r="AJ5085">
        <v>129.41667683513199</v>
      </c>
      <c r="AK5085">
        <v>115.906884686685</v>
      </c>
    </row>
    <row r="5086" spans="1:37" x14ac:dyDescent="0.2">
      <c r="A5086" t="str">
        <f>"20200111160320837"</f>
        <v>20200111160320837</v>
      </c>
      <c r="B5086" t="str">
        <f>"1578729800828010"</f>
        <v>1578729800828010</v>
      </c>
      <c r="C5086" t="s">
        <v>37</v>
      </c>
      <c r="D5086">
        <v>5.0959500000000002</v>
      </c>
      <c r="E5086">
        <v>0.36463620000000002</v>
      </c>
      <c r="F5086" t="s">
        <v>74</v>
      </c>
      <c r="G5086">
        <v>-157.3501</v>
      </c>
      <c r="H5086">
        <v>6.2014589999999998</v>
      </c>
      <c r="I5086">
        <v>-57.971739999999997</v>
      </c>
      <c r="J5086">
        <v>-284.90910000000002</v>
      </c>
      <c r="K5086">
        <v>1.1088910000000001</v>
      </c>
      <c r="L5086">
        <v>-61.183959999999999</v>
      </c>
      <c r="M5086">
        <v>0.81872789999999995</v>
      </c>
      <c r="N5086">
        <v>0</v>
      </c>
      <c r="O5086">
        <v>-0.57399149999999999</v>
      </c>
      <c r="P5086">
        <v>0.95071819999999896</v>
      </c>
      <c r="Q5086">
        <v>-5.3221169999999998E-2</v>
      </c>
      <c r="R5086">
        <v>-0.30545539999999999</v>
      </c>
      <c r="S5086">
        <v>3.19558699999999</v>
      </c>
      <c r="T5086">
        <v>0.12743160000000001</v>
      </c>
      <c r="U5086">
        <v>7.8094479999999994E-2</v>
      </c>
      <c r="V5086">
        <v>-0.29521609999999998</v>
      </c>
      <c r="W5086">
        <v>-4.2263820000000001E-2</v>
      </c>
      <c r="X5086">
        <v>0.95449530000000005</v>
      </c>
      <c r="Y5086">
        <v>-0.59300249999999999</v>
      </c>
      <c r="Z5086">
        <v>-3.3596380000000002E-2</v>
      </c>
      <c r="AA5086">
        <v>0.80449939999999998</v>
      </c>
      <c r="AB5086">
        <v>18</v>
      </c>
      <c r="AC5086">
        <v>127.559</v>
      </c>
      <c r="AD5086">
        <v>5.092568</v>
      </c>
      <c r="AE5086">
        <v>3.2122199999999901</v>
      </c>
      <c r="AF5086">
        <v>-75.735363767022903</v>
      </c>
      <c r="AG5086">
        <v>5.092568</v>
      </c>
      <c r="AH5086">
        <v>102.440356703421</v>
      </c>
      <c r="AI5086">
        <v>87.710868417492406</v>
      </c>
      <c r="AJ5086">
        <v>126.4759536904</v>
      </c>
      <c r="AK5086">
        <v>127.49825981276</v>
      </c>
    </row>
    <row r="5087" spans="1:37" x14ac:dyDescent="0.2">
      <c r="A5087" t="str">
        <f>"20200111160320858"</f>
        <v>20200111160320858</v>
      </c>
      <c r="B5087" t="str">
        <f>"1578729800848507"</f>
        <v>1578729800848507</v>
      </c>
      <c r="C5087" t="s">
        <v>37</v>
      </c>
      <c r="D5087">
        <v>5.1059859999999997</v>
      </c>
      <c r="E5087">
        <v>0.3652087</v>
      </c>
      <c r="F5087" t="s">
        <v>74</v>
      </c>
      <c r="G5087">
        <v>-157.3501</v>
      </c>
      <c r="H5087">
        <v>6.1795839999999904</v>
      </c>
      <c r="I5087">
        <v>-57.128209999999903</v>
      </c>
      <c r="J5087">
        <v>-284.7706</v>
      </c>
      <c r="K5087">
        <v>1.1089180000000001</v>
      </c>
      <c r="L5087">
        <v>-61.268340000000002</v>
      </c>
      <c r="M5087">
        <v>0.82372109999999998</v>
      </c>
      <c r="N5087">
        <v>0</v>
      </c>
      <c r="O5087">
        <v>-0.56680220000000003</v>
      </c>
      <c r="P5087">
        <v>0.95214639999999995</v>
      </c>
      <c r="Q5087">
        <v>-4.8817319999999997E-2</v>
      </c>
      <c r="R5087">
        <v>-0.3017184</v>
      </c>
      <c r="S5087">
        <v>3.1952509999999998</v>
      </c>
      <c r="T5087">
        <v>0.1270162</v>
      </c>
      <c r="U5087">
        <v>0.101592999999999</v>
      </c>
      <c r="V5087">
        <v>-0.29079060000000001</v>
      </c>
      <c r="W5087">
        <v>-3.7792539999999999E-2</v>
      </c>
      <c r="X5087">
        <v>0.95604</v>
      </c>
      <c r="Y5087">
        <v>-0.59188269999999998</v>
      </c>
      <c r="Z5087">
        <v>-3.323802E-2</v>
      </c>
      <c r="AA5087">
        <v>0.80533859999999902</v>
      </c>
      <c r="AB5087">
        <v>17</v>
      </c>
      <c r="AC5087">
        <v>127.4205</v>
      </c>
      <c r="AD5087">
        <v>5.0706659999999903</v>
      </c>
      <c r="AE5087">
        <v>4.1401300000000001</v>
      </c>
      <c r="AF5087">
        <v>-75.521337217792905</v>
      </c>
      <c r="AG5087">
        <v>5.0706659999999903</v>
      </c>
      <c r="AH5087">
        <v>102.461459003012</v>
      </c>
      <c r="AI5087">
        <v>87.718733000824201</v>
      </c>
      <c r="AJ5087">
        <v>126.39283882471599</v>
      </c>
      <c r="AK5087">
        <v>127.387340854078</v>
      </c>
    </row>
    <row r="5088" spans="1:37" x14ac:dyDescent="0.2">
      <c r="A5088" t="str">
        <f>"20200111160320881"</f>
        <v>20200111160320881</v>
      </c>
      <c r="B5088" t="str">
        <f>"1578729800878763"</f>
        <v>1578729800878763</v>
      </c>
      <c r="C5088" t="s">
        <v>37</v>
      </c>
      <c r="D5088">
        <v>5.0951599999999999</v>
      </c>
      <c r="E5088">
        <v>0.36669550000000001</v>
      </c>
      <c r="F5088" t="s">
        <v>74</v>
      </c>
      <c r="G5088">
        <v>-157.3501</v>
      </c>
      <c r="H5088">
        <v>6.5258959999999897</v>
      </c>
      <c r="I5088">
        <v>-56.903959999999998</v>
      </c>
      <c r="J5088">
        <v>-284.6234</v>
      </c>
      <c r="K5088">
        <v>1.108946</v>
      </c>
      <c r="L5088">
        <v>-61.356050000000003</v>
      </c>
      <c r="M5088">
        <v>0.82896479999999995</v>
      </c>
      <c r="N5088">
        <v>0</v>
      </c>
      <c r="O5088">
        <v>-0.55910499999999996</v>
      </c>
      <c r="P5088">
        <v>0.95374380000000003</v>
      </c>
      <c r="Q5088">
        <v>-4.5674390000000002E-2</v>
      </c>
      <c r="R5088">
        <v>-0.29713139999999999</v>
      </c>
      <c r="S5088">
        <v>3.192383</v>
      </c>
      <c r="T5088">
        <v>0.135716</v>
      </c>
      <c r="U5088">
        <v>0.1093445</v>
      </c>
      <c r="V5088">
        <v>-0.28660790000000003</v>
      </c>
      <c r="W5088">
        <v>-3.4587899999999998E-2</v>
      </c>
      <c r="X5088">
        <v>0.95742340000000004</v>
      </c>
      <c r="Y5088">
        <v>-0.58622730000000001</v>
      </c>
      <c r="Z5088">
        <v>-3.5151679999999998E-2</v>
      </c>
      <c r="AA5088">
        <v>0.80938369999999904</v>
      </c>
      <c r="AB5088">
        <v>17</v>
      </c>
      <c r="AC5088">
        <v>127.27330000000001</v>
      </c>
      <c r="AD5088">
        <v>5.4169499999999999</v>
      </c>
      <c r="AE5088">
        <v>4.4520900000000001</v>
      </c>
      <c r="AF5088">
        <v>-74.722766330163196</v>
      </c>
      <c r="AG5088">
        <v>5.4169499999999999</v>
      </c>
      <c r="AH5088">
        <v>102.841112316972</v>
      </c>
      <c r="AI5088">
        <v>87.559959734236799</v>
      </c>
      <c r="AJ5088">
        <v>126.001576917121</v>
      </c>
      <c r="AK5088">
        <v>127.236510239501</v>
      </c>
    </row>
    <row r="5089" spans="1:37" x14ac:dyDescent="0.2">
      <c r="A5089" t="str">
        <f>"20200111160320904"</f>
        <v>20200111160320904</v>
      </c>
      <c r="B5089" t="str">
        <f>"1578729800898282"</f>
        <v>1578729800898282</v>
      </c>
      <c r="C5089" t="s">
        <v>37</v>
      </c>
      <c r="D5089">
        <v>5.1719390000000001</v>
      </c>
      <c r="E5089">
        <v>0.3918449</v>
      </c>
      <c r="F5089" t="s">
        <v>74</v>
      </c>
      <c r="G5089">
        <v>-157.90029999999999</v>
      </c>
      <c r="H5089">
        <v>6.6740880000000002</v>
      </c>
      <c r="I5089">
        <v>-56.843989999999998</v>
      </c>
      <c r="J5089">
        <v>-284.47379999999998</v>
      </c>
      <c r="K5089">
        <v>1.108968</v>
      </c>
      <c r="L5089">
        <v>-61.443300000000001</v>
      </c>
      <c r="M5089">
        <v>0.83423599999999998</v>
      </c>
      <c r="N5089">
        <v>0</v>
      </c>
      <c r="O5089">
        <v>-0.55120899999999995</v>
      </c>
      <c r="P5089">
        <v>0.955569</v>
      </c>
      <c r="Q5089">
        <v>-4.4042289999999998E-2</v>
      </c>
      <c r="R5089">
        <v>-0.29145900000000002</v>
      </c>
      <c r="S5089">
        <v>3.1875610000000001</v>
      </c>
      <c r="T5089">
        <v>0.13998350000000001</v>
      </c>
      <c r="U5089">
        <v>0.113494899999999</v>
      </c>
      <c r="V5089">
        <v>-0.28326570000000001</v>
      </c>
      <c r="W5089">
        <v>-3.2910630000000003E-2</v>
      </c>
      <c r="X5089">
        <v>0.95847660000000001</v>
      </c>
      <c r="Y5089">
        <v>-0.57956219999999903</v>
      </c>
      <c r="Z5089">
        <v>-3.5871989999999999E-2</v>
      </c>
      <c r="AA5089">
        <v>0.81413809999999998</v>
      </c>
      <c r="AB5089">
        <v>17</v>
      </c>
      <c r="AC5089">
        <v>126.5735</v>
      </c>
      <c r="AD5089">
        <v>5.5651199999999896</v>
      </c>
      <c r="AE5089">
        <v>4.5993099999999902</v>
      </c>
      <c r="AF5089">
        <v>-73.471577426547597</v>
      </c>
      <c r="AG5089">
        <v>5.5651199999999896</v>
      </c>
      <c r="AH5089">
        <v>102.869673168783</v>
      </c>
      <c r="AI5089">
        <v>87.479276799723706</v>
      </c>
      <c r="AJ5089">
        <v>125.53518437314101</v>
      </c>
      <c r="AK5089">
        <v>126.535421554645</v>
      </c>
    </row>
    <row r="5090" spans="1:37" x14ac:dyDescent="0.2">
      <c r="A5090" t="str">
        <f>"20200111160320925"</f>
        <v>20200111160320925</v>
      </c>
      <c r="B5090" t="str">
        <f>"1578729800918778"</f>
        <v>1578729800918778</v>
      </c>
      <c r="C5090" t="s">
        <v>37</v>
      </c>
      <c r="D5090">
        <v>5.0805150000000001</v>
      </c>
      <c r="E5090">
        <v>0.41252259999999902</v>
      </c>
      <c r="F5090" t="s">
        <v>42</v>
      </c>
      <c r="G5090">
        <v>-283.57889999999998</v>
      </c>
      <c r="H5090">
        <v>1.0702969999999901</v>
      </c>
      <c r="I5090">
        <v>-61.457500000000003</v>
      </c>
      <c r="J5090">
        <v>-284.33</v>
      </c>
      <c r="K5090">
        <v>1.108986</v>
      </c>
      <c r="L5090">
        <v>-61.525209999999902</v>
      </c>
      <c r="M5090">
        <v>0.83924219999999905</v>
      </c>
      <c r="N5090">
        <v>0</v>
      </c>
      <c r="O5090">
        <v>-0.54355629999999999</v>
      </c>
      <c r="P5090">
        <v>0.95725530000000003</v>
      </c>
      <c r="Q5090">
        <v>-4.3835810000000003E-2</v>
      </c>
      <c r="R5090">
        <v>-0.28590409999999999</v>
      </c>
      <c r="S5090">
        <v>3.118347</v>
      </c>
      <c r="T5090">
        <v>-0.134737</v>
      </c>
      <c r="U5090">
        <v>-4.9011230000000003E-2</v>
      </c>
      <c r="V5090">
        <v>-0.28007309999999902</v>
      </c>
      <c r="W5090">
        <v>-3.2664249999999999E-2</v>
      </c>
      <c r="X5090">
        <v>0.95942280000000002</v>
      </c>
      <c r="Y5090">
        <v>-0.52940399999999999</v>
      </c>
      <c r="Z5090">
        <v>3.3856659999999997E-2</v>
      </c>
      <c r="AA5090">
        <v>0.84769399999999995</v>
      </c>
      <c r="AB5090">
        <v>17</v>
      </c>
      <c r="AC5090">
        <v>0.75110000000000798</v>
      </c>
      <c r="AD5090">
        <v>-3.8689000000000202E-2</v>
      </c>
      <c r="AE5090">
        <v>6.7709999999991E-2</v>
      </c>
      <c r="AF5090">
        <v>-0.46392020271869699</v>
      </c>
      <c r="AG5090">
        <v>-3.8689000000000202E-2</v>
      </c>
      <c r="AH5090">
        <v>0.59205742904258496</v>
      </c>
      <c r="AI5090">
        <v>92.944514967406207</v>
      </c>
      <c r="AJ5090">
        <v>128.08129013265</v>
      </c>
      <c r="AK5090">
        <v>0.75316053567355201</v>
      </c>
    </row>
    <row r="5091" spans="1:37" x14ac:dyDescent="0.2">
      <c r="A5091" t="str">
        <f>"20200111160320948"</f>
        <v>20200111160320948</v>
      </c>
      <c r="B5091" t="str">
        <f>"1578729800938915"</f>
        <v>1578729800938915</v>
      </c>
      <c r="C5091" t="s">
        <v>37</v>
      </c>
      <c r="D5091">
        <v>5.2188189999999999</v>
      </c>
      <c r="E5091">
        <v>0.42162379999999999</v>
      </c>
      <c r="F5091" t="s">
        <v>42</v>
      </c>
      <c r="G5091">
        <v>-283.46749999999997</v>
      </c>
      <c r="H5091">
        <v>1.05604599999999</v>
      </c>
      <c r="I5091">
        <v>-61.577829999999999</v>
      </c>
      <c r="J5091">
        <v>-284.1823</v>
      </c>
      <c r="K5091">
        <v>1.1090089999999999</v>
      </c>
      <c r="L5091">
        <v>-61.607509999999998</v>
      </c>
      <c r="M5091">
        <v>0.84432850000000004</v>
      </c>
      <c r="N5091">
        <v>0</v>
      </c>
      <c r="O5091">
        <v>-0.53562100000000001</v>
      </c>
      <c r="P5091">
        <v>0.95913510000000002</v>
      </c>
      <c r="Q5091">
        <v>-4.4413349999999997E-2</v>
      </c>
      <c r="R5091">
        <v>-0.27944089999999999</v>
      </c>
      <c r="S5091">
        <v>3.0694889999999999</v>
      </c>
      <c r="T5091">
        <v>-0.18840689999999999</v>
      </c>
      <c r="U5091">
        <v>-0.1869507</v>
      </c>
      <c r="V5091">
        <v>-0.27747899999999998</v>
      </c>
      <c r="W5091">
        <v>-3.3213859999999998E-2</v>
      </c>
      <c r="X5091">
        <v>0.96015740000000005</v>
      </c>
      <c r="Y5091">
        <v>-0.48154639999999999</v>
      </c>
      <c r="Z5091">
        <v>4.6053570000000002E-2</v>
      </c>
      <c r="AA5091">
        <v>0.87520980000000004</v>
      </c>
      <c r="AB5091">
        <v>17</v>
      </c>
      <c r="AC5091">
        <v>0.71480000000002497</v>
      </c>
      <c r="AD5091">
        <v>-5.2963000000000003E-2</v>
      </c>
      <c r="AE5091">
        <v>2.96799999999919E-2</v>
      </c>
      <c r="AF5091">
        <v>-0.40574263098191898</v>
      </c>
      <c r="AG5091">
        <v>-5.2963000000000003E-2</v>
      </c>
      <c r="AH5091">
        <v>0.58448993735814003</v>
      </c>
      <c r="AI5091">
        <v>94.257063256982505</v>
      </c>
      <c r="AJ5091">
        <v>124.767701151822</v>
      </c>
      <c r="AK5091">
        <v>0.71348486237484599</v>
      </c>
    </row>
    <row r="5092" spans="1:37" x14ac:dyDescent="0.2">
      <c r="A5092" t="str">
        <f>"20200111160320971"</f>
        <v>20200111160320971</v>
      </c>
      <c r="B5092" t="str">
        <f>"1578729800958435"</f>
        <v>1578729800958435</v>
      </c>
      <c r="C5092" t="s">
        <v>37</v>
      </c>
      <c r="D5092">
        <v>5.1307460000000003</v>
      </c>
      <c r="E5092">
        <v>0.42618349999999999</v>
      </c>
      <c r="F5092" t="s">
        <v>42</v>
      </c>
      <c r="G5092">
        <v>-283.2441</v>
      </c>
      <c r="H5092">
        <v>1.044287</v>
      </c>
      <c r="I5092">
        <v>-61.679919999999903</v>
      </c>
      <c r="J5092">
        <v>-284.03449999999998</v>
      </c>
      <c r="K5092">
        <v>1.1090309999999901</v>
      </c>
      <c r="L5092">
        <v>-61.687899999999999</v>
      </c>
      <c r="M5092">
        <v>0.8493617</v>
      </c>
      <c r="N5092">
        <v>0</v>
      </c>
      <c r="O5092">
        <v>-0.52760309999999999</v>
      </c>
      <c r="P5092">
        <v>0.96123440000000004</v>
      </c>
      <c r="Q5092">
        <v>-4.5667699999999999E-2</v>
      </c>
      <c r="R5092">
        <v>-0.27192430000000001</v>
      </c>
      <c r="S5092">
        <v>3.0495610000000002</v>
      </c>
      <c r="T5092">
        <v>-0.21035389999999901</v>
      </c>
      <c r="U5092">
        <v>-0.23510739999999999</v>
      </c>
      <c r="V5092">
        <v>-0.27585859999999901</v>
      </c>
      <c r="W5092">
        <v>-3.4455949999999999E-2</v>
      </c>
      <c r="X5092">
        <v>0.96058049999999995</v>
      </c>
      <c r="Y5092">
        <v>-0.45859939999999999</v>
      </c>
      <c r="Z5092">
        <v>5.0415149999999999E-2</v>
      </c>
      <c r="AA5092">
        <v>0.88721190000000005</v>
      </c>
      <c r="AB5092">
        <v>17</v>
      </c>
      <c r="AC5092">
        <v>0.79039999999997601</v>
      </c>
      <c r="AD5092">
        <v>-6.4743999999999594E-2</v>
      </c>
      <c r="AE5092">
        <v>7.9800000000034305E-3</v>
      </c>
      <c r="AF5092">
        <v>-0.42101732652689899</v>
      </c>
      <c r="AG5092">
        <v>-6.4743999999999594E-2</v>
      </c>
      <c r="AH5092">
        <v>0.66275206550835897</v>
      </c>
      <c r="AI5092">
        <v>94.713848768434303</v>
      </c>
      <c r="AJ5092">
        <v>122.426005166698</v>
      </c>
      <c r="AK5092">
        <v>0.78783734051354404</v>
      </c>
    </row>
    <row r="5093" spans="1:37" x14ac:dyDescent="0.2">
      <c r="A5093" t="str">
        <f>"20200111160320993"</f>
        <v>20200111160320993</v>
      </c>
      <c r="B5093" t="str">
        <f>"1578729800988691"</f>
        <v>1578729800988691</v>
      </c>
      <c r="C5093" t="s">
        <v>37</v>
      </c>
      <c r="D5093">
        <v>5.183719</v>
      </c>
      <c r="E5093">
        <v>0.4288477</v>
      </c>
      <c r="F5093" t="s">
        <v>42</v>
      </c>
      <c r="G5093">
        <v>-283.06880000000001</v>
      </c>
      <c r="H5093">
        <v>1.0368409999999999</v>
      </c>
      <c r="I5093">
        <v>-61.765889999999999</v>
      </c>
      <c r="J5093">
        <v>-283.88319999999999</v>
      </c>
      <c r="K5093">
        <v>1.109049</v>
      </c>
      <c r="L5093">
        <v>-61.768009999999997</v>
      </c>
      <c r="M5093">
        <v>0.85444929999999997</v>
      </c>
      <c r="N5093">
        <v>0</v>
      </c>
      <c r="O5093">
        <v>-0.51932349999999905</v>
      </c>
      <c r="P5093">
        <v>0.96353419999999901</v>
      </c>
      <c r="Q5093">
        <v>-4.620353E-2</v>
      </c>
      <c r="R5093">
        <v>-0.26356649999999998</v>
      </c>
      <c r="S5093">
        <v>3.04068</v>
      </c>
      <c r="T5093">
        <v>-0.227309499999999</v>
      </c>
      <c r="U5093">
        <v>-0.24566650000000001</v>
      </c>
      <c r="V5093">
        <v>-0.27484429999999999</v>
      </c>
      <c r="W5093">
        <v>-3.4986280000000002E-2</v>
      </c>
      <c r="X5093">
        <v>0.96085200000000004</v>
      </c>
      <c r="Y5093">
        <v>-0.44633970000000001</v>
      </c>
      <c r="Z5093">
        <v>5.362418E-2</v>
      </c>
      <c r="AA5093">
        <v>0.89325549999999998</v>
      </c>
      <c r="AB5093">
        <v>17</v>
      </c>
      <c r="AC5093">
        <v>0.81439999999997703</v>
      </c>
      <c r="AD5093">
        <v>-7.2207999999999994E-2</v>
      </c>
      <c r="AE5093">
        <v>2.1199999999979E-3</v>
      </c>
      <c r="AF5093">
        <v>-0.42148173639569902</v>
      </c>
      <c r="AG5093">
        <v>-7.2207999999999994E-2</v>
      </c>
      <c r="AH5093">
        <v>0.689419102675221</v>
      </c>
      <c r="AI5093">
        <v>95.106430764681505</v>
      </c>
      <c r="AJ5093">
        <v>121.43985490246899</v>
      </c>
      <c r="AK5093">
        <v>0.81127033010744398</v>
      </c>
    </row>
    <row r="5094" spans="1:37" x14ac:dyDescent="0.2">
      <c r="A5094" t="str">
        <f>"20200111160321016"</f>
        <v>20200111160321016</v>
      </c>
      <c r="B5094" t="str">
        <f>"1578729801008211"</f>
        <v>1578729801008211</v>
      </c>
      <c r="C5094" t="s">
        <v>37</v>
      </c>
      <c r="D5094">
        <v>5.0838869999999998</v>
      </c>
      <c r="E5094">
        <v>0.43023359999999899</v>
      </c>
      <c r="F5094" t="s">
        <v>42</v>
      </c>
      <c r="G5094">
        <v>-282.91120000000001</v>
      </c>
      <c r="H5094">
        <v>1.033131</v>
      </c>
      <c r="I5094">
        <v>-61.844869999999901</v>
      </c>
      <c r="J5094">
        <v>-283.7337</v>
      </c>
      <c r="K5094">
        <v>1.1090530000000001</v>
      </c>
      <c r="L5094">
        <v>-61.84534</v>
      </c>
      <c r="M5094">
        <v>0.85941229999999902</v>
      </c>
      <c r="N5094">
        <v>0</v>
      </c>
      <c r="O5094">
        <v>-0.51106819999999997</v>
      </c>
      <c r="P5094">
        <v>0.96567060000000005</v>
      </c>
      <c r="Q5094">
        <v>-4.6960259999999997E-2</v>
      </c>
      <c r="R5094">
        <v>-0.25548999999999999</v>
      </c>
      <c r="S5094">
        <v>3.0367130000000002</v>
      </c>
      <c r="T5094">
        <v>-0.2371566</v>
      </c>
      <c r="U5094">
        <v>-0.239410399999999</v>
      </c>
      <c r="V5094">
        <v>-0.27360489999999998</v>
      </c>
      <c r="W5094">
        <v>-3.5728849999999999E-2</v>
      </c>
      <c r="X5094">
        <v>0.96117839999999999</v>
      </c>
      <c r="Y5094">
        <v>-0.43925979999999998</v>
      </c>
      <c r="Z5094">
        <v>5.5192789999999999E-2</v>
      </c>
      <c r="AA5094">
        <v>0.89666299999999899</v>
      </c>
      <c r="AB5094">
        <v>17</v>
      </c>
      <c r="AC5094">
        <v>0.82249999999999002</v>
      </c>
      <c r="AD5094">
        <v>-7.5922000000000003E-2</v>
      </c>
      <c r="AE5094">
        <v>4.70000000007075E-4</v>
      </c>
      <c r="AF5094">
        <v>-0.41724861336209201</v>
      </c>
      <c r="AG5094">
        <v>-7.5922000000000003E-2</v>
      </c>
      <c r="AH5094">
        <v>0.70073350774928</v>
      </c>
      <c r="AI5094">
        <v>95.318499521594703</v>
      </c>
      <c r="AJ5094">
        <v>120.77149323106001</v>
      </c>
      <c r="AK5094">
        <v>0.81907753254450799</v>
      </c>
    </row>
    <row r="5095" spans="1:37" x14ac:dyDescent="0.2">
      <c r="A5095" t="str">
        <f>"20200111160321037"</f>
        <v>20200111160321037</v>
      </c>
      <c r="B5095" t="str">
        <f>"1578729801028370"</f>
        <v>1578729801028370</v>
      </c>
      <c r="C5095" t="s">
        <v>37</v>
      </c>
      <c r="D5095">
        <v>5.1097469999999996</v>
      </c>
      <c r="E5095">
        <v>0.43186019999999897</v>
      </c>
      <c r="F5095" t="s">
        <v>42</v>
      </c>
      <c r="G5095">
        <v>-282.73660000000001</v>
      </c>
      <c r="H5095">
        <v>1.0285599999999999</v>
      </c>
      <c r="I5095">
        <v>-61.918849999999999</v>
      </c>
      <c r="J5095">
        <v>-283.59160000000003</v>
      </c>
      <c r="K5095">
        <v>1.1090610000000001</v>
      </c>
      <c r="L5095">
        <v>-61.917019999999901</v>
      </c>
      <c r="M5095">
        <v>0.86405889999999996</v>
      </c>
      <c r="N5095">
        <v>0</v>
      </c>
      <c r="O5095">
        <v>-0.50317239999999996</v>
      </c>
      <c r="P5095">
        <v>0.9677019</v>
      </c>
      <c r="Q5095">
        <v>-4.6909119999999999E-2</v>
      </c>
      <c r="R5095">
        <v>-0.2476951</v>
      </c>
      <c r="S5095">
        <v>3.0353699999999999</v>
      </c>
      <c r="T5095">
        <v>-0.24506829999999999</v>
      </c>
      <c r="U5095">
        <v>-0.22436519999999999</v>
      </c>
      <c r="V5095">
        <v>-0.27255079999999998</v>
      </c>
      <c r="W5095">
        <v>-3.56613E-2</v>
      </c>
      <c r="X5095">
        <v>0.96148029999999995</v>
      </c>
      <c r="Y5095">
        <v>-0.43526599999999999</v>
      </c>
      <c r="Z5095">
        <v>5.636414E-2</v>
      </c>
      <c r="AA5095">
        <v>0.8985358</v>
      </c>
      <c r="AB5095">
        <v>17</v>
      </c>
      <c r="AC5095">
        <v>0.85500000000001797</v>
      </c>
      <c r="AD5095">
        <v>-8.0500999999999906E-2</v>
      </c>
      <c r="AE5095">
        <v>-1.83000000000532E-3</v>
      </c>
      <c r="AF5095">
        <v>-0.42491152809347599</v>
      </c>
      <c r="AG5095">
        <v>-8.0500999999999906E-2</v>
      </c>
      <c r="AH5095">
        <v>0.733272151310702</v>
      </c>
      <c r="AI5095">
        <v>95.426111056941295</v>
      </c>
      <c r="AJ5095">
        <v>120.091140505761</v>
      </c>
      <c r="AK5095">
        <v>0.85130386208190001</v>
      </c>
    </row>
    <row r="5096" spans="1:37" x14ac:dyDescent="0.2">
      <c r="A5096" t="str">
        <f>"20200111160321059"</f>
        <v>20200111160321059</v>
      </c>
      <c r="B5096" t="str">
        <f>"1578729801048854"</f>
        <v>1578729801048854</v>
      </c>
      <c r="C5096" t="s">
        <v>37</v>
      </c>
      <c r="D5096">
        <v>5.169187</v>
      </c>
      <c r="E5096">
        <v>0.43299199999999999</v>
      </c>
      <c r="F5096" t="s">
        <v>38</v>
      </c>
      <c r="G5096">
        <v>-270.02659999999997</v>
      </c>
      <c r="H5096" s="1">
        <v>2.8226159999999902E-7</v>
      </c>
      <c r="I5096">
        <v>-62.86636</v>
      </c>
      <c r="J5096">
        <v>-283.44260000000003</v>
      </c>
      <c r="K5096">
        <v>1.1090629999999999</v>
      </c>
      <c r="L5096">
        <v>-61.990389999999998</v>
      </c>
      <c r="M5096">
        <v>0.86886790000000003</v>
      </c>
      <c r="N5096">
        <v>0</v>
      </c>
      <c r="O5096">
        <v>-0.49482179999999998</v>
      </c>
      <c r="P5096">
        <v>0.96974419999999995</v>
      </c>
      <c r="Q5096">
        <v>-4.6156030000000001E-2</v>
      </c>
      <c r="R5096">
        <v>-0.2397205</v>
      </c>
      <c r="S5096">
        <v>3.033722</v>
      </c>
      <c r="T5096">
        <v>-0.24803249999999999</v>
      </c>
      <c r="U5096">
        <v>-0.21231079999999899</v>
      </c>
      <c r="V5096">
        <v>-0.27122659999999998</v>
      </c>
      <c r="W5096">
        <v>-3.4884980000000003E-2</v>
      </c>
      <c r="X5096">
        <v>0.96188309999999999</v>
      </c>
      <c r="Y5096">
        <v>-0.43007420000000002</v>
      </c>
      <c r="Z5096">
        <v>5.6286219999999998E-2</v>
      </c>
      <c r="AA5096">
        <v>0.90103719999999998</v>
      </c>
      <c r="AB5096">
        <v>17</v>
      </c>
      <c r="AC5096">
        <v>13.416</v>
      </c>
      <c r="AD5096">
        <v>-1.10906271773839</v>
      </c>
      <c r="AE5096">
        <v>-0.87596999999999503</v>
      </c>
      <c r="AF5096">
        <v>-5.8383444958035202</v>
      </c>
      <c r="AG5096">
        <v>-1.10906271773839</v>
      </c>
      <c r="AH5096">
        <v>12.009785891799799</v>
      </c>
      <c r="AI5096">
        <v>94.747682167645905</v>
      </c>
      <c r="AJ5096">
        <v>115.925882165102</v>
      </c>
      <c r="AK5096">
        <v>13.3996732695402</v>
      </c>
    </row>
    <row r="5097" spans="1:37" x14ac:dyDescent="0.2">
      <c r="A5097" t="str">
        <f>"20200111160321083"</f>
        <v>20200111160321083</v>
      </c>
      <c r="B5097" t="str">
        <f>"1578729801078135"</f>
        <v>1578729801078135</v>
      </c>
      <c r="C5097" t="s">
        <v>37</v>
      </c>
      <c r="D5097">
        <v>5.1063489999999998</v>
      </c>
      <c r="E5097">
        <v>0.43429119999999999</v>
      </c>
      <c r="F5097" t="s">
        <v>94</v>
      </c>
      <c r="G5097">
        <v>-269.91640000000001</v>
      </c>
      <c r="H5097" s="1">
        <v>-3.7029539999999898E-6</v>
      </c>
      <c r="I5097">
        <v>-62.863700000000001</v>
      </c>
      <c r="J5097">
        <v>-283.28680000000003</v>
      </c>
      <c r="K5097">
        <v>1.109076</v>
      </c>
      <c r="L5097">
        <v>-62.065190000000001</v>
      </c>
      <c r="M5097">
        <v>0.8738205</v>
      </c>
      <c r="N5097">
        <v>0</v>
      </c>
      <c r="O5097">
        <v>-0.48602230000000002</v>
      </c>
      <c r="P5097">
        <v>0.97179419999999905</v>
      </c>
      <c r="Q5097">
        <v>-4.5449400000000001E-2</v>
      </c>
      <c r="R5097">
        <v>-0.23141</v>
      </c>
      <c r="S5097">
        <v>3.033325</v>
      </c>
      <c r="T5097">
        <v>-0.2487142</v>
      </c>
      <c r="U5097">
        <v>-0.1958618</v>
      </c>
      <c r="V5097">
        <v>-0.26977180000000001</v>
      </c>
      <c r="W5097">
        <v>-3.4152990000000001E-2</v>
      </c>
      <c r="X5097">
        <v>0.96231840000000002</v>
      </c>
      <c r="Y5097">
        <v>-0.42583949999999998</v>
      </c>
      <c r="Z5097">
        <v>5.5665430000000002E-2</v>
      </c>
      <c r="AA5097">
        <v>0.90308480000000002</v>
      </c>
      <c r="AB5097">
        <v>17</v>
      </c>
      <c r="AC5097">
        <v>13.3704</v>
      </c>
      <c r="AD5097">
        <v>-1.109079702954</v>
      </c>
      <c r="AE5097">
        <v>-0.79851000000000005</v>
      </c>
      <c r="AF5097">
        <v>-5.7616925356528599</v>
      </c>
      <c r="AG5097">
        <v>-1.109079702954</v>
      </c>
      <c r="AH5097">
        <v>11.990540837414001</v>
      </c>
      <c r="AI5097">
        <v>94.765759950832901</v>
      </c>
      <c r="AJ5097">
        <v>115.665207306036</v>
      </c>
      <c r="AK5097">
        <v>13.3491658254962</v>
      </c>
    </row>
    <row r="5098" spans="1:37" x14ac:dyDescent="0.2">
      <c r="A5098" t="str">
        <f>"20200111160321105"</f>
        <v>20200111160321105</v>
      </c>
      <c r="B5098" t="str">
        <f>"1578729801098630"</f>
        <v>1578729801098630</v>
      </c>
      <c r="C5098" t="s">
        <v>37</v>
      </c>
      <c r="D5098">
        <v>5.2501030000000002</v>
      </c>
      <c r="E5098">
        <v>0.435370799999999</v>
      </c>
      <c r="F5098" t="s">
        <v>94</v>
      </c>
      <c r="G5098">
        <v>-269.8544</v>
      </c>
      <c r="H5098" s="1">
        <v>-3.6814839999999998E-6</v>
      </c>
      <c r="I5098">
        <v>-62.861559999999997</v>
      </c>
      <c r="J5098">
        <v>-283.135999999999</v>
      </c>
      <c r="K5098">
        <v>1.1090850000000001</v>
      </c>
      <c r="L5098">
        <v>-62.135649999999998</v>
      </c>
      <c r="M5098">
        <v>0.87853510000000001</v>
      </c>
      <c r="N5098">
        <v>0</v>
      </c>
      <c r="O5098">
        <v>-0.47744730000000002</v>
      </c>
      <c r="P5098">
        <v>0.97373869999999896</v>
      </c>
      <c r="Q5098">
        <v>-4.4966020000000002E-2</v>
      </c>
      <c r="R5098">
        <v>-0.223184299999999</v>
      </c>
      <c r="S5098">
        <v>3.032562</v>
      </c>
      <c r="T5098">
        <v>-0.25039169999999999</v>
      </c>
      <c r="U5098">
        <v>-0.17980960000000001</v>
      </c>
      <c r="V5098">
        <v>-0.26850780000000002</v>
      </c>
      <c r="W5098">
        <v>-3.3648959999999999E-2</v>
      </c>
      <c r="X5098">
        <v>0.96268960000000003</v>
      </c>
      <c r="Y5098">
        <v>-0.421734099999999</v>
      </c>
      <c r="Z5098">
        <v>5.5281339999999998E-2</v>
      </c>
      <c r="AA5098">
        <v>0.90503279999999997</v>
      </c>
      <c r="AB5098">
        <v>17</v>
      </c>
      <c r="AC5098">
        <v>13.2815999999999</v>
      </c>
      <c r="AD5098">
        <v>-1.109088681484</v>
      </c>
      <c r="AE5098">
        <v>-0.72590999999999894</v>
      </c>
      <c r="AF5098">
        <v>-5.6647706777187299</v>
      </c>
      <c r="AG5098">
        <v>-1.109088681484</v>
      </c>
      <c r="AH5098">
        <v>11.9332930049711</v>
      </c>
      <c r="AI5098">
        <v>94.799349301285403</v>
      </c>
      <c r="AJ5098">
        <v>115.393834988729</v>
      </c>
      <c r="AK5098">
        <v>13.256062253815401</v>
      </c>
    </row>
    <row r="5099" spans="1:37" x14ac:dyDescent="0.2">
      <c r="A5099" t="str">
        <f>"20200111160321126"</f>
        <v>20200111160321126</v>
      </c>
      <c r="B5099" t="str">
        <f>"1578729801118150"</f>
        <v>1578729801118150</v>
      </c>
      <c r="C5099" t="s">
        <v>37</v>
      </c>
      <c r="D5099">
        <v>5.2639820000000004</v>
      </c>
      <c r="E5099">
        <v>0.43623640000000002</v>
      </c>
      <c r="F5099" t="s">
        <v>94</v>
      </c>
      <c r="G5099">
        <v>-269.8895</v>
      </c>
      <c r="H5099" s="1">
        <v>-3.6904439999999998E-6</v>
      </c>
      <c r="I5099">
        <v>-62.844760000000001</v>
      </c>
      <c r="J5099">
        <v>-282.9889</v>
      </c>
      <c r="K5099">
        <v>1.109092</v>
      </c>
      <c r="L5099">
        <v>-62.202640000000002</v>
      </c>
      <c r="M5099">
        <v>0.88306409999999902</v>
      </c>
      <c r="N5099">
        <v>0</v>
      </c>
      <c r="O5099">
        <v>-0.46901739999999997</v>
      </c>
      <c r="P5099">
        <v>0.9756454</v>
      </c>
      <c r="Q5099">
        <v>-4.4623900000000001E-2</v>
      </c>
      <c r="R5099">
        <v>-0.2147667</v>
      </c>
      <c r="S5099">
        <v>3.0319820000000002</v>
      </c>
      <c r="T5099">
        <v>-0.25385809999999998</v>
      </c>
      <c r="U5099">
        <v>-0.162323</v>
      </c>
      <c r="V5099">
        <v>-0.26761940000000001</v>
      </c>
      <c r="W5099">
        <v>-3.3293929999999999E-2</v>
      </c>
      <c r="X5099">
        <v>0.96294930000000001</v>
      </c>
      <c r="Y5099">
        <v>-0.41820940000000001</v>
      </c>
      <c r="Z5099">
        <v>5.5303099999999897E-2</v>
      </c>
      <c r="AA5099">
        <v>0.90666559999999896</v>
      </c>
      <c r="AB5099">
        <v>17</v>
      </c>
      <c r="AC5099">
        <v>13.099399999999999</v>
      </c>
      <c r="AD5099">
        <v>-1.1090956904439999</v>
      </c>
      <c r="AE5099">
        <v>-0.64211999999999803</v>
      </c>
      <c r="AF5099">
        <v>-5.5378249114361697</v>
      </c>
      <c r="AG5099">
        <v>-1.1090956904439999</v>
      </c>
      <c r="AH5099">
        <v>11.785798597082501</v>
      </c>
      <c r="AI5099">
        <v>94.868184406060607</v>
      </c>
      <c r="AJ5099">
        <v>115.167549766634</v>
      </c>
      <c r="AK5099">
        <v>13.0691486551832</v>
      </c>
    </row>
    <row r="5100" spans="1:37" x14ac:dyDescent="0.2">
      <c r="A5100" t="str">
        <f>"20200111160321148"</f>
        <v>20200111160321148</v>
      </c>
      <c r="B5100" t="str">
        <f>"1578729801138254"</f>
        <v>1578729801138254</v>
      </c>
      <c r="C5100" t="s">
        <v>37</v>
      </c>
      <c r="D5100">
        <v>5.1019829999999997</v>
      </c>
      <c r="E5100">
        <v>0.43605719999999998</v>
      </c>
      <c r="F5100" t="s">
        <v>94</v>
      </c>
      <c r="G5100">
        <v>-269.71030000000002</v>
      </c>
      <c r="H5100" s="1">
        <v>-3.6265439999999999E-6</v>
      </c>
      <c r="I5100">
        <v>-62.828339999999997</v>
      </c>
      <c r="J5100">
        <v>-282.84100000000001</v>
      </c>
      <c r="K5100">
        <v>1.10911</v>
      </c>
      <c r="L5100">
        <v>-62.268159999999902</v>
      </c>
      <c r="M5100">
        <v>0.88753890000000002</v>
      </c>
      <c r="N5100">
        <v>0</v>
      </c>
      <c r="O5100">
        <v>-0.460493599999999</v>
      </c>
      <c r="P5100">
        <v>0.97746279999999997</v>
      </c>
      <c r="Q5100">
        <v>-4.381086E-2</v>
      </c>
      <c r="R5100">
        <v>-0.20651159999999999</v>
      </c>
      <c r="S5100">
        <v>3.0318909999999999</v>
      </c>
      <c r="T5100">
        <v>-0.2532393</v>
      </c>
      <c r="U5100">
        <v>-0.14288329999999999</v>
      </c>
      <c r="V5100">
        <v>-0.26651449999999999</v>
      </c>
      <c r="W5100">
        <v>-3.2465269999999997E-2</v>
      </c>
      <c r="X5100">
        <v>0.96328400000000003</v>
      </c>
      <c r="Y5100">
        <v>-0.4153172</v>
      </c>
      <c r="Z5100">
        <v>5.4436999999999999E-2</v>
      </c>
      <c r="AA5100">
        <v>0.90804640000000003</v>
      </c>
      <c r="AB5100">
        <v>17</v>
      </c>
      <c r="AC5100">
        <v>13.1306999999999</v>
      </c>
      <c r="AD5100">
        <v>-1.109113626544</v>
      </c>
      <c r="AE5100">
        <v>-0.560180000000009</v>
      </c>
      <c r="AF5100">
        <v>-5.5107868322362803</v>
      </c>
      <c r="AG5100">
        <v>-1.109113626544</v>
      </c>
      <c r="AH5100">
        <v>11.8290355172711</v>
      </c>
      <c r="AI5100">
        <v>94.857977018261906</v>
      </c>
      <c r="AJ5100">
        <v>114.979375647906</v>
      </c>
      <c r="AK5100">
        <v>13.0967547818456</v>
      </c>
    </row>
    <row r="5101" spans="1:37" x14ac:dyDescent="0.2">
      <c r="A5101" t="str">
        <f>"20200111160321171"</f>
        <v>20200111160321171</v>
      </c>
      <c r="B5101" t="str">
        <f>"1578729801168511"</f>
        <v>1578729801168511</v>
      </c>
      <c r="C5101" t="s">
        <v>37</v>
      </c>
      <c r="D5101">
        <v>5.2401489999999997</v>
      </c>
      <c r="E5101">
        <v>0.40712389999999998</v>
      </c>
      <c r="F5101" t="s">
        <v>94</v>
      </c>
      <c r="G5101">
        <v>-269.35849999999999</v>
      </c>
      <c r="H5101" s="1">
        <v>-3.4987719999999999E-6</v>
      </c>
      <c r="I5101">
        <v>-62.782959999999903</v>
      </c>
      <c r="J5101">
        <v>-282.68920000000003</v>
      </c>
      <c r="K5101">
        <v>1.1091229999999901</v>
      </c>
      <c r="L5101">
        <v>-62.333469999999998</v>
      </c>
      <c r="M5101">
        <v>0.89205650000000003</v>
      </c>
      <c r="N5101">
        <v>0</v>
      </c>
      <c r="O5101">
        <v>-0.45168000000000003</v>
      </c>
      <c r="P5101">
        <v>0.979272899999999</v>
      </c>
      <c r="Q5101">
        <v>-4.3035499999999997E-2</v>
      </c>
      <c r="R5101">
        <v>-0.19792089999999901</v>
      </c>
      <c r="S5101">
        <v>3.0335079999999999</v>
      </c>
      <c r="T5101">
        <v>-0.2495453</v>
      </c>
      <c r="U5101">
        <v>-0.11584469999999999</v>
      </c>
      <c r="V5101">
        <v>-0.26545580000000002</v>
      </c>
      <c r="W5101">
        <v>-3.1675000000000002E-2</v>
      </c>
      <c r="X5101">
        <v>0.96360249999999903</v>
      </c>
      <c r="Y5101">
        <v>-0.41453319999999999</v>
      </c>
      <c r="Z5101">
        <v>5.2962290000000002E-2</v>
      </c>
      <c r="AA5101">
        <v>0.90849169999999901</v>
      </c>
      <c r="AB5101">
        <v>17</v>
      </c>
      <c r="AC5101">
        <v>13.3307</v>
      </c>
      <c r="AD5101">
        <v>-1.10912649877199</v>
      </c>
      <c r="AE5101">
        <v>-0.449489999999997</v>
      </c>
      <c r="AF5101">
        <v>-5.58226077304559</v>
      </c>
      <c r="AG5101">
        <v>-1.10912649877199</v>
      </c>
      <c r="AH5101">
        <v>12.013031672395099</v>
      </c>
      <c r="AI5101">
        <v>94.786133680054306</v>
      </c>
      <c r="AJ5101">
        <v>114.923528121232</v>
      </c>
      <c r="AK5101">
        <v>13.293033020741699</v>
      </c>
    </row>
    <row r="5102" spans="1:37" x14ac:dyDescent="0.2">
      <c r="A5102" t="str">
        <f>"20200111160321194"</f>
        <v>20200111160321194</v>
      </c>
      <c r="B5102" t="str">
        <f>"1578729801188031"</f>
        <v>1578729801188031</v>
      </c>
      <c r="C5102" t="s">
        <v>37</v>
      </c>
      <c r="D5102">
        <v>5.1027529999999999</v>
      </c>
      <c r="E5102">
        <v>0.40844759999999902</v>
      </c>
      <c r="F5102" t="s">
        <v>42</v>
      </c>
      <c r="G5102">
        <v>-281.72039999999998</v>
      </c>
      <c r="H5102">
        <v>1.0569770000000001</v>
      </c>
      <c r="I5102">
        <v>-62.291379999999997</v>
      </c>
      <c r="J5102">
        <v>-282.52949999999998</v>
      </c>
      <c r="K5102">
        <v>1.109127</v>
      </c>
      <c r="L5102">
        <v>-62.400119999999902</v>
      </c>
      <c r="M5102">
        <v>0.89672260000000004</v>
      </c>
      <c r="N5102">
        <v>0</v>
      </c>
      <c r="O5102">
        <v>-0.44234390000000001</v>
      </c>
      <c r="P5102">
        <v>0.98109749999999996</v>
      </c>
      <c r="Q5102">
        <v>-4.2949420000000002E-2</v>
      </c>
      <c r="R5102">
        <v>-0.18868799999999999</v>
      </c>
      <c r="S5102">
        <v>3.0832519999999999</v>
      </c>
      <c r="T5102">
        <v>-0.16593929999999901</v>
      </c>
      <c r="U5102">
        <v>0.13397220000000001</v>
      </c>
      <c r="V5102">
        <v>-0.2644764</v>
      </c>
      <c r="W5102">
        <v>-3.1574289999999998E-2</v>
      </c>
      <c r="X5102">
        <v>0.96387520000000004</v>
      </c>
      <c r="Y5102">
        <v>-0.47960370000000002</v>
      </c>
      <c r="Z5102">
        <v>3.6081559999999999E-2</v>
      </c>
      <c r="AA5102">
        <v>0.87674300000000005</v>
      </c>
      <c r="AB5102">
        <v>17</v>
      </c>
      <c r="AC5102">
        <v>0.80910000000000004</v>
      </c>
      <c r="AD5102">
        <v>-5.2149999999999898E-2</v>
      </c>
      <c r="AE5102">
        <v>0.10873999999999</v>
      </c>
      <c r="AF5102">
        <v>-0.45360924881159198</v>
      </c>
      <c r="AG5102">
        <v>-5.2149999999999898E-2</v>
      </c>
      <c r="AH5102">
        <v>0.674759005339858</v>
      </c>
      <c r="AI5102">
        <v>93.669962682330706</v>
      </c>
      <c r="AJ5102">
        <v>123.911114056049</v>
      </c>
      <c r="AK5102">
        <v>0.81472737059377898</v>
      </c>
    </row>
    <row r="5103" spans="1:37" x14ac:dyDescent="0.2">
      <c r="A5103" t="str">
        <f>"20200111160321209"</f>
        <v>20200111160321209</v>
      </c>
      <c r="B5103" t="str">
        <f>"1578729801198768"</f>
        <v>1578729801198768</v>
      </c>
      <c r="C5103" t="s">
        <v>37</v>
      </c>
      <c r="D5103">
        <v>5.1408079999999998</v>
      </c>
      <c r="E5103">
        <v>0.40934680000000001</v>
      </c>
      <c r="F5103" t="s">
        <v>42</v>
      </c>
      <c r="G5103">
        <v>-281.58920000000001</v>
      </c>
      <c r="H5103">
        <v>1.057007</v>
      </c>
      <c r="I5103">
        <v>-62.353589999999997</v>
      </c>
      <c r="J5103">
        <v>-282.4289</v>
      </c>
      <c r="K5103">
        <v>1.109127</v>
      </c>
      <c r="L5103">
        <v>-62.441309999999902</v>
      </c>
      <c r="M5103">
        <v>0.89961800000000003</v>
      </c>
      <c r="N5103">
        <v>0</v>
      </c>
      <c r="O5103">
        <v>-0.436424799999999</v>
      </c>
      <c r="P5103">
        <v>0.98217449999999995</v>
      </c>
      <c r="Q5103">
        <v>-4.2743000000000003E-2</v>
      </c>
      <c r="R5103">
        <v>-0.18304699999999999</v>
      </c>
      <c r="S5103">
        <v>3.079742</v>
      </c>
      <c r="T5103">
        <v>-0.17068249999999999</v>
      </c>
      <c r="U5103">
        <v>0.15286250000000001</v>
      </c>
      <c r="V5103">
        <v>-0.26367020000000002</v>
      </c>
      <c r="W5103">
        <v>-3.1354100000000003E-2</v>
      </c>
      <c r="X5103">
        <v>0.96410319999999905</v>
      </c>
      <c r="Y5103">
        <v>-0.4791648</v>
      </c>
      <c r="Z5103">
        <v>3.6843439999999998E-2</v>
      </c>
      <c r="AA5103">
        <v>0.87695129999999999</v>
      </c>
      <c r="AB5103">
        <v>17</v>
      </c>
      <c r="AC5103">
        <v>0.83969999999999301</v>
      </c>
      <c r="AD5103">
        <v>-5.2119999999999903E-2</v>
      </c>
      <c r="AE5103">
        <v>8.7719999999990195E-2</v>
      </c>
      <c r="AF5103">
        <v>-0.44373846697574498</v>
      </c>
      <c r="AG5103">
        <v>-5.2119999999999903E-2</v>
      </c>
      <c r="AH5103">
        <v>0.71448231166862497</v>
      </c>
      <c r="AI5103">
        <v>93.546034451360498</v>
      </c>
      <c r="AJ5103">
        <v>121.842882440867</v>
      </c>
      <c r="AK5103">
        <v>0.84267745618434997</v>
      </c>
    </row>
    <row r="5104" spans="1:37" x14ac:dyDescent="0.2">
      <c r="A5104" t="str">
        <f>"20200111160321223"</f>
        <v>20200111160321223</v>
      </c>
      <c r="B5104" t="str">
        <f>"1578729801218287"</f>
        <v>1578729801218287</v>
      </c>
      <c r="C5104" t="s">
        <v>37</v>
      </c>
      <c r="D5104">
        <v>5.2036179999999996</v>
      </c>
      <c r="E5104">
        <v>0.4100683</v>
      </c>
      <c r="F5104" t="s">
        <v>42</v>
      </c>
      <c r="G5104">
        <v>-281.45179999999999</v>
      </c>
      <c r="H5104">
        <v>1.0549090000000001</v>
      </c>
      <c r="I5104">
        <v>-62.389479999999999</v>
      </c>
      <c r="J5104">
        <v>-282.33190000000002</v>
      </c>
      <c r="K5104">
        <v>1.109127</v>
      </c>
      <c r="L5104">
        <v>-62.479950000000002</v>
      </c>
      <c r="M5104">
        <v>0.90237049999999996</v>
      </c>
      <c r="N5104">
        <v>0</v>
      </c>
      <c r="O5104">
        <v>-0.43070540000000002</v>
      </c>
      <c r="P5104">
        <v>0.98318559999999999</v>
      </c>
      <c r="Q5104">
        <v>-4.274182E-2</v>
      </c>
      <c r="R5104">
        <v>-0.17753650000000001</v>
      </c>
      <c r="S5104">
        <v>3.077515</v>
      </c>
      <c r="T5104">
        <v>-0.17076369999999999</v>
      </c>
      <c r="U5104">
        <v>0.1635132</v>
      </c>
      <c r="V5104">
        <v>-0.2629572</v>
      </c>
      <c r="W5104">
        <v>-3.1339180000000001E-2</v>
      </c>
      <c r="X5104">
        <v>0.9642984</v>
      </c>
      <c r="Y5104">
        <v>-0.47666229999999998</v>
      </c>
      <c r="Z5104">
        <v>3.6527419999999998E-2</v>
      </c>
      <c r="AA5104">
        <v>0.87832730000000003</v>
      </c>
      <c r="AB5104">
        <v>17</v>
      </c>
      <c r="AC5104">
        <v>0.88010000000002697</v>
      </c>
      <c r="AD5104">
        <v>-5.4217999999999801E-2</v>
      </c>
      <c r="AE5104">
        <v>9.0469999999996206E-2</v>
      </c>
      <c r="AF5104">
        <v>-0.45902820406512601</v>
      </c>
      <c r="AG5104">
        <v>-5.4217999999999801E-2</v>
      </c>
      <c r="AH5104">
        <v>0.75246774603663702</v>
      </c>
      <c r="AI5104">
        <v>93.5199187354618</v>
      </c>
      <c r="AJ5104">
        <v>121.384460694089</v>
      </c>
      <c r="AK5104">
        <v>0.88309353551971603</v>
      </c>
    </row>
    <row r="5105" spans="1:37" x14ac:dyDescent="0.2">
      <c r="A5105" t="str">
        <f>"20200111160321237"</f>
        <v>20200111160321237</v>
      </c>
      <c r="B5105" t="str">
        <f>"1578729801228049"</f>
        <v>1578729801228049</v>
      </c>
      <c r="C5105" t="s">
        <v>37</v>
      </c>
      <c r="D5105">
        <v>5.0175150000000004</v>
      </c>
      <c r="E5105">
        <v>0.4107634</v>
      </c>
      <c r="F5105" t="s">
        <v>42</v>
      </c>
      <c r="G5105">
        <v>-281.44560000000001</v>
      </c>
      <c r="H5105">
        <v>1.0605549999999999</v>
      </c>
      <c r="I5105">
        <v>-62.429580000000001</v>
      </c>
      <c r="J5105">
        <v>-282.2355</v>
      </c>
      <c r="K5105">
        <v>1.109127</v>
      </c>
      <c r="L5105">
        <v>-62.51773</v>
      </c>
      <c r="M5105">
        <v>0.90507079999999995</v>
      </c>
      <c r="N5105">
        <v>0</v>
      </c>
      <c r="O5105">
        <v>-0.42500129999999903</v>
      </c>
      <c r="P5105">
        <v>0.98403909999999895</v>
      </c>
      <c r="Q5105">
        <v>-4.2126520000000001E-2</v>
      </c>
      <c r="R5105">
        <v>-0.17289479999999999</v>
      </c>
      <c r="S5105">
        <v>3.0755919999999999</v>
      </c>
      <c r="T5105">
        <v>-0.1685458</v>
      </c>
      <c r="U5105">
        <v>0.17504879999999901</v>
      </c>
      <c r="V5105">
        <v>-0.26144059999999902</v>
      </c>
      <c r="W5105">
        <v>-3.069705E-2</v>
      </c>
      <c r="X5105">
        <v>0.96473129999999996</v>
      </c>
      <c r="Y5105">
        <v>-0.47447449999999902</v>
      </c>
      <c r="Z5105">
        <v>3.572877E-2</v>
      </c>
      <c r="AA5105">
        <v>0.87954379999999999</v>
      </c>
      <c r="AB5105">
        <v>17</v>
      </c>
      <c r="AC5105">
        <v>0.78989999999998795</v>
      </c>
      <c r="AD5105">
        <v>-4.8571999999999997E-2</v>
      </c>
      <c r="AE5105">
        <v>8.8150000000005904E-2</v>
      </c>
      <c r="AF5105">
        <v>-0.41399026543678102</v>
      </c>
      <c r="AG5105">
        <v>-4.8571999999999997E-2</v>
      </c>
      <c r="AH5105">
        <v>0.67500541938661796</v>
      </c>
      <c r="AI5105">
        <v>93.510136652187896</v>
      </c>
      <c r="AJ5105">
        <v>121.521371800943</v>
      </c>
      <c r="AK5105">
        <v>0.79333441578045805</v>
      </c>
    </row>
    <row r="5106" spans="1:37" x14ac:dyDescent="0.2">
      <c r="A5106" t="str">
        <f>"20200111160321261"</f>
        <v>20200111160321261</v>
      </c>
      <c r="B5106" t="str">
        <f>"1578729801258303"</f>
        <v>1578729801258303</v>
      </c>
      <c r="C5106" t="s">
        <v>37</v>
      </c>
      <c r="D5106">
        <v>4.9362139999999997</v>
      </c>
      <c r="E5106">
        <v>0.41276649999999998</v>
      </c>
      <c r="F5106" t="s">
        <v>42</v>
      </c>
      <c r="G5106">
        <v>-281.32330000000002</v>
      </c>
      <c r="H5106">
        <v>1.059299</v>
      </c>
      <c r="I5106">
        <v>-62.463119999999897</v>
      </c>
      <c r="J5106">
        <v>-282.08120000000002</v>
      </c>
      <c r="K5106">
        <v>1.109124</v>
      </c>
      <c r="L5106">
        <v>-62.576779999999999</v>
      </c>
      <c r="M5106">
        <v>0.90932469999999999</v>
      </c>
      <c r="N5106">
        <v>0</v>
      </c>
      <c r="O5106">
        <v>-0.41582209999999997</v>
      </c>
      <c r="P5106">
        <v>0.98538989999999904</v>
      </c>
      <c r="Q5106">
        <v>-4.1922210000000001E-2</v>
      </c>
      <c r="R5106">
        <v>-0.1650742</v>
      </c>
      <c r="S5106">
        <v>3.07385299999999</v>
      </c>
      <c r="T5106">
        <v>-0.1678925</v>
      </c>
      <c r="U5106">
        <v>0.18420410000000001</v>
      </c>
      <c r="V5106">
        <v>-0.25934829999999998</v>
      </c>
      <c r="W5106">
        <v>-3.045548E-2</v>
      </c>
      <c r="X5106">
        <v>0.96530349999999998</v>
      </c>
      <c r="Y5106">
        <v>-0.46823199999999998</v>
      </c>
      <c r="Z5106">
        <v>3.4976260000000002E-2</v>
      </c>
      <c r="AA5106">
        <v>0.88291309999999901</v>
      </c>
      <c r="AB5106">
        <v>17</v>
      </c>
      <c r="AC5106">
        <v>0.75790000000000601</v>
      </c>
      <c r="AD5106">
        <v>-4.9825000000000001E-2</v>
      </c>
      <c r="AE5106">
        <v>0.11366000000001</v>
      </c>
      <c r="AF5106">
        <v>-0.41678989027423402</v>
      </c>
      <c r="AG5106">
        <v>-4.9825000000000001E-2</v>
      </c>
      <c r="AH5106">
        <v>0.63928353233782098</v>
      </c>
      <c r="AI5106">
        <v>93.735462184383593</v>
      </c>
      <c r="AJ5106">
        <v>123.102905620106</v>
      </c>
      <c r="AK5106">
        <v>0.76477433140641604</v>
      </c>
    </row>
    <row r="5107" spans="1:37" x14ac:dyDescent="0.2">
      <c r="A5107" t="str">
        <f>"20200111160321274"</f>
        <v>20200111160321274</v>
      </c>
      <c r="B5107" t="str">
        <f>"1578729801268065"</f>
        <v>1578729801268065</v>
      </c>
      <c r="C5107" t="s">
        <v>37</v>
      </c>
      <c r="D5107">
        <v>4.9448210000000001</v>
      </c>
      <c r="E5107">
        <v>0.41340149999999998</v>
      </c>
      <c r="F5107" t="s">
        <v>42</v>
      </c>
      <c r="G5107">
        <v>-281.17</v>
      </c>
      <c r="H5107">
        <v>1.058408</v>
      </c>
      <c r="I5107">
        <v>-62.519519999999901</v>
      </c>
      <c r="J5107">
        <v>-281.98349999999999</v>
      </c>
      <c r="K5107">
        <v>1.109119</v>
      </c>
      <c r="L5107">
        <v>-62.613219999999998</v>
      </c>
      <c r="M5107">
        <v>0.91197169999999905</v>
      </c>
      <c r="N5107">
        <v>0</v>
      </c>
      <c r="O5107">
        <v>-0.40998400000000002</v>
      </c>
      <c r="P5107">
        <v>0.98626000000000003</v>
      </c>
      <c r="Q5107">
        <v>-4.1839620000000001E-2</v>
      </c>
      <c r="R5107">
        <v>-0.1598156</v>
      </c>
      <c r="S5107">
        <v>3.06957999999999</v>
      </c>
      <c r="T5107">
        <v>-0.17085549999999999</v>
      </c>
      <c r="U5107">
        <v>0.19305420000000001</v>
      </c>
      <c r="V5107">
        <v>-0.2583124</v>
      </c>
      <c r="W5107">
        <v>-3.035419E-2</v>
      </c>
      <c r="X5107">
        <v>0.96558449999999996</v>
      </c>
      <c r="Y5107">
        <v>-0.46514119999999998</v>
      </c>
      <c r="Z5107">
        <v>3.5254239999999999E-2</v>
      </c>
      <c r="AA5107">
        <v>0.88453419999999905</v>
      </c>
      <c r="AB5107">
        <v>17</v>
      </c>
      <c r="AC5107">
        <v>0.81349999999997602</v>
      </c>
      <c r="AD5107">
        <v>-5.0710999999999902E-2</v>
      </c>
      <c r="AE5107">
        <v>9.3700000000005404E-2</v>
      </c>
      <c r="AF5107">
        <v>-0.41741917883840302</v>
      </c>
      <c r="AG5107">
        <v>-5.0710999999999902E-2</v>
      </c>
      <c r="AH5107">
        <v>0.70086332038423005</v>
      </c>
      <c r="AI5107">
        <v>93.557207394253396</v>
      </c>
      <c r="AJ5107">
        <v>120.77712189153701</v>
      </c>
      <c r="AK5107">
        <v>0.81732476424193501</v>
      </c>
    </row>
    <row r="5108" spans="1:37" x14ac:dyDescent="0.2">
      <c r="A5108" t="str">
        <f>"20200111160321287"</f>
        <v>20200111160321287</v>
      </c>
      <c r="B5108" t="str">
        <f>"1578729801278799"</f>
        <v>1578729801278799</v>
      </c>
      <c r="C5108" t="s">
        <v>37</v>
      </c>
      <c r="D5108">
        <v>4.9610519999999996</v>
      </c>
      <c r="E5108">
        <v>0.41407919999999998</v>
      </c>
      <c r="F5108" t="s">
        <v>42</v>
      </c>
      <c r="G5108">
        <v>-281.05309999999997</v>
      </c>
      <c r="H5108">
        <v>1.056916</v>
      </c>
      <c r="I5108">
        <v>-62.551319999999997</v>
      </c>
      <c r="J5108">
        <v>-281.89409999999998</v>
      </c>
      <c r="K5108">
        <v>1.109113</v>
      </c>
      <c r="L5108">
        <v>-62.646059999999999</v>
      </c>
      <c r="M5108">
        <v>0.91436109999999904</v>
      </c>
      <c r="N5108">
        <v>0</v>
      </c>
      <c r="O5108">
        <v>-0.40462709999999902</v>
      </c>
      <c r="P5108">
        <v>0.98697319999999999</v>
      </c>
      <c r="Q5108">
        <v>-4.1980199999999898E-2</v>
      </c>
      <c r="R5108">
        <v>-0.15531210000000001</v>
      </c>
      <c r="S5108">
        <v>3.0676570000000001</v>
      </c>
      <c r="T5108">
        <v>-0.1721172</v>
      </c>
      <c r="U5108">
        <v>0.204559299999999</v>
      </c>
      <c r="V5108">
        <v>-0.25705250000000002</v>
      </c>
      <c r="W5108">
        <v>-3.047325E-2</v>
      </c>
      <c r="X5108">
        <v>0.96591689999999997</v>
      </c>
      <c r="Y5108">
        <v>-0.46327869999999999</v>
      </c>
      <c r="Z5108">
        <v>3.5204039999999999E-2</v>
      </c>
      <c r="AA5108">
        <v>0.8855132</v>
      </c>
      <c r="AB5108">
        <v>17</v>
      </c>
      <c r="AC5108">
        <v>0.84100000000000796</v>
      </c>
      <c r="AD5108">
        <v>-5.2197E-2</v>
      </c>
      <c r="AE5108">
        <v>9.4740000000001601E-2</v>
      </c>
      <c r="AF5108">
        <v>-0.42534712448130402</v>
      </c>
      <c r="AG5108">
        <v>-5.2197E-2</v>
      </c>
      <c r="AH5108">
        <v>0.727954924250791</v>
      </c>
      <c r="AI5108">
        <v>93.542654091277001</v>
      </c>
      <c r="AJ5108">
        <v>120.297923666042</v>
      </c>
      <c r="AK5108">
        <v>0.84472662729103598</v>
      </c>
    </row>
    <row r="5109" spans="1:37" x14ac:dyDescent="0.2">
      <c r="A5109" t="str">
        <f>"20200111160321301"</f>
        <v>20200111160321301</v>
      </c>
      <c r="B5109" t="str">
        <f>"1578729801298319"</f>
        <v>1578729801298319</v>
      </c>
      <c r="C5109" t="s">
        <v>37</v>
      </c>
      <c r="D5109">
        <v>4.9448160000000003</v>
      </c>
      <c r="E5109">
        <v>0.41453719999999999</v>
      </c>
      <c r="F5109" t="s">
        <v>94</v>
      </c>
      <c r="G5109">
        <v>-262.21140000000003</v>
      </c>
      <c r="H5109" s="1">
        <v>-1.9177900000000001E-7</v>
      </c>
      <c r="I5109">
        <v>-61.277450000000002</v>
      </c>
      <c r="J5109">
        <v>-281.8066</v>
      </c>
      <c r="K5109">
        <v>1.10911</v>
      </c>
      <c r="L5109">
        <v>-62.677309999999999</v>
      </c>
      <c r="M5109">
        <v>0.91667119999999902</v>
      </c>
      <c r="N5109">
        <v>0</v>
      </c>
      <c r="O5109">
        <v>-0.3993659</v>
      </c>
      <c r="P5109">
        <v>0.98761869999999996</v>
      </c>
      <c r="Q5109">
        <v>-4.2208229999999999E-2</v>
      </c>
      <c r="R5109">
        <v>-0.1510879</v>
      </c>
      <c r="S5109">
        <v>3.06579599999999</v>
      </c>
      <c r="T5109">
        <v>-0.17275679999999999</v>
      </c>
      <c r="U5109">
        <v>0.213165299999999</v>
      </c>
      <c r="V5109">
        <v>-0.25562869999999999</v>
      </c>
      <c r="W5109">
        <v>-3.0677699999999999E-2</v>
      </c>
      <c r="X5109">
        <v>0.96628809999999998</v>
      </c>
      <c r="Y5109">
        <v>-0.46069779999999999</v>
      </c>
      <c r="Z5109">
        <v>3.5006179999999998E-2</v>
      </c>
      <c r="AA5109">
        <v>0.8868665</v>
      </c>
      <c r="AB5109">
        <v>17</v>
      </c>
      <c r="AC5109">
        <v>19.595199999999899</v>
      </c>
      <c r="AD5109">
        <v>-1.1091101917790001</v>
      </c>
      <c r="AE5109">
        <v>1.3998599999999899</v>
      </c>
      <c r="AF5109">
        <v>-9.0809270429271507</v>
      </c>
      <c r="AG5109">
        <v>-1.1091101917790001</v>
      </c>
      <c r="AH5109">
        <v>17.349919228917798</v>
      </c>
      <c r="AI5109">
        <v>93.241608631218796</v>
      </c>
      <c r="AJ5109">
        <v>117.627506522091</v>
      </c>
      <c r="AK5109">
        <v>19.614103564181701</v>
      </c>
    </row>
    <row r="5110" spans="1:37" x14ac:dyDescent="0.2">
      <c r="A5110" t="str">
        <f>"20200111160321317"</f>
        <v>20200111160321317</v>
      </c>
      <c r="B5110" t="str">
        <f>"1578729801308078"</f>
        <v>1578729801308078</v>
      </c>
      <c r="C5110" t="s">
        <v>37</v>
      </c>
      <c r="D5110">
        <v>4.8713829999999998</v>
      </c>
      <c r="E5110">
        <v>0.42625629999999998</v>
      </c>
      <c r="F5110" t="s">
        <v>42</v>
      </c>
      <c r="G5110">
        <v>-280.86779999999999</v>
      </c>
      <c r="H5110">
        <v>1.0566629999999999</v>
      </c>
      <c r="I5110">
        <v>-62.609050000000003</v>
      </c>
      <c r="J5110">
        <v>-281.69740000000002</v>
      </c>
      <c r="K5110">
        <v>1.109105</v>
      </c>
      <c r="L5110">
        <v>-62.715730000000001</v>
      </c>
      <c r="M5110">
        <v>0.9195103</v>
      </c>
      <c r="N5110">
        <v>0</v>
      </c>
      <c r="O5110">
        <v>-0.3927852</v>
      </c>
      <c r="P5110">
        <v>0.98824109999999998</v>
      </c>
      <c r="Q5110">
        <v>-4.2504439999999998E-2</v>
      </c>
      <c r="R5110">
        <v>-0.14687720000000001</v>
      </c>
      <c r="S5110">
        <v>3.0643310000000001</v>
      </c>
      <c r="T5110">
        <v>-0.17118939999999999</v>
      </c>
      <c r="U5110">
        <v>0.2226563</v>
      </c>
      <c r="V5110">
        <v>-0.25281369999999997</v>
      </c>
      <c r="W5110">
        <v>-3.0929100000000001E-2</v>
      </c>
      <c r="X5110">
        <v>0.96702049999999995</v>
      </c>
      <c r="Y5110">
        <v>-0.45713720000000002</v>
      </c>
      <c r="Z5110">
        <v>3.4261390000000003E-2</v>
      </c>
      <c r="AA5110">
        <v>0.88873609999999903</v>
      </c>
      <c r="AB5110">
        <v>17</v>
      </c>
      <c r="AC5110">
        <v>0.82960000000002698</v>
      </c>
      <c r="AD5110">
        <v>-5.24420000000001E-2</v>
      </c>
      <c r="AE5110">
        <v>0.10668000000000399</v>
      </c>
      <c r="AF5110">
        <v>-0.42233454995063402</v>
      </c>
      <c r="AG5110">
        <v>-5.24420000000001E-2</v>
      </c>
      <c r="AH5110">
        <v>0.71817981505676198</v>
      </c>
      <c r="AI5110">
        <v>93.601662803405603</v>
      </c>
      <c r="AJ5110">
        <v>120.458185069772</v>
      </c>
      <c r="AK5110">
        <v>0.83480469704055305</v>
      </c>
    </row>
    <row r="5111" spans="1:37" x14ac:dyDescent="0.2">
      <c r="A5111" t="str">
        <f>"20200111160321332"</f>
        <v>20200111160321332</v>
      </c>
      <c r="B5111" t="str">
        <f>"1578729801328575"</f>
        <v>1578729801328575</v>
      </c>
      <c r="C5111" t="s">
        <v>37</v>
      </c>
      <c r="D5111">
        <v>5.0971609999999998</v>
      </c>
      <c r="E5111">
        <v>0.42618479999999997</v>
      </c>
      <c r="F5111" t="s">
        <v>38</v>
      </c>
      <c r="G5111">
        <v>-262.93150000000003</v>
      </c>
      <c r="H5111" s="1">
        <v>-6.482019E-7</v>
      </c>
      <c r="I5111">
        <v>-61.831819999999901</v>
      </c>
      <c r="J5111">
        <v>-281.59789999999998</v>
      </c>
      <c r="K5111">
        <v>1.109097</v>
      </c>
      <c r="L5111">
        <v>-62.749940000000002</v>
      </c>
      <c r="M5111">
        <v>0.92205329999999996</v>
      </c>
      <c r="N5111">
        <v>0</v>
      </c>
      <c r="O5111">
        <v>-0.3867778</v>
      </c>
      <c r="P5111">
        <v>0.98894910000000003</v>
      </c>
      <c r="Q5111">
        <v>-4.2267180000000001E-2</v>
      </c>
      <c r="R5111">
        <v>-0.14210329999999999</v>
      </c>
      <c r="S5111">
        <v>3.0492859999999999</v>
      </c>
      <c r="T5111">
        <v>-0.18021960000000001</v>
      </c>
      <c r="U5111">
        <v>0.14361570000000001</v>
      </c>
      <c r="V5111">
        <v>-0.25118209999999902</v>
      </c>
      <c r="W5111">
        <v>-3.066456E-2</v>
      </c>
      <c r="X5111">
        <v>0.96745400000000004</v>
      </c>
      <c r="Y5111">
        <v>-0.42837730000000002</v>
      </c>
      <c r="Z5111">
        <v>3.5059809999999997E-2</v>
      </c>
      <c r="AA5111">
        <v>0.90291960000000004</v>
      </c>
      <c r="AB5111">
        <v>17</v>
      </c>
      <c r="AC5111">
        <v>18.6663999999999</v>
      </c>
      <c r="AD5111">
        <v>-1.1090976482018999</v>
      </c>
      <c r="AE5111">
        <v>0.91812000000000804</v>
      </c>
      <c r="AF5111">
        <v>-8.0388831231284001</v>
      </c>
      <c r="AG5111">
        <v>-1.1090976482018999</v>
      </c>
      <c r="AH5111">
        <v>16.7990039014906</v>
      </c>
      <c r="AI5111">
        <v>93.408170648886198</v>
      </c>
      <c r="AJ5111">
        <v>115.572668211945</v>
      </c>
      <c r="AK5111">
        <v>18.656373483152102</v>
      </c>
    </row>
    <row r="5112" spans="1:37" x14ac:dyDescent="0.2">
      <c r="A5112" t="str">
        <f>"20200111160321345"</f>
        <v>20200111160321345</v>
      </c>
      <c r="B5112" t="str">
        <f>"1578729801338336"</f>
        <v>1578729801338336</v>
      </c>
      <c r="C5112" t="s">
        <v>37</v>
      </c>
      <c r="D5112">
        <v>4.8692129999999896</v>
      </c>
      <c r="E5112">
        <v>0.42699379999999998</v>
      </c>
      <c r="F5112" t="s">
        <v>38</v>
      </c>
      <c r="G5112">
        <v>-263.29300000000001</v>
      </c>
      <c r="H5112" s="1">
        <v>-7.9326610000000005E-7</v>
      </c>
      <c r="I5112">
        <v>-61.794259999999902</v>
      </c>
      <c r="J5112">
        <v>-281.49979999999999</v>
      </c>
      <c r="K5112">
        <v>1.109092</v>
      </c>
      <c r="L5112">
        <v>-62.782899999999998</v>
      </c>
      <c r="M5112">
        <v>0.92452319999999999</v>
      </c>
      <c r="N5112">
        <v>0</v>
      </c>
      <c r="O5112">
        <v>-0.38083600000000001</v>
      </c>
      <c r="P5112">
        <v>0.98959629999999998</v>
      </c>
      <c r="Q5112">
        <v>-4.2389940000000001E-2</v>
      </c>
      <c r="R5112">
        <v>-0.13748540000000001</v>
      </c>
      <c r="S5112">
        <v>3.0485229999999999</v>
      </c>
      <c r="T5112">
        <v>-0.18470999999999901</v>
      </c>
      <c r="U5112">
        <v>0.15914919999999999</v>
      </c>
      <c r="V5112">
        <v>-0.24947039999999901</v>
      </c>
      <c r="W5112">
        <v>-3.0758489999999999E-2</v>
      </c>
      <c r="X5112">
        <v>0.96789380000000003</v>
      </c>
      <c r="Y5112">
        <v>-0.42710710000000002</v>
      </c>
      <c r="Z5112">
        <v>3.5564999999999999E-2</v>
      </c>
      <c r="AA5112">
        <v>0.90350129999999995</v>
      </c>
      <c r="AB5112">
        <v>17</v>
      </c>
      <c r="AC5112">
        <v>18.206799999999902</v>
      </c>
      <c r="AD5112">
        <v>-1.1090927932661001</v>
      </c>
      <c r="AE5112">
        <v>0.98864000000000296</v>
      </c>
      <c r="AF5112">
        <v>-7.8197596992535097</v>
      </c>
      <c r="AG5112">
        <v>-1.1090927932661001</v>
      </c>
      <c r="AH5112">
        <v>16.3972481359711</v>
      </c>
      <c r="AI5112">
        <v>93.493676831301201</v>
      </c>
      <c r="AJ5112">
        <v>115.496223950596</v>
      </c>
      <c r="AK5112">
        <v>18.200232828476398</v>
      </c>
    </row>
    <row r="5113" spans="1:37" x14ac:dyDescent="0.2">
      <c r="A5113" t="str">
        <f>"20200111160321361"</f>
        <v>20200111160321361</v>
      </c>
      <c r="B5113" t="str">
        <f>"1578729801358831"</f>
        <v>1578729801358831</v>
      </c>
      <c r="C5113" t="s">
        <v>37</v>
      </c>
      <c r="D5113">
        <v>4.8412600000000001</v>
      </c>
      <c r="E5113">
        <v>0.42702209999999902</v>
      </c>
      <c r="F5113" t="s">
        <v>38</v>
      </c>
      <c r="G5113">
        <v>-263.6189</v>
      </c>
      <c r="H5113" s="1">
        <v>-9.3500879999999999E-7</v>
      </c>
      <c r="I5113">
        <v>-61.801490000000001</v>
      </c>
      <c r="J5113">
        <v>-281.39670000000001</v>
      </c>
      <c r="K5113">
        <v>1.109081</v>
      </c>
      <c r="L5113">
        <v>-62.816769999999998</v>
      </c>
      <c r="M5113">
        <v>0.92707689999999998</v>
      </c>
      <c r="N5113">
        <v>0</v>
      </c>
      <c r="O5113">
        <v>-0.37457669999999998</v>
      </c>
      <c r="P5113">
        <v>0.9899964</v>
      </c>
      <c r="Q5113">
        <v>-4.238405E-2</v>
      </c>
      <c r="R5113">
        <v>-0.13457669999999999</v>
      </c>
      <c r="S5113">
        <v>3.0466609999999998</v>
      </c>
      <c r="T5113">
        <v>-0.18897349999999999</v>
      </c>
      <c r="U5113">
        <v>0.16720579999999999</v>
      </c>
      <c r="V5113">
        <v>-0.2457722</v>
      </c>
      <c r="W5113">
        <v>-3.0693410000000001E-2</v>
      </c>
      <c r="X5113">
        <v>0.96884159999999997</v>
      </c>
      <c r="Y5113">
        <v>-0.42335410000000001</v>
      </c>
      <c r="Z5113">
        <v>3.592472E-2</v>
      </c>
      <c r="AA5113">
        <v>0.90525169999999999</v>
      </c>
      <c r="AB5113">
        <v>17</v>
      </c>
      <c r="AC5113">
        <v>17.777799999999999</v>
      </c>
      <c r="AD5113">
        <v>-1.1090819350087999</v>
      </c>
      <c r="AE5113">
        <v>1.01527999999999</v>
      </c>
      <c r="AF5113">
        <v>-7.5718574418023703</v>
      </c>
      <c r="AG5113">
        <v>-1.1090819350087999</v>
      </c>
      <c r="AH5113">
        <v>16.040637690054599</v>
      </c>
      <c r="AI5113">
        <v>93.577813436611606</v>
      </c>
      <c r="AJ5113">
        <v>115.269286474371</v>
      </c>
      <c r="AK5113">
        <v>17.7725953468012</v>
      </c>
    </row>
    <row r="5114" spans="1:37" x14ac:dyDescent="0.2">
      <c r="A5114" t="str">
        <f>"20200111160321374"</f>
        <v>20200111160321374</v>
      </c>
      <c r="B5114" t="str">
        <f>"1578729801368594"</f>
        <v>1578729801368594</v>
      </c>
      <c r="C5114" t="s">
        <v>37</v>
      </c>
      <c r="D5114">
        <v>4.7762260000000003</v>
      </c>
      <c r="E5114">
        <v>0.42700640000000001</v>
      </c>
      <c r="F5114" t="s">
        <v>38</v>
      </c>
      <c r="G5114">
        <v>-263.52910000000003</v>
      </c>
      <c r="H5114" s="1">
        <v>-8.9180899999999896E-7</v>
      </c>
      <c r="I5114">
        <v>-61.783850000000001</v>
      </c>
      <c r="J5114">
        <v>-281.30500000000001</v>
      </c>
      <c r="K5114">
        <v>1.109064</v>
      </c>
      <c r="L5114">
        <v>-62.846249999999998</v>
      </c>
      <c r="M5114">
        <v>0.92930840000000003</v>
      </c>
      <c r="N5114">
        <v>0</v>
      </c>
      <c r="O5114">
        <v>-0.369006</v>
      </c>
      <c r="P5114">
        <v>0.99059519999999901</v>
      </c>
      <c r="Q5114">
        <v>-4.1901309999999997E-2</v>
      </c>
      <c r="R5114">
        <v>-0.13025100000000001</v>
      </c>
      <c r="S5114">
        <v>3.0461429999999998</v>
      </c>
      <c r="T5114">
        <v>-0.18908139999999901</v>
      </c>
      <c r="U5114">
        <v>0.1760864</v>
      </c>
      <c r="V5114">
        <v>-0.24420359999999999</v>
      </c>
      <c r="W5114">
        <v>-3.0182560000000001E-2</v>
      </c>
      <c r="X5114">
        <v>0.96925409999999901</v>
      </c>
      <c r="Y5114">
        <v>-0.42057109999999898</v>
      </c>
      <c r="Z5114">
        <v>3.5538529999999999E-2</v>
      </c>
      <c r="AA5114">
        <v>0.90656329999999996</v>
      </c>
      <c r="AB5114">
        <v>16</v>
      </c>
      <c r="AC5114">
        <v>17.775899999999901</v>
      </c>
      <c r="AD5114">
        <v>-1.109064891809</v>
      </c>
      <c r="AE5114">
        <v>1.06239999999999</v>
      </c>
      <c r="AF5114">
        <v>-7.5183804318374801</v>
      </c>
      <c r="AG5114">
        <v>-1.109064891809</v>
      </c>
      <c r="AH5114">
        <v>16.066719015902802</v>
      </c>
      <c r="AI5114">
        <v>93.577586096838004</v>
      </c>
      <c r="AJ5114">
        <v>115.077124748239</v>
      </c>
      <c r="AK5114">
        <v>17.773450120560501</v>
      </c>
    </row>
    <row r="5115" spans="1:37" x14ac:dyDescent="0.2">
      <c r="A5115" t="str">
        <f>"20200111160321386"</f>
        <v>20200111160321386</v>
      </c>
      <c r="B5115" t="str">
        <f>"1578729801378351"</f>
        <v>1578729801378351</v>
      </c>
      <c r="C5115" t="s">
        <v>37</v>
      </c>
      <c r="D5115">
        <v>4.7681990000000001</v>
      </c>
      <c r="E5115">
        <v>0.42717240000000001</v>
      </c>
      <c r="F5115" t="s">
        <v>38</v>
      </c>
      <c r="G5115">
        <v>-263.21109999999999</v>
      </c>
      <c r="H5115" s="1">
        <v>-7.3850699999999998E-7</v>
      </c>
      <c r="I5115">
        <v>-61.72043</v>
      </c>
      <c r="J5115">
        <v>-281.2201</v>
      </c>
      <c r="K5115">
        <v>1.109056</v>
      </c>
      <c r="L5115">
        <v>-62.873049999999999</v>
      </c>
      <c r="M5115">
        <v>0.93134300000000003</v>
      </c>
      <c r="N5115">
        <v>0</v>
      </c>
      <c r="O5115">
        <v>-0.36384070000000002</v>
      </c>
      <c r="P5115">
        <v>0.99104950000000003</v>
      </c>
      <c r="Q5115">
        <v>-4.1607360000000003E-2</v>
      </c>
      <c r="R5115">
        <v>-0.1268466</v>
      </c>
      <c r="S5115">
        <v>3.0455019999999999</v>
      </c>
      <c r="T5115">
        <v>-0.18667410000000001</v>
      </c>
      <c r="U5115">
        <v>0.1894836</v>
      </c>
      <c r="V5115">
        <v>-0.24216219999999999</v>
      </c>
      <c r="W5115">
        <v>-2.9853379999999999E-2</v>
      </c>
      <c r="X5115">
        <v>0.96977639999999998</v>
      </c>
      <c r="Y5115">
        <v>-0.41957</v>
      </c>
      <c r="Z5115">
        <v>3.4763780000000001E-2</v>
      </c>
      <c r="AA5115">
        <v>0.907057</v>
      </c>
      <c r="AB5115">
        <v>16</v>
      </c>
      <c r="AC5115">
        <v>18.009</v>
      </c>
      <c r="AD5115">
        <v>-1.109056738507</v>
      </c>
      <c r="AE5115">
        <v>1.15261999999999</v>
      </c>
      <c r="AF5115">
        <v>-7.5980331707875397</v>
      </c>
      <c r="AG5115">
        <v>-1.109056738507</v>
      </c>
      <c r="AH5115">
        <v>16.2934452968409</v>
      </c>
      <c r="AI5115">
        <v>93.530094729290894</v>
      </c>
      <c r="AJ5115">
        <v>115.00079388183801</v>
      </c>
      <c r="AK5115">
        <v>18.0121202126446</v>
      </c>
    </row>
    <row r="5116" spans="1:37" x14ac:dyDescent="0.2">
      <c r="A5116" t="str">
        <f>"20200111160321399"</f>
        <v>20200111160321399</v>
      </c>
      <c r="B5116" t="str">
        <f>"1578729801388111"</f>
        <v>1578729801388111</v>
      </c>
      <c r="C5116" t="s">
        <v>37</v>
      </c>
      <c r="D5116">
        <v>5.0562269999999998</v>
      </c>
      <c r="E5116">
        <v>0.42717240000000001</v>
      </c>
      <c r="F5116" t="s">
        <v>38</v>
      </c>
      <c r="G5116">
        <v>-263.1943</v>
      </c>
      <c r="H5116" s="1">
        <v>-7.2493209999999896E-7</v>
      </c>
      <c r="I5116">
        <v>-61.696569999999902</v>
      </c>
      <c r="J5116">
        <v>-281.1379</v>
      </c>
      <c r="K5116">
        <v>1.109043</v>
      </c>
      <c r="L5116">
        <v>-62.898380000000003</v>
      </c>
      <c r="M5116">
        <v>0.93328419999999901</v>
      </c>
      <c r="N5116">
        <v>0</v>
      </c>
      <c r="O5116">
        <v>-0.35883199999999998</v>
      </c>
      <c r="P5116">
        <v>0.99154699999999996</v>
      </c>
      <c r="Q5116">
        <v>-4.0910299999999997E-2</v>
      </c>
      <c r="R5116">
        <v>-0.1231305</v>
      </c>
      <c r="S5116">
        <v>3.0446469999999999</v>
      </c>
      <c r="T5116">
        <v>-0.1873244</v>
      </c>
      <c r="U5116">
        <v>0.19869999999999999</v>
      </c>
      <c r="V5116">
        <v>-0.2406073</v>
      </c>
      <c r="W5116">
        <v>-2.912752E-2</v>
      </c>
      <c r="X5116">
        <v>0.97018539999999998</v>
      </c>
      <c r="Y5116">
        <v>-0.41744809999999999</v>
      </c>
      <c r="Z5116">
        <v>3.4536570000000003E-2</v>
      </c>
      <c r="AA5116">
        <v>0.90804419999999897</v>
      </c>
      <c r="AB5116">
        <v>16</v>
      </c>
      <c r="AC5116">
        <v>17.9436</v>
      </c>
      <c r="AD5116">
        <v>-1.1090437249320999</v>
      </c>
      <c r="AE5116">
        <v>1.20181</v>
      </c>
      <c r="AF5116">
        <v>-7.5325538556070297</v>
      </c>
      <c r="AG5116">
        <v>-1.1090437249320999</v>
      </c>
      <c r="AH5116">
        <v>16.255207379064998</v>
      </c>
      <c r="AI5116">
        <v>93.542293036303604</v>
      </c>
      <c r="AJ5116">
        <v>114.862689335279</v>
      </c>
      <c r="AK5116">
        <v>17.9499613511517</v>
      </c>
    </row>
    <row r="5117" spans="1:37" x14ac:dyDescent="0.2">
      <c r="A5117" t="str">
        <f>"20200111160321413"</f>
        <v>20200111160321413</v>
      </c>
      <c r="B5117" t="str">
        <f>"1578729801408607"</f>
        <v>1578729801408607</v>
      </c>
      <c r="C5117" t="s">
        <v>37</v>
      </c>
      <c r="D5117">
        <v>4.932315</v>
      </c>
      <c r="E5117">
        <v>0.47704249999999998</v>
      </c>
      <c r="F5117" t="s">
        <v>38</v>
      </c>
      <c r="G5117">
        <v>-262.89599999999899</v>
      </c>
      <c r="H5117" s="1">
        <v>-5.8174249999999998E-7</v>
      </c>
      <c r="I5117">
        <v>-61.63935</v>
      </c>
      <c r="J5117">
        <v>-281.0428</v>
      </c>
      <c r="K5117">
        <v>1.1090279999999999</v>
      </c>
      <c r="L5117">
        <v>-62.927219999999998</v>
      </c>
      <c r="M5117">
        <v>0.93549230000000005</v>
      </c>
      <c r="N5117">
        <v>0</v>
      </c>
      <c r="O5117">
        <v>-0.35303559999999901</v>
      </c>
      <c r="P5117">
        <v>0.99206329999999998</v>
      </c>
      <c r="Q5117">
        <v>-4.069731E-2</v>
      </c>
      <c r="R5117">
        <v>-0.118972699999999</v>
      </c>
      <c r="S5117">
        <v>3.0440369999999999</v>
      </c>
      <c r="T5117">
        <v>-0.18506629999999999</v>
      </c>
      <c r="U5117">
        <v>0.21008299999999999</v>
      </c>
      <c r="V5117">
        <v>-0.23866319999999999</v>
      </c>
      <c r="W5117">
        <v>-2.8879309999999998E-2</v>
      </c>
      <c r="X5117">
        <v>0.97067289999999995</v>
      </c>
      <c r="Y5117">
        <v>-0.41525410000000001</v>
      </c>
      <c r="Z5117">
        <v>3.3725570000000003E-2</v>
      </c>
      <c r="AA5117">
        <v>0.90908009999999995</v>
      </c>
      <c r="AB5117">
        <v>16</v>
      </c>
      <c r="AC5117">
        <v>18.146799999999999</v>
      </c>
      <c r="AD5117">
        <v>-1.1090285817425001</v>
      </c>
      <c r="AE5117">
        <v>1.2878699999999901</v>
      </c>
      <c r="AF5117">
        <v>-7.5839127330788099</v>
      </c>
      <c r="AG5117">
        <v>-1.1090285817425001</v>
      </c>
      <c r="AH5117">
        <v>16.462168232349999</v>
      </c>
      <c r="AI5117">
        <v>93.501419969076906</v>
      </c>
      <c r="AJ5117">
        <v>114.73492629551301</v>
      </c>
      <c r="AK5117">
        <v>18.158982891348</v>
      </c>
    </row>
    <row r="5118" spans="1:37" x14ac:dyDescent="0.2">
      <c r="A5118" t="str">
        <f>"20200111160321425"</f>
        <v>20200111160321425</v>
      </c>
      <c r="B5118" t="str">
        <f>"1578729801418367"</f>
        <v>1578729801418367</v>
      </c>
      <c r="C5118" t="s">
        <v>37</v>
      </c>
      <c r="D5118">
        <v>4.9362500000000002</v>
      </c>
      <c r="E5118">
        <v>0.48222569999999998</v>
      </c>
      <c r="F5118" t="s">
        <v>38</v>
      </c>
      <c r="G5118">
        <v>-271.09070000000003</v>
      </c>
      <c r="H5118" s="1">
        <v>-3.1040049999999999E-7</v>
      </c>
      <c r="I5118">
        <v>-63.478589999999997</v>
      </c>
      <c r="J5118">
        <v>-280.95249999999999</v>
      </c>
      <c r="K5118">
        <v>1.1090100000000001</v>
      </c>
      <c r="L5118">
        <v>-62.953980000000001</v>
      </c>
      <c r="M5118">
        <v>0.93755569999999899</v>
      </c>
      <c r="N5118">
        <v>0</v>
      </c>
      <c r="O5118">
        <v>-0.34751870000000001</v>
      </c>
      <c r="P5118">
        <v>0.99251089999999997</v>
      </c>
      <c r="Q5118">
        <v>-4.0674189999999999E-2</v>
      </c>
      <c r="R5118">
        <v>-0.11518730000000001</v>
      </c>
      <c r="S5118">
        <v>2.99044799999999</v>
      </c>
      <c r="T5118">
        <v>-0.3332444</v>
      </c>
      <c r="U5118">
        <v>-0.16567989999999999</v>
      </c>
      <c r="V5118">
        <v>-0.23665059999999999</v>
      </c>
      <c r="W5118">
        <v>-2.8820419999999999E-2</v>
      </c>
      <c r="X5118">
        <v>0.97116729999999996</v>
      </c>
      <c r="Y5118">
        <v>-0.29130089999999997</v>
      </c>
      <c r="Z5118">
        <v>5.4035609999999998E-2</v>
      </c>
      <c r="AA5118">
        <v>0.95510419999999996</v>
      </c>
      <c r="AB5118">
        <v>16</v>
      </c>
      <c r="AC5118">
        <v>9.8617999999999597</v>
      </c>
      <c r="AD5118">
        <v>-1.1090103104005</v>
      </c>
      <c r="AE5118">
        <v>-0.52461000000000202</v>
      </c>
      <c r="AF5118">
        <v>-2.8990731514165402</v>
      </c>
      <c r="AG5118">
        <v>-1.1090103104005</v>
      </c>
      <c r="AH5118">
        <v>9.3119085505809291</v>
      </c>
      <c r="AI5118">
        <v>96.487380034664099</v>
      </c>
      <c r="AJ5118">
        <v>107.29291358851199</v>
      </c>
      <c r="AK5118">
        <v>9.8156084814045599</v>
      </c>
    </row>
    <row r="5119" spans="1:37" x14ac:dyDescent="0.2">
      <c r="A5119" t="str">
        <f>"20200111160321439"</f>
        <v>20200111160321439</v>
      </c>
      <c r="B5119" t="str">
        <f>"1578729801428736"</f>
        <v>1578729801428736</v>
      </c>
      <c r="C5119" t="s">
        <v>37</v>
      </c>
      <c r="D5119">
        <v>4.8831639999999998</v>
      </c>
      <c r="E5119">
        <v>0.48556189999999999</v>
      </c>
      <c r="F5119" t="s">
        <v>38</v>
      </c>
      <c r="G5119">
        <v>-270.61750000000001</v>
      </c>
      <c r="H5119" s="1">
        <v>-1.4133459999999999E-7</v>
      </c>
      <c r="I5119">
        <v>-63.631169999999997</v>
      </c>
      <c r="J5119">
        <v>-280.86369999999999</v>
      </c>
      <c r="K5119">
        <v>1.1089929999999999</v>
      </c>
      <c r="L5119">
        <v>-62.979640000000003</v>
      </c>
      <c r="M5119">
        <v>0.93954519999999997</v>
      </c>
      <c r="N5119">
        <v>0</v>
      </c>
      <c r="O5119">
        <v>-0.34210400000000002</v>
      </c>
      <c r="P5119">
        <v>0.99270069999999999</v>
      </c>
      <c r="Q5119">
        <v>-4.1107690000000002E-2</v>
      </c>
      <c r="R5119">
        <v>-0.1133841</v>
      </c>
      <c r="S5119">
        <v>2.9867859999999999</v>
      </c>
      <c r="T5119">
        <v>-0.32050339999999999</v>
      </c>
      <c r="U5119">
        <v>-0.1957092</v>
      </c>
      <c r="V5119">
        <v>-0.23280309999999901</v>
      </c>
      <c r="W5119">
        <v>-2.9192530000000001E-2</v>
      </c>
      <c r="X5119">
        <v>0.97208570000000005</v>
      </c>
      <c r="Y5119">
        <v>-0.27651479999999901</v>
      </c>
      <c r="Z5119">
        <v>5.0676209999999999E-2</v>
      </c>
      <c r="AA5119">
        <v>0.95967259999999999</v>
      </c>
      <c r="AB5119">
        <v>16</v>
      </c>
      <c r="AC5119">
        <v>10.2461999999999</v>
      </c>
      <c r="AD5119">
        <v>-1.1089931413345999</v>
      </c>
      <c r="AE5119">
        <v>-0.65152999999999395</v>
      </c>
      <c r="AF5119">
        <v>-2.8600719138242199</v>
      </c>
      <c r="AG5119">
        <v>-1.1089931413345999</v>
      </c>
      <c r="AH5119">
        <v>9.7371326038470194</v>
      </c>
      <c r="AI5119">
        <v>96.236349309176902</v>
      </c>
      <c r="AJ5119">
        <v>106.369009085168</v>
      </c>
      <c r="AK5119">
        <v>10.208899474707</v>
      </c>
    </row>
    <row r="5120" spans="1:37" x14ac:dyDescent="0.2">
      <c r="A5120" t="str">
        <f>"20200111160321453"</f>
        <v>20200111160321453</v>
      </c>
      <c r="B5120" t="str">
        <f>"1578729801448241"</f>
        <v>1578729801448241</v>
      </c>
      <c r="C5120" t="s">
        <v>37</v>
      </c>
      <c r="D5120">
        <v>4.8956400000000002</v>
      </c>
      <c r="E5120">
        <v>0.48965839999999999</v>
      </c>
      <c r="F5120" t="s">
        <v>38</v>
      </c>
      <c r="G5120">
        <v>-270.44310000000002</v>
      </c>
      <c r="H5120" s="1">
        <v>-8.9688800000000006E-8</v>
      </c>
      <c r="I5120">
        <v>-63.735509999999998</v>
      </c>
      <c r="J5120">
        <v>-280.76909999999998</v>
      </c>
      <c r="K5120">
        <v>1.1089719999999901</v>
      </c>
      <c r="L5120">
        <v>-63.006500000000003</v>
      </c>
      <c r="M5120">
        <v>0.94162789999999996</v>
      </c>
      <c r="N5120">
        <v>0</v>
      </c>
      <c r="O5120">
        <v>-0.33632909999999999</v>
      </c>
      <c r="P5120">
        <v>0.99315830000000005</v>
      </c>
      <c r="Q5120">
        <v>-4.1195589999999997E-2</v>
      </c>
      <c r="R5120">
        <v>-0.1092708</v>
      </c>
      <c r="S5120">
        <v>2.9842219999999999</v>
      </c>
      <c r="T5120">
        <v>-0.31758999999999998</v>
      </c>
      <c r="U5120">
        <v>-0.21646119999999999</v>
      </c>
      <c r="V5120">
        <v>-0.23086190000000001</v>
      </c>
      <c r="W5120">
        <v>-2.9246129999999999E-2</v>
      </c>
      <c r="X5120">
        <v>0.97254689999999999</v>
      </c>
      <c r="Y5120">
        <v>-0.2640593</v>
      </c>
      <c r="Z5120">
        <v>4.8999250000000001E-2</v>
      </c>
      <c r="AA5120">
        <v>0.96326100000000003</v>
      </c>
      <c r="AB5120">
        <v>16</v>
      </c>
      <c r="AC5120">
        <v>10.325999999999899</v>
      </c>
      <c r="AD5120">
        <v>-1.10897208968879</v>
      </c>
      <c r="AE5120">
        <v>-0.72900999999999505</v>
      </c>
      <c r="AF5120">
        <v>-2.75516394453473</v>
      </c>
      <c r="AG5120">
        <v>-1.10897208968879</v>
      </c>
      <c r="AH5120">
        <v>9.8564125885369904</v>
      </c>
      <c r="AI5120">
        <v>96.184380341996999</v>
      </c>
      <c r="AJ5120">
        <v>105.617277176285</v>
      </c>
      <c r="AK5120">
        <v>10.2941544855536</v>
      </c>
    </row>
    <row r="5121" spans="1:37" x14ac:dyDescent="0.2">
      <c r="A5121" t="str">
        <f>"20200111160321465"</f>
        <v>20200111160321465</v>
      </c>
      <c r="B5121" t="str">
        <f>"1578729801458979"</f>
        <v>1578729801458979</v>
      </c>
      <c r="C5121" t="s">
        <v>37</v>
      </c>
      <c r="D5121">
        <v>4.8893170000000001</v>
      </c>
      <c r="E5121">
        <v>0.49098170000000002</v>
      </c>
      <c r="F5121" t="s">
        <v>38</v>
      </c>
      <c r="G5121">
        <v>-270.1823</v>
      </c>
      <c r="H5121" s="1">
        <v>-2.5769960000000001E-9</v>
      </c>
      <c r="I5121">
        <v>-63.846800000000002</v>
      </c>
      <c r="J5121">
        <v>-280.67970000000003</v>
      </c>
      <c r="K5121">
        <v>1.1089519999999999</v>
      </c>
      <c r="L5121">
        <v>-63.03125</v>
      </c>
      <c r="M5121">
        <v>0.94355959999999905</v>
      </c>
      <c r="N5121">
        <v>0</v>
      </c>
      <c r="O5121">
        <v>-0.33087100000000003</v>
      </c>
      <c r="P5121">
        <v>0.99358230000000003</v>
      </c>
      <c r="Q5121">
        <v>-4.1397829999999997E-2</v>
      </c>
      <c r="R5121">
        <v>-0.10526389999999999</v>
      </c>
      <c r="S5121">
        <v>2.9816889999999998</v>
      </c>
      <c r="T5121">
        <v>-0.31233290000000002</v>
      </c>
      <c r="U5121">
        <v>-0.23666379999999901</v>
      </c>
      <c r="V5121">
        <v>-0.2291501</v>
      </c>
      <c r="W5121">
        <v>-2.9418440000000001E-2</v>
      </c>
      <c r="X5121">
        <v>0.97294650000000005</v>
      </c>
      <c r="Y5121">
        <v>-0.25210679999999902</v>
      </c>
      <c r="Z5121">
        <v>4.7048380000000001E-2</v>
      </c>
      <c r="AA5121">
        <v>0.96655499999999905</v>
      </c>
      <c r="AB5121">
        <v>16</v>
      </c>
      <c r="AC5121">
        <v>10.497400000000001</v>
      </c>
      <c r="AD5121">
        <v>-1.1089520025769899</v>
      </c>
      <c r="AE5121">
        <v>-0.815550000000001</v>
      </c>
      <c r="AF5121">
        <v>-2.6743951762629199</v>
      </c>
      <c r="AG5121">
        <v>-1.1089520025769899</v>
      </c>
      <c r="AH5121">
        <v>10.0642395890595</v>
      </c>
      <c r="AI5121">
        <v>96.078610558500699</v>
      </c>
      <c r="AJ5121">
        <v>104.881433237533</v>
      </c>
      <c r="AK5121">
        <v>10.4723962209625</v>
      </c>
    </row>
    <row r="5122" spans="1:37" x14ac:dyDescent="0.2">
      <c r="A5122" t="str">
        <f>"20200111160321477"</f>
        <v>20200111160321477</v>
      </c>
      <c r="B5122" t="str">
        <f>"1578729801468737"</f>
        <v>1578729801468737</v>
      </c>
      <c r="C5122" t="s">
        <v>37</v>
      </c>
      <c r="D5122">
        <v>4.8790750000000003</v>
      </c>
      <c r="E5122">
        <v>0.49195329999999898</v>
      </c>
      <c r="F5122" t="s">
        <v>38</v>
      </c>
      <c r="G5122">
        <v>-270.07709999999997</v>
      </c>
      <c r="H5122" s="1">
        <v>3.805133E-8</v>
      </c>
      <c r="I5122">
        <v>-63.867100000000001</v>
      </c>
      <c r="J5122">
        <v>-280.60270000000003</v>
      </c>
      <c r="K5122">
        <v>1.1089359999999999</v>
      </c>
      <c r="L5122">
        <v>-63.052059999999997</v>
      </c>
      <c r="M5122">
        <v>0.94519589999999998</v>
      </c>
      <c r="N5122">
        <v>0</v>
      </c>
      <c r="O5122">
        <v>-0.32616719999999999</v>
      </c>
      <c r="P5122">
        <v>0.99392199999999997</v>
      </c>
      <c r="Q5122">
        <v>-4.1021389999999998E-2</v>
      </c>
      <c r="R5122">
        <v>-0.10215829999999999</v>
      </c>
      <c r="S5122">
        <v>2.981506</v>
      </c>
      <c r="T5122">
        <v>-0.31184220000000001</v>
      </c>
      <c r="U5122">
        <v>-0.23504639999999999</v>
      </c>
      <c r="V5122">
        <v>-0.2273551</v>
      </c>
      <c r="W5122">
        <v>-2.9012099999999999E-2</v>
      </c>
      <c r="X5122">
        <v>0.97337969999999896</v>
      </c>
      <c r="Y5122">
        <v>-0.24785960000000001</v>
      </c>
      <c r="Z5122">
        <v>4.6293349999999997E-2</v>
      </c>
      <c r="AA5122">
        <v>0.96768929999999997</v>
      </c>
      <c r="AB5122">
        <v>16</v>
      </c>
      <c r="AC5122">
        <v>10.525600000000001</v>
      </c>
      <c r="AD5122">
        <v>-1.1089359619486601</v>
      </c>
      <c r="AE5122">
        <v>-0.81504000000000298</v>
      </c>
      <c r="AF5122">
        <v>-2.6339630445675399</v>
      </c>
      <c r="AG5122">
        <v>-1.1089359619486601</v>
      </c>
      <c r="AH5122">
        <v>10.1042279014809</v>
      </c>
      <c r="AI5122">
        <v>96.062125724740397</v>
      </c>
      <c r="AJ5122">
        <v>104.610666659717</v>
      </c>
      <c r="AK5122">
        <v>10.5006153044912</v>
      </c>
    </row>
    <row r="5123" spans="1:37" x14ac:dyDescent="0.2">
      <c r="A5123" t="str">
        <f>"20200111160321490"</f>
        <v>20200111160321490</v>
      </c>
      <c r="B5123" t="str">
        <f>"1578729801478497"</f>
        <v>1578729801478497</v>
      </c>
      <c r="C5123" t="s">
        <v>37</v>
      </c>
      <c r="D5123">
        <v>4.9951829999999999</v>
      </c>
      <c r="E5123">
        <v>0.49255179999999998</v>
      </c>
      <c r="F5123" t="s">
        <v>38</v>
      </c>
      <c r="G5123">
        <v>-269.93119999999999</v>
      </c>
      <c r="H5123" s="1">
        <v>-3.8895270000000003E-6</v>
      </c>
      <c r="I5123">
        <v>-63.8870199999999</v>
      </c>
      <c r="J5123">
        <v>-280.51859999999999</v>
      </c>
      <c r="K5123">
        <v>1.1089199999999999</v>
      </c>
      <c r="L5123">
        <v>-63.074550000000002</v>
      </c>
      <c r="M5123">
        <v>0.94695149999999995</v>
      </c>
      <c r="N5123">
        <v>0</v>
      </c>
      <c r="O5123">
        <v>-0.32103490000000001</v>
      </c>
      <c r="P5123">
        <v>0.99429429999999996</v>
      </c>
      <c r="Q5123">
        <v>-4.0603500000000001E-2</v>
      </c>
      <c r="R5123">
        <v>-9.8641320000000005E-2</v>
      </c>
      <c r="S5123">
        <v>2.981598</v>
      </c>
      <c r="T5123">
        <v>-0.30983709999999998</v>
      </c>
      <c r="U5123">
        <v>-0.23330689999999901</v>
      </c>
      <c r="V5123">
        <v>-0.225529799999999</v>
      </c>
      <c r="W5123">
        <v>-2.8563809999999999E-2</v>
      </c>
      <c r="X5123">
        <v>0.973817499999999</v>
      </c>
      <c r="Y5123">
        <v>-0.24325669999999999</v>
      </c>
      <c r="Z5123">
        <v>4.5254639999999999E-2</v>
      </c>
      <c r="AA5123">
        <v>0.96890569999999898</v>
      </c>
      <c r="AB5123">
        <v>16</v>
      </c>
      <c r="AC5123">
        <v>10.587400000000001</v>
      </c>
      <c r="AD5123">
        <v>-1.1089238895269999</v>
      </c>
      <c r="AE5123">
        <v>-0.81246999999999003</v>
      </c>
      <c r="AF5123">
        <v>-2.6014715328353399</v>
      </c>
      <c r="AG5123">
        <v>-1.1089238895269999</v>
      </c>
      <c r="AH5123">
        <v>10.1767246755486</v>
      </c>
      <c r="AI5123">
        <v>96.026500355673903</v>
      </c>
      <c r="AJ5123">
        <v>104.339414924933</v>
      </c>
      <c r="AK5123">
        <v>10.562343085264599</v>
      </c>
    </row>
    <row r="5124" spans="1:37" x14ac:dyDescent="0.2">
      <c r="A5124" t="str">
        <f>"20200111160321502"</f>
        <v>20200111160321502</v>
      </c>
      <c r="B5124" t="str">
        <f>"1578729801498789"</f>
        <v>1578729801498789</v>
      </c>
      <c r="C5124" t="s">
        <v>37</v>
      </c>
      <c r="D5124">
        <v>4.8952049999999998</v>
      </c>
      <c r="E5124">
        <v>0.49394919999999998</v>
      </c>
      <c r="F5124" t="s">
        <v>38</v>
      </c>
      <c r="G5124">
        <v>-269.7586</v>
      </c>
      <c r="H5124" s="1">
        <v>-3.832209E-6</v>
      </c>
      <c r="I5124">
        <v>-63.895169999999901</v>
      </c>
      <c r="J5124">
        <v>-280.42930000000001</v>
      </c>
      <c r="K5124">
        <v>1.1089069999999901</v>
      </c>
      <c r="L5124">
        <v>-63.097630000000002</v>
      </c>
      <c r="M5124">
        <v>0.94878370000000001</v>
      </c>
      <c r="N5124">
        <v>0</v>
      </c>
      <c r="O5124">
        <v>-0.31557970000000002</v>
      </c>
      <c r="P5124">
        <v>0.99485630000000003</v>
      </c>
      <c r="Q5124">
        <v>-4.0267360000000002E-2</v>
      </c>
      <c r="R5124">
        <v>-9.2950320000000003E-2</v>
      </c>
      <c r="S5124">
        <v>2.9820859999999998</v>
      </c>
      <c r="T5124">
        <v>-0.30733070000000001</v>
      </c>
      <c r="U5124">
        <v>-0.2274475</v>
      </c>
      <c r="V5124">
        <v>-0.22550689999999901</v>
      </c>
      <c r="W5124">
        <v>-2.8223350000000001E-2</v>
      </c>
      <c r="X5124">
        <v>0.973832699999999</v>
      </c>
      <c r="Y5124">
        <v>-0.2396739</v>
      </c>
      <c r="Z5124">
        <v>4.4171950000000001E-2</v>
      </c>
      <c r="AA5124">
        <v>0.96984799999999904</v>
      </c>
      <c r="AB5124">
        <v>16</v>
      </c>
      <c r="AC5124">
        <v>10.6707</v>
      </c>
      <c r="AD5124">
        <v>-1.10891083220899</v>
      </c>
      <c r="AE5124">
        <v>-0.79753999999999003</v>
      </c>
      <c r="AF5124">
        <v>-2.58330553604987</v>
      </c>
      <c r="AG5124">
        <v>-1.10891083220899</v>
      </c>
      <c r="AH5124">
        <v>10.26674893515</v>
      </c>
      <c r="AI5124">
        <v>95.979641961939393</v>
      </c>
      <c r="AJ5124">
        <v>104.123496734768</v>
      </c>
      <c r="AK5124">
        <v>10.644683387672</v>
      </c>
    </row>
    <row r="5125" spans="1:37" x14ac:dyDescent="0.2">
      <c r="A5125" t="str">
        <f>"20200111160321518"</f>
        <v>20200111160321518</v>
      </c>
      <c r="B5125" t="str">
        <f>"1578729801508544"</f>
        <v>1578729801508544</v>
      </c>
      <c r="C5125" t="s">
        <v>37</v>
      </c>
      <c r="D5125">
        <v>4.9416330000000004</v>
      </c>
      <c r="E5125">
        <v>0.49483539999999998</v>
      </c>
      <c r="F5125" t="s">
        <v>38</v>
      </c>
      <c r="G5125">
        <v>-269.57249999999999</v>
      </c>
      <c r="H5125" s="1">
        <v>-3.7704790000000002E-6</v>
      </c>
      <c r="I5125">
        <v>-63.90419</v>
      </c>
      <c r="J5125">
        <v>-280.3218</v>
      </c>
      <c r="K5125">
        <v>1.1088910000000001</v>
      </c>
      <c r="L5125">
        <v>-63.124789999999997</v>
      </c>
      <c r="M5125">
        <v>0.95094190000000001</v>
      </c>
      <c r="N5125">
        <v>0</v>
      </c>
      <c r="O5125">
        <v>-0.3090157</v>
      </c>
      <c r="P5125">
        <v>0.99520010000000003</v>
      </c>
      <c r="Q5125">
        <v>-3.9029290000000001E-2</v>
      </c>
      <c r="R5125">
        <v>-8.9742600000000006E-2</v>
      </c>
      <c r="S5125">
        <v>2.9824519999999999</v>
      </c>
      <c r="T5125">
        <v>-0.30462610000000001</v>
      </c>
      <c r="U5125">
        <v>-0.22158809999999901</v>
      </c>
      <c r="V5125">
        <v>-0.22194659999999999</v>
      </c>
      <c r="W5125">
        <v>-2.6930909999999999E-2</v>
      </c>
      <c r="X5125">
        <v>0.97468690000000002</v>
      </c>
      <c r="Y5125">
        <v>-0.2349754</v>
      </c>
      <c r="Z5125">
        <v>4.2909179999999998E-2</v>
      </c>
      <c r="AA5125">
        <v>0.97105370000000002</v>
      </c>
      <c r="AB5125">
        <v>16</v>
      </c>
      <c r="AC5125">
        <v>10.7493</v>
      </c>
      <c r="AD5125">
        <v>-1.108894770479</v>
      </c>
      <c r="AE5125">
        <v>-0.77939999999999499</v>
      </c>
      <c r="AF5125">
        <v>-2.5537856330487698</v>
      </c>
      <c r="AG5125">
        <v>-1.108894770479</v>
      </c>
      <c r="AH5125">
        <v>10.3543375790961</v>
      </c>
      <c r="AI5125">
        <v>95.936216237872202</v>
      </c>
      <c r="AJ5125">
        <v>103.85486852947299</v>
      </c>
      <c r="AK5125">
        <v>10.7221161798147</v>
      </c>
    </row>
    <row r="5126" spans="1:37" x14ac:dyDescent="0.2">
      <c r="A5126" t="str">
        <f>"20200111160321532"</f>
        <v>20200111160321532</v>
      </c>
      <c r="B5126" t="str">
        <f>"1578729801528649"</f>
        <v>1578729801528649</v>
      </c>
      <c r="C5126" t="s">
        <v>37</v>
      </c>
      <c r="D5126">
        <v>4.8971980000000004</v>
      </c>
      <c r="E5126">
        <v>0.49601299999999998</v>
      </c>
      <c r="F5126" t="s">
        <v>38</v>
      </c>
      <c r="G5126">
        <v>-269.28140000000002</v>
      </c>
      <c r="H5126" s="1">
        <v>-3.6768199999999998E-6</v>
      </c>
      <c r="I5126">
        <v>-63.934559999999998</v>
      </c>
      <c r="J5126">
        <v>-280.22750000000002</v>
      </c>
      <c r="K5126">
        <v>1.1088819999999999</v>
      </c>
      <c r="L5126">
        <v>-63.148069999999997</v>
      </c>
      <c r="M5126">
        <v>0.95279290000000005</v>
      </c>
      <c r="N5126">
        <v>0</v>
      </c>
      <c r="O5126">
        <v>-0.30326059999999999</v>
      </c>
      <c r="P5126">
        <v>0.99556829999999996</v>
      </c>
      <c r="Q5126">
        <v>-3.8510370000000002E-2</v>
      </c>
      <c r="R5126">
        <v>-8.5794960000000003E-2</v>
      </c>
      <c r="S5126">
        <v>2.9830019999999999</v>
      </c>
      <c r="T5126">
        <v>-0.29961290000000002</v>
      </c>
      <c r="U5126">
        <v>-0.21881100000000001</v>
      </c>
      <c r="V5126">
        <v>-0.21993270000000001</v>
      </c>
      <c r="W5126">
        <v>-2.63807E-2</v>
      </c>
      <c r="X5126">
        <v>0.97515830000000003</v>
      </c>
      <c r="Y5126">
        <v>-0.23015259999999901</v>
      </c>
      <c r="Z5126">
        <v>4.1409479999999999E-2</v>
      </c>
      <c r="AA5126">
        <v>0.9722731</v>
      </c>
      <c r="AB5126">
        <v>16</v>
      </c>
      <c r="AC5126">
        <v>10.946099999999999</v>
      </c>
      <c r="AD5126">
        <v>-1.1088856768199999</v>
      </c>
      <c r="AE5126">
        <v>-0.78649000000000002</v>
      </c>
      <c r="AF5126">
        <v>-2.5444613447460398</v>
      </c>
      <c r="AG5126">
        <v>-1.1088856768199999</v>
      </c>
      <c r="AH5126">
        <v>10.5612163085082</v>
      </c>
      <c r="AI5126">
        <v>95.828299142031895</v>
      </c>
      <c r="AJ5126">
        <v>103.54583645525</v>
      </c>
      <c r="AK5126">
        <v>10.919853519817099</v>
      </c>
    </row>
    <row r="5127" spans="1:37" x14ac:dyDescent="0.2">
      <c r="A5127" t="str">
        <f>"20200111160321544"</f>
        <v>20200111160321544</v>
      </c>
      <c r="B5127" t="str">
        <f>"1578729801538399"</f>
        <v>1578729801538399</v>
      </c>
      <c r="C5127" t="s">
        <v>37</v>
      </c>
      <c r="D5127">
        <v>4.9226529999999897</v>
      </c>
      <c r="E5127">
        <v>0.49649890000000002</v>
      </c>
      <c r="F5127" t="s">
        <v>38</v>
      </c>
      <c r="G5127">
        <v>-269.09449999999998</v>
      </c>
      <c r="H5127" s="1">
        <v>-3.6168319999999999E-6</v>
      </c>
      <c r="I5127">
        <v>-63.954900000000002</v>
      </c>
      <c r="J5127">
        <v>-280.142</v>
      </c>
      <c r="K5127">
        <v>1.10887</v>
      </c>
      <c r="L5127">
        <v>-63.168519999999901</v>
      </c>
      <c r="M5127">
        <v>0.95444050000000002</v>
      </c>
      <c r="N5127">
        <v>0</v>
      </c>
      <c r="O5127">
        <v>-0.29803479999999999</v>
      </c>
      <c r="P5127">
        <v>0.99587760000000003</v>
      </c>
      <c r="Q5127">
        <v>-3.8180890000000002E-2</v>
      </c>
      <c r="R5127">
        <v>-8.2281080000000006E-2</v>
      </c>
      <c r="S5127">
        <v>2.983215</v>
      </c>
      <c r="T5127">
        <v>-0.29713850000000003</v>
      </c>
      <c r="U5127">
        <v>-0.21621699999999999</v>
      </c>
      <c r="V5127">
        <v>-0.21803910000000001</v>
      </c>
      <c r="W5127">
        <v>-2.6022650000000001E-2</v>
      </c>
      <c r="X5127">
        <v>0.97559300000000004</v>
      </c>
      <c r="Y5127">
        <v>-0.22575479999999901</v>
      </c>
      <c r="Z5127">
        <v>4.0353590000000002E-2</v>
      </c>
      <c r="AA5127">
        <v>0.97334799999999999</v>
      </c>
      <c r="AB5127">
        <v>16</v>
      </c>
      <c r="AC5127">
        <v>11.047499999999999</v>
      </c>
      <c r="AD5127">
        <v>-1.1088736168319999</v>
      </c>
      <c r="AE5127">
        <v>-0.78638000000000796</v>
      </c>
      <c r="AF5127">
        <v>-2.51703365454929</v>
      </c>
      <c r="AG5127">
        <v>-1.1088736168319999</v>
      </c>
      <c r="AH5127">
        <v>10.672744652320601</v>
      </c>
      <c r="AI5127">
        <v>95.774322736458004</v>
      </c>
      <c r="AJ5127">
        <v>103.270017829382</v>
      </c>
      <c r="AK5127">
        <v>11.021458049182</v>
      </c>
    </row>
    <row r="5128" spans="1:37" x14ac:dyDescent="0.2">
      <c r="A5128" t="str">
        <f>"20200111160321555"</f>
        <v>20200111160321555</v>
      </c>
      <c r="B5128" t="str">
        <f>"1578729801548159"</f>
        <v>1578729801548159</v>
      </c>
      <c r="C5128" t="s">
        <v>37</v>
      </c>
      <c r="D5128">
        <v>4.8852310000000001</v>
      </c>
      <c r="E5128">
        <v>0.49709680000000001</v>
      </c>
      <c r="F5128" t="s">
        <v>38</v>
      </c>
      <c r="G5128">
        <v>-268.89999999999998</v>
      </c>
      <c r="H5128" s="1">
        <v>-3.55116899999999E-6</v>
      </c>
      <c r="I5128">
        <v>-63.957900000000002</v>
      </c>
      <c r="J5128">
        <v>-280.06139999999999</v>
      </c>
      <c r="K5128">
        <v>1.1088579999999999</v>
      </c>
      <c r="L5128">
        <v>-63.187379999999997</v>
      </c>
      <c r="M5128">
        <v>0.95596360000000002</v>
      </c>
      <c r="N5128">
        <v>0</v>
      </c>
      <c r="O5128">
        <v>-0.29311320000000002</v>
      </c>
      <c r="P5128">
        <v>0.99614749999999996</v>
      </c>
      <c r="Q5128">
        <v>-3.7888709999999999E-2</v>
      </c>
      <c r="R5128">
        <v>-7.9087180000000007E-2</v>
      </c>
      <c r="S5128">
        <v>2.9838259999999899</v>
      </c>
      <c r="T5128">
        <v>-0.29431409999999902</v>
      </c>
      <c r="U5128">
        <v>-0.20953369999999999</v>
      </c>
      <c r="V5128">
        <v>-0.21614849999999999</v>
      </c>
      <c r="W5128">
        <v>-2.5702530000000001E-2</v>
      </c>
      <c r="X5128">
        <v>0.9760221</v>
      </c>
      <c r="Y5128">
        <v>-0.22300400000000001</v>
      </c>
      <c r="Z5128">
        <v>3.9370049999999997E-2</v>
      </c>
      <c r="AA5128">
        <v>0.97402219999999995</v>
      </c>
      <c r="AB5128">
        <v>16</v>
      </c>
      <c r="AC5128">
        <v>11.1614</v>
      </c>
      <c r="AD5128">
        <v>-1.1088615511689901</v>
      </c>
      <c r="AE5128">
        <v>-0.77051999999999699</v>
      </c>
      <c r="AF5128">
        <v>-2.5105793726214798</v>
      </c>
      <c r="AG5128">
        <v>-1.1088615511689901</v>
      </c>
      <c r="AH5128">
        <v>10.7909295495666</v>
      </c>
      <c r="AI5128">
        <v>95.715448860168607</v>
      </c>
      <c r="AJ5128">
        <v>103.09723677222701</v>
      </c>
      <c r="AK5128">
        <v>11.134484418669899</v>
      </c>
    </row>
    <row r="5129" spans="1:37" x14ac:dyDescent="0.2">
      <c r="A5129" t="str">
        <f>"20200111160321567"</f>
        <v>20200111160321567</v>
      </c>
      <c r="B5129" t="str">
        <f>"1578729801558894"</f>
        <v>1578729801558894</v>
      </c>
      <c r="C5129" t="s">
        <v>37</v>
      </c>
      <c r="D5129">
        <v>4.8906929999999997</v>
      </c>
      <c r="E5129">
        <v>0.49759150000000002</v>
      </c>
      <c r="F5129" t="s">
        <v>38</v>
      </c>
      <c r="G5129">
        <v>-268.80549999999999</v>
      </c>
      <c r="H5129" s="1">
        <v>-3.5191369999999999E-6</v>
      </c>
      <c r="I5129">
        <v>-63.958769999999902</v>
      </c>
      <c r="J5129">
        <v>-279.97710000000001</v>
      </c>
      <c r="K5129">
        <v>1.108851</v>
      </c>
      <c r="L5129">
        <v>-63.206850000000003</v>
      </c>
      <c r="M5129">
        <v>0.95753069999999896</v>
      </c>
      <c r="N5129">
        <v>0</v>
      </c>
      <c r="O5129">
        <v>-0.28795279999999901</v>
      </c>
      <c r="P5129">
        <v>0.99641170000000001</v>
      </c>
      <c r="Q5129">
        <v>-3.7846999999999999E-2</v>
      </c>
      <c r="R5129">
        <v>-7.5706609999999994E-2</v>
      </c>
      <c r="S5129">
        <v>2.98419199999999</v>
      </c>
      <c r="T5129">
        <v>-0.29398170000000001</v>
      </c>
      <c r="U5129">
        <v>-0.20452879999999901</v>
      </c>
      <c r="V5129">
        <v>-0.214197899999999</v>
      </c>
      <c r="W5129">
        <v>-2.56324E-2</v>
      </c>
      <c r="X5129">
        <v>0.97645389999999999</v>
      </c>
      <c r="Y5129">
        <v>-0.21942729999999899</v>
      </c>
      <c r="Z5129">
        <v>3.866265E-2</v>
      </c>
      <c r="AA5129">
        <v>0.97486249999999997</v>
      </c>
      <c r="AB5129">
        <v>16</v>
      </c>
      <c r="AC5129">
        <v>11.1716</v>
      </c>
      <c r="AD5129">
        <v>-1.1088545191370001</v>
      </c>
      <c r="AE5129">
        <v>-0.75191999999999104</v>
      </c>
      <c r="AF5129">
        <v>-2.4729263403516302</v>
      </c>
      <c r="AG5129">
        <v>-1.1088545191370001</v>
      </c>
      <c r="AH5129">
        <v>10.808850909259499</v>
      </c>
      <c r="AI5129">
        <v>95.710805653069201</v>
      </c>
      <c r="AJ5129">
        <v>102.886747990697</v>
      </c>
      <c r="AK5129">
        <v>11.143436678512399</v>
      </c>
    </row>
    <row r="5130" spans="1:37" x14ac:dyDescent="0.2">
      <c r="A5130" t="str">
        <f>"20200111160321580"</f>
        <v>20200111160321580</v>
      </c>
      <c r="B5130" t="str">
        <f>"1578729801568655"</f>
        <v>1578729801568655</v>
      </c>
      <c r="C5130" t="s">
        <v>37</v>
      </c>
      <c r="D5130">
        <v>4.8839819999999996</v>
      </c>
      <c r="E5130">
        <v>0.49805319999999997</v>
      </c>
      <c r="F5130" t="s">
        <v>38</v>
      </c>
      <c r="G5130">
        <v>-268.71120000000002</v>
      </c>
      <c r="H5130" s="1">
        <v>-3.4863829999999999E-6</v>
      </c>
      <c r="I5130">
        <v>-63.954859999999996</v>
      </c>
      <c r="J5130">
        <v>-279.90010000000001</v>
      </c>
      <c r="K5130">
        <v>1.10884</v>
      </c>
      <c r="L5130">
        <v>-63.223909999999997</v>
      </c>
      <c r="M5130">
        <v>0.95893340000000005</v>
      </c>
      <c r="N5130">
        <v>0</v>
      </c>
      <c r="O5130">
        <v>-0.28324679999999902</v>
      </c>
      <c r="P5130">
        <v>0.99663109999999999</v>
      </c>
      <c r="Q5130">
        <v>-3.7541159999999997E-2</v>
      </c>
      <c r="R5130">
        <v>-7.2919059999999994E-2</v>
      </c>
      <c r="S5130">
        <v>2.9845579999999998</v>
      </c>
      <c r="T5130">
        <v>-0.2937591</v>
      </c>
      <c r="U5130">
        <v>-0.1981812</v>
      </c>
      <c r="V5130">
        <v>-0.21214169999999999</v>
      </c>
      <c r="W5130">
        <v>-2.529733E-2</v>
      </c>
      <c r="X5130">
        <v>0.97691139999999999</v>
      </c>
      <c r="Y5130">
        <v>-0.2167471</v>
      </c>
      <c r="Z5130">
        <v>3.8057979999999998E-2</v>
      </c>
      <c r="AA5130">
        <v>0.97548570000000001</v>
      </c>
      <c r="AB5130">
        <v>16</v>
      </c>
      <c r="AC5130">
        <v>11.188899999999901</v>
      </c>
      <c r="AD5130">
        <v>-1.1088434863829999</v>
      </c>
      <c r="AE5130">
        <v>-0.73094999999999999</v>
      </c>
      <c r="AF5130">
        <v>-2.44464939673392</v>
      </c>
      <c r="AG5130">
        <v>-1.1088434863829999</v>
      </c>
      <c r="AH5130">
        <v>10.831712729153701</v>
      </c>
      <c r="AI5130">
        <v>95.702560761417899</v>
      </c>
      <c r="AJ5130">
        <v>102.718209130435</v>
      </c>
      <c r="AK5130">
        <v>11.1593837283765</v>
      </c>
    </row>
    <row r="5131" spans="1:37" x14ac:dyDescent="0.2">
      <c r="A5131" t="str">
        <f>"20200111160321593"</f>
        <v>20200111160321593</v>
      </c>
      <c r="B5131" t="str">
        <f>"1578729801588175"</f>
        <v>1578729801588175</v>
      </c>
      <c r="C5131" t="s">
        <v>37</v>
      </c>
      <c r="D5131">
        <v>4.8889639999999996</v>
      </c>
      <c r="E5131">
        <v>0.49916709999999898</v>
      </c>
      <c r="F5131" t="s">
        <v>38</v>
      </c>
      <c r="G5131">
        <v>-268.6053</v>
      </c>
      <c r="H5131" s="1">
        <v>-3.45041299999999E-6</v>
      </c>
      <c r="I5131">
        <v>-63.955269999999999</v>
      </c>
      <c r="J5131">
        <v>-279.81200000000001</v>
      </c>
      <c r="K5131">
        <v>1.1088260000000001</v>
      </c>
      <c r="L5131">
        <v>-63.243159999999897</v>
      </c>
      <c r="M5131">
        <v>0.9605091</v>
      </c>
      <c r="N5131">
        <v>0</v>
      </c>
      <c r="O5131">
        <v>-0.27785670000000001</v>
      </c>
      <c r="P5131">
        <v>0.99687610000000004</v>
      </c>
      <c r="Q5131">
        <v>-3.7380579999999997E-2</v>
      </c>
      <c r="R5131">
        <v>-6.9575150000000002E-2</v>
      </c>
      <c r="S5131">
        <v>2.9849239999999999</v>
      </c>
      <c r="T5131">
        <v>-0.29304029999999998</v>
      </c>
      <c r="U5131">
        <v>-0.19329830000000001</v>
      </c>
      <c r="V5131">
        <v>-0.20993699999999901</v>
      </c>
      <c r="W5131">
        <v>-2.5105530000000001E-2</v>
      </c>
      <c r="X5131">
        <v>0.97739259999999994</v>
      </c>
      <c r="Y5131">
        <v>-0.2129162</v>
      </c>
      <c r="Z5131">
        <v>3.7268549999999998E-2</v>
      </c>
      <c r="AA5131">
        <v>0.97635939999999999</v>
      </c>
      <c r="AB5131">
        <v>16</v>
      </c>
      <c r="AC5131">
        <v>11.2067</v>
      </c>
      <c r="AD5131">
        <v>-1.1088294504130001</v>
      </c>
      <c r="AE5131">
        <v>-0.71211000000000202</v>
      </c>
      <c r="AF5131">
        <v>-2.40666729811243</v>
      </c>
      <c r="AG5131">
        <v>-1.1088294504130001</v>
      </c>
      <c r="AH5131">
        <v>10.8573327843052</v>
      </c>
      <c r="AI5131">
        <v>95.693976236004104</v>
      </c>
      <c r="AJ5131">
        <v>102.49826249377401</v>
      </c>
      <c r="AK5131">
        <v>11.1760111588641</v>
      </c>
    </row>
    <row r="5132" spans="1:37" x14ac:dyDescent="0.2">
      <c r="A5132" t="str">
        <f>"20200111160321606"</f>
        <v>20200111160321606</v>
      </c>
      <c r="B5132" t="str">
        <f>"1578729801598910"</f>
        <v>1578729801598910</v>
      </c>
      <c r="C5132" t="s">
        <v>37</v>
      </c>
      <c r="D5132">
        <v>4.8723099999999997</v>
      </c>
      <c r="E5132">
        <v>0.49964899999999901</v>
      </c>
      <c r="F5132" t="s">
        <v>38</v>
      </c>
      <c r="G5132">
        <v>-268.51209999999998</v>
      </c>
      <c r="H5132" s="1">
        <v>-3.421241E-6</v>
      </c>
      <c r="I5132">
        <v>-63.969749999999998</v>
      </c>
      <c r="J5132">
        <v>-279.71269999999998</v>
      </c>
      <c r="K5132">
        <v>1.108816</v>
      </c>
      <c r="L5132">
        <v>-63.264189999999999</v>
      </c>
      <c r="M5132">
        <v>0.96224469999999995</v>
      </c>
      <c r="N5132">
        <v>0</v>
      </c>
      <c r="O5132">
        <v>-0.27178579999999902</v>
      </c>
      <c r="P5132">
        <v>0.9970388</v>
      </c>
      <c r="Q5132">
        <v>-3.6664759999999998E-2</v>
      </c>
      <c r="R5132">
        <v>-6.7599549999999994E-2</v>
      </c>
      <c r="S5132">
        <v>2.9850159999999999</v>
      </c>
      <c r="T5132">
        <v>-0.29291129999999999</v>
      </c>
      <c r="U5132">
        <v>-0.1919556</v>
      </c>
      <c r="V5132">
        <v>-0.20571790000000001</v>
      </c>
      <c r="W5132">
        <v>-2.4331309999999998E-2</v>
      </c>
      <c r="X5132">
        <v>0.97830879999999998</v>
      </c>
      <c r="Y5132">
        <v>-0.20724099999999901</v>
      </c>
      <c r="Z5132">
        <v>3.6401370000000002E-2</v>
      </c>
      <c r="AA5132">
        <v>0.97761239999999905</v>
      </c>
      <c r="AB5132">
        <v>16</v>
      </c>
      <c r="AC5132">
        <v>11.2006</v>
      </c>
      <c r="AD5132">
        <v>-1.1088194212410001</v>
      </c>
      <c r="AE5132">
        <v>-0.70555999999999797</v>
      </c>
      <c r="AF5132">
        <v>-2.34263231884173</v>
      </c>
      <c r="AG5132">
        <v>-1.1088194212410001</v>
      </c>
      <c r="AH5132">
        <v>10.864617344568799</v>
      </c>
      <c r="AI5132">
        <v>95.697264239490707</v>
      </c>
      <c r="AJ5132">
        <v>102.167847480707</v>
      </c>
      <c r="AK5132">
        <v>11.1694814890445</v>
      </c>
    </row>
    <row r="5133" spans="1:37" x14ac:dyDescent="0.2">
      <c r="A5133" t="str">
        <f>"20200111160321628"</f>
        <v>20200111160321628</v>
      </c>
      <c r="B5133" t="str">
        <f>"1578729801618430"</f>
        <v>1578729801618430</v>
      </c>
      <c r="C5133" t="s">
        <v>37</v>
      </c>
      <c r="D5133">
        <v>4.8821329999999996</v>
      </c>
      <c r="E5133">
        <v>0.50054350000000003</v>
      </c>
      <c r="F5133" t="s">
        <v>38</v>
      </c>
      <c r="G5133">
        <v>-268.34649999999999</v>
      </c>
      <c r="H5133" s="1">
        <v>-3.367764E-6</v>
      </c>
      <c r="I5133">
        <v>-63.985790000000001</v>
      </c>
      <c r="J5133">
        <v>-279.5625</v>
      </c>
      <c r="K5133">
        <v>1.1088020000000001</v>
      </c>
      <c r="L5133">
        <v>-63.294829999999997</v>
      </c>
      <c r="M5133">
        <v>0.96479550000000003</v>
      </c>
      <c r="N5133">
        <v>0</v>
      </c>
      <c r="O5133">
        <v>-0.26258740000000003</v>
      </c>
      <c r="P5133">
        <v>0.99740649999999997</v>
      </c>
      <c r="Q5133">
        <v>-3.5796769999999999E-2</v>
      </c>
      <c r="R5133">
        <v>-6.2443899999999997E-2</v>
      </c>
      <c r="S5133">
        <v>2.9853209999999999</v>
      </c>
      <c r="T5133">
        <v>-0.29123090000000001</v>
      </c>
      <c r="U5133">
        <v>-0.18954470000000001</v>
      </c>
      <c r="V5133">
        <v>-0.20145479999999999</v>
      </c>
      <c r="W5133">
        <v>-2.340426E-2</v>
      </c>
      <c r="X5133">
        <v>0.97921819999999904</v>
      </c>
      <c r="Y5133">
        <v>-0.19879729999999901</v>
      </c>
      <c r="Z5133">
        <v>3.4915910000000001E-2</v>
      </c>
      <c r="AA5133">
        <v>0.97941849999999997</v>
      </c>
      <c r="AB5133">
        <v>16</v>
      </c>
      <c r="AC5133">
        <v>11.215999999999999</v>
      </c>
      <c r="AD5133">
        <v>-1.108805367764</v>
      </c>
      <c r="AE5133">
        <v>-0.69095999999999602</v>
      </c>
      <c r="AF5133">
        <v>-2.2568201573363398</v>
      </c>
      <c r="AG5133">
        <v>-1.108805367764</v>
      </c>
      <c r="AH5133">
        <v>10.8976784565657</v>
      </c>
      <c r="AI5133">
        <v>95.689766393823902</v>
      </c>
      <c r="AJ5133">
        <v>101.70009801299</v>
      </c>
      <c r="AK5133">
        <v>11.184010117522201</v>
      </c>
    </row>
    <row r="5134" spans="1:37" x14ac:dyDescent="0.2">
      <c r="A5134" t="str">
        <f>"20200111160321642"</f>
        <v>20200111160321642</v>
      </c>
      <c r="B5134" t="str">
        <f>"1578729801638526"</f>
        <v>1578729801638526</v>
      </c>
      <c r="C5134" t="s">
        <v>37</v>
      </c>
      <c r="D5134">
        <v>4.8582460000000003</v>
      </c>
      <c r="E5134">
        <v>0.50145039999999996</v>
      </c>
      <c r="F5134" t="s">
        <v>38</v>
      </c>
      <c r="G5134">
        <v>-268.0985</v>
      </c>
      <c r="H5134" s="1">
        <v>-3.2839599999999898E-6</v>
      </c>
      <c r="I5134">
        <v>-63.989159999999998</v>
      </c>
      <c r="J5134">
        <v>-279.47329999999999</v>
      </c>
      <c r="K5134">
        <v>1.1087929999999999</v>
      </c>
      <c r="L5134">
        <v>-63.312130000000003</v>
      </c>
      <c r="M5134">
        <v>0.96626699999999999</v>
      </c>
      <c r="N5134">
        <v>0</v>
      </c>
      <c r="O5134">
        <v>-0.2571195</v>
      </c>
      <c r="P5134">
        <v>0.99766069999999996</v>
      </c>
      <c r="Q5134">
        <v>-3.5165099999999998E-2</v>
      </c>
      <c r="R5134">
        <v>-5.8624240000000001E-2</v>
      </c>
      <c r="S5134">
        <v>2.986145</v>
      </c>
      <c r="T5134">
        <v>-0.28882289999999999</v>
      </c>
      <c r="U5134">
        <v>-0.1808777</v>
      </c>
      <c r="V5134">
        <v>-0.1996724</v>
      </c>
      <c r="W5134">
        <v>-2.2747839999999998E-2</v>
      </c>
      <c r="X5134">
        <v>0.97959859999999899</v>
      </c>
      <c r="Y5134">
        <v>-0.1961697</v>
      </c>
      <c r="Z5134">
        <v>3.3986919999999997E-2</v>
      </c>
      <c r="AA5134">
        <v>0.97998079999999999</v>
      </c>
      <c r="AB5134">
        <v>16</v>
      </c>
      <c r="AC5134">
        <v>11.374799999999899</v>
      </c>
      <c r="AD5134">
        <v>-1.1087962839600001</v>
      </c>
      <c r="AE5134">
        <v>-0.67702999999999403</v>
      </c>
      <c r="AF5134">
        <v>-2.2494394979971899</v>
      </c>
      <c r="AG5134">
        <v>-1.1087962839600001</v>
      </c>
      <c r="AH5134">
        <v>11.061649739127899</v>
      </c>
      <c r="AI5134">
        <v>95.610021075618505</v>
      </c>
      <c r="AJ5134">
        <v>101.49463527445501</v>
      </c>
      <c r="AK5134">
        <v>11.342376391463199</v>
      </c>
    </row>
    <row r="5135" spans="1:37" x14ac:dyDescent="0.2">
      <c r="A5135" t="str">
        <f>"20200111160321654"</f>
        <v>20200111160321654</v>
      </c>
      <c r="B5135" t="str">
        <f>"1578729801648286"</f>
        <v>1578729801648286</v>
      </c>
      <c r="C5135" t="s">
        <v>37</v>
      </c>
      <c r="D5135">
        <v>4.9454690000000001</v>
      </c>
      <c r="E5135">
        <v>0.50145360000000005</v>
      </c>
      <c r="F5135" t="s">
        <v>38</v>
      </c>
      <c r="G5135">
        <v>-267.96899999999999</v>
      </c>
      <c r="H5135" s="1">
        <v>-3.2403530000000001E-6</v>
      </c>
      <c r="I5135">
        <v>-63.991900000000001</v>
      </c>
      <c r="J5135">
        <v>-279.38940000000002</v>
      </c>
      <c r="K5135">
        <v>1.1087830000000001</v>
      </c>
      <c r="L5135">
        <v>-63.328060000000001</v>
      </c>
      <c r="M5135">
        <v>0.96762039999999905</v>
      </c>
      <c r="N5135">
        <v>0</v>
      </c>
      <c r="O5135">
        <v>-0.2519788</v>
      </c>
      <c r="P5135">
        <v>0.9978572</v>
      </c>
      <c r="Q5135">
        <v>-3.4469340000000001E-2</v>
      </c>
      <c r="R5135">
        <v>-5.5616260000000001E-2</v>
      </c>
      <c r="S5135">
        <v>2.9865110000000001</v>
      </c>
      <c r="T5135">
        <v>-0.2878425</v>
      </c>
      <c r="U5135">
        <v>-0.17648320000000001</v>
      </c>
      <c r="V5135">
        <v>-0.197432</v>
      </c>
      <c r="W5135">
        <v>-2.2021499999999999E-2</v>
      </c>
      <c r="X5135">
        <v>0.98006919999999897</v>
      </c>
      <c r="Y5135">
        <v>-0.19245499999999999</v>
      </c>
      <c r="Z5135">
        <v>3.3212739999999998E-2</v>
      </c>
      <c r="AA5135">
        <v>0.98074359999999905</v>
      </c>
      <c r="AB5135">
        <v>16</v>
      </c>
      <c r="AC5135">
        <v>11.420400000000001</v>
      </c>
      <c r="AD5135">
        <v>-1.108786240353</v>
      </c>
      <c r="AE5135">
        <v>-0.66383999999999999</v>
      </c>
      <c r="AF5135">
        <v>-2.21479005678456</v>
      </c>
      <c r="AG5135">
        <v>-1.108786240353</v>
      </c>
      <c r="AH5135">
        <v>11.1146898489999</v>
      </c>
      <c r="AI5135">
        <v>95.587758522495406</v>
      </c>
      <c r="AJ5135">
        <v>101.269540090039</v>
      </c>
      <c r="AK5135">
        <v>11.3873189277323</v>
      </c>
    </row>
    <row r="5136" spans="1:37" x14ac:dyDescent="0.2">
      <c r="A5136" t="str">
        <f>"20200111160321665"</f>
        <v>20200111160321665</v>
      </c>
      <c r="B5136" t="str">
        <f>"1578729801658047"</f>
        <v>1578729801658047</v>
      </c>
      <c r="C5136" t="s">
        <v>37</v>
      </c>
      <c r="D5136">
        <v>4.9299289999999996</v>
      </c>
      <c r="E5136">
        <v>0.50145360000000005</v>
      </c>
      <c r="F5136" t="s">
        <v>38</v>
      </c>
      <c r="G5136">
        <v>-267.74689999999998</v>
      </c>
      <c r="H5136" s="1">
        <v>-3.1627999999999899E-6</v>
      </c>
      <c r="I5136">
        <v>-63.980609999999999</v>
      </c>
      <c r="J5136">
        <v>-279.30700000000002</v>
      </c>
      <c r="K5136">
        <v>1.108776</v>
      </c>
      <c r="L5136">
        <v>-63.343290000000003</v>
      </c>
      <c r="M5136">
        <v>0.96892279999999997</v>
      </c>
      <c r="N5136">
        <v>0</v>
      </c>
      <c r="O5136">
        <v>-0.2469239</v>
      </c>
      <c r="P5136">
        <v>0.99803779999999997</v>
      </c>
      <c r="Q5136">
        <v>-3.3987919999999998E-2</v>
      </c>
      <c r="R5136">
        <v>-5.2587769999999999E-2</v>
      </c>
      <c r="S5136">
        <v>2.9872740000000002</v>
      </c>
      <c r="T5136">
        <v>-0.284497099999999</v>
      </c>
      <c r="U5136">
        <v>-0.16744999999999999</v>
      </c>
      <c r="V5136">
        <v>-0.19529939999999901</v>
      </c>
      <c r="W5136">
        <v>-2.1511300000000001E-2</v>
      </c>
      <c r="X5136">
        <v>0.98050769999999998</v>
      </c>
      <c r="Y5136">
        <v>-0.1903822</v>
      </c>
      <c r="Z5136">
        <v>3.226035E-2</v>
      </c>
      <c r="AA5136">
        <v>0.98117980000000005</v>
      </c>
      <c r="AB5136">
        <v>16</v>
      </c>
      <c r="AC5136">
        <v>11.5601</v>
      </c>
      <c r="AD5136">
        <v>-1.1087791628000001</v>
      </c>
      <c r="AE5136">
        <v>-0.637319999999995</v>
      </c>
      <c r="AF5136">
        <v>-2.2168617169388498</v>
      </c>
      <c r="AG5136">
        <v>-1.1087791628000001</v>
      </c>
      <c r="AH5136">
        <v>11.2562093190648</v>
      </c>
      <c r="AI5136">
        <v>95.520334420693004</v>
      </c>
      <c r="AJ5136">
        <v>101.141564774919</v>
      </c>
      <c r="AK5136">
        <v>11.525888917497401</v>
      </c>
    </row>
    <row r="5137" spans="1:37" x14ac:dyDescent="0.2">
      <c r="A5137" t="str">
        <f>"20200111160321676"</f>
        <v>20200111160321676</v>
      </c>
      <c r="B5137" t="str">
        <f>"1578729801668783"</f>
        <v>1578729801668783</v>
      </c>
      <c r="C5137" t="s">
        <v>37</v>
      </c>
      <c r="D5137">
        <v>4.821224</v>
      </c>
      <c r="E5137">
        <v>0.4687366</v>
      </c>
      <c r="F5137" t="s">
        <v>38</v>
      </c>
      <c r="G5137">
        <v>-267.60309999999998</v>
      </c>
      <c r="H5137" s="1">
        <v>-3.1107429999999998E-6</v>
      </c>
      <c r="I5137">
        <v>-63.963030000000003</v>
      </c>
      <c r="J5137">
        <v>-279.23399999999998</v>
      </c>
      <c r="K5137">
        <v>1.108771</v>
      </c>
      <c r="L5137">
        <v>-63.356290000000001</v>
      </c>
      <c r="M5137">
        <v>0.97005239999999904</v>
      </c>
      <c r="N5137">
        <v>0</v>
      </c>
      <c r="O5137">
        <v>-0.2424481</v>
      </c>
      <c r="P5137">
        <v>0.99817509999999998</v>
      </c>
      <c r="Q5137">
        <v>-3.3590219999999997E-2</v>
      </c>
      <c r="R5137">
        <v>-5.018798E-2</v>
      </c>
      <c r="S5137">
        <v>2.987946</v>
      </c>
      <c r="T5137">
        <v>-0.28306619999999999</v>
      </c>
      <c r="U5137">
        <v>-0.1582336</v>
      </c>
      <c r="V5137">
        <v>-0.19313929999999899</v>
      </c>
      <c r="W5137">
        <v>-2.1084769999999999E-2</v>
      </c>
      <c r="X5137">
        <v>0.98094479999999995</v>
      </c>
      <c r="Y5137">
        <v>-0.1889265</v>
      </c>
      <c r="Z5137">
        <v>3.1616329999999998E-2</v>
      </c>
      <c r="AA5137">
        <v>0.98148210000000002</v>
      </c>
      <c r="AB5137">
        <v>16</v>
      </c>
      <c r="AC5137">
        <v>11.6309</v>
      </c>
      <c r="AD5137">
        <v>-1.108774110743</v>
      </c>
      <c r="AE5137">
        <v>-0.60674000000000206</v>
      </c>
      <c r="AF5137">
        <v>-2.2115191071533999</v>
      </c>
      <c r="AG5137">
        <v>-1.108774110743</v>
      </c>
      <c r="AH5137">
        <v>11.3282575090508</v>
      </c>
      <c r="AI5137">
        <v>95.487190123943193</v>
      </c>
      <c r="AJ5137">
        <v>101.046433071103</v>
      </c>
      <c r="AK5137">
        <v>11.595241048866701</v>
      </c>
    </row>
    <row r="5138" spans="1:37" x14ac:dyDescent="0.2">
      <c r="A5138" t="str">
        <f>"20200111160321688"</f>
        <v>20200111160321688</v>
      </c>
      <c r="B5138" t="str">
        <f>"1578729801678543"</f>
        <v>1578729801678543</v>
      </c>
      <c r="C5138" t="s">
        <v>37</v>
      </c>
      <c r="D5138">
        <v>4.7546299999999997</v>
      </c>
      <c r="E5138">
        <v>0.46336660000000002</v>
      </c>
      <c r="F5138" t="s">
        <v>38</v>
      </c>
      <c r="G5138">
        <v>-261.13200000000001</v>
      </c>
      <c r="H5138" s="1">
        <v>-1.148796E-7</v>
      </c>
      <c r="I5138">
        <v>-62.728700000000003</v>
      </c>
      <c r="J5138">
        <v>-279.1558</v>
      </c>
      <c r="K5138">
        <v>1.108762</v>
      </c>
      <c r="L5138">
        <v>-63.37003</v>
      </c>
      <c r="M5138">
        <v>0.97123999999999999</v>
      </c>
      <c r="N5138">
        <v>0</v>
      </c>
      <c r="O5138">
        <v>-0.23764659999999899</v>
      </c>
      <c r="P5138">
        <v>0.99832809999999905</v>
      </c>
      <c r="Q5138">
        <v>-3.2877919999999998E-2</v>
      </c>
      <c r="R5138">
        <v>-4.7542010000000003E-2</v>
      </c>
      <c r="S5138">
        <v>3.0045470000000001</v>
      </c>
      <c r="T5138">
        <v>-0.18403269999999999</v>
      </c>
      <c r="U5138">
        <v>0.1041565</v>
      </c>
      <c r="V5138">
        <v>-0.19090029999999999</v>
      </c>
      <c r="W5138">
        <v>-2.0342579999999999E-2</v>
      </c>
      <c r="X5138">
        <v>0.98139859999999901</v>
      </c>
      <c r="Y5138">
        <v>-0.27023619999999998</v>
      </c>
      <c r="Z5138">
        <v>2.2714939999999999E-2</v>
      </c>
      <c r="AA5138">
        <v>0.96252610000000005</v>
      </c>
      <c r="AB5138">
        <v>16</v>
      </c>
      <c r="AC5138">
        <v>18.023799999999898</v>
      </c>
      <c r="AD5138">
        <v>-1.1087621148796001</v>
      </c>
      <c r="AE5138">
        <v>0.64133000000000295</v>
      </c>
      <c r="AF5138">
        <v>-4.8882373369488903</v>
      </c>
      <c r="AG5138">
        <v>-1.1087621148796001</v>
      </c>
      <c r="AH5138">
        <v>17.2895624180615</v>
      </c>
      <c r="AI5138">
        <v>93.5312449240202</v>
      </c>
      <c r="AJ5138">
        <v>105.787064564324</v>
      </c>
      <c r="AK5138">
        <v>18.001477336534801</v>
      </c>
    </row>
    <row r="5139" spans="1:37" x14ac:dyDescent="0.2">
      <c r="A5139" t="str">
        <f>"20200111160321700"</f>
        <v>20200111160321700</v>
      </c>
      <c r="B5139" t="str">
        <f>"1578729801688303"</f>
        <v>1578729801688303</v>
      </c>
      <c r="C5139" t="s">
        <v>37</v>
      </c>
      <c r="D5139">
        <v>4.2943049999999996</v>
      </c>
      <c r="E5139">
        <v>0.46296690000000001</v>
      </c>
      <c r="F5139" t="s">
        <v>93</v>
      </c>
      <c r="G5139">
        <v>-257.74209999999999</v>
      </c>
      <c r="H5139" s="1">
        <v>-2.8786159999999999E-6</v>
      </c>
      <c r="I5139">
        <v>-62.2774199999999</v>
      </c>
      <c r="J5139">
        <v>-279.07679999999999</v>
      </c>
      <c r="K5139">
        <v>1.108752</v>
      </c>
      <c r="L5139">
        <v>-63.383269999999897</v>
      </c>
      <c r="M5139">
        <v>0.97241489999999997</v>
      </c>
      <c r="N5139">
        <v>0</v>
      </c>
      <c r="O5139">
        <v>-0.23279339999999901</v>
      </c>
      <c r="P5139">
        <v>0.99846399999999902</v>
      </c>
      <c r="Q5139">
        <v>-3.2300669999999997E-2</v>
      </c>
      <c r="R5139">
        <v>-4.5019209999999997E-2</v>
      </c>
      <c r="S5139">
        <v>3.007263</v>
      </c>
      <c r="T5139">
        <v>-0.15571109999999999</v>
      </c>
      <c r="U5139">
        <v>0.15344240000000001</v>
      </c>
      <c r="V5139">
        <v>-0.18849009999999999</v>
      </c>
      <c r="W5139">
        <v>-1.9733480000000001E-2</v>
      </c>
      <c r="X5139">
        <v>0.98187679999999999</v>
      </c>
      <c r="Y5139">
        <v>-0.28138879999999999</v>
      </c>
      <c r="Z5139">
        <v>1.9248379999999999E-2</v>
      </c>
      <c r="AA5139">
        <v>0.95940079999999905</v>
      </c>
      <c r="AB5139">
        <v>16</v>
      </c>
      <c r="AC5139">
        <v>21.334700000000002</v>
      </c>
      <c r="AD5139">
        <v>-1.108754878616</v>
      </c>
      <c r="AE5139">
        <v>1.10585</v>
      </c>
      <c r="AF5139">
        <v>-6.0263439509452503</v>
      </c>
      <c r="AG5139">
        <v>-1.108754878616</v>
      </c>
      <c r="AH5139">
        <v>20.435917659826899</v>
      </c>
      <c r="AI5139">
        <v>92.978966833298102</v>
      </c>
      <c r="AJ5139">
        <v>106.4302512623</v>
      </c>
      <c r="AK5139">
        <v>21.3347812127327</v>
      </c>
    </row>
    <row r="5140" spans="1:37" x14ac:dyDescent="0.2">
      <c r="A5140" t="str">
        <f>"20200111160321712"</f>
        <v>20200111160321712</v>
      </c>
      <c r="B5140" t="str">
        <f>"1578729801708799"</f>
        <v>1578729801708799</v>
      </c>
      <c r="C5140" t="s">
        <v>37</v>
      </c>
      <c r="D5140">
        <v>4.7628180000000002</v>
      </c>
      <c r="E5140">
        <v>0.46104459999999903</v>
      </c>
      <c r="F5140" t="s">
        <v>93</v>
      </c>
      <c r="G5140">
        <v>-259.767</v>
      </c>
      <c r="H5140" s="1">
        <v>-3.605714E-6</v>
      </c>
      <c r="I5140">
        <v>-62.320349999999998</v>
      </c>
      <c r="J5140">
        <v>-278.99549999999999</v>
      </c>
      <c r="K5140">
        <v>1.108744</v>
      </c>
      <c r="L5140">
        <v>-63.396669999999901</v>
      </c>
      <c r="M5140">
        <v>0.97359810000000002</v>
      </c>
      <c r="N5140">
        <v>0</v>
      </c>
      <c r="O5140">
        <v>-0.22779379999999999</v>
      </c>
      <c r="P5140">
        <v>0.99860210000000005</v>
      </c>
      <c r="Q5140">
        <v>-3.1857280000000002E-2</v>
      </c>
      <c r="R5140">
        <v>-4.2179250000000001E-2</v>
      </c>
      <c r="S5140">
        <v>3.0065309999999998</v>
      </c>
      <c r="T5140">
        <v>-0.17263290000000001</v>
      </c>
      <c r="U5140">
        <v>0.165496799999999</v>
      </c>
      <c r="V5140">
        <v>-0.18624679999999999</v>
      </c>
      <c r="W5140">
        <v>-1.926054E-2</v>
      </c>
      <c r="X5140">
        <v>0.98231420000000003</v>
      </c>
      <c r="Y5140">
        <v>-0.28015959999999901</v>
      </c>
      <c r="Z5140">
        <v>2.1024580000000001E-2</v>
      </c>
      <c r="AA5140">
        <v>0.9597232</v>
      </c>
      <c r="AB5140">
        <v>16</v>
      </c>
      <c r="AC5140">
        <v>19.2285</v>
      </c>
      <c r="AD5140">
        <v>-1.108747605714</v>
      </c>
      <c r="AE5140">
        <v>1.07631999999999</v>
      </c>
      <c r="AF5140">
        <v>-5.4106908301726797</v>
      </c>
      <c r="AG5140">
        <v>-1.108747605714</v>
      </c>
      <c r="AH5140">
        <v>18.416612857057501</v>
      </c>
      <c r="AI5140">
        <v>93.305867057170403</v>
      </c>
      <c r="AJ5140">
        <v>106.372472983751</v>
      </c>
      <c r="AK5140">
        <v>19.2269739074985</v>
      </c>
    </row>
    <row r="5141" spans="1:37" x14ac:dyDescent="0.2">
      <c r="A5141" t="str">
        <f>"20200111160321725"</f>
        <v>20200111160321725</v>
      </c>
      <c r="B5141" t="str">
        <f>"1578729801718559"</f>
        <v>1578729801718559</v>
      </c>
      <c r="C5141" t="s">
        <v>37</v>
      </c>
      <c r="D5141">
        <v>4.8252699999999997</v>
      </c>
      <c r="E5141">
        <v>0.46145180000000002</v>
      </c>
      <c r="F5141" t="s">
        <v>93</v>
      </c>
      <c r="G5141">
        <v>-258.86770000000001</v>
      </c>
      <c r="H5141" s="1">
        <v>-3.2743419999999899E-6</v>
      </c>
      <c r="I5141">
        <v>-62.130740000000003</v>
      </c>
      <c r="J5141">
        <v>-278.90210000000002</v>
      </c>
      <c r="K5141">
        <v>1.1087370000000001</v>
      </c>
      <c r="L5141">
        <v>-63.411469999999902</v>
      </c>
      <c r="M5141">
        <v>0.97492380000000001</v>
      </c>
      <c r="N5141">
        <v>0</v>
      </c>
      <c r="O5141">
        <v>-0.22205149999999901</v>
      </c>
      <c r="P5141">
        <v>0.9987509</v>
      </c>
      <c r="Q5141">
        <v>-3.1372070000000002E-2</v>
      </c>
      <c r="R5141">
        <v>-3.889132E-2</v>
      </c>
      <c r="S5141">
        <v>3.0068969999999999</v>
      </c>
      <c r="T5141">
        <v>-0.16563639999999999</v>
      </c>
      <c r="U5141">
        <v>0.18911739999999999</v>
      </c>
      <c r="V5141">
        <v>-0.18370029999999901</v>
      </c>
      <c r="W5141">
        <v>-1.8742089999999999E-2</v>
      </c>
      <c r="X5141">
        <v>0.9828036</v>
      </c>
      <c r="Y5141">
        <v>-0.28208099999999903</v>
      </c>
      <c r="Z5141">
        <v>1.9911689999999999E-2</v>
      </c>
      <c r="AA5141">
        <v>0.95918389999999998</v>
      </c>
      <c r="AB5141">
        <v>16</v>
      </c>
      <c r="AC5141">
        <v>20.034400000000002</v>
      </c>
      <c r="AD5141">
        <v>-1.1087402743420001</v>
      </c>
      <c r="AE5141">
        <v>1.2807299999999899</v>
      </c>
      <c r="AF5141">
        <v>-5.6805729931679396</v>
      </c>
      <c r="AG5141">
        <v>-1.1087402743420001</v>
      </c>
      <c r="AH5141">
        <v>19.191173405136599</v>
      </c>
      <c r="AI5141">
        <v>93.170805062928295</v>
      </c>
      <c r="AJ5141">
        <v>106.4887143567</v>
      </c>
      <c r="AK5141">
        <v>20.044933304770002</v>
      </c>
    </row>
    <row r="5142" spans="1:37" x14ac:dyDescent="0.2">
      <c r="A5142" t="str">
        <f>"20200111160321737"</f>
        <v>20200111160321737</v>
      </c>
      <c r="B5142" t="str">
        <f>"1578729801728319"</f>
        <v>1578729801728319</v>
      </c>
      <c r="C5142" t="s">
        <v>37</v>
      </c>
      <c r="D5142">
        <v>4.6844580000000002</v>
      </c>
      <c r="E5142">
        <v>0.46142250000000001</v>
      </c>
      <c r="F5142" t="s">
        <v>93</v>
      </c>
      <c r="G5142">
        <v>-258.08249999999998</v>
      </c>
      <c r="H5142" s="1">
        <v>-2.9755799999999998E-6</v>
      </c>
      <c r="I5142">
        <v>-62.056780000000003</v>
      </c>
      <c r="J5142">
        <v>-278.82319999999999</v>
      </c>
      <c r="K5142">
        <v>1.108727</v>
      </c>
      <c r="L5142">
        <v>-63.423430000000003</v>
      </c>
      <c r="M5142">
        <v>0.97601550000000004</v>
      </c>
      <c r="N5142">
        <v>0</v>
      </c>
      <c r="O5142">
        <v>-0.21720320000000001</v>
      </c>
      <c r="P5142">
        <v>0.9988456</v>
      </c>
      <c r="Q5142">
        <v>-3.093489E-2</v>
      </c>
      <c r="R5142">
        <v>-3.6750659999999997E-2</v>
      </c>
      <c r="S5142">
        <v>3.006348</v>
      </c>
      <c r="T5142">
        <v>-0.16010239999999901</v>
      </c>
      <c r="U5142">
        <v>0.19561770000000001</v>
      </c>
      <c r="V5142">
        <v>-0.18093010000000001</v>
      </c>
      <c r="W5142">
        <v>-1.8269199999999999E-2</v>
      </c>
      <c r="X5142">
        <v>0.98332629999999999</v>
      </c>
      <c r="Y5142">
        <v>-0.27944920000000001</v>
      </c>
      <c r="Z5142">
        <v>1.8926499999999999E-2</v>
      </c>
      <c r="AA5142">
        <v>0.95997389999999905</v>
      </c>
      <c r="AB5142">
        <v>16</v>
      </c>
      <c r="AC5142">
        <v>20.7407</v>
      </c>
      <c r="AD5142">
        <v>-1.10872997558</v>
      </c>
      <c r="AE5142">
        <v>1.3666499999999999</v>
      </c>
      <c r="AF5142">
        <v>-5.8228825247032203</v>
      </c>
      <c r="AG5142">
        <v>-1.10872997558</v>
      </c>
      <c r="AH5142">
        <v>19.891965633026501</v>
      </c>
      <c r="AI5142">
        <v>93.061994791983594</v>
      </c>
      <c r="AJ5142">
        <v>106.31609107416899</v>
      </c>
      <c r="AK5142">
        <v>20.756337340695499</v>
      </c>
    </row>
    <row r="5143" spans="1:37" x14ac:dyDescent="0.2">
      <c r="A5143" t="str">
        <f>"20200111160321752"</f>
        <v>20200111160321752</v>
      </c>
      <c r="B5143" t="str">
        <f>"1578729801748750"</f>
        <v>1578729801748750</v>
      </c>
      <c r="C5143" t="s">
        <v>37</v>
      </c>
      <c r="D5143">
        <v>4.6587339999999999</v>
      </c>
      <c r="E5143">
        <v>0.46130179999999998</v>
      </c>
      <c r="F5143" t="s">
        <v>93</v>
      </c>
      <c r="G5143">
        <v>-257.93</v>
      </c>
      <c r="H5143" s="1">
        <v>-2.9012700000000001E-6</v>
      </c>
      <c r="I5143">
        <v>-62.016919999999899</v>
      </c>
      <c r="J5143">
        <v>-278.71870000000001</v>
      </c>
      <c r="K5143">
        <v>1.108714</v>
      </c>
      <c r="L5143">
        <v>-63.438839999999999</v>
      </c>
      <c r="M5143">
        <v>0.97742489999999904</v>
      </c>
      <c r="N5143">
        <v>0</v>
      </c>
      <c r="O5143">
        <v>-0.210771299999999</v>
      </c>
      <c r="P5143">
        <v>0.99893099999999901</v>
      </c>
      <c r="Q5143">
        <v>-3.0188860000000001E-2</v>
      </c>
      <c r="R5143">
        <v>-3.5010069999999997E-2</v>
      </c>
      <c r="S5143">
        <v>3.0060119999999899</v>
      </c>
      <c r="T5143">
        <v>-0.1595183</v>
      </c>
      <c r="U5143">
        <v>0.20236209999999999</v>
      </c>
      <c r="V5143">
        <v>-0.1761807</v>
      </c>
      <c r="W5143">
        <v>-1.7462599999999901E-2</v>
      </c>
      <c r="X5143">
        <v>0.98420289999999999</v>
      </c>
      <c r="Y5143">
        <v>-0.27529599999999999</v>
      </c>
      <c r="Z5143">
        <v>1.841309E-2</v>
      </c>
      <c r="AA5143">
        <v>0.96118320000000002</v>
      </c>
      <c r="AB5143">
        <v>16</v>
      </c>
      <c r="AC5143">
        <v>20.788699999999999</v>
      </c>
      <c r="AD5143">
        <v>-1.10871690127</v>
      </c>
      <c r="AE5143">
        <v>1.4219200000000001</v>
      </c>
      <c r="AF5143">
        <v>-5.7558093910152301</v>
      </c>
      <c r="AG5143">
        <v>-1.10871690127</v>
      </c>
      <c r="AH5143">
        <v>19.965331385827501</v>
      </c>
      <c r="AI5143">
        <v>93.0543484539388</v>
      </c>
      <c r="AJ5143">
        <v>106.08175311871901</v>
      </c>
      <c r="AK5143">
        <v>20.8080045237108</v>
      </c>
    </row>
    <row r="5144" spans="1:37" x14ac:dyDescent="0.2">
      <c r="A5144" t="str">
        <f>"20200111160321764"</f>
        <v>20200111160321764</v>
      </c>
      <c r="B5144" t="str">
        <f>"1578729801758510"</f>
        <v>1578729801758510</v>
      </c>
      <c r="C5144" t="s">
        <v>37</v>
      </c>
      <c r="D5144">
        <v>4.8990359999999997</v>
      </c>
      <c r="E5144">
        <v>0.46121790000000001</v>
      </c>
      <c r="F5144" t="s">
        <v>93</v>
      </c>
      <c r="G5144">
        <v>-258.53199999999998</v>
      </c>
      <c r="H5144" s="1">
        <v>-3.1470379999999999E-6</v>
      </c>
      <c r="I5144">
        <v>-62.033149999999999</v>
      </c>
      <c r="J5144">
        <v>-278.6361</v>
      </c>
      <c r="K5144">
        <v>1.108706</v>
      </c>
      <c r="L5144">
        <v>-63.450469999999903</v>
      </c>
      <c r="M5144">
        <v>0.97850700000000002</v>
      </c>
      <c r="N5144">
        <v>0</v>
      </c>
      <c r="O5144">
        <v>-0.20568839999999999</v>
      </c>
      <c r="P5144">
        <v>0.99902080000000004</v>
      </c>
      <c r="Q5144">
        <v>-3.0121660000000001E-2</v>
      </c>
      <c r="R5144">
        <v>-3.2407619999999998E-2</v>
      </c>
      <c r="S5144">
        <v>3.0055540000000001</v>
      </c>
      <c r="T5144">
        <v>-0.1650741</v>
      </c>
      <c r="U5144">
        <v>0.20928959999999999</v>
      </c>
      <c r="V5144">
        <v>-0.1736317</v>
      </c>
      <c r="W5144">
        <v>-1.736333E-2</v>
      </c>
      <c r="X5144">
        <v>0.98465759999999902</v>
      </c>
      <c r="Y5144">
        <v>-0.27247759999999999</v>
      </c>
      <c r="Z5144">
        <v>1.8703339999999999E-2</v>
      </c>
      <c r="AA5144">
        <v>0.96198030000000001</v>
      </c>
      <c r="AB5144">
        <v>16</v>
      </c>
      <c r="AC5144">
        <v>20.104099999999999</v>
      </c>
      <c r="AD5144">
        <v>-1.1087091470379999</v>
      </c>
      <c r="AE5144">
        <v>1.4173199999999899</v>
      </c>
      <c r="AF5144">
        <v>-5.5059723430143901</v>
      </c>
      <c r="AG5144">
        <v>-1.1087091470379999</v>
      </c>
      <c r="AH5144">
        <v>19.3240923376841</v>
      </c>
      <c r="AI5144">
        <v>93.1582841337529</v>
      </c>
      <c r="AJ5144">
        <v>105.903729231208</v>
      </c>
      <c r="AK5144">
        <v>20.123754920245599</v>
      </c>
    </row>
    <row r="5145" spans="1:37" x14ac:dyDescent="0.2">
      <c r="A5145" t="str">
        <f>"20200111160321776"</f>
        <v>20200111160321776</v>
      </c>
      <c r="B5145" t="str">
        <f>"1578729801768270"</f>
        <v>1578729801768270</v>
      </c>
      <c r="C5145" t="s">
        <v>37</v>
      </c>
      <c r="D5145">
        <v>4.6196900000000003</v>
      </c>
      <c r="E5145">
        <v>0.46113270000000001</v>
      </c>
      <c r="F5145" t="s">
        <v>93</v>
      </c>
      <c r="G5145">
        <v>-257.42660000000001</v>
      </c>
      <c r="H5145" s="1">
        <v>-2.6629930000000002E-6</v>
      </c>
      <c r="I5145">
        <v>-61.916550000000001</v>
      </c>
      <c r="J5145">
        <v>-278.55610000000001</v>
      </c>
      <c r="K5145">
        <v>1.108697</v>
      </c>
      <c r="L5145">
        <v>-63.461269999999899</v>
      </c>
      <c r="M5145">
        <v>0.97953049999999997</v>
      </c>
      <c r="N5145">
        <v>0</v>
      </c>
      <c r="O5145">
        <v>-0.20075850000000001</v>
      </c>
      <c r="P5145">
        <v>0.99909539999999997</v>
      </c>
      <c r="Q5145">
        <v>-3.0131140000000001E-2</v>
      </c>
      <c r="R5145">
        <v>-3.0011759999999998E-2</v>
      </c>
      <c r="S5145">
        <v>3.0052490000000001</v>
      </c>
      <c r="T5145">
        <v>-0.1570964</v>
      </c>
      <c r="U5145">
        <v>0.21734619999999999</v>
      </c>
      <c r="V5145">
        <v>-0.17103560000000001</v>
      </c>
      <c r="W5145">
        <v>-1.7340310000000001E-2</v>
      </c>
      <c r="X5145">
        <v>0.98511219999999999</v>
      </c>
      <c r="Y5145">
        <v>-0.27028269999999999</v>
      </c>
      <c r="Z5145">
        <v>1.7490269999999999E-2</v>
      </c>
      <c r="AA5145">
        <v>0.96262209999999904</v>
      </c>
      <c r="AB5145">
        <v>16</v>
      </c>
      <c r="AC5145">
        <v>21.1295</v>
      </c>
      <c r="AD5145">
        <v>-1.1086996629929999</v>
      </c>
      <c r="AE5145">
        <v>1.5447199999999901</v>
      </c>
      <c r="AF5145">
        <v>-5.73992921284687</v>
      </c>
      <c r="AG5145">
        <v>-1.1086996629929999</v>
      </c>
      <c r="AH5145">
        <v>20.3333906479549</v>
      </c>
      <c r="AI5145">
        <v>93.003858206868998</v>
      </c>
      <c r="AJ5145">
        <v>105.763885213199</v>
      </c>
      <c r="AK5145">
        <v>21.157097569221399</v>
      </c>
    </row>
    <row r="5146" spans="1:37" x14ac:dyDescent="0.2">
      <c r="A5146" t="str">
        <f>"20200111160321787"</f>
        <v>20200111160321787</v>
      </c>
      <c r="B5146" t="str">
        <f>"1578729801778030"</f>
        <v>1578729801778030</v>
      </c>
      <c r="C5146" t="s">
        <v>37</v>
      </c>
      <c r="D5146">
        <v>7.8829250000000002</v>
      </c>
      <c r="E5146">
        <v>0.46113270000000001</v>
      </c>
      <c r="F5146" t="s">
        <v>93</v>
      </c>
      <c r="G5146">
        <v>-257.71769999999998</v>
      </c>
      <c r="H5146" s="1">
        <v>-2.7836059999999899E-6</v>
      </c>
      <c r="I5146">
        <v>-61.897210000000001</v>
      </c>
      <c r="J5146">
        <v>-278.47399999999999</v>
      </c>
      <c r="K5146">
        <v>1.108689</v>
      </c>
      <c r="L5146">
        <v>-63.472079999999998</v>
      </c>
      <c r="M5146">
        <v>0.98055400000000004</v>
      </c>
      <c r="N5146">
        <v>0</v>
      </c>
      <c r="O5146">
        <v>-0.1956995</v>
      </c>
      <c r="P5146">
        <v>0.99917129999999998</v>
      </c>
      <c r="Q5146">
        <v>-3.00382999999999E-2</v>
      </c>
      <c r="R5146">
        <v>-2.747103E-2</v>
      </c>
      <c r="S5146">
        <v>3.0047000000000001</v>
      </c>
      <c r="T5146">
        <v>-0.15986449999999999</v>
      </c>
      <c r="U5146">
        <v>0.225524899999999</v>
      </c>
      <c r="V5146">
        <v>-0.16845750000000001</v>
      </c>
      <c r="W5146">
        <v>-1.7215270000000001E-2</v>
      </c>
      <c r="X5146">
        <v>0.98555859999999995</v>
      </c>
      <c r="Y5146">
        <v>-0.26791909999999902</v>
      </c>
      <c r="Z5146">
        <v>1.747195E-2</v>
      </c>
      <c r="AA5146">
        <v>0.963283</v>
      </c>
      <c r="AB5146">
        <v>16</v>
      </c>
      <c r="AC5146">
        <v>20.7563</v>
      </c>
      <c r="AD5146">
        <v>-1.108691783606</v>
      </c>
      <c r="AE5146">
        <v>1.57487</v>
      </c>
      <c r="AF5146">
        <v>-5.5909864333268899</v>
      </c>
      <c r="AG5146">
        <v>-1.108691783606</v>
      </c>
      <c r="AH5146">
        <v>19.989925024934099</v>
      </c>
      <c r="AI5146">
        <v>93.057417728604193</v>
      </c>
      <c r="AJ5146">
        <v>105.625786159334</v>
      </c>
      <c r="AK5146">
        <v>20.786664698098299</v>
      </c>
    </row>
    <row r="5147" spans="1:37" x14ac:dyDescent="0.2">
      <c r="A5147" t="str">
        <f>"20200111160321801"</f>
        <v>20200111160321801</v>
      </c>
      <c r="B5147" t="str">
        <f>"1578729801798525"</f>
        <v>1578729801798525</v>
      </c>
      <c r="C5147" t="s">
        <v>37</v>
      </c>
      <c r="D5147">
        <v>4.7278169999999999</v>
      </c>
      <c r="E5147">
        <v>0.46168949999999997</v>
      </c>
      <c r="F5147" t="s">
        <v>93</v>
      </c>
      <c r="G5147">
        <v>-257.57420000000002</v>
      </c>
      <c r="H5147" s="1">
        <v>-2.7114309999999998E-6</v>
      </c>
      <c r="I5147">
        <v>-61.849559999999997</v>
      </c>
      <c r="J5147">
        <v>-278.39330000000001</v>
      </c>
      <c r="K5147">
        <v>1.1086750000000001</v>
      </c>
      <c r="L5147">
        <v>-63.482059999999997</v>
      </c>
      <c r="M5147">
        <v>0.98153389999999996</v>
      </c>
      <c r="N5147">
        <v>0</v>
      </c>
      <c r="O5147">
        <v>-0.19072310000000001</v>
      </c>
      <c r="P5147">
        <v>0.99923259999999903</v>
      </c>
      <c r="Q5147">
        <v>-2.9884930000000001E-2</v>
      </c>
      <c r="R5147">
        <v>-2.5325319999999998E-2</v>
      </c>
      <c r="S5147">
        <v>3.0040589999999998</v>
      </c>
      <c r="T5147">
        <v>-0.15935920000000001</v>
      </c>
      <c r="U5147">
        <v>0.23321529999999999</v>
      </c>
      <c r="V5147">
        <v>-0.1655779</v>
      </c>
      <c r="W5147">
        <v>-1.7026409999999999E-2</v>
      </c>
      <c r="X5147">
        <v>0.98604969999999903</v>
      </c>
      <c r="Y5147">
        <v>-0.26551330000000001</v>
      </c>
      <c r="Z5147">
        <v>1.7095180000000001E-2</v>
      </c>
      <c r="AA5147">
        <v>0.96395560000000002</v>
      </c>
      <c r="AB5147">
        <v>16</v>
      </c>
      <c r="AC5147">
        <v>20.819099999999899</v>
      </c>
      <c r="AD5147">
        <v>-1.108677711431</v>
      </c>
      <c r="AE5147">
        <v>1.6325000000000001</v>
      </c>
      <c r="AF5147">
        <v>-5.5579737118089199</v>
      </c>
      <c r="AG5147">
        <v>-1.108677711431</v>
      </c>
      <c r="AH5147">
        <v>20.068904583783901</v>
      </c>
      <c r="AI5147">
        <v>93.047526177218998</v>
      </c>
      <c r="AJ5147">
        <v>105.479780748685</v>
      </c>
      <c r="AK5147">
        <v>20.853804670659201</v>
      </c>
    </row>
    <row r="5148" spans="1:37" x14ac:dyDescent="0.2">
      <c r="A5148" t="str">
        <f>"20200111160321816"</f>
        <v>20200111160321816</v>
      </c>
      <c r="B5148" t="str">
        <f>"1578729801808286"</f>
        <v>1578729801808286</v>
      </c>
      <c r="C5148" t="s">
        <v>37</v>
      </c>
      <c r="D5148">
        <v>4.6855769999999897</v>
      </c>
      <c r="E5148">
        <v>0.4618563</v>
      </c>
      <c r="F5148" t="s">
        <v>93</v>
      </c>
      <c r="G5148">
        <v>-258.23739999999998</v>
      </c>
      <c r="H5148" s="1">
        <v>-3.0071899999999999E-6</v>
      </c>
      <c r="I5148">
        <v>-61.900129999999997</v>
      </c>
      <c r="J5148">
        <v>-278.28989999999999</v>
      </c>
      <c r="K5148">
        <v>1.1086639999999901</v>
      </c>
      <c r="L5148">
        <v>-63.49438</v>
      </c>
      <c r="M5148">
        <v>0.98275049999999997</v>
      </c>
      <c r="N5148">
        <v>0</v>
      </c>
      <c r="O5148">
        <v>-0.18435270000000001</v>
      </c>
      <c r="P5148">
        <v>0.99931599999999998</v>
      </c>
      <c r="Q5148">
        <v>-2.994308E-2</v>
      </c>
      <c r="R5148">
        <v>-2.1710750000000001E-2</v>
      </c>
      <c r="S5148">
        <v>3.0033569999999998</v>
      </c>
      <c r="T5148">
        <v>-0.16520029999999999</v>
      </c>
      <c r="U5148">
        <v>0.23571779999999901</v>
      </c>
      <c r="V5148">
        <v>-0.162749</v>
      </c>
      <c r="W5148">
        <v>-1.7049950000000001E-2</v>
      </c>
      <c r="X5148">
        <v>0.98652019999999996</v>
      </c>
      <c r="Y5148">
        <v>-0.26004240000000001</v>
      </c>
      <c r="Z5148">
        <v>1.7228319999999998E-2</v>
      </c>
      <c r="AA5148">
        <v>0.96544349999999901</v>
      </c>
      <c r="AB5148">
        <v>16</v>
      </c>
      <c r="AC5148">
        <v>20.052499999999998</v>
      </c>
      <c r="AD5148">
        <v>-1.10866700718999</v>
      </c>
      <c r="AE5148">
        <v>1.5942499999999999</v>
      </c>
      <c r="AF5148">
        <v>-5.2481082447193801</v>
      </c>
      <c r="AG5148">
        <v>-1.10866700718999</v>
      </c>
      <c r="AH5148">
        <v>19.355996998020998</v>
      </c>
      <c r="AI5148">
        <v>93.164188703324299</v>
      </c>
      <c r="AJ5148">
        <v>105.170225024928</v>
      </c>
      <c r="AK5148">
        <v>20.085477402056501</v>
      </c>
    </row>
    <row r="5149" spans="1:37" x14ac:dyDescent="0.2">
      <c r="A5149" t="str">
        <f>"20200111160321830"</f>
        <v>20200111160321830</v>
      </c>
      <c r="B5149" t="str">
        <f>"1578729801828782"</f>
        <v>1578729801828782</v>
      </c>
      <c r="C5149" t="s">
        <v>37</v>
      </c>
      <c r="D5149">
        <v>4.6900009999999996</v>
      </c>
      <c r="E5149">
        <v>0.46218599999999999</v>
      </c>
      <c r="F5149" t="s">
        <v>93</v>
      </c>
      <c r="G5149">
        <v>-258.52589999999998</v>
      </c>
      <c r="H5149" s="1">
        <v>-3.1241779999999999E-6</v>
      </c>
      <c r="I5149">
        <v>-61.877600000000001</v>
      </c>
      <c r="J5149">
        <v>-278.18599999999998</v>
      </c>
      <c r="K5149">
        <v>1.1086549999999999</v>
      </c>
      <c r="L5149">
        <v>-63.5062</v>
      </c>
      <c r="M5149">
        <v>0.98393229999999998</v>
      </c>
      <c r="N5149">
        <v>0</v>
      </c>
      <c r="O5149">
        <v>-0.1779377</v>
      </c>
      <c r="P5149">
        <v>0.99933399999999994</v>
      </c>
      <c r="Q5149">
        <v>-2.9650929999999999E-2</v>
      </c>
      <c r="R5149">
        <v>-2.126923E-2</v>
      </c>
      <c r="S5149">
        <v>3.0023499999999999</v>
      </c>
      <c r="T5149">
        <v>-0.16841709999999999</v>
      </c>
      <c r="U5149">
        <v>0.24560549999999901</v>
      </c>
      <c r="V5149">
        <v>-0.15675349999999999</v>
      </c>
      <c r="W5149">
        <v>-1.6684850000000001E-2</v>
      </c>
      <c r="X5149">
        <v>0.98749679999999995</v>
      </c>
      <c r="Y5149">
        <v>-0.25691570000000002</v>
      </c>
      <c r="Z5149">
        <v>1.712435E-2</v>
      </c>
      <c r="AA5149">
        <v>0.96628210000000003</v>
      </c>
      <c r="AB5149">
        <v>16</v>
      </c>
      <c r="AC5149">
        <v>19.6601</v>
      </c>
      <c r="AD5149">
        <v>-1.108658124178</v>
      </c>
      <c r="AE5149">
        <v>1.6285999999999901</v>
      </c>
      <c r="AF5149">
        <v>-5.0851939789105502</v>
      </c>
      <c r="AG5149">
        <v>-1.108658124178</v>
      </c>
      <c r="AH5149">
        <v>18.996473974771401</v>
      </c>
      <c r="AI5149">
        <v>93.226707188046007</v>
      </c>
      <c r="AJ5149">
        <v>104.986221685966</v>
      </c>
      <c r="AK5149">
        <v>19.696556656269198</v>
      </c>
    </row>
    <row r="5150" spans="1:37" x14ac:dyDescent="0.2">
      <c r="A5150" t="str">
        <f>"20200111160321843"</f>
        <v>20200111160321843</v>
      </c>
      <c r="B5150" t="str">
        <f>"1578729801838609"</f>
        <v>1578729801838609</v>
      </c>
      <c r="C5150" t="s">
        <v>37</v>
      </c>
      <c r="D5150">
        <v>4.7131720000000001</v>
      </c>
      <c r="E5150">
        <v>0.4624529</v>
      </c>
      <c r="F5150" t="s">
        <v>93</v>
      </c>
      <c r="G5150">
        <v>-258.81139999999999</v>
      </c>
      <c r="H5150" s="1">
        <v>-3.2278019999999999E-6</v>
      </c>
      <c r="I5150">
        <v>-61.92604</v>
      </c>
      <c r="J5150">
        <v>-278.10169999999999</v>
      </c>
      <c r="K5150">
        <v>1.108643</v>
      </c>
      <c r="L5150">
        <v>-63.515140000000002</v>
      </c>
      <c r="M5150">
        <v>0.98485780000000001</v>
      </c>
      <c r="N5150">
        <v>0</v>
      </c>
      <c r="O5150">
        <v>-0.1727418</v>
      </c>
      <c r="P5150">
        <v>0.99937529999999997</v>
      </c>
      <c r="Q5150">
        <v>-2.9689009999999998E-2</v>
      </c>
      <c r="R5150">
        <v>-1.9172379999999999E-2</v>
      </c>
      <c r="S5150">
        <v>3.002075</v>
      </c>
      <c r="T5150">
        <v>-0.1717854</v>
      </c>
      <c r="U5150">
        <v>0.24484249999999999</v>
      </c>
      <c r="V5150">
        <v>-0.1536139</v>
      </c>
      <c r="W5150">
        <v>-1.6685330000000002E-2</v>
      </c>
      <c r="X5150">
        <v>0.98799009999999998</v>
      </c>
      <c r="Y5150">
        <v>-0.25156450000000002</v>
      </c>
      <c r="Z5150">
        <v>1.70210999999999E-2</v>
      </c>
      <c r="AA5150">
        <v>0.96769079999999996</v>
      </c>
      <c r="AB5150">
        <v>16</v>
      </c>
      <c r="AC5150">
        <v>19.290299999999998</v>
      </c>
      <c r="AD5150">
        <v>-1.108646227802</v>
      </c>
      <c r="AE5150">
        <v>1.5891</v>
      </c>
      <c r="AF5150">
        <v>-4.8817903121833401</v>
      </c>
      <c r="AG5150">
        <v>-1.108646227802</v>
      </c>
      <c r="AH5150">
        <v>18.6644819815509</v>
      </c>
      <c r="AI5150">
        <v>93.2889185096099</v>
      </c>
      <c r="AJ5150">
        <v>104.657642992482</v>
      </c>
      <c r="AK5150">
        <v>19.324178139061601</v>
      </c>
    </row>
    <row r="5151" spans="1:37" x14ac:dyDescent="0.2">
      <c r="A5151" t="str">
        <f>"20200111160321865"</f>
        <v>20200111160321865</v>
      </c>
      <c r="B5151" t="str">
        <f>"1578729801858129"</f>
        <v>1578729801858129</v>
      </c>
      <c r="C5151" t="s">
        <v>37</v>
      </c>
      <c r="D5151">
        <v>4.757892</v>
      </c>
      <c r="E5151">
        <v>0.46285189999999998</v>
      </c>
      <c r="F5151" t="s">
        <v>93</v>
      </c>
      <c r="G5151">
        <v>-258.99329999999998</v>
      </c>
      <c r="H5151" s="1">
        <v>-3.289974E-6</v>
      </c>
      <c r="I5151">
        <v>-61.92803</v>
      </c>
      <c r="J5151">
        <v>-277.9495</v>
      </c>
      <c r="K5151">
        <v>1.108627</v>
      </c>
      <c r="L5151">
        <v>-63.530269999999902</v>
      </c>
      <c r="M5151">
        <v>0.98646</v>
      </c>
      <c r="N5151">
        <v>0</v>
      </c>
      <c r="O5151">
        <v>-0.1633454</v>
      </c>
      <c r="P5151">
        <v>0.99939140000000004</v>
      </c>
      <c r="Q5151">
        <v>-3.0894660000000001E-2</v>
      </c>
      <c r="R5151">
        <v>-1.6205480000000001E-2</v>
      </c>
      <c r="S5151">
        <v>3.0014949999999998</v>
      </c>
      <c r="T5151">
        <v>-0.17414260000000001</v>
      </c>
      <c r="U5151">
        <v>0.24929809999999999</v>
      </c>
      <c r="V5151">
        <v>-0.1471102</v>
      </c>
      <c r="W5151">
        <v>-1.7814170000000001E-2</v>
      </c>
      <c r="X5151">
        <v>0.9889597</v>
      </c>
      <c r="Y5151">
        <v>-0.243782899999999</v>
      </c>
      <c r="Z5151">
        <v>1.6491869999999999E-2</v>
      </c>
      <c r="AA5151">
        <v>0.96968960000000004</v>
      </c>
      <c r="AB5151">
        <v>16</v>
      </c>
      <c r="AC5151">
        <v>18.956199999999999</v>
      </c>
      <c r="AD5151">
        <v>-1.1086302899739999</v>
      </c>
      <c r="AE5151">
        <v>1.6022399999999799</v>
      </c>
      <c r="AF5151">
        <v>-4.6616251740658896</v>
      </c>
      <c r="AG5151">
        <v>-1.1086302899739999</v>
      </c>
      <c r="AH5151">
        <v>18.3773851649715</v>
      </c>
      <c r="AI5151">
        <v>93.3464968701619</v>
      </c>
      <c r="AJ5151">
        <v>104.233491686823</v>
      </c>
      <c r="AK5151">
        <v>18.991790223279299</v>
      </c>
    </row>
    <row r="5152" spans="1:37" x14ac:dyDescent="0.2">
      <c r="A5152" t="str">
        <f>"20200111160321877"</f>
        <v>20200111160321877</v>
      </c>
      <c r="B5152" t="str">
        <f>"1578729801868866"</f>
        <v>1578729801868866</v>
      </c>
      <c r="C5152" t="s">
        <v>37</v>
      </c>
      <c r="D5152">
        <v>4.6841220000000003</v>
      </c>
      <c r="E5152">
        <v>0.46335879999999902</v>
      </c>
      <c r="F5152" t="s">
        <v>93</v>
      </c>
      <c r="G5152">
        <v>-259.27429999999998</v>
      </c>
      <c r="H5152" s="1">
        <v>-3.3874829999999999E-6</v>
      </c>
      <c r="I5152">
        <v>-61.942100000000003</v>
      </c>
      <c r="J5152">
        <v>-277.86840000000001</v>
      </c>
      <c r="K5152">
        <v>1.1086119999999999</v>
      </c>
      <c r="L5152">
        <v>-63.537659999999903</v>
      </c>
      <c r="M5152">
        <v>0.98727500000000001</v>
      </c>
      <c r="N5152">
        <v>0</v>
      </c>
      <c r="O5152">
        <v>-0.1583456</v>
      </c>
      <c r="P5152">
        <v>0.99939630000000002</v>
      </c>
      <c r="Q5152">
        <v>-3.1455730000000001E-2</v>
      </c>
      <c r="R5152">
        <v>-1.474575E-2</v>
      </c>
      <c r="S5152">
        <v>3.000397</v>
      </c>
      <c r="T5152">
        <v>-0.17811440000000001</v>
      </c>
      <c r="U5152">
        <v>0.25515749999999998</v>
      </c>
      <c r="V5152">
        <v>-0.1435371</v>
      </c>
      <c r="W5152">
        <v>-1.8333220000000001E-2</v>
      </c>
      <c r="X5152">
        <v>0.98947510000000005</v>
      </c>
      <c r="Y5152">
        <v>-0.2407609</v>
      </c>
      <c r="Z5152">
        <v>1.6488940000000001E-2</v>
      </c>
      <c r="AA5152">
        <v>0.97044439999999998</v>
      </c>
      <c r="AB5152">
        <v>16</v>
      </c>
      <c r="AC5152">
        <v>18.594100000000001</v>
      </c>
      <c r="AD5152">
        <v>-1.108615387483</v>
      </c>
      <c r="AE5152">
        <v>1.5955599999999901</v>
      </c>
      <c r="AF5152">
        <v>-4.5041416221200299</v>
      </c>
      <c r="AG5152">
        <v>-1.108615387483</v>
      </c>
      <c r="AH5152">
        <v>18.0431141602566</v>
      </c>
      <c r="AI5152">
        <v>93.411547848149695</v>
      </c>
      <c r="AJ5152">
        <v>104.016406000923</v>
      </c>
      <c r="AK5152">
        <v>18.629822554966299</v>
      </c>
    </row>
    <row r="5153" spans="1:37" x14ac:dyDescent="0.2">
      <c r="A5153" t="str">
        <f>"20200111160321888"</f>
        <v>20200111160321888</v>
      </c>
      <c r="B5153" t="str">
        <f>"1578729801878625"</f>
        <v>1578729801878625</v>
      </c>
      <c r="C5153" t="s">
        <v>37</v>
      </c>
      <c r="D5153">
        <v>4.4089650000000002</v>
      </c>
      <c r="E5153">
        <v>0.46403450000000002</v>
      </c>
      <c r="F5153" t="s">
        <v>38</v>
      </c>
      <c r="G5153">
        <v>-260.09469999999999</v>
      </c>
      <c r="H5153" s="1">
        <v>5.1881869999999998E-7</v>
      </c>
      <c r="I5153">
        <v>-62.019599999999997</v>
      </c>
      <c r="J5153">
        <v>-277.79109999999997</v>
      </c>
      <c r="K5153">
        <v>1.108598</v>
      </c>
      <c r="L5153">
        <v>-63.544490000000003</v>
      </c>
      <c r="M5153">
        <v>0.98802780000000001</v>
      </c>
      <c r="N5153">
        <v>0</v>
      </c>
      <c r="O5153">
        <v>-0.15357760000000001</v>
      </c>
      <c r="P5153">
        <v>0.99939730000000004</v>
      </c>
      <c r="Q5153">
        <v>-3.2093259999999998E-2</v>
      </c>
      <c r="R5153">
        <v>-1.321802E-2</v>
      </c>
      <c r="S5153">
        <v>2.999695</v>
      </c>
      <c r="T5153">
        <v>-0.18710199999999999</v>
      </c>
      <c r="U5153">
        <v>0.25619510000000001</v>
      </c>
      <c r="V5153">
        <v>-0.1402651</v>
      </c>
      <c r="W5153">
        <v>-1.8932520000000001E-2</v>
      </c>
      <c r="X5153">
        <v>0.98993299999999995</v>
      </c>
      <c r="Y5153">
        <v>-0.23637139999999901</v>
      </c>
      <c r="Z5153">
        <v>1.6891900000000001E-2</v>
      </c>
      <c r="AA5153">
        <v>0.97151599999999905</v>
      </c>
      <c r="AB5153">
        <v>16</v>
      </c>
      <c r="AC5153">
        <v>17.696399999999901</v>
      </c>
      <c r="AD5153">
        <v>-1.1085974811813</v>
      </c>
      <c r="AE5153">
        <v>1.5248900000000001</v>
      </c>
      <c r="AF5153">
        <v>-4.2084643771485499</v>
      </c>
      <c r="AG5153">
        <v>-1.1085974811813</v>
      </c>
      <c r="AH5153">
        <v>17.185255357583401</v>
      </c>
      <c r="AI5153">
        <v>93.585306888369999</v>
      </c>
      <c r="AJ5153">
        <v>103.76025169453899</v>
      </c>
      <c r="AK5153">
        <v>17.727751196763801</v>
      </c>
    </row>
    <row r="5154" spans="1:37" x14ac:dyDescent="0.2">
      <c r="A5154" t="str">
        <f>"20200111160321900"</f>
        <v>20200111160321900</v>
      </c>
      <c r="B5154" t="str">
        <f>"1578729801888385"</f>
        <v>1578729801888385</v>
      </c>
      <c r="C5154" t="s">
        <v>37</v>
      </c>
      <c r="D5154">
        <v>4.6485820000000002</v>
      </c>
      <c r="E5154">
        <v>0.46420499999999998</v>
      </c>
      <c r="F5154" t="s">
        <v>38</v>
      </c>
      <c r="G5154">
        <v>-260.75869999999998</v>
      </c>
      <c r="H5154" s="1">
        <v>2.1496669999999999E-7</v>
      </c>
      <c r="I5154">
        <v>-62.09093</v>
      </c>
      <c r="J5154">
        <v>-277.7167</v>
      </c>
      <c r="K5154">
        <v>1.108582</v>
      </c>
      <c r="L5154">
        <v>-63.550509999999903</v>
      </c>
      <c r="M5154">
        <v>0.98872850000000001</v>
      </c>
      <c r="N5154">
        <v>0</v>
      </c>
      <c r="O5154">
        <v>-0.1490022</v>
      </c>
      <c r="P5154">
        <v>0.99939599999999995</v>
      </c>
      <c r="Q5154">
        <v>-3.2448449999999997E-2</v>
      </c>
      <c r="R5154">
        <v>-1.244964E-2</v>
      </c>
      <c r="S5154">
        <v>2.9989319999999999</v>
      </c>
      <c r="T5154">
        <v>-0.19519359999999999</v>
      </c>
      <c r="U5154">
        <v>0.25592039999999999</v>
      </c>
      <c r="V5154">
        <v>-0.13644020000000001</v>
      </c>
      <c r="W5154">
        <v>-1.9242840000000001E-2</v>
      </c>
      <c r="X5154">
        <v>0.99046139999999905</v>
      </c>
      <c r="Y5154">
        <v>-0.23175660000000001</v>
      </c>
      <c r="Z5154">
        <v>1.718035E-2</v>
      </c>
      <c r="AA5154">
        <v>0.97262209999999905</v>
      </c>
      <c r="AB5154">
        <v>16</v>
      </c>
      <c r="AC5154">
        <v>16.957999999999998</v>
      </c>
      <c r="AD5154">
        <v>-1.1085817850333</v>
      </c>
      <c r="AE5154">
        <v>1.4595799999999799</v>
      </c>
      <c r="AF5154">
        <v>-3.95356169172172</v>
      </c>
      <c r="AG5154">
        <v>-1.1085817850333</v>
      </c>
      <c r="AH5154">
        <v>16.481235773145698</v>
      </c>
      <c r="AI5154">
        <v>93.742254010313701</v>
      </c>
      <c r="AJ5154">
        <v>103.48937294379699</v>
      </c>
      <c r="AK5154">
        <v>16.985015049577498</v>
      </c>
    </row>
    <row r="5155" spans="1:37" x14ac:dyDescent="0.2">
      <c r="A5155" t="str">
        <f>"20200111160321911"</f>
        <v>20200111160321911</v>
      </c>
      <c r="B5155" t="str">
        <f>"1578729801908881"</f>
        <v>1578729801908881</v>
      </c>
      <c r="C5155" t="s">
        <v>37</v>
      </c>
      <c r="D5155">
        <v>6.1302159999999999</v>
      </c>
      <c r="E5155">
        <v>0.46423930000000002</v>
      </c>
      <c r="F5155" t="s">
        <v>94</v>
      </c>
      <c r="G5155">
        <v>-260.84820000000002</v>
      </c>
      <c r="H5155" s="1">
        <v>1.7302519999999999E-7</v>
      </c>
      <c r="I5155">
        <v>-62.1042699999999</v>
      </c>
      <c r="J5155">
        <v>-277.64190000000002</v>
      </c>
      <c r="K5155">
        <v>1.1085659999999999</v>
      </c>
      <c r="L5155">
        <v>-63.556369999999902</v>
      </c>
      <c r="M5155">
        <v>0.98941119999999905</v>
      </c>
      <c r="N5155">
        <v>0</v>
      </c>
      <c r="O5155">
        <v>-0.144399</v>
      </c>
      <c r="P5155">
        <v>0.99941309999999906</v>
      </c>
      <c r="Q5155">
        <v>-3.2305489999999999E-2</v>
      </c>
      <c r="R5155">
        <v>-1.139272E-2</v>
      </c>
      <c r="S5155">
        <v>2.9986570000000001</v>
      </c>
      <c r="T5155">
        <v>-0.19706870000000001</v>
      </c>
      <c r="U5155">
        <v>0.25708009999999998</v>
      </c>
      <c r="V5155">
        <v>-0.1328811</v>
      </c>
      <c r="W5155">
        <v>-1.905813E-2</v>
      </c>
      <c r="X5155">
        <v>0.99094869999999902</v>
      </c>
      <c r="Y5155">
        <v>-0.22761210000000001</v>
      </c>
      <c r="Z5155">
        <v>1.6910459999999999E-2</v>
      </c>
      <c r="AA5155">
        <v>0.97360499999999905</v>
      </c>
      <c r="AB5155">
        <v>16</v>
      </c>
      <c r="AC5155">
        <v>16.793700000000001</v>
      </c>
      <c r="AD5155">
        <v>-1.1085658269748</v>
      </c>
      <c r="AE5155">
        <v>1.4520999999999999</v>
      </c>
      <c r="AF5155">
        <v>-3.8454994093041801</v>
      </c>
      <c r="AG5155">
        <v>-1.1085658269748</v>
      </c>
      <c r="AH5155">
        <v>16.337291883807101</v>
      </c>
      <c r="AI5155">
        <v>93.778889681359999</v>
      </c>
      <c r="AJ5155">
        <v>103.245274252619</v>
      </c>
      <c r="AK5155">
        <v>16.8203415540947</v>
      </c>
    </row>
    <row r="5156" spans="1:37" x14ac:dyDescent="0.2">
      <c r="A5156" t="str">
        <f>"20200111160321923"</f>
        <v>20200111160321923</v>
      </c>
      <c r="B5156" t="str">
        <f>"1578729801918641"</f>
        <v>1578729801918641</v>
      </c>
      <c r="C5156" t="s">
        <v>37</v>
      </c>
      <c r="D5156">
        <v>4.6305769999999997</v>
      </c>
      <c r="E5156">
        <v>0.44784759999999901</v>
      </c>
      <c r="F5156" t="s">
        <v>38</v>
      </c>
      <c r="G5156">
        <v>-260.76369999999997</v>
      </c>
      <c r="H5156" s="1">
        <v>2.124622E-7</v>
      </c>
      <c r="I5156">
        <v>-62.092319999999901</v>
      </c>
      <c r="J5156">
        <v>-277.55810000000002</v>
      </c>
      <c r="K5156">
        <v>1.1085469999999999</v>
      </c>
      <c r="L5156">
        <v>-63.56241</v>
      </c>
      <c r="M5156">
        <v>0.99014789999999997</v>
      </c>
      <c r="N5156">
        <v>0</v>
      </c>
      <c r="O5156">
        <v>-0.1392581</v>
      </c>
      <c r="P5156">
        <v>0.99944809999999995</v>
      </c>
      <c r="Q5156">
        <v>-3.1697299999999998E-2</v>
      </c>
      <c r="R5156">
        <v>-9.9373929999999992E-3</v>
      </c>
      <c r="S5156">
        <v>2.9983520000000001</v>
      </c>
      <c r="T5156">
        <v>-0.19693289999999999</v>
      </c>
      <c r="U5156">
        <v>0.26007079999999999</v>
      </c>
      <c r="V5156">
        <v>-0.1291872</v>
      </c>
      <c r="W5156">
        <v>-1.8406260000000001E-2</v>
      </c>
      <c r="X5156">
        <v>0.99144940000000004</v>
      </c>
      <c r="Y5156">
        <v>-0.22354650000000001</v>
      </c>
      <c r="Z5156">
        <v>1.6431729999999999E-2</v>
      </c>
      <c r="AA5156">
        <v>0.974554699999999</v>
      </c>
      <c r="AB5156">
        <v>16</v>
      </c>
      <c r="AC5156">
        <v>16.7944</v>
      </c>
      <c r="AD5156">
        <v>-1.1085467875377999</v>
      </c>
      <c r="AE5156">
        <v>1.4700899999999999</v>
      </c>
      <c r="AF5156">
        <v>-3.77843229807806</v>
      </c>
      <c r="AG5156">
        <v>-1.1085467875377999</v>
      </c>
      <c r="AH5156">
        <v>16.3552616047666</v>
      </c>
      <c r="AI5156">
        <v>93.778315716074204</v>
      </c>
      <c r="AJ5156">
        <v>103.008389825093</v>
      </c>
      <c r="AK5156">
        <v>16.822604101971599</v>
      </c>
    </row>
    <row r="5157" spans="1:37" x14ac:dyDescent="0.2">
      <c r="A5157" t="str">
        <f>"20200111160321935"</f>
        <v>20200111160321935</v>
      </c>
      <c r="B5157" t="str">
        <f>"1578729801928401"</f>
        <v>1578729801928401</v>
      </c>
      <c r="C5157" t="s">
        <v>37</v>
      </c>
      <c r="D5157">
        <v>4.6690569999999996</v>
      </c>
      <c r="E5157">
        <v>0.44784759999999901</v>
      </c>
      <c r="F5157" t="s">
        <v>74</v>
      </c>
      <c r="G5157">
        <v>-157.3501</v>
      </c>
      <c r="H5157">
        <v>23.260899999999999</v>
      </c>
      <c r="I5157">
        <v>-50.283630000000002</v>
      </c>
      <c r="J5157">
        <v>-277.48219999999998</v>
      </c>
      <c r="K5157">
        <v>1.1085320000000001</v>
      </c>
      <c r="L5157">
        <v>-63.567599999999999</v>
      </c>
      <c r="M5157">
        <v>0.99078999999999995</v>
      </c>
      <c r="N5157">
        <v>0</v>
      </c>
      <c r="O5157">
        <v>-0.1346145</v>
      </c>
      <c r="P5157">
        <v>0.99950110000000003</v>
      </c>
      <c r="Q5157">
        <v>-3.037747E-2</v>
      </c>
      <c r="R5157">
        <v>-8.6492159999999995E-3</v>
      </c>
      <c r="S5157">
        <v>3.0226139999999999</v>
      </c>
      <c r="T5157">
        <v>0.55701699999999998</v>
      </c>
      <c r="U5157">
        <v>0.33389279999999999</v>
      </c>
      <c r="V5157">
        <v>-0.12583659999999999</v>
      </c>
      <c r="W5157">
        <v>-1.7046820000000001E-2</v>
      </c>
      <c r="X5157">
        <v>0.99190449999999997</v>
      </c>
      <c r="Y5157">
        <v>-0.2364262</v>
      </c>
      <c r="Z5157">
        <v>-4.6057569999999999E-2</v>
      </c>
      <c r="AA5157">
        <v>0.97055729999999996</v>
      </c>
      <c r="AB5157">
        <v>16</v>
      </c>
      <c r="AC5157">
        <v>120.132099999999</v>
      </c>
      <c r="AD5157">
        <v>22.152367999999999</v>
      </c>
      <c r="AE5157">
        <v>13.283969999999901</v>
      </c>
      <c r="AF5157">
        <v>-28.382833887282601</v>
      </c>
      <c r="AG5157">
        <v>22.152367999999999</v>
      </c>
      <c r="AH5157">
        <v>113.439296723201</v>
      </c>
      <c r="AI5157">
        <v>79.273009995486703</v>
      </c>
      <c r="AJ5157">
        <v>104.0471810296</v>
      </c>
      <c r="AK5157">
        <v>119.01590947656901</v>
      </c>
    </row>
    <row r="5158" spans="1:37" x14ac:dyDescent="0.2">
      <c r="A5158" t="str">
        <f>"20200111160321946"</f>
        <v>20200111160321946</v>
      </c>
      <c r="B5158" t="str">
        <f>"1578729801938161"</f>
        <v>1578729801938161</v>
      </c>
      <c r="C5158" t="s">
        <v>37</v>
      </c>
      <c r="D5158">
        <v>4.5033219999999998</v>
      </c>
      <c r="E5158">
        <v>0.46754600000000002</v>
      </c>
      <c r="F5158" t="s">
        <v>74</v>
      </c>
      <c r="G5158">
        <v>-157.3501</v>
      </c>
      <c r="H5158">
        <v>23.427019999999999</v>
      </c>
      <c r="I5158">
        <v>-50.158760000000001</v>
      </c>
      <c r="J5158">
        <v>-277.40159999999997</v>
      </c>
      <c r="K5158">
        <v>1.1085119999999999</v>
      </c>
      <c r="L5158">
        <v>-63.572719999999997</v>
      </c>
      <c r="M5158">
        <v>0.99144619999999894</v>
      </c>
      <c r="N5158">
        <v>0</v>
      </c>
      <c r="O5158">
        <v>-0.12969439999999999</v>
      </c>
      <c r="P5158">
        <v>0.99956829999999997</v>
      </c>
      <c r="Q5158">
        <v>-2.8540260000000001E-2</v>
      </c>
      <c r="R5158">
        <v>-6.9899599999999999E-3</v>
      </c>
      <c r="S5158">
        <v>3.0214840000000001</v>
      </c>
      <c r="T5158">
        <v>0.56133900000000003</v>
      </c>
      <c r="U5158">
        <v>0.33724979999999999</v>
      </c>
      <c r="V5158">
        <v>-0.1225856</v>
      </c>
      <c r="W5158">
        <v>-1.5171189999999999E-2</v>
      </c>
      <c r="X5158">
        <v>0.99234199999999995</v>
      </c>
      <c r="Y5158">
        <v>-0.232759299999999</v>
      </c>
      <c r="Z5158">
        <v>-4.5186009999999999E-2</v>
      </c>
      <c r="AA5158">
        <v>0.97148409999999996</v>
      </c>
      <c r="AB5158">
        <v>15</v>
      </c>
      <c r="AC5158">
        <v>120.051499999999</v>
      </c>
      <c r="AD5158">
        <v>22.318508000000001</v>
      </c>
      <c r="AE5158">
        <v>13.4139599999999</v>
      </c>
      <c r="AF5158">
        <v>-27.919274236381298</v>
      </c>
      <c r="AG5158">
        <v>22.318508000000001</v>
      </c>
      <c r="AH5158">
        <v>113.425584942989</v>
      </c>
      <c r="AI5158">
        <v>79.183159014572496</v>
      </c>
      <c r="AJ5158">
        <v>103.828236726228</v>
      </c>
      <c r="AK5158">
        <v>118.92419851691901</v>
      </c>
    </row>
    <row r="5159" spans="1:37" x14ac:dyDescent="0.2">
      <c r="A5159" t="str">
        <f>"20200111160321957"</f>
        <v>20200111160321957</v>
      </c>
      <c r="B5159" t="str">
        <f>"1578729801948897"</f>
        <v>1578729801948897</v>
      </c>
      <c r="C5159" t="s">
        <v>37</v>
      </c>
      <c r="D5159">
        <v>4.7300709999999997</v>
      </c>
      <c r="E5159">
        <v>0.46760740000000001</v>
      </c>
      <c r="F5159" t="s">
        <v>93</v>
      </c>
      <c r="G5159">
        <v>-255.71099999999899</v>
      </c>
      <c r="H5159" s="1">
        <v>-1.902254E-6</v>
      </c>
      <c r="I5159">
        <v>-61.80518</v>
      </c>
      <c r="J5159">
        <v>-277.33</v>
      </c>
      <c r="K5159">
        <v>1.108487</v>
      </c>
      <c r="L5159">
        <v>-63.576900000000002</v>
      </c>
      <c r="M5159">
        <v>0.99200489999999997</v>
      </c>
      <c r="N5159">
        <v>0</v>
      </c>
      <c r="O5159">
        <v>-0.12535099999999999</v>
      </c>
      <c r="P5159">
        <v>0.99962909999999905</v>
      </c>
      <c r="Q5159">
        <v>-2.6675210000000001E-2</v>
      </c>
      <c r="R5159">
        <v>-5.5110150000000002E-3</v>
      </c>
      <c r="S5159">
        <v>2.9986269999999999</v>
      </c>
      <c r="T5159">
        <v>-0.1532471</v>
      </c>
      <c r="U5159">
        <v>0.24435419999999999</v>
      </c>
      <c r="V5159">
        <v>-0.11973259999999999</v>
      </c>
      <c r="W5159">
        <v>-1.327239E-2</v>
      </c>
      <c r="X5159">
        <v>0.99271739999999997</v>
      </c>
      <c r="Y5159">
        <v>-0.2051</v>
      </c>
      <c r="Z5159">
        <v>1.1616420000000001E-2</v>
      </c>
      <c r="AA5159">
        <v>0.97867209999999905</v>
      </c>
      <c r="AB5159">
        <v>15</v>
      </c>
      <c r="AC5159">
        <v>21.619</v>
      </c>
      <c r="AD5159">
        <v>-1.1084889022540001</v>
      </c>
      <c r="AE5159">
        <v>1.77171999999999</v>
      </c>
      <c r="AF5159">
        <v>-4.4563573343152303</v>
      </c>
      <c r="AG5159">
        <v>-1.1084889022540001</v>
      </c>
      <c r="AH5159">
        <v>21.171044609670599</v>
      </c>
      <c r="AI5159">
        <v>92.933039693487601</v>
      </c>
      <c r="AJ5159">
        <v>101.886831847512</v>
      </c>
      <c r="AK5159">
        <v>21.6633561158513</v>
      </c>
    </row>
    <row r="5160" spans="1:37" x14ac:dyDescent="0.2">
      <c r="A5160" t="str">
        <f>"20200111160321968"</f>
        <v>20200111160321968</v>
      </c>
      <c r="B5160" t="str">
        <f>"1578729801958657"</f>
        <v>1578729801958657</v>
      </c>
      <c r="C5160" t="s">
        <v>37</v>
      </c>
      <c r="D5160">
        <v>4.698194</v>
      </c>
      <c r="E5160">
        <v>0.46780839999999901</v>
      </c>
      <c r="F5160" t="s">
        <v>93</v>
      </c>
      <c r="G5160">
        <v>-255.16589999999999</v>
      </c>
      <c r="H5160" s="1">
        <v>-1.6539179999999901E-6</v>
      </c>
      <c r="I5160">
        <v>-61.740009999999998</v>
      </c>
      <c r="J5160">
        <v>-277.25529999999998</v>
      </c>
      <c r="K5160">
        <v>1.108455</v>
      </c>
      <c r="L5160">
        <v>-63.581090000000003</v>
      </c>
      <c r="M5160">
        <v>0.99256599999999995</v>
      </c>
      <c r="N5160">
        <v>0</v>
      </c>
      <c r="O5160">
        <v>-0.1208277</v>
      </c>
      <c r="P5160">
        <v>0.99968179999999995</v>
      </c>
      <c r="Q5160">
        <v>-2.4955040000000001E-2</v>
      </c>
      <c r="R5160">
        <v>-3.680493E-3</v>
      </c>
      <c r="S5160">
        <v>2.9984739999999999</v>
      </c>
      <c r="T5160">
        <v>-0.14996209999999999</v>
      </c>
      <c r="U5160">
        <v>0.24850459999999999</v>
      </c>
      <c r="V5160">
        <v>-0.1170479</v>
      </c>
      <c r="W5160">
        <v>-1.1520499999999999E-2</v>
      </c>
      <c r="X5160">
        <v>0.99305949999999998</v>
      </c>
      <c r="Y5160">
        <v>-0.2020151</v>
      </c>
      <c r="Z5160">
        <v>1.106584E-2</v>
      </c>
      <c r="AA5160">
        <v>0.97931990000000002</v>
      </c>
      <c r="AB5160">
        <v>15</v>
      </c>
      <c r="AC5160">
        <v>22.089399999999898</v>
      </c>
      <c r="AD5160">
        <v>-1.1084566539180001</v>
      </c>
      <c r="AE5160">
        <v>1.84108</v>
      </c>
      <c r="AF5160">
        <v>-4.4856673090877903</v>
      </c>
      <c r="AG5160">
        <v>-1.1084566539180001</v>
      </c>
      <c r="AH5160">
        <v>21.650907404920801</v>
      </c>
      <c r="AI5160">
        <v>92.8699573724777</v>
      </c>
      <c r="AJ5160">
        <v>101.70502402872</v>
      </c>
      <c r="AK5160">
        <v>22.138466044825499</v>
      </c>
    </row>
    <row r="5161" spans="1:37" x14ac:dyDescent="0.2">
      <c r="A5161" t="str">
        <f>"20200111160321991"</f>
        <v>20200111160321991</v>
      </c>
      <c r="B5161" t="str">
        <f>"1578729801988913"</f>
        <v>1578729801988913</v>
      </c>
      <c r="C5161" t="s">
        <v>37</v>
      </c>
      <c r="D5161">
        <v>4.587262</v>
      </c>
      <c r="E5161">
        <v>0.468093599999999</v>
      </c>
      <c r="F5161" t="s">
        <v>93</v>
      </c>
      <c r="G5161">
        <v>-254.57390000000001</v>
      </c>
      <c r="H5161" s="1">
        <v>-1.3845609999999901E-6</v>
      </c>
      <c r="I5161">
        <v>-61.670699999999997</v>
      </c>
      <c r="J5161">
        <v>-277.10250000000002</v>
      </c>
      <c r="K5161">
        <v>1.108363</v>
      </c>
      <c r="L5161">
        <v>-63.588469999999901</v>
      </c>
      <c r="M5161">
        <v>0.99363469999999998</v>
      </c>
      <c r="N5161">
        <v>0</v>
      </c>
      <c r="O5161">
        <v>-0.111703</v>
      </c>
      <c r="P5161">
        <v>0.99976019999999899</v>
      </c>
      <c r="Q5161">
        <v>-2.1859219999999999E-2</v>
      </c>
      <c r="R5161">
        <v>1.255609E-3</v>
      </c>
      <c r="S5161">
        <v>2.99823</v>
      </c>
      <c r="T5161">
        <v>-0.14652609999999999</v>
      </c>
      <c r="U5161">
        <v>0.25253300000000001</v>
      </c>
      <c r="V5161">
        <v>-0.1128654</v>
      </c>
      <c r="W5161">
        <v>-8.373709E-3</v>
      </c>
      <c r="X5161">
        <v>0.99357499999999999</v>
      </c>
      <c r="Y5161">
        <v>-0.19436229999999999</v>
      </c>
      <c r="Z5161">
        <v>1.0182689999999999E-2</v>
      </c>
      <c r="AA5161">
        <v>0.980877</v>
      </c>
      <c r="AB5161">
        <v>15</v>
      </c>
      <c r="AC5161">
        <v>22.528600000000001</v>
      </c>
      <c r="AD5161">
        <v>-1.1083643845610001</v>
      </c>
      <c r="AE5161">
        <v>1.91776999999999</v>
      </c>
      <c r="AF5161">
        <v>-4.4119429203842602</v>
      </c>
      <c r="AG5161">
        <v>-1.1083643845610001</v>
      </c>
      <c r="AH5161">
        <v>22.1201786631628</v>
      </c>
      <c r="AI5161">
        <v>92.813172158709406</v>
      </c>
      <c r="AJ5161">
        <v>101.279811182209</v>
      </c>
      <c r="AK5161">
        <v>22.583091374564599</v>
      </c>
    </row>
    <row r="5162" spans="1:37" x14ac:dyDescent="0.2">
      <c r="A5162" t="str">
        <f>"20200111160322002"</f>
        <v>20200111160322002</v>
      </c>
      <c r="B5162" t="str">
        <f>"1578729801998673"</f>
        <v>1578729801998673</v>
      </c>
      <c r="C5162" t="s">
        <v>37</v>
      </c>
      <c r="D5162">
        <v>4.7749079999999999</v>
      </c>
      <c r="E5162">
        <v>0.46858949999999999</v>
      </c>
      <c r="F5162" t="s">
        <v>93</v>
      </c>
      <c r="G5162">
        <v>-254.56270000000001</v>
      </c>
      <c r="H5162" s="1">
        <v>-1.3617410000000001E-6</v>
      </c>
      <c r="I5162">
        <v>-61.589730000000003</v>
      </c>
      <c r="J5162">
        <v>-277.0265</v>
      </c>
      <c r="K5162">
        <v>1.108298</v>
      </c>
      <c r="L5162">
        <v>-63.591609999999903</v>
      </c>
      <c r="M5162">
        <v>0.99412670000000003</v>
      </c>
      <c r="N5162">
        <v>0</v>
      </c>
      <c r="O5162">
        <v>-0.1072362</v>
      </c>
      <c r="P5162">
        <v>0.99977539999999998</v>
      </c>
      <c r="Q5162">
        <v>-2.087313E-2</v>
      </c>
      <c r="R5162">
        <v>3.6804569999999998E-3</v>
      </c>
      <c r="S5162">
        <v>2.9971619999999999</v>
      </c>
      <c r="T5162">
        <v>-0.1473815</v>
      </c>
      <c r="U5162">
        <v>0.2657776</v>
      </c>
      <c r="V5162">
        <v>-0.11082259999999999</v>
      </c>
      <c r="W5162">
        <v>-7.362604E-3</v>
      </c>
      <c r="X5162">
        <v>0.9938129</v>
      </c>
      <c r="Y5162">
        <v>-0.19428670000000001</v>
      </c>
      <c r="Z5162">
        <v>1.0023600000000001E-2</v>
      </c>
      <c r="AA5162">
        <v>0.98089359999999903</v>
      </c>
      <c r="AB5162">
        <v>15</v>
      </c>
      <c r="AC5162">
        <v>22.4637999999999</v>
      </c>
      <c r="AD5162">
        <v>-1.108299361741</v>
      </c>
      <c r="AE5162">
        <v>2.0018799999999901</v>
      </c>
      <c r="AF5162">
        <v>-4.3889232531808497</v>
      </c>
      <c r="AG5162">
        <v>-1.108299361741</v>
      </c>
      <c r="AH5162">
        <v>22.0662502992055</v>
      </c>
      <c r="AI5162">
        <v>92.820170858444101</v>
      </c>
      <c r="AJ5162">
        <v>101.24918366364599</v>
      </c>
      <c r="AK5162">
        <v>22.525771397773099</v>
      </c>
    </row>
    <row r="5163" spans="1:37" x14ac:dyDescent="0.2">
      <c r="A5163" t="str">
        <f>"20200111160322014"</f>
        <v>20200111160322014</v>
      </c>
      <c r="B5163" t="str">
        <f>"1578729802008433"</f>
        <v>1578729802008433</v>
      </c>
      <c r="C5163" t="s">
        <v>37</v>
      </c>
      <c r="D5163">
        <v>4.481179</v>
      </c>
      <c r="E5163">
        <v>0.46880519999999998</v>
      </c>
      <c r="F5163" t="s">
        <v>93</v>
      </c>
      <c r="G5163">
        <v>-254.8904</v>
      </c>
      <c r="H5163" s="1">
        <v>-1.504862E-6</v>
      </c>
      <c r="I5163">
        <v>-61.601209999999902</v>
      </c>
      <c r="J5163">
        <v>-276.94990000000001</v>
      </c>
      <c r="K5163">
        <v>1.1082299999999901</v>
      </c>
      <c r="L5163">
        <v>-63.594569999999997</v>
      </c>
      <c r="M5163">
        <v>0.99459769999999903</v>
      </c>
      <c r="N5163">
        <v>0</v>
      </c>
      <c r="O5163">
        <v>-0.1027801</v>
      </c>
      <c r="P5163">
        <v>0.999778099999999</v>
      </c>
      <c r="Q5163">
        <v>-2.0086860000000002E-2</v>
      </c>
      <c r="R5163">
        <v>6.3700759999999997E-3</v>
      </c>
      <c r="S5163">
        <v>2.9965519999999999</v>
      </c>
      <c r="T5163">
        <v>-0.15003</v>
      </c>
      <c r="U5163">
        <v>0.2694397</v>
      </c>
      <c r="V5163">
        <v>-0.109052199999999</v>
      </c>
      <c r="W5163">
        <v>-6.5546679999999996E-3</v>
      </c>
      <c r="X5163">
        <v>0.99401439999999996</v>
      </c>
      <c r="Y5163">
        <v>-0.19109319999999999</v>
      </c>
      <c r="Z5163">
        <v>9.903228E-3</v>
      </c>
      <c r="AA5163">
        <v>0.98152199999999901</v>
      </c>
      <c r="AB5163">
        <v>15</v>
      </c>
      <c r="AC5163">
        <v>22.0595</v>
      </c>
      <c r="AD5163">
        <v>-1.10823150486199</v>
      </c>
      <c r="AE5163">
        <v>1.99336</v>
      </c>
      <c r="AF5163">
        <v>-4.2397048725868904</v>
      </c>
      <c r="AG5163">
        <v>-1.10823150486199</v>
      </c>
      <c r="AH5163">
        <v>21.683467576012401</v>
      </c>
      <c r="AI5163">
        <v>92.871531582197804</v>
      </c>
      <c r="AJ5163">
        <v>101.063298733953</v>
      </c>
      <c r="AK5163">
        <v>22.121845325265902</v>
      </c>
    </row>
    <row r="5164" spans="1:37" x14ac:dyDescent="0.2">
      <c r="A5164" t="str">
        <f>"20200111160322025"</f>
        <v>20200111160322025</v>
      </c>
      <c r="B5164" t="str">
        <f>"1578729802018193"</f>
        <v>1578729802018193</v>
      </c>
      <c r="C5164" t="s">
        <v>37</v>
      </c>
      <c r="D5164">
        <v>4.6021460000000003</v>
      </c>
      <c r="E5164">
        <v>0.46886830000000002</v>
      </c>
      <c r="F5164" t="s">
        <v>93</v>
      </c>
      <c r="G5164">
        <v>-254.19649999999999</v>
      </c>
      <c r="H5164" s="1">
        <v>-1.184934E-6</v>
      </c>
      <c r="I5164">
        <v>-61.501190000000001</v>
      </c>
      <c r="J5164">
        <v>-276.87400000000002</v>
      </c>
      <c r="K5164">
        <v>1.1081570000000001</v>
      </c>
      <c r="L5164">
        <v>-63.597259999999999</v>
      </c>
      <c r="M5164">
        <v>0.99503960000000002</v>
      </c>
      <c r="N5164">
        <v>0</v>
      </c>
      <c r="O5164">
        <v>-9.8412059999999996E-2</v>
      </c>
      <c r="P5164">
        <v>0.99977579999999999</v>
      </c>
      <c r="Q5164">
        <v>-1.9260369999999999E-2</v>
      </c>
      <c r="R5164">
        <v>8.8068580000000007E-3</v>
      </c>
      <c r="S5164">
        <v>2.9959410000000002</v>
      </c>
      <c r="T5164">
        <v>-0.14592049999999901</v>
      </c>
      <c r="U5164">
        <v>0.27563480000000001</v>
      </c>
      <c r="V5164">
        <v>-0.1071206</v>
      </c>
      <c r="W5164">
        <v>-5.7054810000000001E-3</v>
      </c>
      <c r="X5164">
        <v>0.99422969999999899</v>
      </c>
      <c r="Y5164">
        <v>-0.18884139999999999</v>
      </c>
      <c r="Z5164">
        <v>9.3669089999999997E-3</v>
      </c>
      <c r="AA5164">
        <v>0.98196289999999997</v>
      </c>
      <c r="AB5164">
        <v>15</v>
      </c>
      <c r="AC5164">
        <v>22.677499999999998</v>
      </c>
      <c r="AD5164">
        <v>-1.1081581849340001</v>
      </c>
      <c r="AE5164">
        <v>2.0960699999999899</v>
      </c>
      <c r="AF5164">
        <v>-4.3076691874282798</v>
      </c>
      <c r="AG5164">
        <v>-1.1081581849340001</v>
      </c>
      <c r="AH5164">
        <v>22.308275770111699</v>
      </c>
      <c r="AI5164">
        <v>92.792318673810499</v>
      </c>
      <c r="AJ5164">
        <v>100.929151783728</v>
      </c>
      <c r="AK5164">
        <v>22.747377787923298</v>
      </c>
    </row>
    <row r="5165" spans="1:37" x14ac:dyDescent="0.2">
      <c r="A5165" t="str">
        <f>"20200111160322036"</f>
        <v>20200111160322036</v>
      </c>
      <c r="B5165" t="str">
        <f>"1578729802028929"</f>
        <v>1578729802028929</v>
      </c>
      <c r="C5165" t="s">
        <v>37</v>
      </c>
      <c r="D5165">
        <v>4.6268359999999999</v>
      </c>
      <c r="E5165">
        <v>0.46920790000000001</v>
      </c>
      <c r="F5165" t="s">
        <v>93</v>
      </c>
      <c r="G5165">
        <v>-253.7517</v>
      </c>
      <c r="H5165" s="1">
        <v>-9.7550480000000007E-7</v>
      </c>
      <c r="I5165">
        <v>-61.417490000000001</v>
      </c>
      <c r="J5165">
        <v>-276.79930000000002</v>
      </c>
      <c r="K5165">
        <v>1.1080779999999999</v>
      </c>
      <c r="L5165">
        <v>-63.599580000000003</v>
      </c>
      <c r="M5165">
        <v>0.99544869999999996</v>
      </c>
      <c r="N5165">
        <v>0</v>
      </c>
      <c r="O5165">
        <v>-9.4185260000000007E-2</v>
      </c>
      <c r="P5165">
        <v>0.99976480000000001</v>
      </c>
      <c r="Q5165">
        <v>-1.858692E-2</v>
      </c>
      <c r="R5165">
        <v>1.1176770000000001E-2</v>
      </c>
      <c r="S5165">
        <v>2.9953919999999998</v>
      </c>
      <c r="T5165">
        <v>-0.14355680000000001</v>
      </c>
      <c r="U5165">
        <v>0.2823792</v>
      </c>
      <c r="V5165">
        <v>-0.10526240000000001</v>
      </c>
      <c r="W5165">
        <v>-5.01108299999999E-3</v>
      </c>
      <c r="X5165">
        <v>0.99443189999999904</v>
      </c>
      <c r="Y5165">
        <v>-0.1868969</v>
      </c>
      <c r="Z5165">
        <v>8.9679630000000007E-3</v>
      </c>
      <c r="AA5165">
        <v>0.98233859999999995</v>
      </c>
      <c r="AB5165">
        <v>15</v>
      </c>
      <c r="AC5165">
        <v>23.047599999999999</v>
      </c>
      <c r="AD5165">
        <v>-1.1080789755047999</v>
      </c>
      <c r="AE5165">
        <v>2.1820900000000001</v>
      </c>
      <c r="AF5165">
        <v>-4.3334334976345197</v>
      </c>
      <c r="AG5165">
        <v>-1.1080789755047999</v>
      </c>
      <c r="AH5165">
        <v>22.687606124151099</v>
      </c>
      <c r="AI5165">
        <v>92.746570857814405</v>
      </c>
      <c r="AJ5165">
        <v>100.81350182784701</v>
      </c>
      <c r="AK5165">
        <v>23.124315266381299</v>
      </c>
    </row>
    <row r="5166" spans="1:37" x14ac:dyDescent="0.2">
      <c r="A5166" t="str">
        <f>"20200111160322047"</f>
        <v>20200111160322047</v>
      </c>
      <c r="B5166" t="str">
        <f>"1578729802038689"</f>
        <v>1578729802038689</v>
      </c>
      <c r="C5166" t="s">
        <v>37</v>
      </c>
      <c r="D5166">
        <v>4.4252940000000001</v>
      </c>
      <c r="E5166">
        <v>0.46960669999999999</v>
      </c>
      <c r="F5166" t="s">
        <v>93</v>
      </c>
      <c r="G5166">
        <v>-253.31799999999899</v>
      </c>
      <c r="H5166" s="1">
        <v>-7.7479469999999896E-7</v>
      </c>
      <c r="I5166">
        <v>-61.351599999999998</v>
      </c>
      <c r="J5166">
        <v>-276.72609999999997</v>
      </c>
      <c r="K5166">
        <v>1.1079969999999999</v>
      </c>
      <c r="L5166">
        <v>-63.601750000000003</v>
      </c>
      <c r="M5166">
        <v>0.99582950000000003</v>
      </c>
      <c r="N5166">
        <v>0</v>
      </c>
      <c r="O5166">
        <v>-9.007569E-2</v>
      </c>
      <c r="P5166">
        <v>0.99974699999999905</v>
      </c>
      <c r="Q5166">
        <v>-1.7897329999999999E-2</v>
      </c>
      <c r="R5166">
        <v>1.3629260000000001E-2</v>
      </c>
      <c r="S5166">
        <v>2.9948730000000001</v>
      </c>
      <c r="T5166">
        <v>-0.14132729999999999</v>
      </c>
      <c r="U5166">
        <v>0.28671259999999998</v>
      </c>
      <c r="V5166">
        <v>-0.1036053</v>
      </c>
      <c r="W5166">
        <v>-4.3029390000000004E-3</v>
      </c>
      <c r="X5166">
        <v>0.99460919999999897</v>
      </c>
      <c r="Y5166">
        <v>-0.18428339999999899</v>
      </c>
      <c r="Z5166">
        <v>8.5751360000000006E-3</v>
      </c>
      <c r="AA5166">
        <v>0.98283569999999998</v>
      </c>
      <c r="AB5166">
        <v>15</v>
      </c>
      <c r="AC5166">
        <v>23.408099999999902</v>
      </c>
      <c r="AD5166">
        <v>-1.1079977747947001</v>
      </c>
      <c r="AE5166">
        <v>2.2501500000000001</v>
      </c>
      <c r="AF5166">
        <v>-4.3400882552183804</v>
      </c>
      <c r="AG5166">
        <v>-1.1079977747947001</v>
      </c>
      <c r="AH5166">
        <v>23.0590283504323</v>
      </c>
      <c r="AI5166">
        <v>92.703576175946793</v>
      </c>
      <c r="AJ5166">
        <v>100.659305066332</v>
      </c>
      <c r="AK5166">
        <v>23.490057760637299</v>
      </c>
    </row>
    <row r="5167" spans="1:37" x14ac:dyDescent="0.2">
      <c r="A5167" t="str">
        <f>"20200111160322058"</f>
        <v>20200111160322058</v>
      </c>
      <c r="B5167" t="str">
        <f>"1578729802048449"</f>
        <v>1578729802048449</v>
      </c>
      <c r="C5167" t="s">
        <v>37</v>
      </c>
      <c r="D5167">
        <v>4.7573999999999996</v>
      </c>
      <c r="E5167">
        <v>0.469749799999999</v>
      </c>
      <c r="F5167" t="s">
        <v>93</v>
      </c>
      <c r="G5167">
        <v>-252.65450000000001</v>
      </c>
      <c r="H5167" s="1">
        <v>-4.7080729999999901E-7</v>
      </c>
      <c r="I5167">
        <v>-61.26446</v>
      </c>
      <c r="J5167">
        <v>-276.65679999999998</v>
      </c>
      <c r="K5167">
        <v>1.1079079999999999</v>
      </c>
      <c r="L5167">
        <v>-63.603450000000002</v>
      </c>
      <c r="M5167">
        <v>0.99616519999999997</v>
      </c>
      <c r="N5167">
        <v>0</v>
      </c>
      <c r="O5167">
        <v>-8.6286580000000002E-2</v>
      </c>
      <c r="P5167">
        <v>0.99973049999999997</v>
      </c>
      <c r="Q5167">
        <v>-1.707697E-2</v>
      </c>
      <c r="R5167">
        <v>1.5732220000000002E-2</v>
      </c>
      <c r="S5167">
        <v>2.9943240000000002</v>
      </c>
      <c r="T5167">
        <v>-0.13782659999999999</v>
      </c>
      <c r="U5167">
        <v>0.29074099999999897</v>
      </c>
      <c r="V5167">
        <v>-0.10192180000000001</v>
      </c>
      <c r="W5167">
        <v>-3.4650089999999998E-3</v>
      </c>
      <c r="X5167">
        <v>0.99478639999999996</v>
      </c>
      <c r="Y5167">
        <v>-0.18189229999999901</v>
      </c>
      <c r="Z5167">
        <v>8.1353380000000006E-3</v>
      </c>
      <c r="AA5167">
        <v>0.98328479999999996</v>
      </c>
      <c r="AB5167">
        <v>15</v>
      </c>
      <c r="AC5167">
        <v>24.002299999999899</v>
      </c>
      <c r="AD5167">
        <v>-1.1079084708072999</v>
      </c>
      <c r="AE5167">
        <v>2.3389899999999999</v>
      </c>
      <c r="AF5167">
        <v>-4.3922877732865597</v>
      </c>
      <c r="AG5167">
        <v>-1.1079084708072999</v>
      </c>
      <c r="AH5167">
        <v>23.660978748548398</v>
      </c>
      <c r="AI5167">
        <v>92.635908919470296</v>
      </c>
      <c r="AJ5167">
        <v>100.51635079436601</v>
      </c>
      <c r="AK5167">
        <v>24.090694643415901</v>
      </c>
    </row>
    <row r="5168" spans="1:37" x14ac:dyDescent="0.2">
      <c r="A5168" t="str">
        <f>"20200111160322068"</f>
        <v>20200111160322068</v>
      </c>
      <c r="B5168" t="str">
        <f>"1578729802058209"</f>
        <v>1578729802058209</v>
      </c>
      <c r="C5168" t="s">
        <v>37</v>
      </c>
      <c r="D5168">
        <v>4.55504</v>
      </c>
      <c r="E5168">
        <v>0.47002389999999999</v>
      </c>
      <c r="F5168" t="s">
        <v>93</v>
      </c>
      <c r="G5168">
        <v>-252.39949999999999</v>
      </c>
      <c r="H5168" s="1">
        <v>-3.4826619999999901E-7</v>
      </c>
      <c r="I5168">
        <v>-61.205440000000003</v>
      </c>
      <c r="J5168">
        <v>-276.58330000000001</v>
      </c>
      <c r="K5168">
        <v>1.1078139999999901</v>
      </c>
      <c r="L5168">
        <v>-63.60519</v>
      </c>
      <c r="M5168">
        <v>0.99650369999999999</v>
      </c>
      <c r="N5168">
        <v>0</v>
      </c>
      <c r="O5168">
        <v>-8.2288699999999895E-2</v>
      </c>
      <c r="P5168">
        <v>0.9996931</v>
      </c>
      <c r="Q5168">
        <v>-1.6764749999999998E-2</v>
      </c>
      <c r="R5168">
        <v>1.8248070000000002E-2</v>
      </c>
      <c r="S5168">
        <v>2.993805</v>
      </c>
      <c r="T5168">
        <v>-0.13673659999999899</v>
      </c>
      <c r="U5168">
        <v>0.29595949999999999</v>
      </c>
      <c r="V5168">
        <v>-0.1004376</v>
      </c>
      <c r="W5168">
        <v>-3.1371680000000001E-3</v>
      </c>
      <c r="X5168">
        <v>0.9949384</v>
      </c>
      <c r="Y5168">
        <v>-0.17967130000000001</v>
      </c>
      <c r="Z5168">
        <v>7.839314E-3</v>
      </c>
      <c r="AA5168">
        <v>0.9836954</v>
      </c>
      <c r="AB5168">
        <v>15</v>
      </c>
      <c r="AC5168">
        <v>24.183800000000002</v>
      </c>
      <c r="AD5168">
        <v>-1.1078143482662</v>
      </c>
      <c r="AE5168">
        <v>2.3997499999999898</v>
      </c>
      <c r="AF5168">
        <v>-4.3727847164656497</v>
      </c>
      <c r="AG5168">
        <v>-1.1078143482662</v>
      </c>
      <c r="AH5168">
        <v>23.8547031072479</v>
      </c>
      <c r="AI5168">
        <v>92.615393823379904</v>
      </c>
      <c r="AJ5168">
        <v>100.38751579160601</v>
      </c>
      <c r="AK5168">
        <v>24.277466077449699</v>
      </c>
    </row>
    <row r="5169" spans="1:37" x14ac:dyDescent="0.2">
      <c r="A5169" t="str">
        <f>"20200111160322081"</f>
        <v>20200111160322081</v>
      </c>
      <c r="B5169" t="str">
        <f>"1578729802078705"</f>
        <v>1578729802078705</v>
      </c>
      <c r="C5169" t="s">
        <v>37</v>
      </c>
      <c r="D5169">
        <v>4.5516909999999999</v>
      </c>
      <c r="E5169">
        <v>0.470522099999999</v>
      </c>
      <c r="F5169" t="s">
        <v>93</v>
      </c>
      <c r="G5169">
        <v>-252.5616</v>
      </c>
      <c r="H5169" s="1">
        <v>-4.1353179999999999E-7</v>
      </c>
      <c r="I5169">
        <v>-61.186109999999999</v>
      </c>
      <c r="J5169">
        <v>-276.50380000000001</v>
      </c>
      <c r="K5169">
        <v>1.107702</v>
      </c>
      <c r="L5169">
        <v>-63.606719999999903</v>
      </c>
      <c r="M5169">
        <v>0.99683860000000002</v>
      </c>
      <c r="N5169">
        <v>0</v>
      </c>
      <c r="O5169">
        <v>-7.8129470000000006E-2</v>
      </c>
      <c r="P5169">
        <v>0.99964719999999996</v>
      </c>
      <c r="Q5169">
        <v>-1.6487829999999998E-2</v>
      </c>
      <c r="R5169">
        <v>2.0817099999999901E-2</v>
      </c>
      <c r="S5169">
        <v>2.993134</v>
      </c>
      <c r="T5169">
        <v>-0.13803550000000001</v>
      </c>
      <c r="U5169">
        <v>0.30142209999999903</v>
      </c>
      <c r="V5169">
        <v>-9.8845370000000002E-2</v>
      </c>
      <c r="W5169">
        <v>-2.8449129999999902E-3</v>
      </c>
      <c r="X5169">
        <v>0.995098699999999</v>
      </c>
      <c r="Y5169">
        <v>-0.17736649999999901</v>
      </c>
      <c r="Z5169">
        <v>7.6706689999999998E-3</v>
      </c>
      <c r="AA5169">
        <v>0.98411489999999902</v>
      </c>
      <c r="AB5169">
        <v>15</v>
      </c>
      <c r="AC5169">
        <v>23.9422</v>
      </c>
      <c r="AD5169">
        <v>-1.1077024135318001</v>
      </c>
      <c r="AE5169">
        <v>2.4206099999999902</v>
      </c>
      <c r="AF5169">
        <v>-4.2749377290068704</v>
      </c>
      <c r="AG5169">
        <v>-1.1077024135318001</v>
      </c>
      <c r="AH5169">
        <v>23.6297898702616</v>
      </c>
      <c r="AI5169">
        <v>92.641099859266703</v>
      </c>
      <c r="AJ5169">
        <v>100.25463865268399</v>
      </c>
      <c r="AK5169">
        <v>24.038907349056998</v>
      </c>
    </row>
    <row r="5170" spans="1:37" x14ac:dyDescent="0.2">
      <c r="A5170" t="str">
        <f>"20200111160322094"</f>
        <v>20200111160322094</v>
      </c>
      <c r="B5170" t="str">
        <f>"1578729802088465"</f>
        <v>1578729802088465</v>
      </c>
      <c r="C5170" t="s">
        <v>37</v>
      </c>
      <c r="D5170">
        <v>4.6320730000000001</v>
      </c>
      <c r="E5170">
        <v>0.4915871</v>
      </c>
      <c r="F5170" t="s">
        <v>93</v>
      </c>
      <c r="G5170">
        <v>-252.57929999999999</v>
      </c>
      <c r="H5170" s="1">
        <v>-4.1689079999999901E-7</v>
      </c>
      <c r="I5170">
        <v>-61.167059999999999</v>
      </c>
      <c r="J5170">
        <v>-276.41320000000002</v>
      </c>
      <c r="K5170">
        <v>1.1075699999999999</v>
      </c>
      <c r="L5170">
        <v>-63.608249999999998</v>
      </c>
      <c r="M5170">
        <v>0.99719329999999995</v>
      </c>
      <c r="N5170">
        <v>0</v>
      </c>
      <c r="O5170">
        <v>-7.3470960000000002E-2</v>
      </c>
      <c r="P5170">
        <v>0.99958349999999996</v>
      </c>
      <c r="Q5170">
        <v>-1.592913E-2</v>
      </c>
      <c r="R5170">
        <v>2.406726E-2</v>
      </c>
      <c r="S5170">
        <v>2.9924009999999899</v>
      </c>
      <c r="T5170">
        <v>-0.13854829999999899</v>
      </c>
      <c r="U5170">
        <v>0.30514530000000001</v>
      </c>
      <c r="V5170">
        <v>-9.7436599999999998E-2</v>
      </c>
      <c r="W5170">
        <v>-2.2728129999999998E-3</v>
      </c>
      <c r="X5170">
        <v>0.99523909999999904</v>
      </c>
      <c r="Y5170">
        <v>-0.17400979999999999</v>
      </c>
      <c r="Z5170">
        <v>7.408113E-3</v>
      </c>
      <c r="AA5170">
        <v>0.98471609999999998</v>
      </c>
      <c r="AB5170">
        <v>15</v>
      </c>
      <c r="AC5170">
        <v>23.8339</v>
      </c>
      <c r="AD5170">
        <v>-1.1075704168908</v>
      </c>
      <c r="AE5170">
        <v>2.44118999999999</v>
      </c>
      <c r="AF5170">
        <v>-4.1769457646007604</v>
      </c>
      <c r="AG5170">
        <v>-1.1075704168908</v>
      </c>
      <c r="AH5170">
        <v>23.539790564745299</v>
      </c>
      <c r="AI5170">
        <v>92.652463302046101</v>
      </c>
      <c r="AJ5170">
        <v>100.06194353154601</v>
      </c>
      <c r="AK5170">
        <v>23.933142877208201</v>
      </c>
    </row>
    <row r="5171" spans="1:37" x14ac:dyDescent="0.2">
      <c r="A5171" t="str">
        <f>"20200111160322109"</f>
        <v>20200111160322109</v>
      </c>
      <c r="B5171" t="str">
        <f>"1578729802098225"</f>
        <v>1578729802098225</v>
      </c>
      <c r="C5171" t="s">
        <v>37</v>
      </c>
      <c r="D5171">
        <v>4.7429300000000003</v>
      </c>
      <c r="E5171">
        <v>0.49128230000000001</v>
      </c>
      <c r="F5171" t="s">
        <v>38</v>
      </c>
      <c r="G5171">
        <v>-261.11680000000001</v>
      </c>
      <c r="H5171" s="1">
        <v>-1.351834E-7</v>
      </c>
      <c r="I5171">
        <v>-62.82958</v>
      </c>
      <c r="J5171">
        <v>-276.31200000000001</v>
      </c>
      <c r="K5171">
        <v>1.107418</v>
      </c>
      <c r="L5171">
        <v>-63.609740000000002</v>
      </c>
      <c r="M5171">
        <v>0.99755380000000005</v>
      </c>
      <c r="N5171">
        <v>0</v>
      </c>
      <c r="O5171">
        <v>-6.8411659999999999E-2</v>
      </c>
      <c r="P5171">
        <v>0.999552</v>
      </c>
      <c r="Q5171">
        <v>-1.5257649999999999E-2</v>
      </c>
      <c r="R5171">
        <v>2.5754760000000002E-2</v>
      </c>
      <c r="S5171">
        <v>2.9941709999999899</v>
      </c>
      <c r="T5171">
        <v>-0.2167994</v>
      </c>
      <c r="U5171">
        <v>0.15240479999999901</v>
      </c>
      <c r="V5171">
        <v>-9.4074359999999996E-2</v>
      </c>
      <c r="W5171">
        <v>-1.573206E-3</v>
      </c>
      <c r="X5171">
        <v>0.99556389999999995</v>
      </c>
      <c r="Y5171">
        <v>-0.11855739999999899</v>
      </c>
      <c r="Z5171">
        <v>9.2274139999999998E-3</v>
      </c>
      <c r="AA5171">
        <v>0.99290429999999996</v>
      </c>
      <c r="AB5171">
        <v>15</v>
      </c>
      <c r="AC5171">
        <v>15.1952</v>
      </c>
      <c r="AD5171">
        <v>-1.1074181351833901</v>
      </c>
      <c r="AE5171">
        <v>0.78015999999999497</v>
      </c>
      <c r="AF5171">
        <v>-1.80838807550574</v>
      </c>
      <c r="AG5171">
        <v>-1.1074181351833901</v>
      </c>
      <c r="AH5171">
        <v>15.026612679331199</v>
      </c>
      <c r="AI5171">
        <v>94.1848271722872</v>
      </c>
      <c r="AJ5171">
        <v>96.862298041492295</v>
      </c>
      <c r="AK5171">
        <v>15.1754977174524</v>
      </c>
    </row>
    <row r="5172" spans="1:37" x14ac:dyDescent="0.2">
      <c r="A5172" t="str">
        <f>"20200111160322123"</f>
        <v>20200111160322123</v>
      </c>
      <c r="B5172" t="str">
        <f>"1578729802118721"</f>
        <v>1578729802118721</v>
      </c>
      <c r="C5172" t="s">
        <v>37</v>
      </c>
      <c r="D5172">
        <v>4.5051379999999996</v>
      </c>
      <c r="E5172">
        <v>0.49321359999999997</v>
      </c>
      <c r="F5172" t="s">
        <v>38</v>
      </c>
      <c r="G5172">
        <v>-261.13389999999998</v>
      </c>
      <c r="H5172" s="1">
        <v>-1.3438690000000001E-7</v>
      </c>
      <c r="I5172">
        <v>-62.799109999999999</v>
      </c>
      <c r="J5172">
        <v>-276.221</v>
      </c>
      <c r="K5172">
        <v>1.107281</v>
      </c>
      <c r="L5172">
        <v>-63.610689999999998</v>
      </c>
      <c r="M5172">
        <v>0.99784309999999998</v>
      </c>
      <c r="N5172">
        <v>0</v>
      </c>
      <c r="O5172">
        <v>-6.4057740000000002E-2</v>
      </c>
      <c r="P5172">
        <v>0.99948930000000002</v>
      </c>
      <c r="Q5172">
        <v>-1.4806110000000001E-2</v>
      </c>
      <c r="R5172">
        <v>2.831962E-2</v>
      </c>
      <c r="S5172">
        <v>2.9938660000000001</v>
      </c>
      <c r="T5172">
        <v>-0.21843589999999999</v>
      </c>
      <c r="U5172">
        <v>0.15988160000000001</v>
      </c>
      <c r="V5172">
        <v>-9.228836E-2</v>
      </c>
      <c r="W5172">
        <v>-1.110368E-3</v>
      </c>
      <c r="X5172">
        <v>0.995731699999999</v>
      </c>
      <c r="Y5172">
        <v>-0.1167113</v>
      </c>
      <c r="Z5172">
        <v>8.9133149999999998E-3</v>
      </c>
      <c r="AA5172">
        <v>0.99312590000000001</v>
      </c>
      <c r="AB5172">
        <v>15</v>
      </c>
      <c r="AC5172">
        <v>15.0871</v>
      </c>
      <c r="AD5172">
        <v>-1.1072811343869</v>
      </c>
      <c r="AE5172">
        <v>0.81158000000000596</v>
      </c>
      <c r="AF5172">
        <v>-1.7669675418191</v>
      </c>
      <c r="AG5172">
        <v>-1.1072811343869</v>
      </c>
      <c r="AH5172">
        <v>14.923958794130399</v>
      </c>
      <c r="AI5172">
        <v>94.213952010739803</v>
      </c>
      <c r="AJ5172">
        <v>96.752274010983896</v>
      </c>
      <c r="AK5172">
        <v>15.068934663516</v>
      </c>
    </row>
    <row r="5173" spans="1:37" x14ac:dyDescent="0.2">
      <c r="A5173" t="str">
        <f>"20200111160322136"</f>
        <v>20200111160322136</v>
      </c>
      <c r="B5173" t="str">
        <f>"1578729802128480"</f>
        <v>1578729802128480</v>
      </c>
      <c r="C5173" t="s">
        <v>37</v>
      </c>
      <c r="D5173">
        <v>4.5596649999999999</v>
      </c>
      <c r="E5173">
        <v>0.49423220000000001</v>
      </c>
      <c r="F5173" t="s">
        <v>38</v>
      </c>
      <c r="G5173">
        <v>-261.49130000000002</v>
      </c>
      <c r="H5173" s="1">
        <v>-3.039773E-7</v>
      </c>
      <c r="I5173">
        <v>-62.860199999999999</v>
      </c>
      <c r="J5173">
        <v>-276.14109999999999</v>
      </c>
      <c r="K5173">
        <v>1.1071679999999999</v>
      </c>
      <c r="L5173">
        <v>-63.61139</v>
      </c>
      <c r="M5173">
        <v>0.99807659999999998</v>
      </c>
      <c r="N5173">
        <v>0</v>
      </c>
      <c r="O5173">
        <v>-6.0319610000000003E-2</v>
      </c>
      <c r="P5173">
        <v>0.99943879999999996</v>
      </c>
      <c r="Q5173">
        <v>-1.4242019999999999E-2</v>
      </c>
      <c r="R5173">
        <v>3.0321750000000001E-2</v>
      </c>
      <c r="S5173">
        <v>2.9938660000000001</v>
      </c>
      <c r="T5173">
        <v>-0.2250587</v>
      </c>
      <c r="U5173">
        <v>0.15252689999999999</v>
      </c>
      <c r="V5173">
        <v>-9.0557139999999994E-2</v>
      </c>
      <c r="W5173">
        <v>-5.3686439999999999E-4</v>
      </c>
      <c r="X5173">
        <v>0.99589110000000003</v>
      </c>
      <c r="Y5173">
        <v>-0.11055429999999999</v>
      </c>
      <c r="Z5173">
        <v>8.6720809999999999E-3</v>
      </c>
      <c r="AA5173">
        <v>0.99383220000000005</v>
      </c>
      <c r="AB5173">
        <v>15</v>
      </c>
      <c r="AC5173">
        <v>14.6497999999999</v>
      </c>
      <c r="AD5173">
        <v>-1.1071683039772999</v>
      </c>
      <c r="AE5173">
        <v>0.75119000000000102</v>
      </c>
      <c r="AF5173">
        <v>-1.62432922484316</v>
      </c>
      <c r="AG5173">
        <v>-1.1071683039772999</v>
      </c>
      <c r="AH5173">
        <v>14.495227805844401</v>
      </c>
      <c r="AI5173">
        <v>94.340796104364898</v>
      </c>
      <c r="AJ5173">
        <v>96.393867015716694</v>
      </c>
      <c r="AK5173">
        <v>14.627914965139</v>
      </c>
    </row>
    <row r="5174" spans="1:37" x14ac:dyDescent="0.2">
      <c r="A5174" t="str">
        <f>"20200111160322148"</f>
        <v>20200111160322148</v>
      </c>
      <c r="B5174" t="str">
        <f>"1578729802138240"</f>
        <v>1578729802138240</v>
      </c>
      <c r="C5174" t="s">
        <v>37</v>
      </c>
      <c r="D5174">
        <v>4.7764670000000002</v>
      </c>
      <c r="E5174">
        <v>0.495531</v>
      </c>
      <c r="F5174" t="s">
        <v>38</v>
      </c>
      <c r="G5174">
        <v>-261.31290000000001</v>
      </c>
      <c r="H5174" s="1">
        <v>-2.293283E-7</v>
      </c>
      <c r="I5174">
        <v>-62.867219999999897</v>
      </c>
      <c r="J5174">
        <v>-276.0573</v>
      </c>
      <c r="K5174">
        <v>1.1070530000000001</v>
      </c>
      <c r="L5174">
        <v>-63.6119699999999</v>
      </c>
      <c r="M5174">
        <v>0.99830160000000001</v>
      </c>
      <c r="N5174">
        <v>0</v>
      </c>
      <c r="O5174">
        <v>-5.6482940000000002E-2</v>
      </c>
      <c r="P5174">
        <v>0.99939299999999998</v>
      </c>
      <c r="Q5174">
        <v>-1.308424E-2</v>
      </c>
      <c r="R5174">
        <v>3.2292309999999998E-2</v>
      </c>
      <c r="S5174">
        <v>2.9938959999999999</v>
      </c>
      <c r="T5174">
        <v>-0.22354369999999901</v>
      </c>
      <c r="U5174">
        <v>0.15023800000000001</v>
      </c>
      <c r="V5174">
        <v>-8.8700210000000002E-2</v>
      </c>
      <c r="W5174">
        <v>6.2925000000000003E-4</v>
      </c>
      <c r="X5174">
        <v>0.9960582</v>
      </c>
      <c r="Y5174">
        <v>-0.10600469999999999</v>
      </c>
      <c r="Z5174">
        <v>8.15864E-3</v>
      </c>
      <c r="AA5174">
        <v>0.99433209999999905</v>
      </c>
      <c r="AB5174">
        <v>15</v>
      </c>
      <c r="AC5174">
        <v>14.744399999999899</v>
      </c>
      <c r="AD5174">
        <v>-1.1070532293283</v>
      </c>
      <c r="AE5174">
        <v>0.74474999999999603</v>
      </c>
      <c r="AF5174">
        <v>-1.56763767165385</v>
      </c>
      <c r="AG5174">
        <v>-1.1070532293283</v>
      </c>
      <c r="AH5174">
        <v>14.5967079472167</v>
      </c>
      <c r="AI5174">
        <v>94.312457007350105</v>
      </c>
      <c r="AJ5174">
        <v>96.129879937879295</v>
      </c>
      <c r="AK5174">
        <v>14.722327860039499</v>
      </c>
    </row>
    <row r="5175" spans="1:37" x14ac:dyDescent="0.2">
      <c r="A5175" t="str">
        <f>"20200111160322158"</f>
        <v>20200111160322158</v>
      </c>
      <c r="B5175" t="str">
        <f>"1578729802148977"</f>
        <v>1578729802148977</v>
      </c>
      <c r="C5175" t="s">
        <v>37</v>
      </c>
      <c r="D5175">
        <v>4.5154300000000003</v>
      </c>
      <c r="E5175">
        <v>0.49641419999999897</v>
      </c>
      <c r="F5175" t="s">
        <v>94</v>
      </c>
      <c r="G5175">
        <v>-260.65289999999999</v>
      </c>
      <c r="H5175" s="1">
        <v>5.4314679999999998E-8</v>
      </c>
      <c r="I5175">
        <v>-62.865369999999999</v>
      </c>
      <c r="J5175">
        <v>-275.98630000000003</v>
      </c>
      <c r="K5175">
        <v>1.106962</v>
      </c>
      <c r="L5175">
        <v>-63.612269999999903</v>
      </c>
      <c r="M5175">
        <v>0.99847219999999903</v>
      </c>
      <c r="N5175">
        <v>0</v>
      </c>
      <c r="O5175">
        <v>-5.3385660000000001E-2</v>
      </c>
      <c r="P5175">
        <v>0.99936709999999995</v>
      </c>
      <c r="Q5175">
        <v>-1.212858E-2</v>
      </c>
      <c r="R5175">
        <v>3.3441310000000002E-2</v>
      </c>
      <c r="S5175">
        <v>2.9943240000000002</v>
      </c>
      <c r="T5175">
        <v>-0.21519059999999901</v>
      </c>
      <c r="U5175">
        <v>0.14511109999999999</v>
      </c>
      <c r="V5175">
        <v>-8.6760699999999996E-2</v>
      </c>
      <c r="W5175">
        <v>1.5924610000000001E-3</v>
      </c>
      <c r="X5175">
        <v>0.99622790000000006</v>
      </c>
      <c r="Y5175">
        <v>-0.1012666</v>
      </c>
      <c r="Z5175">
        <v>7.4617149999999998E-3</v>
      </c>
      <c r="AA5175">
        <v>0.99483129999999997</v>
      </c>
      <c r="AB5175">
        <v>15</v>
      </c>
      <c r="AC5175">
        <v>15.333399999999999</v>
      </c>
      <c r="AD5175">
        <v>-1.1069619456853199</v>
      </c>
      <c r="AE5175">
        <v>0.74689999999999601</v>
      </c>
      <c r="AF5175">
        <v>-1.55640905105686</v>
      </c>
      <c r="AG5175">
        <v>-1.1069619456853199</v>
      </c>
      <c r="AH5175">
        <v>15.1926580502682</v>
      </c>
      <c r="AI5175">
        <v>94.145678952826799</v>
      </c>
      <c r="AJ5175">
        <v>95.849250006682496</v>
      </c>
      <c r="AK5175">
        <v>15.312237998274</v>
      </c>
    </row>
    <row r="5176" spans="1:37" x14ac:dyDescent="0.2">
      <c r="A5176" t="str">
        <f>"20200111160322170"</f>
        <v>20200111160322170</v>
      </c>
      <c r="B5176" t="str">
        <f>"1578729802158737"</f>
        <v>1578729802158737</v>
      </c>
      <c r="C5176" t="s">
        <v>37</v>
      </c>
      <c r="D5176">
        <v>4.5271080000000001</v>
      </c>
      <c r="E5176">
        <v>0.49720619999999999</v>
      </c>
      <c r="F5176" t="s">
        <v>94</v>
      </c>
      <c r="G5176">
        <v>-260.0403</v>
      </c>
      <c r="H5176" s="1">
        <v>3.1828849999999999E-7</v>
      </c>
      <c r="I5176">
        <v>-62.860969999999902</v>
      </c>
      <c r="J5176">
        <v>-275.91059999999999</v>
      </c>
      <c r="K5176">
        <v>1.1068639999999901</v>
      </c>
      <c r="L5176">
        <v>-63.612519999999897</v>
      </c>
      <c r="M5176">
        <v>0.99864229999999998</v>
      </c>
      <c r="N5176">
        <v>0</v>
      </c>
      <c r="O5176">
        <v>-5.0113350000000001E-2</v>
      </c>
      <c r="P5176">
        <v>0.99932929999999998</v>
      </c>
      <c r="Q5176">
        <v>-1.1096150000000001E-2</v>
      </c>
      <c r="R5176">
        <v>3.4897900000000003E-2</v>
      </c>
      <c r="S5176">
        <v>2.994659</v>
      </c>
      <c r="T5176">
        <v>-0.20788690000000001</v>
      </c>
      <c r="U5176">
        <v>0.14108280000000001</v>
      </c>
      <c r="V5176">
        <v>-8.4953810000000005E-2</v>
      </c>
      <c r="W5176">
        <v>2.6314870000000001E-3</v>
      </c>
      <c r="X5176">
        <v>0.99638139999999997</v>
      </c>
      <c r="Y5176">
        <v>-9.6710299999999999E-2</v>
      </c>
      <c r="Z5176">
        <v>6.8239030000000001E-3</v>
      </c>
      <c r="AA5176">
        <v>0.99528919999999999</v>
      </c>
      <c r="AB5176">
        <v>15</v>
      </c>
      <c r="AC5176">
        <v>15.870299999999901</v>
      </c>
      <c r="AD5176">
        <v>-1.1068636817114901</v>
      </c>
      <c r="AE5176">
        <v>0.75155000000000105</v>
      </c>
      <c r="AF5176">
        <v>-1.5385327355280001</v>
      </c>
      <c r="AG5176">
        <v>-1.1068636817114901</v>
      </c>
      <c r="AH5176">
        <v>15.7363145528331</v>
      </c>
      <c r="AI5176">
        <v>94.004423292038197</v>
      </c>
      <c r="AJ5176">
        <v>95.5840365611473</v>
      </c>
      <c r="AK5176">
        <v>15.8500418262505</v>
      </c>
    </row>
    <row r="5177" spans="1:37" x14ac:dyDescent="0.2">
      <c r="A5177" t="str">
        <f>"20200111160322182"</f>
        <v>20200111160322182</v>
      </c>
      <c r="B5177" t="str">
        <f>"1578729802178256"</f>
        <v>1578729802178256</v>
      </c>
      <c r="C5177" t="s">
        <v>37</v>
      </c>
      <c r="D5177">
        <v>4.5054749999999997</v>
      </c>
      <c r="E5177">
        <v>0.49838339999999998</v>
      </c>
      <c r="F5177" t="s">
        <v>93</v>
      </c>
      <c r="G5177">
        <v>-259.38339999999999</v>
      </c>
      <c r="H5177" s="1">
        <v>-3.545616E-6</v>
      </c>
      <c r="I5177">
        <v>-62.847430000000003</v>
      </c>
      <c r="J5177">
        <v>-275.83069999999998</v>
      </c>
      <c r="K5177">
        <v>1.106757</v>
      </c>
      <c r="L5177">
        <v>-63.612580000000001</v>
      </c>
      <c r="M5177">
        <v>0.99880079999999904</v>
      </c>
      <c r="N5177">
        <v>0</v>
      </c>
      <c r="O5177">
        <v>-4.6854630000000001E-2</v>
      </c>
      <c r="P5177">
        <v>0.99929059999999903</v>
      </c>
      <c r="Q5177">
        <v>-1.048026E-2</v>
      </c>
      <c r="R5177">
        <v>3.6174610000000003E-2</v>
      </c>
      <c r="S5177">
        <v>2.994904</v>
      </c>
      <c r="T5177">
        <v>-0.20057539999999999</v>
      </c>
      <c r="U5177">
        <v>0.1386414</v>
      </c>
      <c r="V5177">
        <v>-8.2978440000000001E-2</v>
      </c>
      <c r="W5177">
        <v>3.2532799999999999E-3</v>
      </c>
      <c r="X5177">
        <v>0.99654599999999904</v>
      </c>
      <c r="Y5177">
        <v>-9.2689279999999999E-2</v>
      </c>
      <c r="Z5177">
        <v>6.2317559999999998E-3</v>
      </c>
      <c r="AA5177">
        <v>0.99567559999999999</v>
      </c>
      <c r="AB5177">
        <v>15</v>
      </c>
      <c r="AC5177">
        <v>16.447299999999899</v>
      </c>
      <c r="AD5177">
        <v>-1.1067605456159999</v>
      </c>
      <c r="AE5177">
        <v>0.765149999999998</v>
      </c>
      <c r="AF5177">
        <v>-1.528114783176</v>
      </c>
      <c r="AG5177">
        <v>-1.1067605456159999</v>
      </c>
      <c r="AH5177">
        <v>16.3196404236141</v>
      </c>
      <c r="AI5177">
        <v>93.862881524508694</v>
      </c>
      <c r="AJ5177">
        <v>95.349381250918299</v>
      </c>
      <c r="AK5177">
        <v>16.428351020475301</v>
      </c>
    </row>
    <row r="5178" spans="1:37" x14ac:dyDescent="0.2">
      <c r="A5178" t="str">
        <f>"20200111160322194"</f>
        <v>20200111160322194</v>
      </c>
      <c r="B5178" t="str">
        <f>"1578729802188017"</f>
        <v>1578729802188017</v>
      </c>
      <c r="C5178" t="s">
        <v>37</v>
      </c>
      <c r="D5178">
        <v>4.5435049999999997</v>
      </c>
      <c r="E5178">
        <v>0.49897019999999997</v>
      </c>
      <c r="F5178" t="s">
        <v>93</v>
      </c>
      <c r="G5178">
        <v>-259.005</v>
      </c>
      <c r="H5178" s="1">
        <v>-3.4193999999999998E-6</v>
      </c>
      <c r="I5178">
        <v>-62.866340000000001</v>
      </c>
      <c r="J5178">
        <v>-275.74579999999997</v>
      </c>
      <c r="K5178">
        <v>1.106644</v>
      </c>
      <c r="L5178">
        <v>-63.612549999999999</v>
      </c>
      <c r="M5178">
        <v>0.9989538</v>
      </c>
      <c r="N5178">
        <v>0</v>
      </c>
      <c r="O5178">
        <v>-4.3483689999999998E-2</v>
      </c>
      <c r="P5178">
        <v>0.99923909999999905</v>
      </c>
      <c r="Q5178">
        <v>-1.0168399999999999E-2</v>
      </c>
      <c r="R5178">
        <v>3.765437E-2</v>
      </c>
      <c r="S5178">
        <v>2.9952700000000001</v>
      </c>
      <c r="T5178">
        <v>-0.19702259999999999</v>
      </c>
      <c r="U5178">
        <v>0.13284299999999999</v>
      </c>
      <c r="V5178">
        <v>-8.1091689999999994E-2</v>
      </c>
      <c r="W5178">
        <v>3.5694209999999902E-3</v>
      </c>
      <c r="X5178">
        <v>0.99670020000000004</v>
      </c>
      <c r="Y5178">
        <v>-8.7428350000000002E-2</v>
      </c>
      <c r="Z5178">
        <v>5.726994E-3</v>
      </c>
      <c r="AA5178">
        <v>0.9961544</v>
      </c>
      <c r="AB5178">
        <v>15</v>
      </c>
      <c r="AC5178">
        <v>16.740799999999901</v>
      </c>
      <c r="AD5178">
        <v>-1.1066474194</v>
      </c>
      <c r="AE5178">
        <v>0.74620999999999704</v>
      </c>
      <c r="AF5178">
        <v>-1.46713036133218</v>
      </c>
      <c r="AG5178">
        <v>-1.1066474194</v>
      </c>
      <c r="AH5178">
        <v>16.620028153438199</v>
      </c>
      <c r="AI5178">
        <v>93.794713126242399</v>
      </c>
      <c r="AJ5178">
        <v>95.044699490137404</v>
      </c>
      <c r="AK5178">
        <v>16.721318005141999</v>
      </c>
    </row>
    <row r="5179" spans="1:37" x14ac:dyDescent="0.2">
      <c r="A5179" t="str">
        <f>"20200111160322211"</f>
        <v>20200111160322211</v>
      </c>
      <c r="B5179" t="str">
        <f>"1578729802208513"</f>
        <v>1578729802208513</v>
      </c>
      <c r="C5179" t="s">
        <v>37</v>
      </c>
      <c r="D5179">
        <v>4.5828550000000003</v>
      </c>
      <c r="E5179">
        <v>0.4997316</v>
      </c>
      <c r="F5179" t="s">
        <v>93</v>
      </c>
      <c r="G5179">
        <v>-258.71949999999998</v>
      </c>
      <c r="H5179" s="1">
        <v>-3.3214609999999999E-6</v>
      </c>
      <c r="I5179">
        <v>-62.860729999999997</v>
      </c>
      <c r="J5179">
        <v>-275.63720000000001</v>
      </c>
      <c r="K5179">
        <v>1.106506</v>
      </c>
      <c r="L5179">
        <v>-63.612299999999998</v>
      </c>
      <c r="M5179">
        <v>0.99912590000000001</v>
      </c>
      <c r="N5179">
        <v>0</v>
      </c>
      <c r="O5179">
        <v>-3.9343759999999998E-2</v>
      </c>
      <c r="P5179">
        <v>0.9992356</v>
      </c>
      <c r="Q5179">
        <v>-9.0887840000000008E-3</v>
      </c>
      <c r="R5179">
        <v>3.8023790000000002E-2</v>
      </c>
      <c r="S5179">
        <v>2.9953310000000002</v>
      </c>
      <c r="T5179">
        <v>-0.19468429999999901</v>
      </c>
      <c r="U5179">
        <v>0.1322632</v>
      </c>
      <c r="V5179">
        <v>-7.7332880000000007E-2</v>
      </c>
      <c r="W5179">
        <v>4.6604150000000002E-3</v>
      </c>
      <c r="X5179">
        <v>0.99699439999999995</v>
      </c>
      <c r="Y5179">
        <v>-8.3130670000000004E-2</v>
      </c>
      <c r="Z5179">
        <v>5.2509829999999999E-3</v>
      </c>
      <c r="AA5179">
        <v>0.99652479999999999</v>
      </c>
      <c r="AB5179">
        <v>15</v>
      </c>
      <c r="AC5179">
        <v>16.9177</v>
      </c>
      <c r="AD5179">
        <v>-1.106509321461</v>
      </c>
      <c r="AE5179">
        <v>0.75156999999999297</v>
      </c>
      <c r="AF5179">
        <v>-1.41063766590245</v>
      </c>
      <c r="AG5179">
        <v>-1.106509321461</v>
      </c>
      <c r="AH5179">
        <v>16.803285381715401</v>
      </c>
      <c r="AI5179">
        <v>93.754363404626304</v>
      </c>
      <c r="AJ5179">
        <v>94.798734912785207</v>
      </c>
      <c r="AK5179">
        <v>16.8986585598477</v>
      </c>
    </row>
    <row r="5180" spans="1:37" x14ac:dyDescent="0.2">
      <c r="A5180" t="str">
        <f>"20200111160322225"</f>
        <v>20200111160322225</v>
      </c>
      <c r="B5180" t="str">
        <f>"1578729802218273"</f>
        <v>1578729802218273</v>
      </c>
      <c r="C5180" t="s">
        <v>37</v>
      </c>
      <c r="D5180">
        <v>4.6132799999999996</v>
      </c>
      <c r="E5180">
        <v>0.50004919999999997</v>
      </c>
      <c r="F5180" t="s">
        <v>93</v>
      </c>
      <c r="G5180">
        <v>-258.24520000000001</v>
      </c>
      <c r="H5180" s="1">
        <v>-3.1619839999999999E-6</v>
      </c>
      <c r="I5180">
        <v>-62.874919999999904</v>
      </c>
      <c r="J5180">
        <v>-275.54739999999998</v>
      </c>
      <c r="K5180">
        <v>1.1063860000000001</v>
      </c>
      <c r="L5180">
        <v>-63.611939999999997</v>
      </c>
      <c r="M5180">
        <v>0.99924859999999904</v>
      </c>
      <c r="N5180">
        <v>0</v>
      </c>
      <c r="O5180">
        <v>-3.610824E-2</v>
      </c>
      <c r="P5180">
        <v>0.99919059999999904</v>
      </c>
      <c r="Q5180">
        <v>-8.6789220000000004E-3</v>
      </c>
      <c r="R5180">
        <v>3.9284300000000001E-2</v>
      </c>
      <c r="S5180">
        <v>2.9957579999999999</v>
      </c>
      <c r="T5180">
        <v>-0.19059570000000001</v>
      </c>
      <c r="U5180">
        <v>0.12701419999999999</v>
      </c>
      <c r="V5180">
        <v>-7.5362970000000001E-2</v>
      </c>
      <c r="W5180">
        <v>5.0723970000000002E-3</v>
      </c>
      <c r="X5180">
        <v>0.99714329999999995</v>
      </c>
      <c r="Y5180">
        <v>-7.8181E-2</v>
      </c>
      <c r="Z5180">
        <v>4.7776040000000004E-3</v>
      </c>
      <c r="AA5180">
        <v>0.99692769999999997</v>
      </c>
      <c r="AB5180">
        <v>15</v>
      </c>
      <c r="AC5180">
        <v>17.3021999999999</v>
      </c>
      <c r="AD5180">
        <v>-1.1063891619840001</v>
      </c>
      <c r="AE5180">
        <v>0.737020000000008</v>
      </c>
      <c r="AF5180">
        <v>-1.35581941281537</v>
      </c>
      <c r="AG5180">
        <v>-1.1063891619840001</v>
      </c>
      <c r="AH5180">
        <v>17.194120814799501</v>
      </c>
      <c r="AI5180">
        <v>93.670370555905507</v>
      </c>
      <c r="AJ5180">
        <v>94.508652764118693</v>
      </c>
      <c r="AK5180">
        <v>17.282943437153399</v>
      </c>
    </row>
    <row r="5181" spans="1:37" x14ac:dyDescent="0.2">
      <c r="A5181" t="str">
        <f>"20200111160322236"</f>
        <v>20200111160322236</v>
      </c>
      <c r="B5181" t="str">
        <f>"1578729802228032"</f>
        <v>1578729802228032</v>
      </c>
      <c r="C5181" t="s">
        <v>37</v>
      </c>
      <c r="D5181">
        <v>4.4602870000000001</v>
      </c>
      <c r="E5181">
        <v>0.50042609999999998</v>
      </c>
      <c r="F5181" t="s">
        <v>93</v>
      </c>
      <c r="G5181">
        <v>-258.06169999999997</v>
      </c>
      <c r="H5181" s="1">
        <v>-3.0980650000000001E-6</v>
      </c>
      <c r="I5181">
        <v>-62.863999999999997</v>
      </c>
      <c r="J5181">
        <v>-275.4649</v>
      </c>
      <c r="K5181">
        <v>1.106285</v>
      </c>
      <c r="L5181">
        <v>-63.61148</v>
      </c>
      <c r="M5181">
        <v>0.99934820000000002</v>
      </c>
      <c r="N5181">
        <v>0</v>
      </c>
      <c r="O5181">
        <v>-3.324796E-2</v>
      </c>
      <c r="P5181">
        <v>0.99915489999999996</v>
      </c>
      <c r="Q5181">
        <v>-8.21593199999999E-3</v>
      </c>
      <c r="R5181">
        <v>4.0279420000000003E-2</v>
      </c>
      <c r="S5181">
        <v>2.9957889999999998</v>
      </c>
      <c r="T5181">
        <v>-0.18955539999999901</v>
      </c>
      <c r="U5181">
        <v>0.12814329999999999</v>
      </c>
      <c r="V5181">
        <v>-7.3502600000000001E-2</v>
      </c>
      <c r="W5181">
        <v>5.5368300000000004E-3</v>
      </c>
      <c r="X5181">
        <v>0.99727960000000004</v>
      </c>
      <c r="Y5181">
        <v>-7.5715069999999995E-2</v>
      </c>
      <c r="Z5181">
        <v>4.492874E-3</v>
      </c>
      <c r="AA5181">
        <v>0.99711939999999999</v>
      </c>
      <c r="AB5181">
        <v>15</v>
      </c>
      <c r="AC5181">
        <v>17.403199999999998</v>
      </c>
      <c r="AD5181">
        <v>-1.1062880980650001</v>
      </c>
      <c r="AE5181">
        <v>0.74748000000001003</v>
      </c>
      <c r="AF5181">
        <v>-1.3204189206218899</v>
      </c>
      <c r="AG5181">
        <v>-1.1062880980650001</v>
      </c>
      <c r="AH5181">
        <v>17.2989471888752</v>
      </c>
      <c r="AI5181">
        <v>93.648565462743306</v>
      </c>
      <c r="AJ5181">
        <v>94.364890907729801</v>
      </c>
      <c r="AK5181">
        <v>17.384503252188399</v>
      </c>
    </row>
    <row r="5182" spans="1:37" x14ac:dyDescent="0.2">
      <c r="A5182" t="str">
        <f>"20200111160322250"</f>
        <v>20200111160322250</v>
      </c>
      <c r="B5182" t="str">
        <f>"1578729802238768"</f>
        <v>1578729802238768</v>
      </c>
      <c r="C5182" t="s">
        <v>37</v>
      </c>
      <c r="D5182">
        <v>4.5701000000000001</v>
      </c>
      <c r="E5182">
        <v>0.5006621</v>
      </c>
      <c r="F5182" t="s">
        <v>93</v>
      </c>
      <c r="G5182">
        <v>-258.11200000000002</v>
      </c>
      <c r="H5182" s="1">
        <v>-3.1158849999999999E-6</v>
      </c>
      <c r="I5182">
        <v>-62.869230000000002</v>
      </c>
      <c r="J5182">
        <v>-275.38060000000002</v>
      </c>
      <c r="K5182">
        <v>1.106185</v>
      </c>
      <c r="L5182">
        <v>-63.610959999999999</v>
      </c>
      <c r="M5182">
        <v>0.99943909999999903</v>
      </c>
      <c r="N5182">
        <v>0</v>
      </c>
      <c r="O5182">
        <v>-3.0400460000000001E-2</v>
      </c>
      <c r="P5182">
        <v>0.99911759999999905</v>
      </c>
      <c r="Q5182">
        <v>-7.9053170000000002E-3</v>
      </c>
      <c r="R5182">
        <v>4.12509E-2</v>
      </c>
      <c r="S5182">
        <v>2.995819</v>
      </c>
      <c r="T5182">
        <v>-0.19099089999999999</v>
      </c>
      <c r="U5182">
        <v>0.12814329999999999</v>
      </c>
      <c r="V5182">
        <v>-7.1630150000000004E-2</v>
      </c>
      <c r="W5182">
        <v>5.847723E-3</v>
      </c>
      <c r="X5182">
        <v>0.99741409999999997</v>
      </c>
      <c r="Y5182">
        <v>-7.2881559999999998E-2</v>
      </c>
      <c r="Z5182">
        <v>4.2553159999999899E-3</v>
      </c>
      <c r="AA5182">
        <v>0.99733150000000004</v>
      </c>
      <c r="AB5182">
        <v>15</v>
      </c>
      <c r="AC5182">
        <v>17.2685999999999</v>
      </c>
      <c r="AD5182">
        <v>-1.106188115885</v>
      </c>
      <c r="AE5182">
        <v>0.741729999999996</v>
      </c>
      <c r="AF5182">
        <v>-1.2612464169951101</v>
      </c>
      <c r="AG5182">
        <v>-1.106188115885</v>
      </c>
      <c r="AH5182">
        <v>17.1677493137033</v>
      </c>
      <c r="AI5182">
        <v>93.676822593214297</v>
      </c>
      <c r="AJ5182">
        <v>94.201745108301694</v>
      </c>
      <c r="AK5182">
        <v>17.249522056285201</v>
      </c>
    </row>
    <row r="5183" spans="1:37" x14ac:dyDescent="0.2">
      <c r="A5183" t="str">
        <f>"20200111160322262"</f>
        <v>20200111160322262</v>
      </c>
      <c r="B5183" t="str">
        <f>"1578729802258289"</f>
        <v>1578729802258289</v>
      </c>
      <c r="C5183" t="s">
        <v>37</v>
      </c>
      <c r="D5183">
        <v>4.5800349999999996</v>
      </c>
      <c r="E5183">
        <v>0.50098229999999999</v>
      </c>
      <c r="F5183" t="s">
        <v>93</v>
      </c>
      <c r="G5183">
        <v>-258.1001</v>
      </c>
      <c r="H5183" s="1">
        <v>-3.111409E-6</v>
      </c>
      <c r="I5183">
        <v>-62.865989999999996</v>
      </c>
      <c r="J5183">
        <v>-275.2987</v>
      </c>
      <c r="K5183">
        <v>1.10609</v>
      </c>
      <c r="L5183">
        <v>-63.610289999999999</v>
      </c>
      <c r="M5183">
        <v>0.99951460000000003</v>
      </c>
      <c r="N5183">
        <v>0</v>
      </c>
      <c r="O5183">
        <v>-2.7817580000000001E-2</v>
      </c>
      <c r="P5183">
        <v>0.99909340000000002</v>
      </c>
      <c r="Q5183">
        <v>-7.6333969999999897E-3</v>
      </c>
      <c r="R5183">
        <v>4.1884169999999998E-2</v>
      </c>
      <c r="S5183">
        <v>2.9957889999999998</v>
      </c>
      <c r="T5183">
        <v>-0.1917719</v>
      </c>
      <c r="U5183">
        <v>0.1291504</v>
      </c>
      <c r="V5183">
        <v>-6.9684679999999999E-2</v>
      </c>
      <c r="W5183">
        <v>6.12094599999999E-3</v>
      </c>
      <c r="X5183">
        <v>0.9975503</v>
      </c>
      <c r="Y5183">
        <v>-7.0647249999999995E-2</v>
      </c>
      <c r="Z5183">
        <v>4.0361779999999996E-3</v>
      </c>
      <c r="AA5183">
        <v>0.99749319999999897</v>
      </c>
      <c r="AB5183">
        <v>15</v>
      </c>
      <c r="AC5183">
        <v>17.198599999999999</v>
      </c>
      <c r="AD5183">
        <v>-1.106093111409</v>
      </c>
      <c r="AE5183">
        <v>0.74429999999999497</v>
      </c>
      <c r="AF5183">
        <v>-1.21745623508079</v>
      </c>
      <c r="AG5183">
        <v>-1.106093111409</v>
      </c>
      <c r="AH5183">
        <v>17.100637722430299</v>
      </c>
      <c r="AI5183">
        <v>93.691498226922405</v>
      </c>
      <c r="AJ5183">
        <v>94.072222935990297</v>
      </c>
      <c r="AK5183">
        <v>17.1795649586726</v>
      </c>
    </row>
    <row r="5184" spans="1:37" x14ac:dyDescent="0.2">
      <c r="A5184" t="str">
        <f>"20200111160322278"</f>
        <v>20200111160322278</v>
      </c>
      <c r="B5184" t="str">
        <f>"1578729802268049"</f>
        <v>1578729802268049</v>
      </c>
      <c r="C5184" t="s">
        <v>37</v>
      </c>
      <c r="D5184">
        <v>4.543844</v>
      </c>
      <c r="E5184">
        <v>0.50115600000000005</v>
      </c>
      <c r="F5184" t="s">
        <v>93</v>
      </c>
      <c r="G5184">
        <v>-258.30340000000001</v>
      </c>
      <c r="H5184" s="1">
        <v>-3.1825320000000001E-6</v>
      </c>
      <c r="I5184">
        <v>-62.880580000000002</v>
      </c>
      <c r="J5184">
        <v>-275.19409999999999</v>
      </c>
      <c r="K5184">
        <v>1.1059699999999999</v>
      </c>
      <c r="L5184">
        <v>-63.609380000000002</v>
      </c>
      <c r="M5184">
        <v>0.9995984</v>
      </c>
      <c r="N5184">
        <v>0</v>
      </c>
      <c r="O5184">
        <v>-2.4643749999999999E-2</v>
      </c>
      <c r="P5184">
        <v>0.99911849999999902</v>
      </c>
      <c r="Q5184">
        <v>-7.4869659999999899E-3</v>
      </c>
      <c r="R5184">
        <v>4.1308150000000002E-2</v>
      </c>
      <c r="S5184">
        <v>2.9958800000000001</v>
      </c>
      <c r="T5184">
        <v>-0.19497819999999999</v>
      </c>
      <c r="U5184">
        <v>0.12863160000000001</v>
      </c>
      <c r="V5184">
        <v>-6.5939670000000006E-2</v>
      </c>
      <c r="W5184">
        <v>6.2735300000000003E-3</v>
      </c>
      <c r="X5184">
        <v>0.99780389999999997</v>
      </c>
      <c r="Y5184">
        <v>-6.7312860000000002E-2</v>
      </c>
      <c r="Z5184">
        <v>3.7887979999999999E-3</v>
      </c>
      <c r="AA5184">
        <v>0.99772469999999902</v>
      </c>
      <c r="AB5184">
        <v>15</v>
      </c>
      <c r="AC5184">
        <v>16.890699999999899</v>
      </c>
      <c r="AD5184">
        <v>-1.1059731825320001</v>
      </c>
      <c r="AE5184">
        <v>0.728799999999999</v>
      </c>
      <c r="AF5184">
        <v>-1.1399910331547201</v>
      </c>
      <c r="AG5184">
        <v>-1.1059731825320001</v>
      </c>
      <c r="AH5184">
        <v>16.795730927550199</v>
      </c>
      <c r="AI5184">
        <v>93.758777263557405</v>
      </c>
      <c r="AJ5184">
        <v>93.882930126634605</v>
      </c>
      <c r="AK5184">
        <v>16.870664883958199</v>
      </c>
    </row>
    <row r="5185" spans="1:37" x14ac:dyDescent="0.2">
      <c r="A5185" t="str">
        <f>"20200111160322293"</f>
        <v>20200111160322293</v>
      </c>
      <c r="B5185" t="str">
        <f>"1578729802288544"</f>
        <v>1578729802288544</v>
      </c>
      <c r="C5185" t="s">
        <v>37</v>
      </c>
      <c r="D5185">
        <v>4.5507</v>
      </c>
      <c r="E5185">
        <v>0.50134630000000002</v>
      </c>
      <c r="F5185" t="s">
        <v>93</v>
      </c>
      <c r="G5185">
        <v>-258.4024</v>
      </c>
      <c r="H5185" s="1">
        <v>-3.2196099999999999E-6</v>
      </c>
      <c r="I5185">
        <v>-62.905880000000003</v>
      </c>
      <c r="J5185">
        <v>-275.09710000000001</v>
      </c>
      <c r="K5185">
        <v>1.1058589999999999</v>
      </c>
      <c r="L5185">
        <v>-63.608460000000001</v>
      </c>
      <c r="M5185">
        <v>0.99966369999999904</v>
      </c>
      <c r="N5185">
        <v>0</v>
      </c>
      <c r="O5185">
        <v>-2.1853049999999999E-2</v>
      </c>
      <c r="P5185">
        <v>0.99907029999999997</v>
      </c>
      <c r="Q5185">
        <v>-7.27070699999999E-3</v>
      </c>
      <c r="R5185">
        <v>4.249613E-2</v>
      </c>
      <c r="S5185">
        <v>2.9959720000000001</v>
      </c>
      <c r="T5185">
        <v>-0.197328</v>
      </c>
      <c r="U5185">
        <v>0.12551880000000001</v>
      </c>
      <c r="V5185">
        <v>-6.4339419999999994E-2</v>
      </c>
      <c r="W5185">
        <v>6.4876259999999998E-3</v>
      </c>
      <c r="X5185">
        <v>0.99790699999999999</v>
      </c>
      <c r="Y5185">
        <v>-6.3500509999999996E-2</v>
      </c>
      <c r="Z5185">
        <v>3.5254090000000002E-3</v>
      </c>
      <c r="AA5185">
        <v>0.99797559999999996</v>
      </c>
      <c r="AB5185">
        <v>15</v>
      </c>
      <c r="AC5185">
        <v>16.694700000000001</v>
      </c>
      <c r="AD5185">
        <v>-1.1058622196100001</v>
      </c>
      <c r="AE5185">
        <v>0.70257999999999698</v>
      </c>
      <c r="AF5185">
        <v>-1.0626235492471601</v>
      </c>
      <c r="AG5185">
        <v>-1.1058622196100001</v>
      </c>
      <c r="AH5185">
        <v>16.602637486411801</v>
      </c>
      <c r="AI5185">
        <v>93.802948463829097</v>
      </c>
      <c r="AJ5185">
        <v>93.662123747635903</v>
      </c>
      <c r="AK5185">
        <v>16.673322151310501</v>
      </c>
    </row>
    <row r="5186" spans="1:37" x14ac:dyDescent="0.2">
      <c r="A5186" t="str">
        <f>"20200111160322304"</f>
        <v>20200111160322304</v>
      </c>
      <c r="B5186" t="str">
        <f>"1578729802298306"</f>
        <v>1578729802298306</v>
      </c>
      <c r="C5186" t="s">
        <v>37</v>
      </c>
      <c r="D5186">
        <v>4.5902940000000001</v>
      </c>
      <c r="E5186">
        <v>0.50146009999999996</v>
      </c>
      <c r="F5186" t="s">
        <v>93</v>
      </c>
      <c r="G5186">
        <v>-258.57929999999999</v>
      </c>
      <c r="H5186" s="1">
        <v>-3.2795620000000001E-6</v>
      </c>
      <c r="I5186">
        <v>-62.904139999999998</v>
      </c>
      <c r="J5186">
        <v>-275.01920000000001</v>
      </c>
      <c r="K5186">
        <v>1.1057709999999901</v>
      </c>
      <c r="L5186">
        <v>-63.607640000000004</v>
      </c>
      <c r="M5186">
        <v>0.99970780000000004</v>
      </c>
      <c r="N5186">
        <v>0</v>
      </c>
      <c r="O5186">
        <v>-1.9747540000000001E-2</v>
      </c>
      <c r="P5186">
        <v>0.99905100000000002</v>
      </c>
      <c r="Q5186">
        <v>-7.8040569999999997E-3</v>
      </c>
      <c r="R5186">
        <v>4.2853699999999897E-2</v>
      </c>
      <c r="S5186">
        <v>2.995911</v>
      </c>
      <c r="T5186">
        <v>-0.200575</v>
      </c>
      <c r="U5186">
        <v>0.12774659999999999</v>
      </c>
      <c r="V5186">
        <v>-6.2591759999999996E-2</v>
      </c>
      <c r="W5186">
        <v>5.9535789999999996E-3</v>
      </c>
      <c r="X5186">
        <v>0.99802150000000001</v>
      </c>
      <c r="Y5186">
        <v>-6.2141809999999999E-2</v>
      </c>
      <c r="Z5186">
        <v>3.3971349999999999E-3</v>
      </c>
      <c r="AA5186">
        <v>0.99806149999999905</v>
      </c>
      <c r="AB5186">
        <v>15</v>
      </c>
      <c r="AC5186">
        <v>16.439900000000002</v>
      </c>
      <c r="AD5186">
        <v>-1.10577427956199</v>
      </c>
      <c r="AE5186">
        <v>0.70349999999999802</v>
      </c>
      <c r="AF5186">
        <v>-1.02342030589669</v>
      </c>
      <c r="AG5186">
        <v>-1.10577427956199</v>
      </c>
      <c r="AH5186">
        <v>16.348970229075999</v>
      </c>
      <c r="AI5186">
        <v>93.861811881239504</v>
      </c>
      <c r="AJ5186">
        <v>93.581953547117294</v>
      </c>
      <c r="AK5186">
        <v>16.4182506203028</v>
      </c>
    </row>
    <row r="5187" spans="1:37" x14ac:dyDescent="0.2">
      <c r="A5187" t="str">
        <f>"20200111160322314"</f>
        <v>20200111160322314</v>
      </c>
      <c r="B5187" t="str">
        <f>"1578729802308065"</f>
        <v>1578729802308065</v>
      </c>
      <c r="C5187" t="s">
        <v>37</v>
      </c>
      <c r="D5187">
        <v>4.5866899999999999</v>
      </c>
      <c r="E5187">
        <v>0.50163009999999997</v>
      </c>
      <c r="F5187" t="s">
        <v>93</v>
      </c>
      <c r="G5187">
        <v>-258.80709999999999</v>
      </c>
      <c r="H5187" s="1">
        <v>-3.3585929999999999E-6</v>
      </c>
      <c r="I5187">
        <v>-62.915329999999997</v>
      </c>
      <c r="J5187">
        <v>-274.95170000000002</v>
      </c>
      <c r="K5187">
        <v>1.105696</v>
      </c>
      <c r="L5187">
        <v>-63.606900000000003</v>
      </c>
      <c r="M5187">
        <v>0.99974099999999999</v>
      </c>
      <c r="N5187">
        <v>0</v>
      </c>
      <c r="O5187">
        <v>-1.8003189999999999E-2</v>
      </c>
      <c r="P5187">
        <v>0.99903039999999999</v>
      </c>
      <c r="Q5187">
        <v>-8.7213369999999991E-3</v>
      </c>
      <c r="R5187">
        <v>4.3157420000000002E-2</v>
      </c>
      <c r="S5187">
        <v>2.9957579999999999</v>
      </c>
      <c r="T5187">
        <v>-0.2043315</v>
      </c>
      <c r="U5187">
        <v>0.12792970000000001</v>
      </c>
      <c r="V5187">
        <v>-6.1150530000000002E-2</v>
      </c>
      <c r="W5187">
        <v>5.0361579999999998E-3</v>
      </c>
      <c r="X5187">
        <v>0.9981158</v>
      </c>
      <c r="Y5187">
        <v>-6.046435E-2</v>
      </c>
      <c r="Z5187">
        <v>3.28486599999999E-3</v>
      </c>
      <c r="AA5187">
        <v>0.99816499999999997</v>
      </c>
      <c r="AB5187">
        <v>15</v>
      </c>
      <c r="AC5187">
        <v>16.144600000000001</v>
      </c>
      <c r="AD5187">
        <v>-1.1056993585929999</v>
      </c>
      <c r="AE5187">
        <v>0.69156999999999802</v>
      </c>
      <c r="AF5187">
        <v>-0.97756349994748803</v>
      </c>
      <c r="AG5187">
        <v>-1.1056993585929999</v>
      </c>
      <c r="AH5187">
        <v>16.0543661048318</v>
      </c>
      <c r="AI5187">
        <v>93.9326034930654</v>
      </c>
      <c r="AJ5187">
        <v>93.484484721738696</v>
      </c>
      <c r="AK5187">
        <v>16.122061670146199</v>
      </c>
    </row>
    <row r="5188" spans="1:37" x14ac:dyDescent="0.2">
      <c r="A5188" t="str">
        <f>"20200111160322325"</f>
        <v>20200111160322325</v>
      </c>
      <c r="B5188" t="str">
        <f>"1578729802318801"</f>
        <v>1578729802318801</v>
      </c>
      <c r="C5188" t="s">
        <v>37</v>
      </c>
      <c r="D5188">
        <v>4.6189530000000003</v>
      </c>
      <c r="E5188">
        <v>0.50178509999999998</v>
      </c>
      <c r="F5188" t="s">
        <v>93</v>
      </c>
      <c r="G5188">
        <v>-259.09039999999999</v>
      </c>
      <c r="H5188" s="1">
        <v>-3.4572550000000002E-6</v>
      </c>
      <c r="I5188">
        <v>-62.932119999999998</v>
      </c>
      <c r="J5188">
        <v>-274.87810000000002</v>
      </c>
      <c r="K5188">
        <v>1.1056139999999901</v>
      </c>
      <c r="L5188">
        <v>-63.606050000000003</v>
      </c>
      <c r="M5188">
        <v>0.99977229999999995</v>
      </c>
      <c r="N5188">
        <v>0</v>
      </c>
      <c r="O5188">
        <v>-1.6178950000000001E-2</v>
      </c>
      <c r="P5188">
        <v>0.99900529999999998</v>
      </c>
      <c r="Q5188">
        <v>-9.6934900000000008E-3</v>
      </c>
      <c r="R5188">
        <v>4.3528259999999999E-2</v>
      </c>
      <c r="S5188">
        <v>2.9956049999999999</v>
      </c>
      <c r="T5188">
        <v>-0.20882629999999999</v>
      </c>
      <c r="U5188">
        <v>0.12744140000000001</v>
      </c>
      <c r="V5188">
        <v>-5.9696739999999998E-2</v>
      </c>
      <c r="W5188">
        <v>4.0624670000000002E-3</v>
      </c>
      <c r="X5188">
        <v>0.99820830000000005</v>
      </c>
      <c r="Y5188">
        <v>-5.8483760000000003E-2</v>
      </c>
      <c r="Z5188">
        <v>3.1612319999999999E-3</v>
      </c>
      <c r="AA5188">
        <v>0.99828329999999998</v>
      </c>
      <c r="AB5188">
        <v>15</v>
      </c>
      <c r="AC5188">
        <v>15.787699999999999</v>
      </c>
      <c r="AD5188">
        <v>-1.1056174572549999</v>
      </c>
      <c r="AE5188">
        <v>0.67393000000000503</v>
      </c>
      <c r="AF5188">
        <v>-0.92476787244467595</v>
      </c>
      <c r="AG5188">
        <v>-1.1056174572549999</v>
      </c>
      <c r="AH5188">
        <v>15.6978824341044</v>
      </c>
      <c r="AI5188">
        <v>94.021796207422696</v>
      </c>
      <c r="AJ5188">
        <v>93.371418389177506</v>
      </c>
      <c r="AK5188">
        <v>15.763917612530699</v>
      </c>
    </row>
    <row r="5189" spans="1:37" x14ac:dyDescent="0.2">
      <c r="A5189" t="str">
        <f>"20200111160322337"</f>
        <v>20200111160322337</v>
      </c>
      <c r="B5189" t="str">
        <f>"1578729802328560"</f>
        <v>1578729802328560</v>
      </c>
      <c r="C5189" t="s">
        <v>37</v>
      </c>
      <c r="D5189">
        <v>4.5792060000000001</v>
      </c>
      <c r="E5189">
        <v>0.501971099999999</v>
      </c>
      <c r="F5189" t="s">
        <v>93</v>
      </c>
      <c r="G5189">
        <v>-259.34809999999999</v>
      </c>
      <c r="H5189" s="1">
        <v>-3.5468270000000002E-6</v>
      </c>
      <c r="I5189">
        <v>-62.946249999999999</v>
      </c>
      <c r="J5189">
        <v>-274.80610000000001</v>
      </c>
      <c r="K5189">
        <v>1.1055299999999999</v>
      </c>
      <c r="L5189">
        <v>-63.605219999999903</v>
      </c>
      <c r="M5189">
        <v>0.99979819999999997</v>
      </c>
      <c r="N5189">
        <v>0</v>
      </c>
      <c r="O5189">
        <v>-1.450371E-2</v>
      </c>
      <c r="P5189">
        <v>0.99896790000000002</v>
      </c>
      <c r="Q5189">
        <v>-1.0989489999999999E-2</v>
      </c>
      <c r="R5189">
        <v>4.4072750000000001E-2</v>
      </c>
      <c r="S5189">
        <v>2.9953310000000002</v>
      </c>
      <c r="T5189">
        <v>-0.21324399999999999</v>
      </c>
      <c r="U5189">
        <v>0.12725829999999999</v>
      </c>
      <c r="V5189">
        <v>-5.8564599999999897E-2</v>
      </c>
      <c r="W5189">
        <v>2.7649999999999901E-3</v>
      </c>
      <c r="X5189">
        <v>0.99827980000000005</v>
      </c>
      <c r="Y5189">
        <v>-5.6754779999999998E-2</v>
      </c>
      <c r="Z5189">
        <v>3.0477209999999898E-3</v>
      </c>
      <c r="AA5189">
        <v>0.99838349999999898</v>
      </c>
      <c r="AB5189">
        <v>15</v>
      </c>
      <c r="AC5189">
        <v>15.458</v>
      </c>
      <c r="AD5189">
        <v>-1.105533546827</v>
      </c>
      <c r="AE5189">
        <v>0.65896999999999595</v>
      </c>
      <c r="AF5189">
        <v>-0.87863470601176497</v>
      </c>
      <c r="AG5189">
        <v>-1.105533546827</v>
      </c>
      <c r="AH5189">
        <v>15.3683503142581</v>
      </c>
      <c r="AI5189">
        <v>94.107841501192596</v>
      </c>
      <c r="AJ5189">
        <v>93.272135087436098</v>
      </c>
      <c r="AK5189">
        <v>15.4330941405644</v>
      </c>
    </row>
    <row r="5190" spans="1:37" x14ac:dyDescent="0.2">
      <c r="A5190" t="str">
        <f>"20200111160322349"</f>
        <v>20200111160322349</v>
      </c>
      <c r="B5190" t="str">
        <f>"1578729802338321"</f>
        <v>1578729802338321</v>
      </c>
      <c r="C5190" t="s">
        <v>37</v>
      </c>
      <c r="D5190">
        <v>4.6386900000000004</v>
      </c>
      <c r="E5190">
        <v>0.501971099999999</v>
      </c>
      <c r="F5190" t="s">
        <v>93</v>
      </c>
      <c r="G5190">
        <v>-259.6832</v>
      </c>
      <c r="H5190" s="1">
        <v>-3.6629889999999998E-6</v>
      </c>
      <c r="I5190">
        <v>-62.962209999999999</v>
      </c>
      <c r="J5190">
        <v>-274.7253</v>
      </c>
      <c r="K5190">
        <v>1.1054379999999999</v>
      </c>
      <c r="L5190">
        <v>-63.604219999999998</v>
      </c>
      <c r="M5190">
        <v>0.99982329999999997</v>
      </c>
      <c r="N5190">
        <v>0</v>
      </c>
      <c r="O5190">
        <v>-1.2681049999999999E-2</v>
      </c>
      <c r="P5190">
        <v>0.99890559999999995</v>
      </c>
      <c r="Q5190">
        <v>-1.2589650000000001E-2</v>
      </c>
      <c r="R5190">
        <v>4.5050279999999998E-2</v>
      </c>
      <c r="S5190">
        <v>2.9950869999999998</v>
      </c>
      <c r="T5190">
        <v>-0.21895029999999899</v>
      </c>
      <c r="U5190">
        <v>0.12734989999999999</v>
      </c>
      <c r="V5190">
        <v>-5.7717440000000002E-2</v>
      </c>
      <c r="W5190">
        <v>1.162354E-3</v>
      </c>
      <c r="X5190">
        <v>0.99833229999999995</v>
      </c>
      <c r="Y5190">
        <v>-5.4968389999999999E-2</v>
      </c>
      <c r="Z5190">
        <v>2.931108E-3</v>
      </c>
      <c r="AA5190">
        <v>0.99848379999999903</v>
      </c>
      <c r="AB5190">
        <v>15</v>
      </c>
      <c r="AC5190">
        <v>15.0421</v>
      </c>
      <c r="AD5190">
        <v>-1.10544166298899</v>
      </c>
      <c r="AE5190">
        <v>0.64200999999999897</v>
      </c>
      <c r="AF5190">
        <v>-0.82826125302280895</v>
      </c>
      <c r="AG5190">
        <v>-1.10544166298899</v>
      </c>
      <c r="AH5190">
        <v>14.952142057199801</v>
      </c>
      <c r="AI5190">
        <v>94.221849515492195</v>
      </c>
      <c r="AJ5190">
        <v>93.170610838145294</v>
      </c>
      <c r="AK5190">
        <v>15.015810669831099</v>
      </c>
    </row>
    <row r="5191" spans="1:37" x14ac:dyDescent="0.2">
      <c r="A5191" t="str">
        <f>"20200111160322359"</f>
        <v>20200111160322359</v>
      </c>
      <c r="B5191" t="str">
        <f>"1578729802348081"</f>
        <v>1578729802348081</v>
      </c>
      <c r="C5191" t="s">
        <v>37</v>
      </c>
      <c r="D5191">
        <v>4.5517580000000004</v>
      </c>
      <c r="E5191">
        <v>0.50726170000000004</v>
      </c>
      <c r="F5191" t="s">
        <v>93</v>
      </c>
      <c r="G5191">
        <v>-259.9298</v>
      </c>
      <c r="H5191" s="1">
        <v>-3.7468439999999998E-6</v>
      </c>
      <c r="I5191">
        <v>-62.961599999999997</v>
      </c>
      <c r="J5191">
        <v>-274.65469999999999</v>
      </c>
      <c r="K5191">
        <v>1.1053539999999999</v>
      </c>
      <c r="L5191">
        <v>-63.603359999999903</v>
      </c>
      <c r="M5191">
        <v>0.99984059999999897</v>
      </c>
      <c r="N5191">
        <v>0</v>
      </c>
      <c r="O5191">
        <v>-1.12462999999999E-2</v>
      </c>
      <c r="P5191">
        <v>0.99885829999999998</v>
      </c>
      <c r="Q5191">
        <v>-1.3647029999999999E-2</v>
      </c>
      <c r="R5191">
        <v>4.5780939999999999E-2</v>
      </c>
      <c r="S5191">
        <v>2.9945979999999999</v>
      </c>
      <c r="T5191">
        <v>-0.2237412</v>
      </c>
      <c r="U5191">
        <v>0.13006589999999901</v>
      </c>
      <c r="V5191">
        <v>-5.7012930000000003E-2</v>
      </c>
      <c r="W5191">
        <v>1.0329869999999999E-4</v>
      </c>
      <c r="X5191">
        <v>0.99837339999999997</v>
      </c>
      <c r="Y5191">
        <v>-5.4443859999999997E-2</v>
      </c>
      <c r="Z5191">
        <v>2.8689229999999998E-3</v>
      </c>
      <c r="AA5191">
        <v>0.99851270000000003</v>
      </c>
      <c r="AB5191">
        <v>15</v>
      </c>
      <c r="AC5191">
        <v>14.7248999999999</v>
      </c>
      <c r="AD5191">
        <v>-1.1053577468439999</v>
      </c>
      <c r="AE5191">
        <v>0.641759999999997</v>
      </c>
      <c r="AF5191">
        <v>-0.80282058269697398</v>
      </c>
      <c r="AG5191">
        <v>-1.1053577468439999</v>
      </c>
      <c r="AH5191">
        <v>14.634440405118999</v>
      </c>
      <c r="AI5191">
        <v>94.312960529054607</v>
      </c>
      <c r="AJ5191">
        <v>93.140001946730706</v>
      </c>
      <c r="AK5191">
        <v>14.698067308578</v>
      </c>
    </row>
    <row r="5192" spans="1:37" x14ac:dyDescent="0.2">
      <c r="A5192" t="str">
        <f>"20200111160322371"</f>
        <v>20200111160322371</v>
      </c>
      <c r="B5192" t="str">
        <f>"1578729802368578"</f>
        <v>1578729802368578</v>
      </c>
      <c r="C5192" t="s">
        <v>37</v>
      </c>
      <c r="D5192">
        <v>4.5492839999999903</v>
      </c>
      <c r="E5192">
        <v>0.50716190000000005</v>
      </c>
      <c r="F5192" t="s">
        <v>94</v>
      </c>
      <c r="G5192">
        <v>-262.23219999999998</v>
      </c>
      <c r="H5192" s="1">
        <v>-7.1806949999999996E-7</v>
      </c>
      <c r="I5192">
        <v>-63.221980000000002</v>
      </c>
      <c r="J5192">
        <v>-274.5804</v>
      </c>
      <c r="K5192">
        <v>1.10527</v>
      </c>
      <c r="L5192">
        <v>-63.602449999999997</v>
      </c>
      <c r="M5192">
        <v>0.99985639999999998</v>
      </c>
      <c r="N5192">
        <v>0</v>
      </c>
      <c r="O5192">
        <v>-9.7663290000000007E-3</v>
      </c>
      <c r="P5192">
        <v>0.99880259999999998</v>
      </c>
      <c r="Q5192">
        <v>-1.470868E-2</v>
      </c>
      <c r="R5192">
        <v>4.6660640000000003E-2</v>
      </c>
      <c r="S5192">
        <v>2.9955750000000001</v>
      </c>
      <c r="T5192">
        <v>-0.26654620000000001</v>
      </c>
      <c r="U5192">
        <v>9.1949459999999997E-2</v>
      </c>
      <c r="V5192">
        <v>-5.6412579999999997E-2</v>
      </c>
      <c r="W5192">
        <v>-9.6022130000000003E-4</v>
      </c>
      <c r="X5192">
        <v>0.99840709999999999</v>
      </c>
      <c r="Y5192">
        <v>-4.0244429999999998E-2</v>
      </c>
      <c r="Z5192">
        <v>2.6537229999999898E-3</v>
      </c>
      <c r="AA5192">
        <v>0.99918629999999997</v>
      </c>
      <c r="AB5192">
        <v>15</v>
      </c>
      <c r="AC5192">
        <v>12.3482</v>
      </c>
      <c r="AD5192">
        <v>-1.1052707180695001</v>
      </c>
      <c r="AE5192">
        <v>0.38046999999999498</v>
      </c>
      <c r="AF5192">
        <v>-0.497081264116362</v>
      </c>
      <c r="AG5192">
        <v>-1.1052707180695001</v>
      </c>
      <c r="AH5192">
        <v>12.245876389520999</v>
      </c>
      <c r="AI5192">
        <v>95.153125358022194</v>
      </c>
      <c r="AJ5192">
        <v>92.324458506202106</v>
      </c>
      <c r="AK5192">
        <v>12.305697935947601</v>
      </c>
    </row>
    <row r="5193" spans="1:37" x14ac:dyDescent="0.2">
      <c r="A5193" t="str">
        <f>"20200111160322382"</f>
        <v>20200111160322382</v>
      </c>
      <c r="B5193" t="str">
        <f>"1578729802378337"</f>
        <v>1578729802378337</v>
      </c>
      <c r="C5193" t="s">
        <v>37</v>
      </c>
      <c r="D5193">
        <v>4.7334490000000002</v>
      </c>
      <c r="E5193">
        <v>0.49396960000000001</v>
      </c>
      <c r="F5193" t="s">
        <v>94</v>
      </c>
      <c r="G5193">
        <v>-262.26740000000001</v>
      </c>
      <c r="H5193" s="1">
        <v>-7.3031999999999899E-7</v>
      </c>
      <c r="I5193">
        <v>-63.211209999999902</v>
      </c>
      <c r="J5193">
        <v>-274.50540000000001</v>
      </c>
      <c r="K5193">
        <v>1.105183</v>
      </c>
      <c r="L5193">
        <v>-63.601559999999999</v>
      </c>
      <c r="M5193">
        <v>0.9998688</v>
      </c>
      <c r="N5193">
        <v>0</v>
      </c>
      <c r="O5193">
        <v>-8.4183599999999997E-3</v>
      </c>
      <c r="P5193">
        <v>0.99873799999999902</v>
      </c>
      <c r="Q5193">
        <v>-1.534493E-2</v>
      </c>
      <c r="R5193">
        <v>4.7824310000000002E-2</v>
      </c>
      <c r="S5193">
        <v>2.995209</v>
      </c>
      <c r="T5193">
        <v>-0.26886450000000001</v>
      </c>
      <c r="U5193">
        <v>9.5153810000000005E-2</v>
      </c>
      <c r="V5193">
        <v>-5.622924E-2</v>
      </c>
      <c r="W5193">
        <v>-1.598293E-3</v>
      </c>
      <c r="X5193">
        <v>0.99841659999999899</v>
      </c>
      <c r="Y5193">
        <v>-3.9972059999999997E-2</v>
      </c>
      <c r="Z5193">
        <v>2.5440529999999901E-3</v>
      </c>
      <c r="AA5193">
        <v>0.99919749999999996</v>
      </c>
      <c r="AB5193">
        <v>15</v>
      </c>
      <c r="AC5193">
        <v>12.238</v>
      </c>
      <c r="AD5193">
        <v>-1.1051837303200001</v>
      </c>
      <c r="AE5193">
        <v>0.39035000000000503</v>
      </c>
      <c r="AF5193">
        <v>-0.48938283951064099</v>
      </c>
      <c r="AG5193">
        <v>-1.1051837303200001</v>
      </c>
      <c r="AH5193">
        <v>12.135410663625899</v>
      </c>
      <c r="AI5193">
        <v>95.199425365999602</v>
      </c>
      <c r="AJ5193">
        <v>92.309306791042403</v>
      </c>
      <c r="AK5193">
        <v>12.1954548343314</v>
      </c>
    </row>
    <row r="5194" spans="1:37" x14ac:dyDescent="0.2">
      <c r="A5194" t="str">
        <f>"20200111160322392"</f>
        <v>20200111160322392</v>
      </c>
      <c r="B5194" t="str">
        <f>"1578729802388097"</f>
        <v>1578729802388097</v>
      </c>
      <c r="C5194" t="s">
        <v>37</v>
      </c>
      <c r="D5194">
        <v>4.875991</v>
      </c>
      <c r="E5194">
        <v>0.48569109999999999</v>
      </c>
      <c r="F5194" t="s">
        <v>38</v>
      </c>
      <c r="G5194">
        <v>-261.39389999999997</v>
      </c>
      <c r="H5194" s="1">
        <v>-2.2306110000000001E-7</v>
      </c>
      <c r="I5194">
        <v>-62.713099999999997</v>
      </c>
      <c r="J5194">
        <v>-274.4393</v>
      </c>
      <c r="K5194">
        <v>1.10511</v>
      </c>
      <c r="L5194">
        <v>-63.600740000000002</v>
      </c>
      <c r="M5194">
        <v>0.99987789999999999</v>
      </c>
      <c r="N5194">
        <v>0</v>
      </c>
      <c r="O5194">
        <v>-7.2739579999999996E-3</v>
      </c>
      <c r="P5194">
        <v>0.99869089999999905</v>
      </c>
      <c r="Q5194">
        <v>-1.5673980000000001E-2</v>
      </c>
      <c r="R5194">
        <v>4.8692869999999999E-2</v>
      </c>
      <c r="S5194">
        <v>2.9902039999999999</v>
      </c>
      <c r="T5194">
        <v>-0.25204769999999999</v>
      </c>
      <c r="U5194">
        <v>0.20260619999999999</v>
      </c>
      <c r="V5194">
        <v>-5.5954499999999997E-2</v>
      </c>
      <c r="W5194">
        <v>-1.9284860000000001E-3</v>
      </c>
      <c r="X5194">
        <v>0.99843139999999997</v>
      </c>
      <c r="Y5194">
        <v>-7.4568930000000005E-2</v>
      </c>
      <c r="Z5194">
        <v>3.7450529999999999E-3</v>
      </c>
      <c r="AA5194">
        <v>0.99720880000000001</v>
      </c>
      <c r="AB5194">
        <v>15</v>
      </c>
      <c r="AC5194">
        <v>13.045400000000001</v>
      </c>
      <c r="AD5194">
        <v>-1.1051102230611001</v>
      </c>
      <c r="AE5194">
        <v>0.88764000000000398</v>
      </c>
      <c r="AF5194">
        <v>-0.975548780054315</v>
      </c>
      <c r="AG5194">
        <v>-1.1051102230611001</v>
      </c>
      <c r="AH5194">
        <v>12.946121326242</v>
      </c>
      <c r="AI5194">
        <v>94.865342186110894</v>
      </c>
      <c r="AJ5194">
        <v>94.309351770270894</v>
      </c>
      <c r="AK5194">
        <v>13.029774419427101</v>
      </c>
    </row>
    <row r="5195" spans="1:37" x14ac:dyDescent="0.2">
      <c r="A5195" t="str">
        <f>"20200111160322404"</f>
        <v>20200111160322404</v>
      </c>
      <c r="B5195" t="str">
        <f>"1578729802398833"</f>
        <v>1578729802398833</v>
      </c>
      <c r="C5195" t="s">
        <v>37</v>
      </c>
      <c r="D5195">
        <v>4.4527010000000002</v>
      </c>
      <c r="E5195">
        <v>0.481608799999999</v>
      </c>
      <c r="F5195" t="s">
        <v>94</v>
      </c>
      <c r="G5195">
        <v>-262.1198</v>
      </c>
      <c r="H5195" s="1">
        <v>-4.7212389999999998E-7</v>
      </c>
      <c r="I5195">
        <v>-62.478869999999901</v>
      </c>
      <c r="J5195">
        <v>-274.35739999999998</v>
      </c>
      <c r="K5195">
        <v>1.1050229999999901</v>
      </c>
      <c r="L5195">
        <v>-63.599789999999999</v>
      </c>
      <c r="M5195">
        <v>0.99988679999999996</v>
      </c>
      <c r="N5195">
        <v>0</v>
      </c>
      <c r="O5195">
        <v>-5.9704880000000004E-3</v>
      </c>
      <c r="P5195">
        <v>0.99863060000000003</v>
      </c>
      <c r="Q5195">
        <v>-1.5709509999999999E-2</v>
      </c>
      <c r="R5195">
        <v>4.990178E-2</v>
      </c>
      <c r="S5195">
        <v>2.98645</v>
      </c>
      <c r="T5195">
        <v>-0.2678952</v>
      </c>
      <c r="U5195">
        <v>0.27194209999999902</v>
      </c>
      <c r="V5195">
        <v>-5.5862139999999998E-2</v>
      </c>
      <c r="W5195">
        <v>-1.965512E-3</v>
      </c>
      <c r="X5195">
        <v>0.99843660000000001</v>
      </c>
      <c r="Y5195">
        <v>-9.6221310000000004E-2</v>
      </c>
      <c r="Z5195">
        <v>4.8317000000000004E-3</v>
      </c>
      <c r="AA5195">
        <v>0.99534820000000002</v>
      </c>
      <c r="AB5195">
        <v>15</v>
      </c>
      <c r="AC5195">
        <v>12.237599999999899</v>
      </c>
      <c r="AD5195">
        <v>-1.1050234721238901</v>
      </c>
      <c r="AE5195">
        <v>1.1209200000000099</v>
      </c>
      <c r="AF5195">
        <v>-1.1843946737839099</v>
      </c>
      <c r="AG5195">
        <v>-1.1050234721238901</v>
      </c>
      <c r="AH5195">
        <v>12.132587311021201</v>
      </c>
      <c r="AI5195">
        <v>95.179594959525502</v>
      </c>
      <c r="AJ5195">
        <v>95.575601545869603</v>
      </c>
      <c r="AK5195">
        <v>12.240242745827601</v>
      </c>
    </row>
    <row r="5196" spans="1:37" x14ac:dyDescent="0.2">
      <c r="A5196" t="str">
        <f>"20200111160322416"</f>
        <v>20200111160322416</v>
      </c>
      <c r="B5196" t="str">
        <f>"1578729802408593"</f>
        <v>1578729802408593</v>
      </c>
      <c r="C5196" t="s">
        <v>37</v>
      </c>
      <c r="D5196">
        <v>4.4303669999999897</v>
      </c>
      <c r="E5196">
        <v>0.47825200000000001</v>
      </c>
      <c r="F5196" t="s">
        <v>38</v>
      </c>
      <c r="G5196">
        <v>-262.72680000000003</v>
      </c>
      <c r="H5196" s="1">
        <v>-7.1046379999999999E-7</v>
      </c>
      <c r="I5196">
        <v>-62.395940000000003</v>
      </c>
      <c r="J5196">
        <v>-274.2817</v>
      </c>
      <c r="K5196">
        <v>1.104949</v>
      </c>
      <c r="L5196">
        <v>-63.598909999999997</v>
      </c>
      <c r="M5196">
        <v>0.99989300000000003</v>
      </c>
      <c r="N5196">
        <v>0</v>
      </c>
      <c r="O5196">
        <v>-4.86140599999999E-3</v>
      </c>
      <c r="P5196">
        <v>0.9985752</v>
      </c>
      <c r="Q5196">
        <v>-1.5208889999999999E-2</v>
      </c>
      <c r="R5196">
        <v>5.1152620000000003E-2</v>
      </c>
      <c r="S5196">
        <v>2.9842219999999999</v>
      </c>
      <c r="T5196">
        <v>-0.28352949999999999</v>
      </c>
      <c r="U5196">
        <v>0.30886839999999999</v>
      </c>
      <c r="V5196">
        <v>-5.6005499999999903E-2</v>
      </c>
      <c r="W5196">
        <v>-1.466375E-3</v>
      </c>
      <c r="X5196">
        <v>0.99842940000000002</v>
      </c>
      <c r="Y5196">
        <v>-0.10728559999999999</v>
      </c>
      <c r="Z5196">
        <v>5.5313649999999999E-3</v>
      </c>
      <c r="AA5196">
        <v>0.99421289999999996</v>
      </c>
      <c r="AB5196">
        <v>15</v>
      </c>
      <c r="AC5196">
        <v>11.5548999999999</v>
      </c>
      <c r="AD5196">
        <v>-1.1049497104638</v>
      </c>
      <c r="AE5196">
        <v>1.2029699999999901</v>
      </c>
      <c r="AF5196">
        <v>-1.2478458073133201</v>
      </c>
      <c r="AG5196">
        <v>-1.1049497104638</v>
      </c>
      <c r="AH5196">
        <v>11.4453764903073</v>
      </c>
      <c r="AI5196">
        <v>95.482025120784101</v>
      </c>
      <c r="AJ5196">
        <v>96.222164595396904</v>
      </c>
      <c r="AK5196">
        <v>11.5661002946699</v>
      </c>
    </row>
    <row r="5197" spans="1:37" x14ac:dyDescent="0.2">
      <c r="A5197" t="str">
        <f>"20200111160322426"</f>
        <v>20200111160322426</v>
      </c>
      <c r="B5197" t="str">
        <f>"1578729802418353"</f>
        <v>1578729802418353</v>
      </c>
      <c r="C5197" t="s">
        <v>37</v>
      </c>
      <c r="D5197">
        <v>4.4341080000000002</v>
      </c>
      <c r="E5197">
        <v>0.47553089999999998</v>
      </c>
      <c r="F5197" t="s">
        <v>38</v>
      </c>
      <c r="G5197">
        <v>-263.29149999999998</v>
      </c>
      <c r="H5197" s="1">
        <v>-9.3891749999999998E-7</v>
      </c>
      <c r="I5197">
        <v>-62.344090000000001</v>
      </c>
      <c r="J5197">
        <v>-274.21159999999998</v>
      </c>
      <c r="K5197">
        <v>1.104886</v>
      </c>
      <c r="L5197">
        <v>-63.598109999999998</v>
      </c>
      <c r="M5197">
        <v>0.99989740000000005</v>
      </c>
      <c r="N5197">
        <v>0</v>
      </c>
      <c r="O5197">
        <v>-3.8882229999999901E-3</v>
      </c>
      <c r="P5197">
        <v>0.9985328</v>
      </c>
      <c r="Q5197">
        <v>-1.468472E-2</v>
      </c>
      <c r="R5197">
        <v>5.2122080000000001E-2</v>
      </c>
      <c r="S5197">
        <v>2.9822690000000001</v>
      </c>
      <c r="T5197">
        <v>-0.29983530000000003</v>
      </c>
      <c r="U5197">
        <v>0.34048459999999903</v>
      </c>
      <c r="V5197">
        <v>-5.6004099999999897E-2</v>
      </c>
      <c r="W5197">
        <v>-9.4320750000000001E-4</v>
      </c>
      <c r="X5197">
        <v>0.99843009999999999</v>
      </c>
      <c r="Y5197">
        <v>-0.1166952</v>
      </c>
      <c r="Z5197">
        <v>6.2214150000000001E-3</v>
      </c>
      <c r="AA5197">
        <v>0.99314829999999998</v>
      </c>
      <c r="AB5197">
        <v>15</v>
      </c>
      <c r="AC5197">
        <v>10.9200999999999</v>
      </c>
      <c r="AD5197">
        <v>-1.1048869389175</v>
      </c>
      <c r="AE5197">
        <v>1.2540199999999899</v>
      </c>
      <c r="AF5197">
        <v>-1.2835058144776901</v>
      </c>
      <c r="AG5197">
        <v>-1.1048869389175</v>
      </c>
      <c r="AH5197">
        <v>10.8059578235657</v>
      </c>
      <c r="AI5197">
        <v>95.797613904843999</v>
      </c>
      <c r="AJ5197">
        <v>96.773719745379793</v>
      </c>
      <c r="AK5197">
        <v>10.9378648194366</v>
      </c>
    </row>
    <row r="5198" spans="1:37" x14ac:dyDescent="0.2">
      <c r="A5198" t="str">
        <f>"20200111160322437"</f>
        <v>20200111160322437</v>
      </c>
      <c r="B5198" t="str">
        <f>"1578729802428113"</f>
        <v>1578729802428113</v>
      </c>
      <c r="C5198" t="s">
        <v>37</v>
      </c>
      <c r="D5198">
        <v>4.3529210000000003</v>
      </c>
      <c r="E5198">
        <v>0.47339569999999997</v>
      </c>
      <c r="F5198" t="s">
        <v>38</v>
      </c>
      <c r="G5198">
        <v>-263.59440000000001</v>
      </c>
      <c r="H5198" s="1">
        <v>-1.0557159999999999E-6</v>
      </c>
      <c r="I5198">
        <v>-62.294619999999902</v>
      </c>
      <c r="J5198">
        <v>-274.14260000000002</v>
      </c>
      <c r="K5198">
        <v>1.1048199999999999</v>
      </c>
      <c r="L5198">
        <v>-63.597349999999999</v>
      </c>
      <c r="M5198">
        <v>0.99990040000000002</v>
      </c>
      <c r="N5198">
        <v>0</v>
      </c>
      <c r="O5198">
        <v>-3.0423949999999998E-3</v>
      </c>
      <c r="P5198">
        <v>0.99849209999999999</v>
      </c>
      <c r="Q5198">
        <v>-1.3990560000000001E-2</v>
      </c>
      <c r="R5198">
        <v>5.3082310000000001E-2</v>
      </c>
      <c r="S5198">
        <v>2.9807739999999998</v>
      </c>
      <c r="T5198">
        <v>-0.31019530000000001</v>
      </c>
      <c r="U5198">
        <v>0.36593629999999999</v>
      </c>
      <c r="V5198">
        <v>-5.6120280000000002E-2</v>
      </c>
      <c r="W5198">
        <v>-2.49920099999999E-4</v>
      </c>
      <c r="X5198">
        <v>0.99842399999999998</v>
      </c>
      <c r="Y5198">
        <v>-0.1241932</v>
      </c>
      <c r="Z5198">
        <v>6.7354210000000001E-3</v>
      </c>
      <c r="AA5198">
        <v>0.99223519999999898</v>
      </c>
      <c r="AB5198">
        <v>15</v>
      </c>
      <c r="AC5198">
        <v>10.5482</v>
      </c>
      <c r="AD5198">
        <v>-1.1048210557160001</v>
      </c>
      <c r="AE5198">
        <v>1.3027299999999999</v>
      </c>
      <c r="AF5198">
        <v>-1.3205493475466501</v>
      </c>
      <c r="AG5198">
        <v>-1.1048210557160001</v>
      </c>
      <c r="AH5198">
        <v>10.4314680539453</v>
      </c>
      <c r="AI5198">
        <v>95.9982713076366</v>
      </c>
      <c r="AJ5198">
        <v>97.214858605459895</v>
      </c>
      <c r="AK5198">
        <v>10.572606391280299</v>
      </c>
    </row>
    <row r="5199" spans="1:37" x14ac:dyDescent="0.2">
      <c r="A5199" t="str">
        <f>"20200111160322447"</f>
        <v>20200111160322447</v>
      </c>
      <c r="B5199" t="str">
        <f>"1578729802438849"</f>
        <v>1578729802438849</v>
      </c>
      <c r="C5199" t="s">
        <v>37</v>
      </c>
      <c r="D5199">
        <v>4.3413469999999998</v>
      </c>
      <c r="E5199">
        <v>0.47173679999999901</v>
      </c>
      <c r="F5199" t="s">
        <v>38</v>
      </c>
      <c r="G5199">
        <v>-263.80829999999997</v>
      </c>
      <c r="H5199" s="1">
        <v>-1.1372249999999999E-6</v>
      </c>
      <c r="I5199">
        <v>-62.256159999999902</v>
      </c>
      <c r="J5199">
        <v>-274.07499999999999</v>
      </c>
      <c r="K5199">
        <v>1.1047610000000001</v>
      </c>
      <c r="L5199">
        <v>-63.596649999999997</v>
      </c>
      <c r="M5199">
        <v>0.99990249999999903</v>
      </c>
      <c r="N5199">
        <v>0</v>
      </c>
      <c r="O5199">
        <v>-2.2396949999999999E-3</v>
      </c>
      <c r="P5199">
        <v>0.99844650000000001</v>
      </c>
      <c r="Q5199">
        <v>-1.3682990000000001E-2</v>
      </c>
      <c r="R5199">
        <v>5.4014659999999999E-2</v>
      </c>
      <c r="S5199">
        <v>2.979492</v>
      </c>
      <c r="T5199">
        <v>-0.31852940000000002</v>
      </c>
      <c r="U5199">
        <v>0.38665769999999999</v>
      </c>
      <c r="V5199">
        <v>-5.6250729999999999E-2</v>
      </c>
      <c r="W5199" s="1">
        <v>5.6897059999999998E-5</v>
      </c>
      <c r="X5199">
        <v>0.99841669999999905</v>
      </c>
      <c r="Y5199">
        <v>-0.130172699999999</v>
      </c>
      <c r="Z5199">
        <v>7.1475139999999998E-3</v>
      </c>
      <c r="AA5199">
        <v>0.99146559999999995</v>
      </c>
      <c r="AB5199">
        <v>15</v>
      </c>
      <c r="AC5199">
        <v>10.2667</v>
      </c>
      <c r="AD5199">
        <v>-1.1047621372250001</v>
      </c>
      <c r="AE5199">
        <v>1.34049</v>
      </c>
      <c r="AF5199">
        <v>-1.34813453478969</v>
      </c>
      <c r="AG5199">
        <v>-1.1047621372250001</v>
      </c>
      <c r="AH5199">
        <v>10.148134765947701</v>
      </c>
      <c r="AI5199">
        <v>96.159266014669399</v>
      </c>
      <c r="AJ5199">
        <v>97.567181809293103</v>
      </c>
      <c r="AK5199">
        <v>10.2967278944126</v>
      </c>
    </row>
    <row r="5200" spans="1:37" x14ac:dyDescent="0.2">
      <c r="A5200" t="str">
        <f>"20200111160322458"</f>
        <v>20200111160322458</v>
      </c>
      <c r="B5200" t="str">
        <f>"1578729802448609"</f>
        <v>1578729802448609</v>
      </c>
      <c r="C5200" t="s">
        <v>37</v>
      </c>
      <c r="D5200">
        <v>4.3325009999999997</v>
      </c>
      <c r="E5200">
        <v>0.47049769999999902</v>
      </c>
      <c r="F5200" t="s">
        <v>38</v>
      </c>
      <c r="G5200">
        <v>-263.97059999999999</v>
      </c>
      <c r="H5200" s="1">
        <v>-1.1993689999999899E-6</v>
      </c>
      <c r="I5200">
        <v>-62.227989999999998</v>
      </c>
      <c r="J5200">
        <v>-274.00689999999997</v>
      </c>
      <c r="K5200">
        <v>1.1047009999999999</v>
      </c>
      <c r="L5200">
        <v>-63.595950000000002</v>
      </c>
      <c r="M5200">
        <v>0.99990400000000002</v>
      </c>
      <c r="N5200">
        <v>0</v>
      </c>
      <c r="O5200">
        <v>-1.5558079999999899E-3</v>
      </c>
      <c r="P5200">
        <v>0.99840359999999995</v>
      </c>
      <c r="Q5200">
        <v>-1.3813779999999999E-2</v>
      </c>
      <c r="R5200">
        <v>5.4767320000000001E-2</v>
      </c>
      <c r="S5200">
        <v>2.97839399999999</v>
      </c>
      <c r="T5200">
        <v>-0.32564309999999902</v>
      </c>
      <c r="U5200">
        <v>0.40341189999999999</v>
      </c>
      <c r="V5200">
        <v>-5.6320710000000003E-2</v>
      </c>
      <c r="W5200" s="1">
        <v>-7.6266590000000005E-5</v>
      </c>
      <c r="X5200">
        <v>0.99841270000000004</v>
      </c>
      <c r="Y5200">
        <v>-0.13496329999999901</v>
      </c>
      <c r="Z5200">
        <v>7.491915E-3</v>
      </c>
      <c r="AA5200">
        <v>0.99082230000000004</v>
      </c>
      <c r="AB5200">
        <v>15</v>
      </c>
      <c r="AC5200">
        <v>10.036299999999899</v>
      </c>
      <c r="AD5200">
        <v>-1.1047021993689901</v>
      </c>
      <c r="AE5200">
        <v>1.3679599999999901</v>
      </c>
      <c r="AF5200">
        <v>-1.3673108016330699</v>
      </c>
      <c r="AG5200">
        <v>-1.1047021993689901</v>
      </c>
      <c r="AH5200">
        <v>9.9162102764449607</v>
      </c>
      <c r="AI5200">
        <v>96.2976489226035</v>
      </c>
      <c r="AJ5200">
        <v>97.850805167254194</v>
      </c>
      <c r="AK5200">
        <v>10.070805927244599</v>
      </c>
    </row>
    <row r="5201" spans="1:37" x14ac:dyDescent="0.2">
      <c r="A5201" t="str">
        <f>"20200111160322470"</f>
        <v>20200111160322470</v>
      </c>
      <c r="B5201" t="str">
        <f>"1578729802458368"</f>
        <v>1578729802458368</v>
      </c>
      <c r="C5201" t="s">
        <v>37</v>
      </c>
      <c r="D5201">
        <v>4.5072449999999904</v>
      </c>
      <c r="E5201">
        <v>0.46956619999999999</v>
      </c>
      <c r="F5201" t="s">
        <v>38</v>
      </c>
      <c r="G5201">
        <v>-264.14179999999999</v>
      </c>
      <c r="H5201" s="1">
        <v>-1.2698829999999899E-6</v>
      </c>
      <c r="I5201">
        <v>-62.216949999999997</v>
      </c>
      <c r="J5201">
        <v>-273.93349999999998</v>
      </c>
      <c r="K5201">
        <v>1.1046370000000001</v>
      </c>
      <c r="L5201">
        <v>-63.595209999999902</v>
      </c>
      <c r="M5201">
        <v>0.99990509999999999</v>
      </c>
      <c r="N5201">
        <v>0</v>
      </c>
      <c r="O5201">
        <v>-8.4229869999999905E-4</v>
      </c>
      <c r="P5201">
        <v>0.99835490000000005</v>
      </c>
      <c r="Q5201">
        <v>-1.4600989999999999E-2</v>
      </c>
      <c r="R5201">
        <v>5.5447789999999997E-2</v>
      </c>
      <c r="S5201">
        <v>2.977325</v>
      </c>
      <c r="T5201">
        <v>-0.33340439999999999</v>
      </c>
      <c r="U5201">
        <v>0.41616819999999999</v>
      </c>
      <c r="V5201">
        <v>-5.6289270000000002E-2</v>
      </c>
      <c r="W5201">
        <v>-8.6675039999999895E-4</v>
      </c>
      <c r="X5201">
        <v>0.99841409999999997</v>
      </c>
      <c r="Y5201">
        <v>-0.1384138</v>
      </c>
      <c r="Z5201">
        <v>7.7822880000000001E-3</v>
      </c>
      <c r="AA5201">
        <v>0.99034390000000005</v>
      </c>
      <c r="AB5201">
        <v>15</v>
      </c>
      <c r="AC5201">
        <v>9.7916999999999899</v>
      </c>
      <c r="AD5201">
        <v>-1.104638269883</v>
      </c>
      <c r="AE5201">
        <v>1.37825999999999</v>
      </c>
      <c r="AF5201">
        <v>-1.3694179271595299</v>
      </c>
      <c r="AG5201">
        <v>-1.104638269883</v>
      </c>
      <c r="AH5201">
        <v>9.6698587501848401</v>
      </c>
      <c r="AI5201">
        <v>96.453107472893294</v>
      </c>
      <c r="AJ5201">
        <v>98.060465392354899</v>
      </c>
      <c r="AK5201">
        <v>9.8286163530296804</v>
      </c>
    </row>
    <row r="5202" spans="1:37" x14ac:dyDescent="0.2">
      <c r="A5202" t="str">
        <f>"20200111160322480"</f>
        <v>20200111160322480</v>
      </c>
      <c r="B5202" t="str">
        <f>"1578729802468128"</f>
        <v>1578729802468128</v>
      </c>
      <c r="C5202" t="s">
        <v>37</v>
      </c>
      <c r="D5202">
        <v>4.4500190000000002</v>
      </c>
      <c r="E5202">
        <v>0.46848879999999998</v>
      </c>
      <c r="F5202" t="s">
        <v>38</v>
      </c>
      <c r="G5202">
        <v>-264.25689999999997</v>
      </c>
      <c r="H5202" s="1">
        <v>-1.3174279999999901E-6</v>
      </c>
      <c r="I5202">
        <v>-62.210059999999999</v>
      </c>
      <c r="J5202">
        <v>-273.86329999999998</v>
      </c>
      <c r="K5202">
        <v>1.1045739999999999</v>
      </c>
      <c r="L5202">
        <v>-63.594540000000002</v>
      </c>
      <c r="M5202">
        <v>0.99990579999999996</v>
      </c>
      <c r="N5202">
        <v>0</v>
      </c>
      <c r="O5202">
        <v>-2.92053499999999E-4</v>
      </c>
      <c r="P5202">
        <v>0.99830169999999996</v>
      </c>
      <c r="Q5202">
        <v>-1.534521E-2</v>
      </c>
      <c r="R5202">
        <v>5.620079E-2</v>
      </c>
      <c r="S5202">
        <v>2.976318</v>
      </c>
      <c r="T5202">
        <v>-0.33976450000000002</v>
      </c>
      <c r="U5202">
        <v>0.4260254</v>
      </c>
      <c r="V5202">
        <v>-5.6492979999999998E-2</v>
      </c>
      <c r="W5202">
        <v>-1.6299159999999999E-3</v>
      </c>
      <c r="X5202">
        <v>0.9984016</v>
      </c>
      <c r="Y5202">
        <v>-0.1410835</v>
      </c>
      <c r="Z5202">
        <v>8.0194540000000005E-3</v>
      </c>
      <c r="AA5202">
        <v>0.98996519999999999</v>
      </c>
      <c r="AB5202">
        <v>15</v>
      </c>
      <c r="AC5202">
        <v>9.6064000000000007</v>
      </c>
      <c r="AD5202">
        <v>-1.104575317428</v>
      </c>
      <c r="AE5202">
        <v>1.3844799999999999</v>
      </c>
      <c r="AF5202">
        <v>-1.3695472369889701</v>
      </c>
      <c r="AG5202">
        <v>-1.104575317428</v>
      </c>
      <c r="AH5202">
        <v>9.4831680056441598</v>
      </c>
      <c r="AI5202">
        <v>96.576112084765498</v>
      </c>
      <c r="AJ5202">
        <v>98.217766956678304</v>
      </c>
      <c r="AK5202">
        <v>9.6450101964429393</v>
      </c>
    </row>
    <row r="5203" spans="1:37" x14ac:dyDescent="0.2">
      <c r="A5203" t="str">
        <f>"20200111160322491"</f>
        <v>20200111160322491</v>
      </c>
      <c r="B5203" t="str">
        <f>"1578729802488625"</f>
        <v>1578729802488625</v>
      </c>
      <c r="C5203" t="s">
        <v>37</v>
      </c>
      <c r="D5203">
        <v>4.4344729999999997</v>
      </c>
      <c r="E5203">
        <v>0.4669604</v>
      </c>
      <c r="F5203" t="s">
        <v>38</v>
      </c>
      <c r="G5203">
        <v>-264.36219999999997</v>
      </c>
      <c r="H5203" s="1">
        <v>-1.359428E-6</v>
      </c>
      <c r="I5203">
        <v>-62.19811</v>
      </c>
      <c r="J5203">
        <v>-273.78919999999999</v>
      </c>
      <c r="K5203">
        <v>1.1045100000000001</v>
      </c>
      <c r="L5203">
        <v>-63.59393</v>
      </c>
      <c r="M5203">
        <v>0.99990619999999997</v>
      </c>
      <c r="N5203">
        <v>0</v>
      </c>
      <c r="O5203">
        <v>2.6274970000000002E-4</v>
      </c>
      <c r="P5203">
        <v>0.998270199999999</v>
      </c>
      <c r="Q5203">
        <v>-1.6055099999999999E-2</v>
      </c>
      <c r="R5203">
        <v>5.6561090000000001E-2</v>
      </c>
      <c r="S5203">
        <v>2.9751590000000001</v>
      </c>
      <c r="T5203">
        <v>-0.34588619999999998</v>
      </c>
      <c r="U5203">
        <v>0.43725589999999998</v>
      </c>
      <c r="V5203">
        <v>-5.6299139999999998E-2</v>
      </c>
      <c r="W5203">
        <v>-2.365944E-3</v>
      </c>
      <c r="X5203">
        <v>0.998411099999999</v>
      </c>
      <c r="Y5203">
        <v>-0.14419789999999999</v>
      </c>
      <c r="Z5203">
        <v>8.2794789999999993E-3</v>
      </c>
      <c r="AA5203">
        <v>0.98951420000000001</v>
      </c>
      <c r="AB5203">
        <v>15</v>
      </c>
      <c r="AC5203">
        <v>9.4270000000000191</v>
      </c>
      <c r="AD5203">
        <v>-1.1045113594280001</v>
      </c>
      <c r="AE5203">
        <v>1.3958200000000001</v>
      </c>
      <c r="AF5203">
        <v>-1.3748740139640701</v>
      </c>
      <c r="AG5203">
        <v>-1.1045113594280001</v>
      </c>
      <c r="AH5203">
        <v>9.3024066797148404</v>
      </c>
      <c r="AI5203">
        <v>96.699151134920797</v>
      </c>
      <c r="AJ5203">
        <v>98.407318260544898</v>
      </c>
      <c r="AK5203">
        <v>9.4681040304900801</v>
      </c>
    </row>
    <row r="5204" spans="1:37" x14ac:dyDescent="0.2">
      <c r="A5204" t="str">
        <f>"20200111160322503"</f>
        <v>20200111160322503</v>
      </c>
      <c r="B5204" t="str">
        <f>"1578729802498385"</f>
        <v>1578729802498385</v>
      </c>
      <c r="C5204" t="s">
        <v>37</v>
      </c>
      <c r="D5204">
        <v>4.3360989999999999</v>
      </c>
      <c r="E5204">
        <v>0.466373499999999</v>
      </c>
      <c r="F5204" t="s">
        <v>38</v>
      </c>
      <c r="G5204">
        <v>-264.52539999999999</v>
      </c>
      <c r="H5204" s="1">
        <v>-1.426898E-6</v>
      </c>
      <c r="I5204">
        <v>-62.188659999999999</v>
      </c>
      <c r="J5204">
        <v>-273.71010000000001</v>
      </c>
      <c r="K5204">
        <v>1.104444</v>
      </c>
      <c r="L5204">
        <v>-63.593290000000003</v>
      </c>
      <c r="M5204">
        <v>0.99990679999999998</v>
      </c>
      <c r="N5204">
        <v>0</v>
      </c>
      <c r="O5204">
        <v>7.5377699999999996E-4</v>
      </c>
      <c r="P5204">
        <v>0.99821990000000005</v>
      </c>
      <c r="Q5204">
        <v>-1.7024000000000001E-2</v>
      </c>
      <c r="R5204">
        <v>5.7163099999999897E-2</v>
      </c>
      <c r="S5204">
        <v>2.973938</v>
      </c>
      <c r="T5204">
        <v>-0.35457889999999997</v>
      </c>
      <c r="U5204">
        <v>0.45111079999999998</v>
      </c>
      <c r="V5204">
        <v>-5.6411799999999998E-2</v>
      </c>
      <c r="W5204">
        <v>-3.3878889999999998E-3</v>
      </c>
      <c r="X5204">
        <v>0.99840180000000001</v>
      </c>
      <c r="Y5204">
        <v>-0.14820620000000001</v>
      </c>
      <c r="Z5204">
        <v>8.6654369999999998E-3</v>
      </c>
      <c r="AA5204">
        <v>0.98891849999999903</v>
      </c>
      <c r="AB5204">
        <v>15</v>
      </c>
      <c r="AC5204">
        <v>9.1847000000000101</v>
      </c>
      <c r="AD5204">
        <v>-1.104445426898</v>
      </c>
      <c r="AE5204">
        <v>1.40463</v>
      </c>
      <c r="AF5204">
        <v>-1.3782323912668599</v>
      </c>
      <c r="AG5204">
        <v>-1.104445426898</v>
      </c>
      <c r="AH5204">
        <v>9.0577769302918192</v>
      </c>
      <c r="AI5204">
        <v>96.873604693415501</v>
      </c>
      <c r="AJ5204">
        <v>98.651769186301493</v>
      </c>
      <c r="AK5204">
        <v>9.2283610215606409</v>
      </c>
    </row>
    <row r="5205" spans="1:37" x14ac:dyDescent="0.2">
      <c r="A5205" t="str">
        <f>"20200111160322514"</f>
        <v>20200111160322514</v>
      </c>
      <c r="B5205" t="str">
        <f>"1578729802508145"</f>
        <v>1578729802508145</v>
      </c>
      <c r="C5205" t="s">
        <v>37</v>
      </c>
      <c r="D5205">
        <v>4.3210600000000001</v>
      </c>
      <c r="E5205">
        <v>0.4658002</v>
      </c>
      <c r="F5205" t="s">
        <v>38</v>
      </c>
      <c r="G5205">
        <v>-264.60860000000002</v>
      </c>
      <c r="H5205" s="1">
        <v>-1.463274E-6</v>
      </c>
      <c r="I5205">
        <v>-62.1911699999999</v>
      </c>
      <c r="J5205">
        <v>-273.64049999999997</v>
      </c>
      <c r="K5205">
        <v>1.1043879999999999</v>
      </c>
      <c r="L5205">
        <v>-63.592769999999902</v>
      </c>
      <c r="M5205">
        <v>0.9999074</v>
      </c>
      <c r="N5205">
        <v>0</v>
      </c>
      <c r="O5205">
        <v>1.13945E-3</v>
      </c>
      <c r="P5205">
        <v>0.99819310000000006</v>
      </c>
      <c r="Q5205">
        <v>-1.7950879999999999E-2</v>
      </c>
      <c r="R5205">
        <v>5.7347990000000001E-2</v>
      </c>
      <c r="S5205">
        <v>2.9729919999999899</v>
      </c>
      <c r="T5205">
        <v>-0.36076550000000002</v>
      </c>
      <c r="U5205">
        <v>0.45797729999999998</v>
      </c>
      <c r="V5205">
        <v>-5.621259E-2</v>
      </c>
      <c r="W5205">
        <v>-4.3793310000000002E-3</v>
      </c>
      <c r="X5205">
        <v>0.998409199999999</v>
      </c>
      <c r="Y5205">
        <v>-0.15005660000000001</v>
      </c>
      <c r="Z5205">
        <v>8.8816420000000004E-3</v>
      </c>
      <c r="AA5205">
        <v>0.98863749999999995</v>
      </c>
      <c r="AB5205">
        <v>15</v>
      </c>
      <c r="AC5205">
        <v>9.0318999999999399</v>
      </c>
      <c r="AD5205">
        <v>-1.1043894632739999</v>
      </c>
      <c r="AE5205">
        <v>1.4016</v>
      </c>
      <c r="AF5205">
        <v>-1.37128602715173</v>
      </c>
      <c r="AG5205">
        <v>-1.1043894632739999</v>
      </c>
      <c r="AH5205">
        <v>8.9035006036713096</v>
      </c>
      <c r="AI5205">
        <v>96.989266248344293</v>
      </c>
      <c r="AJ5205">
        <v>98.755696632756397</v>
      </c>
      <c r="AK5205">
        <v>9.07592554257843</v>
      </c>
    </row>
    <row r="5206" spans="1:37" x14ac:dyDescent="0.2">
      <c r="A5206" t="str">
        <f>"20200111160322524"</f>
        <v>20200111160322524</v>
      </c>
      <c r="B5206" t="str">
        <f>"1578729802518881"</f>
        <v>1578729802518881</v>
      </c>
      <c r="C5206" t="s">
        <v>37</v>
      </c>
      <c r="D5206">
        <v>4.3113529999999898</v>
      </c>
      <c r="E5206">
        <v>0.46541769999999999</v>
      </c>
      <c r="F5206" t="s">
        <v>94</v>
      </c>
      <c r="G5206">
        <v>-264.67360000000002</v>
      </c>
      <c r="H5206" s="1">
        <v>-1.4920619999999899E-6</v>
      </c>
      <c r="I5206">
        <v>-62.19455</v>
      </c>
      <c r="J5206">
        <v>-273.57029999999997</v>
      </c>
      <c r="K5206">
        <v>1.10433</v>
      </c>
      <c r="L5206">
        <v>-63.592289999999998</v>
      </c>
      <c r="M5206">
        <v>0.99990820000000002</v>
      </c>
      <c r="N5206">
        <v>0</v>
      </c>
      <c r="O5206">
        <v>1.4789129999999899E-3</v>
      </c>
      <c r="P5206">
        <v>0.99817369999999905</v>
      </c>
      <c r="Q5206">
        <v>-1.8465479999999999E-2</v>
      </c>
      <c r="R5206">
        <v>5.75214E-2</v>
      </c>
      <c r="S5206">
        <v>2.972229</v>
      </c>
      <c r="T5206">
        <v>-0.3660679</v>
      </c>
      <c r="U5206">
        <v>0.46343990000000002</v>
      </c>
      <c r="V5206">
        <v>-5.6047699999999999E-2</v>
      </c>
      <c r="W5206">
        <v>-4.9783420000000002E-3</v>
      </c>
      <c r="X5206">
        <v>0.99841569999999902</v>
      </c>
      <c r="Y5206">
        <v>-0.15149370000000001</v>
      </c>
      <c r="Z5206">
        <v>9.0584849999999998E-3</v>
      </c>
      <c r="AA5206">
        <v>0.98841669999999904</v>
      </c>
      <c r="AB5206">
        <v>15</v>
      </c>
      <c r="AC5206">
        <v>8.8966999999999494</v>
      </c>
      <c r="AD5206">
        <v>-1.104331492062</v>
      </c>
      <c r="AE5206">
        <v>1.39774</v>
      </c>
      <c r="AF5206">
        <v>-1.3640687850731299</v>
      </c>
      <c r="AG5206">
        <v>-1.104331492062</v>
      </c>
      <c r="AH5206">
        <v>8.7669321582553792</v>
      </c>
      <c r="AI5206">
        <v>97.094998764453194</v>
      </c>
      <c r="AJ5206">
        <v>98.843880617845301</v>
      </c>
      <c r="AK5206">
        <v>8.9408797756273994</v>
      </c>
    </row>
    <row r="5207" spans="1:37" x14ac:dyDescent="0.2">
      <c r="A5207" t="str">
        <f>"20200111160322535"</f>
        <v>20200111160322535</v>
      </c>
      <c r="B5207" t="str">
        <f>"1578729802528640"</f>
        <v>1578729802528640</v>
      </c>
      <c r="C5207" t="s">
        <v>37</v>
      </c>
      <c r="D5207">
        <v>4.4499649999999997</v>
      </c>
      <c r="E5207">
        <v>0.4651941</v>
      </c>
      <c r="F5207" t="s">
        <v>94</v>
      </c>
      <c r="G5207">
        <v>-264.6943</v>
      </c>
      <c r="H5207" s="1">
        <v>-1.501348E-6</v>
      </c>
      <c r="I5207">
        <v>-62.196129999999997</v>
      </c>
      <c r="J5207">
        <v>-273.50029999999998</v>
      </c>
      <c r="K5207">
        <v>1.1042780000000001</v>
      </c>
      <c r="L5207">
        <v>-63.591830000000002</v>
      </c>
      <c r="M5207">
        <v>0.99990919999999905</v>
      </c>
      <c r="N5207">
        <v>0</v>
      </c>
      <c r="O5207">
        <v>1.765087E-3</v>
      </c>
      <c r="P5207">
        <v>0.99815499999999902</v>
      </c>
      <c r="Q5207">
        <v>-1.845608E-2</v>
      </c>
      <c r="R5207">
        <v>5.7845279999999999E-2</v>
      </c>
      <c r="S5207">
        <v>2.9716800000000001</v>
      </c>
      <c r="T5207">
        <v>-0.36972870000000002</v>
      </c>
      <c r="U5207">
        <v>0.46740720000000002</v>
      </c>
      <c r="V5207">
        <v>-5.6086249999999997E-2</v>
      </c>
      <c r="W5207">
        <v>-5.0789049999999999E-3</v>
      </c>
      <c r="X5207">
        <v>0.998412999999999</v>
      </c>
      <c r="Y5207">
        <v>-0.15249879999999999</v>
      </c>
      <c r="Z5207">
        <v>9.1757839999999993E-3</v>
      </c>
      <c r="AA5207">
        <v>0.98826099999999995</v>
      </c>
      <c r="AB5207">
        <v>15</v>
      </c>
      <c r="AC5207">
        <v>8.8059999999999796</v>
      </c>
      <c r="AD5207">
        <v>-1.104279501348</v>
      </c>
      <c r="AE5207">
        <v>1.3956999999999899</v>
      </c>
      <c r="AF5207">
        <v>-1.35930137889594</v>
      </c>
      <c r="AG5207">
        <v>-1.104279501348</v>
      </c>
      <c r="AH5207">
        <v>8.6753697321821708</v>
      </c>
      <c r="AI5207">
        <v>97.167590957239099</v>
      </c>
      <c r="AJ5207">
        <v>98.904994125656103</v>
      </c>
      <c r="AK5207">
        <v>8.8503770228068994</v>
      </c>
    </row>
    <row r="5208" spans="1:37" x14ac:dyDescent="0.2">
      <c r="A5208" t="str">
        <f>"20200111160322547"</f>
        <v>20200111160322547</v>
      </c>
      <c r="B5208" t="str">
        <f>"1578729802538401"</f>
        <v>1578729802538401</v>
      </c>
      <c r="C5208" t="s">
        <v>37</v>
      </c>
      <c r="D5208">
        <v>4.3055649999999996</v>
      </c>
      <c r="E5208">
        <v>0.464705599999999</v>
      </c>
      <c r="F5208" t="s">
        <v>38</v>
      </c>
      <c r="G5208">
        <v>-264.62670000000003</v>
      </c>
      <c r="H5208" s="1">
        <v>-1.4698849999999999E-6</v>
      </c>
      <c r="I5208">
        <v>-62.18674</v>
      </c>
      <c r="J5208">
        <v>-273.4248</v>
      </c>
      <c r="K5208">
        <v>1.1042239999999901</v>
      </c>
      <c r="L5208">
        <v>-63.591369999999998</v>
      </c>
      <c r="M5208">
        <v>0.99991059999999998</v>
      </c>
      <c r="N5208">
        <v>0</v>
      </c>
      <c r="O5208">
        <v>2.0383150000000002E-3</v>
      </c>
      <c r="P5208">
        <v>0.99814449999999999</v>
      </c>
      <c r="Q5208">
        <v>-1.811432E-2</v>
      </c>
      <c r="R5208">
        <v>5.813509E-2</v>
      </c>
      <c r="S5208">
        <v>2.9714360000000002</v>
      </c>
      <c r="T5208">
        <v>-0.36978329999999998</v>
      </c>
      <c r="U5208">
        <v>0.4704895</v>
      </c>
      <c r="V5208">
        <v>-5.610391E-2</v>
      </c>
      <c r="W5208">
        <v>-4.8736439999999999E-3</v>
      </c>
      <c r="X5208">
        <v>0.998412999999999</v>
      </c>
      <c r="Y5208">
        <v>-0.1532377</v>
      </c>
      <c r="Z5208">
        <v>9.1889940000000007E-3</v>
      </c>
      <c r="AA5208">
        <v>0.98814669999999905</v>
      </c>
      <c r="AB5208">
        <v>15</v>
      </c>
      <c r="AC5208">
        <v>8.7980999999999696</v>
      </c>
      <c r="AD5208">
        <v>-1.10422546988499</v>
      </c>
      <c r="AE5208">
        <v>1.4046299999999901</v>
      </c>
      <c r="AF5208">
        <v>-1.36571409053922</v>
      </c>
      <c r="AG5208">
        <v>-1.10422546988499</v>
      </c>
      <c r="AH5208">
        <v>8.6678027912992697</v>
      </c>
      <c r="AI5208">
        <v>97.172481573900001</v>
      </c>
      <c r="AJ5208">
        <v>98.954010443255697</v>
      </c>
      <c r="AK5208">
        <v>8.8439410951394102</v>
      </c>
    </row>
    <row r="5209" spans="1:37" x14ac:dyDescent="0.2">
      <c r="A5209" t="str">
        <f>"20200111160322557"</f>
        <v>20200111160322557</v>
      </c>
      <c r="B5209" t="str">
        <f>"1578729802548161"</f>
        <v>1578729802548161</v>
      </c>
      <c r="C5209" t="s">
        <v>37</v>
      </c>
      <c r="D5209">
        <v>4.2928790000000001</v>
      </c>
      <c r="E5209">
        <v>0.4643968</v>
      </c>
      <c r="F5209" t="s">
        <v>38</v>
      </c>
      <c r="G5209">
        <v>-264.56599999999997</v>
      </c>
      <c r="H5209" s="1">
        <v>-1.4402059999999999E-6</v>
      </c>
      <c r="I5209">
        <v>-62.173180000000002</v>
      </c>
      <c r="J5209">
        <v>-273.35199999999998</v>
      </c>
      <c r="K5209">
        <v>1.104179</v>
      </c>
      <c r="L5209">
        <v>-63.591000000000001</v>
      </c>
      <c r="M5209">
        <v>0.99991240000000003</v>
      </c>
      <c r="N5209">
        <v>0</v>
      </c>
      <c r="O5209">
        <v>2.2414470000000001E-3</v>
      </c>
      <c r="P5209">
        <v>0.99814619999999998</v>
      </c>
      <c r="Q5209">
        <v>-1.7301739999999999E-2</v>
      </c>
      <c r="R5209">
        <v>5.8356020000000002E-2</v>
      </c>
      <c r="S5209">
        <v>2.97113</v>
      </c>
      <c r="T5209">
        <v>-0.3703419</v>
      </c>
      <c r="U5209">
        <v>0.4756165</v>
      </c>
      <c r="V5209">
        <v>-5.6121690000000002E-2</v>
      </c>
      <c r="W5209">
        <v>-4.2269500000000002E-3</v>
      </c>
      <c r="X5209">
        <v>0.99841499999999905</v>
      </c>
      <c r="Y5209">
        <v>-0.1547027</v>
      </c>
      <c r="Z5209">
        <v>9.2677869999999996E-3</v>
      </c>
      <c r="AA5209">
        <v>0.98791759999999995</v>
      </c>
      <c r="AB5209">
        <v>15</v>
      </c>
      <c r="AC5209">
        <v>8.7860000000000493</v>
      </c>
      <c r="AD5209">
        <v>-1.104180440206</v>
      </c>
      <c r="AE5209">
        <v>1.4178199999999901</v>
      </c>
      <c r="AF5209">
        <v>-1.37692591642202</v>
      </c>
      <c r="AG5209">
        <v>-1.104180440206</v>
      </c>
      <c r="AH5209">
        <v>8.6559127350514302</v>
      </c>
      <c r="AI5209">
        <v>97.180282161602804</v>
      </c>
      <c r="AJ5209">
        <v>99.038507257107597</v>
      </c>
      <c r="AK5209">
        <v>8.8340231322242797</v>
      </c>
    </row>
    <row r="5210" spans="1:37" x14ac:dyDescent="0.2">
      <c r="A5210" t="str">
        <f>"20200111160322569"</f>
        <v>20200111160322569</v>
      </c>
      <c r="B5210" t="str">
        <f>"1578729802558897"</f>
        <v>1578729802558897</v>
      </c>
      <c r="C5210" t="s">
        <v>37</v>
      </c>
      <c r="D5210">
        <v>4.3302170000000002</v>
      </c>
      <c r="E5210">
        <v>0.464176599999999</v>
      </c>
      <c r="F5210" t="s">
        <v>38</v>
      </c>
      <c r="G5210">
        <v>-264.48219999999998</v>
      </c>
      <c r="H5210" s="1">
        <v>-1.4009499999999999E-6</v>
      </c>
      <c r="I5210">
        <v>-62.1607699999999</v>
      </c>
      <c r="J5210">
        <v>-273.27690000000001</v>
      </c>
      <c r="K5210">
        <v>1.1041430000000001</v>
      </c>
      <c r="L5210">
        <v>-63.590609999999998</v>
      </c>
      <c r="M5210">
        <v>0.99991430000000003</v>
      </c>
      <c r="N5210">
        <v>0</v>
      </c>
      <c r="O5210">
        <v>2.435403E-3</v>
      </c>
      <c r="P5210">
        <v>0.99814799999999904</v>
      </c>
      <c r="Q5210">
        <v>-1.6271000000000001E-2</v>
      </c>
      <c r="R5210">
        <v>5.8619270000000001E-2</v>
      </c>
      <c r="S5210">
        <v>2.9711609999999999</v>
      </c>
      <c r="T5210">
        <v>-0.36987019999999998</v>
      </c>
      <c r="U5210">
        <v>0.47906490000000002</v>
      </c>
      <c r="V5210">
        <v>-5.619043E-2</v>
      </c>
      <c r="W5210">
        <v>-3.3767659999999998E-3</v>
      </c>
      <c r="X5210">
        <v>0.99841429999999998</v>
      </c>
      <c r="Y5210">
        <v>-0.15562490000000001</v>
      </c>
      <c r="Z5210">
        <v>9.2880629999999992E-3</v>
      </c>
      <c r="AA5210">
        <v>0.98777250000000005</v>
      </c>
      <c r="AB5210">
        <v>15</v>
      </c>
      <c r="AC5210">
        <v>8.7947000000000308</v>
      </c>
      <c r="AD5210">
        <v>-1.1041444009500001</v>
      </c>
      <c r="AE5210">
        <v>1.42984</v>
      </c>
      <c r="AF5210">
        <v>-1.3871147486380599</v>
      </c>
      <c r="AG5210">
        <v>-1.1041444009500001</v>
      </c>
      <c r="AH5210">
        <v>8.6650948347754202</v>
      </c>
      <c r="AI5210">
        <v>97.171408599253198</v>
      </c>
      <c r="AJ5210">
        <v>99.094787166056193</v>
      </c>
      <c r="AK5210">
        <v>8.8446080003406706</v>
      </c>
    </row>
    <row r="5211" spans="1:37" x14ac:dyDescent="0.2">
      <c r="A5211" t="str">
        <f>"20200111160322580"</f>
        <v>20200111160322580</v>
      </c>
      <c r="B5211" t="str">
        <f>"1578729802568657"</f>
        <v>1578729802568657</v>
      </c>
      <c r="C5211" t="s">
        <v>37</v>
      </c>
      <c r="D5211">
        <v>4.3443750000000003</v>
      </c>
      <c r="E5211">
        <v>0.46387349999999999</v>
      </c>
      <c r="F5211" t="s">
        <v>38</v>
      </c>
      <c r="G5211">
        <v>-264.36610000000002</v>
      </c>
      <c r="H5211" s="1">
        <v>-1.347224E-6</v>
      </c>
      <c r="I5211">
        <v>-62.145959999999903</v>
      </c>
      <c r="J5211">
        <v>-273.20580000000001</v>
      </c>
      <c r="K5211">
        <v>1.1041069999999999</v>
      </c>
      <c r="L5211">
        <v>-63.590299999999999</v>
      </c>
      <c r="M5211">
        <v>0.99991669999999999</v>
      </c>
      <c r="N5211">
        <v>0</v>
      </c>
      <c r="O5211">
        <v>2.5624060000000001E-3</v>
      </c>
      <c r="P5211">
        <v>0.99815509999999996</v>
      </c>
      <c r="Q5211">
        <v>-1.490941E-2</v>
      </c>
      <c r="R5211">
        <v>5.8858899999999999E-2</v>
      </c>
      <c r="S5211">
        <v>2.9712830000000001</v>
      </c>
      <c r="T5211">
        <v>-0.36817259999999902</v>
      </c>
      <c r="U5211">
        <v>0.48168949999999999</v>
      </c>
      <c r="V5211">
        <v>-5.6302970000000001E-2</v>
      </c>
      <c r="W5211">
        <v>-2.2244769999999999E-3</v>
      </c>
      <c r="X5211">
        <v>0.99841119999999905</v>
      </c>
      <c r="Y5211">
        <v>-0.15634970000000001</v>
      </c>
      <c r="Z5211">
        <v>9.2736079999999992E-3</v>
      </c>
      <c r="AA5211">
        <v>0.98765829999999999</v>
      </c>
      <c r="AB5211">
        <v>15</v>
      </c>
      <c r="AC5211">
        <v>8.8396999999999899</v>
      </c>
      <c r="AD5211">
        <v>-1.1041083472239901</v>
      </c>
      <c r="AE5211">
        <v>1.44434</v>
      </c>
      <c r="AF5211">
        <v>-1.40040315886957</v>
      </c>
      <c r="AG5211">
        <v>-1.1041083472239901</v>
      </c>
      <c r="AH5211">
        <v>8.7110068911912908</v>
      </c>
      <c r="AI5211">
        <v>97.1330182732368</v>
      </c>
      <c r="AJ5211">
        <v>99.132868826928203</v>
      </c>
      <c r="AK5211">
        <v>8.8916716824320403</v>
      </c>
    </row>
    <row r="5212" spans="1:37" x14ac:dyDescent="0.2">
      <c r="A5212" t="str">
        <f>"20200111160322592"</f>
        <v>20200111160322592</v>
      </c>
      <c r="B5212" t="str">
        <f>"1578729802588177"</f>
        <v>1578729802588177</v>
      </c>
      <c r="C5212" t="s">
        <v>37</v>
      </c>
      <c r="D5212">
        <v>4.3319720000000004</v>
      </c>
      <c r="E5212">
        <v>0.46363989999999999</v>
      </c>
      <c r="F5212" t="s">
        <v>38</v>
      </c>
      <c r="G5212">
        <v>-264.20760000000001</v>
      </c>
      <c r="H5212" s="1">
        <v>-1.272758E-6</v>
      </c>
      <c r="I5212">
        <v>-62.121769999999998</v>
      </c>
      <c r="J5212">
        <v>-273.13130000000001</v>
      </c>
      <c r="K5212">
        <v>1.104068</v>
      </c>
      <c r="L5212">
        <v>-63.589939999999999</v>
      </c>
      <c r="M5212">
        <v>0.99991909999999895</v>
      </c>
      <c r="N5212">
        <v>0</v>
      </c>
      <c r="O5212">
        <v>2.68642599999999E-3</v>
      </c>
      <c r="P5212">
        <v>0.99817099999999903</v>
      </c>
      <c r="Q5212">
        <v>-1.324172E-2</v>
      </c>
      <c r="R5212">
        <v>5.898983E-2</v>
      </c>
      <c r="S5212">
        <v>2.9714659999999999</v>
      </c>
      <c r="T5212">
        <v>-0.36460540000000002</v>
      </c>
      <c r="U5212">
        <v>0.48492429999999997</v>
      </c>
      <c r="V5212">
        <v>-5.6308799999999999E-2</v>
      </c>
      <c r="W5212">
        <v>-7.8227009999999998E-4</v>
      </c>
      <c r="X5212">
        <v>0.99841309999999905</v>
      </c>
      <c r="Y5212">
        <v>-0.15728149999999999</v>
      </c>
      <c r="Z5212">
        <v>9.2246009999999903E-3</v>
      </c>
      <c r="AA5212">
        <v>0.98751069999999996</v>
      </c>
      <c r="AB5212">
        <v>15</v>
      </c>
      <c r="AC5212">
        <v>8.9236999999999895</v>
      </c>
      <c r="AD5212">
        <v>-1.1040692727579999</v>
      </c>
      <c r="AE5212">
        <v>1.46817</v>
      </c>
      <c r="AF5212">
        <v>-1.42298184238812</v>
      </c>
      <c r="AG5212">
        <v>-1.1040692727579999</v>
      </c>
      <c r="AH5212">
        <v>8.7965089067800797</v>
      </c>
      <c r="AI5212">
        <v>97.063038215278794</v>
      </c>
      <c r="AJ5212">
        <v>99.188945038147807</v>
      </c>
      <c r="AK5212">
        <v>8.9789985649779496</v>
      </c>
    </row>
    <row r="5213" spans="1:37" x14ac:dyDescent="0.2">
      <c r="A5213" t="str">
        <f>"20200111160322601"</f>
        <v>20200111160322601</v>
      </c>
      <c r="B5213" t="str">
        <f>"1578729802598914"</f>
        <v>1578729802598914</v>
      </c>
      <c r="C5213" t="s">
        <v>37</v>
      </c>
      <c r="D5213">
        <v>4.3013719999999998</v>
      </c>
      <c r="E5213">
        <v>0.46355190000000002</v>
      </c>
      <c r="F5213" t="s">
        <v>38</v>
      </c>
      <c r="G5213">
        <v>-264.01510000000002</v>
      </c>
      <c r="H5213" s="1">
        <v>-1.18317E-6</v>
      </c>
      <c r="I5213">
        <v>-62.09534</v>
      </c>
      <c r="J5213">
        <v>-273.05790000000002</v>
      </c>
      <c r="K5213">
        <v>1.104039</v>
      </c>
      <c r="L5213">
        <v>-63.589689999999997</v>
      </c>
      <c r="M5213">
        <v>0.99992179999999997</v>
      </c>
      <c r="N5213">
        <v>0</v>
      </c>
      <c r="O5213">
        <v>2.77580599999999E-3</v>
      </c>
      <c r="P5213">
        <v>0.9981641</v>
      </c>
      <c r="Q5213">
        <v>-1.245361E-2</v>
      </c>
      <c r="R5213">
        <v>5.9274800000000002E-2</v>
      </c>
      <c r="S5213">
        <v>2.9718930000000001</v>
      </c>
      <c r="T5213">
        <v>-0.35992579999999902</v>
      </c>
      <c r="U5213">
        <v>0.48721309999999901</v>
      </c>
      <c r="V5213">
        <v>-5.650401E-2</v>
      </c>
      <c r="W5213">
        <v>-2.4045689999999901E-4</v>
      </c>
      <c r="X5213">
        <v>0.99840239999999902</v>
      </c>
      <c r="Y5213">
        <v>-0.15793660000000001</v>
      </c>
      <c r="Z5213">
        <v>9.1337629999999996E-3</v>
      </c>
      <c r="AA5213">
        <v>0.98740699999999904</v>
      </c>
      <c r="AB5213">
        <v>15</v>
      </c>
      <c r="AC5213">
        <v>9.0427999999999997</v>
      </c>
      <c r="AD5213">
        <v>-1.10404018317</v>
      </c>
      <c r="AE5213">
        <v>1.4943500000000001</v>
      </c>
      <c r="AF5213">
        <v>-1.4482277460225399</v>
      </c>
      <c r="AG5213">
        <v>-1.10404018317</v>
      </c>
      <c r="AH5213">
        <v>8.9175215669275296</v>
      </c>
      <c r="AI5213">
        <v>96.967265362697901</v>
      </c>
      <c r="AJ5213">
        <v>99.224443225827798</v>
      </c>
      <c r="AK5213">
        <v>9.1015635594672002</v>
      </c>
    </row>
    <row r="5214" spans="1:37" x14ac:dyDescent="0.2">
      <c r="A5214" t="str">
        <f>"20200111160322612"</f>
        <v>20200111160322612</v>
      </c>
      <c r="B5214" t="str">
        <f>"1578729802608673"</f>
        <v>1578729802608673</v>
      </c>
      <c r="C5214" t="s">
        <v>37</v>
      </c>
      <c r="D5214">
        <v>4.3359860000000001</v>
      </c>
      <c r="E5214">
        <v>0.46350399999999897</v>
      </c>
      <c r="F5214" t="s">
        <v>38</v>
      </c>
      <c r="G5214">
        <v>-263.87349999999998</v>
      </c>
      <c r="H5214" s="1">
        <v>-1.1177450000000001E-6</v>
      </c>
      <c r="I5214">
        <v>-62.077769999999902</v>
      </c>
      <c r="J5214">
        <v>-272.99349999999998</v>
      </c>
      <c r="K5214">
        <v>1.1040080000000001</v>
      </c>
      <c r="L5214">
        <v>-63.589419999999997</v>
      </c>
      <c r="M5214">
        <v>0.99992429999999999</v>
      </c>
      <c r="N5214">
        <v>0</v>
      </c>
      <c r="O5214">
        <v>2.8472509999999999E-3</v>
      </c>
      <c r="P5214">
        <v>0.99816859999999996</v>
      </c>
      <c r="Q5214">
        <v>-1.149096E-2</v>
      </c>
      <c r="R5214">
        <v>5.9389949999999997E-2</v>
      </c>
      <c r="S5214">
        <v>2.9720149999999999</v>
      </c>
      <c r="T5214">
        <v>-0.35726049999999998</v>
      </c>
      <c r="U5214">
        <v>0.48922729999999998</v>
      </c>
      <c r="V5214">
        <v>-5.654733E-2</v>
      </c>
      <c r="W5214">
        <v>5.0145810000000002E-4</v>
      </c>
      <c r="X5214">
        <v>0.99839979999999995</v>
      </c>
      <c r="Y5214">
        <v>-0.158524</v>
      </c>
      <c r="Z5214">
        <v>9.0921969999999998E-3</v>
      </c>
      <c r="AA5214">
        <v>0.98731329999999995</v>
      </c>
      <c r="AB5214">
        <v>15</v>
      </c>
      <c r="AC5214">
        <v>9.1199999999999992</v>
      </c>
      <c r="AD5214">
        <v>-1.104009117745</v>
      </c>
      <c r="AE5214">
        <v>1.5116499999999999</v>
      </c>
      <c r="AF5214">
        <v>-1.4647841091982801</v>
      </c>
      <c r="AG5214">
        <v>-1.104009117745</v>
      </c>
      <c r="AH5214">
        <v>8.9959655591610392</v>
      </c>
      <c r="AI5214">
        <v>96.906448653968894</v>
      </c>
      <c r="AJ5214">
        <v>99.248126752688904</v>
      </c>
      <c r="AK5214">
        <v>9.18105794340911</v>
      </c>
    </row>
    <row r="5215" spans="1:37" x14ac:dyDescent="0.2">
      <c r="A5215" t="str">
        <f>"20200111160322623"</f>
        <v>20200111160322623</v>
      </c>
      <c r="B5215" t="str">
        <f>"1578729802618432"</f>
        <v>1578729802618432</v>
      </c>
      <c r="C5215" t="s">
        <v>37</v>
      </c>
      <c r="D5215">
        <v>4.336246</v>
      </c>
      <c r="E5215">
        <v>0.46331819999999901</v>
      </c>
      <c r="F5215" t="s">
        <v>38</v>
      </c>
      <c r="G5215">
        <v>-263.72949999999997</v>
      </c>
      <c r="H5215" s="1">
        <v>-1.051676E-6</v>
      </c>
      <c r="I5215">
        <v>-62.061579999999999</v>
      </c>
      <c r="J5215">
        <v>-272.91219999999998</v>
      </c>
      <c r="K5215">
        <v>1.1039760000000001</v>
      </c>
      <c r="L5215">
        <v>-63.58914</v>
      </c>
      <c r="M5215">
        <v>0.99992760000000003</v>
      </c>
      <c r="N5215">
        <v>0</v>
      </c>
      <c r="O5215">
        <v>2.9173350000000001E-3</v>
      </c>
      <c r="P5215">
        <v>0.99816190000000005</v>
      </c>
      <c r="Q5215">
        <v>-1.0536709999999999E-2</v>
      </c>
      <c r="R5215">
        <v>5.968362E-2</v>
      </c>
      <c r="S5215">
        <v>2.9722900000000001</v>
      </c>
      <c r="T5215">
        <v>-0.35421330000000001</v>
      </c>
      <c r="U5215">
        <v>0.49017329999999998</v>
      </c>
      <c r="V5215">
        <v>-5.6770569999999999E-2</v>
      </c>
      <c r="W5215">
        <v>1.15997E-3</v>
      </c>
      <c r="X5215">
        <v>0.99838660000000001</v>
      </c>
      <c r="Y5215">
        <v>-0.15876370000000001</v>
      </c>
      <c r="Z5215">
        <v>9.0200079999999995E-3</v>
      </c>
      <c r="AA5215">
        <v>0.98727540000000003</v>
      </c>
      <c r="AB5215">
        <v>15</v>
      </c>
      <c r="AC5215">
        <v>9.1827000000000094</v>
      </c>
      <c r="AD5215">
        <v>-1.1039770516759999</v>
      </c>
      <c r="AE5215">
        <v>1.52755999999999</v>
      </c>
      <c r="AF5215">
        <v>-1.4799479299956</v>
      </c>
      <c r="AG5215">
        <v>-1.1039770516759999</v>
      </c>
      <c r="AH5215">
        <v>9.0596974908166601</v>
      </c>
      <c r="AI5215">
        <v>96.857561047888296</v>
      </c>
      <c r="AJ5215">
        <v>99.277613803546799</v>
      </c>
      <c r="AK5215">
        <v>9.2459250392394594</v>
      </c>
    </row>
    <row r="5216" spans="1:37" x14ac:dyDescent="0.2">
      <c r="A5216" t="str">
        <f>"20200111160322636"</f>
        <v>20200111160322636</v>
      </c>
      <c r="B5216" t="str">
        <f>"1578729802628192"</f>
        <v>1578729802628192</v>
      </c>
      <c r="C5216" t="s">
        <v>37</v>
      </c>
      <c r="D5216">
        <v>4.3033140000000003</v>
      </c>
      <c r="E5216">
        <v>0.46322550000000001</v>
      </c>
      <c r="F5216" t="s">
        <v>38</v>
      </c>
      <c r="G5216">
        <v>-263.57350000000002</v>
      </c>
      <c r="H5216" s="1">
        <v>-9.7896919999999994E-7</v>
      </c>
      <c r="I5216">
        <v>-62.03989</v>
      </c>
      <c r="J5216">
        <v>-272.83530000000002</v>
      </c>
      <c r="K5216">
        <v>1.10395</v>
      </c>
      <c r="L5216">
        <v>-63.588900000000002</v>
      </c>
      <c r="M5216">
        <v>0.99993069999999895</v>
      </c>
      <c r="N5216">
        <v>0</v>
      </c>
      <c r="O5216">
        <v>2.9762120000000002E-3</v>
      </c>
      <c r="P5216">
        <v>0.99817449999999996</v>
      </c>
      <c r="Q5216">
        <v>-9.6232950000000005E-3</v>
      </c>
      <c r="R5216">
        <v>5.9626070000000003E-2</v>
      </c>
      <c r="S5216">
        <v>2.972321</v>
      </c>
      <c r="T5216">
        <v>-0.3513733</v>
      </c>
      <c r="U5216">
        <v>0.49307250000000002</v>
      </c>
      <c r="V5216">
        <v>-5.6653879999999997E-2</v>
      </c>
      <c r="W5216">
        <v>1.7865329999999899E-3</v>
      </c>
      <c r="X5216">
        <v>0.99839230000000001</v>
      </c>
      <c r="Y5216">
        <v>-0.15965289999999999</v>
      </c>
      <c r="Z5216">
        <v>8.9925259999999903E-3</v>
      </c>
      <c r="AA5216">
        <v>0.98713229999999996</v>
      </c>
      <c r="AB5216">
        <v>15</v>
      </c>
      <c r="AC5216">
        <v>9.2617999999999903</v>
      </c>
      <c r="AD5216">
        <v>-1.1039509789691999</v>
      </c>
      <c r="AE5216">
        <v>1.54901</v>
      </c>
      <c r="AF5216">
        <v>-1.50069571864732</v>
      </c>
      <c r="AG5216">
        <v>-1.1039509789691999</v>
      </c>
      <c r="AH5216">
        <v>9.1400482844311508</v>
      </c>
      <c r="AI5216">
        <v>96.796787716396594</v>
      </c>
      <c r="AJ5216">
        <v>99.324145887156803</v>
      </c>
      <c r="AK5216">
        <v>9.3279836002035399</v>
      </c>
    </row>
    <row r="5217" spans="1:37" x14ac:dyDescent="0.2">
      <c r="A5217" t="str">
        <f>"20200111160322646"</f>
        <v>20200111160322646</v>
      </c>
      <c r="B5217" t="str">
        <f>"1578729802638930"</f>
        <v>1578729802638930</v>
      </c>
      <c r="C5217" t="s">
        <v>37</v>
      </c>
      <c r="D5217">
        <v>5.8662019999999897</v>
      </c>
      <c r="E5217">
        <v>0.46333170000000001</v>
      </c>
      <c r="F5217" t="s">
        <v>38</v>
      </c>
      <c r="G5217">
        <v>-263.47719999999998</v>
      </c>
      <c r="H5217" s="1">
        <v>-9.360103E-7</v>
      </c>
      <c r="I5217">
        <v>-62.03369</v>
      </c>
      <c r="J5217">
        <v>-272.7568</v>
      </c>
      <c r="K5217">
        <v>1.103928</v>
      </c>
      <c r="L5217">
        <v>-63.588590000000003</v>
      </c>
      <c r="M5217">
        <v>0.99993399999999999</v>
      </c>
      <c r="N5217">
        <v>0</v>
      </c>
      <c r="O5217">
        <v>3.030802E-3</v>
      </c>
      <c r="P5217">
        <v>0.99819389999999997</v>
      </c>
      <c r="Q5217">
        <v>-8.6392020000000003E-3</v>
      </c>
      <c r="R5217">
        <v>5.9450019999999999E-2</v>
      </c>
      <c r="S5217">
        <v>2.9725950000000001</v>
      </c>
      <c r="T5217">
        <v>-0.35066929999999902</v>
      </c>
      <c r="U5217">
        <v>0.49398799999999998</v>
      </c>
      <c r="V5217">
        <v>-5.6422430000000003E-2</v>
      </c>
      <c r="W5217">
        <v>2.4707929999999898E-3</v>
      </c>
      <c r="X5217">
        <v>0.99840390000000001</v>
      </c>
      <c r="Y5217">
        <v>-0.15988350000000001</v>
      </c>
      <c r="Z5217">
        <v>8.9806839999999992E-3</v>
      </c>
      <c r="AA5217">
        <v>0.987095099999999</v>
      </c>
      <c r="AB5217">
        <v>15</v>
      </c>
      <c r="AC5217">
        <v>9.2796000000000092</v>
      </c>
      <c r="AD5217">
        <v>-1.1039289360103</v>
      </c>
      <c r="AE5217">
        <v>1.5548999999999999</v>
      </c>
      <c r="AF5217">
        <v>-1.5060348808974</v>
      </c>
      <c r="AG5217">
        <v>-1.1039289360103</v>
      </c>
      <c r="AH5217">
        <v>9.1582012376967601</v>
      </c>
      <c r="AI5217">
        <v>96.783030017532099</v>
      </c>
      <c r="AJ5217">
        <v>99.338514164033199</v>
      </c>
      <c r="AK5217">
        <v>9.3466277377667595</v>
      </c>
    </row>
    <row r="5218" spans="1:37" x14ac:dyDescent="0.2">
      <c r="A5218" t="str">
        <f>"20200111160322657"</f>
        <v>20200111160322657</v>
      </c>
      <c r="B5218" t="str">
        <f>"1578729802648689"</f>
        <v>1578729802648689</v>
      </c>
      <c r="C5218" t="s">
        <v>37</v>
      </c>
      <c r="D5218">
        <v>4.2588900000000001</v>
      </c>
      <c r="E5218">
        <v>0.4635977</v>
      </c>
      <c r="F5218" t="s">
        <v>38</v>
      </c>
      <c r="G5218">
        <v>-263.20830000000001</v>
      </c>
      <c r="H5218" s="1">
        <v>-8.1337730000000005E-7</v>
      </c>
      <c r="I5218">
        <v>-62.006439999999998</v>
      </c>
      <c r="J5218">
        <v>-272.6893</v>
      </c>
      <c r="K5218">
        <v>1.1039110000000001</v>
      </c>
      <c r="L5218">
        <v>-63.588380000000001</v>
      </c>
      <c r="M5218">
        <v>0.99993659999999995</v>
      </c>
      <c r="N5218">
        <v>0</v>
      </c>
      <c r="O5218">
        <v>3.0765409999999999E-3</v>
      </c>
      <c r="P5218">
        <v>0.99819930000000001</v>
      </c>
      <c r="Q5218">
        <v>-7.6075509999999997E-3</v>
      </c>
      <c r="R5218">
        <v>5.9500839999999999E-2</v>
      </c>
      <c r="S5218">
        <v>2.9731450000000001</v>
      </c>
      <c r="T5218">
        <v>-0.34373199999999998</v>
      </c>
      <c r="U5218">
        <v>0.49261470000000002</v>
      </c>
      <c r="V5218">
        <v>-5.6427539999999998E-2</v>
      </c>
      <c r="W5218">
        <v>3.2389749999999998E-3</v>
      </c>
      <c r="X5218">
        <v>0.99840149999999905</v>
      </c>
      <c r="Y5218">
        <v>-0.15941</v>
      </c>
      <c r="Z5218">
        <v>8.7705879999999993E-3</v>
      </c>
      <c r="AA5218">
        <v>0.98717350000000004</v>
      </c>
      <c r="AB5218">
        <v>15</v>
      </c>
      <c r="AC5218">
        <v>9.4809999999999892</v>
      </c>
      <c r="AD5218">
        <v>-1.1039118133773</v>
      </c>
      <c r="AE5218">
        <v>1.5819399999999999</v>
      </c>
      <c r="AF5218">
        <v>-1.5325482655254099</v>
      </c>
      <c r="AG5218">
        <v>-1.1039118133773</v>
      </c>
      <c r="AH5218">
        <v>9.3623359209277695</v>
      </c>
      <c r="AI5218">
        <v>96.637157776112502</v>
      </c>
      <c r="AJ5218">
        <v>99.296465463104795</v>
      </c>
      <c r="AK5218">
        <v>9.5509507052530296</v>
      </c>
    </row>
    <row r="5219" spans="1:37" x14ac:dyDescent="0.2">
      <c r="A5219" t="str">
        <f>"20200111160322670"</f>
        <v>20200111160322670</v>
      </c>
      <c r="B5219" t="str">
        <f>"1578729802658449"</f>
        <v>1578729802658449</v>
      </c>
      <c r="C5219" t="s">
        <v>37</v>
      </c>
      <c r="D5219">
        <v>4.2978730000000001</v>
      </c>
      <c r="E5219">
        <v>0.4635977</v>
      </c>
      <c r="F5219" t="s">
        <v>94</v>
      </c>
      <c r="G5219">
        <v>-262.91590000000002</v>
      </c>
      <c r="H5219" s="1">
        <v>-6.7981739999999995E-7</v>
      </c>
      <c r="I5219">
        <v>-61.975769999999997</v>
      </c>
      <c r="J5219">
        <v>-272.60419999999999</v>
      </c>
      <c r="K5219">
        <v>1.1038939999999999</v>
      </c>
      <c r="L5219">
        <v>-63.588099999999997</v>
      </c>
      <c r="M5219">
        <v>0.99993989999999999</v>
      </c>
      <c r="N5219">
        <v>0</v>
      </c>
      <c r="O5219">
        <v>3.1340270000000002E-3</v>
      </c>
      <c r="P5219">
        <v>0.99822279999999997</v>
      </c>
      <c r="Q5219">
        <v>-7.091984E-3</v>
      </c>
      <c r="R5219">
        <v>5.9167839999999999E-2</v>
      </c>
      <c r="S5219">
        <v>2.973633</v>
      </c>
      <c r="T5219">
        <v>-0.3358756</v>
      </c>
      <c r="U5219">
        <v>0.49063109999999999</v>
      </c>
      <c r="V5219">
        <v>-5.6037120000000003E-2</v>
      </c>
      <c r="W5219">
        <v>3.4216020000000002E-3</v>
      </c>
      <c r="X5219">
        <v>0.99842280000000005</v>
      </c>
      <c r="Y5219">
        <v>-0.1587365</v>
      </c>
      <c r="Z5219">
        <v>8.5263679999999994E-3</v>
      </c>
      <c r="AA5219">
        <v>0.98728419999999895</v>
      </c>
      <c r="AB5219">
        <v>15</v>
      </c>
      <c r="AC5219">
        <v>9.6882999999999697</v>
      </c>
      <c r="AD5219">
        <v>-1.1038946798174001</v>
      </c>
      <c r="AE5219">
        <v>1.61232999999999</v>
      </c>
      <c r="AF5219">
        <v>-1.5622219575710901</v>
      </c>
      <c r="AG5219">
        <v>-1.1038946798174001</v>
      </c>
      <c r="AH5219">
        <v>9.5723809321419004</v>
      </c>
      <c r="AI5219">
        <v>96.493181444888805</v>
      </c>
      <c r="AJ5219">
        <v>99.269011866213305</v>
      </c>
      <c r="AK5219">
        <v>9.7616390846455907</v>
      </c>
    </row>
    <row r="5220" spans="1:37" x14ac:dyDescent="0.2">
      <c r="A5220" t="str">
        <f>"20200111160322680"</f>
        <v>20200111160322680</v>
      </c>
      <c r="B5220" t="str">
        <f>"1578729802678945"</f>
        <v>1578729802678945</v>
      </c>
      <c r="C5220" t="s">
        <v>37</v>
      </c>
      <c r="D5220">
        <v>4.2865820000000001</v>
      </c>
      <c r="E5220">
        <v>0.478031499999999</v>
      </c>
      <c r="F5220" t="s">
        <v>38</v>
      </c>
      <c r="G5220">
        <v>-262.77789999999999</v>
      </c>
      <c r="H5220" s="1">
        <v>-6.1887159999999896E-7</v>
      </c>
      <c r="I5220">
        <v>-61.969250000000002</v>
      </c>
      <c r="J5220">
        <v>-272.52609999999999</v>
      </c>
      <c r="K5220">
        <v>1.1038790000000001</v>
      </c>
      <c r="L5220">
        <v>-63.587829999999997</v>
      </c>
      <c r="M5220">
        <v>0.99994300000000003</v>
      </c>
      <c r="N5220">
        <v>0</v>
      </c>
      <c r="O5220">
        <v>3.1925959999999998E-3</v>
      </c>
      <c r="P5220">
        <v>0.99823879999999998</v>
      </c>
      <c r="Q5220">
        <v>-6.7948289999999996E-3</v>
      </c>
      <c r="R5220">
        <v>5.8935870000000001E-2</v>
      </c>
      <c r="S5220">
        <v>2.973938</v>
      </c>
      <c r="T5220">
        <v>-0.33409529999999998</v>
      </c>
      <c r="U5220">
        <v>0.48992920000000001</v>
      </c>
      <c r="V5220">
        <v>-5.5747190000000002E-2</v>
      </c>
      <c r="W5220">
        <v>3.4134959999999998E-3</v>
      </c>
      <c r="X5220">
        <v>0.99843909999999902</v>
      </c>
      <c r="Y5220">
        <v>-0.15844800000000001</v>
      </c>
      <c r="Z5220">
        <v>8.4581969999999902E-3</v>
      </c>
      <c r="AA5220">
        <v>0.98733110000000002</v>
      </c>
      <c r="AB5220">
        <v>15</v>
      </c>
      <c r="AC5220">
        <v>9.74819999999999</v>
      </c>
      <c r="AD5220">
        <v>-1.1038796188716</v>
      </c>
      <c r="AE5220">
        <v>1.6185799999999999</v>
      </c>
      <c r="AF5220">
        <v>-1.5678822948036999</v>
      </c>
      <c r="AG5220">
        <v>-1.1038796188716</v>
      </c>
      <c r="AH5220">
        <v>9.6331054713395492</v>
      </c>
      <c r="AI5220">
        <v>96.452957313492902</v>
      </c>
      <c r="AJ5220">
        <v>99.244387988768295</v>
      </c>
      <c r="AK5220">
        <v>9.8220937750192103</v>
      </c>
    </row>
    <row r="5221" spans="1:37" x14ac:dyDescent="0.2">
      <c r="A5221" t="str">
        <f>"20200111160322693"</f>
        <v>20200111160322693</v>
      </c>
      <c r="B5221" t="str">
        <f>"1578729802688705"</f>
        <v>1578729802688705</v>
      </c>
      <c r="C5221" t="s">
        <v>37</v>
      </c>
      <c r="D5221">
        <v>4.3837129999999904</v>
      </c>
      <c r="E5221">
        <v>0.47834520000000003</v>
      </c>
      <c r="F5221" t="s">
        <v>93</v>
      </c>
      <c r="G5221">
        <v>-253.78639999999999</v>
      </c>
      <c r="H5221" s="1">
        <v>-9.657414999999999E-7</v>
      </c>
      <c r="I5221">
        <v>-61.306559999999998</v>
      </c>
      <c r="J5221">
        <v>-272.44510000000002</v>
      </c>
      <c r="K5221">
        <v>1.103864</v>
      </c>
      <c r="L5221">
        <v>-63.587519999999998</v>
      </c>
      <c r="M5221">
        <v>0.99994590000000005</v>
      </c>
      <c r="N5221">
        <v>0</v>
      </c>
      <c r="O5221">
        <v>3.2566879999999898E-3</v>
      </c>
      <c r="P5221">
        <v>0.99826789999999999</v>
      </c>
      <c r="Q5221">
        <v>-7.1991119999999997E-3</v>
      </c>
      <c r="R5221">
        <v>5.839391E-2</v>
      </c>
      <c r="S5221">
        <v>2.9826969999999999</v>
      </c>
      <c r="T5221">
        <v>-0.17569899999999999</v>
      </c>
      <c r="U5221">
        <v>0.36309809999999998</v>
      </c>
      <c r="V5221">
        <v>-5.5141229999999999E-2</v>
      </c>
      <c r="W5221">
        <v>2.6977669999999998E-3</v>
      </c>
      <c r="X5221">
        <v>0.99847489999999905</v>
      </c>
      <c r="Y5221">
        <v>-0.1174142</v>
      </c>
      <c r="Z5221">
        <v>3.2515669999999999E-3</v>
      </c>
      <c r="AA5221">
        <v>0.99307769999999995</v>
      </c>
      <c r="AB5221">
        <v>15</v>
      </c>
      <c r="AC5221">
        <v>18.6587</v>
      </c>
      <c r="AD5221">
        <v>-1.1038649657415001</v>
      </c>
      <c r="AE5221">
        <v>2.2809599999999999</v>
      </c>
      <c r="AF5221">
        <v>-2.21254945361347</v>
      </c>
      <c r="AG5221">
        <v>-1.1038649657415001</v>
      </c>
      <c r="AH5221">
        <v>18.6018816728354</v>
      </c>
      <c r="AI5221">
        <v>93.372323919097795</v>
      </c>
      <c r="AJ5221">
        <v>96.783021036660301</v>
      </c>
      <c r="AK5221">
        <v>18.765497454569299</v>
      </c>
    </row>
    <row r="5222" spans="1:37" x14ac:dyDescent="0.2">
      <c r="A5222" t="str">
        <f>"20200111160322704"</f>
        <v>20200111160322704</v>
      </c>
      <c r="B5222" t="str">
        <f>"1578729802698464"</f>
        <v>1578729802698464</v>
      </c>
      <c r="C5222" t="s">
        <v>37</v>
      </c>
      <c r="D5222">
        <v>4.14154</v>
      </c>
      <c r="E5222">
        <v>0.478234099999999</v>
      </c>
      <c r="F5222" t="s">
        <v>93</v>
      </c>
      <c r="G5222">
        <v>-251.904</v>
      </c>
      <c r="H5222" s="1">
        <v>-1.17383299999999E-7</v>
      </c>
      <c r="I5222">
        <v>-61.12303</v>
      </c>
      <c r="J5222">
        <v>-272.36130000000003</v>
      </c>
      <c r="K5222">
        <v>1.103853</v>
      </c>
      <c r="L5222">
        <v>-63.587219999999903</v>
      </c>
      <c r="M5222">
        <v>0.99994850000000002</v>
      </c>
      <c r="N5222">
        <v>0</v>
      </c>
      <c r="O5222">
        <v>3.3316420000000001E-3</v>
      </c>
      <c r="P5222">
        <v>0.99829690000000004</v>
      </c>
      <c r="Q5222">
        <v>-7.9602749999999993E-3</v>
      </c>
      <c r="R5222">
        <v>5.7794280000000003E-2</v>
      </c>
      <c r="S5222">
        <v>2.9831240000000001</v>
      </c>
      <c r="T5222">
        <v>-0.16031099999999901</v>
      </c>
      <c r="U5222">
        <v>0.35791020000000001</v>
      </c>
      <c r="V5222">
        <v>-5.4467639999999998E-2</v>
      </c>
      <c r="W5222">
        <v>1.6225020000000001E-3</v>
      </c>
      <c r="X5222">
        <v>0.99851420000000002</v>
      </c>
      <c r="Y5222">
        <v>-0.11565549999999999</v>
      </c>
      <c r="Z5222">
        <v>2.9160379999999902E-3</v>
      </c>
      <c r="AA5222">
        <v>0.99328510000000003</v>
      </c>
      <c r="AB5222">
        <v>15</v>
      </c>
      <c r="AC5222">
        <v>20.4573</v>
      </c>
      <c r="AD5222">
        <v>-1.1038531173832999</v>
      </c>
      <c r="AE5222">
        <v>2.4641899999999799</v>
      </c>
      <c r="AF5222">
        <v>-2.3891600917277298</v>
      </c>
      <c r="AG5222">
        <v>-1.1038531173832999</v>
      </c>
      <c r="AH5222">
        <v>20.406830650897099</v>
      </c>
      <c r="AI5222">
        <v>93.0752811645186</v>
      </c>
      <c r="AJ5222">
        <v>96.677589750905497</v>
      </c>
      <c r="AK5222">
        <v>20.575842992768401</v>
      </c>
    </row>
    <row r="5223" spans="1:37" x14ac:dyDescent="0.2">
      <c r="A5223" t="str">
        <f>"20200111160322715"</f>
        <v>20200111160322715</v>
      </c>
      <c r="B5223" t="str">
        <f>"1578729802708224"</f>
        <v>1578729802708224</v>
      </c>
      <c r="C5223" t="s">
        <v>37</v>
      </c>
      <c r="D5223">
        <v>3.3995839999999902</v>
      </c>
      <c r="E5223">
        <v>0.47673679999999902</v>
      </c>
      <c r="F5223" t="s">
        <v>93</v>
      </c>
      <c r="G5223">
        <v>-250.8835</v>
      </c>
      <c r="H5223" s="1">
        <v>3.4313789999999999E-7</v>
      </c>
      <c r="I5223">
        <v>-61.020780000000002</v>
      </c>
      <c r="J5223">
        <v>-272.29199999999997</v>
      </c>
      <c r="K5223">
        <v>1.103845</v>
      </c>
      <c r="L5223">
        <v>-63.586939999999998</v>
      </c>
      <c r="M5223">
        <v>0.99995069999999997</v>
      </c>
      <c r="N5223">
        <v>0</v>
      </c>
      <c r="O5223">
        <v>3.4019800000000002E-3</v>
      </c>
      <c r="P5223">
        <v>0.99832430000000005</v>
      </c>
      <c r="Q5223">
        <v>-8.7660140000000008E-3</v>
      </c>
      <c r="R5223">
        <v>5.7198539999999999E-2</v>
      </c>
      <c r="S5223">
        <v>2.9832459999999998</v>
      </c>
      <c r="T5223">
        <v>-0.15332419999999999</v>
      </c>
      <c r="U5223">
        <v>0.35647579999999901</v>
      </c>
      <c r="V5223">
        <v>-5.380207E-2</v>
      </c>
      <c r="W5223">
        <v>5.6773839999999995E-4</v>
      </c>
      <c r="X5223">
        <v>0.99855149999999904</v>
      </c>
      <c r="Y5223">
        <v>-0.115124399999999</v>
      </c>
      <c r="Z5223">
        <v>2.7718949999999999E-3</v>
      </c>
      <c r="AA5223">
        <v>0.99334719999999999</v>
      </c>
      <c r="AB5223">
        <v>15</v>
      </c>
      <c r="AC5223">
        <v>21.4085</v>
      </c>
      <c r="AD5223">
        <v>-1.1038446568621001</v>
      </c>
      <c r="AE5223">
        <v>2.56616</v>
      </c>
      <c r="AF5223">
        <v>-2.4867930928702999</v>
      </c>
      <c r="AG5223">
        <v>-1.1038446568621001</v>
      </c>
      <c r="AH5223">
        <v>21.3611214714563</v>
      </c>
      <c r="AI5223">
        <v>92.938342187093397</v>
      </c>
      <c r="AJ5223">
        <v>96.640299749831101</v>
      </c>
      <c r="AK5223">
        <v>21.533697393423701</v>
      </c>
    </row>
    <row r="5224" spans="1:37" x14ac:dyDescent="0.2">
      <c r="A5224" t="str">
        <f>"20200111160322724"</f>
        <v>20200111160322724</v>
      </c>
      <c r="B5224" t="str">
        <f>"1578729802718961"</f>
        <v>1578729802718961</v>
      </c>
      <c r="C5224" t="s">
        <v>37</v>
      </c>
      <c r="D5224">
        <v>4.1767599999999998</v>
      </c>
      <c r="E5224">
        <v>0.47690709999999997</v>
      </c>
      <c r="F5224" t="s">
        <v>93</v>
      </c>
      <c r="G5224">
        <v>-251.66370000000001</v>
      </c>
      <c r="H5224" s="1">
        <v>2.3780439999999998E-9</v>
      </c>
      <c r="I5224">
        <v>-61.048029999999997</v>
      </c>
      <c r="J5224">
        <v>-272.22000000000003</v>
      </c>
      <c r="K5224">
        <v>1.103842</v>
      </c>
      <c r="L5224">
        <v>-63.586640000000003</v>
      </c>
      <c r="M5224">
        <v>0.99995279999999998</v>
      </c>
      <c r="N5224">
        <v>0</v>
      </c>
      <c r="O5224">
        <v>3.4813499999999998E-3</v>
      </c>
      <c r="P5224">
        <v>0.9983438</v>
      </c>
      <c r="Q5224">
        <v>-9.6163900000000007E-3</v>
      </c>
      <c r="R5224">
        <v>5.672402E-2</v>
      </c>
      <c r="S5224">
        <v>2.982605</v>
      </c>
      <c r="T5224">
        <v>-0.15960260000000001</v>
      </c>
      <c r="U5224">
        <v>0.36709589999999998</v>
      </c>
      <c r="V5224">
        <v>-5.324831E-2</v>
      </c>
      <c r="W5224">
        <v>-5.3308580000000004E-4</v>
      </c>
      <c r="X5224">
        <v>0.99858119999999995</v>
      </c>
      <c r="Y5224">
        <v>-0.118538899999999</v>
      </c>
      <c r="Z5224">
        <v>2.9719659999999999E-3</v>
      </c>
      <c r="AA5224">
        <v>0.99294499999999997</v>
      </c>
      <c r="AB5224">
        <v>15</v>
      </c>
      <c r="AC5224">
        <v>20.5563</v>
      </c>
      <c r="AD5224">
        <v>-1.10384199762195</v>
      </c>
      <c r="AE5224">
        <v>2.53860999999999</v>
      </c>
      <c r="AF5224">
        <v>-2.4600409628102899</v>
      </c>
      <c r="AG5224">
        <v>-1.10384199762195</v>
      </c>
      <c r="AH5224">
        <v>20.506770040704701</v>
      </c>
      <c r="AI5224">
        <v>93.059261535211604</v>
      </c>
      <c r="AJ5224">
        <v>96.8406485963542</v>
      </c>
      <c r="AK5224">
        <v>20.6832755190459</v>
      </c>
    </row>
    <row r="5225" spans="1:37" x14ac:dyDescent="0.2">
      <c r="A5225" t="str">
        <f>"20200111160322735"</f>
        <v>20200111160322735</v>
      </c>
      <c r="B5225" t="str">
        <f>"1578729802728720"</f>
        <v>1578729802728720</v>
      </c>
      <c r="C5225" t="s">
        <v>37</v>
      </c>
      <c r="D5225">
        <v>4.2863639999999998</v>
      </c>
      <c r="E5225">
        <v>0.47572879999999901</v>
      </c>
      <c r="F5225" t="s">
        <v>93</v>
      </c>
      <c r="G5225">
        <v>-251.8109</v>
      </c>
      <c r="H5225" s="1">
        <v>-7.0906939999999995E-8</v>
      </c>
      <c r="I5225">
        <v>-61.093619999999902</v>
      </c>
      <c r="J5225">
        <v>-272.14670000000001</v>
      </c>
      <c r="K5225">
        <v>1.103836</v>
      </c>
      <c r="L5225">
        <v>-63.586269999999899</v>
      </c>
      <c r="M5225">
        <v>0.99995449999999997</v>
      </c>
      <c r="N5225">
        <v>0</v>
      </c>
      <c r="O5225">
        <v>3.5748139999999999E-3</v>
      </c>
      <c r="P5225">
        <v>0.99835010000000002</v>
      </c>
      <c r="Q5225">
        <v>-1.046593E-2</v>
      </c>
      <c r="R5225">
        <v>5.6458099999999997E-2</v>
      </c>
      <c r="S5225">
        <v>2.982758</v>
      </c>
      <c r="T5225">
        <v>-0.16132449999999901</v>
      </c>
      <c r="U5225">
        <v>0.36434939999999999</v>
      </c>
      <c r="V5225">
        <v>-5.2889209999999999E-2</v>
      </c>
      <c r="W5225">
        <v>-1.6234139999999899E-3</v>
      </c>
      <c r="X5225">
        <v>0.99859909999999996</v>
      </c>
      <c r="Y5225">
        <v>-0.11753710000000001</v>
      </c>
      <c r="Z5225">
        <v>2.9719939999999999E-3</v>
      </c>
      <c r="AA5225">
        <v>0.99306399999999995</v>
      </c>
      <c r="AB5225">
        <v>15</v>
      </c>
      <c r="AC5225">
        <v>20.335799999999999</v>
      </c>
      <c r="AD5225">
        <v>-1.1038360709069399</v>
      </c>
      <c r="AE5225">
        <v>2.49264999999999</v>
      </c>
      <c r="AF5225">
        <v>-2.4129303843094898</v>
      </c>
      <c r="AG5225">
        <v>-1.1038360709069399</v>
      </c>
      <c r="AH5225">
        <v>20.285696788040699</v>
      </c>
      <c r="AI5225">
        <v>93.092889376648898</v>
      </c>
      <c r="AJ5225">
        <v>96.783311212829005</v>
      </c>
      <c r="AK5225">
        <v>20.4584989988827</v>
      </c>
    </row>
    <row r="5226" spans="1:37" x14ac:dyDescent="0.2">
      <c r="A5226" t="str">
        <f>"20200111160322748"</f>
        <v>20200111160322748</v>
      </c>
      <c r="B5226" t="str">
        <f>"1578729802738482"</f>
        <v>1578729802738482</v>
      </c>
      <c r="C5226" t="s">
        <v>37</v>
      </c>
      <c r="D5226">
        <v>4.1636139999999999</v>
      </c>
      <c r="E5226">
        <v>0.47599960000000002</v>
      </c>
      <c r="F5226" t="s">
        <v>93</v>
      </c>
      <c r="G5226">
        <v>-252.48589999999999</v>
      </c>
      <c r="H5226" s="1">
        <v>-3.677357E-7</v>
      </c>
      <c r="I5226">
        <v>-61.12621</v>
      </c>
      <c r="J5226">
        <v>-272.06189999999998</v>
      </c>
      <c r="K5226">
        <v>1.103839</v>
      </c>
      <c r="L5226">
        <v>-63.585880000000003</v>
      </c>
      <c r="M5226">
        <v>0.99995650000000003</v>
      </c>
      <c r="N5226">
        <v>0</v>
      </c>
      <c r="O5226">
        <v>3.6905639999999999E-3</v>
      </c>
      <c r="P5226">
        <v>0.99835289999999999</v>
      </c>
      <c r="Q5226">
        <v>-1.093416E-2</v>
      </c>
      <c r="R5226">
        <v>5.6322270000000001E-2</v>
      </c>
      <c r="S5226">
        <v>2.9821169999999899</v>
      </c>
      <c r="T5226">
        <v>-0.16742860000000001</v>
      </c>
      <c r="U5226">
        <v>0.37313839999999998</v>
      </c>
      <c r="V5226">
        <v>-5.2637240000000002E-2</v>
      </c>
      <c r="W5226">
        <v>-2.3602139999999998E-3</v>
      </c>
      <c r="X5226">
        <v>0.99861089999999997</v>
      </c>
      <c r="Y5226">
        <v>-0.1203134</v>
      </c>
      <c r="Z5226">
        <v>3.1554819999999998E-3</v>
      </c>
      <c r="AA5226">
        <v>0.99273089999999997</v>
      </c>
      <c r="AB5226">
        <v>16</v>
      </c>
      <c r="AC5226">
        <v>19.576000000000001</v>
      </c>
      <c r="AD5226">
        <v>-1.1038393677356999</v>
      </c>
      <c r="AE5226">
        <v>2.45967</v>
      </c>
      <c r="AF5226">
        <v>-2.3799545710728198</v>
      </c>
      <c r="AG5226">
        <v>-1.1038393677356999</v>
      </c>
      <c r="AH5226">
        <v>19.523832622631499</v>
      </c>
      <c r="AI5226">
        <v>93.212218666227997</v>
      </c>
      <c r="AJ5226">
        <v>96.950063984395499</v>
      </c>
      <c r="AK5226">
        <v>19.699306723503302</v>
      </c>
    </row>
    <row r="5227" spans="1:37" x14ac:dyDescent="0.2">
      <c r="A5227" t="str">
        <f>"20200111160322758"</f>
        <v>20200111160322758</v>
      </c>
      <c r="B5227" t="str">
        <f>"1578729802748241"</f>
        <v>1578729802748241</v>
      </c>
      <c r="C5227" t="s">
        <v>37</v>
      </c>
      <c r="D5227">
        <v>4.4147610000000004</v>
      </c>
      <c r="E5227">
        <v>0.47614919999999999</v>
      </c>
      <c r="F5227" t="s">
        <v>93</v>
      </c>
      <c r="G5227">
        <v>-252.4273</v>
      </c>
      <c r="H5227" s="1">
        <v>-3.4719199999999998E-7</v>
      </c>
      <c r="I5227">
        <v>-61.147009999999902</v>
      </c>
      <c r="J5227">
        <v>-271.9864</v>
      </c>
      <c r="K5227">
        <v>1.103847</v>
      </c>
      <c r="L5227">
        <v>-63.585479999999997</v>
      </c>
      <c r="M5227">
        <v>0.99995769999999995</v>
      </c>
      <c r="N5227">
        <v>0</v>
      </c>
      <c r="O5227">
        <v>3.8133970000000001E-3</v>
      </c>
      <c r="P5227">
        <v>0.99833859999999996</v>
      </c>
      <c r="Q5227">
        <v>-1.117606E-2</v>
      </c>
      <c r="R5227">
        <v>5.6526989999999999E-2</v>
      </c>
      <c r="S5227">
        <v>2.98217799999999</v>
      </c>
      <c r="T5227">
        <v>-0.167655</v>
      </c>
      <c r="U5227">
        <v>0.37042239999999999</v>
      </c>
      <c r="V5227">
        <v>-5.2719080000000001E-2</v>
      </c>
      <c r="W5227">
        <v>-2.820066E-3</v>
      </c>
      <c r="X5227">
        <v>0.99860539999999998</v>
      </c>
      <c r="Y5227">
        <v>-0.1192999</v>
      </c>
      <c r="Z5227">
        <v>3.1246249999999998E-3</v>
      </c>
      <c r="AA5227">
        <v>0.99285330000000005</v>
      </c>
      <c r="AB5227">
        <v>16</v>
      </c>
      <c r="AC5227">
        <v>19.559100000000001</v>
      </c>
      <c r="AD5227">
        <v>-1.1038473471920001</v>
      </c>
      <c r="AE5227">
        <v>2.4384700000000001</v>
      </c>
      <c r="AF5227">
        <v>-2.3564723642041798</v>
      </c>
      <c r="AG5227">
        <v>-1.1038473471920001</v>
      </c>
      <c r="AH5227">
        <v>19.507076298668999</v>
      </c>
      <c r="AI5227">
        <v>93.215417036213694</v>
      </c>
      <c r="AJ5227">
        <v>96.888005871736993</v>
      </c>
      <c r="AK5227">
        <v>19.679874661472201</v>
      </c>
    </row>
    <row r="5228" spans="1:37" x14ac:dyDescent="0.2">
      <c r="A5228" t="str">
        <f>"20200111160322769"</f>
        <v>20200111160322769</v>
      </c>
      <c r="B5228" t="str">
        <f>"1578729802758977"</f>
        <v>1578729802758977</v>
      </c>
      <c r="C5228" t="s">
        <v>37</v>
      </c>
      <c r="D5228">
        <v>4.1856720000000003</v>
      </c>
      <c r="E5228">
        <v>0.47624919999999998</v>
      </c>
      <c r="F5228" t="s">
        <v>93</v>
      </c>
      <c r="G5228">
        <v>-251.98349999999999</v>
      </c>
      <c r="H5228" s="1">
        <v>-1.4802419999999999E-7</v>
      </c>
      <c r="I5228">
        <v>-61.107480000000002</v>
      </c>
      <c r="J5228">
        <v>-271.90710000000001</v>
      </c>
      <c r="K5228">
        <v>1.1038589999999999</v>
      </c>
      <c r="L5228">
        <v>-63.585050000000003</v>
      </c>
      <c r="M5228">
        <v>0.99995909999999999</v>
      </c>
      <c r="N5228">
        <v>0</v>
      </c>
      <c r="O5228">
        <v>3.946298E-3</v>
      </c>
      <c r="P5228">
        <v>0.99833689999999997</v>
      </c>
      <c r="Q5228">
        <v>-1.1258020000000001E-2</v>
      </c>
      <c r="R5228">
        <v>5.6542299999999997E-2</v>
      </c>
      <c r="S5228">
        <v>2.9822389999999999</v>
      </c>
      <c r="T5228">
        <v>-0.1645731</v>
      </c>
      <c r="U5228">
        <v>0.36944579999999999</v>
      </c>
      <c r="V5228">
        <v>-5.26019E-2</v>
      </c>
      <c r="W5228">
        <v>-3.1260820000000001E-3</v>
      </c>
      <c r="X5228">
        <v>0.99861069999999996</v>
      </c>
      <c r="Y5228">
        <v>-0.1188526</v>
      </c>
      <c r="Z5228">
        <v>3.0476890000000001E-3</v>
      </c>
      <c r="AA5228">
        <v>0.99290719999999999</v>
      </c>
      <c r="AB5228">
        <v>16</v>
      </c>
      <c r="AC5228">
        <v>19.9236</v>
      </c>
      <c r="AD5228">
        <v>-1.1038591480241999</v>
      </c>
      <c r="AE5228">
        <v>2.4775700000000001</v>
      </c>
      <c r="AF5228">
        <v>-2.39169373159242</v>
      </c>
      <c r="AG5228">
        <v>-1.1038591480241999</v>
      </c>
      <c r="AH5228">
        <v>19.873147387745401</v>
      </c>
      <c r="AI5228">
        <v>93.156511905734604</v>
      </c>
      <c r="AJ5228">
        <v>96.862429028536198</v>
      </c>
      <c r="AK5228">
        <v>20.046962139423201</v>
      </c>
    </row>
    <row r="5229" spans="1:37" x14ac:dyDescent="0.2">
      <c r="A5229" t="str">
        <f>"20200111160322780"</f>
        <v>20200111160322780</v>
      </c>
      <c r="B5229" t="str">
        <f>"1578729802768737"</f>
        <v>1578729802768737</v>
      </c>
      <c r="C5229" t="s">
        <v>37</v>
      </c>
      <c r="D5229">
        <v>4.1371039999999999</v>
      </c>
      <c r="E5229">
        <v>0.47647519999999999</v>
      </c>
      <c r="F5229" t="s">
        <v>93</v>
      </c>
      <c r="G5229">
        <v>-252.07299999999901</v>
      </c>
      <c r="H5229" s="1">
        <v>-1.91955299999999E-7</v>
      </c>
      <c r="I5229">
        <v>-61.132399999999997</v>
      </c>
      <c r="J5229">
        <v>-271.83449999999999</v>
      </c>
      <c r="K5229">
        <v>1.1038709999999901</v>
      </c>
      <c r="L5229">
        <v>-63.584629999999997</v>
      </c>
      <c r="M5229">
        <v>0.99995990000000001</v>
      </c>
      <c r="N5229">
        <v>0</v>
      </c>
      <c r="O5229">
        <v>4.0885679999999999E-3</v>
      </c>
      <c r="P5229">
        <v>0.99829849999999998</v>
      </c>
      <c r="Q5229">
        <v>-1.133955E-2</v>
      </c>
      <c r="R5229">
        <v>5.7197919999999999E-2</v>
      </c>
      <c r="S5229">
        <v>2.982208</v>
      </c>
      <c r="T5229">
        <v>-0.16597339999999999</v>
      </c>
      <c r="U5229">
        <v>0.3687744</v>
      </c>
      <c r="V5229">
        <v>-5.3115629999999997E-2</v>
      </c>
      <c r="W5229">
        <v>-3.3924009999999902E-3</v>
      </c>
      <c r="X5229">
        <v>0.99858259999999899</v>
      </c>
      <c r="Y5229">
        <v>-0.11849030000000001</v>
      </c>
      <c r="Z5229">
        <v>3.0557359999999999E-3</v>
      </c>
      <c r="AA5229">
        <v>0.99295049999999996</v>
      </c>
      <c r="AB5229">
        <v>16</v>
      </c>
      <c r="AC5229">
        <v>19.761500000000002</v>
      </c>
      <c r="AD5229">
        <v>-1.1038711919552999</v>
      </c>
      <c r="AE5229">
        <v>2.4522300000000001</v>
      </c>
      <c r="AF5229">
        <v>-2.3641457174551102</v>
      </c>
      <c r="AG5229">
        <v>-1.1038711919552999</v>
      </c>
      <c r="AH5229">
        <v>19.710790287770301</v>
      </c>
      <c r="AI5229">
        <v>93.182646245497395</v>
      </c>
      <c r="AJ5229">
        <v>96.839480527143195</v>
      </c>
      <c r="AK5229">
        <v>19.882730455102202</v>
      </c>
    </row>
    <row r="5230" spans="1:37" x14ac:dyDescent="0.2">
      <c r="A5230" t="str">
        <f>"20200111160322791"</f>
        <v>20200111160322791</v>
      </c>
      <c r="B5230" t="str">
        <f>"1578729802788257"</f>
        <v>1578729802788257</v>
      </c>
      <c r="C5230" t="s">
        <v>37</v>
      </c>
      <c r="D5230">
        <v>4.0750859999999998</v>
      </c>
      <c r="E5230">
        <v>0.47649140000000001</v>
      </c>
      <c r="F5230" t="s">
        <v>93</v>
      </c>
      <c r="G5230">
        <v>-252.05369999999999</v>
      </c>
      <c r="H5230" s="1">
        <v>-1.8507020000000001E-7</v>
      </c>
      <c r="I5230">
        <v>-61.138689999999997</v>
      </c>
      <c r="J5230">
        <v>-271.75760000000002</v>
      </c>
      <c r="K5230">
        <v>1.1038840000000001</v>
      </c>
      <c r="L5230">
        <v>-63.584169999999901</v>
      </c>
      <c r="M5230">
        <v>0.99996070000000004</v>
      </c>
      <c r="N5230">
        <v>0</v>
      </c>
      <c r="O5230">
        <v>4.2424659999999899E-3</v>
      </c>
      <c r="P5230">
        <v>0.99826299999999901</v>
      </c>
      <c r="Q5230">
        <v>-1.085121E-2</v>
      </c>
      <c r="R5230">
        <v>5.7905980000000003E-2</v>
      </c>
      <c r="S5230">
        <v>2.9821169999999899</v>
      </c>
      <c r="T5230">
        <v>-0.1664175</v>
      </c>
      <c r="U5230">
        <v>0.36874390000000001</v>
      </c>
      <c r="V5230">
        <v>-5.3669929999999998E-2</v>
      </c>
      <c r="W5230">
        <v>-3.0961179999999902E-3</v>
      </c>
      <c r="X5230">
        <v>0.99855389999999999</v>
      </c>
      <c r="Y5230">
        <v>-0.1183307</v>
      </c>
      <c r="Z5230">
        <v>3.0510159999999902E-3</v>
      </c>
      <c r="AA5230">
        <v>0.99296960000000001</v>
      </c>
      <c r="AB5230">
        <v>16</v>
      </c>
      <c r="AC5230">
        <v>19.703900000000001</v>
      </c>
      <c r="AD5230">
        <v>-1.1038841850701999</v>
      </c>
      <c r="AE5230">
        <v>2.4454799999999799</v>
      </c>
      <c r="AF5230">
        <v>-2.35458423020131</v>
      </c>
      <c r="AG5230">
        <v>-1.1038841850701999</v>
      </c>
      <c r="AH5230">
        <v>19.653348661252998</v>
      </c>
      <c r="AI5230">
        <v>93.192017754929196</v>
      </c>
      <c r="AJ5230">
        <v>96.831801602835299</v>
      </c>
      <c r="AK5230">
        <v>19.824649827725501</v>
      </c>
    </row>
    <row r="5231" spans="1:37" x14ac:dyDescent="0.2">
      <c r="A5231" t="str">
        <f>"20200111160322801"</f>
        <v>20200111160322801</v>
      </c>
      <c r="B5231" t="str">
        <f>"1578729802798994"</f>
        <v>1578729802798994</v>
      </c>
      <c r="C5231" t="s">
        <v>37</v>
      </c>
      <c r="D5231">
        <v>4.142728</v>
      </c>
      <c r="E5231">
        <v>0.47657949999999999</v>
      </c>
      <c r="F5231" t="s">
        <v>93</v>
      </c>
      <c r="G5231">
        <v>-250.69730000000001</v>
      </c>
      <c r="H5231" s="1">
        <v>4.3416879999999901E-7</v>
      </c>
      <c r="I5231">
        <v>-60.970719999999901</v>
      </c>
      <c r="J5231">
        <v>-271.67630000000003</v>
      </c>
      <c r="K5231">
        <v>1.1038950000000001</v>
      </c>
      <c r="L5231">
        <v>-63.583649999999999</v>
      </c>
      <c r="M5231">
        <v>0.99996149999999995</v>
      </c>
      <c r="N5231">
        <v>0</v>
      </c>
      <c r="O5231">
        <v>4.4229930000000001E-3</v>
      </c>
      <c r="P5231">
        <v>0.99822639999999996</v>
      </c>
      <c r="Q5231">
        <v>-1.034785E-2</v>
      </c>
      <c r="R5231">
        <v>5.8629359999999998E-2</v>
      </c>
      <c r="S5231">
        <v>2.9820859999999998</v>
      </c>
      <c r="T5231">
        <v>-0.15630669999999999</v>
      </c>
      <c r="U5231">
        <v>0.3700562</v>
      </c>
      <c r="V5231">
        <v>-5.421277E-2</v>
      </c>
      <c r="W5231">
        <v>-2.7762339999999998E-3</v>
      </c>
      <c r="X5231">
        <v>0.99852559999999901</v>
      </c>
      <c r="Y5231">
        <v>-0.1186035</v>
      </c>
      <c r="Z5231">
        <v>2.863558E-3</v>
      </c>
      <c r="AA5231">
        <v>0.99293759999999998</v>
      </c>
      <c r="AB5231">
        <v>16</v>
      </c>
      <c r="AC5231">
        <v>20.978999999999999</v>
      </c>
      <c r="AD5231">
        <v>-1.1038945658311901</v>
      </c>
      <c r="AE5231">
        <v>2.61293</v>
      </c>
      <c r="AF5231">
        <v>-2.51325948550739</v>
      </c>
      <c r="AG5231">
        <v>-1.1038945658311901</v>
      </c>
      <c r="AH5231">
        <v>20.933278187835299</v>
      </c>
      <c r="AI5231">
        <v>92.997152722991203</v>
      </c>
      <c r="AJ5231">
        <v>96.846189603013201</v>
      </c>
      <c r="AK5231">
        <v>21.112489008718601</v>
      </c>
    </row>
    <row r="5232" spans="1:37" x14ac:dyDescent="0.2">
      <c r="A5232" t="str">
        <f>"20200111160322815"</f>
        <v>20200111160322815</v>
      </c>
      <c r="B5232" t="str">
        <f>"1578729802808753"</f>
        <v>1578729802808753</v>
      </c>
      <c r="C5232" t="s">
        <v>37</v>
      </c>
      <c r="D5232">
        <v>3.8945539999999998</v>
      </c>
      <c r="E5232">
        <v>0.47652669999999903</v>
      </c>
      <c r="F5232" t="s">
        <v>95</v>
      </c>
      <c r="G5232">
        <v>-249.9932</v>
      </c>
      <c r="H5232" s="1">
        <v>-3.3635149999999998E-6</v>
      </c>
      <c r="I5232">
        <v>-60.883879999999998</v>
      </c>
      <c r="J5232">
        <v>-271.58479999999997</v>
      </c>
      <c r="K5232">
        <v>1.1039110000000001</v>
      </c>
      <c r="L5232">
        <v>-63.583009999999902</v>
      </c>
      <c r="M5232">
        <v>0.99996189999999996</v>
      </c>
      <c r="N5232">
        <v>0</v>
      </c>
      <c r="O5232">
        <v>4.6359629999999999E-3</v>
      </c>
      <c r="P5232">
        <v>0.9981719</v>
      </c>
      <c r="Q5232">
        <v>-9.9604869999999901E-3</v>
      </c>
      <c r="R5232">
        <v>5.9615410000000001E-2</v>
      </c>
      <c r="S5232">
        <v>2.9819640000000001</v>
      </c>
      <c r="T5232">
        <v>-0.15181329999999901</v>
      </c>
      <c r="U5232">
        <v>0.37127690000000002</v>
      </c>
      <c r="V5232">
        <v>-5.4986029999999998E-2</v>
      </c>
      <c r="W5232">
        <v>-2.5839970000000002E-3</v>
      </c>
      <c r="X5232">
        <v>0.99848379999999903</v>
      </c>
      <c r="Y5232">
        <v>-0.11880599999999999</v>
      </c>
      <c r="Z5232">
        <v>2.7757289999999998E-3</v>
      </c>
      <c r="AA5232">
        <v>0.99291359999999995</v>
      </c>
      <c r="AB5232">
        <v>16</v>
      </c>
      <c r="AC5232">
        <v>21.5915999999999</v>
      </c>
      <c r="AD5232">
        <v>-1.1039143635149999</v>
      </c>
      <c r="AE5232">
        <v>2.6991299999999798</v>
      </c>
      <c r="AF5232">
        <v>-2.5923283837849</v>
      </c>
      <c r="AG5232">
        <v>-1.1039143635149999</v>
      </c>
      <c r="AH5232">
        <v>21.548421059812799</v>
      </c>
      <c r="AI5232">
        <v>92.911711181626501</v>
      </c>
      <c r="AJ5232">
        <v>96.859857319218307</v>
      </c>
      <c r="AK5232">
        <v>21.731848599287002</v>
      </c>
    </row>
    <row r="5233" spans="1:37" x14ac:dyDescent="0.2">
      <c r="A5233" t="str">
        <f>"20200111160322827"</f>
        <v>20200111160322827</v>
      </c>
      <c r="B5233" t="str">
        <f>"1578729802818515"</f>
        <v>1578729802818515</v>
      </c>
      <c r="C5233" t="s">
        <v>37</v>
      </c>
      <c r="D5233">
        <v>4.1280409999999996</v>
      </c>
      <c r="E5233">
        <v>0.4765643</v>
      </c>
      <c r="F5233" t="s">
        <v>95</v>
      </c>
      <c r="G5233">
        <v>-249.2681</v>
      </c>
      <c r="H5233" s="1">
        <v>-3.0687860000000002E-6</v>
      </c>
      <c r="I5233">
        <v>-60.780740000000002</v>
      </c>
      <c r="J5233">
        <v>-271.49380000000002</v>
      </c>
      <c r="K5233">
        <v>1.103923</v>
      </c>
      <c r="L5233">
        <v>-63.582340000000002</v>
      </c>
      <c r="M5233">
        <v>0.99996219999999902</v>
      </c>
      <c r="N5233">
        <v>0</v>
      </c>
      <c r="O5233">
        <v>4.8591429999999998E-3</v>
      </c>
      <c r="P5233">
        <v>0.99811039999999995</v>
      </c>
      <c r="Q5233">
        <v>-9.5936119999999996E-3</v>
      </c>
      <c r="R5233">
        <v>6.0694230000000002E-2</v>
      </c>
      <c r="S5233">
        <v>2.98162799999999</v>
      </c>
      <c r="T5233">
        <v>-0.14748849999999999</v>
      </c>
      <c r="U5233">
        <v>0.37438959999999999</v>
      </c>
      <c r="V5233">
        <v>-5.5842559999999999E-2</v>
      </c>
      <c r="W5233">
        <v>-2.3980629999999902E-3</v>
      </c>
      <c r="X5233">
        <v>0.99843669999999995</v>
      </c>
      <c r="Y5233">
        <v>-0.119626199999999</v>
      </c>
      <c r="Z5233">
        <v>2.7060840000000001E-3</v>
      </c>
      <c r="AA5233">
        <v>0.99281529999999996</v>
      </c>
      <c r="AB5233">
        <v>16</v>
      </c>
      <c r="AC5233">
        <v>22.2257</v>
      </c>
      <c r="AD5233">
        <v>-1.103926068786</v>
      </c>
      <c r="AE5233">
        <v>2.8016000000000001</v>
      </c>
      <c r="AF5233">
        <v>-2.6870410131357398</v>
      </c>
      <c r="AG5233">
        <v>-1.103926068786</v>
      </c>
      <c r="AH5233">
        <v>22.1851765292562</v>
      </c>
      <c r="AI5233">
        <v>92.828033111855603</v>
      </c>
      <c r="AJ5233">
        <v>96.905955162529906</v>
      </c>
      <c r="AK5233">
        <v>22.374559209197301</v>
      </c>
    </row>
    <row r="5234" spans="1:37" x14ac:dyDescent="0.2">
      <c r="A5234" t="str">
        <f>"20200111160322839"</f>
        <v>20200111160322839</v>
      </c>
      <c r="B5234" t="str">
        <f>"1578729802828273"</f>
        <v>1578729802828273</v>
      </c>
      <c r="C5234" t="s">
        <v>37</v>
      </c>
      <c r="D5234">
        <v>3.8940299999999999</v>
      </c>
      <c r="E5234">
        <v>0.47651399999999999</v>
      </c>
      <c r="F5234" t="s">
        <v>95</v>
      </c>
      <c r="G5234">
        <v>-248.97499999999999</v>
      </c>
      <c r="H5234" s="1">
        <v>-2.930195E-6</v>
      </c>
      <c r="I5234">
        <v>-60.732500000000002</v>
      </c>
      <c r="J5234">
        <v>-271.40300000000002</v>
      </c>
      <c r="K5234">
        <v>1.1039319999999999</v>
      </c>
      <c r="L5234">
        <v>-63.581629999999997</v>
      </c>
      <c r="M5234">
        <v>0.99996200000000002</v>
      </c>
      <c r="N5234">
        <v>0</v>
      </c>
      <c r="O5234">
        <v>5.097575E-3</v>
      </c>
      <c r="P5234">
        <v>0.99804059999999895</v>
      </c>
      <c r="Q5234">
        <v>-9.4988309999999992E-3</v>
      </c>
      <c r="R5234">
        <v>6.1845770000000001E-2</v>
      </c>
      <c r="S5234">
        <v>2.9813230000000002</v>
      </c>
      <c r="T5234">
        <v>-0.14615149999999999</v>
      </c>
      <c r="U5234">
        <v>0.37728879999999998</v>
      </c>
      <c r="V5234">
        <v>-5.6756630000000002E-2</v>
      </c>
      <c r="W5234">
        <v>-2.4642309999999999E-3</v>
      </c>
      <c r="X5234">
        <v>0.99838499999999997</v>
      </c>
      <c r="Y5234">
        <v>-0.1203543</v>
      </c>
      <c r="Z5234">
        <v>2.687825E-3</v>
      </c>
      <c r="AA5234">
        <v>0.99272739999999904</v>
      </c>
      <c r="AB5234">
        <v>16</v>
      </c>
      <c r="AC5234">
        <v>22.428000000000001</v>
      </c>
      <c r="AD5234">
        <v>-1.1039349301950001</v>
      </c>
      <c r="AE5234">
        <v>2.8491300000000002</v>
      </c>
      <c r="AF5234">
        <v>-2.7282568406136698</v>
      </c>
      <c r="AG5234">
        <v>-1.1039349301950001</v>
      </c>
      <c r="AH5234">
        <v>22.388851801011299</v>
      </c>
      <c r="AI5234">
        <v>92.802122106326493</v>
      </c>
      <c r="AJ5234">
        <v>96.947684854637103</v>
      </c>
      <c r="AK5234">
        <v>22.581469010808501</v>
      </c>
    </row>
    <row r="5235" spans="1:37" x14ac:dyDescent="0.2">
      <c r="A5235" t="str">
        <f>"20200111160322852"</f>
        <v>20200111160322852</v>
      </c>
      <c r="B5235" t="str">
        <f>"1578729802848769"</f>
        <v>1578729802848769</v>
      </c>
      <c r="C5235" t="s">
        <v>37</v>
      </c>
      <c r="D5235">
        <v>4.2980349999999996</v>
      </c>
      <c r="E5235">
        <v>0.47620990000000002</v>
      </c>
      <c r="F5235" t="s">
        <v>95</v>
      </c>
      <c r="G5235">
        <v>-248.56139999999999</v>
      </c>
      <c r="H5235" s="1">
        <v>-2.7340960000000001E-6</v>
      </c>
      <c r="I5235">
        <v>-60.662209999999902</v>
      </c>
      <c r="J5235">
        <v>-271.3141</v>
      </c>
      <c r="K5235">
        <v>1.1039399999999999</v>
      </c>
      <c r="L5235">
        <v>-63.5809</v>
      </c>
      <c r="M5235">
        <v>0.99996200000000002</v>
      </c>
      <c r="N5235">
        <v>0</v>
      </c>
      <c r="O5235">
        <v>5.3374260000000001E-3</v>
      </c>
      <c r="P5235">
        <v>0.99796499999999999</v>
      </c>
      <c r="Q5235">
        <v>-9.3874130000000007E-3</v>
      </c>
      <c r="R5235">
        <v>6.3071799999999997E-2</v>
      </c>
      <c r="S5235">
        <v>2.9808650000000001</v>
      </c>
      <c r="T5235">
        <v>-0.14406529999999901</v>
      </c>
      <c r="U5235">
        <v>0.38098140000000003</v>
      </c>
      <c r="V5235">
        <v>-5.7743009999999997E-2</v>
      </c>
      <c r="W5235">
        <v>-2.502514E-3</v>
      </c>
      <c r="X5235">
        <v>0.99832829999999995</v>
      </c>
      <c r="Y5235">
        <v>-0.1213482</v>
      </c>
      <c r="Z5235">
        <v>2.6620699999999999E-3</v>
      </c>
      <c r="AA5235">
        <v>0.9926064</v>
      </c>
      <c r="AB5235">
        <v>16</v>
      </c>
      <c r="AC5235">
        <v>22.752700000000001</v>
      </c>
      <c r="AD5235">
        <v>-1.103942734096</v>
      </c>
      <c r="AE5235">
        <v>2.9186899999999998</v>
      </c>
      <c r="AF5235">
        <v>-2.79074132484347</v>
      </c>
      <c r="AG5235">
        <v>-1.103942734096</v>
      </c>
      <c r="AH5235">
        <v>22.715345776203002</v>
      </c>
      <c r="AI5235">
        <v>92.761596559387201</v>
      </c>
      <c r="AJ5235">
        <v>97.004093965941095</v>
      </c>
      <c r="AK5235">
        <v>22.912744498091399</v>
      </c>
    </row>
    <row r="5236" spans="1:37" x14ac:dyDescent="0.2">
      <c r="A5236" t="str">
        <f>"20200111160322866"</f>
        <v>20200111160322866</v>
      </c>
      <c r="B5236" t="str">
        <f>"1578729802858530"</f>
        <v>1578729802858530</v>
      </c>
      <c r="C5236" t="s">
        <v>37</v>
      </c>
      <c r="D5236">
        <v>4.0636599999999996</v>
      </c>
      <c r="E5236">
        <v>0.47625099999999998</v>
      </c>
      <c r="F5236" t="s">
        <v>95</v>
      </c>
      <c r="G5236">
        <v>-248.0033</v>
      </c>
      <c r="H5236" s="1">
        <v>-2.4661489999999999E-6</v>
      </c>
      <c r="I5236">
        <v>-60.555160000000001</v>
      </c>
      <c r="J5236">
        <v>-271.2047</v>
      </c>
      <c r="K5236">
        <v>1.103947</v>
      </c>
      <c r="L5236">
        <v>-63.579990000000002</v>
      </c>
      <c r="M5236">
        <v>0.99996130000000005</v>
      </c>
      <c r="N5236">
        <v>0</v>
      </c>
      <c r="O5236">
        <v>5.645906E-3</v>
      </c>
      <c r="P5236">
        <v>0.99790389999999995</v>
      </c>
      <c r="Q5236">
        <v>-9.2493799999999998E-3</v>
      </c>
      <c r="R5236">
        <v>6.405218E-2</v>
      </c>
      <c r="S5236">
        <v>2.9803470000000001</v>
      </c>
      <c r="T5236">
        <v>-0.14114189999999999</v>
      </c>
      <c r="U5236">
        <v>0.38684079999999998</v>
      </c>
      <c r="V5236">
        <v>-5.841611E-2</v>
      </c>
      <c r="W5236">
        <v>-2.5286919999999999E-3</v>
      </c>
      <c r="X5236">
        <v>0.99828909999999904</v>
      </c>
      <c r="Y5236">
        <v>-0.1229871</v>
      </c>
      <c r="Z5236">
        <v>2.6323229999999898E-3</v>
      </c>
      <c r="AA5236">
        <v>0.99240479999999998</v>
      </c>
      <c r="AB5236">
        <v>16</v>
      </c>
      <c r="AC5236">
        <v>23.2014</v>
      </c>
      <c r="AD5236">
        <v>-1.1039494661489999</v>
      </c>
      <c r="AE5236">
        <v>3.0248300000000001</v>
      </c>
      <c r="AF5236">
        <v>-2.8873582504818098</v>
      </c>
      <c r="AG5236">
        <v>-1.1039494661489999</v>
      </c>
      <c r="AH5236">
        <v>23.166536790450301</v>
      </c>
      <c r="AI5236">
        <v>92.707323298297993</v>
      </c>
      <c r="AJ5236">
        <v>97.104416744938106</v>
      </c>
      <c r="AK5236">
        <v>23.371862761742399</v>
      </c>
    </row>
    <row r="5237" spans="1:37" x14ac:dyDescent="0.2">
      <c r="A5237" t="str">
        <f>"20200111160322880"</f>
        <v>20200111160322880</v>
      </c>
      <c r="B5237" t="str">
        <f>"1578729802868289"</f>
        <v>1578729802868289</v>
      </c>
      <c r="C5237" t="s">
        <v>37</v>
      </c>
      <c r="D5237">
        <v>4.0596920000000001</v>
      </c>
      <c r="E5237">
        <v>0.47634789999999999</v>
      </c>
      <c r="F5237" t="s">
        <v>95</v>
      </c>
      <c r="G5237">
        <v>-247.63099999999901</v>
      </c>
      <c r="H5237" s="1">
        <v>-2.29185999999999E-6</v>
      </c>
      <c r="I5237">
        <v>-60.50029</v>
      </c>
      <c r="J5237">
        <v>-271.10980000000001</v>
      </c>
      <c r="K5237">
        <v>1.1039490000000001</v>
      </c>
      <c r="L5237">
        <v>-63.579099999999997</v>
      </c>
      <c r="M5237">
        <v>0.99996049999999903</v>
      </c>
      <c r="N5237">
        <v>0</v>
      </c>
      <c r="O5237">
        <v>5.9228479999999997E-3</v>
      </c>
      <c r="P5237">
        <v>0.99777499999999997</v>
      </c>
      <c r="Q5237">
        <v>-9.6496829999999992E-3</v>
      </c>
      <c r="R5237">
        <v>6.5971520000000006E-2</v>
      </c>
      <c r="S5237">
        <v>2.9800719999999998</v>
      </c>
      <c r="T5237">
        <v>-0.13955619999999999</v>
      </c>
      <c r="U5237">
        <v>0.38931270000000001</v>
      </c>
      <c r="V5237">
        <v>-6.0058689999999998E-2</v>
      </c>
      <c r="W5237">
        <v>-3.0527420000000002E-3</v>
      </c>
      <c r="X5237">
        <v>0.99819020000000003</v>
      </c>
      <c r="Y5237">
        <v>-0.123535899999999</v>
      </c>
      <c r="Z5237">
        <v>2.6027670000000002E-3</v>
      </c>
      <c r="AA5237">
        <v>0.99233669999999996</v>
      </c>
      <c r="AB5237">
        <v>16</v>
      </c>
      <c r="AC5237">
        <v>23.4788</v>
      </c>
      <c r="AD5237">
        <v>-1.1039512918600001</v>
      </c>
      <c r="AE5237">
        <v>3.0788099999999901</v>
      </c>
      <c r="AF5237">
        <v>-2.93331624968088</v>
      </c>
      <c r="AG5237">
        <v>-1.1039512918600001</v>
      </c>
      <c r="AH5237">
        <v>23.445666607199001</v>
      </c>
      <c r="AI5237">
        <v>92.6749866226058</v>
      </c>
      <c r="AJ5237">
        <v>97.131291376091596</v>
      </c>
      <c r="AK5237">
        <v>23.654224471146101</v>
      </c>
    </row>
    <row r="5238" spans="1:37" x14ac:dyDescent="0.2">
      <c r="A5238" t="str">
        <f>"20200111160322891"</f>
        <v>20200111160322891</v>
      </c>
      <c r="B5238" t="str">
        <f>"1578729802888785"</f>
        <v>1578729802888785</v>
      </c>
      <c r="C5238" t="s">
        <v>37</v>
      </c>
      <c r="D5238">
        <v>4.1412089999999999</v>
      </c>
      <c r="E5238">
        <v>0.47618329999999998</v>
      </c>
      <c r="F5238" t="s">
        <v>95</v>
      </c>
      <c r="G5238">
        <v>-247.8527</v>
      </c>
      <c r="H5238" s="1">
        <v>-2.387555E-6</v>
      </c>
      <c r="I5238">
        <v>-60.502540000000003</v>
      </c>
      <c r="J5238">
        <v>-271.02629999999999</v>
      </c>
      <c r="K5238">
        <v>1.103952</v>
      </c>
      <c r="L5238">
        <v>-63.578339999999997</v>
      </c>
      <c r="M5238">
        <v>0.99995959999999995</v>
      </c>
      <c r="N5238">
        <v>0</v>
      </c>
      <c r="O5238">
        <v>6.1694219999999999E-3</v>
      </c>
      <c r="P5238">
        <v>0.99771909999999897</v>
      </c>
      <c r="Q5238">
        <v>-9.5916130000000006E-3</v>
      </c>
      <c r="R5238">
        <v>6.6818069999999993E-2</v>
      </c>
      <c r="S5238">
        <v>2.979279</v>
      </c>
      <c r="T5238">
        <v>-0.14141789999999901</v>
      </c>
      <c r="U5238">
        <v>0.39410400000000001</v>
      </c>
      <c r="V5238">
        <v>-6.0659829999999998E-2</v>
      </c>
      <c r="W5238">
        <v>-3.0957429999999898E-3</v>
      </c>
      <c r="X5238">
        <v>0.99815370000000003</v>
      </c>
      <c r="Y5238">
        <v>-0.12488920000000001</v>
      </c>
      <c r="Z5238">
        <v>2.6581869999999998E-3</v>
      </c>
      <c r="AA5238">
        <v>0.99216709999999997</v>
      </c>
      <c r="AB5238">
        <v>16</v>
      </c>
      <c r="AC5238">
        <v>23.1736</v>
      </c>
      <c r="AD5238">
        <v>-1.103954387555</v>
      </c>
      <c r="AE5238">
        <v>3.0758000000000001</v>
      </c>
      <c r="AF5238">
        <v>-2.9262447713156798</v>
      </c>
      <c r="AG5238">
        <v>-1.103954387555</v>
      </c>
      <c r="AH5238">
        <v>23.140528798537201</v>
      </c>
      <c r="AI5238">
        <v>92.709764741302294</v>
      </c>
      <c r="AJ5238">
        <v>97.207106837190594</v>
      </c>
      <c r="AK5238">
        <v>23.350924967276601</v>
      </c>
    </row>
    <row r="5239" spans="1:37" x14ac:dyDescent="0.2">
      <c r="A5239" t="str">
        <f>"20200111160322902"</f>
        <v>20200111160322902</v>
      </c>
      <c r="B5239" t="str">
        <f>"1578729802898545"</f>
        <v>1578729802898545</v>
      </c>
      <c r="C5239" t="s">
        <v>37</v>
      </c>
      <c r="D5239">
        <v>4.097232</v>
      </c>
      <c r="E5239">
        <v>0.47618369999999999</v>
      </c>
      <c r="F5239" t="s">
        <v>95</v>
      </c>
      <c r="G5239">
        <v>-247.64940000000001</v>
      </c>
      <c r="H5239" s="1">
        <v>-2.2882450000000001E-6</v>
      </c>
      <c r="I5239">
        <v>-60.457050000000002</v>
      </c>
      <c r="J5239">
        <v>-270.94299999999998</v>
      </c>
      <c r="K5239">
        <v>1.1039570000000001</v>
      </c>
      <c r="L5239">
        <v>-63.577550000000002</v>
      </c>
      <c r="M5239">
        <v>0.99995859999999903</v>
      </c>
      <c r="N5239">
        <v>0</v>
      </c>
      <c r="O5239">
        <v>6.4202759999999999E-3</v>
      </c>
      <c r="P5239">
        <v>0.99765930000000003</v>
      </c>
      <c r="Q5239">
        <v>-9.4325509999999904E-3</v>
      </c>
      <c r="R5239">
        <v>6.7726990000000001E-2</v>
      </c>
      <c r="S5239">
        <v>2.9789119999999998</v>
      </c>
      <c r="T5239">
        <v>-0.14067639999999901</v>
      </c>
      <c r="U5239">
        <v>0.39773559999999902</v>
      </c>
      <c r="V5239">
        <v>-6.1318549999999999E-2</v>
      </c>
      <c r="W5239">
        <v>-3.0219589999999998E-3</v>
      </c>
      <c r="X5239">
        <v>0.99811369999999899</v>
      </c>
      <c r="Y5239">
        <v>-0.12584529999999999</v>
      </c>
      <c r="Z5239">
        <v>2.6550529999999901E-3</v>
      </c>
      <c r="AA5239">
        <v>0.99204639999999999</v>
      </c>
      <c r="AB5239">
        <v>16</v>
      </c>
      <c r="AC5239">
        <v>23.293599999999898</v>
      </c>
      <c r="AD5239">
        <v>-1.103959288245</v>
      </c>
      <c r="AE5239">
        <v>3.1204999999999998</v>
      </c>
      <c r="AF5239">
        <v>-2.96434035455334</v>
      </c>
      <c r="AG5239">
        <v>-1.103959288245</v>
      </c>
      <c r="AH5239">
        <v>23.2618270782026</v>
      </c>
      <c r="AI5239">
        <v>92.695338623882407</v>
      </c>
      <c r="AJ5239">
        <v>97.262269649584894</v>
      </c>
      <c r="AK5239">
        <v>23.4759161453592</v>
      </c>
    </row>
    <row r="5240" spans="1:37" x14ac:dyDescent="0.2">
      <c r="A5240" t="str">
        <f>"20200111160322915"</f>
        <v>20200111160322915</v>
      </c>
      <c r="B5240" t="str">
        <f>"1578729802908304"</f>
        <v>1578729802908304</v>
      </c>
      <c r="C5240" t="s">
        <v>37</v>
      </c>
      <c r="D5240">
        <v>4.0565749999999996</v>
      </c>
      <c r="E5240">
        <v>0.47625059999999902</v>
      </c>
      <c r="F5240" t="s">
        <v>95</v>
      </c>
      <c r="G5240">
        <v>-247.16759999999999</v>
      </c>
      <c r="H5240" s="1">
        <v>-2.0622809999999998E-6</v>
      </c>
      <c r="I5240">
        <v>-60.382199999999997</v>
      </c>
      <c r="J5240">
        <v>-270.84949999999998</v>
      </c>
      <c r="K5240">
        <v>1.1039559999999999</v>
      </c>
      <c r="L5240">
        <v>-63.576599999999999</v>
      </c>
      <c r="M5240">
        <v>0.99995730000000005</v>
      </c>
      <c r="N5240">
        <v>0</v>
      </c>
      <c r="O5240">
        <v>6.7033680000000003E-3</v>
      </c>
      <c r="P5240">
        <v>0.99758819999999904</v>
      </c>
      <c r="Q5240">
        <v>-9.122659E-3</v>
      </c>
      <c r="R5240">
        <v>6.881002E-2</v>
      </c>
      <c r="S5240">
        <v>2.9785459999999899</v>
      </c>
      <c r="T5240">
        <v>-0.13830209999999901</v>
      </c>
      <c r="U5240">
        <v>0.40029910000000002</v>
      </c>
      <c r="V5240">
        <v>-6.2119580000000001E-2</v>
      </c>
      <c r="W5240">
        <v>-2.7982850000000002E-3</v>
      </c>
      <c r="X5240">
        <v>0.99806479999999997</v>
      </c>
      <c r="Y5240">
        <v>-0.12642319999999899</v>
      </c>
      <c r="Z5240">
        <v>2.6107320000000002E-3</v>
      </c>
      <c r="AA5240">
        <v>0.99197299999999999</v>
      </c>
      <c r="AB5240">
        <v>16</v>
      </c>
      <c r="AC5240">
        <v>23.681899999999899</v>
      </c>
      <c r="AD5240">
        <v>-1.1039580622809999</v>
      </c>
      <c r="AE5240">
        <v>3.1943999999999999</v>
      </c>
      <c r="AF5240">
        <v>-3.0291117023235801</v>
      </c>
      <c r="AG5240">
        <v>-1.1039580622809999</v>
      </c>
      <c r="AH5240">
        <v>23.652302116722701</v>
      </c>
      <c r="AI5240">
        <v>92.650691261274204</v>
      </c>
      <c r="AJ5240">
        <v>97.298050258787995</v>
      </c>
      <c r="AK5240">
        <v>23.8710208522625</v>
      </c>
    </row>
    <row r="5241" spans="1:37" x14ac:dyDescent="0.2">
      <c r="A5241" t="str">
        <f>"20200111160322925"</f>
        <v>20200111160322925</v>
      </c>
      <c r="B5241" t="str">
        <f>"1578729802918065"</f>
        <v>1578729802918065</v>
      </c>
      <c r="C5241" t="s">
        <v>37</v>
      </c>
      <c r="D5241">
        <v>4.2023219999999997</v>
      </c>
      <c r="E5241">
        <v>0.47612299999999902</v>
      </c>
      <c r="F5241" t="s">
        <v>95</v>
      </c>
      <c r="G5241">
        <v>-246.71360000000001</v>
      </c>
      <c r="H5241" s="1">
        <v>-1.8800180000000001E-6</v>
      </c>
      <c r="I5241">
        <v>-60.311680000000003</v>
      </c>
      <c r="J5241">
        <v>-270.77050000000003</v>
      </c>
      <c r="K5241">
        <v>1.1039570000000001</v>
      </c>
      <c r="L5241">
        <v>-63.575809999999997</v>
      </c>
      <c r="M5241">
        <v>0.99995610000000001</v>
      </c>
      <c r="N5241">
        <v>0</v>
      </c>
      <c r="O5241">
        <v>6.9434680000000004E-3</v>
      </c>
      <c r="P5241">
        <v>0.99751859999999903</v>
      </c>
      <c r="Q5241">
        <v>-8.8638499999999995E-3</v>
      </c>
      <c r="R5241">
        <v>6.9845649999999995E-2</v>
      </c>
      <c r="S5241">
        <v>2.9782099999999998</v>
      </c>
      <c r="T5241">
        <v>-0.13622089999999901</v>
      </c>
      <c r="U5241">
        <v>0.40286250000000001</v>
      </c>
      <c r="V5241">
        <v>-6.2915799999999994E-2</v>
      </c>
      <c r="W5241">
        <v>-2.6040939999999999E-3</v>
      </c>
      <c r="X5241">
        <v>0.99801550000000006</v>
      </c>
      <c r="Y5241">
        <v>-0.12704169999999901</v>
      </c>
      <c r="Z5241">
        <v>2.5747779999999998E-3</v>
      </c>
      <c r="AA5241">
        <v>0.99189400000000005</v>
      </c>
      <c r="AB5241">
        <v>17</v>
      </c>
      <c r="AC5241">
        <v>24.056899999999999</v>
      </c>
      <c r="AD5241">
        <v>-1.103958880018</v>
      </c>
      <c r="AE5241">
        <v>3.26412999999999</v>
      </c>
      <c r="AF5241">
        <v>-3.0906189775575199</v>
      </c>
      <c r="AG5241">
        <v>-1.103958880018</v>
      </c>
      <c r="AH5241">
        <v>24.029297650000299</v>
      </c>
      <c r="AI5241">
        <v>92.608983362605201</v>
      </c>
      <c r="AJ5241">
        <v>97.329075631673902</v>
      </c>
      <c r="AK5241">
        <v>24.2523771293768</v>
      </c>
    </row>
    <row r="5242" spans="1:37" x14ac:dyDescent="0.2">
      <c r="A5242" t="str">
        <f>"20200111160322936"</f>
        <v>20200111160322936</v>
      </c>
      <c r="B5242" t="str">
        <f>"1578729802928800"</f>
        <v>1578729802928800</v>
      </c>
      <c r="C5242" t="s">
        <v>37</v>
      </c>
      <c r="D5242">
        <v>4.019253</v>
      </c>
      <c r="E5242">
        <v>0.47625919999999999</v>
      </c>
      <c r="F5242" t="s">
        <v>95</v>
      </c>
      <c r="G5242">
        <v>-246.4359</v>
      </c>
      <c r="H5242" s="1">
        <v>-1.771641E-6</v>
      </c>
      <c r="I5242">
        <v>-60.251109999999997</v>
      </c>
      <c r="J5242">
        <v>-270.69099999999997</v>
      </c>
      <c r="K5242">
        <v>1.1039600000000001</v>
      </c>
      <c r="L5242">
        <v>-63.574950000000001</v>
      </c>
      <c r="M5242">
        <v>0.99995480000000003</v>
      </c>
      <c r="N5242">
        <v>0</v>
      </c>
      <c r="O5242">
        <v>7.1851989999999998E-3</v>
      </c>
      <c r="P5242">
        <v>0.99745669999999897</v>
      </c>
      <c r="Q5242">
        <v>-8.5829089999999997E-3</v>
      </c>
      <c r="R5242">
        <v>7.0758680000000004E-2</v>
      </c>
      <c r="S5242">
        <v>2.9777830000000001</v>
      </c>
      <c r="T5242">
        <v>-0.1350895</v>
      </c>
      <c r="U5242">
        <v>0.40682979999999902</v>
      </c>
      <c r="V5242">
        <v>-6.3588259999999994E-2</v>
      </c>
      <c r="W5242">
        <v>-2.3781179999999998E-3</v>
      </c>
      <c r="X5242">
        <v>0.99797340000000001</v>
      </c>
      <c r="Y5242">
        <v>-0.1281195</v>
      </c>
      <c r="Z5242">
        <v>2.5669619999999999E-3</v>
      </c>
      <c r="AA5242">
        <v>0.99175539999999995</v>
      </c>
      <c r="AB5242">
        <v>17</v>
      </c>
      <c r="AC5242">
        <v>24.255099999999899</v>
      </c>
      <c r="AD5242">
        <v>-1.103961771641</v>
      </c>
      <c r="AE5242">
        <v>3.3238400000000001</v>
      </c>
      <c r="AF5242">
        <v>-3.1430819670830301</v>
      </c>
      <c r="AG5242">
        <v>-1.103961771641</v>
      </c>
      <c r="AH5242">
        <v>24.229089444365702</v>
      </c>
      <c r="AI5242">
        <v>92.587143303210496</v>
      </c>
      <c r="AJ5242">
        <v>97.391331841935397</v>
      </c>
      <c r="AK5242">
        <v>24.457033163246098</v>
      </c>
    </row>
    <row r="5243" spans="1:37" x14ac:dyDescent="0.2">
      <c r="A5243" t="str">
        <f>"20200111160322948"</f>
        <v>20200111160322948</v>
      </c>
      <c r="B5243" t="str">
        <f>"1578729802938561"</f>
        <v>1578729802938561</v>
      </c>
      <c r="C5243" t="s">
        <v>37</v>
      </c>
      <c r="D5243">
        <v>4.0126910000000002</v>
      </c>
      <c r="E5243">
        <v>0.47641</v>
      </c>
      <c r="F5243" t="s">
        <v>95</v>
      </c>
      <c r="G5243">
        <v>-246.27889999999999</v>
      </c>
      <c r="H5243" s="1">
        <v>-1.70865999999999E-6</v>
      </c>
      <c r="I5243">
        <v>-60.226569999999903</v>
      </c>
      <c r="J5243">
        <v>-270.60329999999999</v>
      </c>
      <c r="K5243">
        <v>1.103961</v>
      </c>
      <c r="L5243">
        <v>-63.574039999999997</v>
      </c>
      <c r="M5243">
        <v>0.99995309999999904</v>
      </c>
      <c r="N5243">
        <v>0</v>
      </c>
      <c r="O5243">
        <v>7.4517239999999998E-3</v>
      </c>
      <c r="P5243">
        <v>0.99738470000000001</v>
      </c>
      <c r="Q5243">
        <v>-8.1388499999999996E-3</v>
      </c>
      <c r="R5243">
        <v>7.1816060000000001E-2</v>
      </c>
      <c r="S5243">
        <v>2.9774780000000001</v>
      </c>
      <c r="T5243">
        <v>-0.1346474</v>
      </c>
      <c r="U5243">
        <v>0.40838619999999998</v>
      </c>
      <c r="V5243">
        <v>-6.4380599999999996E-2</v>
      </c>
      <c r="W5243">
        <v>-1.9900899999999999E-3</v>
      </c>
      <c r="X5243">
        <v>0.99792340000000002</v>
      </c>
      <c r="Y5243">
        <v>-0.128378399999999</v>
      </c>
      <c r="Z5243">
        <v>2.5525769999999999E-3</v>
      </c>
      <c r="AA5243">
        <v>0.99172199999999899</v>
      </c>
      <c r="AB5243">
        <v>17</v>
      </c>
      <c r="AC5243">
        <v>24.324400000000001</v>
      </c>
      <c r="AD5243">
        <v>-1.1039627086599999</v>
      </c>
      <c r="AE5243">
        <v>3.3474699999999999</v>
      </c>
      <c r="AF5243">
        <v>-3.1597274424872199</v>
      </c>
      <c r="AG5243">
        <v>-1.1039627086599999</v>
      </c>
      <c r="AH5243">
        <v>24.299547672985501</v>
      </c>
      <c r="AI5243">
        <v>92.579552408597394</v>
      </c>
      <c r="AJ5243">
        <v>97.408735194090596</v>
      </c>
      <c r="AK5243">
        <v>24.528975279954398</v>
      </c>
    </row>
    <row r="5244" spans="1:37" x14ac:dyDescent="0.2">
      <c r="A5244" t="str">
        <f>"20200111160322959"</f>
        <v>20200111160322959</v>
      </c>
      <c r="B5244" t="str">
        <f>"1578729802948321"</f>
        <v>1578729802948321</v>
      </c>
      <c r="C5244" t="s">
        <v>37</v>
      </c>
      <c r="D5244">
        <v>4.0382030000000002</v>
      </c>
      <c r="E5244">
        <v>0.47652619999999901</v>
      </c>
      <c r="F5244" t="s">
        <v>95</v>
      </c>
      <c r="G5244">
        <v>-245.9905</v>
      </c>
      <c r="H5244" s="1">
        <v>-1.5927719999999899E-6</v>
      </c>
      <c r="I5244">
        <v>-60.182200000000002</v>
      </c>
      <c r="J5244">
        <v>-270.52260000000001</v>
      </c>
      <c r="K5244">
        <v>1.103961</v>
      </c>
      <c r="L5244">
        <v>-63.573149999999998</v>
      </c>
      <c r="M5244">
        <v>0.99995140000000005</v>
      </c>
      <c r="N5244">
        <v>0</v>
      </c>
      <c r="O5244">
        <v>7.6951819999999897E-3</v>
      </c>
      <c r="P5244">
        <v>0.99732339999999997</v>
      </c>
      <c r="Q5244">
        <v>-7.7861029999999999E-3</v>
      </c>
      <c r="R5244">
        <v>7.2701189999999999E-2</v>
      </c>
      <c r="S5244">
        <v>2.9772340000000002</v>
      </c>
      <c r="T5244">
        <v>-0.1335384</v>
      </c>
      <c r="U5244">
        <v>0.41027829999999899</v>
      </c>
      <c r="V5244">
        <v>-6.5023499999999998E-2</v>
      </c>
      <c r="W5244">
        <v>-1.674982E-3</v>
      </c>
      <c r="X5244">
        <v>0.9978823</v>
      </c>
      <c r="Y5244">
        <v>-0.1287683</v>
      </c>
      <c r="Z5244">
        <v>2.5295090000000001E-3</v>
      </c>
      <c r="AA5244">
        <v>0.99167150000000004</v>
      </c>
      <c r="AB5244">
        <v>17</v>
      </c>
      <c r="AC5244">
        <v>24.5321</v>
      </c>
      <c r="AD5244">
        <v>-1.103962592772</v>
      </c>
      <c r="AE5244">
        <v>3.3909499999999899</v>
      </c>
      <c r="AF5244">
        <v>-3.1957168256399102</v>
      </c>
      <c r="AG5244">
        <v>-1.103962592772</v>
      </c>
      <c r="AH5244">
        <v>24.508766707168299</v>
      </c>
      <c r="AI5244">
        <v>92.557443951806405</v>
      </c>
      <c r="AJ5244">
        <v>97.428928090587206</v>
      </c>
      <c r="AK5244">
        <v>24.740876802213801</v>
      </c>
    </row>
    <row r="5245" spans="1:37" x14ac:dyDescent="0.2">
      <c r="A5245" t="str">
        <f>"20200111160322970"</f>
        <v>20200111160322970</v>
      </c>
      <c r="B5245" t="str">
        <f>"1578729802958080"</f>
        <v>1578729802958080</v>
      </c>
      <c r="C5245" t="s">
        <v>37</v>
      </c>
      <c r="D5245">
        <v>3.9459559999999998</v>
      </c>
      <c r="E5245">
        <v>0.47668509999999997</v>
      </c>
      <c r="F5245" t="s">
        <v>95</v>
      </c>
      <c r="G5245">
        <v>-245.79470000000001</v>
      </c>
      <c r="H5245" s="1">
        <v>-1.5142329999999999E-6</v>
      </c>
      <c r="I5245">
        <v>-60.15155</v>
      </c>
      <c r="J5245">
        <v>-270.43709999999999</v>
      </c>
      <c r="K5245">
        <v>1.103963</v>
      </c>
      <c r="L5245">
        <v>-63.572200000000002</v>
      </c>
      <c r="M5245">
        <v>0.9999498</v>
      </c>
      <c r="N5245">
        <v>0</v>
      </c>
      <c r="O5245">
        <v>7.9528829999999991E-3</v>
      </c>
      <c r="P5245">
        <v>0.99724919999999995</v>
      </c>
      <c r="Q5245">
        <v>-7.5456280000000004E-3</v>
      </c>
      <c r="R5245">
        <v>7.3738570000000003E-2</v>
      </c>
      <c r="S5245">
        <v>2.9770509999999999</v>
      </c>
      <c r="T5245">
        <v>-0.13290850000000001</v>
      </c>
      <c r="U5245">
        <v>0.41192629999999902</v>
      </c>
      <c r="V5245">
        <v>-6.5804340000000003E-2</v>
      </c>
      <c r="W5245">
        <v>-1.4716250000000001E-3</v>
      </c>
      <c r="X5245">
        <v>0.99783149999999998</v>
      </c>
      <c r="Y5245">
        <v>-0.1290608</v>
      </c>
      <c r="Z5245">
        <v>2.512701E-3</v>
      </c>
      <c r="AA5245">
        <v>0.99163349999999995</v>
      </c>
      <c r="AB5245">
        <v>17</v>
      </c>
      <c r="AC5245">
        <v>24.642399999999899</v>
      </c>
      <c r="AD5245">
        <v>-1.1039645142329999</v>
      </c>
      <c r="AE5245">
        <v>3.4206500000000002</v>
      </c>
      <c r="AF5245">
        <v>-3.2182232295893098</v>
      </c>
      <c r="AG5245">
        <v>-1.1039645142329999</v>
      </c>
      <c r="AH5245">
        <v>24.620346636910099</v>
      </c>
      <c r="AI5245">
        <v>92.545767789496594</v>
      </c>
      <c r="AJ5245">
        <v>97.447136020848404</v>
      </c>
      <c r="AK5245">
        <v>24.854318878733402</v>
      </c>
    </row>
    <row r="5246" spans="1:37" x14ac:dyDescent="0.2">
      <c r="A5246" t="str">
        <f>"20200111160322981"</f>
        <v>20200111160322981</v>
      </c>
      <c r="B5246" t="str">
        <f>"1578729802978577"</f>
        <v>1578729802978577</v>
      </c>
      <c r="C5246" t="s">
        <v>37</v>
      </c>
      <c r="D5246">
        <v>4.2091640000000003</v>
      </c>
      <c r="E5246">
        <v>0.47698370000000001</v>
      </c>
      <c r="F5246" t="s">
        <v>95</v>
      </c>
      <c r="G5246">
        <v>-245.6301</v>
      </c>
      <c r="H5246" s="1">
        <v>-1.448479E-6</v>
      </c>
      <c r="I5246">
        <v>-60.124250000000004</v>
      </c>
      <c r="J5246">
        <v>-270.3535</v>
      </c>
      <c r="K5246">
        <v>1.1039639999999999</v>
      </c>
      <c r="L5246">
        <v>-63.57123</v>
      </c>
      <c r="M5246">
        <v>0.99994780000000005</v>
      </c>
      <c r="N5246">
        <v>0</v>
      </c>
      <c r="O5246">
        <v>8.2024330000000003E-3</v>
      </c>
      <c r="P5246">
        <v>0.99716939999999998</v>
      </c>
      <c r="Q5246">
        <v>-7.4160469999999899E-3</v>
      </c>
      <c r="R5246">
        <v>7.4824959999999996E-2</v>
      </c>
      <c r="S5246">
        <v>2.9766849999999998</v>
      </c>
      <c r="T5246">
        <v>-0.13246920000000001</v>
      </c>
      <c r="U5246">
        <v>0.41372680000000001</v>
      </c>
      <c r="V5246">
        <v>-6.6642709999999994E-2</v>
      </c>
      <c r="W5246">
        <v>-1.3642279999999899E-3</v>
      </c>
      <c r="X5246">
        <v>0.997776</v>
      </c>
      <c r="Y5246">
        <v>-0.12941900000000001</v>
      </c>
      <c r="Z5246">
        <v>2.5014909999999998E-3</v>
      </c>
      <c r="AA5246">
        <v>0.99158690000000005</v>
      </c>
      <c r="AB5246">
        <v>17</v>
      </c>
      <c r="AC5246">
        <v>24.723400000000002</v>
      </c>
      <c r="AD5246">
        <v>-1.103965448479</v>
      </c>
      <c r="AE5246">
        <v>3.4469799999999999</v>
      </c>
      <c r="AF5246">
        <v>-3.23773574511989</v>
      </c>
      <c r="AG5246">
        <v>-1.103965448479</v>
      </c>
      <c r="AH5246">
        <v>24.702528188087101</v>
      </c>
      <c r="AI5246">
        <v>92.5371958679968</v>
      </c>
      <c r="AJ5246">
        <v>97.467135333822895</v>
      </c>
      <c r="AK5246">
        <v>24.938255178538501</v>
      </c>
    </row>
    <row r="5247" spans="1:37" x14ac:dyDescent="0.2">
      <c r="A5247" t="str">
        <f>"20200111160322992"</f>
        <v>20200111160322992</v>
      </c>
      <c r="B5247" t="str">
        <f>"1578729802988337"</f>
        <v>1578729802988337</v>
      </c>
      <c r="C5247" t="s">
        <v>37</v>
      </c>
      <c r="D5247">
        <v>3.9952510000000001</v>
      </c>
      <c r="E5247">
        <v>0.47696729999999998</v>
      </c>
      <c r="F5247" t="s">
        <v>95</v>
      </c>
      <c r="G5247">
        <v>-245.4024</v>
      </c>
      <c r="H5247" s="1">
        <v>-1.3556559999999901E-6</v>
      </c>
      <c r="I5247">
        <v>-60.096819999999902</v>
      </c>
      <c r="J5247">
        <v>-270.2706</v>
      </c>
      <c r="K5247">
        <v>1.103963</v>
      </c>
      <c r="L5247">
        <v>-63.570279999999997</v>
      </c>
      <c r="M5247">
        <v>0.99994590000000005</v>
      </c>
      <c r="N5247">
        <v>0</v>
      </c>
      <c r="O5247">
        <v>8.4491119999999999E-3</v>
      </c>
      <c r="P5247">
        <v>0.99709820000000005</v>
      </c>
      <c r="Q5247">
        <v>-7.089583E-3</v>
      </c>
      <c r="R5247">
        <v>7.5796719999999998E-2</v>
      </c>
      <c r="S5247">
        <v>2.9764400000000002</v>
      </c>
      <c r="T5247">
        <v>-0.13169320000000001</v>
      </c>
      <c r="U5247">
        <v>0.41445920000000003</v>
      </c>
      <c r="V5247">
        <v>-6.7368250000000005E-2</v>
      </c>
      <c r="W5247">
        <v>-1.056195E-3</v>
      </c>
      <c r="X5247">
        <v>0.99772759999999905</v>
      </c>
      <c r="Y5247">
        <v>-0.1294265</v>
      </c>
      <c r="Z5247">
        <v>2.4763229999999999E-3</v>
      </c>
      <c r="AA5247">
        <v>0.99158590000000002</v>
      </c>
      <c r="AB5247">
        <v>17</v>
      </c>
      <c r="AC5247">
        <v>24.868200000000002</v>
      </c>
      <c r="AD5247">
        <v>-1.1039643556559999</v>
      </c>
      <c r="AE5247">
        <v>3.4734600000000002</v>
      </c>
      <c r="AF5247">
        <v>-3.25692232956367</v>
      </c>
      <c r="AG5247">
        <v>-1.1039643556559999</v>
      </c>
      <c r="AH5247">
        <v>24.848628276327901</v>
      </c>
      <c r="AI5247">
        <v>92.522294502355194</v>
      </c>
      <c r="AJ5247">
        <v>97.467220094767598</v>
      </c>
      <c r="AK5247">
        <v>25.085466062532898</v>
      </c>
    </row>
    <row r="5248" spans="1:37" x14ac:dyDescent="0.2">
      <c r="A5248" t="str">
        <f>"20200111160323003"</f>
        <v>20200111160323003</v>
      </c>
      <c r="B5248" t="str">
        <f>"1578729802998097"</f>
        <v>1578729802998097</v>
      </c>
      <c r="C5248" t="s">
        <v>37</v>
      </c>
      <c r="D5248">
        <v>4.4464730000000001</v>
      </c>
      <c r="E5248">
        <v>0.47696729999999998</v>
      </c>
      <c r="F5248" t="s">
        <v>95</v>
      </c>
      <c r="G5248">
        <v>-244.9503</v>
      </c>
      <c r="H5248" s="1">
        <v>-1.1755410000000001E-6</v>
      </c>
      <c r="I5248">
        <v>-60.018839999999997</v>
      </c>
      <c r="J5248">
        <v>-270.1789</v>
      </c>
      <c r="K5248">
        <v>1.103963</v>
      </c>
      <c r="L5248">
        <v>-63.569180000000003</v>
      </c>
      <c r="M5248">
        <v>0.99994359999999904</v>
      </c>
      <c r="N5248">
        <v>0</v>
      </c>
      <c r="O5248">
        <v>8.7193730000000007E-3</v>
      </c>
      <c r="P5248">
        <v>0.99699959999999899</v>
      </c>
      <c r="Q5248">
        <v>-6.9717519999999899E-3</v>
      </c>
      <c r="R5248">
        <v>7.7093590000000004E-2</v>
      </c>
      <c r="S5248">
        <v>2.9760740000000001</v>
      </c>
      <c r="T5248">
        <v>-0.12975699999999901</v>
      </c>
      <c r="U5248">
        <v>0.4174194</v>
      </c>
      <c r="V5248">
        <v>-6.8396810000000002E-2</v>
      </c>
      <c r="W5248">
        <v>-9.4936509999999903E-4</v>
      </c>
      <c r="X5248">
        <v>0.99765769999999998</v>
      </c>
      <c r="Y5248">
        <v>-0.13014539999999999</v>
      </c>
      <c r="Z5248">
        <v>2.4439520000000001E-3</v>
      </c>
      <c r="AA5248">
        <v>0.99149189999999998</v>
      </c>
      <c r="AB5248">
        <v>17</v>
      </c>
      <c r="AC5248">
        <v>25.2286</v>
      </c>
      <c r="AD5248">
        <v>-1.1039641755409999</v>
      </c>
      <c r="AE5248">
        <v>3.5503399999999901</v>
      </c>
      <c r="AF5248">
        <v>-3.3239822482875399</v>
      </c>
      <c r="AG5248">
        <v>-1.1039641755409999</v>
      </c>
      <c r="AH5248">
        <v>25.211261136702401</v>
      </c>
      <c r="AI5248">
        <v>92.485811321971198</v>
      </c>
      <c r="AJ5248">
        <v>97.510849265011103</v>
      </c>
      <c r="AK5248">
        <v>25.453394331420899</v>
      </c>
    </row>
    <row r="5249" spans="1:37" x14ac:dyDescent="0.2">
      <c r="A5249" t="str">
        <f>"20200111160323015"</f>
        <v>20200111160323015</v>
      </c>
      <c r="B5249" t="str">
        <f>"1578729803008832"</f>
        <v>1578729803008832</v>
      </c>
      <c r="C5249" t="s">
        <v>37</v>
      </c>
      <c r="D5249">
        <v>2.9741339999999998</v>
      </c>
      <c r="E5249">
        <v>0.44733829999999902</v>
      </c>
      <c r="F5249" t="s">
        <v>95</v>
      </c>
      <c r="G5249">
        <v>-244.79150000000001</v>
      </c>
      <c r="H5249" s="1">
        <v>-1.115135E-6</v>
      </c>
      <c r="I5249">
        <v>-59.975189999999998</v>
      </c>
      <c r="J5249">
        <v>-270.09300000000002</v>
      </c>
      <c r="K5249">
        <v>1.1039589999999999</v>
      </c>
      <c r="L5249">
        <v>-63.568119999999901</v>
      </c>
      <c r="M5249">
        <v>0.99994130000000003</v>
      </c>
      <c r="N5249">
        <v>0</v>
      </c>
      <c r="O5249">
        <v>8.9711400000000007E-3</v>
      </c>
      <c r="P5249">
        <v>0.99691090000000004</v>
      </c>
      <c r="Q5249">
        <v>-6.7866369999999999E-3</v>
      </c>
      <c r="R5249">
        <v>7.8247449999999996E-2</v>
      </c>
      <c r="S5249">
        <v>2.9755859999999998</v>
      </c>
      <c r="T5249">
        <v>-0.12939220000000001</v>
      </c>
      <c r="U5249">
        <v>0.421234099999999</v>
      </c>
      <c r="V5249">
        <v>-6.930066E-2</v>
      </c>
      <c r="W5249">
        <v>-7.6819889999999997E-4</v>
      </c>
      <c r="X5249">
        <v>0.99759549999999997</v>
      </c>
      <c r="Y5249">
        <v>-0.13116439999999999</v>
      </c>
      <c r="Z5249">
        <v>2.448417E-3</v>
      </c>
      <c r="AA5249">
        <v>0.99135759999999995</v>
      </c>
      <c r="AB5249">
        <v>17</v>
      </c>
      <c r="AC5249">
        <v>25.301500000000001</v>
      </c>
      <c r="AD5249">
        <v>-1.10396011513499</v>
      </c>
      <c r="AE5249">
        <v>3.59292999999998</v>
      </c>
      <c r="AF5249">
        <v>-3.35952857865942</v>
      </c>
      <c r="AG5249">
        <v>-1.10396011513499</v>
      </c>
      <c r="AH5249">
        <v>25.2855287881723</v>
      </c>
      <c r="AI5249">
        <v>92.478182166959897</v>
      </c>
      <c r="AJ5249">
        <v>97.568203004181399</v>
      </c>
      <c r="AK5249">
        <v>25.5316103351145</v>
      </c>
    </row>
    <row r="5250" spans="1:37" x14ac:dyDescent="0.2">
      <c r="A5250" t="str">
        <f>"20200111160323026"</f>
        <v>20200111160323026</v>
      </c>
      <c r="B5250" t="str">
        <f>"1578729803018593"</f>
        <v>1578729803018593</v>
      </c>
      <c r="C5250" t="s">
        <v>37</v>
      </c>
      <c r="D5250">
        <v>4.175109</v>
      </c>
      <c r="E5250">
        <v>0.44733829999999902</v>
      </c>
      <c r="F5250" t="s">
        <v>64</v>
      </c>
      <c r="G5250">
        <v>-200.8347</v>
      </c>
      <c r="H5250">
        <v>7.9987030000000001E-2</v>
      </c>
      <c r="I5250">
        <v>-48.216119999999997</v>
      </c>
      <c r="J5250">
        <v>-270.00810000000001</v>
      </c>
      <c r="K5250">
        <v>1.1039589999999999</v>
      </c>
      <c r="L5250">
        <v>-63.567079999999997</v>
      </c>
      <c r="M5250">
        <v>0.99993909999999997</v>
      </c>
      <c r="N5250">
        <v>0</v>
      </c>
      <c r="O5250">
        <v>9.2186019999999994E-3</v>
      </c>
      <c r="P5250">
        <v>0.99680780000000002</v>
      </c>
      <c r="Q5250">
        <v>-6.6200740000000001E-3</v>
      </c>
      <c r="R5250">
        <v>7.9563200000000001E-2</v>
      </c>
      <c r="S5250">
        <v>2.9575499999999999</v>
      </c>
      <c r="T5250">
        <v>-4.3726800000000003E-2</v>
      </c>
      <c r="U5250">
        <v>0.65557860000000001</v>
      </c>
      <c r="V5250">
        <v>-7.0369970000000004E-2</v>
      </c>
      <c r="W5250">
        <v>-6.0096059999999998E-4</v>
      </c>
      <c r="X5250">
        <v>0.99752079999999999</v>
      </c>
      <c r="Y5250">
        <v>-0.207379799999999</v>
      </c>
      <c r="Z5250">
        <v>1.379952E-3</v>
      </c>
      <c r="AA5250">
        <v>0.97825960000000001</v>
      </c>
      <c r="AB5250">
        <v>17</v>
      </c>
      <c r="AC5250">
        <v>69.173400000000001</v>
      </c>
      <c r="AD5250">
        <v>-1.0239719699999901</v>
      </c>
      <c r="AE5250">
        <v>15.350960000000001</v>
      </c>
      <c r="AF5250">
        <v>-14.709541915913</v>
      </c>
      <c r="AG5250">
        <v>-1.0239719699999901</v>
      </c>
      <c r="AH5250">
        <v>69.297505270094305</v>
      </c>
      <c r="AI5250">
        <v>90.828119193908407</v>
      </c>
      <c r="AJ5250">
        <v>101.984100544439</v>
      </c>
      <c r="AK5250">
        <v>70.848877045653296</v>
      </c>
    </row>
    <row r="5251" spans="1:37" x14ac:dyDescent="0.2">
      <c r="A5251" t="str">
        <f>"20200111160323037"</f>
        <v>20200111160323037</v>
      </c>
      <c r="B5251" t="str">
        <f>"1578729803028353"</f>
        <v>1578729803028353</v>
      </c>
      <c r="C5251" t="s">
        <v>37</v>
      </c>
      <c r="D5251">
        <v>3.3958889999999999</v>
      </c>
      <c r="E5251">
        <v>0.36521189999999998</v>
      </c>
      <c r="F5251" t="s">
        <v>64</v>
      </c>
      <c r="G5251">
        <v>-194.6688</v>
      </c>
      <c r="H5251" s="1">
        <v>-3.977505E-6</v>
      </c>
      <c r="I5251">
        <v>-46.76247</v>
      </c>
      <c r="J5251">
        <v>-269.9246</v>
      </c>
      <c r="K5251">
        <v>1.1039639999999999</v>
      </c>
      <c r="L5251">
        <v>-63.566040000000001</v>
      </c>
      <c r="M5251">
        <v>0.99993690000000002</v>
      </c>
      <c r="N5251">
        <v>0</v>
      </c>
      <c r="O5251">
        <v>9.4597259999999999E-3</v>
      </c>
      <c r="P5251">
        <v>0.99670329999999996</v>
      </c>
      <c r="Q5251">
        <v>-6.7626159999999999E-3</v>
      </c>
      <c r="R5251">
        <v>8.0852530000000006E-2</v>
      </c>
      <c r="S5251">
        <v>2.9566349999999999</v>
      </c>
      <c r="T5251">
        <v>-4.3324229999999998E-2</v>
      </c>
      <c r="U5251">
        <v>0.65948490000000004</v>
      </c>
      <c r="V5251">
        <v>-7.142018E-2</v>
      </c>
      <c r="W5251">
        <v>-7.3385189999999997E-4</v>
      </c>
      <c r="X5251">
        <v>0.997446099999999</v>
      </c>
      <c r="Y5251">
        <v>-0.2084396</v>
      </c>
      <c r="Z5251">
        <v>1.3716500000000001E-3</v>
      </c>
      <c r="AA5251">
        <v>0.97803430000000002</v>
      </c>
      <c r="AB5251">
        <v>17</v>
      </c>
      <c r="AC5251">
        <v>75.255799999999994</v>
      </c>
      <c r="AD5251">
        <v>-1.103967977505</v>
      </c>
      <c r="AE5251">
        <v>16.803570000000001</v>
      </c>
      <c r="AF5251">
        <v>-16.087608221495199</v>
      </c>
      <c r="AG5251">
        <v>-1.103967977505</v>
      </c>
      <c r="AH5251">
        <v>75.395938343797098</v>
      </c>
      <c r="AI5251">
        <v>90.820414743202207</v>
      </c>
      <c r="AJ5251">
        <v>102.044858438248</v>
      </c>
      <c r="AK5251">
        <v>77.101085610549802</v>
      </c>
    </row>
    <row r="5252" spans="1:37" x14ac:dyDescent="0.2">
      <c r="A5252" t="str">
        <f>"20200111160323047"</f>
        <v>20200111160323047</v>
      </c>
      <c r="B5252" t="str">
        <f>"1578729803038113"</f>
        <v>1578729803038113</v>
      </c>
      <c r="C5252" t="s">
        <v>37</v>
      </c>
      <c r="D5252">
        <v>4.045204</v>
      </c>
      <c r="E5252">
        <v>0.356931099999999</v>
      </c>
      <c r="F5252" t="s">
        <v>96</v>
      </c>
      <c r="G5252">
        <v>-215.2756</v>
      </c>
      <c r="H5252">
        <v>3.0728970000000002</v>
      </c>
      <c r="I5252">
        <v>-38.946010000000001</v>
      </c>
      <c r="J5252">
        <v>-269.84010000000001</v>
      </c>
      <c r="K5252">
        <v>1.103966</v>
      </c>
      <c r="L5252">
        <v>-63.56494</v>
      </c>
      <c r="M5252">
        <v>0.99993449999999995</v>
      </c>
      <c r="N5252">
        <v>0</v>
      </c>
      <c r="O5252">
        <v>9.7031050000000001E-3</v>
      </c>
      <c r="P5252">
        <v>0.99656669999999903</v>
      </c>
      <c r="Q5252">
        <v>-6.6459309999999999E-3</v>
      </c>
      <c r="R5252">
        <v>8.2529619999999998E-2</v>
      </c>
      <c r="S5252">
        <v>2.90448</v>
      </c>
      <c r="T5252">
        <v>0.104644499999999</v>
      </c>
      <c r="U5252">
        <v>1.3085020000000001</v>
      </c>
      <c r="V5252">
        <v>-7.2855520000000007E-2</v>
      </c>
      <c r="W5252">
        <v>-6.0497389999999995E-4</v>
      </c>
      <c r="X5252">
        <v>0.99734230000000001</v>
      </c>
      <c r="Y5252">
        <v>-0.40167520000000001</v>
      </c>
      <c r="Z5252">
        <v>-6.5667440000000002E-3</v>
      </c>
      <c r="AA5252">
        <v>0.91575869999999904</v>
      </c>
      <c r="AB5252">
        <v>17</v>
      </c>
      <c r="AC5252">
        <v>54.564500000000002</v>
      </c>
      <c r="AD5252">
        <v>1.968931</v>
      </c>
      <c r="AE5252">
        <v>24.618929999999999</v>
      </c>
      <c r="AF5252">
        <v>-24.062284290721902</v>
      </c>
      <c r="AG5252">
        <v>1.968931</v>
      </c>
      <c r="AH5252">
        <v>54.741593278329198</v>
      </c>
      <c r="AI5252">
        <v>88.1140958090147</v>
      </c>
      <c r="AJ5252">
        <v>113.728430976129</v>
      </c>
      <c r="AK5252">
        <v>59.829025140146697</v>
      </c>
    </row>
    <row r="5253" spans="1:37" x14ac:dyDescent="0.2">
      <c r="A5253" t="str">
        <f>"20200111160323058"</f>
        <v>20200111160323058</v>
      </c>
      <c r="B5253" t="str">
        <f>"1578729803048849"</f>
        <v>1578729803048849</v>
      </c>
      <c r="C5253" t="s">
        <v>37</v>
      </c>
      <c r="D5253">
        <v>4.1044099999999997</v>
      </c>
      <c r="E5253">
        <v>0.3530684</v>
      </c>
      <c r="F5253" t="s">
        <v>96</v>
      </c>
      <c r="G5253">
        <v>-218.05459999999999</v>
      </c>
      <c r="H5253">
        <v>3.5724019999999999</v>
      </c>
      <c r="I5253">
        <v>-38.946170000000002</v>
      </c>
      <c r="J5253">
        <v>-269.7593</v>
      </c>
      <c r="K5253">
        <v>1.103969</v>
      </c>
      <c r="L5253">
        <v>-63.563899999999997</v>
      </c>
      <c r="M5253">
        <v>0.99993209999999999</v>
      </c>
      <c r="N5253">
        <v>0</v>
      </c>
      <c r="O5253">
        <v>9.9343609999999992E-3</v>
      </c>
      <c r="P5253">
        <v>0.9964324</v>
      </c>
      <c r="Q5253">
        <v>-7.054795E-3</v>
      </c>
      <c r="R5253">
        <v>8.4100480000000005E-2</v>
      </c>
      <c r="S5253">
        <v>2.897186</v>
      </c>
      <c r="T5253">
        <v>0.13809879999999999</v>
      </c>
      <c r="U5253">
        <v>1.377319</v>
      </c>
      <c r="V5253">
        <v>-7.419655E-2</v>
      </c>
      <c r="W5253">
        <v>-9.918606E-4</v>
      </c>
      <c r="X5253">
        <v>0.997243199999999</v>
      </c>
      <c r="Y5253">
        <v>-0.41997810000000002</v>
      </c>
      <c r="Z5253">
        <v>-9.0464199999999995E-3</v>
      </c>
      <c r="AA5253">
        <v>0.9074892</v>
      </c>
      <c r="AB5253">
        <v>17</v>
      </c>
      <c r="AC5253">
        <v>51.704700000000003</v>
      </c>
      <c r="AD5253">
        <v>2.4684330000000001</v>
      </c>
      <c r="AE5253">
        <v>24.617729999999899</v>
      </c>
      <c r="AF5253">
        <v>-24.0581522641655</v>
      </c>
      <c r="AG5253">
        <v>2.4684330000000001</v>
      </c>
      <c r="AH5253">
        <v>51.850376069774597</v>
      </c>
      <c r="AI5253">
        <v>87.527236252182803</v>
      </c>
      <c r="AJ5253">
        <v>114.890916204311</v>
      </c>
      <c r="AK5253">
        <v>57.213192101282999</v>
      </c>
    </row>
    <row r="5254" spans="1:37" x14ac:dyDescent="0.2">
      <c r="A5254" t="str">
        <f>"20200111160323071"</f>
        <v>20200111160323071</v>
      </c>
      <c r="B5254" t="str">
        <f>"1578729803068369"</f>
        <v>1578729803068369</v>
      </c>
      <c r="C5254" t="s">
        <v>37</v>
      </c>
      <c r="D5254">
        <v>4.0358179999999999</v>
      </c>
      <c r="E5254">
        <v>0.3506493</v>
      </c>
      <c r="F5254" t="s">
        <v>96</v>
      </c>
      <c r="G5254">
        <v>-219.33869999999999</v>
      </c>
      <c r="H5254">
        <v>3.6265429999999999</v>
      </c>
      <c r="I5254">
        <v>-38.946190000000001</v>
      </c>
      <c r="J5254">
        <v>-269.66210000000001</v>
      </c>
      <c r="K5254">
        <v>1.103974</v>
      </c>
      <c r="L5254">
        <v>-63.56259</v>
      </c>
      <c r="M5254">
        <v>0.99992890000000001</v>
      </c>
      <c r="N5254">
        <v>0</v>
      </c>
      <c r="O5254">
        <v>1.0211909999999999E-2</v>
      </c>
      <c r="P5254">
        <v>0.99630609999999997</v>
      </c>
      <c r="Q5254">
        <v>-7.3528049999999996E-3</v>
      </c>
      <c r="R5254">
        <v>8.5557449999999993E-2</v>
      </c>
      <c r="S5254">
        <v>2.8925779999999999</v>
      </c>
      <c r="T5254">
        <v>0.14471729999999899</v>
      </c>
      <c r="U5254">
        <v>1.4122920000000001</v>
      </c>
      <c r="V5254">
        <v>-7.537816E-2</v>
      </c>
      <c r="W5254">
        <v>-1.2601260000000001E-3</v>
      </c>
      <c r="X5254">
        <v>0.99715419999999999</v>
      </c>
      <c r="Y5254">
        <v>-0.42912230000000001</v>
      </c>
      <c r="Z5254">
        <v>-9.6728890000000005E-3</v>
      </c>
      <c r="AA5254">
        <v>0.90319459999999996</v>
      </c>
      <c r="AB5254">
        <v>17</v>
      </c>
      <c r="AC5254">
        <v>50.323399999999999</v>
      </c>
      <c r="AD5254">
        <v>2.5225689999999998</v>
      </c>
      <c r="AE5254">
        <v>24.616399999999999</v>
      </c>
      <c r="AF5254">
        <v>-24.052440562891</v>
      </c>
      <c r="AG5254">
        <v>2.5225689999999998</v>
      </c>
      <c r="AH5254">
        <v>50.469829927019802</v>
      </c>
      <c r="AI5254">
        <v>87.416574476685</v>
      </c>
      <c r="AJ5254">
        <v>115.481099324008</v>
      </c>
      <c r="AK5254">
        <v>55.965051454041102</v>
      </c>
    </row>
    <row r="5255" spans="1:37" x14ac:dyDescent="0.2">
      <c r="A5255" t="str">
        <f>"20200111160323083"</f>
        <v>20200111160323083</v>
      </c>
      <c r="B5255" t="str">
        <f>"1578729803078129"</f>
        <v>1578729803078129</v>
      </c>
      <c r="C5255" t="s">
        <v>37</v>
      </c>
      <c r="D5255">
        <v>4.0494839999999996</v>
      </c>
      <c r="E5255">
        <v>0.35040270000000001</v>
      </c>
      <c r="F5255" t="s">
        <v>96</v>
      </c>
      <c r="G5255">
        <v>-220.1164</v>
      </c>
      <c r="H5255">
        <v>3.7139120000000001</v>
      </c>
      <c r="I5255">
        <v>-38.946219999999997</v>
      </c>
      <c r="J5255">
        <v>-269.57420000000002</v>
      </c>
      <c r="K5255">
        <v>1.103979</v>
      </c>
      <c r="L5255">
        <v>-63.561399999999999</v>
      </c>
      <c r="M5255">
        <v>0.99992619999999899</v>
      </c>
      <c r="N5255">
        <v>0</v>
      </c>
      <c r="O5255">
        <v>1.0461659999999999E-2</v>
      </c>
      <c r="P5255">
        <v>0.99615379999999998</v>
      </c>
      <c r="Q5255">
        <v>-7.6547659999999899E-3</v>
      </c>
      <c r="R5255">
        <v>8.7287080000000003E-2</v>
      </c>
      <c r="S5255">
        <v>2.8889770000000001</v>
      </c>
      <c r="T5255">
        <v>0.15218370000000001</v>
      </c>
      <c r="U5255">
        <v>1.4353639999999901</v>
      </c>
      <c r="V5255">
        <v>-7.6859629999999998E-2</v>
      </c>
      <c r="W5255">
        <v>-1.5275499999999999E-3</v>
      </c>
      <c r="X5255">
        <v>0.997040699999999</v>
      </c>
      <c r="Y5255">
        <v>-0.43508409999999897</v>
      </c>
      <c r="Z5255">
        <v>-1.0301670000000001E-2</v>
      </c>
      <c r="AA5255">
        <v>0.90033090000000005</v>
      </c>
      <c r="AB5255">
        <v>17</v>
      </c>
      <c r="AC5255">
        <v>49.457799999999999</v>
      </c>
      <c r="AD5255">
        <v>2.6099329999999998</v>
      </c>
      <c r="AE5255">
        <v>24.615179999999899</v>
      </c>
      <c r="AF5255">
        <v>-24.042751052099799</v>
      </c>
      <c r="AG5255">
        <v>2.6099329999999998</v>
      </c>
      <c r="AH5255">
        <v>49.601906847427799</v>
      </c>
      <c r="AI5255">
        <v>87.289152612675593</v>
      </c>
      <c r="AJ5255">
        <v>115.860129233584</v>
      </c>
      <c r="AK5255">
        <v>55.183464836114197</v>
      </c>
    </row>
    <row r="5256" spans="1:37" x14ac:dyDescent="0.2">
      <c r="A5256" t="str">
        <f>"20200111160323093"</f>
        <v>20200111160323093</v>
      </c>
      <c r="B5256" t="str">
        <f>"1578729803088865"</f>
        <v>1578729803088865</v>
      </c>
      <c r="C5256" t="s">
        <v>37</v>
      </c>
      <c r="D5256">
        <v>4.2154889999999998</v>
      </c>
      <c r="E5256">
        <v>0.34982859999999899</v>
      </c>
      <c r="F5256" t="s">
        <v>96</v>
      </c>
      <c r="G5256">
        <v>-220.3168</v>
      </c>
      <c r="H5256">
        <v>3.658401</v>
      </c>
      <c r="I5256">
        <v>-38.946210000000001</v>
      </c>
      <c r="J5256">
        <v>-269.48610000000002</v>
      </c>
      <c r="K5256">
        <v>1.103982</v>
      </c>
      <c r="L5256">
        <v>-63.560180000000003</v>
      </c>
      <c r="M5256">
        <v>0.99992329999999996</v>
      </c>
      <c r="N5256">
        <v>0</v>
      </c>
      <c r="O5256">
        <v>1.0711770000000001E-2</v>
      </c>
      <c r="P5256">
        <v>0.99601219999999901</v>
      </c>
      <c r="Q5256">
        <v>-8.0069879999999996E-3</v>
      </c>
      <c r="R5256">
        <v>8.885846E-2</v>
      </c>
      <c r="S5256">
        <v>2.88635299999999</v>
      </c>
      <c r="T5256">
        <v>0.14968199999999901</v>
      </c>
      <c r="U5256">
        <v>1.442383</v>
      </c>
      <c r="V5256">
        <v>-7.8183589999999997E-2</v>
      </c>
      <c r="W5256">
        <v>-1.8426950000000001E-3</v>
      </c>
      <c r="X5256">
        <v>0.99693729999999903</v>
      </c>
      <c r="Y5256">
        <v>-0.43695139999999999</v>
      </c>
      <c r="Z5256">
        <v>-1.0169050000000001E-2</v>
      </c>
      <c r="AA5256">
        <v>0.89942770000000005</v>
      </c>
      <c r="AB5256">
        <v>17</v>
      </c>
      <c r="AC5256">
        <v>49.1693</v>
      </c>
      <c r="AD5256">
        <v>2.5544190000000002</v>
      </c>
      <c r="AE5256">
        <v>24.613969999999998</v>
      </c>
      <c r="AF5256">
        <v>-24.033988731078001</v>
      </c>
      <c r="AG5256">
        <v>2.5544190000000002</v>
      </c>
      <c r="AH5256">
        <v>49.3236959191605</v>
      </c>
      <c r="AI5256">
        <v>87.334461933149598</v>
      </c>
      <c r="AJ5256">
        <v>115.978614546831</v>
      </c>
      <c r="AK5256">
        <v>54.927084847814001</v>
      </c>
    </row>
    <row r="5257" spans="1:37" x14ac:dyDescent="0.2">
      <c r="A5257" t="str">
        <f>"20200111160323104"</f>
        <v>20200111160323104</v>
      </c>
      <c r="B5257" t="str">
        <f>"1578729803098624"</f>
        <v>1578729803098624</v>
      </c>
      <c r="C5257" t="s">
        <v>37</v>
      </c>
      <c r="D5257">
        <v>4.0943750000000003</v>
      </c>
      <c r="E5257">
        <v>0.34968139999999998</v>
      </c>
      <c r="F5257" t="s">
        <v>96</v>
      </c>
      <c r="G5257">
        <v>-220.6001</v>
      </c>
      <c r="H5257">
        <v>3.566891</v>
      </c>
      <c r="I5257">
        <v>-38.946170000000002</v>
      </c>
      <c r="J5257">
        <v>-269.40159999999997</v>
      </c>
      <c r="K5257">
        <v>1.1039859999999999</v>
      </c>
      <c r="L5257">
        <v>-63.558990000000001</v>
      </c>
      <c r="M5257">
        <v>0.99992049999999999</v>
      </c>
      <c r="N5257">
        <v>0</v>
      </c>
      <c r="O5257">
        <v>1.095145E-2</v>
      </c>
      <c r="P5257">
        <v>0.995865</v>
      </c>
      <c r="Q5257">
        <v>-8.3796359999999993E-3</v>
      </c>
      <c r="R5257">
        <v>9.0460639999999995E-2</v>
      </c>
      <c r="S5257">
        <v>2.8836360000000001</v>
      </c>
      <c r="T5257">
        <v>0.1452793</v>
      </c>
      <c r="U5257">
        <v>1.4519040000000001</v>
      </c>
      <c r="V5257">
        <v>-7.9547809999999997E-2</v>
      </c>
      <c r="W5257">
        <v>-2.1769070000000001E-3</v>
      </c>
      <c r="X5257">
        <v>0.99682870000000001</v>
      </c>
      <c r="Y5257">
        <v>-0.43946940000000001</v>
      </c>
      <c r="Z5257">
        <v>-9.9201199999999993E-3</v>
      </c>
      <c r="AA5257">
        <v>0.89820279999999997</v>
      </c>
      <c r="AB5257">
        <v>17</v>
      </c>
      <c r="AC5257">
        <v>48.801499999999898</v>
      </c>
      <c r="AD5257">
        <v>2.4629050000000001</v>
      </c>
      <c r="AE5257">
        <v>24.612819999999999</v>
      </c>
      <c r="AF5257">
        <v>-24.028097009252701</v>
      </c>
      <c r="AG5257">
        <v>2.4629050000000001</v>
      </c>
      <c r="AH5257">
        <v>48.968693197602398</v>
      </c>
      <c r="AI5257">
        <v>87.414697785757895</v>
      </c>
      <c r="AJ5257">
        <v>116.136394028759</v>
      </c>
      <c r="AK5257">
        <v>54.601723969175097</v>
      </c>
    </row>
    <row r="5258" spans="1:37" x14ac:dyDescent="0.2">
      <c r="A5258" t="str">
        <f>"20200111160323116"</f>
        <v>20200111160323116</v>
      </c>
      <c r="B5258" t="str">
        <f>"1578729803108384"</f>
        <v>1578729803108384</v>
      </c>
      <c r="C5258" t="s">
        <v>37</v>
      </c>
      <c r="D5258">
        <v>4.1688470000000004</v>
      </c>
      <c r="E5258">
        <v>0.34930139999999998</v>
      </c>
      <c r="F5258" t="s">
        <v>96</v>
      </c>
      <c r="G5258">
        <v>-220.74950000000001</v>
      </c>
      <c r="H5258">
        <v>3.549121</v>
      </c>
      <c r="I5258">
        <v>-38.946170000000002</v>
      </c>
      <c r="J5258">
        <v>-269.31220000000002</v>
      </c>
      <c r="K5258">
        <v>1.1039889999999899</v>
      </c>
      <c r="L5258">
        <v>-63.557740000000003</v>
      </c>
      <c r="M5258">
        <v>0.99991739999999996</v>
      </c>
      <c r="N5258">
        <v>0</v>
      </c>
      <c r="O5258">
        <v>1.120494E-2</v>
      </c>
      <c r="P5258">
        <v>0.99571620000000005</v>
      </c>
      <c r="Q5258">
        <v>-8.5733609999999998E-3</v>
      </c>
      <c r="R5258">
        <v>9.2064460000000001E-2</v>
      </c>
      <c r="S5258">
        <v>2.881256</v>
      </c>
      <c r="T5258">
        <v>0.14480470000000001</v>
      </c>
      <c r="U5258">
        <v>1.457611</v>
      </c>
      <c r="V5258">
        <v>-8.0899979999999996E-2</v>
      </c>
      <c r="W5258">
        <v>-2.3294869999999999E-3</v>
      </c>
      <c r="X5258">
        <v>0.99671949999999998</v>
      </c>
      <c r="Y5258">
        <v>-0.44095820000000002</v>
      </c>
      <c r="Z5258">
        <v>-9.9141539999999997E-3</v>
      </c>
      <c r="AA5258">
        <v>0.89747289999999902</v>
      </c>
      <c r="AB5258">
        <v>17</v>
      </c>
      <c r="AC5258">
        <v>48.5627</v>
      </c>
      <c r="AD5258">
        <v>2.4451320000000001</v>
      </c>
      <c r="AE5258">
        <v>24.61157</v>
      </c>
      <c r="AF5258">
        <v>-24.017427590190302</v>
      </c>
      <c r="AG5258">
        <v>2.4451320000000001</v>
      </c>
      <c r="AH5258">
        <v>48.737122616202001</v>
      </c>
      <c r="AI5258">
        <v>87.423303565545396</v>
      </c>
      <c r="AJ5258">
        <v>116.23386377061701</v>
      </c>
      <c r="AK5258">
        <v>54.388625827962997</v>
      </c>
    </row>
    <row r="5259" spans="1:37" x14ac:dyDescent="0.2">
      <c r="A5259" t="str">
        <f>"20200111160323129"</f>
        <v>20200111160323129</v>
      </c>
      <c r="B5259" t="str">
        <f>"1578729803118146"</f>
        <v>1578729803118146</v>
      </c>
      <c r="C5259" t="s">
        <v>37</v>
      </c>
      <c r="D5259">
        <v>4.1414540000000004</v>
      </c>
      <c r="E5259">
        <v>0.34933999999999998</v>
      </c>
      <c r="F5259" t="s">
        <v>96</v>
      </c>
      <c r="G5259">
        <v>-220.96449999999999</v>
      </c>
      <c r="H5259">
        <v>3.5585969999999998</v>
      </c>
      <c r="I5259">
        <v>-38.946170000000002</v>
      </c>
      <c r="J5259">
        <v>-269.2106</v>
      </c>
      <c r="K5259">
        <v>1.103993</v>
      </c>
      <c r="L5259">
        <v>-63.556240000000003</v>
      </c>
      <c r="M5259">
        <v>0.99991379999999996</v>
      </c>
      <c r="N5259">
        <v>0</v>
      </c>
      <c r="O5259">
        <v>1.1492809999999999E-2</v>
      </c>
      <c r="P5259">
        <v>0.99550550000000004</v>
      </c>
      <c r="Q5259">
        <v>-8.4436960000000005E-3</v>
      </c>
      <c r="R5259">
        <v>9.4327040000000001E-2</v>
      </c>
      <c r="S5259">
        <v>2.8786619999999998</v>
      </c>
      <c r="T5259">
        <v>0.14614929999999901</v>
      </c>
      <c r="U5259">
        <v>1.4653929999999999</v>
      </c>
      <c r="V5259">
        <v>-8.2877939999999997E-2</v>
      </c>
      <c r="W5259">
        <v>-2.1532739999999902E-3</v>
      </c>
      <c r="X5259">
        <v>0.99655740000000004</v>
      </c>
      <c r="Y5259">
        <v>-0.44294359999999999</v>
      </c>
      <c r="Z5259">
        <v>-1.004211E-2</v>
      </c>
      <c r="AA5259">
        <v>0.89649330000000005</v>
      </c>
      <c r="AB5259">
        <v>17</v>
      </c>
      <c r="AC5259">
        <v>48.246099999999998</v>
      </c>
      <c r="AD5259">
        <v>2.4546039999999998</v>
      </c>
      <c r="AE5259">
        <v>24.61007</v>
      </c>
      <c r="AF5259">
        <v>-24.0046446233947</v>
      </c>
      <c r="AG5259">
        <v>2.4546039999999998</v>
      </c>
      <c r="AH5259">
        <v>48.426290490166402</v>
      </c>
      <c r="AI5259">
        <v>87.399747254313198</v>
      </c>
      <c r="AJ5259">
        <v>116.36736075049799</v>
      </c>
      <c r="AK5259">
        <v>54.105024303943097</v>
      </c>
    </row>
    <row r="5260" spans="1:37" x14ac:dyDescent="0.2">
      <c r="A5260" t="str">
        <f>"20200111160323141"</f>
        <v>20200111160323141</v>
      </c>
      <c r="B5260" t="str">
        <f>"1578729803138641"</f>
        <v>1578729803138641</v>
      </c>
      <c r="C5260" t="s">
        <v>37</v>
      </c>
      <c r="D5260">
        <v>4.1976389999999997</v>
      </c>
      <c r="E5260">
        <v>0.34958709999999998</v>
      </c>
      <c r="F5260" t="s">
        <v>96</v>
      </c>
      <c r="G5260">
        <v>-221.13339999999999</v>
      </c>
      <c r="H5260">
        <v>3.4899989999999899</v>
      </c>
      <c r="I5260">
        <v>-38.946150000000003</v>
      </c>
      <c r="J5260">
        <v>-269.11090000000002</v>
      </c>
      <c r="K5260">
        <v>1.1039950000000001</v>
      </c>
      <c r="L5260">
        <v>-63.554749999999999</v>
      </c>
      <c r="M5260">
        <v>0.99991030000000003</v>
      </c>
      <c r="N5260">
        <v>0</v>
      </c>
      <c r="O5260">
        <v>1.177573E-2</v>
      </c>
      <c r="P5260">
        <v>0.9952993</v>
      </c>
      <c r="Q5260">
        <v>-8.4054170000000001E-3</v>
      </c>
      <c r="R5260">
        <v>9.648284E-2</v>
      </c>
      <c r="S5260">
        <v>2.875305</v>
      </c>
      <c r="T5260">
        <v>0.14269749999999901</v>
      </c>
      <c r="U5260">
        <v>1.471832</v>
      </c>
      <c r="V5260">
        <v>-8.4754360000000001E-2</v>
      </c>
      <c r="W5260">
        <v>-2.0691120000000001E-3</v>
      </c>
      <c r="X5260">
        <v>0.996399699999999</v>
      </c>
      <c r="Y5260">
        <v>-0.44472319999999999</v>
      </c>
      <c r="Z5260">
        <v>-9.8390390000000008E-3</v>
      </c>
      <c r="AA5260">
        <v>0.89561399999999902</v>
      </c>
      <c r="AB5260">
        <v>18</v>
      </c>
      <c r="AC5260">
        <v>47.977499999999999</v>
      </c>
      <c r="AD5260">
        <v>2.3860039999999998</v>
      </c>
      <c r="AE5260">
        <v>24.608599999999999</v>
      </c>
      <c r="AF5260">
        <v>-23.9949276955508</v>
      </c>
      <c r="AG5260">
        <v>2.3860039999999998</v>
      </c>
      <c r="AH5260">
        <v>48.1696426209866</v>
      </c>
      <c r="AI5260">
        <v>87.461338112958202</v>
      </c>
      <c r="AJ5260">
        <v>116.479447577182</v>
      </c>
      <c r="AK5260">
        <v>53.868024285621402</v>
      </c>
    </row>
    <row r="5261" spans="1:37" x14ac:dyDescent="0.2">
      <c r="A5261" t="str">
        <f>"20200111160323154"</f>
        <v>20200111160323154</v>
      </c>
      <c r="B5261" t="str">
        <f>"1578729803148401"</f>
        <v>1578729803148401</v>
      </c>
      <c r="C5261" t="s">
        <v>37</v>
      </c>
      <c r="D5261">
        <v>4.1856419999999996</v>
      </c>
      <c r="E5261">
        <v>0.34981220000000002</v>
      </c>
      <c r="F5261" t="s">
        <v>96</v>
      </c>
      <c r="G5261">
        <v>-221.22669999999999</v>
      </c>
      <c r="H5261">
        <v>3.4709050000000001</v>
      </c>
      <c r="I5261">
        <v>-38.94614</v>
      </c>
      <c r="J5261">
        <v>-269.01769999999999</v>
      </c>
      <c r="K5261">
        <v>1.104001</v>
      </c>
      <c r="L5261">
        <v>-63.553309999999897</v>
      </c>
      <c r="M5261">
        <v>0.99990679999999998</v>
      </c>
      <c r="N5261">
        <v>0</v>
      </c>
      <c r="O5261">
        <v>1.204037E-2</v>
      </c>
      <c r="P5261">
        <v>0.99509879999999995</v>
      </c>
      <c r="Q5261">
        <v>-8.1452669999999994E-3</v>
      </c>
      <c r="R5261">
        <v>9.8550600000000002E-2</v>
      </c>
      <c r="S5261">
        <v>2.87225299999999</v>
      </c>
      <c r="T5261">
        <v>0.14197489999999999</v>
      </c>
      <c r="U5261">
        <v>1.476105</v>
      </c>
      <c r="V5261">
        <v>-8.6560670000000006E-2</v>
      </c>
      <c r="W5261">
        <v>-1.766192E-3</v>
      </c>
      <c r="X5261">
        <v>0.99624500000000005</v>
      </c>
      <c r="Y5261">
        <v>-0.44592910000000002</v>
      </c>
      <c r="Z5261">
        <v>-9.8111440000000008E-3</v>
      </c>
      <c r="AA5261">
        <v>0.89501450000000005</v>
      </c>
      <c r="AB5261">
        <v>18</v>
      </c>
      <c r="AC5261">
        <v>47.790999999999997</v>
      </c>
      <c r="AD5261">
        <v>2.3669039999999999</v>
      </c>
      <c r="AE5261">
        <v>24.60717</v>
      </c>
      <c r="AF5261">
        <v>-23.983453127389101</v>
      </c>
      <c r="AG5261">
        <v>2.3669039999999999</v>
      </c>
      <c r="AH5261">
        <v>47.990775204324301</v>
      </c>
      <c r="AI5261">
        <v>87.473890500676703</v>
      </c>
      <c r="AJ5261">
        <v>116.55365126867</v>
      </c>
      <c r="AK5261">
        <v>53.702167211118002</v>
      </c>
    </row>
    <row r="5262" spans="1:37" x14ac:dyDescent="0.2">
      <c r="A5262" t="str">
        <f>"20200111160323164"</f>
        <v>20200111160323164</v>
      </c>
      <c r="B5262" t="str">
        <f>"1578729803158160"</f>
        <v>1578729803158160</v>
      </c>
      <c r="C5262" t="s">
        <v>37</v>
      </c>
      <c r="D5262">
        <v>4.1717009999999997</v>
      </c>
      <c r="E5262">
        <v>0.35004000000000002</v>
      </c>
      <c r="F5262" t="s">
        <v>96</v>
      </c>
      <c r="G5262">
        <v>-221.32409999999999</v>
      </c>
      <c r="H5262">
        <v>3.4711099999999999</v>
      </c>
      <c r="I5262">
        <v>-38.94614</v>
      </c>
      <c r="J5262">
        <v>-268.93459999999999</v>
      </c>
      <c r="K5262">
        <v>1.104004</v>
      </c>
      <c r="L5262">
        <v>-63.552030000000002</v>
      </c>
      <c r="M5262">
        <v>0.99990369999999995</v>
      </c>
      <c r="N5262">
        <v>0</v>
      </c>
      <c r="O5262">
        <v>1.22767E-2</v>
      </c>
      <c r="P5262">
        <v>0.99483960000000005</v>
      </c>
      <c r="Q5262">
        <v>-7.7129709999999999E-3</v>
      </c>
      <c r="R5262">
        <v>0.10116749999999999</v>
      </c>
      <c r="S5262">
        <v>2.8693240000000002</v>
      </c>
      <c r="T5262">
        <v>0.14240910000000001</v>
      </c>
      <c r="U5262">
        <v>1.4804079999999999</v>
      </c>
      <c r="V5262">
        <v>-8.8945689999999994E-2</v>
      </c>
      <c r="W5262">
        <v>-1.296693E-3</v>
      </c>
      <c r="X5262">
        <v>0.99603560000000002</v>
      </c>
      <c r="Y5262">
        <v>-0.44714529999999902</v>
      </c>
      <c r="Z5262">
        <v>-9.8642399999999998E-3</v>
      </c>
      <c r="AA5262">
        <v>0.8944069</v>
      </c>
      <c r="AB5262">
        <v>18</v>
      </c>
      <c r="AC5262">
        <v>47.610500000000002</v>
      </c>
      <c r="AD5262">
        <v>2.3671060000000002</v>
      </c>
      <c r="AE5262">
        <v>24.605889999999999</v>
      </c>
      <c r="AF5262">
        <v>-23.9727567630053</v>
      </c>
      <c r="AG5262">
        <v>2.3671060000000002</v>
      </c>
      <c r="AH5262">
        <v>47.815716997783198</v>
      </c>
      <c r="AI5262">
        <v>87.466065328134803</v>
      </c>
      <c r="AJ5262">
        <v>116.627229519628</v>
      </c>
      <c r="AK5262">
        <v>53.541003442647103</v>
      </c>
    </row>
    <row r="5263" spans="1:37" x14ac:dyDescent="0.2">
      <c r="A5263" t="str">
        <f>"20200111160323182"</f>
        <v>20200111160323182</v>
      </c>
      <c r="B5263" t="str">
        <f>"1578729803178657"</f>
        <v>1578729803178657</v>
      </c>
      <c r="C5263" t="s">
        <v>37</v>
      </c>
      <c r="D5263">
        <v>4.3255589999999904</v>
      </c>
      <c r="E5263">
        <v>0.3505238</v>
      </c>
      <c r="F5263" t="s">
        <v>96</v>
      </c>
      <c r="G5263">
        <v>-221.49119999999999</v>
      </c>
      <c r="H5263">
        <v>3.4445399999999999</v>
      </c>
      <c r="I5263">
        <v>-38.946129999999997</v>
      </c>
      <c r="J5263">
        <v>-268.7903</v>
      </c>
      <c r="K5263">
        <v>1.1040099999999999</v>
      </c>
      <c r="L5263">
        <v>-63.549769999999903</v>
      </c>
      <c r="M5263">
        <v>0.99989810000000001</v>
      </c>
      <c r="N5263">
        <v>0</v>
      </c>
      <c r="O5263">
        <v>1.26872999999999E-2</v>
      </c>
      <c r="P5263">
        <v>0.99428950000000005</v>
      </c>
      <c r="Q5263">
        <v>-7.1948259999999997E-3</v>
      </c>
      <c r="R5263">
        <v>0.1064746</v>
      </c>
      <c r="S5263">
        <v>2.8655400000000002</v>
      </c>
      <c r="T5263">
        <v>0.1413662</v>
      </c>
      <c r="U5263">
        <v>1.4861759999999999</v>
      </c>
      <c r="V5263">
        <v>-9.3850379999999997E-2</v>
      </c>
      <c r="W5263">
        <v>-7.1649419999999999E-4</v>
      </c>
      <c r="X5263">
        <v>0.99558599999999997</v>
      </c>
      <c r="Y5263">
        <v>-0.4486831</v>
      </c>
      <c r="Z5263">
        <v>-9.8159459999999903E-3</v>
      </c>
      <c r="AA5263">
        <v>0.89363709999999996</v>
      </c>
      <c r="AB5263">
        <v>18</v>
      </c>
      <c r="AC5263">
        <v>47.299100000000003</v>
      </c>
      <c r="AD5263">
        <v>2.3405300000000002</v>
      </c>
      <c r="AE5263">
        <v>24.603639999999999</v>
      </c>
      <c r="AF5263">
        <v>-23.955382697487899</v>
      </c>
      <c r="AG5263">
        <v>2.3405300000000002</v>
      </c>
      <c r="AH5263">
        <v>47.515881881683796</v>
      </c>
      <c r="AI5263">
        <v>87.481513793583304</v>
      </c>
      <c r="AJ5263">
        <v>116.755198401558</v>
      </c>
      <c r="AK5263">
        <v>53.264410931297597</v>
      </c>
    </row>
    <row r="5264" spans="1:37" x14ac:dyDescent="0.2">
      <c r="A5264" t="str">
        <f>"20200111160323194"</f>
        <v>20200111160323194</v>
      </c>
      <c r="B5264" t="str">
        <f>"1578729803188417"</f>
        <v>1578729803188417</v>
      </c>
      <c r="C5264" t="s">
        <v>37</v>
      </c>
      <c r="D5264">
        <v>4.2700399999999998</v>
      </c>
      <c r="E5264">
        <v>0.35092800000000002</v>
      </c>
      <c r="F5264" t="s">
        <v>96</v>
      </c>
      <c r="G5264">
        <v>-221.84970000000001</v>
      </c>
      <c r="H5264">
        <v>3.4193370000000001</v>
      </c>
      <c r="I5264">
        <v>-38.946120000000001</v>
      </c>
      <c r="J5264">
        <v>-268.6995</v>
      </c>
      <c r="K5264">
        <v>1.1040140000000001</v>
      </c>
      <c r="L5264">
        <v>-63.548340000000003</v>
      </c>
      <c r="M5264">
        <v>0.99989439999999996</v>
      </c>
      <c r="N5264">
        <v>0</v>
      </c>
      <c r="O5264">
        <v>1.294645E-2</v>
      </c>
      <c r="P5264">
        <v>0.99398240000000004</v>
      </c>
      <c r="Q5264">
        <v>-6.6971649999999997E-3</v>
      </c>
      <c r="R5264">
        <v>0.109335999999999</v>
      </c>
      <c r="S5264">
        <v>2.8578489999999999</v>
      </c>
      <c r="T5264">
        <v>0.14096210000000001</v>
      </c>
      <c r="U5264">
        <v>1.497925</v>
      </c>
      <c r="V5264">
        <v>-9.6458260000000004E-2</v>
      </c>
      <c r="W5264">
        <v>-1.8068849999999901E-4</v>
      </c>
      <c r="X5264">
        <v>0.99533700000000003</v>
      </c>
      <c r="Y5264">
        <v>-0.45231519999999997</v>
      </c>
      <c r="Z5264">
        <v>-9.8746340000000002E-3</v>
      </c>
      <c r="AA5264">
        <v>0.89180339999999902</v>
      </c>
      <c r="AB5264">
        <v>18</v>
      </c>
      <c r="AC5264">
        <v>46.849799999999902</v>
      </c>
      <c r="AD5264">
        <v>2.3153229999999998</v>
      </c>
      <c r="AE5264">
        <v>24.602219999999999</v>
      </c>
      <c r="AF5264">
        <v>-23.9477600325718</v>
      </c>
      <c r="AG5264">
        <v>2.3153229999999998</v>
      </c>
      <c r="AH5264">
        <v>47.0742716023341</v>
      </c>
      <c r="AI5264">
        <v>87.489880228253796</v>
      </c>
      <c r="AJ5264">
        <v>116.96348288991</v>
      </c>
      <c r="AK5264">
        <v>52.866274486313998</v>
      </c>
    </row>
    <row r="5265" spans="1:37" x14ac:dyDescent="0.2">
      <c r="A5265" t="str">
        <f>"20200111160323207"</f>
        <v>20200111160323207</v>
      </c>
      <c r="B5265" t="str">
        <f>"1578729803198176"</f>
        <v>1578729803198176</v>
      </c>
      <c r="C5265" t="s">
        <v>37</v>
      </c>
      <c r="D5265">
        <v>4.2327870000000001</v>
      </c>
      <c r="E5265">
        <v>0.35119450000000002</v>
      </c>
      <c r="F5265" t="s">
        <v>96</v>
      </c>
      <c r="G5265">
        <v>-221.98759999999999</v>
      </c>
      <c r="H5265">
        <v>3.399416</v>
      </c>
      <c r="I5265">
        <v>-38.946120000000001</v>
      </c>
      <c r="J5265">
        <v>-268.58109999999999</v>
      </c>
      <c r="K5265">
        <v>1.1040190000000001</v>
      </c>
      <c r="L5265">
        <v>-63.546419999999998</v>
      </c>
      <c r="M5265">
        <v>0.99988969999999899</v>
      </c>
      <c r="N5265">
        <v>0</v>
      </c>
      <c r="O5265">
        <v>1.328408E-2</v>
      </c>
      <c r="P5265">
        <v>0.99364279999999905</v>
      </c>
      <c r="Q5265">
        <v>-6.4109149999999997E-3</v>
      </c>
      <c r="R5265">
        <v>0.1123966</v>
      </c>
      <c r="S5265">
        <v>2.8537599999999999</v>
      </c>
      <c r="T5265">
        <v>0.14023269999999999</v>
      </c>
      <c r="U5265">
        <v>1.5030209999999999</v>
      </c>
      <c r="V5265">
        <v>-9.9186930000000006E-2</v>
      </c>
      <c r="W5265">
        <v>1.5384350000000001E-4</v>
      </c>
      <c r="X5265">
        <v>0.99506879999999998</v>
      </c>
      <c r="Y5265">
        <v>-0.4537892</v>
      </c>
      <c r="Z5265">
        <v>-9.8506510000000002E-3</v>
      </c>
      <c r="AA5265">
        <v>0.89105460000000003</v>
      </c>
      <c r="AB5265">
        <v>18</v>
      </c>
      <c r="AC5265">
        <v>46.593499999999999</v>
      </c>
      <c r="AD5265">
        <v>2.2953969999999999</v>
      </c>
      <c r="AE5265">
        <v>24.600300000000001</v>
      </c>
      <c r="AF5265">
        <v>-23.933739682485001</v>
      </c>
      <c r="AG5265">
        <v>2.2953969999999999</v>
      </c>
      <c r="AH5265">
        <v>46.827313995786298</v>
      </c>
      <c r="AI5265">
        <v>87.500756769127804</v>
      </c>
      <c r="AJ5265">
        <v>117.071866029947</v>
      </c>
      <c r="AK5265">
        <v>52.639244662480998</v>
      </c>
    </row>
    <row r="5266" spans="1:37" x14ac:dyDescent="0.2">
      <c r="A5266" t="str">
        <f>"20200111160323219"</f>
        <v>20200111160323219</v>
      </c>
      <c r="B5266" t="str">
        <f>"1578729803208914"</f>
        <v>1578729803208914</v>
      </c>
      <c r="C5266" t="s">
        <v>37</v>
      </c>
      <c r="D5266">
        <v>4.2561</v>
      </c>
      <c r="E5266">
        <v>0.35148940000000001</v>
      </c>
      <c r="F5266" t="s">
        <v>96</v>
      </c>
      <c r="G5266">
        <v>-222.15459999999999</v>
      </c>
      <c r="H5266">
        <v>3.401329</v>
      </c>
      <c r="I5266">
        <v>-38.946120000000001</v>
      </c>
      <c r="J5266">
        <v>-268.49549999999999</v>
      </c>
      <c r="K5266">
        <v>1.104017</v>
      </c>
      <c r="L5266">
        <v>-63.54495</v>
      </c>
      <c r="M5266">
        <v>0.99988619999999995</v>
      </c>
      <c r="N5266">
        <v>0</v>
      </c>
      <c r="O5266">
        <v>1.352883E-2</v>
      </c>
      <c r="P5266">
        <v>0.99328549999999904</v>
      </c>
      <c r="Q5266">
        <v>-6.4079150000000001E-3</v>
      </c>
      <c r="R5266">
        <v>0.11551119999999999</v>
      </c>
      <c r="S5266">
        <v>2.849335</v>
      </c>
      <c r="T5266">
        <v>0.14099289999999901</v>
      </c>
      <c r="U5266">
        <v>1.5097959999999999</v>
      </c>
      <c r="V5266">
        <v>-0.1020624</v>
      </c>
      <c r="W5266">
        <v>1.8769899999999999E-4</v>
      </c>
      <c r="X5266">
        <v>0.99477800000000005</v>
      </c>
      <c r="Y5266">
        <v>-0.45578940000000001</v>
      </c>
      <c r="Z5266">
        <v>-9.9474960000000001E-3</v>
      </c>
      <c r="AA5266">
        <v>0.89003209999999999</v>
      </c>
      <c r="AB5266">
        <v>18</v>
      </c>
      <c r="AC5266">
        <v>46.340899999999998</v>
      </c>
      <c r="AD5266">
        <v>2.2973119999999998</v>
      </c>
      <c r="AE5266">
        <v>24.59883</v>
      </c>
      <c r="AF5266">
        <v>-23.923756473994199</v>
      </c>
      <c r="AG5266">
        <v>2.2973119999999998</v>
      </c>
      <c r="AH5266">
        <v>46.580149433318901</v>
      </c>
      <c r="AI5266">
        <v>87.487963061664303</v>
      </c>
      <c r="AJ5266">
        <v>117.185218837536</v>
      </c>
      <c r="AK5266">
        <v>52.415017766692003</v>
      </c>
    </row>
    <row r="5267" spans="1:37" x14ac:dyDescent="0.2">
      <c r="A5267" t="str">
        <f>"20200111160323232"</f>
        <v>20200111160323232</v>
      </c>
      <c r="B5267" t="str">
        <f>"1578729803228433"</f>
        <v>1578729803228433</v>
      </c>
      <c r="C5267" t="s">
        <v>37</v>
      </c>
      <c r="D5267">
        <v>4.3292929999999998</v>
      </c>
      <c r="E5267">
        <v>0.35214229999999902</v>
      </c>
      <c r="F5267" t="s">
        <v>96</v>
      </c>
      <c r="G5267">
        <v>-222.34829999999999</v>
      </c>
      <c r="H5267">
        <v>3.3664190000000001</v>
      </c>
      <c r="I5267">
        <v>-38.946109999999997</v>
      </c>
      <c r="J5267">
        <v>-268.39350000000002</v>
      </c>
      <c r="K5267">
        <v>1.1040179999999999</v>
      </c>
      <c r="L5267">
        <v>-63.543239999999997</v>
      </c>
      <c r="M5267">
        <v>0.99988180000000004</v>
      </c>
      <c r="N5267">
        <v>0</v>
      </c>
      <c r="O5267">
        <v>1.382065E-2</v>
      </c>
      <c r="P5267">
        <v>0.99291030000000002</v>
      </c>
      <c r="Q5267">
        <v>-6.5963569999999997E-3</v>
      </c>
      <c r="R5267">
        <v>0.1186835</v>
      </c>
      <c r="S5267">
        <v>2.8447879999999999</v>
      </c>
      <c r="T5267">
        <v>0.1394677</v>
      </c>
      <c r="U5267">
        <v>1.516418</v>
      </c>
      <c r="V5267">
        <v>-0.1049493</v>
      </c>
      <c r="W5267" s="1">
        <v>3.552437E-5</v>
      </c>
      <c r="X5267">
        <v>0.99447759999999996</v>
      </c>
      <c r="Y5267">
        <v>-0.4577388</v>
      </c>
      <c r="Z5267">
        <v>-9.880237E-3</v>
      </c>
      <c r="AA5267">
        <v>0.88903180000000004</v>
      </c>
      <c r="AB5267">
        <v>18</v>
      </c>
      <c r="AC5267">
        <v>46.045200000000001</v>
      </c>
      <c r="AD5267">
        <v>2.2624010000000001</v>
      </c>
      <c r="AE5267">
        <v>24.59713</v>
      </c>
      <c r="AF5267">
        <v>-23.913477069718201</v>
      </c>
      <c r="AG5267">
        <v>2.2624010000000001</v>
      </c>
      <c r="AH5267">
        <v>46.293808589298798</v>
      </c>
      <c r="AI5267">
        <v>87.5137951306654</v>
      </c>
      <c r="AJ5267">
        <v>117.319015760158</v>
      </c>
      <c r="AK5267">
        <v>52.154477828383797</v>
      </c>
    </row>
    <row r="5268" spans="1:37" x14ac:dyDescent="0.2">
      <c r="A5268" t="str">
        <f>"20200111160323244"</f>
        <v>20200111160323244</v>
      </c>
      <c r="B5268" t="str">
        <f>"1578729803238193"</f>
        <v>1578729803238193</v>
      </c>
      <c r="C5268" t="s">
        <v>37</v>
      </c>
      <c r="D5268">
        <v>4.3675119999999996</v>
      </c>
      <c r="E5268">
        <v>0.3525026</v>
      </c>
      <c r="F5268" t="s">
        <v>96</v>
      </c>
      <c r="G5268">
        <v>-222.44220000000001</v>
      </c>
      <c r="H5268">
        <v>3.3222290000000001</v>
      </c>
      <c r="I5268">
        <v>-38.946089999999998</v>
      </c>
      <c r="J5268">
        <v>-268.2978</v>
      </c>
      <c r="K5268">
        <v>1.1040159999999899</v>
      </c>
      <c r="L5268">
        <v>-63.541600000000003</v>
      </c>
      <c r="M5268">
        <v>0.99987789999999999</v>
      </c>
      <c r="N5268">
        <v>0</v>
      </c>
      <c r="O5268">
        <v>1.409413E-2</v>
      </c>
      <c r="P5268">
        <v>0.99251369999999906</v>
      </c>
      <c r="Q5268">
        <v>-6.612288E-3</v>
      </c>
      <c r="R5268">
        <v>0.1219556</v>
      </c>
      <c r="S5268">
        <v>2.8405459999999998</v>
      </c>
      <c r="T5268">
        <v>0.13712179999999999</v>
      </c>
      <c r="U5268">
        <v>1.520508</v>
      </c>
      <c r="V5268">
        <v>-0.1079548</v>
      </c>
      <c r="W5268" s="1">
        <v>5.0635079999999998E-5</v>
      </c>
      <c r="X5268">
        <v>0.99415580000000003</v>
      </c>
      <c r="Y5268">
        <v>-0.45905379999999901</v>
      </c>
      <c r="Z5268">
        <v>-9.7412939999999993E-3</v>
      </c>
      <c r="AA5268">
        <v>0.88835509999999995</v>
      </c>
      <c r="AB5268">
        <v>18</v>
      </c>
      <c r="AC5268">
        <v>45.855599999999903</v>
      </c>
      <c r="AD5268">
        <v>2.218213</v>
      </c>
      <c r="AE5268">
        <v>24.595510000000001</v>
      </c>
      <c r="AF5268">
        <v>-23.903319548849801</v>
      </c>
      <c r="AG5268">
        <v>2.218213</v>
      </c>
      <c r="AH5268">
        <v>46.113905714692102</v>
      </c>
      <c r="AI5268">
        <v>87.554586670446994</v>
      </c>
      <c r="AJ5268">
        <v>117.40013829042699</v>
      </c>
      <c r="AK5268">
        <v>51.988281897282498</v>
      </c>
    </row>
    <row r="5269" spans="1:37" x14ac:dyDescent="0.2">
      <c r="A5269" t="str">
        <f>"20200111160323255"</f>
        <v>20200111160323255</v>
      </c>
      <c r="B5269" t="str">
        <f>"1578729803248929"</f>
        <v>1578729803248929</v>
      </c>
      <c r="C5269" t="s">
        <v>37</v>
      </c>
      <c r="D5269">
        <v>4.3444969999999996</v>
      </c>
      <c r="E5269">
        <v>0.35273779999999999</v>
      </c>
      <c r="F5269" t="s">
        <v>96</v>
      </c>
      <c r="G5269">
        <v>-222.62029999999999</v>
      </c>
      <c r="H5269">
        <v>3.2983699999999998</v>
      </c>
      <c r="I5269">
        <v>-38.946080000000002</v>
      </c>
      <c r="J5269">
        <v>-268.2022</v>
      </c>
      <c r="K5269">
        <v>1.104017</v>
      </c>
      <c r="L5269">
        <v>-63.539919999999903</v>
      </c>
      <c r="M5269">
        <v>0.99987359999999903</v>
      </c>
      <c r="N5269">
        <v>0</v>
      </c>
      <c r="O5269">
        <v>1.4367380000000001E-2</v>
      </c>
      <c r="P5269">
        <v>0.99206919999999899</v>
      </c>
      <c r="Q5269">
        <v>-6.3882899999999996E-3</v>
      </c>
      <c r="R5269">
        <v>0.1255298</v>
      </c>
      <c r="S5269">
        <v>2.8358759999999998</v>
      </c>
      <c r="T5269">
        <v>0.1362361</v>
      </c>
      <c r="U5269">
        <v>1.5270079999999999</v>
      </c>
      <c r="V5269">
        <v>-0.1112635</v>
      </c>
      <c r="W5269">
        <v>3.0357019999999998E-4</v>
      </c>
      <c r="X5269">
        <v>0.99379089999999903</v>
      </c>
      <c r="Y5269">
        <v>-0.46100140000000001</v>
      </c>
      <c r="Z5269">
        <v>-9.7190739999999994E-3</v>
      </c>
      <c r="AA5269">
        <v>0.88734609999999903</v>
      </c>
      <c r="AB5269">
        <v>18</v>
      </c>
      <c r="AC5269">
        <v>45.581899999999997</v>
      </c>
      <c r="AD5269">
        <v>2.194353</v>
      </c>
      <c r="AE5269">
        <v>24.59384</v>
      </c>
      <c r="AF5269">
        <v>-23.893505094658</v>
      </c>
      <c r="AG5269">
        <v>2.194353</v>
      </c>
      <c r="AH5269">
        <v>45.848254987562697</v>
      </c>
      <c r="AI5269">
        <v>87.569631403159804</v>
      </c>
      <c r="AJ5269">
        <v>117.52596528001401</v>
      </c>
      <c r="AK5269">
        <v>51.747243947882097</v>
      </c>
    </row>
    <row r="5270" spans="1:37" x14ac:dyDescent="0.2">
      <c r="A5270" t="str">
        <f>"20200111160323266"</f>
        <v>20200111160323266</v>
      </c>
      <c r="B5270" t="str">
        <f>"1578729803258689"</f>
        <v>1578729803258689</v>
      </c>
      <c r="C5270" t="s">
        <v>37</v>
      </c>
      <c r="D5270">
        <v>4.5159560000000001</v>
      </c>
      <c r="E5270">
        <v>0.35283490000000001</v>
      </c>
      <c r="F5270" t="s">
        <v>96</v>
      </c>
      <c r="G5270">
        <v>-222.86529999999999</v>
      </c>
      <c r="H5270">
        <v>3.2648839999999999</v>
      </c>
      <c r="I5270">
        <v>-38.946069999999999</v>
      </c>
      <c r="J5270">
        <v>-268.11</v>
      </c>
      <c r="K5270">
        <v>1.1040159999999899</v>
      </c>
      <c r="L5270">
        <v>-63.538269999999997</v>
      </c>
      <c r="M5270">
        <v>0.99986969999999997</v>
      </c>
      <c r="N5270">
        <v>0</v>
      </c>
      <c r="O5270">
        <v>1.463068E-2</v>
      </c>
      <c r="P5270">
        <v>0.99161880000000002</v>
      </c>
      <c r="Q5270">
        <v>-6.0906559999999998E-3</v>
      </c>
      <c r="R5270">
        <v>0.1290548</v>
      </c>
      <c r="S5270">
        <v>2.8305660000000001</v>
      </c>
      <c r="T5270">
        <v>0.13491139999999999</v>
      </c>
      <c r="U5270">
        <v>1.5354920000000001</v>
      </c>
      <c r="V5270">
        <v>-0.1145331</v>
      </c>
      <c r="W5270">
        <v>6.2734279999999997E-4</v>
      </c>
      <c r="X5270">
        <v>0.99341919999999995</v>
      </c>
      <c r="Y5270">
        <v>-0.46352309999999902</v>
      </c>
      <c r="Z5270">
        <v>-9.6786059999999993E-3</v>
      </c>
      <c r="AA5270">
        <v>0.88603199999999904</v>
      </c>
      <c r="AB5270">
        <v>18</v>
      </c>
      <c r="AC5270">
        <v>45.244700000000002</v>
      </c>
      <c r="AD5270">
        <v>2.1608679999999998</v>
      </c>
      <c r="AE5270">
        <v>24.592199999999998</v>
      </c>
      <c r="AF5270">
        <v>-23.885534285363999</v>
      </c>
      <c r="AG5270">
        <v>2.1608679999999998</v>
      </c>
      <c r="AH5270">
        <v>45.519516003311203</v>
      </c>
      <c r="AI5270">
        <v>87.592955799047402</v>
      </c>
      <c r="AJ5270">
        <v>117.687421808392</v>
      </c>
      <c r="AK5270">
        <v>51.451087799835904</v>
      </c>
    </row>
    <row r="5271" spans="1:37" x14ac:dyDescent="0.2">
      <c r="A5271" t="str">
        <f>"20200111160323278"</f>
        <v>20200111160323278</v>
      </c>
      <c r="B5271" t="str">
        <f>"1578729803268450"</f>
        <v>1578729803268450</v>
      </c>
      <c r="C5271" t="s">
        <v>37</v>
      </c>
      <c r="D5271">
        <v>4.5015580000000002</v>
      </c>
      <c r="E5271">
        <v>0.35289879999999901</v>
      </c>
      <c r="F5271" t="s">
        <v>96</v>
      </c>
      <c r="G5271">
        <v>-223.142</v>
      </c>
      <c r="H5271">
        <v>3.206372</v>
      </c>
      <c r="I5271">
        <v>-38.94605</v>
      </c>
      <c r="J5271">
        <v>-268.02120000000002</v>
      </c>
      <c r="K5271">
        <v>1.104017</v>
      </c>
      <c r="L5271">
        <v>-63.536679999999997</v>
      </c>
      <c r="M5271">
        <v>0.99986569999999997</v>
      </c>
      <c r="N5271">
        <v>0</v>
      </c>
      <c r="O5271">
        <v>1.4884629999999999E-2</v>
      </c>
      <c r="P5271">
        <v>0.99112630000000002</v>
      </c>
      <c r="Q5271">
        <v>-5.8509449999999998E-3</v>
      </c>
      <c r="R5271">
        <v>0.13279489999999999</v>
      </c>
      <c r="S5271">
        <v>2.8250730000000002</v>
      </c>
      <c r="T5271">
        <v>0.13207839999999901</v>
      </c>
      <c r="U5271">
        <v>1.544983</v>
      </c>
      <c r="V5271">
        <v>-0.1180278</v>
      </c>
      <c r="W5271">
        <v>8.9007989999999998E-4</v>
      </c>
      <c r="X5271">
        <v>0.9930099</v>
      </c>
      <c r="Y5271">
        <v>-0.46632570000000001</v>
      </c>
      <c r="Z5271">
        <v>-9.5347390000000004E-3</v>
      </c>
      <c r="AA5271">
        <v>0.88456170000000001</v>
      </c>
      <c r="AB5271">
        <v>18</v>
      </c>
      <c r="AC5271">
        <v>44.879199999999997</v>
      </c>
      <c r="AD5271">
        <v>2.1023550000000002</v>
      </c>
      <c r="AE5271">
        <v>24.590630000000001</v>
      </c>
      <c r="AF5271">
        <v>-23.879577402339802</v>
      </c>
      <c r="AG5271">
        <v>2.1023550000000002</v>
      </c>
      <c r="AH5271">
        <v>45.164034307707603</v>
      </c>
      <c r="AI5271">
        <v>87.643532540876507</v>
      </c>
      <c r="AJ5271">
        <v>117.866749216819</v>
      </c>
      <c r="AK5271">
        <v>51.131635103995599</v>
      </c>
    </row>
    <row r="5272" spans="1:37" x14ac:dyDescent="0.2">
      <c r="A5272" t="str">
        <f>"20200111160323294"</f>
        <v>20200111160323294</v>
      </c>
      <c r="B5272" t="str">
        <f>"1578729803288944"</f>
        <v>1578729803288944</v>
      </c>
      <c r="C5272" t="s">
        <v>37</v>
      </c>
      <c r="D5272">
        <v>4.4253660000000004</v>
      </c>
      <c r="E5272">
        <v>0.35355559999999903</v>
      </c>
      <c r="F5272" t="s">
        <v>96</v>
      </c>
      <c r="G5272">
        <v>-223.44159999999999</v>
      </c>
      <c r="H5272">
        <v>3.20003499999999</v>
      </c>
      <c r="I5272">
        <v>-38.94605</v>
      </c>
      <c r="J5272">
        <v>-267.88580000000002</v>
      </c>
      <c r="K5272">
        <v>1.104015</v>
      </c>
      <c r="L5272">
        <v>-63.534179999999999</v>
      </c>
      <c r="M5272">
        <v>0.99985959999999996</v>
      </c>
      <c r="N5272">
        <v>0</v>
      </c>
      <c r="O5272">
        <v>1.527164E-2</v>
      </c>
      <c r="P5272">
        <v>0.99007230000000002</v>
      </c>
      <c r="Q5272">
        <v>-5.7981830000000002E-3</v>
      </c>
      <c r="R5272">
        <v>0.14043919999999999</v>
      </c>
      <c r="S5272">
        <v>2.8192750000000002</v>
      </c>
      <c r="T5272">
        <v>0.13255500000000001</v>
      </c>
      <c r="U5272">
        <v>1.555145</v>
      </c>
      <c r="V5272">
        <v>-0.12530330000000001</v>
      </c>
      <c r="W5272">
        <v>9.7352619999999904E-4</v>
      </c>
      <c r="X5272">
        <v>0.99211800000000006</v>
      </c>
      <c r="Y5272">
        <v>-0.46918949999999998</v>
      </c>
      <c r="Z5272">
        <v>-9.6244859999999998E-3</v>
      </c>
      <c r="AA5272">
        <v>0.88304509999999903</v>
      </c>
      <c r="AB5272">
        <v>18</v>
      </c>
      <c r="AC5272">
        <v>44.444200000000002</v>
      </c>
      <c r="AD5272">
        <v>2.0960200000000002</v>
      </c>
      <c r="AE5272">
        <v>24.58813</v>
      </c>
      <c r="AF5272">
        <v>-23.865868815083601</v>
      </c>
      <c r="AG5272">
        <v>2.0960200000000002</v>
      </c>
      <c r="AH5272">
        <v>44.7383409394686</v>
      </c>
      <c r="AI5272">
        <v>87.632927892638193</v>
      </c>
      <c r="AJ5272">
        <v>118.077891118677</v>
      </c>
      <c r="AK5272">
        <v>50.749306834234801</v>
      </c>
    </row>
    <row r="5273" spans="1:37" x14ac:dyDescent="0.2">
      <c r="A5273" t="str">
        <f>"20200111160323305"</f>
        <v>20200111160323305</v>
      </c>
      <c r="B5273" t="str">
        <f>"1578729803298705"</f>
        <v>1578729803298705</v>
      </c>
      <c r="C5273" t="s">
        <v>37</v>
      </c>
      <c r="D5273">
        <v>4.40726</v>
      </c>
      <c r="E5273">
        <v>0.35388179999999902</v>
      </c>
      <c r="F5273" t="s">
        <v>96</v>
      </c>
      <c r="G5273">
        <v>-223.96690000000001</v>
      </c>
      <c r="H5273">
        <v>3.1129359999999999</v>
      </c>
      <c r="I5273">
        <v>-38.946019999999997</v>
      </c>
      <c r="J5273">
        <v>-267.79849999999999</v>
      </c>
      <c r="K5273">
        <v>1.104009</v>
      </c>
      <c r="L5273">
        <v>-63.532559999999997</v>
      </c>
      <c r="M5273">
        <v>0.99985559999999996</v>
      </c>
      <c r="N5273">
        <v>0</v>
      </c>
      <c r="O5273">
        <v>1.5521180000000001E-2</v>
      </c>
      <c r="P5273">
        <v>0.9895351</v>
      </c>
      <c r="Q5273">
        <v>-6.0235389999999996E-3</v>
      </c>
      <c r="R5273">
        <v>0.14416709999999999</v>
      </c>
      <c r="S5273">
        <v>2.8078609999999999</v>
      </c>
      <c r="T5273">
        <v>0.12843599999999999</v>
      </c>
      <c r="U5273">
        <v>1.5719909999999999</v>
      </c>
      <c r="V5273">
        <v>-0.1287914</v>
      </c>
      <c r="W5273">
        <v>7.6896319999999996E-4</v>
      </c>
      <c r="X5273">
        <v>0.99167139999999998</v>
      </c>
      <c r="Y5273">
        <v>-0.47453899999999999</v>
      </c>
      <c r="Z5273">
        <v>-9.4494669999999996E-3</v>
      </c>
      <c r="AA5273">
        <v>0.88018379999999996</v>
      </c>
      <c r="AB5273">
        <v>18</v>
      </c>
      <c r="AC5273">
        <v>43.831599999999902</v>
      </c>
      <c r="AD5273">
        <v>2.0089269999999999</v>
      </c>
      <c r="AE5273">
        <v>24.5865399999999</v>
      </c>
      <c r="AF5273">
        <v>-23.865110022438799</v>
      </c>
      <c r="AG5273">
        <v>2.0089269999999999</v>
      </c>
      <c r="AH5273">
        <v>44.1374145255011</v>
      </c>
      <c r="AI5273">
        <v>87.707249498120802</v>
      </c>
      <c r="AJ5273">
        <v>118.400099456904</v>
      </c>
      <c r="AK5273">
        <v>50.216437797501698</v>
      </c>
    </row>
    <row r="5274" spans="1:37" x14ac:dyDescent="0.2">
      <c r="A5274" t="str">
        <f>"20200111160323316"</f>
        <v>20200111160323316</v>
      </c>
      <c r="B5274" t="str">
        <f>"1578729803308465"</f>
        <v>1578729803308465</v>
      </c>
      <c r="C5274" t="s">
        <v>37</v>
      </c>
      <c r="D5274">
        <v>4.3953870000000004</v>
      </c>
      <c r="E5274">
        <v>0.35424299999999997</v>
      </c>
      <c r="F5274" t="s">
        <v>96</v>
      </c>
      <c r="G5274">
        <v>-224.19450000000001</v>
      </c>
      <c r="H5274">
        <v>3.0602939999999998</v>
      </c>
      <c r="I5274">
        <v>-38.946010000000001</v>
      </c>
      <c r="J5274">
        <v>-267.7072</v>
      </c>
      <c r="K5274">
        <v>1.1040049999999999</v>
      </c>
      <c r="L5274">
        <v>-63.530819999999999</v>
      </c>
      <c r="M5274">
        <v>0.99985119999999905</v>
      </c>
      <c r="N5274">
        <v>0</v>
      </c>
      <c r="O5274">
        <v>1.5782520000000001E-2</v>
      </c>
      <c r="P5274">
        <v>0.98898920000000001</v>
      </c>
      <c r="Q5274">
        <v>-6.1217619999999898E-3</v>
      </c>
      <c r="R5274">
        <v>0.1478611</v>
      </c>
      <c r="S5274">
        <v>2.8023069999999999</v>
      </c>
      <c r="T5274">
        <v>0.1257248</v>
      </c>
      <c r="U5274">
        <v>1.580109</v>
      </c>
      <c r="V5274">
        <v>-0.13223360000000001</v>
      </c>
      <c r="W5274">
        <v>6.9314660000000005E-4</v>
      </c>
      <c r="X5274">
        <v>0.9912183</v>
      </c>
      <c r="Y5274">
        <v>-0.47700039999999999</v>
      </c>
      <c r="Z5274">
        <v>-9.3005239999999993E-3</v>
      </c>
      <c r="AA5274">
        <v>0.87885389999999997</v>
      </c>
      <c r="AB5274">
        <v>18</v>
      </c>
      <c r="AC5274">
        <v>43.512700000000002</v>
      </c>
      <c r="AD5274">
        <v>1.9562889999999999</v>
      </c>
      <c r="AE5274">
        <v>24.584810000000001</v>
      </c>
      <c r="AF5274">
        <v>-23.858435295767599</v>
      </c>
      <c r="AG5274">
        <v>1.9562889999999999</v>
      </c>
      <c r="AH5274">
        <v>43.828146567296699</v>
      </c>
      <c r="AI5274">
        <v>87.754969860026605</v>
      </c>
      <c r="AJ5274">
        <v>118.562251265234</v>
      </c>
      <c r="AK5274">
        <v>49.939547784679498</v>
      </c>
    </row>
    <row r="5275" spans="1:37" x14ac:dyDescent="0.2">
      <c r="A5275" t="str">
        <f>"20200111160323327"</f>
        <v>20200111160323327</v>
      </c>
      <c r="B5275" t="str">
        <f>"1578729803318225"</f>
        <v>1578729803318225</v>
      </c>
      <c r="C5275" t="s">
        <v>37</v>
      </c>
      <c r="D5275">
        <v>4.4214229999999999</v>
      </c>
      <c r="E5275">
        <v>0.35465009999999902</v>
      </c>
      <c r="F5275" t="s">
        <v>96</v>
      </c>
      <c r="G5275">
        <v>-224.40289999999999</v>
      </c>
      <c r="H5275">
        <v>2.9997180000000001</v>
      </c>
      <c r="I5275">
        <v>-38.945979999999999</v>
      </c>
      <c r="J5275">
        <v>-267.6103</v>
      </c>
      <c r="K5275">
        <v>1.1040030000000001</v>
      </c>
      <c r="L5275">
        <v>-63.528959999999998</v>
      </c>
      <c r="M5275">
        <v>0.99984669999999898</v>
      </c>
      <c r="N5275">
        <v>0</v>
      </c>
      <c r="O5275">
        <v>1.6059529999999999E-2</v>
      </c>
      <c r="P5275">
        <v>0.98842600000000003</v>
      </c>
      <c r="Q5275">
        <v>-6.4278390000000003E-3</v>
      </c>
      <c r="R5275">
        <v>0.1515686</v>
      </c>
      <c r="S5275">
        <v>2.796783</v>
      </c>
      <c r="T5275">
        <v>0.1224335</v>
      </c>
      <c r="U5275">
        <v>1.587799</v>
      </c>
      <c r="V5275">
        <v>-0.13567509999999999</v>
      </c>
      <c r="W5275">
        <v>4.113365E-4</v>
      </c>
      <c r="X5275">
        <v>0.99075329999999995</v>
      </c>
      <c r="Y5275">
        <v>-0.47934329999999897</v>
      </c>
      <c r="Z5275">
        <v>-9.1035379999999996E-3</v>
      </c>
      <c r="AA5275">
        <v>0.87758029999999998</v>
      </c>
      <c r="AB5275">
        <v>18</v>
      </c>
      <c r="AC5275">
        <v>43.2074</v>
      </c>
      <c r="AD5275">
        <v>1.895715</v>
      </c>
      <c r="AE5275">
        <v>24.582979999999999</v>
      </c>
      <c r="AF5275">
        <v>-23.851216609883299</v>
      </c>
      <c r="AG5275">
        <v>1.895715</v>
      </c>
      <c r="AH5275">
        <v>43.533320159661798</v>
      </c>
      <c r="AI5275">
        <v>87.812935272718406</v>
      </c>
      <c r="AJ5275">
        <v>118.71763679769499</v>
      </c>
      <c r="AK5275">
        <v>49.675187299661197</v>
      </c>
    </row>
    <row r="5276" spans="1:37" x14ac:dyDescent="0.2">
      <c r="A5276" t="str">
        <f>"20200111160323350"</f>
        <v>20200111160323350</v>
      </c>
      <c r="B5276" t="str">
        <f>"1578729803338610"</f>
        <v>1578729803338610</v>
      </c>
      <c r="C5276" t="s">
        <v>37</v>
      </c>
      <c r="D5276">
        <v>4.4851369999999999</v>
      </c>
      <c r="E5276">
        <v>0.35553899999999999</v>
      </c>
      <c r="F5276" t="s">
        <v>96</v>
      </c>
      <c r="G5276">
        <v>-224.59719999999999</v>
      </c>
      <c r="H5276">
        <v>2.94924399999999</v>
      </c>
      <c r="I5276">
        <v>-38.945970000000003</v>
      </c>
      <c r="J5276">
        <v>-267.4341</v>
      </c>
      <c r="K5276">
        <v>1.103998</v>
      </c>
      <c r="L5276">
        <v>-63.525509999999997</v>
      </c>
      <c r="M5276">
        <v>0.99983809999999995</v>
      </c>
      <c r="N5276">
        <v>0</v>
      </c>
      <c r="O5276">
        <v>1.6559440000000002E-2</v>
      </c>
      <c r="P5276">
        <v>0.98732450000000005</v>
      </c>
      <c r="Q5276">
        <v>-7.01943599999999E-3</v>
      </c>
      <c r="R5276">
        <v>0.1585599</v>
      </c>
      <c r="S5276">
        <v>2.7913209999999999</v>
      </c>
      <c r="T5276">
        <v>0.1197462</v>
      </c>
      <c r="U5276">
        <v>1.5953059999999999</v>
      </c>
      <c r="V5276">
        <v>-0.14218789999999901</v>
      </c>
      <c r="W5276">
        <v>-1.3827349999999999E-4</v>
      </c>
      <c r="X5276">
        <v>0.98983969999999899</v>
      </c>
      <c r="Y5276">
        <v>-0.48143429999999998</v>
      </c>
      <c r="Z5276">
        <v>-8.9352870000000001E-3</v>
      </c>
      <c r="AA5276">
        <v>0.87643669999999996</v>
      </c>
      <c r="AB5276">
        <v>18</v>
      </c>
      <c r="AC5276">
        <v>42.8369</v>
      </c>
      <c r="AD5276">
        <v>1.8452459999999999</v>
      </c>
      <c r="AE5276">
        <v>24.579539999999898</v>
      </c>
      <c r="AF5276">
        <v>-23.8335265356354</v>
      </c>
      <c r="AG5276">
        <v>1.8452459999999999</v>
      </c>
      <c r="AH5276">
        <v>43.177785588574899</v>
      </c>
      <c r="AI5276">
        <v>87.857303712108603</v>
      </c>
      <c r="AJ5276">
        <v>118.89807605704399</v>
      </c>
      <c r="AK5276">
        <v>49.353450621595798</v>
      </c>
    </row>
    <row r="5277" spans="1:37" x14ac:dyDescent="0.2">
      <c r="A5277" t="str">
        <f>"20200111160323361"</f>
        <v>20200111160323361</v>
      </c>
      <c r="B5277" t="str">
        <f>"1578729803348361"</f>
        <v>1578729803348361</v>
      </c>
      <c r="C5277" t="s">
        <v>37</v>
      </c>
      <c r="D5277">
        <v>4.5149790000000003</v>
      </c>
      <c r="E5277">
        <v>0.35553899999999999</v>
      </c>
      <c r="F5277" t="s">
        <v>96</v>
      </c>
      <c r="G5277">
        <v>-224.92930000000001</v>
      </c>
      <c r="H5277">
        <v>2.833062</v>
      </c>
      <c r="I5277">
        <v>-38.945929999999997</v>
      </c>
      <c r="J5277">
        <v>-267.33940000000001</v>
      </c>
      <c r="K5277">
        <v>1.1039950000000001</v>
      </c>
      <c r="L5277">
        <v>-63.523619999999902</v>
      </c>
      <c r="M5277">
        <v>0.99983359999999899</v>
      </c>
      <c r="N5277">
        <v>0</v>
      </c>
      <c r="O5277">
        <v>1.6823500000000002E-2</v>
      </c>
      <c r="P5277">
        <v>0.98676469999999905</v>
      </c>
      <c r="Q5277">
        <v>-7.5148699999999999E-3</v>
      </c>
      <c r="R5277">
        <v>0.16198499999999999</v>
      </c>
      <c r="S5277">
        <v>2.7810359999999998</v>
      </c>
      <c r="T5277">
        <v>0.1131307</v>
      </c>
      <c r="U5277">
        <v>1.608215</v>
      </c>
      <c r="V5277">
        <v>-0.145360299999999</v>
      </c>
      <c r="W5277">
        <v>-6.1173689999999997E-4</v>
      </c>
      <c r="X5277">
        <v>0.9893786</v>
      </c>
      <c r="Y5277">
        <v>-0.4856781</v>
      </c>
      <c r="Z5277">
        <v>-8.5300949999999997E-3</v>
      </c>
      <c r="AA5277">
        <v>0.87409619999999999</v>
      </c>
      <c r="AB5277">
        <v>18</v>
      </c>
      <c r="AC5277">
        <v>42.4101</v>
      </c>
      <c r="AD5277">
        <v>1.7290669999999999</v>
      </c>
      <c r="AE5277">
        <v>24.57769</v>
      </c>
      <c r="AF5277">
        <v>-23.831054237910202</v>
      </c>
      <c r="AG5277">
        <v>1.7290669999999999</v>
      </c>
      <c r="AH5277">
        <v>42.764378611256603</v>
      </c>
      <c r="AI5277">
        <v>87.977231803566198</v>
      </c>
      <c r="AJ5277">
        <v>119.129355704887</v>
      </c>
      <c r="AK5277">
        <v>48.986742051167397</v>
      </c>
    </row>
    <row r="5278" spans="1:37" x14ac:dyDescent="0.2">
      <c r="A5278" t="str">
        <f>"20200111160323372"</f>
        <v>20200111160323372</v>
      </c>
      <c r="B5278" t="str">
        <f>"1578729803368857"</f>
        <v>1578729803368857</v>
      </c>
      <c r="C5278" t="s">
        <v>37</v>
      </c>
      <c r="D5278">
        <v>4.4625360000000001</v>
      </c>
      <c r="E5278">
        <v>0.37180350000000001</v>
      </c>
      <c r="F5278" t="s">
        <v>96</v>
      </c>
      <c r="G5278">
        <v>-225.17670000000001</v>
      </c>
      <c r="H5278">
        <v>2.7893129999999999</v>
      </c>
      <c r="I5278">
        <v>-38.945920000000001</v>
      </c>
      <c r="J5278">
        <v>-267.24470000000002</v>
      </c>
      <c r="K5278">
        <v>1.10399</v>
      </c>
      <c r="L5278">
        <v>-63.521729999999998</v>
      </c>
      <c r="M5278">
        <v>0.99982890000000002</v>
      </c>
      <c r="N5278">
        <v>0</v>
      </c>
      <c r="O5278">
        <v>1.7085650000000001E-2</v>
      </c>
      <c r="P5278">
        <v>0.98626480000000005</v>
      </c>
      <c r="Q5278">
        <v>-8.1724109999999992E-3</v>
      </c>
      <c r="R5278">
        <v>0.164969899999999</v>
      </c>
      <c r="S5278">
        <v>2.7755130000000001</v>
      </c>
      <c r="T5278">
        <v>0.1109422</v>
      </c>
      <c r="U5278">
        <v>1.61792</v>
      </c>
      <c r="V5278">
        <v>-0.14809359999999999</v>
      </c>
      <c r="W5278">
        <v>-1.2472589999999999E-3</v>
      </c>
      <c r="X5278">
        <v>0.98897250000000003</v>
      </c>
      <c r="Y5278">
        <v>-0.48849379999999998</v>
      </c>
      <c r="Z5278">
        <v>-8.4152429999999993E-3</v>
      </c>
      <c r="AA5278">
        <v>0.87252680000000005</v>
      </c>
      <c r="AB5278">
        <v>18</v>
      </c>
      <c r="AC5278">
        <v>42.067999999999998</v>
      </c>
      <c r="AD5278">
        <v>1.6853229999999999</v>
      </c>
      <c r="AE5278">
        <v>24.575810000000001</v>
      </c>
      <c r="AF5278">
        <v>-23.824936780798101</v>
      </c>
      <c r="AG5278">
        <v>1.6853229999999999</v>
      </c>
      <c r="AH5278">
        <v>42.430991045326799</v>
      </c>
      <c r="AI5278">
        <v>88.016465037553004</v>
      </c>
      <c r="AJ5278">
        <v>119.31414413997</v>
      </c>
      <c r="AK5278">
        <v>48.691446141103199</v>
      </c>
    </row>
    <row r="5279" spans="1:37" x14ac:dyDescent="0.2">
      <c r="A5279" t="str">
        <f>"20200111160323385"</f>
        <v>20200111160323385</v>
      </c>
      <c r="B5279" t="str">
        <f>"1578729803378617"</f>
        <v>1578729803378617</v>
      </c>
      <c r="C5279" t="s">
        <v>37</v>
      </c>
      <c r="D5279">
        <v>4.4842589999999998</v>
      </c>
      <c r="E5279">
        <v>0.37270219999999998</v>
      </c>
      <c r="F5279" t="s">
        <v>96</v>
      </c>
      <c r="G5279">
        <v>-221.56290000000001</v>
      </c>
      <c r="H5279">
        <v>1.7364219999999999</v>
      </c>
      <c r="I5279">
        <v>-38.94556</v>
      </c>
      <c r="J5279">
        <v>-267.14170000000001</v>
      </c>
      <c r="K5279">
        <v>1.1039829999999999</v>
      </c>
      <c r="L5279">
        <v>-63.519649999999999</v>
      </c>
      <c r="M5279">
        <v>0.99982389999999999</v>
      </c>
      <c r="N5279">
        <v>0</v>
      </c>
      <c r="O5279">
        <v>1.7367649999999998E-2</v>
      </c>
      <c r="P5279">
        <v>0.98574409999999901</v>
      </c>
      <c r="Q5279">
        <v>-8.6397100000000001E-3</v>
      </c>
      <c r="R5279">
        <v>0.1680306</v>
      </c>
      <c r="S5279">
        <v>2.7909549999999999</v>
      </c>
      <c r="T5279">
        <v>3.863871E-2</v>
      </c>
      <c r="U5279">
        <v>1.501495</v>
      </c>
      <c r="V5279">
        <v>-0.15088370000000001</v>
      </c>
      <c r="W5279">
        <v>-1.6915739999999999E-3</v>
      </c>
      <c r="X5279">
        <v>0.98855009999999999</v>
      </c>
      <c r="Y5279">
        <v>-0.45837600000000001</v>
      </c>
      <c r="Z5279">
        <v>-2.7465279999999998E-3</v>
      </c>
      <c r="AA5279">
        <v>0.88875409999999899</v>
      </c>
      <c r="AB5279">
        <v>18</v>
      </c>
      <c r="AC5279">
        <v>45.578800000000001</v>
      </c>
      <c r="AD5279">
        <v>0.63243899999999997</v>
      </c>
      <c r="AE5279">
        <v>24.574089999999899</v>
      </c>
      <c r="AF5279">
        <v>-23.775220061977699</v>
      </c>
      <c r="AG5279">
        <v>0.63243899999999997</v>
      </c>
      <c r="AH5279">
        <v>45.9918692874909</v>
      </c>
      <c r="AI5279">
        <v>89.300140751197702</v>
      </c>
      <c r="AJ5279">
        <v>117.336431091355</v>
      </c>
      <c r="AK5279">
        <v>51.777534787220603</v>
      </c>
    </row>
    <row r="5280" spans="1:37" x14ac:dyDescent="0.2">
      <c r="A5280" t="str">
        <f>"20200111160323397"</f>
        <v>20200111160323397</v>
      </c>
      <c r="B5280" t="str">
        <f>"1578729803388377"</f>
        <v>1578729803388377</v>
      </c>
      <c r="C5280" t="s">
        <v>37</v>
      </c>
      <c r="D5280">
        <v>4.4800389999999997</v>
      </c>
      <c r="E5280">
        <v>0.37305259999999901</v>
      </c>
      <c r="F5280" t="s">
        <v>96</v>
      </c>
      <c r="G5280">
        <v>-221.5744</v>
      </c>
      <c r="H5280">
        <v>1.6621459999999999</v>
      </c>
      <c r="I5280">
        <v>-38.945540000000001</v>
      </c>
      <c r="J5280">
        <v>-267.04649999999998</v>
      </c>
      <c r="K5280">
        <v>1.103977</v>
      </c>
      <c r="L5280">
        <v>-63.517699999999998</v>
      </c>
      <c r="M5280">
        <v>0.99981929999999997</v>
      </c>
      <c r="N5280">
        <v>0</v>
      </c>
      <c r="O5280">
        <v>1.7622220000000001E-2</v>
      </c>
      <c r="P5280">
        <v>0.98525849999999904</v>
      </c>
      <c r="Q5280">
        <v>-8.8678109999999997E-3</v>
      </c>
      <c r="R5280">
        <v>0.17084240000000001</v>
      </c>
      <c r="S5280">
        <v>2.7874759999999998</v>
      </c>
      <c r="T5280">
        <v>3.4144279999999999E-2</v>
      </c>
      <c r="U5280">
        <v>1.5032650000000001</v>
      </c>
      <c r="V5280">
        <v>-0.1534517</v>
      </c>
      <c r="W5280">
        <v>-1.8992989999999999E-3</v>
      </c>
      <c r="X5280">
        <v>0.98815439999999999</v>
      </c>
      <c r="Y5280">
        <v>-0.45905679999999999</v>
      </c>
      <c r="Z5280">
        <v>-2.4303900000000002E-3</v>
      </c>
      <c r="AA5280">
        <v>0.88840359999999996</v>
      </c>
      <c r="AB5280">
        <v>18</v>
      </c>
      <c r="AC5280">
        <v>45.472099999999898</v>
      </c>
      <c r="AD5280">
        <v>0.55816899999999903</v>
      </c>
      <c r="AE5280">
        <v>24.57216</v>
      </c>
      <c r="AF5280">
        <v>-23.7642330415472</v>
      </c>
      <c r="AG5280">
        <v>0.55816899999999903</v>
      </c>
      <c r="AH5280">
        <v>45.892713551729003</v>
      </c>
      <c r="AI5280">
        <v>89.381208588715396</v>
      </c>
      <c r="AJ5280">
        <v>117.376091697642</v>
      </c>
      <c r="AK5280">
        <v>51.683570714750097</v>
      </c>
    </row>
    <row r="5281" spans="1:37" x14ac:dyDescent="0.2">
      <c r="A5281" t="str">
        <f>"20200111160323407"</f>
        <v>20200111160323407</v>
      </c>
      <c r="B5281" t="str">
        <f>"1578729803399113"</f>
        <v>1578729803399113</v>
      </c>
      <c r="C5281" t="s">
        <v>37</v>
      </c>
      <c r="D5281">
        <v>4.5002440000000004</v>
      </c>
      <c r="E5281">
        <v>0.37342069999999999</v>
      </c>
      <c r="F5281" t="s">
        <v>96</v>
      </c>
      <c r="G5281">
        <v>-221.7123</v>
      </c>
      <c r="H5281">
        <v>1.5349219999999999</v>
      </c>
      <c r="I5281">
        <v>-38.945500000000003</v>
      </c>
      <c r="J5281">
        <v>-266.95179999999999</v>
      </c>
      <c r="K5281">
        <v>1.103969</v>
      </c>
      <c r="L5281">
        <v>-63.515719999999902</v>
      </c>
      <c r="M5281">
        <v>0.9998146</v>
      </c>
      <c r="N5281">
        <v>0</v>
      </c>
      <c r="O5281">
        <v>1.7872860000000001E-2</v>
      </c>
      <c r="P5281">
        <v>0.98482409999999998</v>
      </c>
      <c r="Q5281">
        <v>-8.9996659999999999E-3</v>
      </c>
      <c r="R5281">
        <v>0.17332210000000001</v>
      </c>
      <c r="S5281">
        <v>2.7835079999999999</v>
      </c>
      <c r="T5281">
        <v>2.645981E-2</v>
      </c>
      <c r="U5281">
        <v>1.5087280000000001</v>
      </c>
      <c r="V5281">
        <v>-0.15569129999999901</v>
      </c>
      <c r="W5281">
        <v>-2.010782E-3</v>
      </c>
      <c r="X5281">
        <v>0.98780369999999995</v>
      </c>
      <c r="Y5281">
        <v>-0.46072089999999999</v>
      </c>
      <c r="Z5281">
        <v>-1.8901479999999999E-3</v>
      </c>
      <c r="AA5281">
        <v>0.88754310000000003</v>
      </c>
      <c r="AB5281">
        <v>19</v>
      </c>
      <c r="AC5281">
        <v>45.2394999999999</v>
      </c>
      <c r="AD5281">
        <v>0.43095299999999898</v>
      </c>
      <c r="AE5281">
        <v>24.5702199999999</v>
      </c>
      <c r="AF5281">
        <v>-23.756050432695801</v>
      </c>
      <c r="AG5281">
        <v>0.43095299999999898</v>
      </c>
      <c r="AH5281">
        <v>45.668224587788202</v>
      </c>
      <c r="AI5281">
        <v>89.520349780242796</v>
      </c>
      <c r="AJ5281">
        <v>117.48289805477199</v>
      </c>
      <c r="AK5281">
        <v>51.479339444573903</v>
      </c>
    </row>
    <row r="5282" spans="1:37" x14ac:dyDescent="0.2">
      <c r="A5282" t="str">
        <f>"20200111160323418"</f>
        <v>20200111160323418</v>
      </c>
      <c r="B5282" t="str">
        <f>"1578729803408873"</f>
        <v>1578729803408873</v>
      </c>
      <c r="C5282" t="s">
        <v>37</v>
      </c>
      <c r="D5282">
        <v>4.4707059999999998</v>
      </c>
      <c r="E5282">
        <v>0.3741082</v>
      </c>
      <c r="F5282" t="s">
        <v>96</v>
      </c>
      <c r="G5282">
        <v>-221.80420000000001</v>
      </c>
      <c r="H5282">
        <v>1.5133920000000001</v>
      </c>
      <c r="I5282">
        <v>-38.945489999999999</v>
      </c>
      <c r="J5282">
        <v>-266.86259999999999</v>
      </c>
      <c r="K5282">
        <v>1.103963</v>
      </c>
      <c r="L5282">
        <v>-63.513849999999998</v>
      </c>
      <c r="M5282">
        <v>0.99981049999999905</v>
      </c>
      <c r="N5282">
        <v>0</v>
      </c>
      <c r="O5282">
        <v>1.8098099999999999E-2</v>
      </c>
      <c r="P5282">
        <v>0.98438539999999997</v>
      </c>
      <c r="Q5282">
        <v>-9.153843E-3</v>
      </c>
      <c r="R5282">
        <v>0.1757891</v>
      </c>
      <c r="S5282">
        <v>2.7801819999999999</v>
      </c>
      <c r="T5282">
        <v>2.5212169999999999E-2</v>
      </c>
      <c r="U5282">
        <v>1.513031</v>
      </c>
      <c r="V5282">
        <v>-0.15794330000000001</v>
      </c>
      <c r="W5282">
        <v>-2.1467140000000001E-3</v>
      </c>
      <c r="X5282">
        <v>0.98744580000000004</v>
      </c>
      <c r="Y5282">
        <v>-0.46202709999999902</v>
      </c>
      <c r="Z5282">
        <v>-1.805931E-3</v>
      </c>
      <c r="AA5282">
        <v>0.88686390000000004</v>
      </c>
      <c r="AB5282">
        <v>19</v>
      </c>
      <c r="AC5282">
        <v>45.058399999999899</v>
      </c>
      <c r="AD5282">
        <v>0.40942899999999999</v>
      </c>
      <c r="AE5282">
        <v>24.568359999999998</v>
      </c>
      <c r="AF5282">
        <v>-23.747332093797201</v>
      </c>
      <c r="AG5282">
        <v>0.40942899999999999</v>
      </c>
      <c r="AH5282">
        <v>45.492776458120403</v>
      </c>
      <c r="AI5282">
        <v>89.542887594212303</v>
      </c>
      <c r="AJ5282">
        <v>117.564660663891</v>
      </c>
      <c r="AK5282">
        <v>51.319549136246799</v>
      </c>
    </row>
    <row r="5283" spans="1:37" x14ac:dyDescent="0.2">
      <c r="A5283" t="str">
        <f>"20200111160323432"</f>
        <v>20200111160323432</v>
      </c>
      <c r="B5283" t="str">
        <f>"1578729803428393"</f>
        <v>1578729803428393</v>
      </c>
      <c r="C5283" t="s">
        <v>37</v>
      </c>
      <c r="D5283">
        <v>4.475562</v>
      </c>
      <c r="E5283">
        <v>0.37518859999999998</v>
      </c>
      <c r="F5283" t="s">
        <v>96</v>
      </c>
      <c r="G5283">
        <v>-221.81460000000001</v>
      </c>
      <c r="H5283">
        <v>1.4476169999999999</v>
      </c>
      <c r="I5283">
        <v>-38.94547</v>
      </c>
      <c r="J5283">
        <v>-266.75819999999999</v>
      </c>
      <c r="K5283">
        <v>1.103953</v>
      </c>
      <c r="L5283">
        <v>-63.511659999999999</v>
      </c>
      <c r="M5283">
        <v>0.99980550000000001</v>
      </c>
      <c r="N5283">
        <v>0</v>
      </c>
      <c r="O5283">
        <v>1.835788E-2</v>
      </c>
      <c r="P5283">
        <v>0.98388009999999904</v>
      </c>
      <c r="Q5283">
        <v>-9.1220659999999999E-3</v>
      </c>
      <c r="R5283">
        <v>0.17859659999999999</v>
      </c>
      <c r="S5283">
        <v>2.7772830000000002</v>
      </c>
      <c r="T5283">
        <v>2.1186710000000001E-2</v>
      </c>
      <c r="U5283">
        <v>1.5146790000000001</v>
      </c>
      <c r="V5283">
        <v>-0.16050320000000001</v>
      </c>
      <c r="W5283">
        <v>-2.093639E-3</v>
      </c>
      <c r="X5283">
        <v>0.9870331</v>
      </c>
      <c r="Y5283">
        <v>-0.46259499999999998</v>
      </c>
      <c r="Z5283">
        <v>-1.518964E-3</v>
      </c>
      <c r="AA5283">
        <v>0.88656840000000003</v>
      </c>
      <c r="AB5283">
        <v>19</v>
      </c>
      <c r="AC5283">
        <v>44.943599999999897</v>
      </c>
      <c r="AD5283">
        <v>0.34366399999999903</v>
      </c>
      <c r="AE5283">
        <v>24.566189999999999</v>
      </c>
      <c r="AF5283">
        <v>-23.7358906659531</v>
      </c>
      <c r="AG5283">
        <v>0.34366399999999903</v>
      </c>
      <c r="AH5283">
        <v>45.384977387129901</v>
      </c>
      <c r="AI5283">
        <v>89.615553960901494</v>
      </c>
      <c r="AJ5283">
        <v>117.609118611719</v>
      </c>
      <c r="AK5283">
        <v>51.218227059136602</v>
      </c>
    </row>
    <row r="5284" spans="1:37" x14ac:dyDescent="0.2">
      <c r="A5284" t="str">
        <f>"20200111160323443"</f>
        <v>20200111160323443</v>
      </c>
      <c r="B5284" t="str">
        <f>"1578729803439130"</f>
        <v>1578729803439130</v>
      </c>
      <c r="C5284" t="s">
        <v>37</v>
      </c>
      <c r="D5284">
        <v>4.4174369999999996</v>
      </c>
      <c r="E5284">
        <v>0.37537769999999998</v>
      </c>
      <c r="F5284" t="s">
        <v>96</v>
      </c>
      <c r="G5284">
        <v>-221.7474</v>
      </c>
      <c r="H5284">
        <v>1.3792340000000001</v>
      </c>
      <c r="I5284">
        <v>-38.945450000000001</v>
      </c>
      <c r="J5284">
        <v>-266.66000000000003</v>
      </c>
      <c r="K5284">
        <v>1.1039490000000001</v>
      </c>
      <c r="L5284">
        <v>-63.509549999999997</v>
      </c>
      <c r="M5284">
        <v>0.99980119999999895</v>
      </c>
      <c r="N5284">
        <v>0</v>
      </c>
      <c r="O5284">
        <v>1.858887E-2</v>
      </c>
      <c r="P5284">
        <v>0.98335699999999904</v>
      </c>
      <c r="Q5284">
        <v>-9.1897550000000008E-3</v>
      </c>
      <c r="R5284">
        <v>0.18145210000000001</v>
      </c>
      <c r="S5284">
        <v>2.7744450000000001</v>
      </c>
      <c r="T5284">
        <v>1.6968130000000001E-2</v>
      </c>
      <c r="U5284">
        <v>1.5142519999999999</v>
      </c>
      <c r="V5284">
        <v>-0.16314020000000001</v>
      </c>
      <c r="W5284">
        <v>-2.1423409999999999E-3</v>
      </c>
      <c r="X5284">
        <v>0.98660059999999905</v>
      </c>
      <c r="Y5284">
        <v>-0.46266960000000001</v>
      </c>
      <c r="Z5284">
        <v>-1.2165519999999899E-3</v>
      </c>
      <c r="AA5284">
        <v>0.88652999999999904</v>
      </c>
      <c r="AB5284">
        <v>19</v>
      </c>
      <c r="AC5284">
        <v>44.912599999999998</v>
      </c>
      <c r="AD5284">
        <v>0.275285</v>
      </c>
      <c r="AE5284">
        <v>24.5641</v>
      </c>
      <c r="AF5284">
        <v>-23.724273132866202</v>
      </c>
      <c r="AG5284">
        <v>0.275285</v>
      </c>
      <c r="AH5284">
        <v>45.3601582316346</v>
      </c>
      <c r="AI5284">
        <v>89.691881032582003</v>
      </c>
      <c r="AJ5284">
        <v>117.610470117343</v>
      </c>
      <c r="AK5284">
        <v>51.190437313164203</v>
      </c>
    </row>
    <row r="5285" spans="1:37" x14ac:dyDescent="0.2">
      <c r="A5285" t="str">
        <f>"20200111160323454"</f>
        <v>20200111160323454</v>
      </c>
      <c r="B5285" t="str">
        <f>"1578729803448889"</f>
        <v>1578729803448889</v>
      </c>
      <c r="C5285" t="s">
        <v>37</v>
      </c>
      <c r="D5285">
        <v>3.3699809999999899</v>
      </c>
      <c r="E5285">
        <v>0.37537769999999998</v>
      </c>
      <c r="F5285" t="s">
        <v>96</v>
      </c>
      <c r="G5285">
        <v>-221.91390000000001</v>
      </c>
      <c r="H5285">
        <v>1.367869</v>
      </c>
      <c r="I5285">
        <v>-38.945439999999998</v>
      </c>
      <c r="J5285">
        <v>-266.5634</v>
      </c>
      <c r="K5285">
        <v>1.1039350000000001</v>
      </c>
      <c r="L5285">
        <v>-63.507509999999897</v>
      </c>
      <c r="M5285">
        <v>0.99979680000000004</v>
      </c>
      <c r="N5285">
        <v>0</v>
      </c>
      <c r="O5285">
        <v>1.8809670000000001E-2</v>
      </c>
      <c r="P5285">
        <v>0.98279130000000003</v>
      </c>
      <c r="Q5285">
        <v>-8.8877060000000004E-3</v>
      </c>
      <c r="R5285">
        <v>0.18450549999999999</v>
      </c>
      <c r="S5285">
        <v>2.7702640000000001</v>
      </c>
      <c r="T5285">
        <v>1.633942E-2</v>
      </c>
      <c r="U5285">
        <v>1.5207820000000001</v>
      </c>
      <c r="V5285">
        <v>-0.165985299999999</v>
      </c>
      <c r="W5285">
        <v>-1.8225909999999999E-3</v>
      </c>
      <c r="X5285">
        <v>0.98612649999999902</v>
      </c>
      <c r="Y5285">
        <v>-0.46464309999999998</v>
      </c>
      <c r="Z5285">
        <v>-1.1766319999999999E-3</v>
      </c>
      <c r="AA5285">
        <v>0.88549730000000004</v>
      </c>
      <c r="AB5285">
        <v>19</v>
      </c>
      <c r="AC5285">
        <v>44.649499999999897</v>
      </c>
      <c r="AD5285">
        <v>0.263933999999999</v>
      </c>
      <c r="AE5285">
        <v>24.562069999999899</v>
      </c>
      <c r="AF5285">
        <v>-23.7172236664099</v>
      </c>
      <c r="AG5285">
        <v>0.263933999999999</v>
      </c>
      <c r="AH5285">
        <v>45.102407006560597</v>
      </c>
      <c r="AI5285">
        <v>89.703243410144907</v>
      </c>
      <c r="AJ5285">
        <v>117.737760270241</v>
      </c>
      <c r="AK5285">
        <v>50.958841012961798</v>
      </c>
    </row>
    <row r="5286" spans="1:37" x14ac:dyDescent="0.2">
      <c r="A5286" t="str">
        <f>"20200111160323466"</f>
        <v>20200111160323466</v>
      </c>
      <c r="B5286" t="str">
        <f>"1578729803458650"</f>
        <v>1578729803458650</v>
      </c>
      <c r="C5286" t="s">
        <v>37</v>
      </c>
      <c r="D5286">
        <v>4.2780589999999998</v>
      </c>
      <c r="E5286">
        <v>0.36920500000000001</v>
      </c>
      <c r="F5286" t="s">
        <v>96</v>
      </c>
      <c r="G5286">
        <v>-222.14779999999999</v>
      </c>
      <c r="H5286">
        <v>1.374072</v>
      </c>
      <c r="I5286">
        <v>-38.945450000000001</v>
      </c>
      <c r="J5286">
        <v>-266.45740000000001</v>
      </c>
      <c r="K5286">
        <v>1.1039239999999999</v>
      </c>
      <c r="L5286">
        <v>-63.505219999999902</v>
      </c>
      <c r="M5286">
        <v>0.99979240000000003</v>
      </c>
      <c r="N5286">
        <v>0</v>
      </c>
      <c r="O5286">
        <v>1.904345E-2</v>
      </c>
      <c r="P5286">
        <v>0.98217169999999898</v>
      </c>
      <c r="Q5286">
        <v>-8.4812059999999998E-3</v>
      </c>
      <c r="R5286">
        <v>0.18779499999999999</v>
      </c>
      <c r="S5286">
        <v>2.7655939999999899</v>
      </c>
      <c r="T5286">
        <v>1.6820310000000002E-2</v>
      </c>
      <c r="U5286">
        <v>1.529388</v>
      </c>
      <c r="V5286">
        <v>-0.16905609999999999</v>
      </c>
      <c r="W5286">
        <v>-1.3972570000000001E-3</v>
      </c>
      <c r="X5286">
        <v>0.98560539999999996</v>
      </c>
      <c r="Y5286">
        <v>-0.46717709999999901</v>
      </c>
      <c r="Z5286">
        <v>-1.2180719999999999E-3</v>
      </c>
      <c r="AA5286">
        <v>0.88416289999999997</v>
      </c>
      <c r="AB5286">
        <v>19</v>
      </c>
      <c r="AC5286">
        <v>44.309600000000003</v>
      </c>
      <c r="AD5286">
        <v>0.270148</v>
      </c>
      <c r="AE5286">
        <v>24.55977</v>
      </c>
      <c r="AF5286">
        <v>-23.710811995819601</v>
      </c>
      <c r="AG5286">
        <v>0.270148</v>
      </c>
      <c r="AH5286">
        <v>44.768006382386297</v>
      </c>
      <c r="AI5286">
        <v>89.6944656487141</v>
      </c>
      <c r="AJ5286">
        <v>117.907369357465</v>
      </c>
      <c r="AK5286">
        <v>50.660141935217503</v>
      </c>
    </row>
    <row r="5287" spans="1:37" x14ac:dyDescent="0.2">
      <c r="A5287" t="str">
        <f>"20200111160323479"</f>
        <v>20200111160323479</v>
      </c>
      <c r="B5287" t="str">
        <f>"1578729803468409"</f>
        <v>1578729803468409</v>
      </c>
      <c r="C5287" t="s">
        <v>37</v>
      </c>
      <c r="D5287">
        <v>4.4887410000000001</v>
      </c>
      <c r="E5287">
        <v>0.36920500000000001</v>
      </c>
      <c r="F5287" t="s">
        <v>96</v>
      </c>
      <c r="G5287">
        <v>-223.8734</v>
      </c>
      <c r="H5287">
        <v>1.5291790000000001</v>
      </c>
      <c r="I5287">
        <v>-38.945500000000003</v>
      </c>
      <c r="J5287">
        <v>-266.3578</v>
      </c>
      <c r="K5287">
        <v>1.1039159999999999</v>
      </c>
      <c r="L5287">
        <v>-63.503050000000002</v>
      </c>
      <c r="M5287">
        <v>0.99978820000000002</v>
      </c>
      <c r="N5287">
        <v>0</v>
      </c>
      <c r="O5287">
        <v>1.925083E-2</v>
      </c>
      <c r="P5287">
        <v>0.98146449999999996</v>
      </c>
      <c r="Q5287">
        <v>-8.4068349999999997E-3</v>
      </c>
      <c r="R5287">
        <v>0.1914604</v>
      </c>
      <c r="S5287">
        <v>2.7512819999999998</v>
      </c>
      <c r="T5287">
        <v>2.747488E-2</v>
      </c>
      <c r="U5287">
        <v>1.5867610000000001</v>
      </c>
      <c r="V5287">
        <v>-0.17253009999999999</v>
      </c>
      <c r="W5287">
        <v>-1.3059650000000001E-3</v>
      </c>
      <c r="X5287">
        <v>0.98500339999999997</v>
      </c>
      <c r="Y5287">
        <v>-0.48281400000000002</v>
      </c>
      <c r="Z5287">
        <v>-2.059703E-3</v>
      </c>
      <c r="AA5287">
        <v>0.87572050000000001</v>
      </c>
      <c r="AB5287">
        <v>19</v>
      </c>
      <c r="AC5287">
        <v>42.484400000000001</v>
      </c>
      <c r="AD5287">
        <v>0.425263</v>
      </c>
      <c r="AE5287">
        <v>24.557549999999999</v>
      </c>
      <c r="AF5287">
        <v>-23.733334818857799</v>
      </c>
      <c r="AG5287">
        <v>0.425263</v>
      </c>
      <c r="AH5287">
        <v>42.9460669589552</v>
      </c>
      <c r="AI5287">
        <v>89.503437456667697</v>
      </c>
      <c r="AJ5287">
        <v>118.92640746539099</v>
      </c>
      <c r="AK5287">
        <v>49.069508836814798</v>
      </c>
    </row>
    <row r="5288" spans="1:37" x14ac:dyDescent="0.2">
      <c r="A5288" t="str">
        <f>"20200111160323621"</f>
        <v>20200111160323621</v>
      </c>
      <c r="B5288" t="str">
        <f>"1578729803618713"</f>
        <v>1578729803618713</v>
      </c>
      <c r="C5288" t="s">
        <v>37</v>
      </c>
      <c r="D5288">
        <v>4.480556</v>
      </c>
      <c r="E5288">
        <v>0.30889870000000003</v>
      </c>
      <c r="F5288" t="s">
        <v>96</v>
      </c>
      <c r="G5288">
        <v>-224.1412</v>
      </c>
      <c r="H5288">
        <v>1.524127</v>
      </c>
      <c r="I5288">
        <v>-38.945500000000003</v>
      </c>
      <c r="J5288">
        <v>-265.13819999999998</v>
      </c>
      <c r="K5288">
        <v>1.1039129999999999</v>
      </c>
      <c r="L5288">
        <v>-63.475740000000002</v>
      </c>
      <c r="M5288">
        <v>0.99974540000000001</v>
      </c>
      <c r="N5288">
        <v>0</v>
      </c>
      <c r="O5288">
        <v>2.1264979999999999E-2</v>
      </c>
      <c r="P5288">
        <v>0.96924940000000004</v>
      </c>
      <c r="Q5288">
        <v>-7.6318940000000002E-3</v>
      </c>
      <c r="R5288">
        <v>0.2459626</v>
      </c>
      <c r="S5288">
        <v>2.7453609999999999</v>
      </c>
      <c r="T5288">
        <v>2.7326349999999999E-2</v>
      </c>
      <c r="U5288">
        <v>1.5969850000000001</v>
      </c>
      <c r="V5288">
        <v>-0.2252953</v>
      </c>
      <c r="W5288">
        <v>-3.366973E-4</v>
      </c>
      <c r="X5288">
        <v>0.97429049999999995</v>
      </c>
      <c r="Y5288">
        <v>-0.48430669999999998</v>
      </c>
      <c r="Z5288">
        <v>-2.0389689999999999E-3</v>
      </c>
      <c r="AA5288">
        <v>0.87489589999999995</v>
      </c>
      <c r="AB5288">
        <v>19</v>
      </c>
      <c r="AC5288">
        <v>40.9969999999999</v>
      </c>
      <c r="AD5288">
        <v>0.42021399999999998</v>
      </c>
      <c r="AE5288">
        <v>24.530239999999999</v>
      </c>
      <c r="AF5288">
        <v>-23.651037859891499</v>
      </c>
      <c r="AG5288">
        <v>0.42021399999999998</v>
      </c>
      <c r="AH5288">
        <v>41.506167890735703</v>
      </c>
      <c r="AI5288">
        <v>89.496022184424106</v>
      </c>
      <c r="AJ5288">
        <v>119.675348400647</v>
      </c>
      <c r="AK5288">
        <v>47.773529748488897</v>
      </c>
    </row>
    <row r="5289" spans="1:37" x14ac:dyDescent="0.2">
      <c r="A5289" t="str">
        <f>"20200111160323634"</f>
        <v>20200111160323634</v>
      </c>
      <c r="B5289" t="str">
        <f>"1578729803628473"</f>
        <v>1578729803628473</v>
      </c>
      <c r="C5289" t="s">
        <v>37</v>
      </c>
      <c r="D5289">
        <v>4.5103970000000002</v>
      </c>
      <c r="E5289">
        <v>0.30854619999999999</v>
      </c>
      <c r="F5289" t="s">
        <v>93</v>
      </c>
      <c r="G5289">
        <v>-255.53550000000001</v>
      </c>
      <c r="H5289" s="1">
        <v>-2.6979169999999999E-6</v>
      </c>
      <c r="I5289">
        <v>-55.01473</v>
      </c>
      <c r="J5289">
        <v>-265.03269999999998</v>
      </c>
      <c r="K5289">
        <v>1.103925</v>
      </c>
      <c r="L5289">
        <v>-63.473300000000002</v>
      </c>
      <c r="M5289">
        <v>0.99974159999999901</v>
      </c>
      <c r="N5289">
        <v>0</v>
      </c>
      <c r="O5289">
        <v>2.1420720000000001E-2</v>
      </c>
      <c r="P5289">
        <v>0.96854300000000004</v>
      </c>
      <c r="Q5289">
        <v>-8.2809240000000003E-3</v>
      </c>
      <c r="R5289">
        <v>0.2487087</v>
      </c>
      <c r="S5289">
        <v>2.5277099999999999</v>
      </c>
      <c r="T5289">
        <v>-0.29058149999999999</v>
      </c>
      <c r="U5289">
        <v>2.2271730000000001</v>
      </c>
      <c r="V5289">
        <v>-0.22790389999999899</v>
      </c>
      <c r="W5289">
        <v>-9.3834569999999996E-4</v>
      </c>
      <c r="X5289">
        <v>0.97368319999999997</v>
      </c>
      <c r="Y5289">
        <v>-0.64257430000000004</v>
      </c>
      <c r="Z5289">
        <v>2.9496129999999999E-2</v>
      </c>
      <c r="AA5289">
        <v>0.76565539999999999</v>
      </c>
      <c r="AB5289">
        <v>19</v>
      </c>
      <c r="AC5289">
        <v>9.4971999999999603</v>
      </c>
      <c r="AD5289">
        <v>-1.1039276979170001</v>
      </c>
      <c r="AE5289">
        <v>8.4585699999999893</v>
      </c>
      <c r="AF5289">
        <v>-8.1914679779202793</v>
      </c>
      <c r="AG5289">
        <v>-1.1039276979170001</v>
      </c>
      <c r="AH5289">
        <v>9.6038547241679399</v>
      </c>
      <c r="AI5289">
        <v>94.998103276672396</v>
      </c>
      <c r="AJ5289">
        <v>130.46203696600301</v>
      </c>
      <c r="AK5289">
        <v>12.6709443041331</v>
      </c>
    </row>
    <row r="5290" spans="1:37" x14ac:dyDescent="0.2">
      <c r="A5290" t="str">
        <f>"20200111160323647"</f>
        <v>20200111160323647</v>
      </c>
      <c r="B5290" t="str">
        <f>"1578729803638232"</f>
        <v>1578729803638232</v>
      </c>
      <c r="C5290" t="s">
        <v>37</v>
      </c>
      <c r="D5290">
        <v>4.5399659999999997</v>
      </c>
      <c r="E5290">
        <v>0.30885319999999999</v>
      </c>
      <c r="F5290" t="s">
        <v>93</v>
      </c>
      <c r="G5290">
        <v>-255.78149999999999</v>
      </c>
      <c r="H5290" s="1">
        <v>-2.7488639999999999E-6</v>
      </c>
      <c r="I5290">
        <v>-55.261650000000003</v>
      </c>
      <c r="J5290">
        <v>-264.91370000000001</v>
      </c>
      <c r="K5290">
        <v>1.103944</v>
      </c>
      <c r="L5290">
        <v>-63.470519999999901</v>
      </c>
      <c r="M5290">
        <v>0.99973729999999905</v>
      </c>
      <c r="N5290">
        <v>0</v>
      </c>
      <c r="O5290">
        <v>2.1596939999999998E-2</v>
      </c>
      <c r="P5290">
        <v>0.96793180000000001</v>
      </c>
      <c r="Q5290">
        <v>-8.4886409999999999E-3</v>
      </c>
      <c r="R5290">
        <v>0.2510694</v>
      </c>
      <c r="S5290">
        <v>2.520416</v>
      </c>
      <c r="T5290">
        <v>-0.30075849999999998</v>
      </c>
      <c r="U5290">
        <v>2.2372130000000001</v>
      </c>
      <c r="V5290">
        <v>-0.23010539999999999</v>
      </c>
      <c r="W5290">
        <v>-1.07496E-3</v>
      </c>
      <c r="X5290">
        <v>0.97316510000000001</v>
      </c>
      <c r="Y5290">
        <v>-0.64506699999999995</v>
      </c>
      <c r="Z5290">
        <v>3.0665290000000001E-2</v>
      </c>
      <c r="AA5290">
        <v>0.76351040000000003</v>
      </c>
      <c r="AB5290">
        <v>19</v>
      </c>
      <c r="AC5290">
        <v>9.1322000000000099</v>
      </c>
      <c r="AD5290">
        <v>-1.103946748864</v>
      </c>
      <c r="AE5290">
        <v>8.2088699999999903</v>
      </c>
      <c r="AF5290">
        <v>-7.9455024456033696</v>
      </c>
      <c r="AG5290">
        <v>-1.103946748864</v>
      </c>
      <c r="AH5290">
        <v>9.2327380893434796</v>
      </c>
      <c r="AI5290">
        <v>95.178528131818098</v>
      </c>
      <c r="AJ5290">
        <v>130.71460252342399</v>
      </c>
      <c r="AK5290">
        <v>12.2308282697383</v>
      </c>
    </row>
    <row r="5291" spans="1:37" x14ac:dyDescent="0.2">
      <c r="A5291" t="str">
        <f>"20200111160323663"</f>
        <v>20200111160323663</v>
      </c>
      <c r="B5291" t="str">
        <f>"1578729803658729"</f>
        <v>1578729803658729</v>
      </c>
      <c r="C5291" t="s">
        <v>37</v>
      </c>
      <c r="D5291">
        <v>4.4803959999999998</v>
      </c>
      <c r="E5291">
        <v>0.30935580000000001</v>
      </c>
      <c r="F5291" t="s">
        <v>42</v>
      </c>
      <c r="G5291">
        <v>-264.22449999999998</v>
      </c>
      <c r="H5291">
        <v>1.019161</v>
      </c>
      <c r="I5291">
        <v>-62.856830000000002</v>
      </c>
      <c r="J5291">
        <v>-264.77719999999999</v>
      </c>
      <c r="K5291">
        <v>1.10398</v>
      </c>
      <c r="L5291">
        <v>-63.467319999999901</v>
      </c>
      <c r="M5291">
        <v>0.999731699999999</v>
      </c>
      <c r="N5291">
        <v>0</v>
      </c>
      <c r="O5291">
        <v>2.1801020000000001E-2</v>
      </c>
      <c r="P5291">
        <v>0.96721449999999998</v>
      </c>
      <c r="Q5291">
        <v>-9.2501849999999993E-3</v>
      </c>
      <c r="R5291">
        <v>0.25379299999999999</v>
      </c>
      <c r="S5291">
        <v>2.5154109999999998</v>
      </c>
      <c r="T5291">
        <v>-0.3095019</v>
      </c>
      <c r="U5291">
        <v>2.2409059999999998</v>
      </c>
      <c r="V5291">
        <v>-0.23264550000000001</v>
      </c>
      <c r="W5291">
        <v>-1.7135129999999901E-3</v>
      </c>
      <c r="X5291">
        <v>0.97256010000000004</v>
      </c>
      <c r="Y5291">
        <v>-0.64613619999999905</v>
      </c>
      <c r="Z5291">
        <v>3.1620959999999997E-2</v>
      </c>
      <c r="AA5291">
        <v>0.76256689999999905</v>
      </c>
      <c r="AB5291">
        <v>19</v>
      </c>
      <c r="AC5291">
        <v>0.55270000000001496</v>
      </c>
      <c r="AD5291">
        <v>-8.4818999999999894E-2</v>
      </c>
      <c r="AE5291">
        <v>0.61048999999999098</v>
      </c>
      <c r="AF5291">
        <v>-0.59201485321656599</v>
      </c>
      <c r="AG5291">
        <v>-8.4818999999999894E-2</v>
      </c>
      <c r="AH5291">
        <v>0.55993836984890499</v>
      </c>
      <c r="AI5291">
        <v>95.942463029235995</v>
      </c>
      <c r="AJ5291">
        <v>136.59500603365001</v>
      </c>
      <c r="AK5291">
        <v>0.81927213257810805</v>
      </c>
    </row>
    <row r="5292" spans="1:37" x14ac:dyDescent="0.2">
      <c r="A5292" t="str">
        <f>"20200111160323675"</f>
        <v>20200111160323675</v>
      </c>
      <c r="B5292" t="str">
        <f>"1578729803668489"</f>
        <v>1578729803668489</v>
      </c>
      <c r="C5292" t="s">
        <v>37</v>
      </c>
      <c r="D5292">
        <v>4.6701550000000003</v>
      </c>
      <c r="E5292">
        <v>0.3099848</v>
      </c>
      <c r="F5292" t="s">
        <v>93</v>
      </c>
      <c r="G5292">
        <v>-255.8356</v>
      </c>
      <c r="H5292" s="1">
        <v>-2.7247700000000002E-6</v>
      </c>
      <c r="I5292">
        <v>-55.475469999999902</v>
      </c>
      <c r="J5292">
        <v>-264.6696</v>
      </c>
      <c r="K5292">
        <v>1.1040140000000001</v>
      </c>
      <c r="L5292">
        <v>-63.464750000000002</v>
      </c>
      <c r="M5292">
        <v>0.99972700000000003</v>
      </c>
      <c r="N5292">
        <v>0</v>
      </c>
      <c r="O5292">
        <v>2.1965740000000001E-2</v>
      </c>
      <c r="P5292">
        <v>0.96707339999999997</v>
      </c>
      <c r="Q5292">
        <v>-9.6541319999999993E-3</v>
      </c>
      <c r="R5292">
        <v>0.2543144</v>
      </c>
      <c r="S5292">
        <v>2.5100709999999999</v>
      </c>
      <c r="T5292">
        <v>-0.309905599999999</v>
      </c>
      <c r="U5292">
        <v>2.243439</v>
      </c>
      <c r="V5292">
        <v>-0.23300940000000001</v>
      </c>
      <c r="W5292">
        <v>-1.9824589999999998E-3</v>
      </c>
      <c r="X5292">
        <v>0.97247240000000001</v>
      </c>
      <c r="Y5292">
        <v>-0.64722659999999999</v>
      </c>
      <c r="Z5292">
        <v>3.174312E-2</v>
      </c>
      <c r="AA5292">
        <v>0.76163649999999905</v>
      </c>
      <c r="AB5292">
        <v>19</v>
      </c>
      <c r="AC5292">
        <v>8.8339999999999996</v>
      </c>
      <c r="AD5292">
        <v>-1.1040167247699999</v>
      </c>
      <c r="AE5292">
        <v>7.9892799999999999</v>
      </c>
      <c r="AF5292">
        <v>-7.7269153583768002</v>
      </c>
      <c r="AG5292">
        <v>-1.1040167247699999</v>
      </c>
      <c r="AH5292">
        <v>8.9306373344363692</v>
      </c>
      <c r="AI5292">
        <v>95.340853632220899</v>
      </c>
      <c r="AJ5292">
        <v>130.86682892662799</v>
      </c>
      <c r="AK5292">
        <v>11.860875055547901</v>
      </c>
    </row>
    <row r="5293" spans="1:37" x14ac:dyDescent="0.2">
      <c r="A5293" t="str">
        <f>"20200111160323687"</f>
        <v>20200111160323687</v>
      </c>
      <c r="B5293" t="str">
        <f>"1578729803678250"</f>
        <v>1578729803678250</v>
      </c>
      <c r="C5293" t="s">
        <v>37</v>
      </c>
      <c r="D5293">
        <v>4.5400089999999897</v>
      </c>
      <c r="E5293">
        <v>0.31059179999999997</v>
      </c>
      <c r="F5293" t="s">
        <v>93</v>
      </c>
      <c r="G5293">
        <v>-255.85489999999999</v>
      </c>
      <c r="H5293" s="1">
        <v>-2.7056270000000001E-6</v>
      </c>
      <c r="I5293">
        <v>-55.599649999999997</v>
      </c>
      <c r="J5293">
        <v>-264.57040000000001</v>
      </c>
      <c r="K5293">
        <v>1.1040490000000001</v>
      </c>
      <c r="L5293">
        <v>-63.462429999999998</v>
      </c>
      <c r="M5293">
        <v>0.99972240000000001</v>
      </c>
      <c r="N5293">
        <v>0</v>
      </c>
      <c r="O5293">
        <v>2.2120250000000001E-2</v>
      </c>
      <c r="P5293">
        <v>0.96709829999999997</v>
      </c>
      <c r="Q5293">
        <v>-1.003865E-2</v>
      </c>
      <c r="R5293">
        <v>0.25420510000000002</v>
      </c>
      <c r="S5293">
        <v>2.51004</v>
      </c>
      <c r="T5293">
        <v>-0.31437789999999999</v>
      </c>
      <c r="U5293">
        <v>2.239655</v>
      </c>
      <c r="V5293">
        <v>-0.23274919999999999</v>
      </c>
      <c r="W5293">
        <v>-2.2155589999999902E-3</v>
      </c>
      <c r="X5293">
        <v>0.97253429999999996</v>
      </c>
      <c r="Y5293">
        <v>-0.64639969999999902</v>
      </c>
      <c r="Z5293">
        <v>3.2152399999999998E-2</v>
      </c>
      <c r="AA5293">
        <v>0.76232119999999903</v>
      </c>
      <c r="AB5293">
        <v>19</v>
      </c>
      <c r="AC5293">
        <v>8.7155000000000094</v>
      </c>
      <c r="AD5293">
        <v>-1.1040517056270001</v>
      </c>
      <c r="AE5293">
        <v>7.8627799999999999</v>
      </c>
      <c r="AF5293">
        <v>-7.6008182740137098</v>
      </c>
      <c r="AG5293">
        <v>-1.1040517056270001</v>
      </c>
      <c r="AH5293">
        <v>8.8093656977556805</v>
      </c>
      <c r="AI5293">
        <v>95.420515924463999</v>
      </c>
      <c r="AJ5293">
        <v>130.787988493059</v>
      </c>
      <c r="AK5293">
        <v>11.687441661889601</v>
      </c>
    </row>
    <row r="5294" spans="1:37" x14ac:dyDescent="0.2">
      <c r="A5294" t="str">
        <f>"20200111160323697"</f>
        <v>20200111160323697</v>
      </c>
      <c r="B5294" t="str">
        <f>"1578729803688985"</f>
        <v>1578729803688985</v>
      </c>
      <c r="C5294" t="s">
        <v>37</v>
      </c>
      <c r="D5294">
        <v>4.5549210000000002</v>
      </c>
      <c r="E5294">
        <v>0.31089519999999998</v>
      </c>
      <c r="F5294" t="s">
        <v>42</v>
      </c>
      <c r="G5294">
        <v>-263.87819999999999</v>
      </c>
      <c r="H5294">
        <v>1.016613</v>
      </c>
      <c r="I5294">
        <v>-62.846890000000002</v>
      </c>
      <c r="J5294">
        <v>-264.47739999999999</v>
      </c>
      <c r="K5294">
        <v>1.1040920000000001</v>
      </c>
      <c r="L5294">
        <v>-63.460169999999998</v>
      </c>
      <c r="M5294">
        <v>0.99971779999999999</v>
      </c>
      <c r="N5294">
        <v>0</v>
      </c>
      <c r="O5294">
        <v>2.2259330000000001E-2</v>
      </c>
      <c r="P5294">
        <v>0.96721259999999998</v>
      </c>
      <c r="Q5294">
        <v>-1.060563E-2</v>
      </c>
      <c r="R5294">
        <v>0.2537469</v>
      </c>
      <c r="S5294">
        <v>2.5114749999999999</v>
      </c>
      <c r="T5294">
        <v>-0.31729409999999902</v>
      </c>
      <c r="U5294">
        <v>2.2343139999999999</v>
      </c>
      <c r="V5294">
        <v>-0.23215259999999999</v>
      </c>
      <c r="W5294">
        <v>-2.5929460000000001E-3</v>
      </c>
      <c r="X5294">
        <v>0.97267590000000004</v>
      </c>
      <c r="Y5294">
        <v>-0.64512709999999995</v>
      </c>
      <c r="Z5294">
        <v>3.2371329999999997E-2</v>
      </c>
      <c r="AA5294">
        <v>0.76338919999999999</v>
      </c>
      <c r="AB5294">
        <v>19</v>
      </c>
      <c r="AC5294">
        <v>0.59919999999999596</v>
      </c>
      <c r="AD5294">
        <v>-8.7479000000000001E-2</v>
      </c>
      <c r="AE5294">
        <v>0.61327999999999505</v>
      </c>
      <c r="AF5294">
        <v>-0.59361059797962201</v>
      </c>
      <c r="AG5294">
        <v>-8.7479000000000001E-2</v>
      </c>
      <c r="AH5294">
        <v>0.60639097099974504</v>
      </c>
      <c r="AI5294">
        <v>95.885773839732295</v>
      </c>
      <c r="AJ5294">
        <v>134.389806006133</v>
      </c>
      <c r="AK5294">
        <v>0.85307451443865101</v>
      </c>
    </row>
    <row r="5295" spans="1:37" x14ac:dyDescent="0.2">
      <c r="A5295" t="str">
        <f>"20200111160323709"</f>
        <v>20200111160323709</v>
      </c>
      <c r="B5295" t="str">
        <f>"1578729803698745"</f>
        <v>1578729803698745</v>
      </c>
      <c r="C5295" t="s">
        <v>37</v>
      </c>
      <c r="D5295">
        <v>4.562449</v>
      </c>
      <c r="E5295">
        <v>0.31122640000000001</v>
      </c>
      <c r="F5295" t="s">
        <v>93</v>
      </c>
      <c r="G5295">
        <v>-255.95150000000001</v>
      </c>
      <c r="H5295" s="1">
        <v>-2.6824290000000001E-6</v>
      </c>
      <c r="I5295">
        <v>-55.892009999999999</v>
      </c>
      <c r="J5295">
        <v>-264.37650000000002</v>
      </c>
      <c r="K5295">
        <v>1.104142</v>
      </c>
      <c r="L5295">
        <v>-63.457729999999998</v>
      </c>
      <c r="M5295">
        <v>0.99971239999999995</v>
      </c>
      <c r="N5295">
        <v>0</v>
      </c>
      <c r="O5295">
        <v>2.2408939999999999E-2</v>
      </c>
      <c r="P5295">
        <v>0.96753049999999996</v>
      </c>
      <c r="Q5295">
        <v>-1.1646490000000001E-2</v>
      </c>
      <c r="R5295">
        <v>0.25248579999999998</v>
      </c>
      <c r="S5295">
        <v>2.5129090000000001</v>
      </c>
      <c r="T5295">
        <v>-0.32541819999999999</v>
      </c>
      <c r="U5295">
        <v>2.23062099999999</v>
      </c>
      <c r="V5295">
        <v>-0.230739</v>
      </c>
      <c r="W5295">
        <v>-3.4123119999999998E-3</v>
      </c>
      <c r="X5295">
        <v>0.97300969999999998</v>
      </c>
      <c r="Y5295">
        <v>-0.64403189999999999</v>
      </c>
      <c r="Z5295">
        <v>3.311849E-2</v>
      </c>
      <c r="AA5295">
        <v>0.7642814</v>
      </c>
      <c r="AB5295">
        <v>19</v>
      </c>
      <c r="AC5295">
        <v>8.4250000000000096</v>
      </c>
      <c r="AD5295">
        <v>-1.104144682429</v>
      </c>
      <c r="AE5295">
        <v>7.5657199999999998</v>
      </c>
      <c r="AF5295">
        <v>-7.3055558671630596</v>
      </c>
      <c r="AG5295">
        <v>-1.104144682429</v>
      </c>
      <c r="AH5295">
        <v>8.5115019787181705</v>
      </c>
      <c r="AI5295">
        <v>95.621890681204803</v>
      </c>
      <c r="AJ5295">
        <v>130.64001076029001</v>
      </c>
      <c r="AK5295">
        <v>11.2710224887407</v>
      </c>
    </row>
    <row r="5296" spans="1:37" x14ac:dyDescent="0.2">
      <c r="A5296" t="str">
        <f>"20200111160323722"</f>
        <v>20200111160323722</v>
      </c>
      <c r="B5296" t="str">
        <f>"1578729803718265"</f>
        <v>1578729803718265</v>
      </c>
      <c r="C5296" t="s">
        <v>37</v>
      </c>
      <c r="D5296">
        <v>4.5544849999999997</v>
      </c>
      <c r="E5296">
        <v>0.31112299999999998</v>
      </c>
      <c r="F5296" t="s">
        <v>93</v>
      </c>
      <c r="G5296">
        <v>-256.03469999999999</v>
      </c>
      <c r="H5296" s="1">
        <v>-2.675928E-6</v>
      </c>
      <c r="I5296">
        <v>-56.082790000000003</v>
      </c>
      <c r="J5296">
        <v>-264.26929999999999</v>
      </c>
      <c r="K5296">
        <v>1.104196</v>
      </c>
      <c r="L5296">
        <v>-63.45514</v>
      </c>
      <c r="M5296">
        <v>0.99970619999999999</v>
      </c>
      <c r="N5296">
        <v>0</v>
      </c>
      <c r="O5296">
        <v>2.2570880000000001E-2</v>
      </c>
      <c r="P5296">
        <v>0.96794769999999897</v>
      </c>
      <c r="Q5296">
        <v>-1.300632E-2</v>
      </c>
      <c r="R5296">
        <v>0.25081540000000002</v>
      </c>
      <c r="S5296">
        <v>2.5161439999999899</v>
      </c>
      <c r="T5296">
        <v>-0.33304519999999999</v>
      </c>
      <c r="U5296">
        <v>2.2245180000000002</v>
      </c>
      <c r="V5296">
        <v>-0.22890170000000001</v>
      </c>
      <c r="W5296">
        <v>-4.481825E-3</v>
      </c>
      <c r="X5296">
        <v>0.97343919999999995</v>
      </c>
      <c r="Y5296">
        <v>-0.6422525</v>
      </c>
      <c r="Z5296">
        <v>3.3762279999999999E-2</v>
      </c>
      <c r="AA5296">
        <v>0.76574919999999902</v>
      </c>
      <c r="AB5296">
        <v>19</v>
      </c>
      <c r="AC5296">
        <v>8.2346000000000004</v>
      </c>
      <c r="AD5296">
        <v>-1.104198675928</v>
      </c>
      <c r="AE5296">
        <v>7.3723499999999902</v>
      </c>
      <c r="AF5296">
        <v>-7.1136029346414</v>
      </c>
      <c r="AG5296">
        <v>-1.104198675928</v>
      </c>
      <c r="AH5296">
        <v>8.3159096353006099</v>
      </c>
      <c r="AI5296">
        <v>95.761701316787196</v>
      </c>
      <c r="AJ5296">
        <v>130.54437125643699</v>
      </c>
      <c r="AK5296">
        <v>10.9989524269425</v>
      </c>
    </row>
    <row r="5297" spans="1:37" x14ac:dyDescent="0.2">
      <c r="A5297" t="str">
        <f>"20200111160323733"</f>
        <v>20200111160323733</v>
      </c>
      <c r="B5297" t="str">
        <f>"1578729803729001"</f>
        <v>1578729803729001</v>
      </c>
      <c r="C5297" t="s">
        <v>37</v>
      </c>
      <c r="D5297">
        <v>8.7934920000000005</v>
      </c>
      <c r="E5297">
        <v>0.31112299999999998</v>
      </c>
      <c r="F5297" t="s">
        <v>93</v>
      </c>
      <c r="G5297">
        <v>-256.0378</v>
      </c>
      <c r="H5297" s="1">
        <v>-2.6514530000000001E-6</v>
      </c>
      <c r="I5297">
        <v>-56.199489999999997</v>
      </c>
      <c r="J5297">
        <v>-264.17090000000002</v>
      </c>
      <c r="K5297">
        <v>1.104241</v>
      </c>
      <c r="L5297">
        <v>-63.452730000000003</v>
      </c>
      <c r="M5297">
        <v>0.99970020000000004</v>
      </c>
      <c r="N5297">
        <v>0</v>
      </c>
      <c r="O5297">
        <v>2.272182E-2</v>
      </c>
      <c r="P5297">
        <v>0.96862239999999999</v>
      </c>
      <c r="Q5297">
        <v>-1.4532170000000001E-2</v>
      </c>
      <c r="R5297">
        <v>0.2481119</v>
      </c>
      <c r="S5297">
        <v>2.5193789999999998</v>
      </c>
      <c r="T5297">
        <v>-0.33795729999999902</v>
      </c>
      <c r="U5297">
        <v>2.2207029999999999</v>
      </c>
      <c r="V5297">
        <v>-0.22603619999999999</v>
      </c>
      <c r="W5297">
        <v>-5.7308369999999999E-3</v>
      </c>
      <c r="X5297">
        <v>0.97410200000000002</v>
      </c>
      <c r="Y5297">
        <v>-0.6409165</v>
      </c>
      <c r="Z5297">
        <v>3.4145309999999998E-2</v>
      </c>
      <c r="AA5297">
        <v>0.76685080000000005</v>
      </c>
      <c r="AB5297">
        <v>19</v>
      </c>
      <c r="AC5297">
        <v>8.1331000000000095</v>
      </c>
      <c r="AD5297">
        <v>-1.1042436514530001</v>
      </c>
      <c r="AE5297">
        <v>7.2532399999999901</v>
      </c>
      <c r="AF5297">
        <v>-6.99474112575367</v>
      </c>
      <c r="AG5297">
        <v>-1.1042436514530001</v>
      </c>
      <c r="AH5297">
        <v>8.2115008768375208</v>
      </c>
      <c r="AI5297">
        <v>95.844999896004595</v>
      </c>
      <c r="AJ5297">
        <v>130.42510385085501</v>
      </c>
      <c r="AK5297">
        <v>10.8431777679971</v>
      </c>
    </row>
    <row r="5298" spans="1:37" x14ac:dyDescent="0.2">
      <c r="A5298" t="str">
        <f>"20200111160323745"</f>
        <v>20200111160323745</v>
      </c>
      <c r="B5298" t="str">
        <f>"1578729803738761"</f>
        <v>1578729803738761</v>
      </c>
      <c r="C5298" t="s">
        <v>37</v>
      </c>
      <c r="D5298">
        <v>3.8067739999999999</v>
      </c>
      <c r="E5298">
        <v>0.31112299999999998</v>
      </c>
      <c r="F5298" t="s">
        <v>93</v>
      </c>
      <c r="G5298">
        <v>-256.05880000000002</v>
      </c>
      <c r="H5298" s="1">
        <v>-2.62885299999999E-6</v>
      </c>
      <c r="I5298">
        <v>-56.34254</v>
      </c>
      <c r="J5298">
        <v>-264.06479999999999</v>
      </c>
      <c r="K5298">
        <v>1.1042879999999999</v>
      </c>
      <c r="L5298">
        <v>-63.450130000000001</v>
      </c>
      <c r="M5298">
        <v>0.99969370000000002</v>
      </c>
      <c r="N5298">
        <v>0</v>
      </c>
      <c r="O5298">
        <v>2.2887680000000001E-2</v>
      </c>
      <c r="P5298">
        <v>0.96936669999999903</v>
      </c>
      <c r="Q5298">
        <v>-1.625453E-2</v>
      </c>
      <c r="R5298">
        <v>0.24507979999999999</v>
      </c>
      <c r="S5298">
        <v>2.5250849999999998</v>
      </c>
      <c r="T5298">
        <v>-0.34372399999999997</v>
      </c>
      <c r="U5298">
        <v>2.2132259999999899</v>
      </c>
      <c r="V5298">
        <v>-0.2228252</v>
      </c>
      <c r="W5298">
        <v>-7.1403049999999996E-3</v>
      </c>
      <c r="X5298">
        <v>0.97483220000000004</v>
      </c>
      <c r="Y5298">
        <v>-0.63855419999999996</v>
      </c>
      <c r="Z5298">
        <v>3.4537859999999997E-2</v>
      </c>
      <c r="AA5298">
        <v>0.76880139999999997</v>
      </c>
      <c r="AB5298">
        <v>19</v>
      </c>
      <c r="AC5298">
        <v>8.00599999999997</v>
      </c>
      <c r="AD5298">
        <v>-1.1042906288529999</v>
      </c>
      <c r="AE5298">
        <v>7.1075900000000001</v>
      </c>
      <c r="AF5298">
        <v>-6.84960330137491</v>
      </c>
      <c r="AG5298">
        <v>-1.1042906288529999</v>
      </c>
      <c r="AH5298">
        <v>8.0806107265704199</v>
      </c>
      <c r="AI5298">
        <v>95.951383524290193</v>
      </c>
      <c r="AJ5298">
        <v>130.28658120947401</v>
      </c>
      <c r="AK5298">
        <v>10.650483223476</v>
      </c>
    </row>
    <row r="5299" spans="1:37" x14ac:dyDescent="0.2">
      <c r="A5299" t="str">
        <f>"20200111160323757"</f>
        <v>20200111160323757</v>
      </c>
      <c r="B5299" t="str">
        <f>"1578729803748928"</f>
        <v>1578729803748928</v>
      </c>
      <c r="C5299" t="s">
        <v>37</v>
      </c>
      <c r="D5299">
        <v>4.4184669999999997</v>
      </c>
      <c r="E5299">
        <v>0.43685940000000001</v>
      </c>
      <c r="F5299" t="s">
        <v>42</v>
      </c>
      <c r="G5299">
        <v>-263.35989999999998</v>
      </c>
      <c r="H5299">
        <v>1.0070049999999999</v>
      </c>
      <c r="I5299">
        <v>-62.836259999999903</v>
      </c>
      <c r="J5299">
        <v>-263.96339999999998</v>
      </c>
      <c r="K5299">
        <v>1.104328</v>
      </c>
      <c r="L5299">
        <v>-63.447600000000001</v>
      </c>
      <c r="M5299">
        <v>0.99968709999999905</v>
      </c>
      <c r="N5299">
        <v>0</v>
      </c>
      <c r="O5299">
        <v>2.304993E-2</v>
      </c>
      <c r="P5299">
        <v>0.97023740000000003</v>
      </c>
      <c r="Q5299">
        <v>-1.8232100000000001E-2</v>
      </c>
      <c r="R5299">
        <v>0.2414685</v>
      </c>
      <c r="S5299">
        <v>2.5314640000000002</v>
      </c>
      <c r="T5299">
        <v>-0.34938940000000002</v>
      </c>
      <c r="U5299">
        <v>2.2049560000000001</v>
      </c>
      <c r="V5299">
        <v>-0.21903690000000001</v>
      </c>
      <c r="W5299">
        <v>-8.822257E-3</v>
      </c>
      <c r="X5299">
        <v>0.97567669999999995</v>
      </c>
      <c r="Y5299">
        <v>-0.63595269999999904</v>
      </c>
      <c r="Z5299">
        <v>3.4896509999999999E-2</v>
      </c>
      <c r="AA5299">
        <v>0.77093859999999903</v>
      </c>
      <c r="AB5299">
        <v>19</v>
      </c>
      <c r="AC5299">
        <v>0.60349999999999604</v>
      </c>
      <c r="AD5299">
        <v>-9.7323000000000007E-2</v>
      </c>
      <c r="AE5299">
        <v>0.61134000000000499</v>
      </c>
      <c r="AF5299">
        <v>-0.58969735178099802</v>
      </c>
      <c r="AG5299">
        <v>-9.7323000000000007E-2</v>
      </c>
      <c r="AH5299">
        <v>0.60960718581102602</v>
      </c>
      <c r="AI5299">
        <v>96.545886846318197</v>
      </c>
      <c r="AJ5299">
        <v>134.04891155986999</v>
      </c>
      <c r="AK5299">
        <v>0.85371872066797405</v>
      </c>
    </row>
    <row r="5300" spans="1:37" x14ac:dyDescent="0.2">
      <c r="A5300" t="str">
        <f>"20200111160323776"</f>
        <v>20200111160323776</v>
      </c>
      <c r="B5300" t="str">
        <f>"1578729803768447"</f>
        <v>1578729803768447</v>
      </c>
      <c r="C5300" t="s">
        <v>37</v>
      </c>
      <c r="D5300">
        <v>5.2088000000000001</v>
      </c>
      <c r="E5300">
        <v>0.50167539999999999</v>
      </c>
      <c r="F5300" t="s">
        <v>95</v>
      </c>
      <c r="G5300">
        <v>-249.7688</v>
      </c>
      <c r="H5300" s="1">
        <v>-3.7355829999999899E-6</v>
      </c>
      <c r="I5300">
        <v>-57.239989999999999</v>
      </c>
      <c r="J5300">
        <v>-263.80509999999998</v>
      </c>
      <c r="K5300">
        <v>1.1043700000000001</v>
      </c>
      <c r="L5300">
        <v>-63.4437</v>
      </c>
      <c r="M5300">
        <v>0.99967680000000003</v>
      </c>
      <c r="N5300">
        <v>0</v>
      </c>
      <c r="O5300">
        <v>2.330581E-2</v>
      </c>
      <c r="P5300">
        <v>0.97211429999999999</v>
      </c>
      <c r="Q5300">
        <v>-2.1068440000000001E-2</v>
      </c>
      <c r="R5300">
        <v>0.23355960000000001</v>
      </c>
      <c r="S5300">
        <v>2.78485099999999</v>
      </c>
      <c r="T5300">
        <v>-0.21665999999999999</v>
      </c>
      <c r="U5300">
        <v>1.217865</v>
      </c>
      <c r="V5300">
        <v>-0.21083560000000001</v>
      </c>
      <c r="W5300">
        <v>-1.120695E-2</v>
      </c>
      <c r="X5300">
        <v>0.97745729999999997</v>
      </c>
      <c r="Y5300">
        <v>-0.37831709999999902</v>
      </c>
      <c r="Z5300">
        <v>1.232491E-2</v>
      </c>
      <c r="AA5300">
        <v>0.92559400000000003</v>
      </c>
      <c r="AB5300">
        <v>19</v>
      </c>
      <c r="AC5300">
        <v>14.036299999999899</v>
      </c>
      <c r="AD5300">
        <v>-1.1043737355829999</v>
      </c>
      <c r="AE5300">
        <v>6.2037100000000001</v>
      </c>
      <c r="AF5300">
        <v>-5.8446121402879196</v>
      </c>
      <c r="AG5300">
        <v>-1.1043737355829999</v>
      </c>
      <c r="AH5300">
        <v>14.104034201122101</v>
      </c>
      <c r="AI5300">
        <v>94.137398558242396</v>
      </c>
      <c r="AJ5300">
        <v>112.508771706001</v>
      </c>
      <c r="AK5300">
        <v>15.306956365152001</v>
      </c>
    </row>
    <row r="5301" spans="1:37" x14ac:dyDescent="0.2">
      <c r="A5301" t="str">
        <f>"20200111160323786"</f>
        <v>20200111160323786</v>
      </c>
      <c r="B5301" t="str">
        <f>"1578729803778208"</f>
        <v>1578729803778208</v>
      </c>
      <c r="C5301" t="s">
        <v>37</v>
      </c>
      <c r="D5301">
        <v>5.1152340000000001</v>
      </c>
      <c r="E5301">
        <v>0.50167539999999999</v>
      </c>
      <c r="F5301" t="s">
        <v>93</v>
      </c>
      <c r="G5301">
        <v>-254.02119999999999</v>
      </c>
      <c r="H5301" s="1">
        <v>-1.022624E-6</v>
      </c>
      <c r="I5301">
        <v>-61.109389999999998</v>
      </c>
      <c r="J5301">
        <v>-263.70499999999998</v>
      </c>
      <c r="K5301">
        <v>1.104395</v>
      </c>
      <c r="L5301">
        <v>-63.441219999999902</v>
      </c>
      <c r="M5301">
        <v>0.99967030000000001</v>
      </c>
      <c r="N5301">
        <v>0</v>
      </c>
      <c r="O5301">
        <v>2.3467869999999998E-2</v>
      </c>
      <c r="P5301">
        <v>0.97319359999999999</v>
      </c>
      <c r="Q5301">
        <v>-2.2390400000000001E-2</v>
      </c>
      <c r="R5301">
        <v>0.22889509999999999</v>
      </c>
      <c r="S5301">
        <v>2.9119869999999999</v>
      </c>
      <c r="T5301">
        <v>-0.3286964</v>
      </c>
      <c r="U5301">
        <v>0.69476319999999903</v>
      </c>
      <c r="V5301">
        <v>-0.205987799999999</v>
      </c>
      <c r="W5301">
        <v>-1.2258359999999999E-2</v>
      </c>
      <c r="X5301">
        <v>0.97847779999999995</v>
      </c>
      <c r="Y5301">
        <v>-0.20807329999999899</v>
      </c>
      <c r="Z5301">
        <v>8.9430889999999996E-3</v>
      </c>
      <c r="AA5301">
        <v>0.97807230000000001</v>
      </c>
      <c r="AB5301">
        <v>19</v>
      </c>
      <c r="AC5301">
        <v>9.6837999999999909</v>
      </c>
      <c r="AD5301">
        <v>-1.1043960226239999</v>
      </c>
      <c r="AE5301">
        <v>2.3318299999999801</v>
      </c>
      <c r="AF5301">
        <v>-2.0783666103884899</v>
      </c>
      <c r="AG5301">
        <v>-1.1043960226239999</v>
      </c>
      <c r="AH5301">
        <v>9.6176234944987797</v>
      </c>
      <c r="AI5301">
        <v>96.404053258126197</v>
      </c>
      <c r="AJ5301">
        <v>102.194096866569</v>
      </c>
      <c r="AK5301">
        <v>9.9014130316788798</v>
      </c>
    </row>
    <row r="5302" spans="1:37" x14ac:dyDescent="0.2">
      <c r="A5302" t="str">
        <f>"20200111160323797"</f>
        <v>20200111160323797</v>
      </c>
      <c r="B5302" t="str">
        <f>"1578729803788944"</f>
        <v>1578729803788944</v>
      </c>
      <c r="C5302" t="s">
        <v>37</v>
      </c>
      <c r="D5302">
        <v>5.0161850000000001</v>
      </c>
      <c r="E5302">
        <v>0.56186849999999999</v>
      </c>
      <c r="F5302" t="s">
        <v>93</v>
      </c>
      <c r="G5302">
        <v>-254.0275</v>
      </c>
      <c r="H5302" s="1">
        <v>-1.0414389999999999E-6</v>
      </c>
      <c r="I5302">
        <v>-61.181769999999901</v>
      </c>
      <c r="J5302">
        <v>-263.61430000000001</v>
      </c>
      <c r="K5302">
        <v>1.104409</v>
      </c>
      <c r="L5302">
        <v>-63.438899999999997</v>
      </c>
      <c r="M5302">
        <v>0.99966469999999896</v>
      </c>
      <c r="N5302">
        <v>0</v>
      </c>
      <c r="O5302">
        <v>2.361245E-2</v>
      </c>
      <c r="P5302">
        <v>0.97435349999999998</v>
      </c>
      <c r="Q5302">
        <v>-2.3369279999999999E-2</v>
      </c>
      <c r="R5302">
        <v>0.2238067</v>
      </c>
      <c r="S5302">
        <v>2.9149479999999999</v>
      </c>
      <c r="T5302">
        <v>-0.3326559</v>
      </c>
      <c r="U5302">
        <v>0.68057250000000002</v>
      </c>
      <c r="V5302">
        <v>-0.20073160000000001</v>
      </c>
      <c r="W5302">
        <v>-1.300777E-2</v>
      </c>
      <c r="X5302">
        <v>0.97955990000000004</v>
      </c>
      <c r="Y5302">
        <v>-0.2031993</v>
      </c>
      <c r="Z5302">
        <v>8.7563889999999998E-3</v>
      </c>
      <c r="AA5302">
        <v>0.97909829999999998</v>
      </c>
      <c r="AB5302">
        <v>19</v>
      </c>
      <c r="AC5302">
        <v>9.5868000000000002</v>
      </c>
      <c r="AD5302">
        <v>-1.1044100414389999</v>
      </c>
      <c r="AE5302">
        <v>2.2571300000000001</v>
      </c>
      <c r="AF5302">
        <v>-2.00490971395093</v>
      </c>
      <c r="AG5302">
        <v>-1.1044100414389999</v>
      </c>
      <c r="AH5302">
        <v>9.5177474172071292</v>
      </c>
      <c r="AI5302">
        <v>96.477909853014793</v>
      </c>
      <c r="AJ5302">
        <v>101.89542191143001</v>
      </c>
      <c r="AK5302">
        <v>9.7891215335432005</v>
      </c>
    </row>
    <row r="5303" spans="1:37" x14ac:dyDescent="0.2">
      <c r="A5303" t="str">
        <f>"20200111160323810"</f>
        <v>20200111160323810</v>
      </c>
      <c r="B5303" t="str">
        <f>"1578729803798705"</f>
        <v>1578729803798705</v>
      </c>
      <c r="C5303" t="s">
        <v>37</v>
      </c>
      <c r="D5303">
        <v>4.9560430000000002</v>
      </c>
      <c r="E5303">
        <v>0.5641446</v>
      </c>
      <c r="F5303" t="s">
        <v>93</v>
      </c>
      <c r="G5303">
        <v>-250.1131</v>
      </c>
      <c r="H5303" s="1">
        <v>3.29003299999999E-7</v>
      </c>
      <c r="I5303">
        <v>-62.57058</v>
      </c>
      <c r="J5303">
        <v>-263.5104</v>
      </c>
      <c r="K5303">
        <v>1.1044320000000001</v>
      </c>
      <c r="L5303">
        <v>-63.436279999999996</v>
      </c>
      <c r="M5303">
        <v>0.99965789999999999</v>
      </c>
      <c r="N5303">
        <v>0</v>
      </c>
      <c r="O5303">
        <v>2.3777909999999999E-2</v>
      </c>
      <c r="P5303">
        <v>0.975441</v>
      </c>
      <c r="Q5303">
        <v>-2.4399170000000001E-2</v>
      </c>
      <c r="R5303">
        <v>0.2189053</v>
      </c>
      <c r="S5303">
        <v>3.0282900000000001</v>
      </c>
      <c r="T5303">
        <v>-0.24771689999999999</v>
      </c>
      <c r="U5303">
        <v>0.1947632</v>
      </c>
      <c r="V5303">
        <v>-0.1956436</v>
      </c>
      <c r="W5303">
        <v>-1.37827E-2</v>
      </c>
      <c r="X5303">
        <v>0.98057819999999996</v>
      </c>
      <c r="Y5303">
        <v>-4.0378329999999997E-2</v>
      </c>
      <c r="Z5303">
        <v>-2.9237989999999998E-4</v>
      </c>
      <c r="AA5303">
        <v>0.99918439999999997</v>
      </c>
      <c r="AB5303">
        <v>19</v>
      </c>
      <c r="AC5303">
        <v>13.3973</v>
      </c>
      <c r="AD5303">
        <v>-1.1044316709966999</v>
      </c>
      <c r="AE5303">
        <v>0.86569999999999603</v>
      </c>
      <c r="AF5303">
        <v>-0.54320035366742103</v>
      </c>
      <c r="AG5303">
        <v>-1.1044316709966999</v>
      </c>
      <c r="AH5303">
        <v>13.323926658632001</v>
      </c>
      <c r="AI5303">
        <v>94.734548366934007</v>
      </c>
      <c r="AJ5303">
        <v>92.334586680056404</v>
      </c>
      <c r="AK5303">
        <v>13.380652358712901</v>
      </c>
    </row>
    <row r="5304" spans="1:37" x14ac:dyDescent="0.2">
      <c r="A5304" t="str">
        <f>"20200111160323825"</f>
        <v>20200111160323825</v>
      </c>
      <c r="B5304" t="str">
        <f>"1578729803818224"</f>
        <v>1578729803818224</v>
      </c>
      <c r="C5304" t="s">
        <v>37</v>
      </c>
      <c r="D5304">
        <v>4.7855749999999997</v>
      </c>
      <c r="E5304">
        <v>0.56525590000000003</v>
      </c>
      <c r="F5304" t="s">
        <v>95</v>
      </c>
      <c r="G5304">
        <v>-249.51849999999999</v>
      </c>
      <c r="H5304" s="1">
        <v>-3.522496E-6</v>
      </c>
      <c r="I5304">
        <v>-62.690689999999996</v>
      </c>
      <c r="J5304">
        <v>-263.38720000000001</v>
      </c>
      <c r="K5304">
        <v>1.1044579999999999</v>
      </c>
      <c r="L5304">
        <v>-63.433169999999997</v>
      </c>
      <c r="M5304">
        <v>0.999650499999999</v>
      </c>
      <c r="N5304">
        <v>0</v>
      </c>
      <c r="O5304">
        <v>2.396933E-2</v>
      </c>
      <c r="P5304">
        <v>0.97667380000000004</v>
      </c>
      <c r="Q5304">
        <v>-2.5096670000000001E-2</v>
      </c>
      <c r="R5304">
        <v>0.21325720000000001</v>
      </c>
      <c r="S5304">
        <v>3.033264</v>
      </c>
      <c r="T5304">
        <v>-0.23942739999999901</v>
      </c>
      <c r="U5304">
        <v>0.16162109999999999</v>
      </c>
      <c r="V5304">
        <v>-0.18977929999999901</v>
      </c>
      <c r="W5304">
        <v>-1.4201689999999999E-2</v>
      </c>
      <c r="X5304">
        <v>0.98172399999999904</v>
      </c>
      <c r="Y5304">
        <v>-2.9238920000000002E-2</v>
      </c>
      <c r="Z5304">
        <v>-7.3603759999999905E-4</v>
      </c>
      <c r="AA5304">
        <v>0.99957220000000002</v>
      </c>
      <c r="AB5304">
        <v>19</v>
      </c>
      <c r="AC5304">
        <v>13.8687</v>
      </c>
      <c r="AD5304">
        <v>-1.1044615224959999</v>
      </c>
      <c r="AE5304">
        <v>0.74247999999999303</v>
      </c>
      <c r="AF5304">
        <v>-0.40724713727950101</v>
      </c>
      <c r="AG5304">
        <v>-1.1044615224959999</v>
      </c>
      <c r="AH5304">
        <v>13.795272535763001</v>
      </c>
      <c r="AI5304">
        <v>94.575401890245004</v>
      </c>
      <c r="AJ5304">
        <v>91.690924732213404</v>
      </c>
      <c r="AK5304">
        <v>13.845404646361001</v>
      </c>
    </row>
    <row r="5305" spans="1:37" x14ac:dyDescent="0.2">
      <c r="A5305" t="str">
        <f>"20200111160323837"</f>
        <v>20200111160323837</v>
      </c>
      <c r="B5305" t="str">
        <f>"1578729803828962"</f>
        <v>1578729803828962</v>
      </c>
      <c r="C5305" t="s">
        <v>37</v>
      </c>
      <c r="D5305">
        <v>4.8641079999999999</v>
      </c>
      <c r="E5305">
        <v>0.56485399999999997</v>
      </c>
      <c r="F5305" t="s">
        <v>95</v>
      </c>
      <c r="G5305">
        <v>-249.71199999999999</v>
      </c>
      <c r="H5305" s="1">
        <v>-3.61166499999999E-6</v>
      </c>
      <c r="I5305">
        <v>-62.822309999999902</v>
      </c>
      <c r="J5305">
        <v>-263.27710000000002</v>
      </c>
      <c r="K5305">
        <v>1.104476</v>
      </c>
      <c r="L5305">
        <v>-63.430329999999998</v>
      </c>
      <c r="M5305">
        <v>0.99964370000000002</v>
      </c>
      <c r="N5305">
        <v>0</v>
      </c>
      <c r="O5305">
        <v>2.413891E-2</v>
      </c>
      <c r="P5305">
        <v>0.97777999999999998</v>
      </c>
      <c r="Q5305">
        <v>-2.613072E-2</v>
      </c>
      <c r="R5305">
        <v>0.20799889999999999</v>
      </c>
      <c r="S5305">
        <v>3.035736</v>
      </c>
      <c r="T5305">
        <v>-0.2451767</v>
      </c>
      <c r="U5305">
        <v>0.1355896</v>
      </c>
      <c r="V5305">
        <v>-0.1843291</v>
      </c>
      <c r="W5305">
        <v>-1.499988E-2</v>
      </c>
      <c r="X5305">
        <v>0.98275009999999996</v>
      </c>
      <c r="Y5305">
        <v>-2.0502380000000001E-2</v>
      </c>
      <c r="Z5305">
        <v>-1.118965E-3</v>
      </c>
      <c r="AA5305">
        <v>0.99978919999999905</v>
      </c>
      <c r="AB5305">
        <v>19</v>
      </c>
      <c r="AC5305">
        <v>13.565099999999999</v>
      </c>
      <c r="AD5305">
        <v>-1.104479611665</v>
      </c>
      <c r="AE5305">
        <v>0.60802000000001</v>
      </c>
      <c r="AF5305">
        <v>-0.27853205171655598</v>
      </c>
      <c r="AG5305">
        <v>-1.104479611665</v>
      </c>
      <c r="AH5305">
        <v>13.486596908726</v>
      </c>
      <c r="AI5305">
        <v>94.680774106071297</v>
      </c>
      <c r="AJ5305">
        <v>91.183133356428399</v>
      </c>
      <c r="AK5305">
        <v>13.5346130899585</v>
      </c>
    </row>
    <row r="5306" spans="1:37" x14ac:dyDescent="0.2">
      <c r="A5306" t="str">
        <f>"20200111160323855"</f>
        <v>20200111160323855</v>
      </c>
      <c r="B5306" t="str">
        <f>"1578729803848481"</f>
        <v>1578729803848481</v>
      </c>
      <c r="C5306" t="s">
        <v>37</v>
      </c>
      <c r="D5306">
        <v>5.0956049999999999</v>
      </c>
      <c r="E5306">
        <v>0.5641273</v>
      </c>
      <c r="F5306" t="s">
        <v>42</v>
      </c>
      <c r="G5306">
        <v>-262.45359999999999</v>
      </c>
      <c r="H5306">
        <v>1.0359179999999999</v>
      </c>
      <c r="I5306">
        <v>-63.397319999999901</v>
      </c>
      <c r="J5306">
        <v>-263.12759999999997</v>
      </c>
      <c r="K5306">
        <v>1.104487</v>
      </c>
      <c r="L5306">
        <v>-63.426479999999998</v>
      </c>
      <c r="M5306">
        <v>0.99963489999999999</v>
      </c>
      <c r="N5306">
        <v>0</v>
      </c>
      <c r="O5306">
        <v>2.4367949999999999E-2</v>
      </c>
      <c r="P5306">
        <v>0.97992590000000002</v>
      </c>
      <c r="Q5306">
        <v>-2.8576730000000002E-2</v>
      </c>
      <c r="R5306">
        <v>0.1973036</v>
      </c>
      <c r="S5306">
        <v>3.0353699999999999</v>
      </c>
      <c r="T5306">
        <v>-0.25272260000000002</v>
      </c>
      <c r="U5306">
        <v>0.12258910000000001</v>
      </c>
      <c r="V5306">
        <v>-0.17335909999999999</v>
      </c>
      <c r="W5306">
        <v>-1.7137039999999999E-2</v>
      </c>
      <c r="X5306">
        <v>0.98470959999999996</v>
      </c>
      <c r="Y5306">
        <v>-1.602106E-2</v>
      </c>
      <c r="Z5306">
        <v>-1.358742E-3</v>
      </c>
      <c r="AA5306">
        <v>0.9998707</v>
      </c>
      <c r="AB5306">
        <v>19</v>
      </c>
      <c r="AC5306">
        <v>0.67399999999997795</v>
      </c>
      <c r="AD5306">
        <v>-6.8568999999999797E-2</v>
      </c>
      <c r="AE5306">
        <v>2.91600000000116E-2</v>
      </c>
      <c r="AF5306">
        <v>-1.25960978197235E-2</v>
      </c>
      <c r="AG5306">
        <v>-6.8568999999999797E-2</v>
      </c>
      <c r="AH5306">
        <v>0.667613631294943</v>
      </c>
      <c r="AI5306">
        <v>95.8631140009429</v>
      </c>
      <c r="AJ5306">
        <v>91.080891089297594</v>
      </c>
      <c r="AK5306">
        <v>0.67124386785437695</v>
      </c>
    </row>
    <row r="5307" spans="1:37" x14ac:dyDescent="0.2">
      <c r="A5307" t="str">
        <f>"20200111160323868"</f>
        <v>20200111160323868</v>
      </c>
      <c r="B5307" t="str">
        <f>"1578729803858251"</f>
        <v>1578729803858251</v>
      </c>
      <c r="C5307" t="s">
        <v>37</v>
      </c>
      <c r="D5307">
        <v>4.8864390000000002</v>
      </c>
      <c r="E5307">
        <v>0.56415130000000002</v>
      </c>
      <c r="F5307" t="s">
        <v>42</v>
      </c>
      <c r="G5307">
        <v>-262.28859999999997</v>
      </c>
      <c r="H5307">
        <v>1.03128</v>
      </c>
      <c r="I5307">
        <v>-63.400350000000003</v>
      </c>
      <c r="J5307">
        <v>-263.015999999999</v>
      </c>
      <c r="K5307">
        <v>1.10449</v>
      </c>
      <c r="L5307">
        <v>-63.423549999999999</v>
      </c>
      <c r="M5307">
        <v>0.99962839999999997</v>
      </c>
      <c r="N5307">
        <v>0</v>
      </c>
      <c r="O5307">
        <v>2.453963E-2</v>
      </c>
      <c r="P5307">
        <v>0.98091189999999995</v>
      </c>
      <c r="Q5307">
        <v>-3.003128E-2</v>
      </c>
      <c r="R5307">
        <v>0.1921204</v>
      </c>
      <c r="S5307">
        <v>3.03454599999999</v>
      </c>
      <c r="T5307">
        <v>-0.26476549999999999</v>
      </c>
      <c r="U5307">
        <v>9.5367430000000003E-2</v>
      </c>
      <c r="V5307">
        <v>-0.16798350000000001</v>
      </c>
      <c r="W5307">
        <v>-1.8381959999999999E-2</v>
      </c>
      <c r="X5307">
        <v>0.98561840000000001</v>
      </c>
      <c r="Y5307">
        <v>-6.9398139999999999E-3</v>
      </c>
      <c r="Z5307">
        <v>-1.834191E-3</v>
      </c>
      <c r="AA5307">
        <v>0.99997429999999998</v>
      </c>
      <c r="AB5307">
        <v>19</v>
      </c>
      <c r="AC5307">
        <v>0.72739999999998795</v>
      </c>
      <c r="AD5307">
        <v>-7.3209999999999997E-2</v>
      </c>
      <c r="AE5307">
        <v>2.3199999999995599E-2</v>
      </c>
      <c r="AF5307">
        <v>-5.2881159635683097E-3</v>
      </c>
      <c r="AG5307">
        <v>-7.3209999999999997E-2</v>
      </c>
      <c r="AH5307">
        <v>0.72045969344850402</v>
      </c>
      <c r="AI5307">
        <v>95.802078139685406</v>
      </c>
      <c r="AJ5307">
        <v>90.420538842272194</v>
      </c>
      <c r="AK5307">
        <v>0.72418909005477095</v>
      </c>
    </row>
    <row r="5308" spans="1:37" x14ac:dyDescent="0.2">
      <c r="A5308" t="str">
        <f>"20200111160323879"</f>
        <v>20200111160323879</v>
      </c>
      <c r="B5308" t="str">
        <f>"1578729803868975"</f>
        <v>1578729803868975</v>
      </c>
      <c r="C5308" t="s">
        <v>37</v>
      </c>
      <c r="D5308">
        <v>4.8715519999999897</v>
      </c>
      <c r="E5308">
        <v>0.56378980000000001</v>
      </c>
      <c r="F5308" t="s">
        <v>42</v>
      </c>
      <c r="G5308">
        <v>-262.28140000000002</v>
      </c>
      <c r="H5308">
        <v>1.0403610000000001</v>
      </c>
      <c r="I5308">
        <v>-63.404669999999903</v>
      </c>
      <c r="J5308">
        <v>-262.92110000000002</v>
      </c>
      <c r="K5308">
        <v>1.104492</v>
      </c>
      <c r="L5308">
        <v>-63.421050000000001</v>
      </c>
      <c r="M5308">
        <v>0.99962280000000003</v>
      </c>
      <c r="N5308">
        <v>0</v>
      </c>
      <c r="O5308">
        <v>2.468772E-2</v>
      </c>
      <c r="P5308">
        <v>0.98183750000000003</v>
      </c>
      <c r="Q5308">
        <v>-3.1159679999999999E-2</v>
      </c>
      <c r="R5308">
        <v>0.18714829999999999</v>
      </c>
      <c r="S5308">
        <v>3.0347900000000001</v>
      </c>
      <c r="T5308">
        <v>-0.26495469999999999</v>
      </c>
      <c r="U5308">
        <v>7.8979489999999999E-2</v>
      </c>
      <c r="V5308">
        <v>-0.1628433</v>
      </c>
      <c r="W5308">
        <v>-1.934721E-2</v>
      </c>
      <c r="X5308">
        <v>0.98646219999999996</v>
      </c>
      <c r="Y5308">
        <v>-1.415255E-3</v>
      </c>
      <c r="Z5308">
        <v>-2.0890940000000001E-3</v>
      </c>
      <c r="AA5308">
        <v>0.99999680000000002</v>
      </c>
      <c r="AB5308">
        <v>19</v>
      </c>
      <c r="AC5308">
        <v>0.63970000000000404</v>
      </c>
      <c r="AD5308">
        <v>-6.4130999999999896E-2</v>
      </c>
      <c r="AE5308">
        <v>1.6380000000005099E-2</v>
      </c>
      <c r="AF5308">
        <v>-5.7535033592056705E-4</v>
      </c>
      <c r="AG5308">
        <v>-6.4130999999999896E-2</v>
      </c>
      <c r="AH5308">
        <v>0.63354619265312295</v>
      </c>
      <c r="AI5308">
        <v>95.780100375024205</v>
      </c>
      <c r="AJ5308">
        <v>90.052032728330701</v>
      </c>
      <c r="AK5308">
        <v>0.63678402493645903</v>
      </c>
    </row>
    <row r="5309" spans="1:37" x14ac:dyDescent="0.2">
      <c r="A5309" t="str">
        <f>"20200111160323891"</f>
        <v>20200111160323891</v>
      </c>
      <c r="B5309" t="str">
        <f>"1578729803888496"</f>
        <v>1578729803888496</v>
      </c>
      <c r="C5309" t="s">
        <v>37</v>
      </c>
      <c r="D5309">
        <v>4.9060009999999998</v>
      </c>
      <c r="E5309">
        <v>0.56266579999999999</v>
      </c>
      <c r="F5309" t="s">
        <v>42</v>
      </c>
      <c r="G5309">
        <v>-262.11720000000003</v>
      </c>
      <c r="H5309">
        <v>1.0342629999999999</v>
      </c>
      <c r="I5309">
        <v>-63.403680000000001</v>
      </c>
      <c r="J5309">
        <v>-262.81760000000003</v>
      </c>
      <c r="K5309">
        <v>1.104492</v>
      </c>
      <c r="L5309">
        <v>-63.418329999999997</v>
      </c>
      <c r="M5309">
        <v>0.99961690000000003</v>
      </c>
      <c r="N5309">
        <v>0</v>
      </c>
      <c r="O5309">
        <v>2.4849679999999999E-2</v>
      </c>
      <c r="P5309">
        <v>0.98273630000000001</v>
      </c>
      <c r="Q5309">
        <v>-3.2044679999999999E-2</v>
      </c>
      <c r="R5309">
        <v>0.18221599999999999</v>
      </c>
      <c r="S5309">
        <v>3.034424</v>
      </c>
      <c r="T5309">
        <v>-0.26502219999999999</v>
      </c>
      <c r="U5309">
        <v>6.640625E-2</v>
      </c>
      <c r="V5309">
        <v>-0.1577306</v>
      </c>
      <c r="W5309">
        <v>-2.006059E-2</v>
      </c>
      <c r="X5309">
        <v>0.9872784</v>
      </c>
      <c r="Y5309">
        <v>2.867835E-3</v>
      </c>
      <c r="Z5309">
        <v>-2.290785E-3</v>
      </c>
      <c r="AA5309">
        <v>0.99999329999999997</v>
      </c>
      <c r="AB5309">
        <v>19</v>
      </c>
      <c r="AC5309">
        <v>0.70040000000000102</v>
      </c>
      <c r="AD5309">
        <v>-7.0229000000000097E-2</v>
      </c>
      <c r="AE5309">
        <v>1.46500000000031E-2</v>
      </c>
      <c r="AF5309">
        <v>2.7330669751555198E-3</v>
      </c>
      <c r="AG5309">
        <v>-7.0229000000000097E-2</v>
      </c>
      <c r="AH5309">
        <v>0.69357755020808198</v>
      </c>
      <c r="AI5309">
        <v>95.781799769124106</v>
      </c>
      <c r="AJ5309">
        <v>89.774225114053095</v>
      </c>
      <c r="AK5309">
        <v>0.69712939993141498</v>
      </c>
    </row>
    <row r="5310" spans="1:37" x14ac:dyDescent="0.2">
      <c r="A5310" t="str">
        <f>"20200111160323903"</f>
        <v>20200111160323903</v>
      </c>
      <c r="B5310" t="str">
        <f>"1578729803898256"</f>
        <v>1578729803898256</v>
      </c>
      <c r="C5310" t="s">
        <v>37</v>
      </c>
      <c r="D5310">
        <v>4.8225519999999999</v>
      </c>
      <c r="E5310">
        <v>0.56181780000000003</v>
      </c>
      <c r="F5310" t="s">
        <v>42</v>
      </c>
      <c r="G5310">
        <v>-261.95080000000002</v>
      </c>
      <c r="H5310">
        <v>1.0290709999999901</v>
      </c>
      <c r="I5310">
        <v>-63.401369999999901</v>
      </c>
      <c r="J5310">
        <v>-262.71960000000001</v>
      </c>
      <c r="K5310">
        <v>1.1044889999999901</v>
      </c>
      <c r="L5310">
        <v>-63.41574</v>
      </c>
      <c r="M5310">
        <v>0.99961129999999998</v>
      </c>
      <c r="N5310">
        <v>0</v>
      </c>
      <c r="O5310">
        <v>2.500498E-2</v>
      </c>
      <c r="P5310">
        <v>0.98358979999999996</v>
      </c>
      <c r="Q5310">
        <v>-3.266546E-2</v>
      </c>
      <c r="R5310">
        <v>0.17743819999999999</v>
      </c>
      <c r="S5310">
        <v>3.03302</v>
      </c>
      <c r="T5310">
        <v>-0.26386520000000002</v>
      </c>
      <c r="U5310">
        <v>5.9875490000000003E-2</v>
      </c>
      <c r="V5310">
        <v>-0.15277939999999901</v>
      </c>
      <c r="W5310">
        <v>-2.0532890000000002E-2</v>
      </c>
      <c r="X5310">
        <v>0.98804699999999901</v>
      </c>
      <c r="Y5310">
        <v>5.1569520000000002E-3</v>
      </c>
      <c r="Z5310">
        <v>-2.3947980000000001E-3</v>
      </c>
      <c r="AA5310">
        <v>0.99998379999999998</v>
      </c>
      <c r="AB5310">
        <v>19</v>
      </c>
      <c r="AC5310">
        <v>0.76879999999999804</v>
      </c>
      <c r="AD5310">
        <v>-7.5417999999999902E-2</v>
      </c>
      <c r="AE5310">
        <v>1.43700000000066E-2</v>
      </c>
      <c r="AF5310">
        <v>4.8134783123665002E-3</v>
      </c>
      <c r="AG5310">
        <v>-7.5417999999999902E-2</v>
      </c>
      <c r="AH5310">
        <v>0.76159246855436302</v>
      </c>
      <c r="AI5310">
        <v>95.6552625969979</v>
      </c>
      <c r="AJ5310">
        <v>89.637879402313203</v>
      </c>
      <c r="AK5310">
        <v>0.76533269396791903</v>
      </c>
    </row>
    <row r="5311" spans="1:37" x14ac:dyDescent="0.2">
      <c r="A5311" t="str">
        <f>"20200111160323919"</f>
        <v>20200111160323919</v>
      </c>
      <c r="B5311" t="str">
        <f>"1578729803908992"</f>
        <v>1578729803908992</v>
      </c>
      <c r="C5311" t="s">
        <v>37</v>
      </c>
      <c r="D5311">
        <v>4.8809290000000001</v>
      </c>
      <c r="E5311">
        <v>0.56097909999999995</v>
      </c>
      <c r="F5311" t="s">
        <v>42</v>
      </c>
      <c r="G5311">
        <v>-261.94549999999998</v>
      </c>
      <c r="H5311">
        <v>1.037236</v>
      </c>
      <c r="I5311">
        <v>-63.402709999999999</v>
      </c>
      <c r="J5311">
        <v>-262.5849</v>
      </c>
      <c r="K5311">
        <v>1.1044879999999999</v>
      </c>
      <c r="L5311">
        <v>-63.412140000000001</v>
      </c>
      <c r="M5311">
        <v>0.99960369999999998</v>
      </c>
      <c r="N5311">
        <v>0</v>
      </c>
      <c r="O5311">
        <v>2.521872E-2</v>
      </c>
      <c r="P5311">
        <v>0.98505350000000003</v>
      </c>
      <c r="Q5311">
        <v>-3.3472200000000001E-2</v>
      </c>
      <c r="R5311">
        <v>0.168965899999999</v>
      </c>
      <c r="S5311">
        <v>3.031952</v>
      </c>
      <c r="T5311">
        <v>-0.26334609999999897</v>
      </c>
      <c r="U5311">
        <v>5.160522E-2</v>
      </c>
      <c r="V5311">
        <v>-0.144061299999999</v>
      </c>
      <c r="W5311">
        <v>-2.1144630000000001E-2</v>
      </c>
      <c r="X5311">
        <v>0.98934279999999997</v>
      </c>
      <c r="Y5311">
        <v>8.0791460000000006E-3</v>
      </c>
      <c r="Z5311">
        <v>-2.5362079999999999E-3</v>
      </c>
      <c r="AA5311">
        <v>0.99996409999999902</v>
      </c>
      <c r="AB5311">
        <v>19</v>
      </c>
      <c r="AC5311">
        <v>0.63940000000002295</v>
      </c>
      <c r="AD5311">
        <v>-6.7251999999999798E-2</v>
      </c>
      <c r="AE5311">
        <v>9.4300000000018206E-3</v>
      </c>
      <c r="AF5311">
        <v>6.6258264984506397E-3</v>
      </c>
      <c r="AG5311">
        <v>-6.7251999999999798E-2</v>
      </c>
      <c r="AH5311">
        <v>0.63243941234338896</v>
      </c>
      <c r="AI5311">
        <v>96.069546886296607</v>
      </c>
      <c r="AJ5311">
        <v>89.399755931958396</v>
      </c>
      <c r="AK5311">
        <v>0.63603957688656299</v>
      </c>
    </row>
    <row r="5312" spans="1:37" x14ac:dyDescent="0.2">
      <c r="A5312" t="str">
        <f>"20200111160323931"</f>
        <v>20200111160323931</v>
      </c>
      <c r="B5312" t="str">
        <f>"1578729803918752"</f>
        <v>1578729803918752</v>
      </c>
      <c r="C5312" t="s">
        <v>37</v>
      </c>
      <c r="D5312">
        <v>4.8873829999999998</v>
      </c>
      <c r="E5312">
        <v>0.56023009999999995</v>
      </c>
      <c r="F5312" t="s">
        <v>42</v>
      </c>
      <c r="G5312">
        <v>-261.7792</v>
      </c>
      <c r="H5312">
        <v>1.0340910000000001</v>
      </c>
      <c r="I5312">
        <v>-63.403849999999998</v>
      </c>
      <c r="J5312">
        <v>-262.4862</v>
      </c>
      <c r="K5312">
        <v>1.1044940000000001</v>
      </c>
      <c r="L5312">
        <v>-63.409480000000002</v>
      </c>
      <c r="M5312">
        <v>0.99959809999999905</v>
      </c>
      <c r="N5312">
        <v>0</v>
      </c>
      <c r="O5312">
        <v>2.537522E-2</v>
      </c>
      <c r="P5312">
        <v>0.98574689999999998</v>
      </c>
      <c r="Q5312">
        <v>-3.3633719999999999E-2</v>
      </c>
      <c r="R5312">
        <v>0.16483889999999901</v>
      </c>
      <c r="S5312">
        <v>3.0309750000000002</v>
      </c>
      <c r="T5312">
        <v>-0.26480700000000001</v>
      </c>
      <c r="U5312">
        <v>3.2135009999999999E-2</v>
      </c>
      <c r="V5312">
        <v>-0.1397631</v>
      </c>
      <c r="W5312">
        <v>-2.1175719999999999E-2</v>
      </c>
      <c r="X5312">
        <v>0.98995849999999996</v>
      </c>
      <c r="Y5312">
        <v>1.4625290000000001E-2</v>
      </c>
      <c r="Z5312">
        <v>-2.850254E-3</v>
      </c>
      <c r="AA5312">
        <v>0.99988899999999903</v>
      </c>
      <c r="AB5312">
        <v>19</v>
      </c>
      <c r="AC5312">
        <v>0.70699999999999297</v>
      </c>
      <c r="AD5312">
        <v>-7.0402999999999993E-2</v>
      </c>
      <c r="AE5312">
        <v>5.6300000000035696E-3</v>
      </c>
      <c r="AF5312">
        <v>1.21926303365304E-2</v>
      </c>
      <c r="AG5312">
        <v>-7.0402999999999993E-2</v>
      </c>
      <c r="AH5312">
        <v>0.69997456230841504</v>
      </c>
      <c r="AI5312">
        <v>95.742592705277403</v>
      </c>
      <c r="AJ5312">
        <v>89.002084279677206</v>
      </c>
      <c r="AK5312">
        <v>0.703611846490934</v>
      </c>
    </row>
    <row r="5313" spans="1:37" x14ac:dyDescent="0.2">
      <c r="A5313" t="str">
        <f>"20200111160323942"</f>
        <v>20200111160323942</v>
      </c>
      <c r="B5313" t="str">
        <f>"1578729803938272"</f>
        <v>1578729803938272</v>
      </c>
      <c r="C5313" t="s">
        <v>37</v>
      </c>
      <c r="D5313">
        <v>4.828303</v>
      </c>
      <c r="E5313">
        <v>0.559363099999999</v>
      </c>
      <c r="F5313" t="s">
        <v>42</v>
      </c>
      <c r="G5313">
        <v>-261.61320000000001</v>
      </c>
      <c r="H5313">
        <v>1.0282690000000001</v>
      </c>
      <c r="I5313">
        <v>-63.402290000000001</v>
      </c>
      <c r="J5313">
        <v>-262.38810000000001</v>
      </c>
      <c r="K5313">
        <v>1.104495</v>
      </c>
      <c r="L5313">
        <v>-63.406829999999999</v>
      </c>
      <c r="M5313">
        <v>0.99959299999999995</v>
      </c>
      <c r="N5313">
        <v>0</v>
      </c>
      <c r="O5313">
        <v>2.5529949999999999E-2</v>
      </c>
      <c r="P5313">
        <v>0.98637659999999905</v>
      </c>
      <c r="Q5313">
        <v>-3.3940949999999998E-2</v>
      </c>
      <c r="R5313">
        <v>0.16096340000000001</v>
      </c>
      <c r="S5313">
        <v>3.03009</v>
      </c>
      <c r="T5313">
        <v>-0.26457179999999902</v>
      </c>
      <c r="U5313">
        <v>2.5329589999999999E-2</v>
      </c>
      <c r="V5313">
        <v>-0.1357197</v>
      </c>
      <c r="W5313">
        <v>-2.1365849999999999E-2</v>
      </c>
      <c r="X5313">
        <v>0.99051679999999998</v>
      </c>
      <c r="Y5313">
        <v>1.7012960000000001E-2</v>
      </c>
      <c r="Z5313">
        <v>-2.96613E-3</v>
      </c>
      <c r="AA5313">
        <v>0.99985089999999999</v>
      </c>
      <c r="AB5313">
        <v>19</v>
      </c>
      <c r="AC5313">
        <v>0.77490000000000203</v>
      </c>
      <c r="AD5313">
        <v>-7.6225999999999905E-2</v>
      </c>
      <c r="AE5313">
        <v>4.5400000000057599E-3</v>
      </c>
      <c r="AF5313">
        <v>1.5100131184487499E-2</v>
      </c>
      <c r="AG5313">
        <v>-7.6225999999999905E-2</v>
      </c>
      <c r="AH5313">
        <v>0.76733846343522405</v>
      </c>
      <c r="AI5313">
        <v>95.671955203140499</v>
      </c>
      <c r="AJ5313">
        <v>88.872645937067105</v>
      </c>
      <c r="AK5313">
        <v>0.77126307736395605</v>
      </c>
    </row>
    <row r="5314" spans="1:37" x14ac:dyDescent="0.2">
      <c r="A5314" t="str">
        <f>"20200111160323953"</f>
        <v>20200111160323953</v>
      </c>
      <c r="B5314" t="str">
        <f>"1578729803949008"</f>
        <v>1578729803949008</v>
      </c>
      <c r="C5314" t="s">
        <v>37</v>
      </c>
      <c r="D5314">
        <v>4.8482649999999996</v>
      </c>
      <c r="E5314">
        <v>0.54116409999999904</v>
      </c>
      <c r="F5314" t="s">
        <v>42</v>
      </c>
      <c r="G5314">
        <v>-261.60899999999998</v>
      </c>
      <c r="H5314">
        <v>1.0365739999999899</v>
      </c>
      <c r="I5314">
        <v>-63.401709999999902</v>
      </c>
      <c r="J5314">
        <v>-262.29419999999999</v>
      </c>
      <c r="K5314">
        <v>1.104492</v>
      </c>
      <c r="L5314">
        <v>-63.404299999999999</v>
      </c>
      <c r="M5314">
        <v>0.99958780000000003</v>
      </c>
      <c r="N5314">
        <v>0</v>
      </c>
      <c r="O5314">
        <v>2.567825E-2</v>
      </c>
      <c r="P5314">
        <v>0.98698079999999999</v>
      </c>
      <c r="Q5314">
        <v>-3.361534E-2</v>
      </c>
      <c r="R5314">
        <v>0.15728599999999901</v>
      </c>
      <c r="S5314">
        <v>3.02905299999999</v>
      </c>
      <c r="T5314">
        <v>-0.264109599999999</v>
      </c>
      <c r="U5314">
        <v>2.029419E-2</v>
      </c>
      <c r="V5314">
        <v>-0.13188139999999901</v>
      </c>
      <c r="W5314">
        <v>-2.0932570000000001E-2</v>
      </c>
      <c r="X5314">
        <v>0.99104449999999999</v>
      </c>
      <c r="Y5314">
        <v>1.881352E-2</v>
      </c>
      <c r="Z5314">
        <v>-3.0532620000000002E-3</v>
      </c>
      <c r="AA5314">
        <v>0.99981830000000005</v>
      </c>
      <c r="AB5314">
        <v>19</v>
      </c>
      <c r="AC5314">
        <v>0.68519999999995196</v>
      </c>
      <c r="AD5314">
        <v>-6.7918000000000103E-2</v>
      </c>
      <c r="AE5314">
        <v>2.5900000000049698E-3</v>
      </c>
      <c r="AF5314">
        <v>1.48610331528372E-2</v>
      </c>
      <c r="AG5314">
        <v>-6.7918000000000103E-2</v>
      </c>
      <c r="AH5314">
        <v>0.67837555351286805</v>
      </c>
      <c r="AI5314">
        <v>95.715957846956201</v>
      </c>
      <c r="AJ5314">
        <v>88.745033921153095</v>
      </c>
      <c r="AK5314">
        <v>0.68192895277606502</v>
      </c>
    </row>
    <row r="5315" spans="1:37" x14ac:dyDescent="0.2">
      <c r="A5315" t="str">
        <f>"20200111160323965"</f>
        <v>20200111160323965</v>
      </c>
      <c r="B5315" t="str">
        <f>"1578729803958767"</f>
        <v>1578729803958767</v>
      </c>
      <c r="C5315" t="s">
        <v>37</v>
      </c>
      <c r="D5315">
        <v>4.8481550000000002</v>
      </c>
      <c r="E5315">
        <v>0.5410507</v>
      </c>
      <c r="F5315" t="s">
        <v>42</v>
      </c>
      <c r="G5315">
        <v>-261.4461</v>
      </c>
      <c r="H5315">
        <v>1.023566</v>
      </c>
      <c r="I5315">
        <v>-63.3613199999999</v>
      </c>
      <c r="J5315">
        <v>-262.18770000000001</v>
      </c>
      <c r="K5315">
        <v>1.1044909999999999</v>
      </c>
      <c r="L5315">
        <v>-63.401369999999901</v>
      </c>
      <c r="M5315">
        <v>0.99958230000000003</v>
      </c>
      <c r="N5315">
        <v>0</v>
      </c>
      <c r="O5315">
        <v>2.584492E-2</v>
      </c>
      <c r="P5315">
        <v>0.9875526</v>
      </c>
      <c r="Q5315">
        <v>-3.3656699999999998E-2</v>
      </c>
      <c r="R5315">
        <v>0.15364629999999899</v>
      </c>
      <c r="S5315">
        <v>3.0054020000000001</v>
      </c>
      <c r="T5315">
        <v>-0.28678429999999999</v>
      </c>
      <c r="U5315">
        <v>0.15319820000000001</v>
      </c>
      <c r="V5315">
        <v>-0.1280628</v>
      </c>
      <c r="W5315">
        <v>-2.086176E-2</v>
      </c>
      <c r="X5315">
        <v>0.99154659999999994</v>
      </c>
      <c r="Y5315">
        <v>-2.5081079999999999E-2</v>
      </c>
      <c r="Z5315">
        <v>-1.2654470000000001E-3</v>
      </c>
      <c r="AA5315">
        <v>0.99968459999999904</v>
      </c>
      <c r="AB5315">
        <v>19</v>
      </c>
      <c r="AC5315">
        <v>0.74160000000000503</v>
      </c>
      <c r="AD5315">
        <v>-8.09249999999999E-2</v>
      </c>
      <c r="AE5315">
        <v>4.00500000000008E-2</v>
      </c>
      <c r="AF5315">
        <v>-2.0623559869282299E-2</v>
      </c>
      <c r="AG5315">
        <v>-8.09249999999999E-2</v>
      </c>
      <c r="AH5315">
        <v>0.733676458260625</v>
      </c>
      <c r="AI5315">
        <v>96.2918533518191</v>
      </c>
      <c r="AJ5315">
        <v>91.610153688361507</v>
      </c>
      <c r="AK5315">
        <v>0.738414065584165</v>
      </c>
    </row>
    <row r="5316" spans="1:37" x14ac:dyDescent="0.2">
      <c r="A5316" t="str">
        <f>"20200111160323977"</f>
        <v>20200111160323977</v>
      </c>
      <c r="B5316" t="str">
        <f>"1578729803968527"</f>
        <v>1578729803968527</v>
      </c>
      <c r="C5316" t="s">
        <v>37</v>
      </c>
      <c r="D5316">
        <v>4.8732860000000002</v>
      </c>
      <c r="E5316">
        <v>0.53955759999999997</v>
      </c>
      <c r="F5316" t="s">
        <v>42</v>
      </c>
      <c r="G5316">
        <v>-261.43970000000002</v>
      </c>
      <c r="H5316">
        <v>1.0324329999999999</v>
      </c>
      <c r="I5316">
        <v>-63.366019999999899</v>
      </c>
      <c r="J5316">
        <v>-262.09739999999999</v>
      </c>
      <c r="K5316">
        <v>1.1044929999999999</v>
      </c>
      <c r="L5316">
        <v>-63.398859999999999</v>
      </c>
      <c r="M5316">
        <v>0.99957750000000001</v>
      </c>
      <c r="N5316">
        <v>0</v>
      </c>
      <c r="O5316">
        <v>2.59863E-2</v>
      </c>
      <c r="P5316">
        <v>0.98804459999999905</v>
      </c>
      <c r="Q5316">
        <v>-3.3637269999999997E-2</v>
      </c>
      <c r="R5316">
        <v>0.15045439999999999</v>
      </c>
      <c r="S5316">
        <v>3.0056759999999998</v>
      </c>
      <c r="T5316">
        <v>-0.28951329999999997</v>
      </c>
      <c r="U5316">
        <v>0.14303589999999999</v>
      </c>
      <c r="V5316">
        <v>-0.1247191</v>
      </c>
      <c r="W5316">
        <v>-2.0754559999999998E-2</v>
      </c>
      <c r="X5316">
        <v>0.99197500000000005</v>
      </c>
      <c r="Y5316">
        <v>-2.1579950000000001E-2</v>
      </c>
      <c r="Z5316">
        <v>-1.4591599999999999E-3</v>
      </c>
      <c r="AA5316">
        <v>0.99976609999999999</v>
      </c>
      <c r="AB5316">
        <v>19</v>
      </c>
      <c r="AC5316">
        <v>0.65769999999997697</v>
      </c>
      <c r="AD5316">
        <v>-7.2059999999999999E-2</v>
      </c>
      <c r="AE5316">
        <v>3.2840000000007301E-2</v>
      </c>
      <c r="AF5316">
        <v>-1.55500678353902E-2</v>
      </c>
      <c r="AG5316">
        <v>-7.2059999999999999E-2</v>
      </c>
      <c r="AH5316">
        <v>0.650541516675751</v>
      </c>
      <c r="AI5316">
        <v>96.319052665693206</v>
      </c>
      <c r="AJ5316">
        <v>91.3692955892393</v>
      </c>
      <c r="AK5316">
        <v>0.65470505812042701</v>
      </c>
    </row>
    <row r="5317" spans="1:37" x14ac:dyDescent="0.2">
      <c r="A5317" t="str">
        <f>"20200111160323988"</f>
        <v>20200111160323988</v>
      </c>
      <c r="B5317" t="str">
        <f>"1578729803978288"</f>
        <v>1578729803978288</v>
      </c>
      <c r="C5317" t="s">
        <v>37</v>
      </c>
      <c r="D5317">
        <v>4.8381259999999999</v>
      </c>
      <c r="E5317">
        <v>0.538699699999999</v>
      </c>
      <c r="F5317" t="s">
        <v>42</v>
      </c>
      <c r="G5317">
        <v>-261.27719999999999</v>
      </c>
      <c r="H5317">
        <v>1.0252219999999901</v>
      </c>
      <c r="I5317">
        <v>-63.359299999999998</v>
      </c>
      <c r="J5317">
        <v>-262.0027</v>
      </c>
      <c r="K5317">
        <v>1.1044929999999999</v>
      </c>
      <c r="L5317">
        <v>-63.396239999999999</v>
      </c>
      <c r="M5317">
        <v>0.99957249999999997</v>
      </c>
      <c r="N5317">
        <v>0</v>
      </c>
      <c r="O5317">
        <v>2.6134170000000002E-2</v>
      </c>
      <c r="P5317">
        <v>0.98847320000000005</v>
      </c>
      <c r="Q5317">
        <v>-3.369374E-2</v>
      </c>
      <c r="R5317">
        <v>0.14759890000000001</v>
      </c>
      <c r="S5317">
        <v>3.0042719999999998</v>
      </c>
      <c r="T5317">
        <v>-0.29033389999999998</v>
      </c>
      <c r="U5317">
        <v>0.1451721</v>
      </c>
      <c r="V5317">
        <v>-0.1217065</v>
      </c>
      <c r="W5317">
        <v>-2.0723450000000001E-2</v>
      </c>
      <c r="X5317">
        <v>0.992349699999999</v>
      </c>
      <c r="Y5317">
        <v>-2.216158E-2</v>
      </c>
      <c r="Z5317">
        <v>-1.4501469999999999E-3</v>
      </c>
      <c r="AA5317">
        <v>0.99975340000000001</v>
      </c>
      <c r="AB5317">
        <v>19</v>
      </c>
      <c r="AC5317">
        <v>0.72550000000001003</v>
      </c>
      <c r="AD5317">
        <v>-7.9270999999999994E-2</v>
      </c>
      <c r="AE5317">
        <v>3.6940000000001298E-2</v>
      </c>
      <c r="AF5317">
        <v>-1.7754001258671E-2</v>
      </c>
      <c r="AG5317">
        <v>-7.9270999999999994E-2</v>
      </c>
      <c r="AH5317">
        <v>0.71767178796394004</v>
      </c>
      <c r="AI5317">
        <v>96.301187195000196</v>
      </c>
      <c r="AJ5317">
        <v>91.417112843401398</v>
      </c>
      <c r="AK5317">
        <v>0.72225472739266405</v>
      </c>
    </row>
    <row r="5318" spans="1:37" x14ac:dyDescent="0.2">
      <c r="A5318" t="str">
        <f>"20200111160323997"</f>
        <v>20200111160323997</v>
      </c>
      <c r="B5318" t="str">
        <f>"1578729803989025"</f>
        <v>1578729803989025</v>
      </c>
      <c r="C5318" t="s">
        <v>37</v>
      </c>
      <c r="D5318">
        <v>4.8339840000000001</v>
      </c>
      <c r="E5318">
        <v>0.53790890000000002</v>
      </c>
      <c r="F5318" t="s">
        <v>42</v>
      </c>
      <c r="G5318">
        <v>-261.27120000000002</v>
      </c>
      <c r="H5318">
        <v>1.0329740000000001</v>
      </c>
      <c r="I5318">
        <v>-63.36139</v>
      </c>
      <c r="J5318">
        <v>-261.92250000000001</v>
      </c>
      <c r="K5318">
        <v>1.104498</v>
      </c>
      <c r="L5318">
        <v>-63.394009999999902</v>
      </c>
      <c r="M5318">
        <v>0.99956829999999997</v>
      </c>
      <c r="N5318">
        <v>0</v>
      </c>
      <c r="O5318">
        <v>2.6259339999999999E-2</v>
      </c>
      <c r="P5318">
        <v>0.98891309999999999</v>
      </c>
      <c r="Q5318">
        <v>-3.3465189999999999E-2</v>
      </c>
      <c r="R5318">
        <v>0.14467539999999901</v>
      </c>
      <c r="S5318">
        <v>3.0035400000000001</v>
      </c>
      <c r="T5318">
        <v>-0.29358010000000001</v>
      </c>
      <c r="U5318">
        <v>0.14337159999999999</v>
      </c>
      <c r="V5318">
        <v>-0.1186489</v>
      </c>
      <c r="W5318">
        <v>-2.0427239999999999E-2</v>
      </c>
      <c r="X5318">
        <v>0.99272609999999994</v>
      </c>
      <c r="Y5318">
        <v>-2.1454540000000001E-2</v>
      </c>
      <c r="Z5318">
        <v>-1.513314E-3</v>
      </c>
      <c r="AA5318">
        <v>0.99976869999999995</v>
      </c>
      <c r="AB5318">
        <v>19</v>
      </c>
      <c r="AC5318">
        <v>0.651299999999992</v>
      </c>
      <c r="AD5318">
        <v>-7.1523999999999893E-2</v>
      </c>
      <c r="AE5318">
        <v>3.2619999999994299E-2</v>
      </c>
      <c r="AF5318">
        <v>-1.5320258610507899E-2</v>
      </c>
      <c r="AG5318">
        <v>-7.1523999999999893E-2</v>
      </c>
      <c r="AH5318">
        <v>0.64418272359817597</v>
      </c>
      <c r="AI5318">
        <v>96.333859094495594</v>
      </c>
      <c r="AJ5318">
        <v>91.362378545248802</v>
      </c>
      <c r="AK5318">
        <v>0.64832227655870101</v>
      </c>
    </row>
    <row r="5319" spans="1:37" x14ac:dyDescent="0.2">
      <c r="A5319" t="str">
        <f>"20200111160324020"</f>
        <v>20200111160324020</v>
      </c>
      <c r="B5319" t="str">
        <f>"1578729804008543"</f>
        <v>1578729804008543</v>
      </c>
      <c r="C5319" t="s">
        <v>37</v>
      </c>
      <c r="D5319">
        <v>4.8114229999999996</v>
      </c>
      <c r="E5319">
        <v>0.53657109999999997</v>
      </c>
      <c r="F5319" t="s">
        <v>42</v>
      </c>
      <c r="G5319">
        <v>-261.10969999999998</v>
      </c>
      <c r="H5319">
        <v>1.0253049999999999</v>
      </c>
      <c r="I5319">
        <v>-63.356180000000002</v>
      </c>
      <c r="J5319">
        <v>-261.73970000000003</v>
      </c>
      <c r="K5319">
        <v>1.104509</v>
      </c>
      <c r="L5319">
        <v>-63.388890000000004</v>
      </c>
      <c r="M5319">
        <v>0.99955910000000003</v>
      </c>
      <c r="N5319">
        <v>0</v>
      </c>
      <c r="O5319">
        <v>2.6544910000000001E-2</v>
      </c>
      <c r="P5319">
        <v>0.98967510000000003</v>
      </c>
      <c r="Q5319">
        <v>-3.3252909999999997E-2</v>
      </c>
      <c r="R5319">
        <v>0.13941889999999901</v>
      </c>
      <c r="S5319">
        <v>3.003174</v>
      </c>
      <c r="T5319">
        <v>-0.29255720000000002</v>
      </c>
      <c r="U5319">
        <v>0.140625</v>
      </c>
      <c r="V5319">
        <v>-0.1130901</v>
      </c>
      <c r="W5319">
        <v>-2.0074069999999999E-2</v>
      </c>
      <c r="X5319">
        <v>0.99338189999999904</v>
      </c>
      <c r="Y5319">
        <v>-2.0269140000000001E-2</v>
      </c>
      <c r="Z5319">
        <v>-1.5935889999999901E-3</v>
      </c>
      <c r="AA5319">
        <v>0.9997933</v>
      </c>
      <c r="AB5319">
        <v>19</v>
      </c>
      <c r="AC5319">
        <v>0.63000000000005196</v>
      </c>
      <c r="AD5319">
        <v>-7.9203999999999997E-2</v>
      </c>
      <c r="AE5319">
        <v>3.2710000000001502E-2</v>
      </c>
      <c r="AF5319">
        <v>-1.57258095472891E-2</v>
      </c>
      <c r="AG5319">
        <v>-7.9203999999999997E-2</v>
      </c>
      <c r="AH5319">
        <v>0.62085959892806397</v>
      </c>
      <c r="AI5319">
        <v>97.267734361304903</v>
      </c>
      <c r="AJ5319">
        <v>91.450939801283397</v>
      </c>
      <c r="AK5319">
        <v>0.62608882459522797</v>
      </c>
    </row>
    <row r="5320" spans="1:37" x14ac:dyDescent="0.2">
      <c r="A5320" t="str">
        <f>"20200111160324030"</f>
        <v>20200111160324030</v>
      </c>
      <c r="B5320" t="str">
        <f>"1578729804018304"</f>
        <v>1578729804018304</v>
      </c>
      <c r="C5320" t="s">
        <v>37</v>
      </c>
      <c r="D5320">
        <v>4.798832</v>
      </c>
      <c r="E5320">
        <v>0.53568479999999996</v>
      </c>
      <c r="F5320" t="s">
        <v>42</v>
      </c>
      <c r="G5320">
        <v>-260.94189999999998</v>
      </c>
      <c r="H5320">
        <v>1.0263249999999999</v>
      </c>
      <c r="I5320">
        <v>-63.353069999999903</v>
      </c>
      <c r="J5320">
        <v>-261.64640000000003</v>
      </c>
      <c r="K5320">
        <v>1.104519</v>
      </c>
      <c r="L5320">
        <v>-63.38626</v>
      </c>
      <c r="M5320">
        <v>0.99955430000000001</v>
      </c>
      <c r="N5320">
        <v>0</v>
      </c>
      <c r="O5320">
        <v>2.6690999999999999E-2</v>
      </c>
      <c r="P5320">
        <v>0.99005189999999998</v>
      </c>
      <c r="Q5320">
        <v>-3.266488E-2</v>
      </c>
      <c r="R5320">
        <v>0.1368595</v>
      </c>
      <c r="S5320">
        <v>3.00238</v>
      </c>
      <c r="T5320">
        <v>-0.29417670000000001</v>
      </c>
      <c r="U5320">
        <v>0.1352844</v>
      </c>
      <c r="V5320">
        <v>-0.1103769</v>
      </c>
      <c r="W5320">
        <v>-1.941992E-2</v>
      </c>
      <c r="X5320">
        <v>0.99370009999999998</v>
      </c>
      <c r="Y5320">
        <v>-1.837076E-2</v>
      </c>
      <c r="Z5320">
        <v>-1.709873E-3</v>
      </c>
      <c r="AA5320">
        <v>0.99982979999999999</v>
      </c>
      <c r="AB5320">
        <v>19</v>
      </c>
      <c r="AC5320">
        <v>0.70450000000005197</v>
      </c>
      <c r="AD5320">
        <v>-7.8194000000000097E-2</v>
      </c>
      <c r="AE5320">
        <v>3.3190000000004702E-2</v>
      </c>
      <c r="AF5320">
        <v>-1.4198159075154501E-2</v>
      </c>
      <c r="AG5320">
        <v>-7.8194000000000097E-2</v>
      </c>
      <c r="AH5320">
        <v>0.69657265698697302</v>
      </c>
      <c r="AI5320">
        <v>96.403624489671799</v>
      </c>
      <c r="AJ5320">
        <v>91.167691486453606</v>
      </c>
      <c r="AK5320">
        <v>0.70109154596173495</v>
      </c>
    </row>
    <row r="5321" spans="1:37" x14ac:dyDescent="0.2">
      <c r="A5321" t="str">
        <f>"20200111160324041"</f>
        <v>20200111160324041</v>
      </c>
      <c r="B5321" t="str">
        <f>"1578729804038800"</f>
        <v>1578729804038800</v>
      </c>
      <c r="C5321" t="s">
        <v>37</v>
      </c>
      <c r="D5321">
        <v>4.7126970000000004</v>
      </c>
      <c r="E5321">
        <v>0.53438439999999998</v>
      </c>
      <c r="F5321" t="s">
        <v>42</v>
      </c>
      <c r="G5321">
        <v>-260.77879999999999</v>
      </c>
      <c r="H5321">
        <v>1.020108</v>
      </c>
      <c r="I5321">
        <v>-63.347609999999897</v>
      </c>
      <c r="J5321">
        <v>-261.55340000000001</v>
      </c>
      <c r="K5321">
        <v>1.1045259999999999</v>
      </c>
      <c r="L5321">
        <v>-63.383580000000002</v>
      </c>
      <c r="M5321">
        <v>0.99954969999999999</v>
      </c>
      <c r="N5321">
        <v>0</v>
      </c>
      <c r="O5321">
        <v>2.6836840000000001E-2</v>
      </c>
      <c r="P5321">
        <v>0.99038579999999998</v>
      </c>
      <c r="Q5321">
        <v>-3.2329829999999997E-2</v>
      </c>
      <c r="R5321">
        <v>0.13450179999999901</v>
      </c>
      <c r="S5321">
        <v>3.0019230000000001</v>
      </c>
      <c r="T5321">
        <v>-0.29204819999999998</v>
      </c>
      <c r="U5321">
        <v>0.134552</v>
      </c>
      <c r="V5321">
        <v>-0.107866</v>
      </c>
      <c r="W5321">
        <v>-1.902624E-2</v>
      </c>
      <c r="X5321">
        <v>0.99398339999999996</v>
      </c>
      <c r="Y5321">
        <v>-1.7990180000000001E-2</v>
      </c>
      <c r="Z5321">
        <v>-1.73043E-3</v>
      </c>
      <c r="AA5321">
        <v>0.99983670000000002</v>
      </c>
      <c r="AB5321">
        <v>19</v>
      </c>
      <c r="AC5321">
        <v>0.77460000000002005</v>
      </c>
      <c r="AD5321">
        <v>-8.4418000000000104E-2</v>
      </c>
      <c r="AE5321">
        <v>3.5970000000005997E-2</v>
      </c>
      <c r="AF5321">
        <v>-1.49896999311255E-2</v>
      </c>
      <c r="AG5321">
        <v>-8.4418000000000104E-2</v>
      </c>
      <c r="AH5321">
        <v>0.76620555081752095</v>
      </c>
      <c r="AI5321">
        <v>96.286108287627201</v>
      </c>
      <c r="AJ5321">
        <v>91.120765827104407</v>
      </c>
      <c r="AK5321">
        <v>0.77098770154367902</v>
      </c>
    </row>
    <row r="5322" spans="1:37" x14ac:dyDescent="0.2">
      <c r="A5322" t="str">
        <f>"20200111160324054"</f>
        <v>20200111160324054</v>
      </c>
      <c r="B5322" t="str">
        <f>"1578729804048560"</f>
        <v>1578729804048560</v>
      </c>
      <c r="C5322" t="s">
        <v>37</v>
      </c>
      <c r="D5322">
        <v>4.7463280000000001</v>
      </c>
      <c r="E5322">
        <v>0.53438439999999998</v>
      </c>
      <c r="F5322" t="s">
        <v>42</v>
      </c>
      <c r="G5322">
        <v>-260.77280000000002</v>
      </c>
      <c r="H5322">
        <v>1.028815</v>
      </c>
      <c r="I5322">
        <v>-63.347999999999999</v>
      </c>
      <c r="J5322">
        <v>-261.45209999999997</v>
      </c>
      <c r="K5322">
        <v>1.1045320000000001</v>
      </c>
      <c r="L5322">
        <v>-63.380679999999998</v>
      </c>
      <c r="M5322">
        <v>0.99954469999999995</v>
      </c>
      <c r="N5322">
        <v>0</v>
      </c>
      <c r="O5322">
        <v>2.6995950000000001E-2</v>
      </c>
      <c r="P5322">
        <v>0.99067280000000002</v>
      </c>
      <c r="Q5322">
        <v>-3.1911250000000002E-2</v>
      </c>
      <c r="R5322">
        <v>0.1324726</v>
      </c>
      <c r="S5322">
        <v>3.0009160000000001</v>
      </c>
      <c r="T5322">
        <v>-0.29101349999999998</v>
      </c>
      <c r="U5322">
        <v>0.1376648</v>
      </c>
      <c r="V5322">
        <v>-0.1056718</v>
      </c>
      <c r="W5322">
        <v>-1.8547709999999999E-2</v>
      </c>
      <c r="X5322">
        <v>0.99422809999999995</v>
      </c>
      <c r="Y5322">
        <v>-1.8877310000000001E-2</v>
      </c>
      <c r="Z5322">
        <v>-1.6973419999999999E-3</v>
      </c>
      <c r="AA5322">
        <v>0.99982039999999905</v>
      </c>
      <c r="AB5322">
        <v>19</v>
      </c>
      <c r="AC5322">
        <v>0.67929999999995505</v>
      </c>
      <c r="AD5322">
        <v>-7.5717000000000007E-2</v>
      </c>
      <c r="AE5322">
        <v>3.2680000000006197E-2</v>
      </c>
      <c r="AF5322">
        <v>-1.4152645770638199E-2</v>
      </c>
      <c r="AG5322">
        <v>-7.5717000000000007E-2</v>
      </c>
      <c r="AH5322">
        <v>0.67160983286347697</v>
      </c>
      <c r="AI5322">
        <v>96.430925115347605</v>
      </c>
      <c r="AJ5322">
        <v>91.207199234665495</v>
      </c>
      <c r="AK5322">
        <v>0.67601266931191195</v>
      </c>
    </row>
    <row r="5323" spans="1:37" x14ac:dyDescent="0.2">
      <c r="A5323" t="str">
        <f>"20200111160324065"</f>
        <v>20200111160324065</v>
      </c>
      <c r="B5323" t="str">
        <f>"1578729804058319"</f>
        <v>1578729804058319</v>
      </c>
      <c r="C5323" t="s">
        <v>37</v>
      </c>
      <c r="D5323">
        <v>5.0008699999999999</v>
      </c>
      <c r="E5323">
        <v>0.53191849999999996</v>
      </c>
      <c r="F5323" t="s">
        <v>42</v>
      </c>
      <c r="G5323">
        <v>-260.61059999999998</v>
      </c>
      <c r="H5323">
        <v>1.0232859999999999</v>
      </c>
      <c r="I5323">
        <v>-63.34404</v>
      </c>
      <c r="J5323">
        <v>-261.35579999999999</v>
      </c>
      <c r="K5323">
        <v>1.104541</v>
      </c>
      <c r="L5323">
        <v>-63.377929999999999</v>
      </c>
      <c r="M5323">
        <v>0.99953989999999904</v>
      </c>
      <c r="N5323">
        <v>0</v>
      </c>
      <c r="O5323">
        <v>2.714724E-2</v>
      </c>
      <c r="P5323">
        <v>0.99095390000000005</v>
      </c>
      <c r="Q5323">
        <v>-3.1441289999999997E-2</v>
      </c>
      <c r="R5323">
        <v>0.13046749999999999</v>
      </c>
      <c r="S5323">
        <v>3.0012819999999998</v>
      </c>
      <c r="T5323">
        <v>-0.28973470000000001</v>
      </c>
      <c r="U5323">
        <v>0.1315308</v>
      </c>
      <c r="V5323">
        <v>-0.1035093</v>
      </c>
      <c r="W5323">
        <v>-1.8024910000000002E-2</v>
      </c>
      <c r="X5323">
        <v>0.99446520000000005</v>
      </c>
      <c r="Y5323">
        <v>-1.669149E-2</v>
      </c>
      <c r="Z5323">
        <v>-1.809579E-3</v>
      </c>
      <c r="AA5323">
        <v>0.99985900000000005</v>
      </c>
      <c r="AB5323">
        <v>19</v>
      </c>
      <c r="AC5323">
        <v>0.74520000000001096</v>
      </c>
      <c r="AD5323">
        <v>-8.12549999999998E-2</v>
      </c>
      <c r="AE5323">
        <v>3.3890000000006602E-2</v>
      </c>
      <c r="AF5323">
        <v>-1.34855307526584E-2</v>
      </c>
      <c r="AG5323">
        <v>-8.12549999999998E-2</v>
      </c>
      <c r="AH5323">
        <v>0.73709992878057695</v>
      </c>
      <c r="AI5323">
        <v>96.289618196647893</v>
      </c>
      <c r="AJ5323">
        <v>91.048131704715303</v>
      </c>
      <c r="AK5323">
        <v>0.74168762937844102</v>
      </c>
    </row>
    <row r="5324" spans="1:37" x14ac:dyDescent="0.2">
      <c r="A5324" t="str">
        <f>"20200111160324075"</f>
        <v>20200111160324075</v>
      </c>
      <c r="B5324" t="str">
        <f>"1578729804069056"</f>
        <v>1578729804069056</v>
      </c>
      <c r="C5324" t="s">
        <v>37</v>
      </c>
      <c r="D5324">
        <v>4.8603699999999996</v>
      </c>
      <c r="E5324">
        <v>0.53191849999999996</v>
      </c>
      <c r="F5324" t="s">
        <v>42</v>
      </c>
      <c r="G5324">
        <v>-260.6028</v>
      </c>
      <c r="H5324">
        <v>1.032462</v>
      </c>
      <c r="I5324">
        <v>-63.341809999999903</v>
      </c>
      <c r="J5324">
        <v>-261.26670000000001</v>
      </c>
      <c r="K5324">
        <v>1.104549</v>
      </c>
      <c r="L5324">
        <v>-63.375369999999997</v>
      </c>
      <c r="M5324">
        <v>0.99953559999999997</v>
      </c>
      <c r="N5324">
        <v>0</v>
      </c>
      <c r="O5324">
        <v>2.7287140000000001E-2</v>
      </c>
      <c r="P5324">
        <v>0.99121579999999998</v>
      </c>
      <c r="Q5324">
        <v>-3.0967519999999998E-2</v>
      </c>
      <c r="R5324">
        <v>0.12857839999999901</v>
      </c>
      <c r="S5324">
        <v>2.9992070000000002</v>
      </c>
      <c r="T5324">
        <v>-0.28709020000000002</v>
      </c>
      <c r="U5324">
        <v>0.14486689999999999</v>
      </c>
      <c r="V5324">
        <v>-0.1014752</v>
      </c>
      <c r="W5324">
        <v>-1.7505960000000001E-2</v>
      </c>
      <c r="X5324">
        <v>0.99468400000000001</v>
      </c>
      <c r="Y5324">
        <v>-2.0998329999999999E-2</v>
      </c>
      <c r="Z5324">
        <v>-1.6019560000000001E-3</v>
      </c>
      <c r="AA5324">
        <v>0.99977819999999995</v>
      </c>
      <c r="AB5324">
        <v>19</v>
      </c>
      <c r="AC5324">
        <v>0.66390000000001204</v>
      </c>
      <c r="AD5324">
        <v>-7.2086999999999998E-2</v>
      </c>
      <c r="AE5324">
        <v>3.3560000000001297E-2</v>
      </c>
      <c r="AF5324">
        <v>-1.5250558435908701E-2</v>
      </c>
      <c r="AG5324">
        <v>-7.2086999999999998E-2</v>
      </c>
      <c r="AH5324">
        <v>0.65684422110699303</v>
      </c>
      <c r="AI5324">
        <v>96.261328893684293</v>
      </c>
      <c r="AJ5324">
        <v>91.330050023922496</v>
      </c>
      <c r="AK5324">
        <v>0.66096402769232399</v>
      </c>
    </row>
    <row r="5325" spans="1:37" x14ac:dyDescent="0.2">
      <c r="A5325" t="str">
        <f>"20200111160324086"</f>
        <v>20200111160324086</v>
      </c>
      <c r="B5325" t="str">
        <f>"1578729804078815"</f>
        <v>1578729804078815</v>
      </c>
      <c r="C5325" t="s">
        <v>37</v>
      </c>
      <c r="D5325">
        <v>4.5167839999999897</v>
      </c>
      <c r="E5325">
        <v>0.46975679999999997</v>
      </c>
      <c r="F5325" t="s">
        <v>42</v>
      </c>
      <c r="G5325">
        <v>-260.44189999999998</v>
      </c>
      <c r="H5325">
        <v>1.0260209999999901</v>
      </c>
      <c r="I5325">
        <v>-63.337330000000001</v>
      </c>
      <c r="J5325">
        <v>-261.17329999999998</v>
      </c>
      <c r="K5325">
        <v>1.104555</v>
      </c>
      <c r="L5325">
        <v>-63.37265</v>
      </c>
      <c r="M5325">
        <v>0.99953099999999995</v>
      </c>
      <c r="N5325">
        <v>0</v>
      </c>
      <c r="O5325">
        <v>2.7433829999999999E-2</v>
      </c>
      <c r="P5325">
        <v>0.99144659999999996</v>
      </c>
      <c r="Q5325">
        <v>-3.044007E-2</v>
      </c>
      <c r="R5325">
        <v>0.12691520000000001</v>
      </c>
      <c r="S5325">
        <v>2.9996339999999999</v>
      </c>
      <c r="T5325">
        <v>-0.28559849999999998</v>
      </c>
      <c r="U5325">
        <v>0.1390991</v>
      </c>
      <c r="V5325">
        <v>-9.9660390000000001E-2</v>
      </c>
      <c r="W5325">
        <v>-1.6933779999999999E-2</v>
      </c>
      <c r="X5325">
        <v>0.99487739999999902</v>
      </c>
      <c r="Y5325">
        <v>-1.8936229999999998E-2</v>
      </c>
      <c r="Z5325">
        <v>-1.705348E-3</v>
      </c>
      <c r="AA5325">
        <v>0.99981919999999902</v>
      </c>
      <c r="AB5325">
        <v>19</v>
      </c>
      <c r="AC5325">
        <v>0.73140000000000704</v>
      </c>
      <c r="AD5325">
        <v>-7.8534000000000104E-2</v>
      </c>
      <c r="AE5325">
        <v>3.5319999999998603E-2</v>
      </c>
      <c r="AF5325">
        <v>-1.5066440257519201E-2</v>
      </c>
      <c r="AG5325">
        <v>-7.8534000000000104E-2</v>
      </c>
      <c r="AH5325">
        <v>0.72376853866820801</v>
      </c>
      <c r="AI5325">
        <v>96.191437705759895</v>
      </c>
      <c r="AJ5325">
        <v>91.192534262922806</v>
      </c>
      <c r="AK5325">
        <v>0.72817270227875697</v>
      </c>
    </row>
    <row r="5326" spans="1:37" x14ac:dyDescent="0.2">
      <c r="A5326" t="str">
        <f>"20200111160324098"</f>
        <v>20200111160324098</v>
      </c>
      <c r="B5326" t="str">
        <f>"1578729804088576"</f>
        <v>1578729804088576</v>
      </c>
      <c r="C5326" t="s">
        <v>37</v>
      </c>
      <c r="D5326">
        <v>4.568136</v>
      </c>
      <c r="E5326">
        <v>0.46476239999999902</v>
      </c>
      <c r="F5326" t="s">
        <v>95</v>
      </c>
      <c r="G5326">
        <v>-243.37110000000001</v>
      </c>
      <c r="H5326" s="1">
        <v>-5.7215309999999896E-7</v>
      </c>
      <c r="I5326">
        <v>-59.601119999999902</v>
      </c>
      <c r="J5326">
        <v>-261.08589999999998</v>
      </c>
      <c r="K5326">
        <v>1.1045609999999999</v>
      </c>
      <c r="L5326">
        <v>-63.370089999999998</v>
      </c>
      <c r="M5326">
        <v>0.99952669999999999</v>
      </c>
      <c r="N5326">
        <v>0</v>
      </c>
      <c r="O5326">
        <v>2.7571200000000001E-2</v>
      </c>
      <c r="P5326">
        <v>0.99171749999999903</v>
      </c>
      <c r="Q5326">
        <v>-2.9717799999999999E-2</v>
      </c>
      <c r="R5326">
        <v>0.1249531</v>
      </c>
      <c r="S5326">
        <v>2.9404910000000002</v>
      </c>
      <c r="T5326">
        <v>-0.18244560000000001</v>
      </c>
      <c r="U5326">
        <v>0.62295529999999999</v>
      </c>
      <c r="V5326">
        <v>-9.7555089999999997E-2</v>
      </c>
      <c r="W5326">
        <v>-1.6173090000000001E-2</v>
      </c>
      <c r="X5326">
        <v>0.995098699999999</v>
      </c>
      <c r="Y5326">
        <v>-0.17992040000000001</v>
      </c>
      <c r="Z5326">
        <v>3.8261620000000001E-3</v>
      </c>
      <c r="AA5326">
        <v>0.98367380000000004</v>
      </c>
      <c r="AB5326">
        <v>19</v>
      </c>
      <c r="AC5326">
        <v>17.714799999999901</v>
      </c>
      <c r="AD5326">
        <v>-1.1045615721530999</v>
      </c>
      <c r="AE5326">
        <v>3.7689699999999999</v>
      </c>
      <c r="AF5326">
        <v>-3.2669219542804302</v>
      </c>
      <c r="AG5326">
        <v>-1.1045615721530999</v>
      </c>
      <c r="AH5326">
        <v>17.745983460490201</v>
      </c>
      <c r="AI5326">
        <v>93.502947638619801</v>
      </c>
      <c r="AJ5326">
        <v>100.43099562162099</v>
      </c>
      <c r="AK5326">
        <v>18.077963499853301</v>
      </c>
    </row>
    <row r="5327" spans="1:37" x14ac:dyDescent="0.2">
      <c r="A5327" t="str">
        <f>"20200111160324109"</f>
        <v>20200111160324109</v>
      </c>
      <c r="B5327" t="str">
        <f>"1578729804098337"</f>
        <v>1578729804098337</v>
      </c>
      <c r="C5327" t="s">
        <v>37</v>
      </c>
      <c r="D5327">
        <v>4.367324</v>
      </c>
      <c r="E5327">
        <v>0.4631112</v>
      </c>
      <c r="F5327" t="s">
        <v>97</v>
      </c>
      <c r="G5327">
        <v>-237.76349999999999</v>
      </c>
      <c r="H5327" s="1">
        <v>-2.71060099999999E-6</v>
      </c>
      <c r="I5327">
        <v>-58.168489999999998</v>
      </c>
      <c r="J5327">
        <v>-260.99160000000001</v>
      </c>
      <c r="K5327">
        <v>1.104568</v>
      </c>
      <c r="L5327">
        <v>-63.367339999999999</v>
      </c>
      <c r="M5327">
        <v>0.99952209999999997</v>
      </c>
      <c r="N5327">
        <v>0</v>
      </c>
      <c r="O5327">
        <v>2.7719239999999999E-2</v>
      </c>
      <c r="P5327">
        <v>0.99193869999999895</v>
      </c>
      <c r="Q5327">
        <v>-2.9567759999999998E-2</v>
      </c>
      <c r="R5327">
        <v>0.1232216</v>
      </c>
      <c r="S5327">
        <v>2.9383539999999999</v>
      </c>
      <c r="T5327">
        <v>-0.13916239999999999</v>
      </c>
      <c r="U5327">
        <v>0.65533450000000004</v>
      </c>
      <c r="V5327">
        <v>-9.5670969999999994E-2</v>
      </c>
      <c r="W5327">
        <v>-1.598345E-2</v>
      </c>
      <c r="X5327">
        <v>0.99528470000000002</v>
      </c>
      <c r="Y5327">
        <v>-0.19036549999999999</v>
      </c>
      <c r="Z5327">
        <v>3.1556279999999902E-3</v>
      </c>
      <c r="AA5327">
        <v>0.98170820000000003</v>
      </c>
      <c r="AB5327">
        <v>19</v>
      </c>
      <c r="AC5327">
        <v>23.228100000000001</v>
      </c>
      <c r="AD5327">
        <v>-1.1045707106010001</v>
      </c>
      <c r="AE5327">
        <v>5.1988500000000002</v>
      </c>
      <c r="AF5327">
        <v>-4.5431430442302503</v>
      </c>
      <c r="AG5327">
        <v>-1.1045707106010001</v>
      </c>
      <c r="AH5327">
        <v>23.313091360691601</v>
      </c>
      <c r="AI5327">
        <v>92.662623560603805</v>
      </c>
      <c r="AJ5327">
        <v>101.02731956263101</v>
      </c>
      <c r="AK5327">
        <v>23.777309645269199</v>
      </c>
    </row>
    <row r="5328" spans="1:37" x14ac:dyDescent="0.2">
      <c r="A5328" t="str">
        <f>"20200111160324122"</f>
        <v>20200111160324122</v>
      </c>
      <c r="B5328" t="str">
        <f>"1578729804118831"</f>
        <v>1578729804118831</v>
      </c>
      <c r="C5328" t="s">
        <v>37</v>
      </c>
      <c r="D5328">
        <v>4.4286279999999998</v>
      </c>
      <c r="E5328">
        <v>0.4615071</v>
      </c>
      <c r="F5328" t="s">
        <v>97</v>
      </c>
      <c r="G5328">
        <v>-236.41399999999999</v>
      </c>
      <c r="H5328" s="1">
        <v>-2.1934480000000001E-6</v>
      </c>
      <c r="I5328">
        <v>-57.820180000000001</v>
      </c>
      <c r="J5328">
        <v>-260.88060000000002</v>
      </c>
      <c r="K5328">
        <v>1.1045719999999899</v>
      </c>
      <c r="L5328">
        <v>-63.364069999999998</v>
      </c>
      <c r="M5328">
        <v>0.99951679999999998</v>
      </c>
      <c r="N5328">
        <v>0</v>
      </c>
      <c r="O5328">
        <v>2.7893310000000001E-2</v>
      </c>
      <c r="P5328">
        <v>0.99220889999999995</v>
      </c>
      <c r="Q5328">
        <v>-2.916647E-2</v>
      </c>
      <c r="R5328">
        <v>0.1211235</v>
      </c>
      <c r="S5328">
        <v>2.9380799999999998</v>
      </c>
      <c r="T5328">
        <v>-0.13204340000000001</v>
      </c>
      <c r="U5328">
        <v>0.6631165</v>
      </c>
      <c r="V5328">
        <v>-9.3392870000000003E-2</v>
      </c>
      <c r="W5328">
        <v>-1.554088E-2</v>
      </c>
      <c r="X5328">
        <v>0.99550799999999995</v>
      </c>
      <c r="Y5328">
        <v>-0.1927043</v>
      </c>
      <c r="Z5328">
        <v>3.037957E-3</v>
      </c>
      <c r="AA5328">
        <v>0.98125219999999902</v>
      </c>
      <c r="AB5328">
        <v>19</v>
      </c>
      <c r="AC5328">
        <v>24.4666</v>
      </c>
      <c r="AD5328">
        <v>-1.10457419344799</v>
      </c>
      <c r="AE5328">
        <v>5.5438899999999904</v>
      </c>
      <c r="AF5328">
        <v>-4.84981177802256</v>
      </c>
      <c r="AG5328">
        <v>-1.10457419344799</v>
      </c>
      <c r="AH5328">
        <v>24.564109325217199</v>
      </c>
      <c r="AI5328">
        <v>92.525988096181493</v>
      </c>
      <c r="AJ5328">
        <v>101.16854473257</v>
      </c>
      <c r="AK5328">
        <v>25.062646016977101</v>
      </c>
    </row>
    <row r="5329" spans="1:37" x14ac:dyDescent="0.2">
      <c r="A5329" t="str">
        <f>"20200111160324135"</f>
        <v>20200111160324135</v>
      </c>
      <c r="B5329" t="str">
        <f>"1578729804128592"</f>
        <v>1578729804128592</v>
      </c>
      <c r="C5329" t="s">
        <v>37</v>
      </c>
      <c r="D5329">
        <v>4.2926929999999999</v>
      </c>
      <c r="E5329">
        <v>0.46074959999999998</v>
      </c>
      <c r="F5329" t="s">
        <v>97</v>
      </c>
      <c r="G5329">
        <v>-234.57859999999999</v>
      </c>
      <c r="H5329" s="1">
        <v>-1.485762E-6</v>
      </c>
      <c r="I5329">
        <v>-57.370930000000001</v>
      </c>
      <c r="J5329">
        <v>-260.7765</v>
      </c>
      <c r="K5329">
        <v>1.1045719999999899</v>
      </c>
      <c r="L5329">
        <v>-63.360959999999999</v>
      </c>
      <c r="M5329">
        <v>0.99951190000000001</v>
      </c>
      <c r="N5329">
        <v>0</v>
      </c>
      <c r="O5329">
        <v>2.8056810000000001E-2</v>
      </c>
      <c r="P5329">
        <v>0.99245130000000004</v>
      </c>
      <c r="Q5329">
        <v>-2.8905090000000001E-2</v>
      </c>
      <c r="R5329">
        <v>0.11918579999999999</v>
      </c>
      <c r="S5329">
        <v>2.9382320000000002</v>
      </c>
      <c r="T5329">
        <v>-0.12339319999999999</v>
      </c>
      <c r="U5329">
        <v>0.66949459999999905</v>
      </c>
      <c r="V5329">
        <v>-9.128638E-2</v>
      </c>
      <c r="W5329">
        <v>-1.524318E-2</v>
      </c>
      <c r="X5329">
        <v>0.99570800000000004</v>
      </c>
      <c r="Y5329">
        <v>-0.1945771</v>
      </c>
      <c r="Z5329">
        <v>2.8703509999999902E-3</v>
      </c>
      <c r="AA5329">
        <v>0.98088310000000001</v>
      </c>
      <c r="AB5329">
        <v>19</v>
      </c>
      <c r="AC5329">
        <v>26.197900000000001</v>
      </c>
      <c r="AD5329">
        <v>-1.104573485762</v>
      </c>
      <c r="AE5329">
        <v>5.9900299999999902</v>
      </c>
      <c r="AF5329">
        <v>-5.2437139826188996</v>
      </c>
      <c r="AG5329">
        <v>-1.104573485762</v>
      </c>
      <c r="AH5329">
        <v>26.311212285490999</v>
      </c>
      <c r="AI5329">
        <v>92.357616856148894</v>
      </c>
      <c r="AJ5329">
        <v>101.271131122811</v>
      </c>
      <c r="AK5329">
        <v>26.851378192732099</v>
      </c>
    </row>
    <row r="5330" spans="1:37" x14ac:dyDescent="0.2">
      <c r="A5330" t="str">
        <f>"20200111160324146"</f>
        <v>20200111160324146</v>
      </c>
      <c r="B5330" t="str">
        <f>"1578729804138352"</f>
        <v>1578729804138352</v>
      </c>
      <c r="C5330" t="s">
        <v>37</v>
      </c>
      <c r="D5330">
        <v>3.4056120000000001</v>
      </c>
      <c r="E5330">
        <v>0.46005779999999902</v>
      </c>
      <c r="F5330" t="s">
        <v>97</v>
      </c>
      <c r="G5330">
        <v>-233.69720000000001</v>
      </c>
      <c r="H5330" s="1">
        <v>-1.1396029999999999E-6</v>
      </c>
      <c r="I5330">
        <v>-57.1907</v>
      </c>
      <c r="J5330">
        <v>-260.685</v>
      </c>
      <c r="K5330">
        <v>1.1045769999999999</v>
      </c>
      <c r="L5330">
        <v>-63.358280000000001</v>
      </c>
      <c r="M5330">
        <v>0.99950740000000005</v>
      </c>
      <c r="N5330">
        <v>0</v>
      </c>
      <c r="O5330">
        <v>2.8200550000000001E-2</v>
      </c>
      <c r="P5330">
        <v>0.99266540000000003</v>
      </c>
      <c r="Q5330">
        <v>-2.8674350000000001E-2</v>
      </c>
      <c r="R5330">
        <v>0.11744549999999999</v>
      </c>
      <c r="S5330">
        <v>2.938904</v>
      </c>
      <c r="T5330">
        <v>-0.1198785</v>
      </c>
      <c r="U5330">
        <v>0.6696472</v>
      </c>
      <c r="V5330">
        <v>-8.9397389999999993E-2</v>
      </c>
      <c r="W5330">
        <v>-1.498259E-2</v>
      </c>
      <c r="X5330">
        <v>0.99588330000000003</v>
      </c>
      <c r="Y5330">
        <v>-0.194443899999999</v>
      </c>
      <c r="Z5330">
        <v>2.7795659999999998E-3</v>
      </c>
      <c r="AA5330">
        <v>0.9809097</v>
      </c>
      <c r="AB5330">
        <v>19</v>
      </c>
      <c r="AC5330">
        <v>26.9878</v>
      </c>
      <c r="AD5330">
        <v>-1.1045781396030001</v>
      </c>
      <c r="AE5330">
        <v>6.1675800000000001</v>
      </c>
      <c r="AF5330">
        <v>-5.3953940271219496</v>
      </c>
      <c r="AG5330">
        <v>-1.1045781396030001</v>
      </c>
      <c r="AH5330">
        <v>27.1078539236726</v>
      </c>
      <c r="AI5330">
        <v>92.288530457438299</v>
      </c>
      <c r="AJ5330">
        <v>101.256722807123</v>
      </c>
      <c r="AK5330">
        <v>27.661636139635</v>
      </c>
    </row>
    <row r="5331" spans="1:37" x14ac:dyDescent="0.2">
      <c r="A5331" t="str">
        <f>"20200111160324156"</f>
        <v>20200111160324156</v>
      </c>
      <c r="B5331" t="str">
        <f>"1578729804149087"</f>
        <v>1578729804149087</v>
      </c>
      <c r="C5331" t="s">
        <v>37</v>
      </c>
      <c r="D5331">
        <v>4.424582</v>
      </c>
      <c r="E5331">
        <v>0.45962409999999998</v>
      </c>
      <c r="F5331" t="s">
        <v>97</v>
      </c>
      <c r="G5331">
        <v>-230.15440000000001</v>
      </c>
      <c r="H5331" s="1">
        <v>-9.834457E-8</v>
      </c>
      <c r="I5331">
        <v>-56.404879999999999</v>
      </c>
      <c r="J5331">
        <v>-260.59649999999999</v>
      </c>
      <c r="K5331">
        <v>1.104579</v>
      </c>
      <c r="L5331">
        <v>-63.355619999999902</v>
      </c>
      <c r="M5331">
        <v>0.99950309999999898</v>
      </c>
      <c r="N5331">
        <v>0</v>
      </c>
      <c r="O5331">
        <v>2.8339619999999999E-2</v>
      </c>
      <c r="P5331">
        <v>0.99287380000000003</v>
      </c>
      <c r="Q5331">
        <v>-2.8160020000000001E-2</v>
      </c>
      <c r="R5331">
        <v>0.1157953</v>
      </c>
      <c r="S5331">
        <v>2.93988</v>
      </c>
      <c r="T5331">
        <v>-0.10636279999999999</v>
      </c>
      <c r="U5331">
        <v>0.66955569999999998</v>
      </c>
      <c r="V5331">
        <v>-8.7603379999999995E-2</v>
      </c>
      <c r="W5331">
        <v>-1.4441839999999999E-2</v>
      </c>
      <c r="X5331">
        <v>0.99605069999999996</v>
      </c>
      <c r="Y5331">
        <v>-0.19423599999999999</v>
      </c>
      <c r="Z5331">
        <v>2.456934E-3</v>
      </c>
      <c r="AA5331">
        <v>0.98095169999999998</v>
      </c>
      <c r="AB5331">
        <v>19</v>
      </c>
      <c r="AC5331">
        <v>30.4420999999999</v>
      </c>
      <c r="AD5331">
        <v>-1.10457909834457</v>
      </c>
      <c r="AE5331">
        <v>6.9507399999999802</v>
      </c>
      <c r="AF5331">
        <v>-6.07754297741063</v>
      </c>
      <c r="AG5331">
        <v>-1.10457909834457</v>
      </c>
      <c r="AH5331">
        <v>30.588594164507899</v>
      </c>
      <c r="AI5331">
        <v>92.028481840308999</v>
      </c>
      <c r="AJ5331">
        <v>101.23755483925601</v>
      </c>
      <c r="AK5331">
        <v>31.206068585897501</v>
      </c>
    </row>
    <row r="5332" spans="1:37" x14ac:dyDescent="0.2">
      <c r="A5332" t="str">
        <f>"20200111160324167"</f>
        <v>20200111160324167</v>
      </c>
      <c r="B5332" t="str">
        <f>"1578729804158848"</f>
        <v>1578729804158848</v>
      </c>
      <c r="C5332" t="s">
        <v>37</v>
      </c>
      <c r="D5332">
        <v>4.4316420000000001</v>
      </c>
      <c r="E5332">
        <v>0.45907799999999999</v>
      </c>
      <c r="F5332" t="s">
        <v>98</v>
      </c>
      <c r="G5332">
        <v>-228.1465</v>
      </c>
      <c r="H5332" s="1">
        <v>-3.5853350000000001E-6</v>
      </c>
      <c r="I5332">
        <v>-55.985300000000002</v>
      </c>
      <c r="J5332">
        <v>-260.50810000000001</v>
      </c>
      <c r="K5332">
        <v>1.1045860000000001</v>
      </c>
      <c r="L5332">
        <v>-63.352939999999997</v>
      </c>
      <c r="M5332">
        <v>0.99949880000000002</v>
      </c>
      <c r="N5332">
        <v>0</v>
      </c>
      <c r="O5332">
        <v>2.8478690000000001E-2</v>
      </c>
      <c r="P5332">
        <v>0.993066</v>
      </c>
      <c r="Q5332">
        <v>-2.7751540000000002E-2</v>
      </c>
      <c r="R5332">
        <v>0.1142348</v>
      </c>
      <c r="S5332">
        <v>2.94079599999999</v>
      </c>
      <c r="T5332">
        <v>-0.1001034</v>
      </c>
      <c r="U5332">
        <v>0.66793819999999904</v>
      </c>
      <c r="V5332">
        <v>-8.5899649999999994E-2</v>
      </c>
      <c r="W5332">
        <v>-1.4008029999999999E-2</v>
      </c>
      <c r="X5332">
        <v>0.99620529999999996</v>
      </c>
      <c r="Y5332">
        <v>-0.1935327</v>
      </c>
      <c r="Z5332">
        <v>2.2953800000000001E-3</v>
      </c>
      <c r="AA5332">
        <v>0.98109109999999999</v>
      </c>
      <c r="AB5332">
        <v>19</v>
      </c>
      <c r="AC5332">
        <v>32.361600000000003</v>
      </c>
      <c r="AD5332">
        <v>-1.1045895853350001</v>
      </c>
      <c r="AE5332">
        <v>7.3676399999999997</v>
      </c>
      <c r="AF5332">
        <v>-6.4358185392609704</v>
      </c>
      <c r="AG5332">
        <v>-1.1045895853350001</v>
      </c>
      <c r="AH5332">
        <v>32.522289671893901</v>
      </c>
      <c r="AI5332">
        <v>91.908273316460097</v>
      </c>
      <c r="AJ5332">
        <v>101.19361168642</v>
      </c>
      <c r="AK5332">
        <v>33.1713612009653</v>
      </c>
    </row>
    <row r="5333" spans="1:37" x14ac:dyDescent="0.2">
      <c r="A5333" t="str">
        <f>"20200111160324187"</f>
        <v>20200111160324187</v>
      </c>
      <c r="B5333" t="str">
        <f>"1578729804178367"</f>
        <v>1578729804178367</v>
      </c>
      <c r="C5333" t="s">
        <v>37</v>
      </c>
      <c r="D5333">
        <v>3.4107430000000001</v>
      </c>
      <c r="E5333">
        <v>0.458285</v>
      </c>
      <c r="F5333" t="s">
        <v>98</v>
      </c>
      <c r="G5333">
        <v>-225.87889999999999</v>
      </c>
      <c r="H5333" s="1">
        <v>-2.7209999999999999E-6</v>
      </c>
      <c r="I5333">
        <v>-55.494630000000001</v>
      </c>
      <c r="J5333">
        <v>-260.34699999999998</v>
      </c>
      <c r="K5333">
        <v>1.1045940000000001</v>
      </c>
      <c r="L5333">
        <v>-63.348080000000003</v>
      </c>
      <c r="M5333">
        <v>0.99949109999999997</v>
      </c>
      <c r="N5333">
        <v>0</v>
      </c>
      <c r="O5333">
        <v>2.8731799999999998E-2</v>
      </c>
      <c r="P5333">
        <v>0.99337209999999998</v>
      </c>
      <c r="Q5333">
        <v>-2.7790260000000001E-2</v>
      </c>
      <c r="R5333">
        <v>0.11153250000000001</v>
      </c>
      <c r="S5333">
        <v>2.9415279999999999</v>
      </c>
      <c r="T5333">
        <v>-9.3827610000000006E-2</v>
      </c>
      <c r="U5333">
        <v>0.66751099999999997</v>
      </c>
      <c r="V5333">
        <v>-8.2937479999999994E-2</v>
      </c>
      <c r="W5333">
        <v>-1.4006279999999999E-2</v>
      </c>
      <c r="X5333">
        <v>0.99645629999999996</v>
      </c>
      <c r="Y5333">
        <v>-0.19310720000000001</v>
      </c>
      <c r="Z5333">
        <v>2.1364050000000001E-3</v>
      </c>
      <c r="AA5333">
        <v>0.98117540000000003</v>
      </c>
      <c r="AB5333">
        <v>19</v>
      </c>
      <c r="AC5333">
        <v>34.4680999999999</v>
      </c>
      <c r="AD5333">
        <v>-1.1045967209999901</v>
      </c>
      <c r="AE5333">
        <v>7.8534499999999898</v>
      </c>
      <c r="AF5333">
        <v>-6.85309066491625</v>
      </c>
      <c r="AG5333">
        <v>-1.1045967209999901</v>
      </c>
      <c r="AH5333">
        <v>34.645707441157803</v>
      </c>
      <c r="AI5333">
        <v>91.791435297195406</v>
      </c>
      <c r="AJ5333">
        <v>101.188948873974</v>
      </c>
      <c r="AK5333">
        <v>35.3342614140427</v>
      </c>
    </row>
    <row r="5334" spans="1:37" x14ac:dyDescent="0.2">
      <c r="A5334" t="str">
        <f>"20200111160324198"</f>
        <v>20200111160324198</v>
      </c>
      <c r="B5334" t="str">
        <f>"1578729804189105"</f>
        <v>1578729804189105</v>
      </c>
      <c r="C5334" t="s">
        <v>37</v>
      </c>
      <c r="D5334">
        <v>4.1674230000000003</v>
      </c>
      <c r="E5334">
        <v>0.45778920000000001</v>
      </c>
      <c r="F5334" t="s">
        <v>98</v>
      </c>
      <c r="G5334">
        <v>-224.94380000000001</v>
      </c>
      <c r="H5334" s="1">
        <v>-2.3671939999999998E-6</v>
      </c>
      <c r="I5334">
        <v>-55.338239999999999</v>
      </c>
      <c r="J5334">
        <v>-260.25409999999999</v>
      </c>
      <c r="K5334">
        <v>1.104598</v>
      </c>
      <c r="L5334">
        <v>-63.34525</v>
      </c>
      <c r="M5334">
        <v>0.99948669999999995</v>
      </c>
      <c r="N5334">
        <v>0</v>
      </c>
      <c r="O5334">
        <v>2.887787E-2</v>
      </c>
      <c r="P5334">
        <v>0.99356259999999996</v>
      </c>
      <c r="Q5334">
        <v>-2.7458710000000001E-2</v>
      </c>
      <c r="R5334">
        <v>0.10990699999999901</v>
      </c>
      <c r="S5334">
        <v>2.942688</v>
      </c>
      <c r="T5334">
        <v>-9.181309E-2</v>
      </c>
      <c r="U5334">
        <v>0.66577149999999996</v>
      </c>
      <c r="V5334">
        <v>-8.1162120000000004E-2</v>
      </c>
      <c r="W5334">
        <v>-1.3653780000000001E-2</v>
      </c>
      <c r="X5334">
        <v>0.99660740000000003</v>
      </c>
      <c r="Y5334">
        <v>-0.19233249999999999</v>
      </c>
      <c r="Z5334">
        <v>2.0734629999999898E-3</v>
      </c>
      <c r="AA5334">
        <v>0.98132770000000002</v>
      </c>
      <c r="AB5334">
        <v>18</v>
      </c>
      <c r="AC5334">
        <v>35.310299999999899</v>
      </c>
      <c r="AD5334">
        <v>-1.1046003671939999</v>
      </c>
      <c r="AE5334">
        <v>8.0070099999999993</v>
      </c>
      <c r="AF5334">
        <v>-6.9773914717946699</v>
      </c>
      <c r="AG5334">
        <v>-1.1046003671939999</v>
      </c>
      <c r="AH5334">
        <v>35.4937828674203</v>
      </c>
      <c r="AI5334">
        <v>91.749070207010107</v>
      </c>
      <c r="AJ5334">
        <v>101.121430921016</v>
      </c>
      <c r="AK5334">
        <v>36.189953798830103</v>
      </c>
    </row>
    <row r="5335" spans="1:37" x14ac:dyDescent="0.2">
      <c r="A5335" t="str">
        <f>"20200111160324211"</f>
        <v>20200111160324211</v>
      </c>
      <c r="B5335" t="str">
        <f>"1578729804198865"</f>
        <v>1578729804198865</v>
      </c>
      <c r="C5335" t="s">
        <v>37</v>
      </c>
      <c r="D5335">
        <v>4.1473389999999997</v>
      </c>
      <c r="E5335">
        <v>0.4573567</v>
      </c>
      <c r="F5335" t="s">
        <v>98</v>
      </c>
      <c r="G5335">
        <v>-223.5899</v>
      </c>
      <c r="H5335" s="1">
        <v>-1.991251E-6</v>
      </c>
      <c r="I5335">
        <v>-55.064529999999998</v>
      </c>
      <c r="J5335">
        <v>-260.15960000000001</v>
      </c>
      <c r="K5335">
        <v>1.1046039999999999</v>
      </c>
      <c r="L5335">
        <v>-63.342350000000003</v>
      </c>
      <c r="M5335">
        <v>0.99948210000000004</v>
      </c>
      <c r="N5335">
        <v>0</v>
      </c>
      <c r="O5335">
        <v>2.9026440000000001E-2</v>
      </c>
      <c r="P5335">
        <v>0.99372569999999905</v>
      </c>
      <c r="Q5335">
        <v>-2.7313690000000002E-2</v>
      </c>
      <c r="R5335">
        <v>0.1084586</v>
      </c>
      <c r="S5335">
        <v>2.9434809999999998</v>
      </c>
      <c r="T5335">
        <v>-8.8679789999999994E-2</v>
      </c>
      <c r="U5335">
        <v>0.66479489999999997</v>
      </c>
      <c r="V5335">
        <v>-7.9561660000000006E-2</v>
      </c>
      <c r="W5335">
        <v>-1.348856E-2</v>
      </c>
      <c r="X5335">
        <v>0.99673869999999898</v>
      </c>
      <c r="Y5335">
        <v>-0.1918253</v>
      </c>
      <c r="Z5335">
        <v>1.990323E-3</v>
      </c>
      <c r="AA5335">
        <v>0.9814271</v>
      </c>
      <c r="AB5335">
        <v>18</v>
      </c>
      <c r="AC5335">
        <v>36.569699999999997</v>
      </c>
      <c r="AD5335">
        <v>-1.104605991251</v>
      </c>
      <c r="AE5335">
        <v>8.2778199999999895</v>
      </c>
      <c r="AF5335">
        <v>-7.20648623884881</v>
      </c>
      <c r="AG5335">
        <v>-1.104605991251</v>
      </c>
      <c r="AH5335">
        <v>36.762680568665601</v>
      </c>
      <c r="AI5335">
        <v>91.688920185227403</v>
      </c>
      <c r="AJ5335">
        <v>101.09089767338099</v>
      </c>
      <c r="AK5335">
        <v>37.478637660677698</v>
      </c>
    </row>
    <row r="5336" spans="1:37" x14ac:dyDescent="0.2">
      <c r="A5336" t="str">
        <f>"20200111160324222"</f>
        <v>20200111160324222</v>
      </c>
      <c r="B5336" t="str">
        <f>"1578729804218384"</f>
        <v>1578729804218384</v>
      </c>
      <c r="C5336" t="s">
        <v>37</v>
      </c>
      <c r="D5336">
        <v>4.1008440000000004</v>
      </c>
      <c r="E5336">
        <v>0.45648</v>
      </c>
      <c r="F5336" t="s">
        <v>98</v>
      </c>
      <c r="G5336">
        <v>-222.82050000000001</v>
      </c>
      <c r="H5336" s="1">
        <v>-1.7734010000000001E-6</v>
      </c>
      <c r="I5336">
        <v>-54.922550000000001</v>
      </c>
      <c r="J5336">
        <v>-260.06220000000002</v>
      </c>
      <c r="K5336">
        <v>1.104609</v>
      </c>
      <c r="L5336">
        <v>-63.339359999999999</v>
      </c>
      <c r="M5336">
        <v>0.99947739999999996</v>
      </c>
      <c r="N5336">
        <v>0</v>
      </c>
      <c r="O5336">
        <v>2.917962E-2</v>
      </c>
      <c r="P5336">
        <v>0.99391350000000001</v>
      </c>
      <c r="Q5336">
        <v>-2.666321E-2</v>
      </c>
      <c r="R5336">
        <v>0.1068891</v>
      </c>
      <c r="S5336">
        <v>2.9440919999999999</v>
      </c>
      <c r="T5336">
        <v>-8.7095259999999994E-2</v>
      </c>
      <c r="U5336">
        <v>0.66387940000000001</v>
      </c>
      <c r="V5336">
        <v>-7.7834570000000006E-2</v>
      </c>
      <c r="W5336">
        <v>-1.281942E-2</v>
      </c>
      <c r="X5336">
        <v>0.99688390000000004</v>
      </c>
      <c r="Y5336">
        <v>-0.1913435</v>
      </c>
      <c r="Z5336">
        <v>1.942942E-3</v>
      </c>
      <c r="AA5336">
        <v>0.98152119999999998</v>
      </c>
      <c r="AB5336">
        <v>18</v>
      </c>
      <c r="AC5336">
        <v>37.241700000000002</v>
      </c>
      <c r="AD5336">
        <v>-1.104610773401</v>
      </c>
      <c r="AE5336">
        <v>8.4168099999999892</v>
      </c>
      <c r="AF5336">
        <v>-7.3202944280612003</v>
      </c>
      <c r="AG5336">
        <v>-1.104610773401</v>
      </c>
      <c r="AH5336">
        <v>37.440124591713001</v>
      </c>
      <c r="AI5336">
        <v>91.6585436615578</v>
      </c>
      <c r="AJ5336">
        <v>101.062910462875</v>
      </c>
      <c r="AK5336">
        <v>38.165033799503099</v>
      </c>
    </row>
    <row r="5337" spans="1:37" x14ac:dyDescent="0.2">
      <c r="A5337" t="str">
        <f>"20200111160324234"</f>
        <v>20200111160324234</v>
      </c>
      <c r="B5337" t="str">
        <f>"1578729804229120"</f>
        <v>1578729804229120</v>
      </c>
      <c r="C5337" t="s">
        <v>37</v>
      </c>
      <c r="D5337">
        <v>4.1997059999999999</v>
      </c>
      <c r="E5337">
        <v>0.45591309999999902</v>
      </c>
      <c r="F5337" t="s">
        <v>99</v>
      </c>
      <c r="G5337">
        <v>-219.69470000000001</v>
      </c>
      <c r="H5337" s="1">
        <v>-4.2232520000000002E-6</v>
      </c>
      <c r="I5337">
        <v>-54.209240000000001</v>
      </c>
      <c r="J5337">
        <v>-259.9701</v>
      </c>
      <c r="K5337">
        <v>1.1046149999999999</v>
      </c>
      <c r="L5337">
        <v>-63.336489999999998</v>
      </c>
      <c r="M5337">
        <v>0.999472899999999</v>
      </c>
      <c r="N5337">
        <v>0</v>
      </c>
      <c r="O5337">
        <v>2.9324349999999999E-2</v>
      </c>
      <c r="P5337">
        <v>0.99409879999999995</v>
      </c>
      <c r="Q5337">
        <v>-2.6041950000000001E-2</v>
      </c>
      <c r="R5337">
        <v>0.1053066</v>
      </c>
      <c r="S5337">
        <v>2.94457999999999</v>
      </c>
      <c r="T5337">
        <v>-8.0575229999999998E-2</v>
      </c>
      <c r="U5337">
        <v>0.6659851</v>
      </c>
      <c r="V5337">
        <v>-7.6103370000000004E-2</v>
      </c>
      <c r="W5337">
        <v>-1.2181229999999999E-2</v>
      </c>
      <c r="X5337">
        <v>0.99702549999999901</v>
      </c>
      <c r="Y5337">
        <v>-0.19184379999999901</v>
      </c>
      <c r="Z5337">
        <v>1.7999729999999901E-3</v>
      </c>
      <c r="AA5337">
        <v>0.98142379999999996</v>
      </c>
      <c r="AB5337">
        <v>18</v>
      </c>
      <c r="AC5337">
        <v>40.275399999999898</v>
      </c>
      <c r="AD5337">
        <v>-1.10461922325199</v>
      </c>
      <c r="AE5337">
        <v>9.1272500000000001</v>
      </c>
      <c r="AF5337">
        <v>-7.9364811819611303</v>
      </c>
      <c r="AG5337">
        <v>-1.10461922325199</v>
      </c>
      <c r="AH5337">
        <v>40.496778309578602</v>
      </c>
      <c r="AI5337">
        <v>91.5333001326306</v>
      </c>
      <c r="AJ5337">
        <v>101.088186509556</v>
      </c>
      <c r="AK5337">
        <v>41.281920626772603</v>
      </c>
    </row>
    <row r="5338" spans="1:37" x14ac:dyDescent="0.2">
      <c r="A5338" t="str">
        <f>"20200111160324243"</f>
        <v>20200111160324243</v>
      </c>
      <c r="B5338" t="str">
        <f>"1578729804238880"</f>
        <v>1578729804238880</v>
      </c>
      <c r="C5338" t="s">
        <v>37</v>
      </c>
      <c r="D5338">
        <v>4.1464780000000001</v>
      </c>
      <c r="E5338">
        <v>0.45560420000000001</v>
      </c>
      <c r="F5338" t="s">
        <v>99</v>
      </c>
      <c r="G5338">
        <v>-218.0641</v>
      </c>
      <c r="H5338" s="1">
        <v>-3.585207E-6</v>
      </c>
      <c r="I5338">
        <v>-53.862740000000002</v>
      </c>
      <c r="J5338">
        <v>-259.88229999999999</v>
      </c>
      <c r="K5338">
        <v>1.104619</v>
      </c>
      <c r="L5338">
        <v>-63.333769999999902</v>
      </c>
      <c r="M5338">
        <v>0.99946880000000005</v>
      </c>
      <c r="N5338">
        <v>0</v>
      </c>
      <c r="O5338">
        <v>2.9462410000000001E-2</v>
      </c>
      <c r="P5338">
        <v>0.99428669999999997</v>
      </c>
      <c r="Q5338">
        <v>-2.5554199999999999E-2</v>
      </c>
      <c r="R5338">
        <v>0.1036412</v>
      </c>
      <c r="S5338">
        <v>2.9452509999999998</v>
      </c>
      <c r="T5338">
        <v>-7.7635170000000003E-2</v>
      </c>
      <c r="U5338">
        <v>0.66583249999999905</v>
      </c>
      <c r="V5338">
        <v>-7.4295669999999994E-2</v>
      </c>
      <c r="W5338">
        <v>-1.167848E-2</v>
      </c>
      <c r="X5338">
        <v>0.9971679</v>
      </c>
      <c r="Y5338">
        <v>-0.19161610000000001</v>
      </c>
      <c r="Z5338">
        <v>1.727391E-3</v>
      </c>
      <c r="AA5338">
        <v>0.98146840000000002</v>
      </c>
      <c r="AB5338">
        <v>18</v>
      </c>
      <c r="AC5338">
        <v>41.818199999999898</v>
      </c>
      <c r="AD5338">
        <v>-1.104622585207</v>
      </c>
      <c r="AE5338">
        <v>9.4710299999999901</v>
      </c>
      <c r="AF5338">
        <v>-8.2292714058927494</v>
      </c>
      <c r="AG5338">
        <v>-1.104622585207</v>
      </c>
      <c r="AH5338">
        <v>42.051199720091702</v>
      </c>
      <c r="AI5338">
        <v>91.476730202615599</v>
      </c>
      <c r="AJ5338">
        <v>101.072647045583</v>
      </c>
      <c r="AK5338">
        <v>42.863090145562701</v>
      </c>
    </row>
    <row r="5339" spans="1:37" x14ac:dyDescent="0.2">
      <c r="A5339" t="str">
        <f>"20200111160324255"</f>
        <v>20200111160324255</v>
      </c>
      <c r="B5339" t="str">
        <f>"1578729804248639"</f>
        <v>1578729804248639</v>
      </c>
      <c r="C5339" t="s">
        <v>37</v>
      </c>
      <c r="D5339">
        <v>4.1581700000000001</v>
      </c>
      <c r="E5339">
        <v>0.45529579999999997</v>
      </c>
      <c r="F5339" t="s">
        <v>99</v>
      </c>
      <c r="G5339">
        <v>-217.19069999999999</v>
      </c>
      <c r="H5339" s="1">
        <v>-3.235471E-6</v>
      </c>
      <c r="I5339">
        <v>-53.72213</v>
      </c>
      <c r="J5339">
        <v>-259.78879999999998</v>
      </c>
      <c r="K5339">
        <v>1.104622</v>
      </c>
      <c r="L5339">
        <v>-63.330869999999997</v>
      </c>
      <c r="M5339">
        <v>0.99946420000000002</v>
      </c>
      <c r="N5339">
        <v>0</v>
      </c>
      <c r="O5339">
        <v>2.9609659999999999E-2</v>
      </c>
      <c r="P5339">
        <v>0.99445360000000005</v>
      </c>
      <c r="Q5339">
        <v>-2.5030210000000001E-2</v>
      </c>
      <c r="R5339">
        <v>0.1021538</v>
      </c>
      <c r="S5339">
        <v>2.946167</v>
      </c>
      <c r="T5339">
        <v>-7.6230530000000005E-2</v>
      </c>
      <c r="U5339">
        <v>0.66329959999999999</v>
      </c>
      <c r="V5339">
        <v>-7.2657020000000003E-2</v>
      </c>
      <c r="W5339">
        <v>-1.114002E-2</v>
      </c>
      <c r="X5339">
        <v>0.99729480000000004</v>
      </c>
      <c r="Y5339">
        <v>-0.1906051</v>
      </c>
      <c r="Z5339">
        <v>1.679119E-3</v>
      </c>
      <c r="AA5339">
        <v>0.98166540000000002</v>
      </c>
      <c r="AB5339">
        <v>18</v>
      </c>
      <c r="AC5339">
        <v>42.598099999999903</v>
      </c>
      <c r="AD5339">
        <v>-1.104625235471</v>
      </c>
      <c r="AE5339">
        <v>9.6087399999999903</v>
      </c>
      <c r="AF5339">
        <v>-8.3377529907696797</v>
      </c>
      <c r="AG5339">
        <v>-1.104625235471</v>
      </c>
      <c r="AH5339">
        <v>42.836547825070703</v>
      </c>
      <c r="AI5339">
        <v>91.449959105001795</v>
      </c>
      <c r="AJ5339">
        <v>101.014397755076</v>
      </c>
      <c r="AK5339">
        <v>43.654417318474202</v>
      </c>
    </row>
    <row r="5340" spans="1:37" x14ac:dyDescent="0.2">
      <c r="A5340" t="str">
        <f>"20200111160324266"</f>
        <v>20200111160324266</v>
      </c>
      <c r="B5340" t="str">
        <f>"1578729804258401"</f>
        <v>1578729804258401</v>
      </c>
      <c r="C5340" t="s">
        <v>37</v>
      </c>
      <c r="D5340">
        <v>3.38604199999999</v>
      </c>
      <c r="E5340">
        <v>0.45497379999999998</v>
      </c>
      <c r="F5340" t="s">
        <v>99</v>
      </c>
      <c r="G5340">
        <v>-216.97559999999999</v>
      </c>
      <c r="H5340" s="1">
        <v>-3.14336599999999E-6</v>
      </c>
      <c r="I5340">
        <v>-53.721209999999999</v>
      </c>
      <c r="J5340">
        <v>-259.69619999999998</v>
      </c>
      <c r="K5340">
        <v>1.104625</v>
      </c>
      <c r="L5340">
        <v>-63.327939999999998</v>
      </c>
      <c r="M5340">
        <v>0.99945969999999995</v>
      </c>
      <c r="N5340">
        <v>0</v>
      </c>
      <c r="O5340">
        <v>2.9755179999999999E-2</v>
      </c>
      <c r="P5340">
        <v>0.99460800000000005</v>
      </c>
      <c r="Q5340">
        <v>-2.4750339999999999E-2</v>
      </c>
      <c r="R5340">
        <v>0.10070939999999901</v>
      </c>
      <c r="S5340">
        <v>2.946869</v>
      </c>
      <c r="T5340">
        <v>-7.60324E-2</v>
      </c>
      <c r="U5340">
        <v>0.66143799999999997</v>
      </c>
      <c r="V5340">
        <v>-7.1063589999999996E-2</v>
      </c>
      <c r="W5340">
        <v>-1.084678E-2</v>
      </c>
      <c r="X5340">
        <v>0.99741279999999999</v>
      </c>
      <c r="Y5340">
        <v>-0.1898223</v>
      </c>
      <c r="Z5340">
        <v>1.660805E-3</v>
      </c>
      <c r="AA5340">
        <v>0.9818171</v>
      </c>
      <c r="AB5340">
        <v>18</v>
      </c>
      <c r="AC5340">
        <v>42.720599999999898</v>
      </c>
      <c r="AD5340">
        <v>-1.1046281433659999</v>
      </c>
      <c r="AE5340">
        <v>9.6067300000000007</v>
      </c>
      <c r="AF5340">
        <v>-8.3258937736937</v>
      </c>
      <c r="AG5340">
        <v>-1.1046281433659999</v>
      </c>
      <c r="AH5340">
        <v>42.960218103563101</v>
      </c>
      <c r="AI5340">
        <v>91.446016903738197</v>
      </c>
      <c r="AJ5340">
        <v>100.968219386352</v>
      </c>
      <c r="AK5340">
        <v>43.773519963234101</v>
      </c>
    </row>
    <row r="5341" spans="1:37" x14ac:dyDescent="0.2">
      <c r="A5341" t="str">
        <f>"20200111160324278"</f>
        <v>20200111160324278</v>
      </c>
      <c r="B5341" t="str">
        <f>"1578729804268160"</f>
        <v>1578729804268160</v>
      </c>
      <c r="C5341" t="s">
        <v>37</v>
      </c>
      <c r="D5341">
        <v>4.2968630000000001</v>
      </c>
      <c r="E5341">
        <v>0.45480779999999899</v>
      </c>
      <c r="F5341" t="s">
        <v>99</v>
      </c>
      <c r="G5341">
        <v>-216.35470000000001</v>
      </c>
      <c r="H5341" s="1">
        <v>-2.933265E-6</v>
      </c>
      <c r="I5341">
        <v>-53.626339999999999</v>
      </c>
      <c r="J5341">
        <v>-259.6046</v>
      </c>
      <c r="K5341">
        <v>1.104627</v>
      </c>
      <c r="L5341">
        <v>-63.325069999999997</v>
      </c>
      <c r="M5341">
        <v>0.99945529999999905</v>
      </c>
      <c r="N5341">
        <v>0</v>
      </c>
      <c r="O5341">
        <v>2.9899229999999999E-2</v>
      </c>
      <c r="P5341">
        <v>0.99475669999999905</v>
      </c>
      <c r="Q5341">
        <v>-2.478967E-2</v>
      </c>
      <c r="R5341">
        <v>9.9219539999999995E-2</v>
      </c>
      <c r="S5341">
        <v>2.9476009999999899</v>
      </c>
      <c r="T5341">
        <v>-7.5124380000000004E-2</v>
      </c>
      <c r="U5341">
        <v>0.65978999999999999</v>
      </c>
      <c r="V5341">
        <v>-6.9426909999999994E-2</v>
      </c>
      <c r="W5341">
        <v>-1.087425E-2</v>
      </c>
      <c r="X5341">
        <v>0.99752779999999996</v>
      </c>
      <c r="Y5341">
        <v>-0.18910739999999901</v>
      </c>
      <c r="Z5341">
        <v>1.6280610000000001E-3</v>
      </c>
      <c r="AA5341">
        <v>0.98195509999999997</v>
      </c>
      <c r="AB5341">
        <v>18</v>
      </c>
      <c r="AC5341">
        <v>43.249899999999997</v>
      </c>
      <c r="AD5341">
        <v>-1.104629933265</v>
      </c>
      <c r="AE5341">
        <v>9.6987299999999905</v>
      </c>
      <c r="AF5341">
        <v>-8.3959135032972192</v>
      </c>
      <c r="AG5341">
        <v>-1.104629933265</v>
      </c>
      <c r="AH5341">
        <v>43.4935593759241</v>
      </c>
      <c r="AI5341">
        <v>91.428498864489299</v>
      </c>
      <c r="AJ5341">
        <v>100.92587766308201</v>
      </c>
      <c r="AK5341">
        <v>44.310284111381499</v>
      </c>
    </row>
    <row r="5342" spans="1:37" x14ac:dyDescent="0.2">
      <c r="A5342" t="str">
        <f>"20200111160324291"</f>
        <v>20200111160324291</v>
      </c>
      <c r="B5342" t="str">
        <f>"1578729804288656"</f>
        <v>1578729804288656</v>
      </c>
      <c r="C5342" t="s">
        <v>37</v>
      </c>
      <c r="D5342">
        <v>4.0962129999999997</v>
      </c>
      <c r="E5342">
        <v>0.45407019999999998</v>
      </c>
      <c r="F5342" t="s">
        <v>99</v>
      </c>
      <c r="G5342">
        <v>-216.4308</v>
      </c>
      <c r="H5342" s="1">
        <v>-2.9371050000000001E-6</v>
      </c>
      <c r="I5342">
        <v>-53.709309999999903</v>
      </c>
      <c r="J5342">
        <v>-259.49799999999999</v>
      </c>
      <c r="K5342">
        <v>1.1046260000000001</v>
      </c>
      <c r="L5342">
        <v>-63.321689999999997</v>
      </c>
      <c r="M5342">
        <v>0.99945030000000001</v>
      </c>
      <c r="N5342">
        <v>0</v>
      </c>
      <c r="O5342">
        <v>3.006669E-2</v>
      </c>
      <c r="P5342">
        <v>0.99489559999999999</v>
      </c>
      <c r="Q5342">
        <v>-2.4560419999999999E-2</v>
      </c>
      <c r="R5342">
        <v>9.7877729999999996E-2</v>
      </c>
      <c r="S5342">
        <v>2.9484249999999999</v>
      </c>
      <c r="T5342">
        <v>-7.5437550000000006E-2</v>
      </c>
      <c r="U5342">
        <v>0.65667719999999996</v>
      </c>
      <c r="V5342">
        <v>-6.7913959999999995E-2</v>
      </c>
      <c r="W5342">
        <v>-1.0632310000000001E-2</v>
      </c>
      <c r="X5342">
        <v>0.99763449999999998</v>
      </c>
      <c r="Y5342">
        <v>-0.187896799999999</v>
      </c>
      <c r="Z5342">
        <v>1.615062E-3</v>
      </c>
      <c r="AA5342">
        <v>0.98218739999999904</v>
      </c>
      <c r="AB5342">
        <v>18</v>
      </c>
      <c r="AC5342">
        <v>43.0671999999999</v>
      </c>
      <c r="AD5342">
        <v>-1.104628937105</v>
      </c>
      <c r="AE5342">
        <v>9.6123799999999999</v>
      </c>
      <c r="AF5342">
        <v>-8.3078127574540392</v>
      </c>
      <c r="AG5342">
        <v>-1.104628937105</v>
      </c>
      <c r="AH5342">
        <v>43.309625883059397</v>
      </c>
      <c r="AI5342">
        <v>91.434884960853907</v>
      </c>
      <c r="AJ5342">
        <v>100.858783005158</v>
      </c>
      <c r="AK5342">
        <v>44.113078015846597</v>
      </c>
    </row>
    <row r="5343" spans="1:37" x14ac:dyDescent="0.2">
      <c r="A5343" t="str">
        <f>"20200111160324303"</f>
        <v>20200111160324303</v>
      </c>
      <c r="B5343" t="str">
        <f>"1578729804298417"</f>
        <v>1578729804298417</v>
      </c>
      <c r="C5343" t="s">
        <v>37</v>
      </c>
      <c r="D5343">
        <v>3.3882519999999898</v>
      </c>
      <c r="E5343">
        <v>0.45394989999999902</v>
      </c>
      <c r="F5343" t="s">
        <v>99</v>
      </c>
      <c r="G5343">
        <v>-214.97790000000001</v>
      </c>
      <c r="H5343" s="1">
        <v>-2.5302259999999998E-6</v>
      </c>
      <c r="I5343">
        <v>-53.380209999999998</v>
      </c>
      <c r="J5343">
        <v>-259.39830000000001</v>
      </c>
      <c r="K5343">
        <v>1.1046209999999901</v>
      </c>
      <c r="L5343">
        <v>-63.318480000000001</v>
      </c>
      <c r="M5343">
        <v>0.99944529999999998</v>
      </c>
      <c r="N5343">
        <v>0</v>
      </c>
      <c r="O5343">
        <v>3.0223489999999999E-2</v>
      </c>
      <c r="P5343">
        <v>0.99499919999999997</v>
      </c>
      <c r="Q5343">
        <v>-2.4693940000000001E-2</v>
      </c>
      <c r="R5343">
        <v>9.6784079999999995E-2</v>
      </c>
      <c r="S5343">
        <v>2.9488219999999998</v>
      </c>
      <c r="T5343">
        <v>-7.3165889999999997E-2</v>
      </c>
      <c r="U5343">
        <v>0.6584778</v>
      </c>
      <c r="V5343">
        <v>-6.6661719999999994E-2</v>
      </c>
      <c r="W5343">
        <v>-1.0755580000000001E-2</v>
      </c>
      <c r="X5343">
        <v>0.99771769999999904</v>
      </c>
      <c r="Y5343">
        <v>-0.18828879999999901</v>
      </c>
      <c r="Z5343">
        <v>1.5671029999999901E-3</v>
      </c>
      <c r="AA5343">
        <v>0.98211250000000005</v>
      </c>
      <c r="AB5343">
        <v>18</v>
      </c>
      <c r="AC5343">
        <v>44.420400000000001</v>
      </c>
      <c r="AD5343">
        <v>-1.1046235302259999</v>
      </c>
      <c r="AE5343">
        <v>9.9382700000000099</v>
      </c>
      <c r="AF5343">
        <v>-8.5860017063033407</v>
      </c>
      <c r="AG5343">
        <v>-1.1046235302259999</v>
      </c>
      <c r="AH5343">
        <v>44.674192653439498</v>
      </c>
      <c r="AI5343">
        <v>91.390972579770704</v>
      </c>
      <c r="AJ5343">
        <v>100.879109000086</v>
      </c>
      <c r="AK5343">
        <v>45.505198688510298</v>
      </c>
    </row>
    <row r="5344" spans="1:37" x14ac:dyDescent="0.2">
      <c r="A5344" t="str">
        <f>"20200111160324315"</f>
        <v>20200111160324315</v>
      </c>
      <c r="B5344" t="str">
        <f>"1578729804309152"</f>
        <v>1578729804309152</v>
      </c>
      <c r="C5344" t="s">
        <v>37</v>
      </c>
      <c r="D5344">
        <v>4.1602790000000001</v>
      </c>
      <c r="E5344">
        <v>0.45366689999999998</v>
      </c>
      <c r="F5344" t="s">
        <v>99</v>
      </c>
      <c r="G5344">
        <v>-214.77289999999999</v>
      </c>
      <c r="H5344" s="1">
        <v>-2.4578169999999998E-6</v>
      </c>
      <c r="I5344">
        <v>-53.390180000000001</v>
      </c>
      <c r="J5344">
        <v>-259.30680000000001</v>
      </c>
      <c r="K5344">
        <v>1.1046240000000001</v>
      </c>
      <c r="L5344">
        <v>-63.315579999999997</v>
      </c>
      <c r="M5344">
        <v>0.99944080000000002</v>
      </c>
      <c r="N5344">
        <v>0</v>
      </c>
      <c r="O5344">
        <v>3.036755E-2</v>
      </c>
      <c r="P5344">
        <v>0.99509749999999997</v>
      </c>
      <c r="Q5344">
        <v>-2.4682140000000002E-2</v>
      </c>
      <c r="R5344">
        <v>9.5771029999999993E-2</v>
      </c>
      <c r="S5344">
        <v>2.9494319999999998</v>
      </c>
      <c r="T5344">
        <v>-7.300806E-2</v>
      </c>
      <c r="U5344">
        <v>0.65618900000000002</v>
      </c>
      <c r="V5344">
        <v>-6.5501820000000002E-2</v>
      </c>
      <c r="W5344">
        <v>-1.073498E-2</v>
      </c>
      <c r="X5344">
        <v>0.99779470000000003</v>
      </c>
      <c r="Y5344">
        <v>-0.1873784</v>
      </c>
      <c r="Z5344">
        <v>1.54889E-3</v>
      </c>
      <c r="AA5344">
        <v>0.98228660000000001</v>
      </c>
      <c r="AB5344">
        <v>18</v>
      </c>
      <c r="AC5344">
        <v>44.533900000000003</v>
      </c>
      <c r="AD5344">
        <v>-1.104626457817</v>
      </c>
      <c r="AE5344">
        <v>9.9253999999999891</v>
      </c>
      <c r="AF5344">
        <v>-8.5632843666402998</v>
      </c>
      <c r="AG5344">
        <v>-1.104626457817</v>
      </c>
      <c r="AH5344">
        <v>44.788544516685903</v>
      </c>
      <c r="AI5344">
        <v>91.387682203249895</v>
      </c>
      <c r="AJ5344">
        <v>100.823959667295</v>
      </c>
      <c r="AK5344">
        <v>45.613197198600403</v>
      </c>
    </row>
    <row r="5345" spans="1:37" x14ac:dyDescent="0.2">
      <c r="A5345" t="str">
        <f>"20200111160324325"</f>
        <v>20200111160324325</v>
      </c>
      <c r="B5345" t="str">
        <f>"1578729804318912"</f>
        <v>1578729804318912</v>
      </c>
      <c r="C5345" t="s">
        <v>37</v>
      </c>
      <c r="D5345">
        <v>4.1251519999999999</v>
      </c>
      <c r="E5345">
        <v>0.453242599999999</v>
      </c>
      <c r="F5345" t="s">
        <v>99</v>
      </c>
      <c r="G5345">
        <v>-213.7723</v>
      </c>
      <c r="H5345" s="1">
        <v>-2.16817299999999E-6</v>
      </c>
      <c r="I5345">
        <v>-53.19894</v>
      </c>
      <c r="J5345">
        <v>-259.2131</v>
      </c>
      <c r="K5345">
        <v>1.1046260000000001</v>
      </c>
      <c r="L5345">
        <v>-63.312559999999998</v>
      </c>
      <c r="M5345">
        <v>0.99943630000000006</v>
      </c>
      <c r="N5345">
        <v>0</v>
      </c>
      <c r="O5345">
        <v>3.051471E-2</v>
      </c>
      <c r="P5345">
        <v>0.99519150000000001</v>
      </c>
      <c r="Q5345">
        <v>-2.4596150000000001E-2</v>
      </c>
      <c r="R5345">
        <v>9.4811270000000003E-2</v>
      </c>
      <c r="S5345">
        <v>2.9499209999999998</v>
      </c>
      <c r="T5345">
        <v>-7.1562410000000007E-2</v>
      </c>
      <c r="U5345">
        <v>0.65539550000000002</v>
      </c>
      <c r="V5345">
        <v>-6.4392790000000005E-2</v>
      </c>
      <c r="W5345">
        <v>-1.0640719999999999E-2</v>
      </c>
      <c r="X5345">
        <v>0.99786790000000003</v>
      </c>
      <c r="Y5345">
        <v>-0.18694949999999999</v>
      </c>
      <c r="Z5345">
        <v>1.509367E-3</v>
      </c>
      <c r="AA5345">
        <v>0.98236840000000003</v>
      </c>
      <c r="AB5345">
        <v>18</v>
      </c>
      <c r="AC5345">
        <v>45.440800000000003</v>
      </c>
      <c r="AD5345">
        <v>-1.1046281681729999</v>
      </c>
      <c r="AE5345">
        <v>10.1136199999999</v>
      </c>
      <c r="AF5345">
        <v>-8.7172524437038508</v>
      </c>
      <c r="AG5345">
        <v>-1.1046281681729999</v>
      </c>
      <c r="AH5345">
        <v>45.702546720489103</v>
      </c>
      <c r="AI5345">
        <v>91.360056579089601</v>
      </c>
      <c r="AJ5345">
        <v>100.798821058974</v>
      </c>
      <c r="AK5345">
        <v>46.539590353758697</v>
      </c>
    </row>
    <row r="5346" spans="1:37" x14ac:dyDescent="0.2">
      <c r="A5346" t="str">
        <f>"20200111160324337"</f>
        <v>20200111160324337</v>
      </c>
      <c r="B5346" t="str">
        <f>"1578729804328672"</f>
        <v>1578729804328672</v>
      </c>
      <c r="C5346" t="s">
        <v>37</v>
      </c>
      <c r="D5346">
        <v>4.214359</v>
      </c>
      <c r="E5346">
        <v>0.45291899999999902</v>
      </c>
      <c r="F5346" t="s">
        <v>99</v>
      </c>
      <c r="G5346">
        <v>-213.79079999999999</v>
      </c>
      <c r="H5346" s="1">
        <v>-2.170598E-6</v>
      </c>
      <c r="I5346">
        <v>-53.213529999999999</v>
      </c>
      <c r="J5346">
        <v>-259.12270000000001</v>
      </c>
      <c r="K5346">
        <v>1.1046309999999999</v>
      </c>
      <c r="L5346">
        <v>-63.309629999999999</v>
      </c>
      <c r="M5346">
        <v>0.99943179999999998</v>
      </c>
      <c r="N5346">
        <v>0</v>
      </c>
      <c r="O5346">
        <v>3.0657050000000002E-2</v>
      </c>
      <c r="P5346">
        <v>0.99526859999999995</v>
      </c>
      <c r="Q5346">
        <v>-2.4540030000000001E-2</v>
      </c>
      <c r="R5346">
        <v>9.4011570000000003E-2</v>
      </c>
      <c r="S5346">
        <v>2.950256</v>
      </c>
      <c r="T5346">
        <v>-7.1747420000000006E-2</v>
      </c>
      <c r="U5346">
        <v>0.65594479999999999</v>
      </c>
      <c r="V5346">
        <v>-6.3448790000000005E-2</v>
      </c>
      <c r="W5346">
        <v>-1.0577649999999999E-2</v>
      </c>
      <c r="X5346">
        <v>0.99792899999999995</v>
      </c>
      <c r="Y5346">
        <v>-0.18695999999999999</v>
      </c>
      <c r="Z5346">
        <v>1.5097839999999999E-3</v>
      </c>
      <c r="AA5346">
        <v>0.98236639999999997</v>
      </c>
      <c r="AB5346">
        <v>18</v>
      </c>
      <c r="AC5346">
        <v>45.331899999999997</v>
      </c>
      <c r="AD5346">
        <v>-1.1046331705979999</v>
      </c>
      <c r="AE5346">
        <v>10.0961</v>
      </c>
      <c r="AF5346">
        <v>-8.6965549861254097</v>
      </c>
      <c r="AG5346">
        <v>-1.1046331705979999</v>
      </c>
      <c r="AH5346">
        <v>45.594341366647797</v>
      </c>
      <c r="AI5346">
        <v>91.363289567635704</v>
      </c>
      <c r="AJ5346">
        <v>100.798750138277</v>
      </c>
      <c r="AK5346">
        <v>46.429454527559301</v>
      </c>
    </row>
    <row r="5347" spans="1:37" x14ac:dyDescent="0.2">
      <c r="A5347" t="str">
        <f>"20200111160324348"</f>
        <v>20200111160324348</v>
      </c>
      <c r="B5347" t="str">
        <f>"1578729804338431"</f>
        <v>1578729804338431</v>
      </c>
      <c r="C5347" t="s">
        <v>37</v>
      </c>
      <c r="D5347">
        <v>4.0577239999999897</v>
      </c>
      <c r="E5347">
        <v>0.4526269</v>
      </c>
      <c r="F5347" t="s">
        <v>99</v>
      </c>
      <c r="G5347">
        <v>-213.99979999999999</v>
      </c>
      <c r="H5347" s="1">
        <v>-2.225535E-6</v>
      </c>
      <c r="I5347">
        <v>-53.274380000000001</v>
      </c>
      <c r="J5347">
        <v>-259.03440000000001</v>
      </c>
      <c r="K5347">
        <v>1.1046339999999999</v>
      </c>
      <c r="L5347">
        <v>-63.306730000000002</v>
      </c>
      <c r="M5347">
        <v>0.99942739999999997</v>
      </c>
      <c r="N5347">
        <v>0</v>
      </c>
      <c r="O5347">
        <v>3.079612E-2</v>
      </c>
      <c r="P5347">
        <v>0.9953573</v>
      </c>
      <c r="Q5347">
        <v>-2.4418579999999999E-2</v>
      </c>
      <c r="R5347">
        <v>9.3100329999999995E-2</v>
      </c>
      <c r="S5347">
        <v>2.9505309999999998</v>
      </c>
      <c r="T5347">
        <v>-7.2230580000000003E-2</v>
      </c>
      <c r="U5347">
        <v>0.65618900000000002</v>
      </c>
      <c r="V5347">
        <v>-6.23972E-2</v>
      </c>
      <c r="W5347">
        <v>-1.044955E-2</v>
      </c>
      <c r="X5347">
        <v>0.99799669999999896</v>
      </c>
      <c r="Y5347">
        <v>-0.18688079999999899</v>
      </c>
      <c r="Z5347">
        <v>1.515483E-3</v>
      </c>
      <c r="AA5347">
        <v>0.98238139999999996</v>
      </c>
      <c r="AB5347">
        <v>18</v>
      </c>
      <c r="AC5347">
        <v>45.034599999999998</v>
      </c>
      <c r="AD5347">
        <v>-1.104636225535</v>
      </c>
      <c r="AE5347">
        <v>10.0323499999999</v>
      </c>
      <c r="AF5347">
        <v>-8.63561339213304</v>
      </c>
      <c r="AG5347">
        <v>-1.104636225535</v>
      </c>
      <c r="AH5347">
        <v>45.296258999575699</v>
      </c>
      <c r="AI5347">
        <v>91.372284148900505</v>
      </c>
      <c r="AJ5347">
        <v>100.793762958291</v>
      </c>
      <c r="AK5347">
        <v>46.125319719279901</v>
      </c>
    </row>
    <row r="5348" spans="1:37" x14ac:dyDescent="0.2">
      <c r="A5348" t="str">
        <f>"20200111160324358"</f>
        <v>20200111160324358</v>
      </c>
      <c r="B5348" t="str">
        <f>"1578729804348192"</f>
        <v>1578729804348192</v>
      </c>
      <c r="C5348" t="s">
        <v>37</v>
      </c>
      <c r="D5348">
        <v>4.1582980000000003</v>
      </c>
      <c r="E5348">
        <v>0.45236490000000001</v>
      </c>
      <c r="F5348" t="s">
        <v>99</v>
      </c>
      <c r="G5348">
        <v>-214.16050000000001</v>
      </c>
      <c r="H5348" s="1">
        <v>-2.2643289999999998E-6</v>
      </c>
      <c r="I5348">
        <v>-53.334139999999998</v>
      </c>
      <c r="J5348">
        <v>-258.94799999999998</v>
      </c>
      <c r="K5348">
        <v>1.104636</v>
      </c>
      <c r="L5348">
        <v>-63.303919999999998</v>
      </c>
      <c r="M5348">
        <v>0.99942319999999996</v>
      </c>
      <c r="N5348">
        <v>0</v>
      </c>
      <c r="O5348">
        <v>3.0931980000000001E-2</v>
      </c>
      <c r="P5348">
        <v>0.99543530000000002</v>
      </c>
      <c r="Q5348">
        <v>-2.3982059999999999E-2</v>
      </c>
      <c r="R5348">
        <v>9.2376600000000003E-2</v>
      </c>
      <c r="S5348">
        <v>2.9508969999999999</v>
      </c>
      <c r="T5348">
        <v>-7.2640659999999996E-2</v>
      </c>
      <c r="U5348">
        <v>0.65579219999999905</v>
      </c>
      <c r="V5348">
        <v>-6.1535630000000001E-2</v>
      </c>
      <c r="W5348">
        <v>-1.000742E-2</v>
      </c>
      <c r="X5348">
        <v>0.99805469999999896</v>
      </c>
      <c r="Y5348">
        <v>-0.18659529999999999</v>
      </c>
      <c r="Z5348">
        <v>1.5171529999999901E-3</v>
      </c>
      <c r="AA5348">
        <v>0.98243570000000002</v>
      </c>
      <c r="AB5348">
        <v>18</v>
      </c>
      <c r="AC5348">
        <v>44.787499999999902</v>
      </c>
      <c r="AD5348">
        <v>-1.104638264329</v>
      </c>
      <c r="AE5348">
        <v>9.9697799999999894</v>
      </c>
      <c r="AF5348">
        <v>-8.5745365315486506</v>
      </c>
      <c r="AG5348">
        <v>-1.104638264329</v>
      </c>
      <c r="AH5348">
        <v>45.048370241773803</v>
      </c>
      <c r="AI5348">
        <v>91.379912856474704</v>
      </c>
      <c r="AJ5348">
        <v>100.776804237535</v>
      </c>
      <c r="AK5348">
        <v>45.870454149330399</v>
      </c>
    </row>
    <row r="5349" spans="1:37" x14ac:dyDescent="0.2">
      <c r="A5349" t="str">
        <f>"20200111160324370"</f>
        <v>20200111160324370</v>
      </c>
      <c r="B5349" t="str">
        <f>"1578729804368688"</f>
        <v>1578729804368688</v>
      </c>
      <c r="C5349" t="s">
        <v>37</v>
      </c>
      <c r="D5349">
        <v>4.0749420000000001</v>
      </c>
      <c r="E5349">
        <v>0.45198319999999997</v>
      </c>
      <c r="F5349" t="s">
        <v>99</v>
      </c>
      <c r="G5349">
        <v>-212.45050000000001</v>
      </c>
      <c r="H5349" s="1">
        <v>-1.7783410000000001E-6</v>
      </c>
      <c r="I5349">
        <v>-52.973559999999999</v>
      </c>
      <c r="J5349">
        <v>-258.85219999999998</v>
      </c>
      <c r="K5349">
        <v>1.104643</v>
      </c>
      <c r="L5349">
        <v>-63.300780000000003</v>
      </c>
      <c r="M5349">
        <v>0.99941849999999999</v>
      </c>
      <c r="N5349">
        <v>0</v>
      </c>
      <c r="O5349">
        <v>3.108261E-2</v>
      </c>
      <c r="P5349">
        <v>0.99550709999999998</v>
      </c>
      <c r="Q5349">
        <v>-2.3773780000000001E-2</v>
      </c>
      <c r="R5349">
        <v>9.1656379999999996E-2</v>
      </c>
      <c r="S5349">
        <v>2.9512179999999999</v>
      </c>
      <c r="T5349">
        <v>-7.0111870000000007E-2</v>
      </c>
      <c r="U5349">
        <v>0.65567019999999998</v>
      </c>
      <c r="V5349">
        <v>-6.0663399999999999E-2</v>
      </c>
      <c r="W5349">
        <v>-9.7932650000000007E-3</v>
      </c>
      <c r="X5349">
        <v>0.99811019999999995</v>
      </c>
      <c r="Y5349">
        <v>-0.1863891</v>
      </c>
      <c r="Z5349">
        <v>1.4582550000000001E-3</v>
      </c>
      <c r="AA5349">
        <v>0.98247489999999904</v>
      </c>
      <c r="AB5349">
        <v>18</v>
      </c>
      <c r="AC5349">
        <v>46.401699999999899</v>
      </c>
      <c r="AD5349">
        <v>-1.1046447783409901</v>
      </c>
      <c r="AE5349">
        <v>10.327220000000001</v>
      </c>
      <c r="AF5349">
        <v>-8.8750090417211798</v>
      </c>
      <c r="AG5349">
        <v>-1.1046447783409901</v>
      </c>
      <c r="AH5349">
        <v>46.675099844184999</v>
      </c>
      <c r="AI5349">
        <v>91.331893325379795</v>
      </c>
      <c r="AJ5349">
        <v>100.765952341606</v>
      </c>
      <c r="AK5349">
        <v>47.524214575746399</v>
      </c>
    </row>
    <row r="5350" spans="1:37" x14ac:dyDescent="0.2">
      <c r="A5350" t="str">
        <f>"20200111160324382"</f>
        <v>20200111160324382</v>
      </c>
      <c r="B5350" t="str">
        <f>"1578729804378448"</f>
        <v>1578729804378448</v>
      </c>
      <c r="C5350" t="s">
        <v>37</v>
      </c>
      <c r="D5350">
        <v>3.8144800000000001</v>
      </c>
      <c r="E5350">
        <v>0.45274799999999998</v>
      </c>
      <c r="F5350" t="s">
        <v>99</v>
      </c>
      <c r="G5350">
        <v>-210.41669999999999</v>
      </c>
      <c r="H5350" s="1">
        <v>-1.2049779999999999E-6</v>
      </c>
      <c r="I5350">
        <v>-52.527329999999999</v>
      </c>
      <c r="J5350">
        <v>-258.75869999999998</v>
      </c>
      <c r="K5350">
        <v>1.1046469999999999</v>
      </c>
      <c r="L5350">
        <v>-63.297730000000001</v>
      </c>
      <c r="M5350">
        <v>0.99941380000000002</v>
      </c>
      <c r="N5350">
        <v>0</v>
      </c>
      <c r="O5350">
        <v>3.122991E-2</v>
      </c>
      <c r="P5350">
        <v>0.99555919999999898</v>
      </c>
      <c r="Q5350">
        <v>-2.3501560000000001E-2</v>
      </c>
      <c r="R5350">
        <v>9.115914E-2</v>
      </c>
      <c r="S5350">
        <v>2.951492</v>
      </c>
      <c r="T5350">
        <v>-6.7313189999999995E-2</v>
      </c>
      <c r="U5350">
        <v>0.65649409999999997</v>
      </c>
      <c r="V5350">
        <v>-6.00177E-2</v>
      </c>
      <c r="W5350">
        <v>-9.5162000000000007E-3</v>
      </c>
      <c r="X5350">
        <v>0.99815200000000004</v>
      </c>
      <c r="Y5350">
        <v>-0.1864895</v>
      </c>
      <c r="Z5350">
        <v>1.397712E-3</v>
      </c>
      <c r="AA5350">
        <v>0.982456</v>
      </c>
      <c r="AB5350">
        <v>18</v>
      </c>
      <c r="AC5350">
        <v>48.341999999999899</v>
      </c>
      <c r="AD5350">
        <v>-1.104648204978</v>
      </c>
      <c r="AE5350">
        <v>10.770399999999899</v>
      </c>
      <c r="AF5350">
        <v>-9.2506787574795801</v>
      </c>
      <c r="AG5350">
        <v>-1.104648204978</v>
      </c>
      <c r="AH5350">
        <v>48.630615328646599</v>
      </c>
      <c r="AI5350">
        <v>91.278339336683899</v>
      </c>
      <c r="AJ5350">
        <v>100.77031794278901</v>
      </c>
      <c r="AK5350">
        <v>49.5149679629669</v>
      </c>
    </row>
    <row r="5351" spans="1:37" x14ac:dyDescent="0.2">
      <c r="A5351" t="str">
        <f>"20200111160324393"</f>
        <v>20200111160324393</v>
      </c>
      <c r="B5351" t="str">
        <f>"1578729804388208"</f>
        <v>1578729804388208</v>
      </c>
      <c r="C5351" t="s">
        <v>37</v>
      </c>
      <c r="D5351">
        <v>4.4713909999999997</v>
      </c>
      <c r="E5351">
        <v>0.45274799999999998</v>
      </c>
      <c r="F5351" t="s">
        <v>99</v>
      </c>
      <c r="G5351">
        <v>-219.24809999999999</v>
      </c>
      <c r="H5351" s="1">
        <v>-3.961935E-6</v>
      </c>
      <c r="I5351">
        <v>-54.602359999999997</v>
      </c>
      <c r="J5351">
        <v>-258.67250000000001</v>
      </c>
      <c r="K5351">
        <v>1.104651</v>
      </c>
      <c r="L5351">
        <v>-63.29486</v>
      </c>
      <c r="M5351">
        <v>0.99940960000000001</v>
      </c>
      <c r="N5351">
        <v>0</v>
      </c>
      <c r="O5351">
        <v>3.13656E-2</v>
      </c>
      <c r="P5351">
        <v>0.99560329999999997</v>
      </c>
      <c r="Q5351">
        <v>-2.3336579999999999E-2</v>
      </c>
      <c r="R5351">
        <v>9.0717499999999895E-2</v>
      </c>
      <c r="S5351">
        <v>2.951981</v>
      </c>
      <c r="T5351">
        <v>-8.2532530000000007E-2</v>
      </c>
      <c r="U5351">
        <v>0.64965819999999996</v>
      </c>
      <c r="V5351">
        <v>-5.9439499999999999E-2</v>
      </c>
      <c r="W5351">
        <v>-9.3471200000000004E-3</v>
      </c>
      <c r="X5351">
        <v>0.99818809999999902</v>
      </c>
      <c r="Y5351">
        <v>-0.18413379999999999</v>
      </c>
      <c r="Z5351">
        <v>1.677486E-3</v>
      </c>
      <c r="AA5351">
        <v>0.98289969999999904</v>
      </c>
      <c r="AB5351">
        <v>18</v>
      </c>
      <c r="AC5351">
        <v>39.424399999999999</v>
      </c>
      <c r="AD5351">
        <v>-1.1046549619349999</v>
      </c>
      <c r="AE5351">
        <v>8.6925000000000008</v>
      </c>
      <c r="AF5351">
        <v>-7.4459559135818196</v>
      </c>
      <c r="AG5351">
        <v>-1.1046549619349999</v>
      </c>
      <c r="AH5351">
        <v>39.6479863936326</v>
      </c>
      <c r="AI5351">
        <v>91.568530375063702</v>
      </c>
      <c r="AJ5351">
        <v>100.636348771432</v>
      </c>
      <c r="AK5351">
        <v>40.3562305861388</v>
      </c>
    </row>
    <row r="5352" spans="1:37" x14ac:dyDescent="0.2">
      <c r="A5352" t="str">
        <f>"20200111160324403"</f>
        <v>20200111160324403</v>
      </c>
      <c r="B5352" t="str">
        <f>"1578729804398945"</f>
        <v>1578729804398945</v>
      </c>
      <c r="C5352" t="s">
        <v>37</v>
      </c>
      <c r="D5352">
        <v>4.4116559999999998</v>
      </c>
      <c r="E5352">
        <v>0.51778859999999904</v>
      </c>
      <c r="F5352" t="s">
        <v>99</v>
      </c>
      <c r="G5352">
        <v>-218.99459999999999</v>
      </c>
      <c r="H5352" s="1">
        <v>-3.8568479999999997E-6</v>
      </c>
      <c r="I5352">
        <v>-54.581619999999901</v>
      </c>
      <c r="J5352">
        <v>-258.57900000000001</v>
      </c>
      <c r="K5352">
        <v>1.1046559999999901</v>
      </c>
      <c r="L5352">
        <v>-63.29175</v>
      </c>
      <c r="M5352">
        <v>0.99940469999999904</v>
      </c>
      <c r="N5352">
        <v>0</v>
      </c>
      <c r="O5352">
        <v>3.1512730000000003E-2</v>
      </c>
      <c r="P5352">
        <v>0.99563380000000001</v>
      </c>
      <c r="Q5352">
        <v>-2.3077170000000001E-2</v>
      </c>
      <c r="R5352">
        <v>9.0446879999999993E-2</v>
      </c>
      <c r="S5352">
        <v>2.952286</v>
      </c>
      <c r="T5352">
        <v>-8.2193260000000004E-2</v>
      </c>
      <c r="U5352">
        <v>0.64831539999999999</v>
      </c>
      <c r="V5352">
        <v>-5.9020780000000002E-2</v>
      </c>
      <c r="W5352">
        <v>-9.0840639999999993E-3</v>
      </c>
      <c r="X5352">
        <v>0.99821539999999997</v>
      </c>
      <c r="Y5352">
        <v>-0.18354210000000001</v>
      </c>
      <c r="Z5352">
        <v>1.658325E-3</v>
      </c>
      <c r="AA5352">
        <v>0.98301050000000001</v>
      </c>
      <c r="AB5352">
        <v>18</v>
      </c>
      <c r="AC5352">
        <v>39.584400000000002</v>
      </c>
      <c r="AD5352">
        <v>-1.1046598568479999</v>
      </c>
      <c r="AE5352">
        <v>8.7101299999999995</v>
      </c>
      <c r="AF5352">
        <v>-7.4527318209853197</v>
      </c>
      <c r="AG5352">
        <v>-1.1046598568479999</v>
      </c>
      <c r="AH5352">
        <v>39.809672771419301</v>
      </c>
      <c r="AI5352">
        <v>91.562337491346497</v>
      </c>
      <c r="AJ5352">
        <v>100.603551492064</v>
      </c>
      <c r="AK5352">
        <v>40.516336596024402</v>
      </c>
    </row>
    <row r="5353" spans="1:37" x14ac:dyDescent="0.2">
      <c r="A5353" t="str">
        <f>"20200111160324415"</f>
        <v>20200111160324415</v>
      </c>
      <c r="B5353" t="str">
        <f>"1578729804408704"</f>
        <v>1578729804408704</v>
      </c>
      <c r="C5353" t="s">
        <v>37</v>
      </c>
      <c r="D5353">
        <v>4.3960179999999998</v>
      </c>
      <c r="E5353">
        <v>0.52210730000000005</v>
      </c>
      <c r="F5353" t="s">
        <v>42</v>
      </c>
      <c r="G5353">
        <v>-257.8297</v>
      </c>
      <c r="H5353">
        <v>1.0223089999999999</v>
      </c>
      <c r="I5353">
        <v>-63.256689999999999</v>
      </c>
      <c r="J5353">
        <v>-258.49279999999999</v>
      </c>
      <c r="K5353">
        <v>1.10466</v>
      </c>
      <c r="L5353">
        <v>-63.288849999999996</v>
      </c>
      <c r="M5353">
        <v>0.99940049999999903</v>
      </c>
      <c r="N5353">
        <v>0</v>
      </c>
      <c r="O5353">
        <v>3.1648599999999999E-2</v>
      </c>
      <c r="P5353">
        <v>0.99567519999999998</v>
      </c>
      <c r="Q5353">
        <v>-2.323826E-2</v>
      </c>
      <c r="R5353">
        <v>8.9950849999999999E-2</v>
      </c>
      <c r="S5353">
        <v>2.9927519999999999</v>
      </c>
      <c r="T5353">
        <v>-0.32890199999999897</v>
      </c>
      <c r="U5353">
        <v>0.14068599999999901</v>
      </c>
      <c r="V5353">
        <v>-5.8388099999999998E-2</v>
      </c>
      <c r="W5353">
        <v>-9.2419640000000001E-3</v>
      </c>
      <c r="X5353">
        <v>0.99825119999999901</v>
      </c>
      <c r="Y5353">
        <v>-1.5414199999999999E-2</v>
      </c>
      <c r="Z5353">
        <v>-2.6210909999999999E-3</v>
      </c>
      <c r="AA5353">
        <v>0.99987780000000004</v>
      </c>
      <c r="AB5353">
        <v>18</v>
      </c>
      <c r="AC5353">
        <v>0.66309999999998503</v>
      </c>
      <c r="AD5353">
        <v>-8.2350999999999994E-2</v>
      </c>
      <c r="AE5353">
        <v>3.2159999999997503E-2</v>
      </c>
      <c r="AF5353">
        <v>-1.09865797379585E-2</v>
      </c>
      <c r="AG5353">
        <v>-8.2350999999999994E-2</v>
      </c>
      <c r="AH5353">
        <v>0.65372666170792304</v>
      </c>
      <c r="AI5353">
        <v>97.178819317808902</v>
      </c>
      <c r="AJ5353">
        <v>90.962826564098606</v>
      </c>
      <c r="AK5353">
        <v>0.65898478006940597</v>
      </c>
    </row>
    <row r="5354" spans="1:37" x14ac:dyDescent="0.2">
      <c r="A5354" t="str">
        <f>"20200111160324426"</f>
        <v>20200111160324426</v>
      </c>
      <c r="B5354" t="str">
        <f>"1578729804418464"</f>
        <v>1578729804418464</v>
      </c>
      <c r="C5354" t="s">
        <v>37</v>
      </c>
      <c r="D5354">
        <v>4.4059210000000002</v>
      </c>
      <c r="E5354">
        <v>0.52408429999999995</v>
      </c>
      <c r="F5354" t="s">
        <v>42</v>
      </c>
      <c r="G5354">
        <v>-257.6705</v>
      </c>
      <c r="H5354">
        <v>1.0192019999999999</v>
      </c>
      <c r="I5354">
        <v>-63.260440000000003</v>
      </c>
      <c r="J5354">
        <v>-258.40219999999999</v>
      </c>
      <c r="K5354">
        <v>1.1046590000000001</v>
      </c>
      <c r="L5354">
        <v>-63.285800000000002</v>
      </c>
      <c r="M5354">
        <v>0.99939599999999995</v>
      </c>
      <c r="N5354">
        <v>0</v>
      </c>
      <c r="O5354">
        <v>3.1791199999999999E-2</v>
      </c>
      <c r="P5354">
        <v>0.99569349999999901</v>
      </c>
      <c r="Q5354">
        <v>-2.3374799999999901E-2</v>
      </c>
      <c r="R5354">
        <v>8.9711929999999995E-2</v>
      </c>
      <c r="S5354">
        <v>2.9963380000000002</v>
      </c>
      <c r="T5354">
        <v>-0.31140109999999999</v>
      </c>
      <c r="U5354">
        <v>0.1040344</v>
      </c>
      <c r="V5354">
        <v>-5.8006269999999999E-2</v>
      </c>
      <c r="W5354">
        <v>-9.3757579999999997E-3</v>
      </c>
      <c r="X5354">
        <v>0.99827219999999905</v>
      </c>
      <c r="Y5354">
        <v>-3.0613680000000001E-3</v>
      </c>
      <c r="Z5354">
        <v>-3.1349629999999902E-3</v>
      </c>
      <c r="AA5354">
        <v>0.99999039999999995</v>
      </c>
      <c r="AB5354">
        <v>18</v>
      </c>
      <c r="AC5354">
        <v>0.73169999999998903</v>
      </c>
      <c r="AD5354">
        <v>-8.5457000000000102E-2</v>
      </c>
      <c r="AE5354">
        <v>2.5359999999999099E-2</v>
      </c>
      <c r="AF5354">
        <v>-2.0552655433748001E-3</v>
      </c>
      <c r="AG5354">
        <v>-8.5457000000000102E-2</v>
      </c>
      <c r="AH5354">
        <v>0.72229575157965997</v>
      </c>
      <c r="AI5354">
        <v>96.747443332533194</v>
      </c>
      <c r="AJ5354">
        <v>90.163032557428906</v>
      </c>
      <c r="AK5354">
        <v>0.72733642540125798</v>
      </c>
    </row>
    <row r="5355" spans="1:37" x14ac:dyDescent="0.2">
      <c r="A5355" t="str">
        <f>"20200111160324437"</f>
        <v>20200111160324437</v>
      </c>
      <c r="B5355" t="str">
        <f>"1578729804428224"</f>
        <v>1578729804428224</v>
      </c>
      <c r="C5355" t="s">
        <v>37</v>
      </c>
      <c r="D5355">
        <v>4.3949480000000003</v>
      </c>
      <c r="E5355">
        <v>0.52483359999999901</v>
      </c>
      <c r="F5355" t="s">
        <v>42</v>
      </c>
      <c r="G5355">
        <v>-257.66449999999998</v>
      </c>
      <c r="H5355">
        <v>1.031401</v>
      </c>
      <c r="I5355">
        <v>-63.26455</v>
      </c>
      <c r="J5355">
        <v>-258.31389999999999</v>
      </c>
      <c r="K5355">
        <v>1.10466</v>
      </c>
      <c r="L5355">
        <v>-63.282809999999998</v>
      </c>
      <c r="M5355">
        <v>0.99939140000000004</v>
      </c>
      <c r="N5355">
        <v>0</v>
      </c>
      <c r="O5355">
        <v>3.1930529999999999E-2</v>
      </c>
      <c r="P5355">
        <v>0.99567090000000003</v>
      </c>
      <c r="Q5355">
        <v>-2.416768E-2</v>
      </c>
      <c r="R5355">
        <v>8.975255E-2</v>
      </c>
      <c r="S5355">
        <v>2.9981230000000001</v>
      </c>
      <c r="T5355">
        <v>-0.29773559999999999</v>
      </c>
      <c r="U5355">
        <v>8.69751E-2</v>
      </c>
      <c r="V5355">
        <v>-5.790824E-2</v>
      </c>
      <c r="W5355">
        <v>-1.016688E-2</v>
      </c>
      <c r="X5355">
        <v>0.998270199999999</v>
      </c>
      <c r="Y5355">
        <v>2.7669299999999999E-3</v>
      </c>
      <c r="Z5355">
        <v>-3.2990609999999998E-3</v>
      </c>
      <c r="AA5355">
        <v>0.99999069999999901</v>
      </c>
      <c r="AB5355">
        <v>18</v>
      </c>
      <c r="AC5355">
        <v>0.64940000000001397</v>
      </c>
      <c r="AD5355">
        <v>-7.3258999999999894E-2</v>
      </c>
      <c r="AE5355">
        <v>1.8259999999997899E-2</v>
      </c>
      <c r="AF5355">
        <v>2.4558161204926801E-3</v>
      </c>
      <c r="AG5355">
        <v>-7.3258999999999894E-2</v>
      </c>
      <c r="AH5355">
        <v>0.64149459465180803</v>
      </c>
      <c r="AI5355">
        <v>96.514934600098798</v>
      </c>
      <c r="AJ5355">
        <v>89.780657214021701</v>
      </c>
      <c r="AK5355">
        <v>0.645668821518668</v>
      </c>
    </row>
    <row r="5356" spans="1:37" x14ac:dyDescent="0.2">
      <c r="A5356" t="str">
        <f>"20200111160324449"</f>
        <v>20200111160324449</v>
      </c>
      <c r="B5356" t="str">
        <f>"1578729804438960"</f>
        <v>1578729804438960</v>
      </c>
      <c r="C5356" t="s">
        <v>37</v>
      </c>
      <c r="D5356">
        <v>4.4603999999999999</v>
      </c>
      <c r="E5356">
        <v>0.52544060000000004</v>
      </c>
      <c r="F5356" t="s">
        <v>42</v>
      </c>
      <c r="G5356">
        <v>-257.5068</v>
      </c>
      <c r="H5356">
        <v>1.0260469999999999</v>
      </c>
      <c r="I5356">
        <v>-63.2613699999999</v>
      </c>
      <c r="J5356">
        <v>-258.21969999999999</v>
      </c>
      <c r="K5356">
        <v>1.1046590000000001</v>
      </c>
      <c r="L5356">
        <v>-63.27966</v>
      </c>
      <c r="M5356">
        <v>0.99938669999999996</v>
      </c>
      <c r="N5356">
        <v>0</v>
      </c>
      <c r="O5356">
        <v>3.2078450000000001E-2</v>
      </c>
      <c r="P5356">
        <v>0.99563880000000005</v>
      </c>
      <c r="Q5356">
        <v>-2.459977E-2</v>
      </c>
      <c r="R5356">
        <v>8.9991199999999993E-2</v>
      </c>
      <c r="S5356">
        <v>2.9987180000000002</v>
      </c>
      <c r="T5356">
        <v>-0.29201749999999999</v>
      </c>
      <c r="U5356">
        <v>8.0596920000000002E-2</v>
      </c>
      <c r="V5356">
        <v>-5.8000330000000003E-2</v>
      </c>
      <c r="W5356">
        <v>-1.059736E-2</v>
      </c>
      <c r="X5356">
        <v>0.99826029999999999</v>
      </c>
      <c r="Y5356">
        <v>5.0410419999999999E-3</v>
      </c>
      <c r="Z5356">
        <v>-3.3602929999999999E-3</v>
      </c>
      <c r="AA5356">
        <v>0.99998159999999903</v>
      </c>
      <c r="AB5356">
        <v>18</v>
      </c>
      <c r="AC5356">
        <v>0.71289999999998999</v>
      </c>
      <c r="AD5356">
        <v>-7.8612000000000098E-2</v>
      </c>
      <c r="AE5356">
        <v>1.8290000000007401E-2</v>
      </c>
      <c r="AF5356">
        <v>4.5352857559163599E-3</v>
      </c>
      <c r="AG5356">
        <v>-7.8612000000000098E-2</v>
      </c>
      <c r="AH5356">
        <v>0.704558274686923</v>
      </c>
      <c r="AI5356">
        <v>96.366387469501205</v>
      </c>
      <c r="AJ5356">
        <v>89.631188571537194</v>
      </c>
      <c r="AK5356">
        <v>0.70894483409550402</v>
      </c>
    </row>
    <row r="5357" spans="1:37" x14ac:dyDescent="0.2">
      <c r="A5357" t="str">
        <f>"20200111160324462"</f>
        <v>20200111160324462</v>
      </c>
      <c r="B5357" t="str">
        <f>"1578729804458480"</f>
        <v>1578729804458480</v>
      </c>
      <c r="C5357" t="s">
        <v>37</v>
      </c>
      <c r="D5357">
        <v>4.4846059999999897</v>
      </c>
      <c r="E5357">
        <v>0.52599810000000002</v>
      </c>
      <c r="F5357" t="s">
        <v>42</v>
      </c>
      <c r="G5357">
        <v>-257.34910000000002</v>
      </c>
      <c r="H5357">
        <v>1.021315</v>
      </c>
      <c r="I5357">
        <v>-63.257759999999998</v>
      </c>
      <c r="J5357">
        <v>-258.1155</v>
      </c>
      <c r="K5357">
        <v>1.1046579999999999</v>
      </c>
      <c r="L5357">
        <v>-63.276119999999999</v>
      </c>
      <c r="M5357">
        <v>0.99938139999999998</v>
      </c>
      <c r="N5357">
        <v>0</v>
      </c>
      <c r="O5357">
        <v>3.2242630000000001E-2</v>
      </c>
      <c r="P5357">
        <v>0.99560759999999904</v>
      </c>
      <c r="Q5357">
        <v>-2.5039949999999998E-2</v>
      </c>
      <c r="R5357">
        <v>9.0215550000000005E-2</v>
      </c>
      <c r="S5357">
        <v>2.9991460000000001</v>
      </c>
      <c r="T5357">
        <v>-0.28712290000000001</v>
      </c>
      <c r="U5357">
        <v>7.6080320000000007E-2</v>
      </c>
      <c r="V5357">
        <v>-5.8061450000000001E-2</v>
      </c>
      <c r="W5357">
        <v>-1.103612E-2</v>
      </c>
      <c r="X5357">
        <v>0.99825200000000003</v>
      </c>
      <c r="Y5357">
        <v>6.7115269999999897E-3</v>
      </c>
      <c r="Z5357">
        <v>-3.3992809999999901E-3</v>
      </c>
      <c r="AA5357">
        <v>0.99997169999999902</v>
      </c>
      <c r="AB5357">
        <v>18</v>
      </c>
      <c r="AC5357">
        <v>0.76639999999997599</v>
      </c>
      <c r="AD5357">
        <v>-8.3342999999999903E-2</v>
      </c>
      <c r="AE5357">
        <v>1.8360000000001198E-2</v>
      </c>
      <c r="AF5357">
        <v>6.2884143030394199E-3</v>
      </c>
      <c r="AG5357">
        <v>-8.3342999999999903E-2</v>
      </c>
      <c r="AH5357">
        <v>0.75763900004385099</v>
      </c>
      <c r="AI5357">
        <v>96.277286488382401</v>
      </c>
      <c r="AJ5357">
        <v>89.524455148154601</v>
      </c>
      <c r="AK5357">
        <v>0.76223516987272</v>
      </c>
    </row>
    <row r="5358" spans="1:37" x14ac:dyDescent="0.2">
      <c r="A5358" t="str">
        <f>"20200111160324478"</f>
        <v>20200111160324478</v>
      </c>
      <c r="B5358" t="str">
        <f>"1578729804468240"</f>
        <v>1578729804468240</v>
      </c>
      <c r="C5358" t="s">
        <v>37</v>
      </c>
      <c r="D5358">
        <v>4.4774010000000004</v>
      </c>
      <c r="E5358">
        <v>0.5263312</v>
      </c>
      <c r="F5358" t="s">
        <v>42</v>
      </c>
      <c r="G5358">
        <v>-257.34390000000002</v>
      </c>
      <c r="H5358">
        <v>1.0319069999999999</v>
      </c>
      <c r="I5358">
        <v>-63.257809999999999</v>
      </c>
      <c r="J5358">
        <v>-257.99239999999998</v>
      </c>
      <c r="K5358">
        <v>1.1046530000000001</v>
      </c>
      <c r="L5358">
        <v>-63.271880000000003</v>
      </c>
      <c r="M5358">
        <v>0.99937520000000002</v>
      </c>
      <c r="N5358">
        <v>0</v>
      </c>
      <c r="O5358">
        <v>3.2436619999999999E-2</v>
      </c>
      <c r="P5358">
        <v>0.99546520000000005</v>
      </c>
      <c r="Q5358">
        <v>-2.5887190000000001E-2</v>
      </c>
      <c r="R5358">
        <v>9.1537279999999999E-2</v>
      </c>
      <c r="S5358">
        <v>2.999603</v>
      </c>
      <c r="T5358">
        <v>-0.28286990000000001</v>
      </c>
      <c r="U5358">
        <v>7.1899409999999997E-2</v>
      </c>
      <c r="V5358">
        <v>-5.9193259999999998E-2</v>
      </c>
      <c r="W5358">
        <v>-1.1883339999999999E-2</v>
      </c>
      <c r="X5358">
        <v>0.99817579999999995</v>
      </c>
      <c r="Y5358">
        <v>8.2997839999999993E-3</v>
      </c>
      <c r="Z5358">
        <v>-3.4416709999999999E-3</v>
      </c>
      <c r="AA5358">
        <v>0.99995959999999995</v>
      </c>
      <c r="AB5358">
        <v>18</v>
      </c>
      <c r="AC5358">
        <v>0.648499999999955</v>
      </c>
      <c r="AD5358">
        <v>-7.2746000000000199E-2</v>
      </c>
      <c r="AE5358">
        <v>1.40700000000038E-2</v>
      </c>
      <c r="AF5358">
        <v>6.8879926624201898E-3</v>
      </c>
      <c r="AG5358">
        <v>-7.2746000000000199E-2</v>
      </c>
      <c r="AH5358">
        <v>0.640558500155743</v>
      </c>
      <c r="AI5358">
        <v>96.478751586853406</v>
      </c>
      <c r="AJ5358">
        <v>89.383916225151196</v>
      </c>
      <c r="AK5358">
        <v>0.64471281752474296</v>
      </c>
    </row>
    <row r="5359" spans="1:37" x14ac:dyDescent="0.2">
      <c r="A5359" t="str">
        <f>"20200111160324500"</f>
        <v>20200111160324500</v>
      </c>
      <c r="B5359" t="str">
        <f>"1578729804488735"</f>
        <v>1578729804488735</v>
      </c>
      <c r="C5359" t="s">
        <v>37</v>
      </c>
      <c r="D5359">
        <v>4.4767400000000004</v>
      </c>
      <c r="E5359">
        <v>0.5267714</v>
      </c>
      <c r="F5359" t="s">
        <v>42</v>
      </c>
      <c r="G5359">
        <v>-257.1859</v>
      </c>
      <c r="H5359">
        <v>1.0287249999999999</v>
      </c>
      <c r="I5359">
        <v>-63.252699999999997</v>
      </c>
      <c r="J5359">
        <v>-257.81650000000002</v>
      </c>
      <c r="K5359">
        <v>1.104636</v>
      </c>
      <c r="L5359">
        <v>-63.265809999999902</v>
      </c>
      <c r="M5359">
        <v>0.99936599999999998</v>
      </c>
      <c r="N5359">
        <v>0</v>
      </c>
      <c r="O5359">
        <v>3.2713689999999997E-2</v>
      </c>
      <c r="P5359">
        <v>0.99533280000000002</v>
      </c>
      <c r="Q5359">
        <v>-2.7087980000000001E-2</v>
      </c>
      <c r="R5359">
        <v>9.2622940000000001E-2</v>
      </c>
      <c r="S5359">
        <v>2.9996489999999998</v>
      </c>
      <c r="T5359">
        <v>-0.2823484</v>
      </c>
      <c r="U5359">
        <v>7.2540279999999999E-2</v>
      </c>
      <c r="V5359">
        <v>-6.0005290000000003E-2</v>
      </c>
      <c r="W5359">
        <v>-1.308401E-2</v>
      </c>
      <c r="X5359">
        <v>0.99811229999999995</v>
      </c>
      <c r="Y5359">
        <v>8.3630400000000004E-3</v>
      </c>
      <c r="Z5359">
        <v>-3.4642659999999902E-3</v>
      </c>
      <c r="AA5359">
        <v>0.99995909999999999</v>
      </c>
      <c r="AB5359">
        <v>18</v>
      </c>
      <c r="AC5359">
        <v>0.63060000000001504</v>
      </c>
      <c r="AD5359">
        <v>-7.5911000000000006E-2</v>
      </c>
      <c r="AE5359">
        <v>1.31099999999975E-2</v>
      </c>
      <c r="AF5359">
        <v>7.42081838442435E-3</v>
      </c>
      <c r="AG5359">
        <v>-7.5911000000000006E-2</v>
      </c>
      <c r="AH5359">
        <v>0.62168630315358298</v>
      </c>
      <c r="AI5359">
        <v>96.961147577651104</v>
      </c>
      <c r="AJ5359">
        <v>89.316115893321594</v>
      </c>
      <c r="AK5359">
        <v>0.62634767341729902</v>
      </c>
    </row>
    <row r="5360" spans="1:37" x14ac:dyDescent="0.2">
      <c r="A5360" t="str">
        <f>"20200111160324512"</f>
        <v>20200111160324512</v>
      </c>
      <c r="B5360" t="str">
        <f>"1578729804508256"</f>
        <v>1578729804508256</v>
      </c>
      <c r="C5360" t="s">
        <v>37</v>
      </c>
      <c r="D5360">
        <v>4.5295319999999997</v>
      </c>
      <c r="E5360">
        <v>0.52732889999999999</v>
      </c>
      <c r="F5360" t="s">
        <v>42</v>
      </c>
      <c r="G5360">
        <v>-257.0258</v>
      </c>
      <c r="H5360">
        <v>1.0301389999999999</v>
      </c>
      <c r="I5360">
        <v>-63.246809999999897</v>
      </c>
      <c r="J5360">
        <v>-257.72719999999998</v>
      </c>
      <c r="K5360">
        <v>1.104633</v>
      </c>
      <c r="L5360">
        <v>-63.262729999999998</v>
      </c>
      <c r="M5360">
        <v>0.99936150000000001</v>
      </c>
      <c r="N5360">
        <v>0</v>
      </c>
      <c r="O5360">
        <v>3.2854099999999997E-2</v>
      </c>
      <c r="P5360">
        <v>0.99526130000000002</v>
      </c>
      <c r="Q5360">
        <v>-2.779674E-2</v>
      </c>
      <c r="R5360">
        <v>9.3180810000000003E-2</v>
      </c>
      <c r="S5360">
        <v>2.9996640000000001</v>
      </c>
      <c r="T5360">
        <v>-0.28262609999999999</v>
      </c>
      <c r="U5360">
        <v>7.1746829999999998E-2</v>
      </c>
      <c r="V5360">
        <v>-6.042496E-2</v>
      </c>
      <c r="W5360">
        <v>-1.3793049999999999E-2</v>
      </c>
      <c r="X5360">
        <v>0.99807749999999995</v>
      </c>
      <c r="Y5360">
        <v>8.7652559999999904E-3</v>
      </c>
      <c r="Z5360">
        <v>-3.4997509999999902E-3</v>
      </c>
      <c r="AA5360">
        <v>0.9999555</v>
      </c>
      <c r="AB5360">
        <v>18</v>
      </c>
      <c r="AC5360">
        <v>0.70139999999997804</v>
      </c>
      <c r="AD5360">
        <v>-7.4494000000000005E-2</v>
      </c>
      <c r="AE5360">
        <v>1.5920000000008299E-2</v>
      </c>
      <c r="AF5360">
        <v>7.0551922303064103E-3</v>
      </c>
      <c r="AG5360">
        <v>-7.4494000000000005E-2</v>
      </c>
      <c r="AH5360">
        <v>0.69372316575339299</v>
      </c>
      <c r="AI5360">
        <v>96.1287856064435</v>
      </c>
      <c r="AJ5360">
        <v>89.417319728226801</v>
      </c>
      <c r="AK5360">
        <v>0.69774706196179404</v>
      </c>
    </row>
    <row r="5361" spans="1:37" x14ac:dyDescent="0.2">
      <c r="A5361" t="str">
        <f>"20200111160324521"</f>
        <v>20200111160324521</v>
      </c>
      <c r="B5361" t="str">
        <f>"1578729804518992"</f>
        <v>1578729804518992</v>
      </c>
      <c r="C5361" t="s">
        <v>37</v>
      </c>
      <c r="D5361">
        <v>4.5124839999999997</v>
      </c>
      <c r="E5361">
        <v>0.52740480000000001</v>
      </c>
      <c r="F5361" t="s">
        <v>42</v>
      </c>
      <c r="G5361">
        <v>-256.87009999999998</v>
      </c>
      <c r="H5361">
        <v>1.0236749999999999</v>
      </c>
      <c r="I5361">
        <v>-63.243250000000003</v>
      </c>
      <c r="J5361">
        <v>-257.63909999999998</v>
      </c>
      <c r="K5361">
        <v>1.1046309999999999</v>
      </c>
      <c r="L5361">
        <v>-63.2596699999999</v>
      </c>
      <c r="M5361">
        <v>0.99935699999999905</v>
      </c>
      <c r="N5361">
        <v>0</v>
      </c>
      <c r="O5361">
        <v>3.2992849999999997E-2</v>
      </c>
      <c r="P5361">
        <v>0.99524089999999998</v>
      </c>
      <c r="Q5361">
        <v>-2.8478819999999998E-2</v>
      </c>
      <c r="R5361">
        <v>9.3192510000000006E-2</v>
      </c>
      <c r="S5361">
        <v>2.9999389999999999</v>
      </c>
      <c r="T5361">
        <v>-0.28332049999999998</v>
      </c>
      <c r="U5361">
        <v>6.8786620000000007E-2</v>
      </c>
      <c r="V5361">
        <v>-6.0298249999999998E-2</v>
      </c>
      <c r="W5361">
        <v>-1.4475119999999999E-2</v>
      </c>
      <c r="X5361">
        <v>0.99807539999999995</v>
      </c>
      <c r="Y5361">
        <v>9.8859610000000004E-3</v>
      </c>
      <c r="Z5361">
        <v>-3.5739090000000001E-3</v>
      </c>
      <c r="AA5361">
        <v>0.99994470000000002</v>
      </c>
      <c r="AB5361">
        <v>18</v>
      </c>
      <c r="AC5361">
        <v>0.76900000000000501</v>
      </c>
      <c r="AD5361">
        <v>-8.0956E-2</v>
      </c>
      <c r="AE5361">
        <v>1.6419999999989401E-2</v>
      </c>
      <c r="AF5361">
        <v>8.8647423958867592E-3</v>
      </c>
      <c r="AG5361">
        <v>-8.0956E-2</v>
      </c>
      <c r="AH5361">
        <v>0.76069633644717405</v>
      </c>
      <c r="AI5361">
        <v>96.074345244997602</v>
      </c>
      <c r="AJ5361">
        <v>89.332336293372293</v>
      </c>
      <c r="AK5361">
        <v>0.76504338038956798</v>
      </c>
    </row>
    <row r="5362" spans="1:37" x14ac:dyDescent="0.2">
      <c r="A5362" t="str">
        <f>"20200111160324533"</f>
        <v>20200111160324533</v>
      </c>
      <c r="B5362" t="str">
        <f>"1578729804528752"</f>
        <v>1578729804528752</v>
      </c>
      <c r="C5362" t="s">
        <v>37</v>
      </c>
      <c r="D5362">
        <v>4.5234639999999997</v>
      </c>
      <c r="E5362">
        <v>0.52751740000000003</v>
      </c>
      <c r="F5362" t="s">
        <v>42</v>
      </c>
      <c r="G5362">
        <v>-256.86630000000002</v>
      </c>
      <c r="H5362">
        <v>1.031266</v>
      </c>
      <c r="I5362">
        <v>-63.242330000000003</v>
      </c>
      <c r="J5362">
        <v>-257.54860000000002</v>
      </c>
      <c r="K5362">
        <v>1.1046309999999999</v>
      </c>
      <c r="L5362">
        <v>-63.256500000000003</v>
      </c>
      <c r="M5362">
        <v>0.99935229999999997</v>
      </c>
      <c r="N5362">
        <v>0</v>
      </c>
      <c r="O5362">
        <v>3.3136260000000001E-2</v>
      </c>
      <c r="P5362">
        <v>0.99520259999999905</v>
      </c>
      <c r="Q5362">
        <v>-2.9038599999999901E-2</v>
      </c>
      <c r="R5362">
        <v>9.3428750000000005E-2</v>
      </c>
      <c r="S5362">
        <v>2.9998320000000001</v>
      </c>
      <c r="T5362">
        <v>-0.2847655</v>
      </c>
      <c r="U5362">
        <v>6.8023680000000003E-2</v>
      </c>
      <c r="V5362">
        <v>-6.0392469999999997E-2</v>
      </c>
      <c r="W5362">
        <v>-1.503525E-2</v>
      </c>
      <c r="X5362">
        <v>0.99806149999999905</v>
      </c>
      <c r="Y5362">
        <v>1.027844E-2</v>
      </c>
      <c r="Z5362">
        <v>-3.6243529999999999E-3</v>
      </c>
      <c r="AA5362">
        <v>0.99994059999999996</v>
      </c>
      <c r="AB5362">
        <v>18</v>
      </c>
      <c r="AC5362">
        <v>0.68229999999999702</v>
      </c>
      <c r="AD5362">
        <v>-7.3364999999999903E-2</v>
      </c>
      <c r="AE5362">
        <v>1.417E-2</v>
      </c>
      <c r="AF5362">
        <v>8.352353259189E-3</v>
      </c>
      <c r="AG5362">
        <v>-7.3364999999999903E-2</v>
      </c>
      <c r="AH5362">
        <v>0.67459858272404305</v>
      </c>
      <c r="AI5362">
        <v>96.206255265906606</v>
      </c>
      <c r="AJ5362">
        <v>89.290644611507901</v>
      </c>
      <c r="AK5362">
        <v>0.67862760984449599</v>
      </c>
    </row>
    <row r="5363" spans="1:37" x14ac:dyDescent="0.2">
      <c r="A5363" t="str">
        <f>"20200111160324545"</f>
        <v>20200111160324545</v>
      </c>
      <c r="B5363" t="str">
        <f>"1578729804538512"</f>
        <v>1578729804538512</v>
      </c>
      <c r="C5363" t="s">
        <v>37</v>
      </c>
      <c r="D5363">
        <v>4.5056859999999999</v>
      </c>
      <c r="E5363">
        <v>0.52763519999999997</v>
      </c>
      <c r="F5363" t="s">
        <v>42</v>
      </c>
      <c r="G5363">
        <v>-256.71089999999998</v>
      </c>
      <c r="H5363">
        <v>1.0245930000000001</v>
      </c>
      <c r="I5363">
        <v>-63.237679999999997</v>
      </c>
      <c r="J5363">
        <v>-257.45710000000003</v>
      </c>
      <c r="K5363">
        <v>1.104633</v>
      </c>
      <c r="L5363">
        <v>-63.253329999999998</v>
      </c>
      <c r="M5363">
        <v>0.99934730000000005</v>
      </c>
      <c r="N5363">
        <v>0</v>
      </c>
      <c r="O5363">
        <v>3.3282949999999999E-2</v>
      </c>
      <c r="P5363">
        <v>0.99519290000000005</v>
      </c>
      <c r="Q5363">
        <v>-2.9575400000000002E-2</v>
      </c>
      <c r="R5363">
        <v>9.3361239999999998E-2</v>
      </c>
      <c r="S5363">
        <v>2.999771</v>
      </c>
      <c r="T5363">
        <v>-0.28664959999999901</v>
      </c>
      <c r="U5363">
        <v>6.7718509999999996E-2</v>
      </c>
      <c r="V5363">
        <v>-6.0178280000000001E-2</v>
      </c>
      <c r="W5363">
        <v>-1.5572310000000001E-2</v>
      </c>
      <c r="X5363">
        <v>0.99806620000000001</v>
      </c>
      <c r="Y5363">
        <v>1.052208E-2</v>
      </c>
      <c r="Z5363">
        <v>-3.6738949999999999E-3</v>
      </c>
      <c r="AA5363">
        <v>0.99993790000000005</v>
      </c>
      <c r="AB5363">
        <v>18</v>
      </c>
      <c r="AC5363">
        <v>0.74620000000004405</v>
      </c>
      <c r="AD5363">
        <v>-8.0039999999999806E-2</v>
      </c>
      <c r="AE5363">
        <v>1.5650000000000799E-2</v>
      </c>
      <c r="AF5363">
        <v>9.0922940336355205E-3</v>
      </c>
      <c r="AG5363">
        <v>-8.0039999999999806E-2</v>
      </c>
      <c r="AH5363">
        <v>0.73782218504052</v>
      </c>
      <c r="AI5363">
        <v>96.190850075413707</v>
      </c>
      <c r="AJ5363">
        <v>89.293971207855904</v>
      </c>
      <c r="AK5363">
        <v>0.74220660745426004</v>
      </c>
    </row>
    <row r="5364" spans="1:37" x14ac:dyDescent="0.2">
      <c r="A5364" t="str">
        <f>"20200111160324556"</f>
        <v>20200111160324556</v>
      </c>
      <c r="B5364" t="str">
        <f>"1578729804548271"</f>
        <v>1578729804548271</v>
      </c>
      <c r="C5364" t="s">
        <v>37</v>
      </c>
      <c r="D5364">
        <v>4.5628010000000003</v>
      </c>
      <c r="E5364">
        <v>0.52773269999999906</v>
      </c>
      <c r="F5364" t="s">
        <v>42</v>
      </c>
      <c r="G5364">
        <v>-256.70710000000003</v>
      </c>
      <c r="H5364">
        <v>1.0324759999999999</v>
      </c>
      <c r="I5364">
        <v>-63.236819999999902</v>
      </c>
      <c r="J5364">
        <v>-257.36799999999999</v>
      </c>
      <c r="K5364">
        <v>1.104635</v>
      </c>
      <c r="L5364">
        <v>-63.250149999999998</v>
      </c>
      <c r="M5364">
        <v>0.99934239999999996</v>
      </c>
      <c r="N5364">
        <v>0</v>
      </c>
      <c r="O5364">
        <v>3.3429670000000002E-2</v>
      </c>
      <c r="P5364">
        <v>0.99520409999999904</v>
      </c>
      <c r="Q5364">
        <v>-3.0027689999999999E-2</v>
      </c>
      <c r="R5364">
        <v>9.3099749999999995E-2</v>
      </c>
      <c r="S5364">
        <v>2.9996800000000001</v>
      </c>
      <c r="T5364">
        <v>-0.28863490000000003</v>
      </c>
      <c r="U5364">
        <v>6.6375729999999994E-2</v>
      </c>
      <c r="V5364">
        <v>-5.9770459999999997E-2</v>
      </c>
      <c r="W5364">
        <v>-1.6024989999999999E-2</v>
      </c>
      <c r="X5364">
        <v>0.99808349999999901</v>
      </c>
      <c r="Y5364">
        <v>1.110941E-2</v>
      </c>
      <c r="Z5364">
        <v>-3.7416239999999998E-3</v>
      </c>
      <c r="AA5364">
        <v>0.99993129999999997</v>
      </c>
      <c r="AB5364">
        <v>18</v>
      </c>
      <c r="AC5364">
        <v>0.66089999999996896</v>
      </c>
      <c r="AD5364">
        <v>-7.2159000000000001E-2</v>
      </c>
      <c r="AE5364">
        <v>1.3330000000003299E-2</v>
      </c>
      <c r="AF5364">
        <v>8.6699877701407503E-3</v>
      </c>
      <c r="AG5364">
        <v>-7.2159000000000001E-2</v>
      </c>
      <c r="AH5364">
        <v>0.65319270643651695</v>
      </c>
      <c r="AI5364">
        <v>96.303422904445199</v>
      </c>
      <c r="AJ5364">
        <v>89.239543654862999</v>
      </c>
      <c r="AK5364">
        <v>0.65722355535296795</v>
      </c>
    </row>
    <row r="5365" spans="1:37" x14ac:dyDescent="0.2">
      <c r="A5365" t="str">
        <f>"20200111160324566"</f>
        <v>20200111160324566</v>
      </c>
      <c r="B5365" t="str">
        <f>"1578729804559010"</f>
        <v>1578729804559010</v>
      </c>
      <c r="C5365" t="s">
        <v>37</v>
      </c>
      <c r="D5365">
        <v>4.6122930000000002</v>
      </c>
      <c r="E5365">
        <v>0.52786759999999999</v>
      </c>
      <c r="F5365" t="s">
        <v>42</v>
      </c>
      <c r="G5365">
        <v>-256.55200000000002</v>
      </c>
      <c r="H5365">
        <v>1.025876</v>
      </c>
      <c r="I5365">
        <v>-63.232680000000002</v>
      </c>
      <c r="J5365">
        <v>-257.28109999999998</v>
      </c>
      <c r="K5365">
        <v>1.104644</v>
      </c>
      <c r="L5365">
        <v>-63.247100000000003</v>
      </c>
      <c r="M5365">
        <v>0.99933760000000005</v>
      </c>
      <c r="N5365">
        <v>0</v>
      </c>
      <c r="O5365">
        <v>3.3574729999999997E-2</v>
      </c>
      <c r="P5365">
        <v>0.99520299999999995</v>
      </c>
      <c r="Q5365">
        <v>-3.0550979999999998E-2</v>
      </c>
      <c r="R5365">
        <v>9.2940640000000005E-2</v>
      </c>
      <c r="S5365">
        <v>2.9996640000000001</v>
      </c>
      <c r="T5365">
        <v>-0.28952840000000002</v>
      </c>
      <c r="U5365">
        <v>6.4727779999999999E-2</v>
      </c>
      <c r="V5365">
        <v>-5.9466320000000003E-2</v>
      </c>
      <c r="W5365">
        <v>-1.6549029999999999E-2</v>
      </c>
      <c r="X5365">
        <v>0.99809309999999996</v>
      </c>
      <c r="Y5365">
        <v>1.1798380000000001E-2</v>
      </c>
      <c r="Z5365">
        <v>-3.8003309999999901E-3</v>
      </c>
      <c r="AA5365">
        <v>0.99992320000000001</v>
      </c>
      <c r="AB5365">
        <v>18</v>
      </c>
      <c r="AC5365">
        <v>0.729099999999959</v>
      </c>
      <c r="AD5365">
        <v>-7.8767999999999894E-2</v>
      </c>
      <c r="AE5365">
        <v>1.4420000000001199E-2</v>
      </c>
      <c r="AF5365">
        <v>9.95375043743176E-3</v>
      </c>
      <c r="AG5365">
        <v>-7.8767999999999894E-2</v>
      </c>
      <c r="AH5365">
        <v>0.72076397137198001</v>
      </c>
      <c r="AI5365">
        <v>96.236174430369104</v>
      </c>
      <c r="AJ5365">
        <v>89.208795581413696</v>
      </c>
      <c r="AK5365">
        <v>0.72512356009143697</v>
      </c>
    </row>
    <row r="5366" spans="1:37" x14ac:dyDescent="0.2">
      <c r="A5366" t="str">
        <f>"20200111160324578"</f>
        <v>20200111160324578</v>
      </c>
      <c r="B5366" t="str">
        <f>"1578729804568768"</f>
        <v>1578729804568768</v>
      </c>
      <c r="C5366" t="s">
        <v>37</v>
      </c>
      <c r="D5366">
        <v>4.5871690000000003</v>
      </c>
      <c r="E5366">
        <v>0.52802519999999997</v>
      </c>
      <c r="F5366" t="s">
        <v>42</v>
      </c>
      <c r="G5366">
        <v>-256.548</v>
      </c>
      <c r="H5366">
        <v>1.0338879999999999</v>
      </c>
      <c r="I5366">
        <v>-63.231830000000002</v>
      </c>
      <c r="J5366">
        <v>-257.195999999999</v>
      </c>
      <c r="K5366">
        <v>1.104649</v>
      </c>
      <c r="L5366">
        <v>-63.244050000000001</v>
      </c>
      <c r="M5366">
        <v>0.99933249999999996</v>
      </c>
      <c r="N5366">
        <v>0</v>
      </c>
      <c r="O5366">
        <v>3.3724959999999998E-2</v>
      </c>
      <c r="P5366">
        <v>0.99520030000000004</v>
      </c>
      <c r="Q5366">
        <v>-3.092278E-2</v>
      </c>
      <c r="R5366">
        <v>9.2846780000000004E-2</v>
      </c>
      <c r="S5366">
        <v>2.999695</v>
      </c>
      <c r="T5366">
        <v>-0.2895123</v>
      </c>
      <c r="U5366">
        <v>6.30188E-2</v>
      </c>
      <c r="V5366">
        <v>-5.922227E-2</v>
      </c>
      <c r="W5366">
        <v>-1.6922119999999999E-2</v>
      </c>
      <c r="X5366">
        <v>0.99810140000000003</v>
      </c>
      <c r="Y5366">
        <v>1.2514330000000001E-2</v>
      </c>
      <c r="Z5366">
        <v>-3.8490359999999901E-3</v>
      </c>
      <c r="AA5366">
        <v>0.99991430000000003</v>
      </c>
      <c r="AB5366">
        <v>18</v>
      </c>
      <c r="AC5366">
        <v>0.64799999999996705</v>
      </c>
      <c r="AD5366">
        <v>-7.0761000000000004E-2</v>
      </c>
      <c r="AE5366">
        <v>1.22199999999992E-2</v>
      </c>
      <c r="AF5366">
        <v>9.5292906384178699E-3</v>
      </c>
      <c r="AG5366">
        <v>-7.0761000000000004E-2</v>
      </c>
      <c r="AH5366">
        <v>0.64040966285549605</v>
      </c>
      <c r="AI5366">
        <v>96.304532828230904</v>
      </c>
      <c r="AJ5366">
        <v>89.147502175792496</v>
      </c>
      <c r="AK5366">
        <v>0.64437757780649196</v>
      </c>
    </row>
    <row r="5367" spans="1:37" x14ac:dyDescent="0.2">
      <c r="A5367" t="str">
        <f>"20200111160324590"</f>
        <v>20200111160324590</v>
      </c>
      <c r="B5367" t="str">
        <f>"1578729804578528"</f>
        <v>1578729804578528</v>
      </c>
      <c r="C5367" t="s">
        <v>37</v>
      </c>
      <c r="D5367">
        <v>4.5884369999999999</v>
      </c>
      <c r="E5367">
        <v>0.52805329999999995</v>
      </c>
      <c r="F5367" t="s">
        <v>42</v>
      </c>
      <c r="G5367">
        <v>-256.39339999999999</v>
      </c>
      <c r="H5367">
        <v>1.0269740000000001</v>
      </c>
      <c r="I5367">
        <v>-63.227649999999997</v>
      </c>
      <c r="J5367">
        <v>-257.10520000000002</v>
      </c>
      <c r="K5367">
        <v>1.1046579999999999</v>
      </c>
      <c r="L5367">
        <v>-63.240809999999897</v>
      </c>
      <c r="M5367">
        <v>0.99932710000000002</v>
      </c>
      <c r="N5367">
        <v>0</v>
      </c>
      <c r="O5367">
        <v>3.3887609999999999E-2</v>
      </c>
      <c r="P5367">
        <v>0.99523269999999997</v>
      </c>
      <c r="Q5367">
        <v>-3.0983699999999999E-2</v>
      </c>
      <c r="R5367">
        <v>9.2477699999999996E-2</v>
      </c>
      <c r="S5367">
        <v>2.99974099999999</v>
      </c>
      <c r="T5367">
        <v>-0.29029829999999901</v>
      </c>
      <c r="U5367">
        <v>6.14624E-2</v>
      </c>
      <c r="V5367">
        <v>-5.8689640000000001E-2</v>
      </c>
      <c r="W5367">
        <v>-1.6984139999999998E-2</v>
      </c>
      <c r="X5367">
        <v>0.99813180000000001</v>
      </c>
      <c r="Y5367">
        <v>1.319089E-2</v>
      </c>
      <c r="Z5367">
        <v>-3.9077570000000004E-3</v>
      </c>
      <c r="AA5367">
        <v>0.9999053</v>
      </c>
      <c r="AB5367">
        <v>18</v>
      </c>
      <c r="AC5367">
        <v>0.71180000000003896</v>
      </c>
      <c r="AD5367">
        <v>-7.7683999999999795E-2</v>
      </c>
      <c r="AE5367">
        <v>1.31599999999991E-2</v>
      </c>
      <c r="AF5367">
        <v>1.08420416230018E-2</v>
      </c>
      <c r="AG5367">
        <v>-7.7683999999999795E-2</v>
      </c>
      <c r="AH5367">
        <v>0.70346106030685895</v>
      </c>
      <c r="AI5367">
        <v>96.300961660180405</v>
      </c>
      <c r="AJ5367">
        <v>89.117002943170803</v>
      </c>
      <c r="AK5367">
        <v>0.70782046953348599</v>
      </c>
    </row>
    <row r="5368" spans="1:37" x14ac:dyDescent="0.2">
      <c r="A5368" t="str">
        <f>"20200111160324600"</f>
        <v>20200111160324600</v>
      </c>
      <c r="B5368" t="str">
        <f>"1578729804588287"</f>
        <v>1578729804588287</v>
      </c>
      <c r="C5368" t="s">
        <v>37</v>
      </c>
      <c r="D5368">
        <v>4.6155089999999896</v>
      </c>
      <c r="E5368">
        <v>0.52813429999999995</v>
      </c>
      <c r="F5368" t="s">
        <v>42</v>
      </c>
      <c r="G5368">
        <v>-256.23880000000003</v>
      </c>
      <c r="H5368">
        <v>1.0206629999999901</v>
      </c>
      <c r="I5368">
        <v>-63.223579999999998</v>
      </c>
      <c r="J5368">
        <v>-257.017</v>
      </c>
      <c r="K5368">
        <v>1.1046750000000001</v>
      </c>
      <c r="L5368">
        <v>-63.237639999999999</v>
      </c>
      <c r="M5368">
        <v>0.99932099999999902</v>
      </c>
      <c r="N5368">
        <v>0</v>
      </c>
      <c r="O5368">
        <v>3.4059079999999999E-2</v>
      </c>
      <c r="P5368">
        <v>0.99526569999999903</v>
      </c>
      <c r="Q5368">
        <v>-3.090095E-2</v>
      </c>
      <c r="R5368">
        <v>9.2148079999999993E-2</v>
      </c>
      <c r="S5368">
        <v>2.999695</v>
      </c>
      <c r="T5368">
        <v>-0.29076819999999998</v>
      </c>
      <c r="U5368">
        <v>6.0211180000000003E-2</v>
      </c>
      <c r="V5368">
        <v>-5.8187099999999999E-2</v>
      </c>
      <c r="W5368">
        <v>-1.6903069999999999E-2</v>
      </c>
      <c r="X5368">
        <v>0.99816260000000001</v>
      </c>
      <c r="Y5368">
        <v>1.37747999999999E-2</v>
      </c>
      <c r="Z5368">
        <v>-3.9589389999999999E-3</v>
      </c>
      <c r="AA5368">
        <v>0.99989729999999999</v>
      </c>
      <c r="AB5368">
        <v>18</v>
      </c>
      <c r="AC5368">
        <v>0.77819999999996903</v>
      </c>
      <c r="AD5368">
        <v>-8.4012000000000198E-2</v>
      </c>
      <c r="AE5368">
        <v>1.40599999999935E-2</v>
      </c>
      <c r="AF5368">
        <v>1.23121061750291E-2</v>
      </c>
      <c r="AG5368">
        <v>-8.4012000000000198E-2</v>
      </c>
      <c r="AH5368">
        <v>0.76926472831851</v>
      </c>
      <c r="AI5368">
        <v>96.231824381747799</v>
      </c>
      <c r="AJ5368">
        <v>89.083057536203</v>
      </c>
      <c r="AK5368">
        <v>0.77393657772288804</v>
      </c>
    </row>
    <row r="5369" spans="1:37" x14ac:dyDescent="0.2">
      <c r="A5369" t="str">
        <f>"20200111160324612"</f>
        <v>20200111160324612</v>
      </c>
      <c r="B5369" t="str">
        <f>"1578729804608784"</f>
        <v>1578729804608784</v>
      </c>
      <c r="C5369" t="s">
        <v>37</v>
      </c>
      <c r="D5369">
        <v>4.622808</v>
      </c>
      <c r="E5369">
        <v>0.52803180000000005</v>
      </c>
      <c r="F5369" t="s">
        <v>42</v>
      </c>
      <c r="G5369">
        <v>-256.23469999999998</v>
      </c>
      <c r="H5369">
        <v>1.0290429999999999</v>
      </c>
      <c r="I5369">
        <v>-63.222519999999903</v>
      </c>
      <c r="J5369">
        <v>-256.93060000000003</v>
      </c>
      <c r="K5369">
        <v>1.104689</v>
      </c>
      <c r="L5369">
        <v>-63.234499999999997</v>
      </c>
      <c r="M5369">
        <v>0.99931530000000002</v>
      </c>
      <c r="N5369">
        <v>0</v>
      </c>
      <c r="O5369">
        <v>3.4230440000000001E-2</v>
      </c>
      <c r="P5369">
        <v>0.99529020000000001</v>
      </c>
      <c r="Q5369">
        <v>-3.0543279999999999E-2</v>
      </c>
      <c r="R5369">
        <v>9.2003929999999998E-2</v>
      </c>
      <c r="S5369">
        <v>2.9998469999999999</v>
      </c>
      <c r="T5369">
        <v>-0.28998400000000002</v>
      </c>
      <c r="U5369">
        <v>5.8563230000000001E-2</v>
      </c>
      <c r="V5369">
        <v>-5.7871409999999998E-2</v>
      </c>
      <c r="W5369">
        <v>-1.6547249999999999E-2</v>
      </c>
      <c r="X5369">
        <v>0.99818689999999999</v>
      </c>
      <c r="Y5369">
        <v>1.449342E-2</v>
      </c>
      <c r="Z5369">
        <v>-3.9993040000000004E-3</v>
      </c>
      <c r="AA5369">
        <v>0.99988699999999997</v>
      </c>
      <c r="AB5369">
        <v>18</v>
      </c>
      <c r="AC5369">
        <v>0.69590000000005103</v>
      </c>
      <c r="AD5369">
        <v>-7.5646000000000102E-2</v>
      </c>
      <c r="AE5369">
        <v>1.19800000000012E-2</v>
      </c>
      <c r="AF5369">
        <v>1.1711984167946299E-2</v>
      </c>
      <c r="AG5369">
        <v>-7.5646000000000102E-2</v>
      </c>
      <c r="AH5369">
        <v>0.68777770098038205</v>
      </c>
      <c r="AI5369">
        <v>96.275610101583993</v>
      </c>
      <c r="AJ5369">
        <v>89.024419649060206</v>
      </c>
      <c r="AK5369">
        <v>0.69202431594201297</v>
      </c>
    </row>
    <row r="5370" spans="1:37" x14ac:dyDescent="0.2">
      <c r="A5370" t="str">
        <f>"20200111160324623"</f>
        <v>20200111160324623</v>
      </c>
      <c r="B5370" t="str">
        <f>"1578729804618544"</f>
        <v>1578729804618544</v>
      </c>
      <c r="C5370" t="s">
        <v>37</v>
      </c>
      <c r="D5370">
        <v>4.6488649999999998</v>
      </c>
      <c r="E5370">
        <v>0.52803180000000005</v>
      </c>
      <c r="F5370" t="s">
        <v>42</v>
      </c>
      <c r="G5370">
        <v>-256.0804</v>
      </c>
      <c r="H5370">
        <v>1.0230900000000001</v>
      </c>
      <c r="I5370">
        <v>-63.217790000000001</v>
      </c>
      <c r="J5370">
        <v>-256.84320000000002</v>
      </c>
      <c r="K5370">
        <v>1.104703</v>
      </c>
      <c r="L5370">
        <v>-63.231290000000001</v>
      </c>
      <c r="M5370">
        <v>0.99930889999999895</v>
      </c>
      <c r="N5370">
        <v>0</v>
      </c>
      <c r="O5370">
        <v>3.4415170000000002E-2</v>
      </c>
      <c r="P5370">
        <v>0.99533749999999999</v>
      </c>
      <c r="Q5370">
        <v>-2.9855599999999999E-2</v>
      </c>
      <c r="R5370">
        <v>9.1715930000000001E-2</v>
      </c>
      <c r="S5370">
        <v>2.999908</v>
      </c>
      <c r="T5370">
        <v>-0.2878829</v>
      </c>
      <c r="U5370">
        <v>5.8990479999999998E-2</v>
      </c>
      <c r="V5370">
        <v>-5.739702E-2</v>
      </c>
      <c r="W5370">
        <v>-1.5861500000000001E-2</v>
      </c>
      <c r="X5370">
        <v>0.99822549999999899</v>
      </c>
      <c r="Y5370">
        <v>1.4538529999999999E-2</v>
      </c>
      <c r="Z5370">
        <v>-3.9902089999999998E-3</v>
      </c>
      <c r="AA5370">
        <v>0.99988630000000001</v>
      </c>
      <c r="AB5370">
        <v>18</v>
      </c>
      <c r="AC5370">
        <v>0.76280000000002701</v>
      </c>
      <c r="AD5370">
        <v>-8.1612999999999894E-2</v>
      </c>
      <c r="AE5370">
        <v>1.3500000000000499E-2</v>
      </c>
      <c r="AF5370">
        <v>1.26180848610525E-2</v>
      </c>
      <c r="AG5370">
        <v>-8.1612999999999894E-2</v>
      </c>
      <c r="AH5370">
        <v>0.75418216396514703</v>
      </c>
      <c r="AI5370">
        <v>96.175309379630207</v>
      </c>
      <c r="AJ5370">
        <v>89.041484144539297</v>
      </c>
      <c r="AK5370">
        <v>0.75869007788273701</v>
      </c>
    </row>
    <row r="5371" spans="1:37" x14ac:dyDescent="0.2">
      <c r="A5371" t="str">
        <f>"20200111160324635"</f>
        <v>20200111160324635</v>
      </c>
      <c r="B5371" t="str">
        <f>"1578729804628304"</f>
        <v>1578729804628304</v>
      </c>
      <c r="C5371" t="s">
        <v>37</v>
      </c>
      <c r="D5371">
        <v>4.6654439999999999</v>
      </c>
      <c r="E5371">
        <v>0.50350790000000001</v>
      </c>
      <c r="F5371" t="s">
        <v>42</v>
      </c>
      <c r="G5371">
        <v>-256.07619999999997</v>
      </c>
      <c r="H5371">
        <v>1.031587</v>
      </c>
      <c r="I5371">
        <v>-63.216409999999897</v>
      </c>
      <c r="J5371">
        <v>-256.7448</v>
      </c>
      <c r="K5371">
        <v>1.1047169999999999</v>
      </c>
      <c r="L5371">
        <v>-63.227629999999998</v>
      </c>
      <c r="M5371">
        <v>0.99930160000000001</v>
      </c>
      <c r="N5371">
        <v>0</v>
      </c>
      <c r="O5371">
        <v>3.4632610000000001E-2</v>
      </c>
      <c r="P5371">
        <v>0.99536270000000004</v>
      </c>
      <c r="Q5371">
        <v>-2.8878709999999998E-2</v>
      </c>
      <c r="R5371">
        <v>9.1758329999999999E-2</v>
      </c>
      <c r="S5371">
        <v>3.0001069999999999</v>
      </c>
      <c r="T5371">
        <v>-0.28598079999999998</v>
      </c>
      <c r="U5371">
        <v>5.825806E-2</v>
      </c>
      <c r="V5371">
        <v>-5.7221279999999999E-2</v>
      </c>
      <c r="W5371">
        <v>-1.4887269999999999E-2</v>
      </c>
      <c r="X5371">
        <v>0.99825049999999904</v>
      </c>
      <c r="Y5371">
        <v>1.50013E-2</v>
      </c>
      <c r="Z5371">
        <v>-4.0063879999999996E-3</v>
      </c>
      <c r="AA5371">
        <v>0.99987939999999997</v>
      </c>
      <c r="AB5371">
        <v>18</v>
      </c>
      <c r="AC5371">
        <v>0.66860000000002595</v>
      </c>
      <c r="AD5371">
        <v>-7.3129999999999903E-2</v>
      </c>
      <c r="AE5371">
        <v>1.12200000000086E-2</v>
      </c>
      <c r="AF5371">
        <v>1.1803207081707699E-2</v>
      </c>
      <c r="AG5371">
        <v>-7.3129999999999903E-2</v>
      </c>
      <c r="AH5371">
        <v>0.66068556235107601</v>
      </c>
      <c r="AI5371">
        <v>96.315247351594905</v>
      </c>
      <c r="AJ5371">
        <v>88.976514614588694</v>
      </c>
      <c r="AK5371">
        <v>0.66482533412661904</v>
      </c>
    </row>
    <row r="5372" spans="1:37" x14ac:dyDescent="0.2">
      <c r="A5372" t="str">
        <f>"20200111160324645"</f>
        <v>20200111160324645</v>
      </c>
      <c r="B5372" t="str">
        <f>"1578729804639040"</f>
        <v>1578729804639040</v>
      </c>
      <c r="C5372" t="s">
        <v>37</v>
      </c>
      <c r="D5372">
        <v>4.6460720000000002</v>
      </c>
      <c r="E5372">
        <v>0.49868990000000002</v>
      </c>
      <c r="F5372" t="s">
        <v>95</v>
      </c>
      <c r="G5372">
        <v>-242.61949999999999</v>
      </c>
      <c r="H5372" s="1">
        <v>-5.5028840000000001E-7</v>
      </c>
      <c r="I5372">
        <v>-62.035040000000002</v>
      </c>
      <c r="J5372">
        <v>-256.65910000000002</v>
      </c>
      <c r="K5372">
        <v>1.1047370000000001</v>
      </c>
      <c r="L5372">
        <v>-63.224460000000001</v>
      </c>
      <c r="M5372">
        <v>0.99929460000000003</v>
      </c>
      <c r="N5372">
        <v>0</v>
      </c>
      <c r="O5372">
        <v>3.4830229999999997E-2</v>
      </c>
      <c r="P5372">
        <v>0.99536819999999904</v>
      </c>
      <c r="Q5372">
        <v>-2.799716E-2</v>
      </c>
      <c r="R5372">
        <v>9.1971979999999995E-2</v>
      </c>
      <c r="S5372">
        <v>2.983978</v>
      </c>
      <c r="T5372">
        <v>-0.23337179999999999</v>
      </c>
      <c r="U5372">
        <v>0.2519226</v>
      </c>
      <c r="V5372">
        <v>-5.7237250000000003E-2</v>
      </c>
      <c r="W5372">
        <v>-1.4008369999999999E-2</v>
      </c>
      <c r="X5372">
        <v>0.99826229999999905</v>
      </c>
      <c r="Y5372">
        <v>-4.9320650000000001E-2</v>
      </c>
      <c r="Z5372">
        <v>-7.9161529999999996E-4</v>
      </c>
      <c r="AA5372">
        <v>0.99878269999999902</v>
      </c>
      <c r="AB5372">
        <v>18</v>
      </c>
      <c r="AC5372">
        <v>14.0396</v>
      </c>
      <c r="AD5372">
        <v>-1.10473755028839</v>
      </c>
      <c r="AE5372">
        <v>1.1894199999999899</v>
      </c>
      <c r="AF5372">
        <v>-0.69537261434697695</v>
      </c>
      <c r="AG5372">
        <v>-1.10473755028839</v>
      </c>
      <c r="AH5372">
        <v>13.9865285223632</v>
      </c>
      <c r="AI5372">
        <v>94.510630192010595</v>
      </c>
      <c r="AJ5372">
        <v>92.846248609573294</v>
      </c>
      <c r="AK5372">
        <v>14.047311779649499</v>
      </c>
    </row>
    <row r="5373" spans="1:37" x14ac:dyDescent="0.2">
      <c r="A5373" t="str">
        <f>"20200111160324656"</f>
        <v>20200111160324656</v>
      </c>
      <c r="B5373" t="str">
        <f>"1578729804648800"</f>
        <v>1578729804648800</v>
      </c>
      <c r="C5373" t="s">
        <v>37</v>
      </c>
      <c r="D5373">
        <v>4.6851180000000001</v>
      </c>
      <c r="E5373">
        <v>0.4958169</v>
      </c>
      <c r="F5373" t="s">
        <v>95</v>
      </c>
      <c r="G5373">
        <v>-242.42009999999999</v>
      </c>
      <c r="H5373" s="1">
        <v>-4.1144559999999902E-7</v>
      </c>
      <c r="I5373">
        <v>-61.834719999999997</v>
      </c>
      <c r="J5373">
        <v>-256.57670000000002</v>
      </c>
      <c r="K5373">
        <v>1.1047559999999901</v>
      </c>
      <c r="L5373">
        <v>-63.221339999999998</v>
      </c>
      <c r="M5373">
        <v>0.9992875</v>
      </c>
      <c r="N5373">
        <v>0</v>
      </c>
      <c r="O5373">
        <v>3.5032969999999997E-2</v>
      </c>
      <c r="P5373">
        <v>0.99537940000000003</v>
      </c>
      <c r="Q5373">
        <v>-2.7043950000000001E-2</v>
      </c>
      <c r="R5373">
        <v>9.2135259999999997E-2</v>
      </c>
      <c r="S5373">
        <v>2.9805759999999899</v>
      </c>
      <c r="T5373">
        <v>-0.23124919999999999</v>
      </c>
      <c r="U5373">
        <v>0.29089359999999997</v>
      </c>
      <c r="V5373">
        <v>-5.7197989999999997E-2</v>
      </c>
      <c r="W5373">
        <v>-1.3057569999999999E-2</v>
      </c>
      <c r="X5373">
        <v>0.99827749999999904</v>
      </c>
      <c r="Y5373">
        <v>-6.2123949999999997E-2</v>
      </c>
      <c r="Z5373">
        <v>-3.056019E-4</v>
      </c>
      <c r="AA5373">
        <v>0.99806839999999997</v>
      </c>
      <c r="AB5373">
        <v>18</v>
      </c>
      <c r="AC5373">
        <v>14.156599999999999</v>
      </c>
      <c r="AD5373">
        <v>-1.1047564114456001</v>
      </c>
      <c r="AE5373">
        <v>1.38662</v>
      </c>
      <c r="AF5373">
        <v>-0.88443700769481004</v>
      </c>
      <c r="AG5373">
        <v>-1.1047564114456001</v>
      </c>
      <c r="AH5373">
        <v>14.1113693980504</v>
      </c>
      <c r="AI5373">
        <v>94.467732876656001</v>
      </c>
      <c r="AJ5373">
        <v>93.586350043058601</v>
      </c>
      <c r="AK5373">
        <v>14.182152933791301</v>
      </c>
    </row>
    <row r="5374" spans="1:37" x14ac:dyDescent="0.2">
      <c r="A5374" t="str">
        <f>"20200111160324667"</f>
        <v>20200111160324667</v>
      </c>
      <c r="B5374" t="str">
        <f>"1578729804658560"</f>
        <v>1578729804658560</v>
      </c>
      <c r="C5374" t="s">
        <v>37</v>
      </c>
      <c r="D5374">
        <v>8.7898940000000003</v>
      </c>
      <c r="E5374">
        <v>0.4958169</v>
      </c>
      <c r="F5374" t="s">
        <v>95</v>
      </c>
      <c r="G5374">
        <v>-242.1294</v>
      </c>
      <c r="H5374" s="1">
        <v>-2.5013620000000002E-7</v>
      </c>
      <c r="I5374">
        <v>-61.697139999999997</v>
      </c>
      <c r="J5374">
        <v>-256.49079999999998</v>
      </c>
      <c r="K5374">
        <v>1.1047739999999999</v>
      </c>
      <c r="L5374">
        <v>-63.21808</v>
      </c>
      <c r="M5374">
        <v>0.99927999999999995</v>
      </c>
      <c r="N5374">
        <v>0</v>
      </c>
      <c r="O5374">
        <v>3.5248939999999999E-2</v>
      </c>
      <c r="P5374">
        <v>0.995328199999999</v>
      </c>
      <c r="Q5374">
        <v>-2.5397099999999999E-2</v>
      </c>
      <c r="R5374">
        <v>9.3151929999999994E-2</v>
      </c>
      <c r="S5374">
        <v>2.9786830000000002</v>
      </c>
      <c r="T5374">
        <v>-0.22777339999999999</v>
      </c>
      <c r="U5374">
        <v>0.3142395</v>
      </c>
      <c r="V5374">
        <v>-5.8000290000000003E-2</v>
      </c>
      <c r="W5374">
        <v>-1.1414219999999999E-2</v>
      </c>
      <c r="X5374">
        <v>0.99825129999999995</v>
      </c>
      <c r="Y5374">
        <v>-6.9691459999999997E-2</v>
      </c>
      <c r="Z5374" s="1">
        <v>-2.930779E-5</v>
      </c>
      <c r="AA5374">
        <v>0.99756859999999903</v>
      </c>
      <c r="AB5374">
        <v>18</v>
      </c>
      <c r="AC5374">
        <v>14.3613999999999</v>
      </c>
      <c r="AD5374">
        <v>-1.1047742501361999</v>
      </c>
      <c r="AE5374">
        <v>1.52094</v>
      </c>
      <c r="AF5374">
        <v>-1.0078227977373899</v>
      </c>
      <c r="AG5374">
        <v>-1.1047742501361999</v>
      </c>
      <c r="AH5374">
        <v>14.3222753501057</v>
      </c>
      <c r="AI5374">
        <v>94.400040350854596</v>
      </c>
      <c r="AJ5374">
        <v>94.025126276558495</v>
      </c>
      <c r="AK5374">
        <v>14.4001320875765</v>
      </c>
    </row>
    <row r="5375" spans="1:37" x14ac:dyDescent="0.2">
      <c r="A5375" t="str">
        <f>"20200111160324680"</f>
        <v>20200111160324680</v>
      </c>
      <c r="B5375" t="str">
        <f>"1578729804668320"</f>
        <v>1578729804668320</v>
      </c>
      <c r="C5375" t="s">
        <v>37</v>
      </c>
      <c r="D5375">
        <v>4.6821060000000001</v>
      </c>
      <c r="E5375">
        <v>0.43031589999999997</v>
      </c>
      <c r="F5375" t="s">
        <v>95</v>
      </c>
      <c r="G5375">
        <v>-241.72370000000001</v>
      </c>
      <c r="H5375" s="1">
        <v>-6.2258100000000006E-8</v>
      </c>
      <c r="I5375">
        <v>-61.645180000000003</v>
      </c>
      <c r="J5375">
        <v>-256.4006</v>
      </c>
      <c r="K5375">
        <v>1.1047899999999999</v>
      </c>
      <c r="L5375">
        <v>-63.21463</v>
      </c>
      <c r="M5375">
        <v>0.99927149999999998</v>
      </c>
      <c r="N5375">
        <v>0</v>
      </c>
      <c r="O5375">
        <v>3.5491830000000002E-2</v>
      </c>
      <c r="P5375">
        <v>0.99528660000000002</v>
      </c>
      <c r="Q5375">
        <v>-2.3991820000000001E-2</v>
      </c>
      <c r="R5375">
        <v>9.3965339999999994E-2</v>
      </c>
      <c r="S5375">
        <v>2.9786990000000002</v>
      </c>
      <c r="T5375">
        <v>-0.222846299999999</v>
      </c>
      <c r="U5375">
        <v>0.31726070000000001</v>
      </c>
      <c r="V5375">
        <v>-5.8572359999999997E-2</v>
      </c>
      <c r="W5375">
        <v>-1.0012299999999899E-2</v>
      </c>
      <c r="X5375">
        <v>0.99823300000000004</v>
      </c>
      <c r="Y5375">
        <v>-7.0451840000000002E-2</v>
      </c>
      <c r="Z5375" s="1">
        <v>-1.8409919999999999E-5</v>
      </c>
      <c r="AA5375">
        <v>0.99751520000000005</v>
      </c>
      <c r="AB5375">
        <v>18</v>
      </c>
      <c r="AC5375">
        <v>14.6768999999999</v>
      </c>
      <c r="AD5375">
        <v>-1.1047900622580999</v>
      </c>
      <c r="AE5375">
        <v>1.56945</v>
      </c>
      <c r="AF5375">
        <v>-1.0416641592871001</v>
      </c>
      <c r="AG5375">
        <v>-1.1047900622580999</v>
      </c>
      <c r="AH5375">
        <v>14.641336741798799</v>
      </c>
      <c r="AI5375">
        <v>94.304346351128302</v>
      </c>
      <c r="AJ5375">
        <v>94.069475844259202</v>
      </c>
      <c r="AK5375">
        <v>14.7198630051082</v>
      </c>
    </row>
    <row r="5376" spans="1:37" x14ac:dyDescent="0.2">
      <c r="A5376" t="str">
        <f>"20200111160324691"</f>
        <v>20200111160324691</v>
      </c>
      <c r="B5376" t="str">
        <f>"1578729804688816"</f>
        <v>1578729804688816</v>
      </c>
      <c r="C5376" t="s">
        <v>37</v>
      </c>
      <c r="D5376">
        <v>4.5506330000000004</v>
      </c>
      <c r="E5376">
        <v>0.48380529999999999</v>
      </c>
      <c r="F5376" t="s">
        <v>74</v>
      </c>
      <c r="G5376">
        <v>-157.93819999999999</v>
      </c>
      <c r="H5376">
        <v>30.01258</v>
      </c>
      <c r="I5376">
        <v>-36.393909999999998</v>
      </c>
      <c r="J5376">
        <v>-256.31049999999999</v>
      </c>
      <c r="K5376">
        <v>1.104805</v>
      </c>
      <c r="L5376">
        <v>-63.211119999999902</v>
      </c>
      <c r="M5376">
        <v>0.9992626</v>
      </c>
      <c r="N5376">
        <v>0</v>
      </c>
      <c r="O5376">
        <v>3.5739180000000002E-2</v>
      </c>
      <c r="P5376">
        <v>0.99519709999999995</v>
      </c>
      <c r="Q5376">
        <v>-2.3172499999999999E-2</v>
      </c>
      <c r="R5376">
        <v>9.5111680000000004E-2</v>
      </c>
      <c r="S5376">
        <v>2.9590450000000001</v>
      </c>
      <c r="T5376">
        <v>0.86875190000000002</v>
      </c>
      <c r="U5376">
        <v>0.80603029999999998</v>
      </c>
      <c r="V5376">
        <v>-5.9474329999999999E-2</v>
      </c>
      <c r="W5376">
        <v>-9.1969389999999995E-3</v>
      </c>
      <c r="X5376">
        <v>0.99818750000000001</v>
      </c>
      <c r="Y5376">
        <v>-0.22089739999999999</v>
      </c>
      <c r="Z5376">
        <v>-2.1131219999999999E-2</v>
      </c>
      <c r="AA5376">
        <v>0.97506809999999999</v>
      </c>
      <c r="AB5376">
        <v>18</v>
      </c>
      <c r="AC5376">
        <v>98.372299999999996</v>
      </c>
      <c r="AD5376">
        <v>28.907775000000001</v>
      </c>
      <c r="AE5376">
        <v>26.817209999999999</v>
      </c>
      <c r="AF5376">
        <v>-21.551646772185201</v>
      </c>
      <c r="AG5376">
        <v>28.907775000000001</v>
      </c>
      <c r="AH5376">
        <v>91.882392647231896</v>
      </c>
      <c r="AI5376">
        <v>72.969964482792903</v>
      </c>
      <c r="AJ5376">
        <v>103.200488297482</v>
      </c>
      <c r="AK5376">
        <v>98.704138781632494</v>
      </c>
    </row>
    <row r="5377" spans="1:37" x14ac:dyDescent="0.2">
      <c r="A5377" t="str">
        <f>"20200111160324703"</f>
        <v>20200111160324703</v>
      </c>
      <c r="B5377" t="str">
        <f>"1578729804698577"</f>
        <v>1578729804698577</v>
      </c>
      <c r="C5377" t="s">
        <v>37</v>
      </c>
      <c r="D5377">
        <v>4.605442</v>
      </c>
      <c r="E5377">
        <v>0.484485</v>
      </c>
      <c r="F5377" t="s">
        <v>97</v>
      </c>
      <c r="G5377">
        <v>-239.1696</v>
      </c>
      <c r="H5377" s="1">
        <v>-3.0316369999999999E-6</v>
      </c>
      <c r="I5377">
        <v>-60.799969999999902</v>
      </c>
      <c r="J5377">
        <v>-256.21440000000001</v>
      </c>
      <c r="K5377">
        <v>1.1048169999999999</v>
      </c>
      <c r="L5377">
        <v>-63.207340000000002</v>
      </c>
      <c r="M5377">
        <v>0.99925269999999999</v>
      </c>
      <c r="N5377">
        <v>0</v>
      </c>
      <c r="O5377">
        <v>3.6016600000000003E-2</v>
      </c>
      <c r="P5377">
        <v>0.99510589999999999</v>
      </c>
      <c r="Q5377">
        <v>-2.2505609999999999E-2</v>
      </c>
      <c r="R5377">
        <v>9.6219840000000001E-2</v>
      </c>
      <c r="S5377">
        <v>2.9701230000000001</v>
      </c>
      <c r="T5377">
        <v>-0.19143779999999999</v>
      </c>
      <c r="U5377">
        <v>0.41778559999999998</v>
      </c>
      <c r="V5377">
        <v>-6.0308569999999999E-2</v>
      </c>
      <c r="W5377">
        <v>-8.5338380000000002E-3</v>
      </c>
      <c r="X5377">
        <v>0.99814329999999996</v>
      </c>
      <c r="Y5377">
        <v>-0.1033951</v>
      </c>
      <c r="Z5377">
        <v>1.0063299999999999E-3</v>
      </c>
      <c r="AA5377">
        <v>0.99463989999999902</v>
      </c>
      <c r="AB5377">
        <v>18</v>
      </c>
      <c r="AC5377">
        <v>17.044799999999999</v>
      </c>
      <c r="AD5377">
        <v>-1.104820031637</v>
      </c>
      <c r="AE5377">
        <v>2.4073699999999998</v>
      </c>
      <c r="AF5377">
        <v>-1.78450074090142</v>
      </c>
      <c r="AG5377">
        <v>-1.104820031637</v>
      </c>
      <c r="AH5377">
        <v>17.0502182316283</v>
      </c>
      <c r="AI5377">
        <v>93.687383923513195</v>
      </c>
      <c r="AJ5377">
        <v>95.974906905835098</v>
      </c>
      <c r="AK5377">
        <v>17.178911838144298</v>
      </c>
    </row>
    <row r="5378" spans="1:37" x14ac:dyDescent="0.2">
      <c r="A5378" t="str">
        <f>"20200111160324714"</f>
        <v>20200111160324714</v>
      </c>
      <c r="B5378" t="str">
        <f>"1578729804708336"</f>
        <v>1578729804708336</v>
      </c>
      <c r="C5378" t="s">
        <v>37</v>
      </c>
      <c r="D5378">
        <v>4.556451</v>
      </c>
      <c r="E5378">
        <v>0.48527900000000002</v>
      </c>
      <c r="F5378" t="s">
        <v>97</v>
      </c>
      <c r="G5378">
        <v>-239.18389999999999</v>
      </c>
      <c r="H5378" s="1">
        <v>-3.04401299999999E-6</v>
      </c>
      <c r="I5378">
        <v>-60.823329999999999</v>
      </c>
      <c r="J5378">
        <v>-256.13389999999998</v>
      </c>
      <c r="K5378">
        <v>1.1048229999999899</v>
      </c>
      <c r="L5378">
        <v>-63.204189999999997</v>
      </c>
      <c r="M5378">
        <v>0.99924409999999897</v>
      </c>
      <c r="N5378">
        <v>0</v>
      </c>
      <c r="O5378">
        <v>3.6252840000000001E-2</v>
      </c>
      <c r="P5378">
        <v>0.99501249999999997</v>
      </c>
      <c r="Q5378">
        <v>-2.2074170000000001E-2</v>
      </c>
      <c r="R5378">
        <v>9.7280069999999996E-2</v>
      </c>
      <c r="S5378">
        <v>2.9702000000000002</v>
      </c>
      <c r="T5378">
        <v>-0.1926861</v>
      </c>
      <c r="U5378">
        <v>0.41577150000000002</v>
      </c>
      <c r="V5378">
        <v>-6.1135490000000001E-2</v>
      </c>
      <c r="W5378">
        <v>-8.1056459999999993E-3</v>
      </c>
      <c r="X5378">
        <v>0.9980966</v>
      </c>
      <c r="Y5378">
        <v>-0.102495499999999</v>
      </c>
      <c r="Z5378">
        <v>9.6867399999999999E-4</v>
      </c>
      <c r="AA5378">
        <v>0.99473299999999998</v>
      </c>
      <c r="AB5378">
        <v>18</v>
      </c>
      <c r="AC5378">
        <v>16.9499999999999</v>
      </c>
      <c r="AD5378">
        <v>-1.104826044013</v>
      </c>
      <c r="AE5378">
        <v>2.38085999999999</v>
      </c>
      <c r="AF5378">
        <v>-1.75742629277859</v>
      </c>
      <c r="AG5378">
        <v>-1.104826044013</v>
      </c>
      <c r="AH5378">
        <v>16.954537409828401</v>
      </c>
      <c r="AI5378">
        <v>93.708538863962602</v>
      </c>
      <c r="AJ5378">
        <v>95.917872304266496</v>
      </c>
      <c r="AK5378">
        <v>17.081145352210701</v>
      </c>
    </row>
    <row r="5379" spans="1:37" x14ac:dyDescent="0.2">
      <c r="A5379" t="str">
        <f>"20200111160324724"</f>
        <v>20200111160324724</v>
      </c>
      <c r="B5379" t="str">
        <f>"1578729804719072"</f>
        <v>1578729804719072</v>
      </c>
      <c r="C5379" t="s">
        <v>37</v>
      </c>
      <c r="D5379">
        <v>4.6243290000000004</v>
      </c>
      <c r="E5379">
        <v>0.48571329999999902</v>
      </c>
      <c r="F5379" t="s">
        <v>97</v>
      </c>
      <c r="G5379">
        <v>-239.50360000000001</v>
      </c>
      <c r="H5379" s="1">
        <v>-3.1984370000000001E-6</v>
      </c>
      <c r="I5379">
        <v>-60.892499999999998</v>
      </c>
      <c r="J5379">
        <v>-256.04320000000001</v>
      </c>
      <c r="K5379">
        <v>1.1048279999999999</v>
      </c>
      <c r="L5379">
        <v>-63.200559999999903</v>
      </c>
      <c r="M5379">
        <v>0.99923430000000002</v>
      </c>
      <c r="N5379">
        <v>0</v>
      </c>
      <c r="O5379">
        <v>3.6525170000000003E-2</v>
      </c>
      <c r="P5379">
        <v>0.99492639999999999</v>
      </c>
      <c r="Q5379">
        <v>-2.1384199999999999E-2</v>
      </c>
      <c r="R5379">
        <v>9.8308279999999998E-2</v>
      </c>
      <c r="S5379">
        <v>2.970291</v>
      </c>
      <c r="T5379">
        <v>-0.19732939999999999</v>
      </c>
      <c r="U5379">
        <v>0.41287229999999903</v>
      </c>
      <c r="V5379">
        <v>-6.1894919999999999E-2</v>
      </c>
      <c r="W5379">
        <v>-7.4187890000000003E-3</v>
      </c>
      <c r="X5379">
        <v>0.99805509999999997</v>
      </c>
      <c r="Y5379">
        <v>-0.1012643</v>
      </c>
      <c r="Z5379">
        <v>9.3337800000000001E-4</v>
      </c>
      <c r="AA5379">
        <v>0.9948591</v>
      </c>
      <c r="AB5379">
        <v>17</v>
      </c>
      <c r="AC5379">
        <v>16.5396</v>
      </c>
      <c r="AD5379">
        <v>-1.1048311984370001</v>
      </c>
      <c r="AE5379">
        <v>2.30805999999999</v>
      </c>
      <c r="AF5379">
        <v>-1.6949299460971501</v>
      </c>
      <c r="AG5379">
        <v>-1.1048311984370001</v>
      </c>
      <c r="AH5379">
        <v>16.5404761904826</v>
      </c>
      <c r="AI5379">
        <v>93.801581808194001</v>
      </c>
      <c r="AJ5379">
        <v>95.850771739685399</v>
      </c>
      <c r="AK5379">
        <v>16.6637568425352</v>
      </c>
    </row>
    <row r="5380" spans="1:37" x14ac:dyDescent="0.2">
      <c r="A5380" t="str">
        <f>"20200111160324737"</f>
        <v>20200111160324737</v>
      </c>
      <c r="B5380" t="str">
        <f>"1578729804728832"</f>
        <v>1578729804728832</v>
      </c>
      <c r="C5380" t="s">
        <v>37</v>
      </c>
      <c r="D5380">
        <v>4.5500189999999998</v>
      </c>
      <c r="E5380">
        <v>0.48621300000000001</v>
      </c>
      <c r="F5380" t="s">
        <v>97</v>
      </c>
      <c r="G5380">
        <v>-239.58349999999999</v>
      </c>
      <c r="H5380" s="1">
        <v>-3.2294540000000002E-6</v>
      </c>
      <c r="I5380">
        <v>-60.914059999999999</v>
      </c>
      <c r="J5380">
        <v>-255.95320000000001</v>
      </c>
      <c r="K5380">
        <v>1.1048340000000001</v>
      </c>
      <c r="L5380">
        <v>-63.196959999999997</v>
      </c>
      <c r="M5380">
        <v>0.99922429999999995</v>
      </c>
      <c r="N5380">
        <v>0</v>
      </c>
      <c r="O5380">
        <v>3.6799190000000002E-2</v>
      </c>
      <c r="P5380">
        <v>0.99480999999999997</v>
      </c>
      <c r="Q5380">
        <v>-2.0987570000000001E-2</v>
      </c>
      <c r="R5380">
        <v>9.9561830000000004E-2</v>
      </c>
      <c r="S5380">
        <v>2.970215</v>
      </c>
      <c r="T5380">
        <v>-0.1993713</v>
      </c>
      <c r="U5380">
        <v>0.41259770000000001</v>
      </c>
      <c r="V5380">
        <v>-6.2877799999999998E-2</v>
      </c>
      <c r="W5380">
        <v>-7.0253700000000004E-3</v>
      </c>
      <c r="X5380">
        <v>0.99799649999999995</v>
      </c>
      <c r="Y5380">
        <v>-0.1009032</v>
      </c>
      <c r="Z5380">
        <v>9.1274249999999998E-4</v>
      </c>
      <c r="AA5380">
        <v>0.9948958</v>
      </c>
      <c r="AB5380">
        <v>17</v>
      </c>
      <c r="AC5380">
        <v>16.369700000000002</v>
      </c>
      <c r="AD5380">
        <v>-1.1048372294540001</v>
      </c>
      <c r="AE5380">
        <v>2.2828999999999899</v>
      </c>
      <c r="AF5380">
        <v>-1.67143391731409</v>
      </c>
      <c r="AG5380">
        <v>-1.1048372294540001</v>
      </c>
      <c r="AH5380">
        <v>16.369482422529401</v>
      </c>
      <c r="AI5380">
        <v>93.841336825307494</v>
      </c>
      <c r="AJ5380">
        <v>95.830078260554899</v>
      </c>
      <c r="AK5380">
        <v>16.4916436847585</v>
      </c>
    </row>
    <row r="5381" spans="1:37" x14ac:dyDescent="0.2">
      <c r="A5381" t="str">
        <f>"20200111160324751"</f>
        <v>20200111160324751</v>
      </c>
      <c r="B5381" t="str">
        <f>"1578729804738592"</f>
        <v>1578729804738592</v>
      </c>
      <c r="C5381" t="s">
        <v>37</v>
      </c>
      <c r="D5381">
        <v>4.5053470000000004</v>
      </c>
      <c r="E5381">
        <v>0.4862863</v>
      </c>
      <c r="F5381" t="s">
        <v>97</v>
      </c>
      <c r="G5381">
        <v>-239.63630000000001</v>
      </c>
      <c r="H5381" s="1">
        <v>-3.2503780000000001E-6</v>
      </c>
      <c r="I5381">
        <v>-60.930709999999998</v>
      </c>
      <c r="J5381">
        <v>-255.85059999999999</v>
      </c>
      <c r="K5381">
        <v>1.1048370000000001</v>
      </c>
      <c r="L5381">
        <v>-63.192839999999997</v>
      </c>
      <c r="M5381">
        <v>0.99921260000000001</v>
      </c>
      <c r="N5381">
        <v>0</v>
      </c>
      <c r="O5381">
        <v>3.71142E-2</v>
      </c>
      <c r="P5381">
        <v>0.99467700000000003</v>
      </c>
      <c r="Q5381">
        <v>-2.054769E-2</v>
      </c>
      <c r="R5381">
        <v>0.10097250000000001</v>
      </c>
      <c r="S5381">
        <v>2.9701080000000002</v>
      </c>
      <c r="T5381">
        <v>-0.2011096</v>
      </c>
      <c r="U5381">
        <v>0.41250609999999999</v>
      </c>
      <c r="V5381">
        <v>-6.3978199999999999E-2</v>
      </c>
      <c r="W5381">
        <v>-6.5889379999999999E-3</v>
      </c>
      <c r="X5381">
        <v>0.99792959999999997</v>
      </c>
      <c r="Y5381">
        <v>-0.10056329999999999</v>
      </c>
      <c r="Z5381">
        <v>8.8810989999999997E-4</v>
      </c>
      <c r="AA5381">
        <v>0.99493029999999905</v>
      </c>
      <c r="AB5381">
        <v>17</v>
      </c>
      <c r="AC5381">
        <v>16.214299999999898</v>
      </c>
      <c r="AD5381">
        <v>-1.1048402503779999</v>
      </c>
      <c r="AE5381">
        <v>2.26213</v>
      </c>
      <c r="AF5381">
        <v>-1.65121091921885</v>
      </c>
      <c r="AG5381">
        <v>-1.1048402503779999</v>
      </c>
      <c r="AH5381">
        <v>16.213250529278</v>
      </c>
      <c r="AI5381">
        <v>93.878353124566203</v>
      </c>
      <c r="AJ5381">
        <v>95.815141510483301</v>
      </c>
      <c r="AK5381">
        <v>16.334523629531901</v>
      </c>
    </row>
    <row r="5382" spans="1:37" x14ac:dyDescent="0.2">
      <c r="A5382" t="str">
        <f>"20200111160324762"</f>
        <v>20200111160324762</v>
      </c>
      <c r="B5382" t="str">
        <f>"1578729804759088"</f>
        <v>1578729804759088</v>
      </c>
      <c r="C5382" t="s">
        <v>37</v>
      </c>
      <c r="D5382">
        <v>4.489268</v>
      </c>
      <c r="E5382">
        <v>0.48655409999999999</v>
      </c>
      <c r="F5382" t="s">
        <v>97</v>
      </c>
      <c r="G5382">
        <v>-239.87219999999999</v>
      </c>
      <c r="H5382" s="1">
        <v>-3.3346350000000001E-6</v>
      </c>
      <c r="I5382">
        <v>-60.953180000000003</v>
      </c>
      <c r="J5382">
        <v>-255.7475</v>
      </c>
      <c r="K5382">
        <v>1.1048359999999999</v>
      </c>
      <c r="L5382">
        <v>-63.188630000000003</v>
      </c>
      <c r="M5382">
        <v>0.9992008</v>
      </c>
      <c r="N5382">
        <v>0</v>
      </c>
      <c r="O5382">
        <v>3.7432189999999997E-2</v>
      </c>
      <c r="P5382">
        <v>0.99455649999999995</v>
      </c>
      <c r="Q5382">
        <v>-1.998641E-2</v>
      </c>
      <c r="R5382">
        <v>0.1022638</v>
      </c>
      <c r="S5382">
        <v>2.969589</v>
      </c>
      <c r="T5382">
        <v>-0.20533460000000001</v>
      </c>
      <c r="U5382">
        <v>0.41622920000000002</v>
      </c>
      <c r="V5382">
        <v>-6.4956269999999997E-2</v>
      </c>
      <c r="W5382">
        <v>-6.0305389999999997E-3</v>
      </c>
      <c r="X5382">
        <v>0.99786989999999998</v>
      </c>
      <c r="Y5382">
        <v>-0.10148649999999999</v>
      </c>
      <c r="Z5382">
        <v>9.167232E-4</v>
      </c>
      <c r="AA5382">
        <v>0.99483650000000001</v>
      </c>
      <c r="AB5382">
        <v>17</v>
      </c>
      <c r="AC5382">
        <v>15.875299999999999</v>
      </c>
      <c r="AD5382">
        <v>-1.1048393346349901</v>
      </c>
      <c r="AE5382">
        <v>2.2354500000000002</v>
      </c>
      <c r="AF5382">
        <v>-1.63182735800637</v>
      </c>
      <c r="AG5382">
        <v>-1.1048393346349901</v>
      </c>
      <c r="AH5382">
        <v>15.872475193398399</v>
      </c>
      <c r="AI5382">
        <v>93.960968139910705</v>
      </c>
      <c r="AJ5382">
        <v>95.869877529696694</v>
      </c>
      <c r="AK5382">
        <v>15.9943427263124</v>
      </c>
    </row>
    <row r="5383" spans="1:37" x14ac:dyDescent="0.2">
      <c r="A5383" t="str">
        <f>"20200111160324780"</f>
        <v>20200111160324780</v>
      </c>
      <c r="B5383" t="str">
        <f>"1578729804768848"</f>
        <v>1578729804768848</v>
      </c>
      <c r="C5383" t="s">
        <v>37</v>
      </c>
      <c r="D5383">
        <v>4.5235120000000002</v>
      </c>
      <c r="E5383">
        <v>0.48682639999999999</v>
      </c>
      <c r="F5383" t="s">
        <v>95</v>
      </c>
      <c r="G5383">
        <v>-240.08760000000001</v>
      </c>
      <c r="H5383" s="1">
        <v>8.1589510000000001E-7</v>
      </c>
      <c r="I5383">
        <v>-60.982559999999999</v>
      </c>
      <c r="J5383">
        <v>-255.62099999999899</v>
      </c>
      <c r="K5383">
        <v>1.104843</v>
      </c>
      <c r="L5383">
        <v>-63.183439999999997</v>
      </c>
      <c r="M5383">
        <v>0.99918609999999897</v>
      </c>
      <c r="N5383">
        <v>0</v>
      </c>
      <c r="O5383">
        <v>3.782174E-2</v>
      </c>
      <c r="P5383">
        <v>0.99437189999999998</v>
      </c>
      <c r="Q5383">
        <v>-1.9135889999999999E-2</v>
      </c>
      <c r="R5383">
        <v>0.1042048</v>
      </c>
      <c r="S5383">
        <v>2.9692080000000001</v>
      </c>
      <c r="T5383">
        <v>-0.20948339999999999</v>
      </c>
      <c r="U5383">
        <v>0.41827389999999998</v>
      </c>
      <c r="V5383">
        <v>-6.6514820000000002E-2</v>
      </c>
      <c r="W5383">
        <v>-5.1839169999999997E-3</v>
      </c>
      <c r="X5383">
        <v>0.99777199999999899</v>
      </c>
      <c r="Y5383">
        <v>-0.1017821</v>
      </c>
      <c r="Z5383">
        <v>9.1838070000000002E-4</v>
      </c>
      <c r="AA5383">
        <v>0.99480630000000003</v>
      </c>
      <c r="AB5383">
        <v>17</v>
      </c>
      <c r="AC5383">
        <v>15.533399999999901</v>
      </c>
      <c r="AD5383">
        <v>-1.1048421841049001</v>
      </c>
      <c r="AE5383">
        <v>2.2008800000000002</v>
      </c>
      <c r="AF5383">
        <v>-1.6037930101706199</v>
      </c>
      <c r="AG5383">
        <v>-1.1048421841049001</v>
      </c>
      <c r="AH5383">
        <v>15.5285197677106</v>
      </c>
      <c r="AI5383">
        <v>94.048230958838403</v>
      </c>
      <c r="AJ5383">
        <v>95.8966288783202</v>
      </c>
      <c r="AK5383">
        <v>15.6501678728194</v>
      </c>
    </row>
    <row r="5384" spans="1:37" x14ac:dyDescent="0.2">
      <c r="A5384" t="str">
        <f>"20200111160324793"</f>
        <v>20200111160324793</v>
      </c>
      <c r="B5384" t="str">
        <f>"1578729804788367"</f>
        <v>1578729804788367</v>
      </c>
      <c r="C5384" t="s">
        <v>37</v>
      </c>
      <c r="D5384">
        <v>4.508451</v>
      </c>
      <c r="E5384">
        <v>0.48733090000000001</v>
      </c>
      <c r="F5384" t="s">
        <v>97</v>
      </c>
      <c r="G5384">
        <v>-239.78790000000001</v>
      </c>
      <c r="H5384" s="1">
        <v>-3.3022519999999899E-6</v>
      </c>
      <c r="I5384">
        <v>-60.932299999999998</v>
      </c>
      <c r="J5384">
        <v>-255.52279999999999</v>
      </c>
      <c r="K5384">
        <v>1.104841</v>
      </c>
      <c r="L5384">
        <v>-63.179380000000002</v>
      </c>
      <c r="M5384">
        <v>0.99917479999999903</v>
      </c>
      <c r="N5384">
        <v>0</v>
      </c>
      <c r="O5384">
        <v>3.8122780000000002E-2</v>
      </c>
      <c r="P5384">
        <v>0.99427639999999995</v>
      </c>
      <c r="Q5384">
        <v>-1.874224E-2</v>
      </c>
      <c r="R5384">
        <v>0.105183</v>
      </c>
      <c r="S5384">
        <v>2.9687809999999999</v>
      </c>
      <c r="T5384">
        <v>-0.20716390000000001</v>
      </c>
      <c r="U5384">
        <v>0.42208859999999898</v>
      </c>
      <c r="V5384">
        <v>-6.7195770000000002E-2</v>
      </c>
      <c r="W5384">
        <v>-4.7932399999999998E-3</v>
      </c>
      <c r="X5384">
        <v>0.99772830000000001</v>
      </c>
      <c r="Y5384">
        <v>-0.1027571</v>
      </c>
      <c r="Z5384">
        <v>9.2126800000000004E-4</v>
      </c>
      <c r="AA5384">
        <v>0.99470599999999998</v>
      </c>
      <c r="AB5384">
        <v>17</v>
      </c>
      <c r="AC5384">
        <v>15.7348999999999</v>
      </c>
      <c r="AD5384">
        <v>-1.104844302252</v>
      </c>
      <c r="AE5384">
        <v>2.24708</v>
      </c>
      <c r="AF5384">
        <v>-1.63761657013003</v>
      </c>
      <c r="AG5384">
        <v>-1.104844302252</v>
      </c>
      <c r="AH5384">
        <v>15.733114042625999</v>
      </c>
      <c r="AI5384">
        <v>93.995437217328401</v>
      </c>
      <c r="AJ5384">
        <v>95.942361604375506</v>
      </c>
      <c r="AK5384">
        <v>15.856649912300499</v>
      </c>
    </row>
    <row r="5385" spans="1:37" x14ac:dyDescent="0.2">
      <c r="A5385" t="str">
        <f>"20200111160324803"</f>
        <v>20200111160324803</v>
      </c>
      <c r="B5385" t="str">
        <f>"1578729804799104"</f>
        <v>1578729804799104</v>
      </c>
      <c r="C5385" t="s">
        <v>37</v>
      </c>
      <c r="D5385">
        <v>4.5039069999999999</v>
      </c>
      <c r="E5385">
        <v>0.4875834</v>
      </c>
      <c r="F5385" t="s">
        <v>97</v>
      </c>
      <c r="G5385">
        <v>-239.70009999999999</v>
      </c>
      <c r="H5385" s="1">
        <v>-3.2728159999999998E-6</v>
      </c>
      <c r="I5385">
        <v>-60.934780000000003</v>
      </c>
      <c r="J5385">
        <v>-255.4308</v>
      </c>
      <c r="K5385">
        <v>1.104841</v>
      </c>
      <c r="L5385">
        <v>-63.175509999999903</v>
      </c>
      <c r="M5385">
        <v>0.9991641</v>
      </c>
      <c r="N5385">
        <v>0</v>
      </c>
      <c r="O5385">
        <v>3.8402270000000002E-2</v>
      </c>
      <c r="P5385">
        <v>0.99423869999999903</v>
      </c>
      <c r="Q5385">
        <v>-1.808301E-2</v>
      </c>
      <c r="R5385">
        <v>0.1056536</v>
      </c>
      <c r="S5385">
        <v>2.9688110000000001</v>
      </c>
      <c r="T5385">
        <v>-0.20730170000000001</v>
      </c>
      <c r="U5385">
        <v>0.42114259999999898</v>
      </c>
      <c r="V5385">
        <v>-6.7388649999999994E-2</v>
      </c>
      <c r="W5385">
        <v>-4.1382149999999998E-3</v>
      </c>
      <c r="X5385">
        <v>0.997718199999999</v>
      </c>
      <c r="Y5385">
        <v>-0.1021686</v>
      </c>
      <c r="Z5385">
        <v>8.8210519999999996E-4</v>
      </c>
      <c r="AA5385">
        <v>0.994766699999999</v>
      </c>
      <c r="AB5385">
        <v>17</v>
      </c>
      <c r="AC5385">
        <v>15.730700000000001</v>
      </c>
      <c r="AD5385">
        <v>-1.104844272816</v>
      </c>
      <c r="AE5385">
        <v>2.2407299999999899</v>
      </c>
      <c r="AF5385">
        <v>-1.6270563530747899</v>
      </c>
      <c r="AG5385">
        <v>-1.104844272816</v>
      </c>
      <c r="AH5385">
        <v>15.729103956133301</v>
      </c>
      <c r="AI5385">
        <v>93.996716149204005</v>
      </c>
      <c r="AJ5385">
        <v>95.905808340508997</v>
      </c>
      <c r="AK5385">
        <v>15.8515836592469</v>
      </c>
    </row>
    <row r="5386" spans="1:37" x14ac:dyDescent="0.2">
      <c r="A5386" t="str">
        <f>"20200111160324816"</f>
        <v>20200111160324816</v>
      </c>
      <c r="B5386" t="str">
        <f>"1578729804808864"</f>
        <v>1578729804808864</v>
      </c>
      <c r="C5386" t="s">
        <v>37</v>
      </c>
      <c r="D5386">
        <v>4.513172</v>
      </c>
      <c r="E5386">
        <v>0.4879232</v>
      </c>
      <c r="F5386" t="s">
        <v>97</v>
      </c>
      <c r="G5386">
        <v>-239.51419999999999</v>
      </c>
      <c r="H5386" s="1">
        <v>-3.2069519999999999E-6</v>
      </c>
      <c r="I5386">
        <v>-60.920119999999997</v>
      </c>
      <c r="J5386">
        <v>-255.33940000000001</v>
      </c>
      <c r="K5386">
        <v>1.1048370000000001</v>
      </c>
      <c r="L5386">
        <v>-63.171689999999998</v>
      </c>
      <c r="M5386">
        <v>0.99915370000000003</v>
      </c>
      <c r="N5386">
        <v>0</v>
      </c>
      <c r="O5386">
        <v>3.8677330000000003E-2</v>
      </c>
      <c r="P5386">
        <v>0.99417330000000004</v>
      </c>
      <c r="Q5386">
        <v>-1.7505059999999999E-2</v>
      </c>
      <c r="R5386">
        <v>0.10636379999999999</v>
      </c>
      <c r="S5386">
        <v>2.9689179999999999</v>
      </c>
      <c r="T5386">
        <v>-0.20608649999999901</v>
      </c>
      <c r="U5386">
        <v>0.42068479999999903</v>
      </c>
      <c r="V5386">
        <v>-6.7826490000000003E-2</v>
      </c>
      <c r="W5386">
        <v>-3.5712270000000002E-3</v>
      </c>
      <c r="X5386">
        <v>0.99769069999999904</v>
      </c>
      <c r="Y5386">
        <v>-0.10174279999999999</v>
      </c>
      <c r="Z5386">
        <v>8.4329580000000004E-4</v>
      </c>
      <c r="AA5386">
        <v>0.99481039999999998</v>
      </c>
      <c r="AB5386">
        <v>17</v>
      </c>
      <c r="AC5386">
        <v>15.825200000000001</v>
      </c>
      <c r="AD5386">
        <v>-1.104840206952</v>
      </c>
      <c r="AE5386">
        <v>2.2515700000000001</v>
      </c>
      <c r="AF5386">
        <v>-1.6299614047112401</v>
      </c>
      <c r="AG5386">
        <v>-1.104840206952</v>
      </c>
      <c r="AH5386">
        <v>15.824847200078599</v>
      </c>
      <c r="AI5386">
        <v>93.972777237792499</v>
      </c>
      <c r="AJ5386">
        <v>95.880735263930404</v>
      </c>
      <c r="AK5386">
        <v>15.946887939958099</v>
      </c>
    </row>
    <row r="5387" spans="1:37" x14ac:dyDescent="0.2">
      <c r="A5387" t="str">
        <f>"20200111160324827"</f>
        <v>20200111160324827</v>
      </c>
      <c r="B5387" t="str">
        <f>"1578729804818624"</f>
        <v>1578729804818624</v>
      </c>
      <c r="C5387" t="s">
        <v>37</v>
      </c>
      <c r="D5387">
        <v>4.9212089999999904</v>
      </c>
      <c r="E5387">
        <v>0.4879232</v>
      </c>
      <c r="F5387" t="s">
        <v>97</v>
      </c>
      <c r="G5387">
        <v>-239.29650000000001</v>
      </c>
      <c r="H5387" s="1">
        <v>-3.1129459999999999E-6</v>
      </c>
      <c r="I5387">
        <v>-60.900959999999998</v>
      </c>
      <c r="J5387">
        <v>-255.24619999999999</v>
      </c>
      <c r="K5387">
        <v>1.1048309999999999</v>
      </c>
      <c r="L5387">
        <v>-63.167759999999902</v>
      </c>
      <c r="M5387">
        <v>0.99914309999999995</v>
      </c>
      <c r="N5387">
        <v>0</v>
      </c>
      <c r="O5387">
        <v>3.8956009999999999E-2</v>
      </c>
      <c r="P5387">
        <v>0.99414930000000001</v>
      </c>
      <c r="Q5387">
        <v>-1.694681E-2</v>
      </c>
      <c r="R5387">
        <v>0.1066772</v>
      </c>
      <c r="S5387">
        <v>2.9690249999999998</v>
      </c>
      <c r="T5387">
        <v>-0.20447019999999999</v>
      </c>
      <c r="U5387">
        <v>0.42022709999999902</v>
      </c>
      <c r="V5387">
        <v>-6.7862290000000006E-2</v>
      </c>
      <c r="W5387">
        <v>-3.0278879999999998E-3</v>
      </c>
      <c r="X5387">
        <v>0.99769010000000002</v>
      </c>
      <c r="Y5387">
        <v>-0.101314</v>
      </c>
      <c r="Z5387">
        <v>8.0296049999999998E-4</v>
      </c>
      <c r="AA5387">
        <v>0.99485419999999902</v>
      </c>
      <c r="AB5387">
        <v>17</v>
      </c>
      <c r="AC5387">
        <v>15.949699999999901</v>
      </c>
      <c r="AD5387">
        <v>-1.104834112946</v>
      </c>
      <c r="AE5387">
        <v>2.2667999999999902</v>
      </c>
      <c r="AF5387">
        <v>-1.6359870120622799</v>
      </c>
      <c r="AG5387">
        <v>-1.104834112946</v>
      </c>
      <c r="AH5387">
        <v>15.9508826730584</v>
      </c>
      <c r="AI5387">
        <v>93.941638377956295</v>
      </c>
      <c r="AJ5387">
        <v>95.856010192880305</v>
      </c>
      <c r="AK5387">
        <v>16.072578199232399</v>
      </c>
    </row>
    <row r="5388" spans="1:37" x14ac:dyDescent="0.2">
      <c r="A5388" t="str">
        <f>"20200111160324842"</f>
        <v>20200111160324842</v>
      </c>
      <c r="B5388" t="str">
        <f>"1578729804839121"</f>
        <v>1578729804839121</v>
      </c>
      <c r="C5388" t="s">
        <v>37</v>
      </c>
      <c r="D5388">
        <v>4.7090800000000002</v>
      </c>
      <c r="E5388">
        <v>0.51149860000000003</v>
      </c>
      <c r="F5388" t="s">
        <v>97</v>
      </c>
      <c r="G5388">
        <v>-239.06720000000001</v>
      </c>
      <c r="H5388" s="1">
        <v>-3.0069329999999998E-6</v>
      </c>
      <c r="I5388">
        <v>-60.872250000000001</v>
      </c>
      <c r="J5388">
        <v>-255.14660000000001</v>
      </c>
      <c r="K5388">
        <v>1.1048229999999899</v>
      </c>
      <c r="L5388">
        <v>-63.163509999999903</v>
      </c>
      <c r="M5388">
        <v>0.99913200000000002</v>
      </c>
      <c r="N5388">
        <v>0</v>
      </c>
      <c r="O5388">
        <v>3.9249010000000001E-2</v>
      </c>
      <c r="P5388">
        <v>0.994135399999999</v>
      </c>
      <c r="Q5388">
        <v>-1.663543E-2</v>
      </c>
      <c r="R5388">
        <v>0.1068558</v>
      </c>
      <c r="S5388">
        <v>2.9689939999999999</v>
      </c>
      <c r="T5388">
        <v>-0.20274679999999901</v>
      </c>
      <c r="U5388">
        <v>0.421234099999999</v>
      </c>
      <c r="V5388">
        <v>-6.7749110000000001E-2</v>
      </c>
      <c r="W5388">
        <v>-2.7507249999999999E-3</v>
      </c>
      <c r="X5388">
        <v>0.99769859999999899</v>
      </c>
      <c r="Y5388">
        <v>-0.1013575</v>
      </c>
      <c r="Z5388">
        <v>7.7782939999999998E-4</v>
      </c>
      <c r="AA5388">
        <v>0.99484969999999995</v>
      </c>
      <c r="AB5388">
        <v>17</v>
      </c>
      <c r="AC5388">
        <v>16.0793999999999</v>
      </c>
      <c r="AD5388">
        <v>-1.10482600693299</v>
      </c>
      <c r="AE5388">
        <v>2.2912599999999901</v>
      </c>
      <c r="AF5388">
        <v>-1.6506940664885701</v>
      </c>
      <c r="AG5388">
        <v>-1.10482600693299</v>
      </c>
      <c r="AH5388">
        <v>16.082529195606401</v>
      </c>
      <c r="AI5388">
        <v>93.909415590635504</v>
      </c>
      <c r="AJ5388">
        <v>95.860257904919195</v>
      </c>
      <c r="AK5388">
        <v>16.204726987341299</v>
      </c>
    </row>
    <row r="5389" spans="1:37" x14ac:dyDescent="0.2">
      <c r="A5389" t="str">
        <f>"20200111160324854"</f>
        <v>20200111160324854</v>
      </c>
      <c r="B5389" t="str">
        <f>"1578729804848880"</f>
        <v>1578729804848880</v>
      </c>
      <c r="C5389" t="s">
        <v>37</v>
      </c>
      <c r="D5389">
        <v>4.4839890000000002</v>
      </c>
      <c r="E5389">
        <v>0.514131</v>
      </c>
      <c r="F5389" t="s">
        <v>95</v>
      </c>
      <c r="G5389">
        <v>-240.16099999999901</v>
      </c>
      <c r="H5389" s="1">
        <v>5.1828729999999996E-7</v>
      </c>
      <c r="I5389">
        <v>-61.982759999999999</v>
      </c>
      <c r="J5389">
        <v>-255.04409999999999</v>
      </c>
      <c r="K5389">
        <v>1.104811</v>
      </c>
      <c r="L5389">
        <v>-63.159149999999997</v>
      </c>
      <c r="M5389">
        <v>0.99912099999999904</v>
      </c>
      <c r="N5389">
        <v>0</v>
      </c>
      <c r="O5389">
        <v>3.9548020000000003E-2</v>
      </c>
      <c r="P5389">
        <v>0.99409590000000003</v>
      </c>
      <c r="Q5389">
        <v>-1.6244169999999999E-2</v>
      </c>
      <c r="R5389">
        <v>0.107284199999999</v>
      </c>
      <c r="S5389">
        <v>2.98867799999999</v>
      </c>
      <c r="T5389">
        <v>-0.2203425</v>
      </c>
      <c r="U5389">
        <v>0.23547359999999901</v>
      </c>
      <c r="V5389">
        <v>-6.7880469999999998E-2</v>
      </c>
      <c r="W5389">
        <v>-2.406025E-3</v>
      </c>
      <c r="X5389">
        <v>0.99769059999999898</v>
      </c>
      <c r="Y5389">
        <v>-3.9055340000000001E-2</v>
      </c>
      <c r="Z5389">
        <v>-1.4703260000000001E-3</v>
      </c>
      <c r="AA5389">
        <v>0.99923600000000001</v>
      </c>
      <c r="AB5389">
        <v>17</v>
      </c>
      <c r="AC5389">
        <v>14.883100000000001</v>
      </c>
      <c r="AD5389">
        <v>-1.1048104817127</v>
      </c>
      <c r="AE5389">
        <v>1.1763899999999901</v>
      </c>
      <c r="AF5389">
        <v>-0.58361944974369095</v>
      </c>
      <c r="AG5389">
        <v>-1.1048104817127</v>
      </c>
      <c r="AH5389">
        <v>14.8367328821758</v>
      </c>
      <c r="AI5389">
        <v>94.255365242004004</v>
      </c>
      <c r="AJ5389">
        <v>92.2526320687234</v>
      </c>
      <c r="AK5389">
        <v>14.889253187438801</v>
      </c>
    </row>
    <row r="5390" spans="1:37" x14ac:dyDescent="0.2">
      <c r="A5390" t="str">
        <f>"20200111160324871"</f>
        <v>20200111160324871</v>
      </c>
      <c r="B5390" t="str">
        <f>"1578729804858640"</f>
        <v>1578729804858640</v>
      </c>
      <c r="C5390" t="s">
        <v>37</v>
      </c>
      <c r="D5390">
        <v>4.5211389999999998</v>
      </c>
      <c r="E5390">
        <v>0.51565810000000001</v>
      </c>
      <c r="F5390" t="s">
        <v>97</v>
      </c>
      <c r="G5390">
        <v>-239.6618</v>
      </c>
      <c r="H5390" s="1">
        <v>-3.4575489999999998E-6</v>
      </c>
      <c r="I5390">
        <v>-62.049630000000001</v>
      </c>
      <c r="J5390">
        <v>-254.92670000000001</v>
      </c>
      <c r="K5390">
        <v>1.104789</v>
      </c>
      <c r="L5390">
        <v>-63.154109999999903</v>
      </c>
      <c r="M5390">
        <v>0.99910840000000001</v>
      </c>
      <c r="N5390">
        <v>0</v>
      </c>
      <c r="O5390">
        <v>3.9886489999999997E-2</v>
      </c>
      <c r="P5390">
        <v>0.99412239999999996</v>
      </c>
      <c r="Q5390">
        <v>-1.5628489999999998E-2</v>
      </c>
      <c r="R5390">
        <v>0.1071275</v>
      </c>
      <c r="S5390">
        <v>2.9910130000000001</v>
      </c>
      <c r="T5390">
        <v>-0.21482599999999999</v>
      </c>
      <c r="U5390">
        <v>0.2157288</v>
      </c>
      <c r="V5390">
        <v>-6.7385299999999995E-2</v>
      </c>
      <c r="W5390">
        <v>-1.8599669999999999E-3</v>
      </c>
      <c r="X5390">
        <v>0.99772530000000004</v>
      </c>
      <c r="Y5390">
        <v>-3.2114429999999999E-2</v>
      </c>
      <c r="Z5390">
        <v>-1.7057789999999999E-3</v>
      </c>
      <c r="AA5390">
        <v>0.9994828</v>
      </c>
      <c r="AB5390">
        <v>17</v>
      </c>
      <c r="AC5390">
        <v>15.264900000000001</v>
      </c>
      <c r="AD5390">
        <v>-1.104792457549</v>
      </c>
      <c r="AE5390">
        <v>1.1044799999999799</v>
      </c>
      <c r="AF5390">
        <v>-0.49211500436369798</v>
      </c>
      <c r="AG5390">
        <v>-1.104792457549</v>
      </c>
      <c r="AH5390">
        <v>15.2175125066472</v>
      </c>
      <c r="AI5390">
        <v>94.150230347538795</v>
      </c>
      <c r="AJ5390">
        <v>91.8522271516606</v>
      </c>
      <c r="AK5390">
        <v>15.265498041064401</v>
      </c>
    </row>
    <row r="5391" spans="1:37" x14ac:dyDescent="0.2">
      <c r="A5391" t="str">
        <f>"20200111160324883"</f>
        <v>20200111160324883</v>
      </c>
      <c r="B5391" t="str">
        <f>"1578729804878160"</f>
        <v>1578729804878160</v>
      </c>
      <c r="C5391" t="s">
        <v>37</v>
      </c>
      <c r="D5391">
        <v>4.4765739999999896</v>
      </c>
      <c r="E5391">
        <v>0.51727559999999995</v>
      </c>
      <c r="F5391" t="s">
        <v>97</v>
      </c>
      <c r="G5391">
        <v>-239.65960000000001</v>
      </c>
      <c r="H5391" s="1">
        <v>-3.46869199999999E-6</v>
      </c>
      <c r="I5391">
        <v>-62.116790000000002</v>
      </c>
      <c r="J5391">
        <v>-254.81950000000001</v>
      </c>
      <c r="K5391">
        <v>1.104773</v>
      </c>
      <c r="L5391">
        <v>-63.149409999999897</v>
      </c>
      <c r="M5391">
        <v>0.99909720000000002</v>
      </c>
      <c r="N5391">
        <v>0</v>
      </c>
      <c r="O5391">
        <v>4.0193310000000003E-2</v>
      </c>
      <c r="P5391">
        <v>0.99414210000000003</v>
      </c>
      <c r="Q5391">
        <v>-1.5165970000000001E-2</v>
      </c>
      <c r="R5391">
        <v>0.1070115</v>
      </c>
      <c r="S5391">
        <v>2.9924469999999999</v>
      </c>
      <c r="T5391">
        <v>-0.2165455</v>
      </c>
      <c r="U5391">
        <v>0.20330809999999999</v>
      </c>
      <c r="V5391">
        <v>-6.6962399999999894E-2</v>
      </c>
      <c r="W5391">
        <v>-1.4842849999999999E-3</v>
      </c>
      <c r="X5391">
        <v>0.99775440000000004</v>
      </c>
      <c r="Y5391">
        <v>-2.7657290000000001E-2</v>
      </c>
      <c r="Z5391">
        <v>-1.901877E-3</v>
      </c>
      <c r="AA5391">
        <v>0.999615699999999</v>
      </c>
      <c r="AB5391">
        <v>17</v>
      </c>
      <c r="AC5391">
        <v>15.159899999999899</v>
      </c>
      <c r="AD5391">
        <v>-1.1047764686920001</v>
      </c>
      <c r="AE5391">
        <v>1.0326199999999901</v>
      </c>
      <c r="AF5391">
        <v>-0.42018000194791699</v>
      </c>
      <c r="AG5391">
        <v>-1.1047764686920001</v>
      </c>
      <c r="AH5391">
        <v>15.109284537361701</v>
      </c>
      <c r="AI5391">
        <v>94.180360081484196</v>
      </c>
      <c r="AJ5391">
        <v>91.592950179245705</v>
      </c>
      <c r="AK5391">
        <v>15.1554465955567</v>
      </c>
    </row>
    <row r="5392" spans="1:37" x14ac:dyDescent="0.2">
      <c r="A5392" t="str">
        <f>"20200111160324894"</f>
        <v>20200111160324894</v>
      </c>
      <c r="B5392" t="str">
        <f>"1578729804888896"</f>
        <v>1578729804888896</v>
      </c>
      <c r="C5392" t="s">
        <v>37</v>
      </c>
      <c r="D5392">
        <v>4.5037250000000002</v>
      </c>
      <c r="E5392">
        <v>0.51773950000000002</v>
      </c>
      <c r="F5392" t="s">
        <v>97</v>
      </c>
      <c r="G5392">
        <v>-239.81790000000001</v>
      </c>
      <c r="H5392" s="1">
        <v>-3.5366039999999998E-6</v>
      </c>
      <c r="I5392">
        <v>-62.195900000000002</v>
      </c>
      <c r="J5392">
        <v>-254.74090000000001</v>
      </c>
      <c r="K5392">
        <v>1.10476</v>
      </c>
      <c r="L5392">
        <v>-63.145969999999998</v>
      </c>
      <c r="M5392">
        <v>0.99908920000000001</v>
      </c>
      <c r="N5392">
        <v>0</v>
      </c>
      <c r="O5392">
        <v>4.0418429999999998E-2</v>
      </c>
      <c r="P5392">
        <v>0.99415769999999903</v>
      </c>
      <c r="Q5392">
        <v>-1.49144E-2</v>
      </c>
      <c r="R5392">
        <v>0.106903199999999</v>
      </c>
      <c r="S5392">
        <v>2.9938349999999998</v>
      </c>
      <c r="T5392">
        <v>-0.22047749999999999</v>
      </c>
      <c r="U5392">
        <v>0.1902771</v>
      </c>
      <c r="V5392">
        <v>-6.6629369999999993E-2</v>
      </c>
      <c r="W5392">
        <v>-1.3016049999999999E-3</v>
      </c>
      <c r="X5392">
        <v>0.99777689999999997</v>
      </c>
      <c r="Y5392">
        <v>-2.3082350000000001E-2</v>
      </c>
      <c r="Z5392">
        <v>-2.1203429999999998E-3</v>
      </c>
      <c r="AA5392">
        <v>0.99973129999999999</v>
      </c>
      <c r="AB5392">
        <v>17</v>
      </c>
      <c r="AC5392">
        <v>14.923</v>
      </c>
      <c r="AD5392">
        <v>-1.1047635366040001</v>
      </c>
      <c r="AE5392">
        <v>0.95006999999999597</v>
      </c>
      <c r="AF5392">
        <v>-0.34419405816466297</v>
      </c>
      <c r="AG5392">
        <v>-1.1047635366040001</v>
      </c>
      <c r="AH5392">
        <v>14.868050619008599</v>
      </c>
      <c r="AI5392">
        <v>94.248392687532203</v>
      </c>
      <c r="AJ5392">
        <v>91.326155363519803</v>
      </c>
      <c r="AK5392">
        <v>14.9130111389647</v>
      </c>
    </row>
    <row r="5393" spans="1:37" x14ac:dyDescent="0.2">
      <c r="A5393" t="str">
        <f>"20200111160324904"</f>
        <v>20200111160324904</v>
      </c>
      <c r="B5393" t="str">
        <f>"1578729804898656"</f>
        <v>1578729804898656</v>
      </c>
      <c r="C5393" t="s">
        <v>37</v>
      </c>
      <c r="D5393">
        <v>4.5006019999999998</v>
      </c>
      <c r="E5393">
        <v>0.51801850000000005</v>
      </c>
      <c r="F5393" t="s">
        <v>97</v>
      </c>
      <c r="G5393">
        <v>-239.8792</v>
      </c>
      <c r="H5393" s="1">
        <v>-3.5618829999999999E-6</v>
      </c>
      <c r="I5393">
        <v>-62.220859999999902</v>
      </c>
      <c r="J5393">
        <v>-254.65440000000001</v>
      </c>
      <c r="K5393">
        <v>1.1047450000000001</v>
      </c>
      <c r="L5393">
        <v>-63.142180000000003</v>
      </c>
      <c r="M5393">
        <v>0.99908019999999997</v>
      </c>
      <c r="N5393">
        <v>0</v>
      </c>
      <c r="O5393">
        <v>4.0667460000000002E-2</v>
      </c>
      <c r="P5393">
        <v>0.9941934</v>
      </c>
      <c r="Q5393">
        <v>-1.4831240000000001E-2</v>
      </c>
      <c r="R5393">
        <v>0.106581</v>
      </c>
      <c r="S5393">
        <v>2.9942319999999998</v>
      </c>
      <c r="T5393">
        <v>-0.2225792</v>
      </c>
      <c r="U5393">
        <v>0.186370799999999</v>
      </c>
      <c r="V5393">
        <v>-6.6057489999999996E-2</v>
      </c>
      <c r="W5393">
        <v>-1.300428E-3</v>
      </c>
      <c r="X5393">
        <v>0.99781500000000001</v>
      </c>
      <c r="Y5393">
        <v>-2.153153E-2</v>
      </c>
      <c r="Z5393">
        <v>-2.2162760000000001E-3</v>
      </c>
      <c r="AA5393">
        <v>0.99976569999999998</v>
      </c>
      <c r="AB5393">
        <v>17</v>
      </c>
      <c r="AC5393">
        <v>14.7752</v>
      </c>
      <c r="AD5393">
        <v>-1.104748561883</v>
      </c>
      <c r="AE5393">
        <v>0.92132000000000802</v>
      </c>
      <c r="AF5393">
        <v>-0.31786210397799403</v>
      </c>
      <c r="AG5393">
        <v>-1.104748561883</v>
      </c>
      <c r="AH5393">
        <v>14.7184792151295</v>
      </c>
      <c r="AI5393">
        <v>94.291495618081697</v>
      </c>
      <c r="AJ5393">
        <v>91.237174453467404</v>
      </c>
      <c r="AK5393">
        <v>14.763303698980399</v>
      </c>
    </row>
    <row r="5394" spans="1:37" x14ac:dyDescent="0.2">
      <c r="A5394" t="str">
        <f>"20200111160324916"</f>
        <v>20200111160324916</v>
      </c>
      <c r="B5394" t="str">
        <f>"1578729804908415"</f>
        <v>1578729804908415</v>
      </c>
      <c r="C5394" t="s">
        <v>37</v>
      </c>
      <c r="D5394">
        <v>4.4788329999999998</v>
      </c>
      <c r="E5394">
        <v>0.51833739999999995</v>
      </c>
      <c r="F5394" t="s">
        <v>97</v>
      </c>
      <c r="G5394">
        <v>-239.9479</v>
      </c>
      <c r="H5394" s="1">
        <v>-3.58908799999999E-6</v>
      </c>
      <c r="I5394">
        <v>-62.242419999999903</v>
      </c>
      <c r="J5394">
        <v>-254.56870000000001</v>
      </c>
      <c r="K5394">
        <v>1.1047209999999901</v>
      </c>
      <c r="L5394">
        <v>-63.138369999999902</v>
      </c>
      <c r="M5394">
        <v>0.99907139999999905</v>
      </c>
      <c r="N5394">
        <v>0</v>
      </c>
      <c r="O5394">
        <v>4.0914720000000002E-2</v>
      </c>
      <c r="P5394">
        <v>0.99421749999999998</v>
      </c>
      <c r="Q5394">
        <v>-1.472014E-2</v>
      </c>
      <c r="R5394">
        <v>0.10637089999999901</v>
      </c>
      <c r="S5394">
        <v>2.9945219999999999</v>
      </c>
      <c r="T5394">
        <v>-0.22494819999999999</v>
      </c>
      <c r="U5394">
        <v>0.183197</v>
      </c>
      <c r="V5394">
        <v>-6.5599290000000005E-2</v>
      </c>
      <c r="W5394">
        <v>-1.2791289999999999E-3</v>
      </c>
      <c r="X5394">
        <v>0.99784519999999899</v>
      </c>
      <c r="Y5394">
        <v>-2.022798E-2</v>
      </c>
      <c r="Z5394">
        <v>-2.307024E-3</v>
      </c>
      <c r="AA5394">
        <v>0.99979280000000004</v>
      </c>
      <c r="AB5394">
        <v>17</v>
      </c>
      <c r="AC5394">
        <v>14.620799999999999</v>
      </c>
      <c r="AD5394">
        <v>-1.10472458908799</v>
      </c>
      <c r="AE5394">
        <v>0.89594999999999902</v>
      </c>
      <c r="AF5394">
        <v>-0.29525979914564199</v>
      </c>
      <c r="AG5394">
        <v>-1.10472458908799</v>
      </c>
      <c r="AH5394">
        <v>14.562389062266099</v>
      </c>
      <c r="AI5394">
        <v>94.337345992792393</v>
      </c>
      <c r="AJ5394">
        <v>91.161541740161297</v>
      </c>
      <c r="AK5394">
        <v>14.607216366150499</v>
      </c>
    </row>
    <row r="5395" spans="1:37" x14ac:dyDescent="0.2">
      <c r="A5395" t="str">
        <f>"20200111160324926"</f>
        <v>20200111160324926</v>
      </c>
      <c r="B5395" t="str">
        <f>"1578729804919152"</f>
        <v>1578729804919152</v>
      </c>
      <c r="C5395" t="s">
        <v>37</v>
      </c>
      <c r="D5395">
        <v>4.4988409999999996</v>
      </c>
      <c r="E5395">
        <v>0.51850450000000003</v>
      </c>
      <c r="F5395" t="s">
        <v>97</v>
      </c>
      <c r="G5395">
        <v>-239.82740000000001</v>
      </c>
      <c r="H5395" s="1">
        <v>-3.5498039999999898E-6</v>
      </c>
      <c r="I5395">
        <v>-62.252049999999997</v>
      </c>
      <c r="J5395">
        <v>-254.4872</v>
      </c>
      <c r="K5395">
        <v>1.104698</v>
      </c>
      <c r="L5395">
        <v>-63.134799999999998</v>
      </c>
      <c r="M5395">
        <v>0.99906299999999904</v>
      </c>
      <c r="N5395">
        <v>0</v>
      </c>
      <c r="O5395">
        <v>4.1149860000000003E-2</v>
      </c>
      <c r="P5395">
        <v>0.99422029999999995</v>
      </c>
      <c r="Q5395">
        <v>-1.4513089999999999E-2</v>
      </c>
      <c r="R5395">
        <v>0.106375</v>
      </c>
      <c r="S5395">
        <v>2.994888</v>
      </c>
      <c r="T5395">
        <v>-0.22443959999999999</v>
      </c>
      <c r="U5395">
        <v>0.18005370000000001</v>
      </c>
      <c r="V5395">
        <v>-6.5368519999999999E-2</v>
      </c>
      <c r="W5395">
        <v>-1.1620879999999999E-3</v>
      </c>
      <c r="X5395">
        <v>0.99786049999999904</v>
      </c>
      <c r="Y5395">
        <v>-1.8943729999999999E-2</v>
      </c>
      <c r="Z5395">
        <v>-2.3671999999999999E-3</v>
      </c>
      <c r="AA5395">
        <v>0.99981769999999903</v>
      </c>
      <c r="AB5395">
        <v>17</v>
      </c>
      <c r="AC5395">
        <v>14.659799999999899</v>
      </c>
      <c r="AD5395">
        <v>-1.104701549804</v>
      </c>
      <c r="AE5395">
        <v>0.88275000000000103</v>
      </c>
      <c r="AF5395">
        <v>-0.277131198565502</v>
      </c>
      <c r="AG5395">
        <v>-1.104701549804</v>
      </c>
      <c r="AH5395">
        <v>14.601096196480199</v>
      </c>
      <c r="AI5395">
        <v>94.325911152230702</v>
      </c>
      <c r="AJ5395">
        <v>91.0873527253368</v>
      </c>
      <c r="AK5395">
        <v>14.645449032181499</v>
      </c>
    </row>
    <row r="5396" spans="1:37" x14ac:dyDescent="0.2">
      <c r="A5396" t="str">
        <f>"20200111160324937"</f>
        <v>20200111160324937</v>
      </c>
      <c r="B5396" t="str">
        <f>"1578729804928912"</f>
        <v>1578729804928912</v>
      </c>
      <c r="C5396" t="s">
        <v>37</v>
      </c>
      <c r="D5396">
        <v>4.475708</v>
      </c>
      <c r="E5396">
        <v>0.51875899999999997</v>
      </c>
      <c r="F5396" t="s">
        <v>97</v>
      </c>
      <c r="G5396">
        <v>-239.81659999999999</v>
      </c>
      <c r="H5396" s="1">
        <v>-3.5473809999999998E-6</v>
      </c>
      <c r="I5396">
        <v>-62.2592</v>
      </c>
      <c r="J5396">
        <v>-254.40549999999999</v>
      </c>
      <c r="K5396">
        <v>1.1046750000000001</v>
      </c>
      <c r="L5396">
        <v>-63.131129999999999</v>
      </c>
      <c r="M5396">
        <v>0.99905460000000001</v>
      </c>
      <c r="N5396">
        <v>0</v>
      </c>
      <c r="O5396">
        <v>4.1386489999999998E-2</v>
      </c>
      <c r="P5396">
        <v>0.99422749999999904</v>
      </c>
      <c r="Q5396">
        <v>-1.46355999999999E-2</v>
      </c>
      <c r="R5396">
        <v>0.10628989999999899</v>
      </c>
      <c r="S5396">
        <v>2.99502599999999</v>
      </c>
      <c r="T5396">
        <v>-0.22552620000000001</v>
      </c>
      <c r="U5396">
        <v>0.1787415</v>
      </c>
      <c r="V5396">
        <v>-6.5046850000000003E-2</v>
      </c>
      <c r="W5396">
        <v>-1.385381E-3</v>
      </c>
      <c r="X5396">
        <v>0.99788120000000002</v>
      </c>
      <c r="Y5396">
        <v>-1.827088E-2</v>
      </c>
      <c r="Z5396">
        <v>-2.4215840000000001E-3</v>
      </c>
      <c r="AA5396">
        <v>0.99983009999999894</v>
      </c>
      <c r="AB5396">
        <v>17</v>
      </c>
      <c r="AC5396">
        <v>14.588899999999899</v>
      </c>
      <c r="AD5396">
        <v>-1.1046785473809999</v>
      </c>
      <c r="AE5396">
        <v>0.87193000000000598</v>
      </c>
      <c r="AF5396">
        <v>-0.26582726324988998</v>
      </c>
      <c r="AG5396">
        <v>-1.1046785473809999</v>
      </c>
      <c r="AH5396">
        <v>14.529477935024</v>
      </c>
      <c r="AI5396">
        <v>94.347117814948504</v>
      </c>
      <c r="AJ5396">
        <v>91.048150611895394</v>
      </c>
      <c r="AK5396">
        <v>14.5738364163757</v>
      </c>
    </row>
    <row r="5397" spans="1:37" x14ac:dyDescent="0.2">
      <c r="A5397" t="str">
        <f>"20200111160324947"</f>
        <v>20200111160324947</v>
      </c>
      <c r="B5397" t="str">
        <f>"1578729804938672"</f>
        <v>1578729804938672</v>
      </c>
      <c r="C5397" t="s">
        <v>37</v>
      </c>
      <c r="D5397">
        <v>4.510275</v>
      </c>
      <c r="E5397">
        <v>0.51900690000000005</v>
      </c>
      <c r="F5397" t="s">
        <v>97</v>
      </c>
      <c r="G5397">
        <v>-239.81209999999999</v>
      </c>
      <c r="H5397" s="1">
        <v>-3.5479949999999998E-6</v>
      </c>
      <c r="I5397">
        <v>-62.271209999999897</v>
      </c>
      <c r="J5397">
        <v>-254.32329999999999</v>
      </c>
      <c r="K5397">
        <v>1.104651</v>
      </c>
      <c r="L5397">
        <v>-63.127469999999903</v>
      </c>
      <c r="M5397">
        <v>0.99904599999999899</v>
      </c>
      <c r="N5397">
        <v>0</v>
      </c>
      <c r="O5397">
        <v>4.1624750000000002E-2</v>
      </c>
      <c r="P5397">
        <v>0.99425229999999998</v>
      </c>
      <c r="Q5397">
        <v>-1.4798189999999999E-2</v>
      </c>
      <c r="R5397">
        <v>0.1060328</v>
      </c>
      <c r="S5397">
        <v>2.9952239999999999</v>
      </c>
      <c r="T5397">
        <v>-0.22672979999999901</v>
      </c>
      <c r="U5397">
        <v>0.17648320000000001</v>
      </c>
      <c r="V5397">
        <v>-6.4550999999999997E-2</v>
      </c>
      <c r="W5397">
        <v>-1.6519529999999901E-3</v>
      </c>
      <c r="X5397">
        <v>0.997913099999999</v>
      </c>
      <c r="Y5397">
        <v>-1.728153E-2</v>
      </c>
      <c r="Z5397">
        <v>-2.489705E-3</v>
      </c>
      <c r="AA5397">
        <v>0.99984759999999995</v>
      </c>
      <c r="AB5397">
        <v>17</v>
      </c>
      <c r="AC5397">
        <v>14.511200000000001</v>
      </c>
      <c r="AD5397">
        <v>-1.1046545479950001</v>
      </c>
      <c r="AE5397">
        <v>0.85625999999999802</v>
      </c>
      <c r="AF5397">
        <v>-0.24999631284002699</v>
      </c>
      <c r="AG5397">
        <v>-1.1046545479950001</v>
      </c>
      <c r="AH5397">
        <v>14.4508153339979</v>
      </c>
      <c r="AI5397">
        <v>94.370672339333197</v>
      </c>
      <c r="AJ5397">
        <v>90.991107047844096</v>
      </c>
      <c r="AK5397">
        <v>14.4951310323207</v>
      </c>
    </row>
    <row r="5398" spans="1:37" x14ac:dyDescent="0.2">
      <c r="A5398" t="str">
        <f>"20200111160324959"</f>
        <v>20200111160324959</v>
      </c>
      <c r="B5398" t="str">
        <f>"1578729804948940"</f>
        <v>1578729804948940</v>
      </c>
      <c r="C5398" t="s">
        <v>37</v>
      </c>
      <c r="D5398">
        <v>4.5113159999999999</v>
      </c>
      <c r="E5398">
        <v>0.51918750000000002</v>
      </c>
      <c r="F5398" t="s">
        <v>97</v>
      </c>
      <c r="G5398">
        <v>-239.87870000000001</v>
      </c>
      <c r="H5398" s="1">
        <v>-3.5739869999999999E-6</v>
      </c>
      <c r="I5398">
        <v>-62.290050000000001</v>
      </c>
      <c r="J5398">
        <v>-254.23949999999999</v>
      </c>
      <c r="K5398">
        <v>1.1046279999999999</v>
      </c>
      <c r="L5398">
        <v>-63.123690000000003</v>
      </c>
      <c r="M5398">
        <v>0.99903759999999997</v>
      </c>
      <c r="N5398">
        <v>0</v>
      </c>
      <c r="O5398">
        <v>4.1866920000000002E-2</v>
      </c>
      <c r="P5398">
        <v>0.99425379999999997</v>
      </c>
      <c r="Q5398">
        <v>-1.494502E-2</v>
      </c>
      <c r="R5398">
        <v>0.1060019</v>
      </c>
      <c r="S5398">
        <v>2.9953919999999998</v>
      </c>
      <c r="T5398">
        <v>-0.22907339999999901</v>
      </c>
      <c r="U5398">
        <v>0.17364499999999999</v>
      </c>
      <c r="V5398">
        <v>-6.4277840000000003E-2</v>
      </c>
      <c r="W5398">
        <v>-1.9169320000000001E-3</v>
      </c>
      <c r="X5398">
        <v>0.99793019999999999</v>
      </c>
      <c r="Y5398">
        <v>-1.609739E-2</v>
      </c>
      <c r="Z5398">
        <v>-2.578936E-3</v>
      </c>
      <c r="AA5398">
        <v>0.99986710000000001</v>
      </c>
      <c r="AB5398">
        <v>17</v>
      </c>
      <c r="AC5398">
        <v>14.3607999999999</v>
      </c>
      <c r="AD5398">
        <v>-1.1046315739870001</v>
      </c>
      <c r="AE5398">
        <v>0.83364000000000205</v>
      </c>
      <c r="AF5398">
        <v>-0.23025726632895099</v>
      </c>
      <c r="AG5398">
        <v>-1.1046315739870001</v>
      </c>
      <c r="AH5398">
        <v>14.298793991348401</v>
      </c>
      <c r="AI5398">
        <v>94.416953749595294</v>
      </c>
      <c r="AJ5398">
        <v>90.922569370999</v>
      </c>
      <c r="AK5398">
        <v>14.343247154322</v>
      </c>
    </row>
    <row r="5399" spans="1:37" x14ac:dyDescent="0.2">
      <c r="A5399" t="str">
        <f>"20200111160324972"</f>
        <v>20200111160324972</v>
      </c>
      <c r="B5399" t="str">
        <f>"1578729804968460"</f>
        <v>1578729804968460</v>
      </c>
      <c r="C5399" t="s">
        <v>37</v>
      </c>
      <c r="D5399">
        <v>4.511749</v>
      </c>
      <c r="E5399">
        <v>0.51937759999999999</v>
      </c>
      <c r="F5399" t="s">
        <v>97</v>
      </c>
      <c r="G5399">
        <v>-239.8819</v>
      </c>
      <c r="H5399" s="1">
        <v>-3.576587E-6</v>
      </c>
      <c r="I5399">
        <v>-62.298499999999997</v>
      </c>
      <c r="J5399">
        <v>-254.1454</v>
      </c>
      <c r="K5399">
        <v>1.1046009999999999</v>
      </c>
      <c r="L5399">
        <v>-63.119450000000001</v>
      </c>
      <c r="M5399">
        <v>0.99902789999999997</v>
      </c>
      <c r="N5399">
        <v>0</v>
      </c>
      <c r="O5399">
        <v>4.2138990000000001E-2</v>
      </c>
      <c r="P5399">
        <v>0.99425280000000005</v>
      </c>
      <c r="Q5399">
        <v>-1.46342E-2</v>
      </c>
      <c r="R5399">
        <v>0.10605489999999999</v>
      </c>
      <c r="S5399">
        <v>2.9954990000000001</v>
      </c>
      <c r="T5399">
        <v>-0.23046449999999999</v>
      </c>
      <c r="U5399">
        <v>0.17214969999999999</v>
      </c>
      <c r="V5399">
        <v>-6.4059920000000006E-2</v>
      </c>
      <c r="W5399">
        <v>-1.7420510000000001E-3</v>
      </c>
      <c r="X5399">
        <v>0.99794450000000001</v>
      </c>
      <c r="Y5399">
        <v>-1.5329580000000001E-2</v>
      </c>
      <c r="Z5399">
        <v>-2.6448270000000002E-3</v>
      </c>
      <c r="AA5399">
        <v>0.99987899999999996</v>
      </c>
      <c r="AB5399">
        <v>17</v>
      </c>
      <c r="AC5399">
        <v>14.263499999999899</v>
      </c>
      <c r="AD5399">
        <v>-1.1046045765869901</v>
      </c>
      <c r="AE5399">
        <v>0.82095000000000296</v>
      </c>
      <c r="AF5399">
        <v>-0.21781880082426</v>
      </c>
      <c r="AG5399">
        <v>-1.1046045765869901</v>
      </c>
      <c r="AH5399">
        <v>14.200540522369799</v>
      </c>
      <c r="AI5399">
        <v>94.447337405737201</v>
      </c>
      <c r="AJ5399">
        <v>90.878777771939795</v>
      </c>
      <c r="AK5399">
        <v>14.245102576958701</v>
      </c>
    </row>
    <row r="5400" spans="1:37" x14ac:dyDescent="0.2">
      <c r="A5400" t="str">
        <f>"20200111160324984"</f>
        <v>20200111160324984</v>
      </c>
      <c r="B5400" t="str">
        <f>"1578729804979196"</f>
        <v>1578729804979196</v>
      </c>
      <c r="C5400" t="s">
        <v>37</v>
      </c>
      <c r="D5400">
        <v>4.5508189999999997</v>
      </c>
      <c r="E5400">
        <v>0.51938569999999995</v>
      </c>
      <c r="F5400" t="s">
        <v>42</v>
      </c>
      <c r="G5400">
        <v>-253.2731</v>
      </c>
      <c r="H5400">
        <v>1.0372269999999999</v>
      </c>
      <c r="I5400">
        <v>-63.069850000000002</v>
      </c>
      <c r="J5400">
        <v>-254.04560000000001</v>
      </c>
      <c r="K5400">
        <v>1.1045769999999999</v>
      </c>
      <c r="L5400">
        <v>-63.114930000000001</v>
      </c>
      <c r="M5400">
        <v>0.99901779999999996</v>
      </c>
      <c r="N5400">
        <v>0</v>
      </c>
      <c r="O5400">
        <v>4.2426159999999997E-2</v>
      </c>
      <c r="P5400">
        <v>0.99427529999999997</v>
      </c>
      <c r="Q5400">
        <v>-1.476593E-2</v>
      </c>
      <c r="R5400">
        <v>0.1058253</v>
      </c>
      <c r="S5400">
        <v>2.995682</v>
      </c>
      <c r="T5400">
        <v>-0.23132610000000001</v>
      </c>
      <c r="U5400">
        <v>0.17089840000000001</v>
      </c>
      <c r="V5400">
        <v>-6.3542619999999994E-2</v>
      </c>
      <c r="W5400">
        <v>-2.0269469999999999E-3</v>
      </c>
      <c r="X5400">
        <v>0.99797709999999995</v>
      </c>
      <c r="Y5400">
        <v>-1.462601E-2</v>
      </c>
      <c r="Z5400">
        <v>-2.7037570000000002E-3</v>
      </c>
      <c r="AA5400">
        <v>0.99988940000000004</v>
      </c>
      <c r="AB5400">
        <v>17</v>
      </c>
      <c r="AC5400">
        <v>0.77250000000000696</v>
      </c>
      <c r="AD5400">
        <v>-6.7349999999999993E-2</v>
      </c>
      <c r="AE5400">
        <v>4.5080000000005699E-2</v>
      </c>
      <c r="AF5400">
        <v>-1.2170321805792099E-2</v>
      </c>
      <c r="AG5400">
        <v>-6.7349999999999993E-2</v>
      </c>
      <c r="AH5400">
        <v>0.76789996020439699</v>
      </c>
      <c r="AI5400">
        <v>95.0117733574223</v>
      </c>
      <c r="AJ5400">
        <v>90.907995487855999</v>
      </c>
      <c r="AK5400">
        <v>0.77094389427167198</v>
      </c>
    </row>
    <row r="5401" spans="1:37" x14ac:dyDescent="0.2">
      <c r="A5401" t="str">
        <f>"20200111160324995"</f>
        <v>20200111160324995</v>
      </c>
      <c r="B5401" t="str">
        <f>"1578729804988956"</f>
        <v>1578729804988956</v>
      </c>
      <c r="C5401" t="s">
        <v>37</v>
      </c>
      <c r="D5401">
        <v>4.5390189999999997</v>
      </c>
      <c r="E5401">
        <v>0.51939709999999994</v>
      </c>
      <c r="F5401" t="s">
        <v>97</v>
      </c>
      <c r="G5401">
        <v>-239.8192</v>
      </c>
      <c r="H5401" s="1">
        <v>-3.5566399999999998E-6</v>
      </c>
      <c r="I5401">
        <v>-62.306469999999997</v>
      </c>
      <c r="J5401">
        <v>-253.95920000000001</v>
      </c>
      <c r="K5401">
        <v>1.1045529999999999</v>
      </c>
      <c r="L5401">
        <v>-63.110959999999999</v>
      </c>
      <c r="M5401">
        <v>0.99900879999999903</v>
      </c>
      <c r="N5401">
        <v>0</v>
      </c>
      <c r="O5401">
        <v>4.2673950000000002E-2</v>
      </c>
      <c r="P5401">
        <v>0.99429609999999902</v>
      </c>
      <c r="Q5401">
        <v>-1.481509E-2</v>
      </c>
      <c r="R5401">
        <v>0.1056218</v>
      </c>
      <c r="S5401">
        <v>2.9956969999999998</v>
      </c>
      <c r="T5401">
        <v>-0.2325942</v>
      </c>
      <c r="U5401">
        <v>0.17022709999999999</v>
      </c>
      <c r="V5401">
        <v>-6.309099E-2</v>
      </c>
      <c r="W5401">
        <v>-2.2117410000000001E-3</v>
      </c>
      <c r="X5401">
        <v>0.99800529999999998</v>
      </c>
      <c r="Y5401">
        <v>-1.415746E-2</v>
      </c>
      <c r="Z5401">
        <v>-2.7558559999999901E-3</v>
      </c>
      <c r="AA5401">
        <v>0.99989599999999901</v>
      </c>
      <c r="AB5401">
        <v>17</v>
      </c>
      <c r="AC5401">
        <v>14.14</v>
      </c>
      <c r="AD5401">
        <v>-1.10455655664</v>
      </c>
      <c r="AE5401">
        <v>0.80449000000000104</v>
      </c>
      <c r="AF5401">
        <v>-0.19908806698185499</v>
      </c>
      <c r="AG5401">
        <v>-1.10455655664</v>
      </c>
      <c r="AH5401">
        <v>14.0758360633571</v>
      </c>
      <c r="AI5401">
        <v>94.486462729185405</v>
      </c>
      <c r="AJ5401">
        <v>90.8103351994706</v>
      </c>
      <c r="AK5401">
        <v>14.120511397528601</v>
      </c>
    </row>
    <row r="5402" spans="1:37" x14ac:dyDescent="0.2">
      <c r="A5402" t="str">
        <f>"20200111160325005"</f>
        <v>20200111160325005</v>
      </c>
      <c r="B5402" t="str">
        <f>"1578729804998716"</f>
        <v>1578729804998716</v>
      </c>
      <c r="C5402" t="s">
        <v>37</v>
      </c>
      <c r="D5402">
        <v>4.5766400000000003</v>
      </c>
      <c r="E5402">
        <v>0.5194531</v>
      </c>
      <c r="F5402" t="s">
        <v>97</v>
      </c>
      <c r="G5402">
        <v>-239.77809999999999</v>
      </c>
      <c r="H5402" s="1">
        <v>-3.5429500000000001E-6</v>
      </c>
      <c r="I5402">
        <v>-62.308109999999999</v>
      </c>
      <c r="J5402">
        <v>-253.87479999999999</v>
      </c>
      <c r="K5402">
        <v>1.10453</v>
      </c>
      <c r="L5402">
        <v>-63.107089999999999</v>
      </c>
      <c r="M5402">
        <v>0.99900029999999995</v>
      </c>
      <c r="N5402">
        <v>0</v>
      </c>
      <c r="O5402">
        <v>4.2915120000000001E-2</v>
      </c>
      <c r="P5402">
        <v>0.99430699999999905</v>
      </c>
      <c r="Q5402">
        <v>-1.546251E-2</v>
      </c>
      <c r="R5402">
        <v>0.105426299999999</v>
      </c>
      <c r="S5402">
        <v>2.9957119999999899</v>
      </c>
      <c r="T5402">
        <v>-0.23333289999999901</v>
      </c>
      <c r="U5402">
        <v>0.16958619999999999</v>
      </c>
      <c r="V5402">
        <v>-6.2653979999999998E-2</v>
      </c>
      <c r="W5402">
        <v>-2.9942079999999999E-3</v>
      </c>
      <c r="X5402">
        <v>0.9980308</v>
      </c>
      <c r="Y5402">
        <v>-1.370527E-2</v>
      </c>
      <c r="Z5402">
        <v>-2.8008719999999998E-3</v>
      </c>
      <c r="AA5402">
        <v>0.99990210000000002</v>
      </c>
      <c r="AB5402">
        <v>17</v>
      </c>
      <c r="AC5402">
        <v>14.096699999999901</v>
      </c>
      <c r="AD5402">
        <v>-1.1045335429500001</v>
      </c>
      <c r="AE5402">
        <v>0.79898000000000002</v>
      </c>
      <c r="AF5402">
        <v>-0.19205948144329299</v>
      </c>
      <c r="AG5402">
        <v>-1.1045335429500001</v>
      </c>
      <c r="AH5402">
        <v>14.032129596431499</v>
      </c>
      <c r="AI5402">
        <v>94.500314692177696</v>
      </c>
      <c r="AJ5402">
        <v>90.784165406833196</v>
      </c>
      <c r="AK5402">
        <v>14.076844184793799</v>
      </c>
    </row>
    <row r="5403" spans="1:37" x14ac:dyDescent="0.2">
      <c r="A5403" t="str">
        <f>"20200111160325016"</f>
        <v>20200111160325016</v>
      </c>
      <c r="B5403" t="str">
        <f>"1578729805008476"</f>
        <v>1578729805008476</v>
      </c>
      <c r="C5403" t="s">
        <v>37</v>
      </c>
      <c r="D5403">
        <v>4.5519540000000003</v>
      </c>
      <c r="E5403">
        <v>0.51948450000000002</v>
      </c>
      <c r="F5403" t="s">
        <v>97</v>
      </c>
      <c r="G5403">
        <v>-239.88890000000001</v>
      </c>
      <c r="H5403" s="1">
        <v>-3.5827E-6</v>
      </c>
      <c r="I5403">
        <v>-62.319540000000003</v>
      </c>
      <c r="J5403">
        <v>-253.79429999999999</v>
      </c>
      <c r="K5403">
        <v>1.104509</v>
      </c>
      <c r="L5403">
        <v>-63.103359999999903</v>
      </c>
      <c r="M5403">
        <v>0.99899199999999999</v>
      </c>
      <c r="N5403">
        <v>0</v>
      </c>
      <c r="O5403">
        <v>4.3143880000000003E-2</v>
      </c>
      <c r="P5403">
        <v>0.99431970000000003</v>
      </c>
      <c r="Q5403">
        <v>-1.621218E-2</v>
      </c>
      <c r="R5403">
        <v>0.1051932</v>
      </c>
      <c r="S5403">
        <v>2.9956209999999999</v>
      </c>
      <c r="T5403">
        <v>-0.23657889999999901</v>
      </c>
      <c r="U5403">
        <v>0.16867070000000001</v>
      </c>
      <c r="V5403">
        <v>-6.2191690000000001E-2</v>
      </c>
      <c r="W5403">
        <v>-3.8731939999999999E-3</v>
      </c>
      <c r="X5403">
        <v>0.99805669999999902</v>
      </c>
      <c r="Y5403">
        <v>-1.317829E-2</v>
      </c>
      <c r="Z5403">
        <v>-2.8785880000000001E-3</v>
      </c>
      <c r="AA5403">
        <v>0.99990900000000005</v>
      </c>
      <c r="AB5403">
        <v>17</v>
      </c>
      <c r="AC5403">
        <v>13.905399999999901</v>
      </c>
      <c r="AD5403">
        <v>-1.1045125827</v>
      </c>
      <c r="AE5403">
        <v>0.78381999999999097</v>
      </c>
      <c r="AF5403">
        <v>-0.18196663517887299</v>
      </c>
      <c r="AG5403">
        <v>-1.1045125827</v>
      </c>
      <c r="AH5403">
        <v>13.8392319531168</v>
      </c>
      <c r="AI5403">
        <v>94.5627257127761</v>
      </c>
      <c r="AJ5403">
        <v>90.7533163309987</v>
      </c>
      <c r="AK5403">
        <v>13.8844301630938</v>
      </c>
    </row>
    <row r="5404" spans="1:37" x14ac:dyDescent="0.2">
      <c r="A5404" t="str">
        <f>"20200111160325027"</f>
        <v>20200111160325027</v>
      </c>
      <c r="B5404" t="str">
        <f>"1578729805018236"</f>
        <v>1578729805018236</v>
      </c>
      <c r="C5404" t="s">
        <v>37</v>
      </c>
      <c r="D5404">
        <v>4.5485429999999996</v>
      </c>
      <c r="E5404">
        <v>0.51951369999999997</v>
      </c>
      <c r="F5404" t="s">
        <v>42</v>
      </c>
      <c r="G5404">
        <v>-252.96430000000001</v>
      </c>
      <c r="H5404">
        <v>1.0381989999999901</v>
      </c>
      <c r="I5404">
        <v>-63.057049999999997</v>
      </c>
      <c r="J5404">
        <v>-253.7114</v>
      </c>
      <c r="K5404">
        <v>1.1044879999999999</v>
      </c>
      <c r="L5404">
        <v>-63.099519999999998</v>
      </c>
      <c r="M5404">
        <v>0.99898349999999903</v>
      </c>
      <c r="N5404">
        <v>0</v>
      </c>
      <c r="O5404">
        <v>4.3378729999999997E-2</v>
      </c>
      <c r="P5404">
        <v>0.99430399999999997</v>
      </c>
      <c r="Q5404">
        <v>-1.6829029999999998E-2</v>
      </c>
      <c r="R5404">
        <v>0.105244</v>
      </c>
      <c r="S5404">
        <v>2.9954990000000001</v>
      </c>
      <c r="T5404">
        <v>-0.239331399999999</v>
      </c>
      <c r="U5404">
        <v>0.16784669999999999</v>
      </c>
      <c r="V5404">
        <v>-6.2008269999999997E-2</v>
      </c>
      <c r="W5404">
        <v>-4.623589E-3</v>
      </c>
      <c r="X5404">
        <v>0.99806489999999903</v>
      </c>
      <c r="Y5404">
        <v>-1.267593E-2</v>
      </c>
      <c r="Z5404">
        <v>-2.9508309999999901E-3</v>
      </c>
      <c r="AA5404">
        <v>0.99991529999999995</v>
      </c>
      <c r="AB5404">
        <v>17</v>
      </c>
      <c r="AC5404">
        <v>0.747099999999989</v>
      </c>
      <c r="AD5404">
        <v>-6.6289000000000001E-2</v>
      </c>
      <c r="AE5404">
        <v>4.24700000000015E-2</v>
      </c>
      <c r="AF5404">
        <v>-9.9413195630297796E-3</v>
      </c>
      <c r="AG5404">
        <v>-6.6289000000000001E-2</v>
      </c>
      <c r="AH5404">
        <v>0.74241308962951402</v>
      </c>
      <c r="AI5404">
        <v>95.101872373981294</v>
      </c>
      <c r="AJ5404">
        <v>90.767176146596199</v>
      </c>
      <c r="AK5404">
        <v>0.74543293260285703</v>
      </c>
    </row>
    <row r="5405" spans="1:37" x14ac:dyDescent="0.2">
      <c r="A5405" t="str">
        <f>"20200111160325037"</f>
        <v>20200111160325037</v>
      </c>
      <c r="B5405" t="str">
        <f>"1578729805028972"</f>
        <v>1578729805028972</v>
      </c>
      <c r="C5405" t="s">
        <v>37</v>
      </c>
      <c r="D5405">
        <v>4.6112380000000002</v>
      </c>
      <c r="E5405">
        <v>0.51945589999999997</v>
      </c>
      <c r="F5405" t="s">
        <v>95</v>
      </c>
      <c r="G5405">
        <v>-240.03700000000001</v>
      </c>
      <c r="H5405" s="1">
        <v>4.7820560000000002E-7</v>
      </c>
      <c r="I5405">
        <v>-62.33334</v>
      </c>
      <c r="J5405">
        <v>-253.63059999999999</v>
      </c>
      <c r="K5405">
        <v>1.104471</v>
      </c>
      <c r="L5405">
        <v>-63.095759999999999</v>
      </c>
      <c r="M5405">
        <v>0.9989751</v>
      </c>
      <c r="N5405">
        <v>0</v>
      </c>
      <c r="O5405">
        <v>4.360704E-2</v>
      </c>
      <c r="P5405">
        <v>0.99427999999999905</v>
      </c>
      <c r="Q5405">
        <v>-1.77615E-2</v>
      </c>
      <c r="R5405">
        <v>0.1053181</v>
      </c>
      <c r="S5405">
        <v>2.9953460000000001</v>
      </c>
      <c r="T5405">
        <v>-0.24193600000000001</v>
      </c>
      <c r="U5405">
        <v>0.1678162</v>
      </c>
      <c r="V5405">
        <v>-6.1854689999999997E-2</v>
      </c>
      <c r="W5405">
        <v>-5.6841569999999996E-3</v>
      </c>
      <c r="X5405">
        <v>0.99806899999999998</v>
      </c>
      <c r="Y5405">
        <v>-1.244378E-2</v>
      </c>
      <c r="Z5405">
        <v>-3.0107129999999999E-3</v>
      </c>
      <c r="AA5405">
        <v>0.99991799999999997</v>
      </c>
      <c r="AB5405">
        <v>17</v>
      </c>
      <c r="AC5405">
        <v>13.593599999999901</v>
      </c>
      <c r="AD5405">
        <v>-1.1044705217944</v>
      </c>
      <c r="AE5405">
        <v>0.76241999999999799</v>
      </c>
      <c r="AF5405">
        <v>-0.16777031021362099</v>
      </c>
      <c r="AG5405">
        <v>-1.1044705217944</v>
      </c>
      <c r="AH5405">
        <v>13.524912612116699</v>
      </c>
      <c r="AI5405">
        <v>94.668167388557904</v>
      </c>
      <c r="AJ5405">
        <v>90.710691299012694</v>
      </c>
      <c r="AK5405">
        <v>13.570971342387301</v>
      </c>
    </row>
    <row r="5406" spans="1:37" x14ac:dyDescent="0.2">
      <c r="A5406" t="str">
        <f>"20200111160325049"</f>
        <v>20200111160325049</v>
      </c>
      <c r="B5406" t="str">
        <f>"1578729805038732"</f>
        <v>1578729805038732</v>
      </c>
      <c r="C5406" t="s">
        <v>37</v>
      </c>
      <c r="D5406">
        <v>4.5795110000000001</v>
      </c>
      <c r="E5406">
        <v>0.51941229999999905</v>
      </c>
      <c r="F5406" t="s">
        <v>42</v>
      </c>
      <c r="G5406">
        <v>-252.8177</v>
      </c>
      <c r="H5406">
        <v>1.0379590000000001</v>
      </c>
      <c r="I5406">
        <v>-63.05039</v>
      </c>
      <c r="J5406">
        <v>-253.54320000000001</v>
      </c>
      <c r="K5406">
        <v>1.1044529999999999</v>
      </c>
      <c r="L5406">
        <v>-63.091669999999901</v>
      </c>
      <c r="M5406">
        <v>0.99896600000000002</v>
      </c>
      <c r="N5406">
        <v>0</v>
      </c>
      <c r="O5406">
        <v>4.3853830000000003E-2</v>
      </c>
      <c r="P5406">
        <v>0.99424920000000006</v>
      </c>
      <c r="Q5406">
        <v>-1.840961E-2</v>
      </c>
      <c r="R5406">
        <v>0.1054987</v>
      </c>
      <c r="S5406">
        <v>2.99502599999999</v>
      </c>
      <c r="T5406">
        <v>-0.24501249999999999</v>
      </c>
      <c r="U5406">
        <v>0.16842650000000001</v>
      </c>
      <c r="V5406">
        <v>-6.1789669999999998E-2</v>
      </c>
      <c r="W5406">
        <v>-6.4704790000000003E-3</v>
      </c>
      <c r="X5406">
        <v>0.99806819999999896</v>
      </c>
      <c r="Y5406">
        <v>-1.2409470000000001E-2</v>
      </c>
      <c r="Z5406">
        <v>-3.0706829999999998E-3</v>
      </c>
      <c r="AA5406">
        <v>0.99991830000000004</v>
      </c>
      <c r="AB5406">
        <v>17</v>
      </c>
      <c r="AC5406">
        <v>0.72550000000001003</v>
      </c>
      <c r="AD5406">
        <v>-6.6493999999999998E-2</v>
      </c>
      <c r="AE5406">
        <v>4.1279999999993301E-2</v>
      </c>
      <c r="AF5406">
        <v>-9.3438035408324703E-3</v>
      </c>
      <c r="AG5406">
        <v>-6.6493999999999998E-2</v>
      </c>
      <c r="AH5406">
        <v>0.72057887450138602</v>
      </c>
      <c r="AI5406">
        <v>95.271801704501101</v>
      </c>
      <c r="AJ5406">
        <v>90.7429172896518</v>
      </c>
      <c r="AK5406">
        <v>0.72370067920259296</v>
      </c>
    </row>
    <row r="5407" spans="1:37" x14ac:dyDescent="0.2">
      <c r="A5407" t="str">
        <f>"20200111160325059"</f>
        <v>20200111160325059</v>
      </c>
      <c r="B5407" t="str">
        <f>"1578729805049001"</f>
        <v>1578729805049001</v>
      </c>
      <c r="C5407" t="s">
        <v>37</v>
      </c>
      <c r="D5407">
        <v>4.6306419999999999</v>
      </c>
      <c r="E5407">
        <v>0.5194261</v>
      </c>
      <c r="F5407" t="s">
        <v>95</v>
      </c>
      <c r="G5407">
        <v>-240.1747</v>
      </c>
      <c r="H5407" s="1">
        <v>4.185202E-7</v>
      </c>
      <c r="I5407">
        <v>-62.33569</v>
      </c>
      <c r="J5407">
        <v>-253.46340000000001</v>
      </c>
      <c r="K5407">
        <v>1.104438</v>
      </c>
      <c r="L5407">
        <v>-63.087919999999997</v>
      </c>
      <c r="M5407">
        <v>0.99895750000000005</v>
      </c>
      <c r="N5407">
        <v>0</v>
      </c>
      <c r="O5407">
        <v>4.407958E-2</v>
      </c>
      <c r="P5407">
        <v>0.99418259999999903</v>
      </c>
      <c r="Q5407">
        <v>-1.9184360000000001E-2</v>
      </c>
      <c r="R5407">
        <v>0.10598630000000001</v>
      </c>
      <c r="S5407">
        <v>2.994812</v>
      </c>
      <c r="T5407">
        <v>-0.2474191</v>
      </c>
      <c r="U5407">
        <v>0.16934199999999999</v>
      </c>
      <c r="V5407">
        <v>-6.2053419999999998E-2</v>
      </c>
      <c r="W5407">
        <v>-7.3659219999999996E-3</v>
      </c>
      <c r="X5407">
        <v>0.99804559999999998</v>
      </c>
      <c r="Y5407">
        <v>-1.249483E-2</v>
      </c>
      <c r="Z5407">
        <v>-3.115989E-3</v>
      </c>
      <c r="AA5407">
        <v>0.9999171</v>
      </c>
      <c r="AB5407">
        <v>17</v>
      </c>
      <c r="AC5407">
        <v>13.2887</v>
      </c>
      <c r="AD5407">
        <v>-1.1044375814798</v>
      </c>
      <c r="AE5407">
        <v>0.75222999999999696</v>
      </c>
      <c r="AF5407">
        <v>-0.164564073263398</v>
      </c>
      <c r="AG5407">
        <v>-1.1044375814798</v>
      </c>
      <c r="AH5407">
        <v>13.2179316932225</v>
      </c>
      <c r="AI5407">
        <v>94.775943261759906</v>
      </c>
      <c r="AJ5407">
        <v>90.713299172125602</v>
      </c>
      <c r="AK5407">
        <v>13.2650134546593</v>
      </c>
    </row>
    <row r="5408" spans="1:37" x14ac:dyDescent="0.2">
      <c r="A5408" t="str">
        <f>"20200111160325070"</f>
        <v>20200111160325070</v>
      </c>
      <c r="B5408" t="str">
        <f>"1578729805058761"</f>
        <v>1578729805058761</v>
      </c>
      <c r="C5408" t="s">
        <v>37</v>
      </c>
      <c r="D5408">
        <v>4.844805</v>
      </c>
      <c r="E5408">
        <v>0.519486</v>
      </c>
      <c r="F5408" t="s">
        <v>42</v>
      </c>
      <c r="G5408">
        <v>-252.66299999999899</v>
      </c>
      <c r="H5408">
        <v>1.0375650000000001</v>
      </c>
      <c r="I5408">
        <v>-63.042479999999998</v>
      </c>
      <c r="J5408">
        <v>-253.3792</v>
      </c>
      <c r="K5408">
        <v>1.1044240000000001</v>
      </c>
      <c r="L5408">
        <v>-63.0839199999999</v>
      </c>
      <c r="M5408">
        <v>0.99894839999999996</v>
      </c>
      <c r="N5408">
        <v>0</v>
      </c>
      <c r="O5408">
        <v>4.4317870000000002E-2</v>
      </c>
      <c r="P5408">
        <v>0.99410699999999996</v>
      </c>
      <c r="Q5408">
        <v>-1.994303E-2</v>
      </c>
      <c r="R5408">
        <v>0.1065536</v>
      </c>
      <c r="S5408">
        <v>2.9945219999999999</v>
      </c>
      <c r="T5408">
        <v>-0.25023829999999903</v>
      </c>
      <c r="U5408">
        <v>0.17062379999999999</v>
      </c>
      <c r="V5408">
        <v>-6.2385160000000002E-2</v>
      </c>
      <c r="W5408">
        <v>-8.2510020000000003E-3</v>
      </c>
      <c r="X5408">
        <v>0.99801799999999996</v>
      </c>
      <c r="Y5408">
        <v>-1.2691050000000001E-2</v>
      </c>
      <c r="Z5408">
        <v>-3.16328099999999E-3</v>
      </c>
      <c r="AA5408">
        <v>0.99991450000000004</v>
      </c>
      <c r="AB5408">
        <v>17</v>
      </c>
      <c r="AC5408">
        <v>0.71620000000001405</v>
      </c>
      <c r="AD5408">
        <v>-6.6859000000000002E-2</v>
      </c>
      <c r="AE5408">
        <v>4.1439999999987202E-2</v>
      </c>
      <c r="AF5408">
        <v>-9.5734782756851499E-3</v>
      </c>
      <c r="AG5408">
        <v>-6.6859000000000002E-2</v>
      </c>
      <c r="AH5408">
        <v>0.71115606800366205</v>
      </c>
      <c r="AI5408">
        <v>95.370365051202995</v>
      </c>
      <c r="AJ5408">
        <v>90.771260760060201</v>
      </c>
      <c r="AK5408">
        <v>0.71435616496655596</v>
      </c>
    </row>
    <row r="5409" spans="1:37" x14ac:dyDescent="0.2">
      <c r="A5409" t="str">
        <f>"20200111160325082"</f>
        <v>20200111160325082</v>
      </c>
      <c r="B5409" t="str">
        <f>"1578729805068521"</f>
        <v>1578729805068521</v>
      </c>
      <c r="C5409" t="s">
        <v>37</v>
      </c>
      <c r="D5409">
        <v>4.6240769999999998</v>
      </c>
      <c r="E5409">
        <v>0.51957600000000004</v>
      </c>
      <c r="F5409" t="s">
        <v>42</v>
      </c>
      <c r="G5409">
        <v>-252.512</v>
      </c>
      <c r="H5409">
        <v>1.031798</v>
      </c>
      <c r="I5409">
        <v>-63.034419999999997</v>
      </c>
      <c r="J5409">
        <v>-253.28870000000001</v>
      </c>
      <c r="K5409">
        <v>1.1044129999999901</v>
      </c>
      <c r="L5409">
        <v>-63.079619999999998</v>
      </c>
      <c r="M5409">
        <v>0.99893860000000001</v>
      </c>
      <c r="N5409">
        <v>0</v>
      </c>
      <c r="O5409">
        <v>4.4574389999999998E-2</v>
      </c>
      <c r="P5409">
        <v>0.99402999999999997</v>
      </c>
      <c r="Q5409">
        <v>-2.060493E-2</v>
      </c>
      <c r="R5409">
        <v>0.10714509999999999</v>
      </c>
      <c r="S5409">
        <v>2.9943390000000001</v>
      </c>
      <c r="T5409">
        <v>-0.25078400000000001</v>
      </c>
      <c r="U5409">
        <v>0.17175289999999999</v>
      </c>
      <c r="V5409">
        <v>-6.2722620000000007E-2</v>
      </c>
      <c r="W5409">
        <v>-9.0394969999999901E-3</v>
      </c>
      <c r="X5409">
        <v>0.99799009999999999</v>
      </c>
      <c r="Y5409">
        <v>-1.2814610000000001E-2</v>
      </c>
      <c r="Z5409">
        <v>-3.1865420000000001E-3</v>
      </c>
      <c r="AA5409">
        <v>0.99991280000000005</v>
      </c>
      <c r="AB5409">
        <v>17</v>
      </c>
      <c r="AC5409">
        <v>0.77670000000000505</v>
      </c>
      <c r="AD5409">
        <v>-7.2614999999999805E-2</v>
      </c>
      <c r="AE5409">
        <v>4.5200000000001198E-2</v>
      </c>
      <c r="AF5409">
        <v>-1.0440853544589301E-2</v>
      </c>
      <c r="AG5409">
        <v>-7.2614999999999805E-2</v>
      </c>
      <c r="AH5409">
        <v>0.77122451958854699</v>
      </c>
      <c r="AI5409">
        <v>95.378363008615807</v>
      </c>
      <c r="AJ5409">
        <v>90.775624068971993</v>
      </c>
      <c r="AK5409">
        <v>0.77470588565101595</v>
      </c>
    </row>
    <row r="5410" spans="1:37" x14ac:dyDescent="0.2">
      <c r="A5410" t="str">
        <f>"20200111160325091"</f>
        <v>20200111160325091</v>
      </c>
      <c r="B5410" t="str">
        <f>"1578729805089016"</f>
        <v>1578729805089016</v>
      </c>
      <c r="C5410" t="s">
        <v>37</v>
      </c>
      <c r="D5410">
        <v>4.6321009999999996</v>
      </c>
      <c r="E5410">
        <v>0.51967559999999902</v>
      </c>
      <c r="F5410" t="s">
        <v>42</v>
      </c>
      <c r="G5410">
        <v>-252.5018</v>
      </c>
      <c r="H5410">
        <v>1.0384409999999999</v>
      </c>
      <c r="I5410">
        <v>-63.034469999999999</v>
      </c>
      <c r="J5410">
        <v>-253.2089</v>
      </c>
      <c r="K5410">
        <v>1.1044020000000001</v>
      </c>
      <c r="L5410">
        <v>-63.075780000000002</v>
      </c>
      <c r="M5410">
        <v>0.99892959999999997</v>
      </c>
      <c r="N5410">
        <v>0</v>
      </c>
      <c r="O5410">
        <v>4.4801290000000001E-2</v>
      </c>
      <c r="P5410">
        <v>0.99393670000000001</v>
      </c>
      <c r="Q5410">
        <v>-2.1226789999999999E-2</v>
      </c>
      <c r="R5410">
        <v>0.107886</v>
      </c>
      <c r="S5410">
        <v>2.9941709999999899</v>
      </c>
      <c r="T5410">
        <v>-0.2509731</v>
      </c>
      <c r="U5410">
        <v>0.17269899999999999</v>
      </c>
      <c r="V5410">
        <v>-6.3239920000000005E-2</v>
      </c>
      <c r="W5410">
        <v>-9.7705090000000001E-3</v>
      </c>
      <c r="X5410">
        <v>0.99795059999999902</v>
      </c>
      <c r="Y5410">
        <v>-1.2906290000000001E-2</v>
      </c>
      <c r="Z5410">
        <v>-3.2041869999999998E-3</v>
      </c>
      <c r="AA5410">
        <v>0.99991160000000001</v>
      </c>
      <c r="AB5410">
        <v>17</v>
      </c>
      <c r="AC5410">
        <v>0.70709999999999695</v>
      </c>
      <c r="AD5410">
        <v>-6.5961000000000103E-2</v>
      </c>
      <c r="AE5410">
        <v>4.1310000000002803E-2</v>
      </c>
      <c r="AF5410">
        <v>-9.5049948726718507E-3</v>
      </c>
      <c r="AG5410">
        <v>-6.5961000000000103E-2</v>
      </c>
      <c r="AH5410">
        <v>0.70215153256313101</v>
      </c>
      <c r="AI5410">
        <v>95.366199008647996</v>
      </c>
      <c r="AJ5410">
        <v>90.775563113233105</v>
      </c>
      <c r="AK5410">
        <v>0.70530700629533205</v>
      </c>
    </row>
    <row r="5411" spans="1:37" x14ac:dyDescent="0.2">
      <c r="A5411" t="str">
        <f>"20200111160325103"</f>
        <v>20200111160325103</v>
      </c>
      <c r="B5411" t="str">
        <f>"1578729805098777"</f>
        <v>1578729805098777</v>
      </c>
      <c r="C5411" t="s">
        <v>37</v>
      </c>
      <c r="D5411">
        <v>4.602525</v>
      </c>
      <c r="E5411">
        <v>0.51970810000000001</v>
      </c>
      <c r="F5411" t="s">
        <v>42</v>
      </c>
      <c r="G5411">
        <v>-252.35470000000001</v>
      </c>
      <c r="H5411">
        <v>1.033164</v>
      </c>
      <c r="I5411">
        <v>-63.026249999999997</v>
      </c>
      <c r="J5411">
        <v>-253.11869999999999</v>
      </c>
      <c r="K5411">
        <v>1.1043909999999999</v>
      </c>
      <c r="L5411">
        <v>-63.071440000000003</v>
      </c>
      <c r="M5411">
        <v>0.99891939999999901</v>
      </c>
      <c r="N5411">
        <v>0</v>
      </c>
      <c r="O5411">
        <v>4.5058319999999999E-2</v>
      </c>
      <c r="P5411">
        <v>0.993847699999999</v>
      </c>
      <c r="Q5411">
        <v>-2.1738529999999999E-2</v>
      </c>
      <c r="R5411">
        <v>0.10860209999999999</v>
      </c>
      <c r="S5411">
        <v>2.9940799999999999</v>
      </c>
      <c r="T5411">
        <v>-0.24971179999999901</v>
      </c>
      <c r="U5411">
        <v>0.17404169999999999</v>
      </c>
      <c r="V5411">
        <v>-6.3702060000000005E-2</v>
      </c>
      <c r="W5411">
        <v>-1.0396880000000001E-2</v>
      </c>
      <c r="X5411">
        <v>0.99791479999999999</v>
      </c>
      <c r="Y5411">
        <v>-1.309688E-2</v>
      </c>
      <c r="Z5411">
        <v>-3.2016050000000002E-3</v>
      </c>
      <c r="AA5411">
        <v>0.9999091</v>
      </c>
      <c r="AB5411">
        <v>17</v>
      </c>
      <c r="AC5411">
        <v>0.76399999999998103</v>
      </c>
      <c r="AD5411">
        <v>-7.1226999999999902E-2</v>
      </c>
      <c r="AE5411">
        <v>4.5190000000005101E-2</v>
      </c>
      <c r="AF5411">
        <v>-1.06252773831047E-2</v>
      </c>
      <c r="AG5411">
        <v>-7.1226999999999902E-2</v>
      </c>
      <c r="AH5411">
        <v>0.75868899229735898</v>
      </c>
      <c r="AI5411">
        <v>95.362781316635406</v>
      </c>
      <c r="AJ5411">
        <v>90.802362707263299</v>
      </c>
      <c r="AK5411">
        <v>0.76209918585552205</v>
      </c>
    </row>
    <row r="5412" spans="1:37" x14ac:dyDescent="0.2">
      <c r="A5412" t="str">
        <f>"20200111160325115"</f>
        <v>20200111160325115</v>
      </c>
      <c r="B5412" t="str">
        <f>"1578729805108537"</f>
        <v>1578729805108537</v>
      </c>
      <c r="C5412" t="s">
        <v>37</v>
      </c>
      <c r="D5412">
        <v>4.6073579999999996</v>
      </c>
      <c r="E5412">
        <v>0.51973939999999996</v>
      </c>
      <c r="F5412" t="s">
        <v>97</v>
      </c>
      <c r="G5412">
        <v>-239.8741</v>
      </c>
      <c r="H5412" s="1">
        <v>-3.5730419999999998E-6</v>
      </c>
      <c r="I5412">
        <v>-62.293480000000002</v>
      </c>
      <c r="J5412">
        <v>-253.02549999999999</v>
      </c>
      <c r="K5412">
        <v>1.104384</v>
      </c>
      <c r="L5412">
        <v>-63.066890000000001</v>
      </c>
      <c r="M5412">
        <v>0.99890869999999998</v>
      </c>
      <c r="N5412">
        <v>0</v>
      </c>
      <c r="O5412">
        <v>4.5324320000000001E-2</v>
      </c>
      <c r="P5412">
        <v>0.99376629999999999</v>
      </c>
      <c r="Q5412">
        <v>-2.2197330000000001E-2</v>
      </c>
      <c r="R5412">
        <v>0.10925319999999999</v>
      </c>
      <c r="S5412">
        <v>2.9938959999999999</v>
      </c>
      <c r="T5412">
        <v>-0.2496449</v>
      </c>
      <c r="U5412">
        <v>0.17584229999999901</v>
      </c>
      <c r="V5412">
        <v>-6.4090899999999895E-2</v>
      </c>
      <c r="W5412">
        <v>-1.096747E-2</v>
      </c>
      <c r="X5412">
        <v>0.99788379999999999</v>
      </c>
      <c r="Y5412">
        <v>-1.3433219999999999E-2</v>
      </c>
      <c r="Z5412">
        <v>-3.2089789999999998E-3</v>
      </c>
      <c r="AA5412">
        <v>0.99990460000000003</v>
      </c>
      <c r="AB5412">
        <v>17</v>
      </c>
      <c r="AC5412">
        <v>13.151399999999899</v>
      </c>
      <c r="AD5412">
        <v>-1.1043875730420001</v>
      </c>
      <c r="AE5412">
        <v>0.77340999999999804</v>
      </c>
      <c r="AF5412">
        <v>-0.17526724658516701</v>
      </c>
      <c r="AG5412">
        <v>-1.1043875730420001</v>
      </c>
      <c r="AH5412">
        <v>13.081012857687799</v>
      </c>
      <c r="AI5412">
        <v>94.825421812550303</v>
      </c>
      <c r="AJ5412">
        <v>90.767637243711107</v>
      </c>
      <c r="AK5412">
        <v>13.128719964345599</v>
      </c>
    </row>
    <row r="5413" spans="1:37" x14ac:dyDescent="0.2">
      <c r="A5413" t="str">
        <f>"20200111160325127"</f>
        <v>20200111160325127</v>
      </c>
      <c r="B5413" t="str">
        <f>"1578729805118298"</f>
        <v>1578729805118298</v>
      </c>
      <c r="C5413" t="s">
        <v>37</v>
      </c>
      <c r="D5413">
        <v>4.6254410000000004</v>
      </c>
      <c r="E5413">
        <v>0.51980939999999998</v>
      </c>
      <c r="F5413" t="s">
        <v>42</v>
      </c>
      <c r="G5413">
        <v>-252.19640000000001</v>
      </c>
      <c r="H5413">
        <v>1.035266</v>
      </c>
      <c r="I5413">
        <v>-63.017789999999998</v>
      </c>
      <c r="J5413">
        <v>-252.9281</v>
      </c>
      <c r="K5413">
        <v>1.104376</v>
      </c>
      <c r="L5413">
        <v>-63.062159999999999</v>
      </c>
      <c r="M5413">
        <v>0.99889709999999998</v>
      </c>
      <c r="N5413">
        <v>0</v>
      </c>
      <c r="O5413">
        <v>4.5602820000000002E-2</v>
      </c>
      <c r="P5413">
        <v>0.99370530000000001</v>
      </c>
      <c r="Q5413">
        <v>-2.2400349999999999E-2</v>
      </c>
      <c r="R5413">
        <v>0.1097651</v>
      </c>
      <c r="S5413">
        <v>2.9937290000000001</v>
      </c>
      <c r="T5413">
        <v>-0.24959909999999999</v>
      </c>
      <c r="U5413">
        <v>0.17752079999999901</v>
      </c>
      <c r="V5413">
        <v>-6.4326670000000002E-2</v>
      </c>
      <c r="W5413">
        <v>-1.128095E-2</v>
      </c>
      <c r="X5413">
        <v>0.99786509999999995</v>
      </c>
      <c r="Y5413">
        <v>-1.371638E-2</v>
      </c>
      <c r="Z5413">
        <v>-3.2198550000000002E-3</v>
      </c>
      <c r="AA5413">
        <v>0.99990080000000003</v>
      </c>
      <c r="AB5413">
        <v>18</v>
      </c>
      <c r="AC5413">
        <v>0.73169999999998903</v>
      </c>
      <c r="AD5413">
        <v>-6.9110000000000005E-2</v>
      </c>
      <c r="AE5413">
        <v>4.4369999999993498E-2</v>
      </c>
      <c r="AF5413">
        <v>-1.0857658627712799E-2</v>
      </c>
      <c r="AG5413">
        <v>-6.9110000000000005E-2</v>
      </c>
      <c r="AH5413">
        <v>0.72650476856812995</v>
      </c>
      <c r="AI5413">
        <v>95.433403643817698</v>
      </c>
      <c r="AJ5413">
        <v>90.856225219259699</v>
      </c>
      <c r="AK5413">
        <v>0.72986523386383295</v>
      </c>
    </row>
    <row r="5414" spans="1:37" x14ac:dyDescent="0.2">
      <c r="A5414" t="str">
        <f>"20200111160325138"</f>
        <v>20200111160325138</v>
      </c>
      <c r="B5414" t="str">
        <f>"1578729805129034"</f>
        <v>1578729805129034</v>
      </c>
      <c r="C5414" t="s">
        <v>37</v>
      </c>
      <c r="D5414">
        <v>4.6852599999999898</v>
      </c>
      <c r="E5414">
        <v>0.51980939999999998</v>
      </c>
      <c r="F5414" t="s">
        <v>97</v>
      </c>
      <c r="G5414">
        <v>-239.6035</v>
      </c>
      <c r="H5414" s="1">
        <v>-3.4764619999999999E-6</v>
      </c>
      <c r="I5414">
        <v>-62.268180000000001</v>
      </c>
      <c r="J5414">
        <v>-252.84180000000001</v>
      </c>
      <c r="K5414">
        <v>1.1043639999999999</v>
      </c>
      <c r="L5414">
        <v>-63.057949999999998</v>
      </c>
      <c r="M5414">
        <v>0.99888679999999996</v>
      </c>
      <c r="N5414">
        <v>0</v>
      </c>
      <c r="O5414">
        <v>4.5850009999999997E-2</v>
      </c>
      <c r="P5414">
        <v>0.99364830000000004</v>
      </c>
      <c r="Q5414">
        <v>-2.2539010000000002E-2</v>
      </c>
      <c r="R5414">
        <v>0.11025019999999899</v>
      </c>
      <c r="S5414">
        <v>2.9937290000000001</v>
      </c>
      <c r="T5414">
        <v>-0.24812880000000001</v>
      </c>
      <c r="U5414">
        <v>0.17837520000000001</v>
      </c>
      <c r="V5414">
        <v>-6.4566810000000002E-2</v>
      </c>
      <c r="W5414">
        <v>-1.1508040000000001E-2</v>
      </c>
      <c r="X5414">
        <v>0.99784699999999904</v>
      </c>
      <c r="Y5414">
        <v>-1.37527999999999E-2</v>
      </c>
      <c r="Z5414">
        <v>-3.2198169999999998E-3</v>
      </c>
      <c r="AA5414">
        <v>0.99990020000000002</v>
      </c>
      <c r="AB5414">
        <v>18</v>
      </c>
      <c r="AC5414">
        <v>13.238300000000001</v>
      </c>
      <c r="AD5414">
        <v>-1.104367476462</v>
      </c>
      <c r="AE5414">
        <v>0.78976999999998998</v>
      </c>
      <c r="AF5414">
        <v>-0.180672933762273</v>
      </c>
      <c r="AG5414">
        <v>-1.104367476462</v>
      </c>
      <c r="AH5414">
        <v>13.169265962841299</v>
      </c>
      <c r="AI5414">
        <v>94.793128130164803</v>
      </c>
      <c r="AJ5414">
        <v>90.786007907479899</v>
      </c>
      <c r="AK5414">
        <v>13.216725624454501</v>
      </c>
    </row>
    <row r="5415" spans="1:37" x14ac:dyDescent="0.2">
      <c r="A5415" t="str">
        <f>"20200111160325150"</f>
        <v>20200111160325150</v>
      </c>
      <c r="B5415" t="str">
        <f>"1578729805138793"</f>
        <v>1578729805138793</v>
      </c>
      <c r="C5415" t="s">
        <v>37</v>
      </c>
      <c r="D5415">
        <v>4.6764669999999997</v>
      </c>
      <c r="E5415">
        <v>0.52214399999999905</v>
      </c>
      <c r="F5415" t="s">
        <v>42</v>
      </c>
      <c r="G5415">
        <v>-252.0376</v>
      </c>
      <c r="H5415">
        <v>1.0375989999999999</v>
      </c>
      <c r="I5415">
        <v>-63.0096699999999</v>
      </c>
      <c r="J5415">
        <v>-252.7516</v>
      </c>
      <c r="K5415">
        <v>1.104357</v>
      </c>
      <c r="L5415">
        <v>-63.053559999999997</v>
      </c>
      <c r="M5415">
        <v>0.99887590000000004</v>
      </c>
      <c r="N5415">
        <v>0</v>
      </c>
      <c r="O5415">
        <v>4.6108349999999999E-2</v>
      </c>
      <c r="P5415">
        <v>0.9935908</v>
      </c>
      <c r="Q5415">
        <v>-2.259355E-2</v>
      </c>
      <c r="R5415">
        <v>0.1107567</v>
      </c>
      <c r="S5415">
        <v>2.993576</v>
      </c>
      <c r="T5415">
        <v>-0.24853049999999999</v>
      </c>
      <c r="U5415">
        <v>0.1798401</v>
      </c>
      <c r="V5415">
        <v>-6.4817449999999999E-2</v>
      </c>
      <c r="W5415">
        <v>-1.165266E-2</v>
      </c>
      <c r="X5415">
        <v>0.99782909999999903</v>
      </c>
      <c r="Y5415">
        <v>-1.3985239999999999E-2</v>
      </c>
      <c r="Z5415">
        <v>-3.236853E-3</v>
      </c>
      <c r="AA5415">
        <v>0.99989689999999998</v>
      </c>
      <c r="AB5415">
        <v>18</v>
      </c>
      <c r="AC5415">
        <v>0.71399999999999797</v>
      </c>
      <c r="AD5415">
        <v>-6.6758000000000095E-2</v>
      </c>
      <c r="AE5415">
        <v>4.3890000000004599E-2</v>
      </c>
      <c r="AF5415">
        <v>-1.0825680080529001E-2</v>
      </c>
      <c r="AG5415">
        <v>-6.6758000000000095E-2</v>
      </c>
      <c r="AH5415">
        <v>0.70908883613746398</v>
      </c>
      <c r="AI5415">
        <v>95.377702457711493</v>
      </c>
      <c r="AJ5415">
        <v>90.8746683957431</v>
      </c>
      <c r="AK5415">
        <v>0.71230667794706903</v>
      </c>
    </row>
    <row r="5416" spans="1:37" x14ac:dyDescent="0.2">
      <c r="A5416" t="str">
        <f>"20200111160325163"</f>
        <v>20200111160325163</v>
      </c>
      <c r="B5416" t="str">
        <f>"1578729805158313"</f>
        <v>1578729805158313</v>
      </c>
      <c r="C5416" t="s">
        <v>37</v>
      </c>
      <c r="D5416">
        <v>4.835769</v>
      </c>
      <c r="E5416">
        <v>0.52237500000000003</v>
      </c>
      <c r="F5416" t="s">
        <v>97</v>
      </c>
      <c r="G5416">
        <v>-235.79220000000001</v>
      </c>
      <c r="H5416" s="1">
        <v>-1.9399740000000002E-6</v>
      </c>
      <c r="I5416">
        <v>-62.142539999999997</v>
      </c>
      <c r="J5416">
        <v>-252.65530000000001</v>
      </c>
      <c r="K5416">
        <v>1.1043540000000001</v>
      </c>
      <c r="L5416">
        <v>-63.048769999999998</v>
      </c>
      <c r="M5416">
        <v>0.99886409999999903</v>
      </c>
      <c r="N5416">
        <v>0</v>
      </c>
      <c r="O5416">
        <v>4.6384259999999997E-2</v>
      </c>
      <c r="P5416">
        <v>0.99355079999999996</v>
      </c>
      <c r="Q5416">
        <v>-2.249874E-2</v>
      </c>
      <c r="R5416">
        <v>0.1111337</v>
      </c>
      <c r="S5416">
        <v>2.9969790000000001</v>
      </c>
      <c r="T5416">
        <v>-0.1951561</v>
      </c>
      <c r="U5416">
        <v>0.16098019999999999</v>
      </c>
      <c r="V5416">
        <v>-6.4919749999999998E-2</v>
      </c>
      <c r="W5416">
        <v>-1.1644180000000001E-2</v>
      </c>
      <c r="X5416">
        <v>0.99782249999999995</v>
      </c>
      <c r="Y5416">
        <v>-7.3412209999999898E-3</v>
      </c>
      <c r="Z5416">
        <v>-2.774903E-3</v>
      </c>
      <c r="AA5416">
        <v>0.999969199999999</v>
      </c>
      <c r="AB5416">
        <v>18</v>
      </c>
      <c r="AC5416">
        <v>16.863099999999999</v>
      </c>
      <c r="AD5416">
        <v>-1.1043559399739999</v>
      </c>
      <c r="AE5416">
        <v>0.90622999999999299</v>
      </c>
      <c r="AF5416">
        <v>-0.122501638262638</v>
      </c>
      <c r="AG5416">
        <v>-1.1043559399739999</v>
      </c>
      <c r="AH5416">
        <v>16.8150748411237</v>
      </c>
      <c r="AI5416">
        <v>93.757492668508405</v>
      </c>
      <c r="AJ5416">
        <v>90.417405378953305</v>
      </c>
      <c r="AK5416">
        <v>16.851746218304001</v>
      </c>
    </row>
    <row r="5417" spans="1:37" x14ac:dyDescent="0.2">
      <c r="A5417" t="str">
        <f>"20200111160325173"</f>
        <v>20200111160325173</v>
      </c>
      <c r="B5417" t="str">
        <f>"1578729805169049"</f>
        <v>1578729805169049</v>
      </c>
      <c r="C5417" t="s">
        <v>37</v>
      </c>
      <c r="D5417">
        <v>4.6897339999999996</v>
      </c>
      <c r="E5417">
        <v>0.52232369999999995</v>
      </c>
      <c r="F5417" t="s">
        <v>97</v>
      </c>
      <c r="G5417">
        <v>-236.17789999999999</v>
      </c>
      <c r="H5417" s="1">
        <v>-2.1117609999999998E-6</v>
      </c>
      <c r="I5417">
        <v>-62.166319999999899</v>
      </c>
      <c r="J5417">
        <v>-252.571</v>
      </c>
      <c r="K5417">
        <v>1.1043499999999999</v>
      </c>
      <c r="L5417">
        <v>-63.044559999999997</v>
      </c>
      <c r="M5417">
        <v>0.99885360000000001</v>
      </c>
      <c r="N5417">
        <v>0</v>
      </c>
      <c r="O5417">
        <v>4.6625800000000002E-2</v>
      </c>
      <c r="P5417">
        <v>0.99350090000000002</v>
      </c>
      <c r="Q5417">
        <v>-2.2448079999999999E-2</v>
      </c>
      <c r="R5417">
        <v>0.1115883</v>
      </c>
      <c r="S5417">
        <v>2.9969790000000001</v>
      </c>
      <c r="T5417">
        <v>-0.20086499999999999</v>
      </c>
      <c r="U5417">
        <v>0.16049189999999999</v>
      </c>
      <c r="V5417">
        <v>-6.5135269999999995E-2</v>
      </c>
      <c r="W5417">
        <v>-1.1665790000000001E-2</v>
      </c>
      <c r="X5417">
        <v>0.99780829999999998</v>
      </c>
      <c r="Y5417">
        <v>-6.9433019999999897E-3</v>
      </c>
      <c r="Z5417">
        <v>-2.88536E-3</v>
      </c>
      <c r="AA5417">
        <v>0.99997169999999902</v>
      </c>
      <c r="AB5417">
        <v>18</v>
      </c>
      <c r="AC5417">
        <v>16.3931</v>
      </c>
      <c r="AD5417">
        <v>-1.104352111761</v>
      </c>
      <c r="AE5417">
        <v>0.87824000000000502</v>
      </c>
      <c r="AF5417">
        <v>-0.11238981914587801</v>
      </c>
      <c r="AG5417">
        <v>-1.104352111761</v>
      </c>
      <c r="AH5417">
        <v>16.342266435145</v>
      </c>
      <c r="AI5417">
        <v>93.865875805880194</v>
      </c>
      <c r="AJ5417">
        <v>90.394031073003504</v>
      </c>
      <c r="AK5417">
        <v>16.379923604689601</v>
      </c>
    </row>
    <row r="5418" spans="1:37" x14ac:dyDescent="0.2">
      <c r="A5418" t="str">
        <f>"20200111160325185"</f>
        <v>20200111160325185</v>
      </c>
      <c r="B5418" t="str">
        <f>"1578729805178809"</f>
        <v>1578729805178809</v>
      </c>
      <c r="C5418" t="s">
        <v>37</v>
      </c>
      <c r="D5418">
        <v>4.6601759999999999</v>
      </c>
      <c r="E5418">
        <v>0.52223629999999999</v>
      </c>
      <c r="F5418" t="s">
        <v>97</v>
      </c>
      <c r="G5418">
        <v>-236.15090000000001</v>
      </c>
      <c r="H5418" s="1">
        <v>-2.09726E-6</v>
      </c>
      <c r="I5418">
        <v>-62.155269999999902</v>
      </c>
      <c r="J5418">
        <v>-252.47399999999999</v>
      </c>
      <c r="K5418">
        <v>1.104349</v>
      </c>
      <c r="L5418">
        <v>-63.039729999999999</v>
      </c>
      <c r="M5418">
        <v>0.99884150000000005</v>
      </c>
      <c r="N5418">
        <v>0</v>
      </c>
      <c r="O5418">
        <v>4.6903380000000001E-2</v>
      </c>
      <c r="P5418">
        <v>0.99348429999999999</v>
      </c>
      <c r="Q5418">
        <v>-2.1981589999999999E-2</v>
      </c>
      <c r="R5418">
        <v>0.1118305</v>
      </c>
      <c r="S5418">
        <v>2.9968569999999999</v>
      </c>
      <c r="T5418">
        <v>-0.20155719999999999</v>
      </c>
      <c r="U5418">
        <v>0.16229250000000001</v>
      </c>
      <c r="V5418">
        <v>-6.5100829999999998E-2</v>
      </c>
      <c r="W5418">
        <v>-1.1276E-2</v>
      </c>
      <c r="X5418">
        <v>0.99781500000000001</v>
      </c>
      <c r="Y5418">
        <v>-7.2671879999999999E-3</v>
      </c>
      <c r="Z5418">
        <v>-2.9030739999999998E-3</v>
      </c>
      <c r="AA5418">
        <v>0.99996939999999901</v>
      </c>
      <c r="AB5418">
        <v>18</v>
      </c>
      <c r="AC5418">
        <v>16.3231</v>
      </c>
      <c r="AD5418">
        <v>-1.1043510972599999</v>
      </c>
      <c r="AE5418">
        <v>0.88446000000001102</v>
      </c>
      <c r="AF5418">
        <v>-0.117298272452178</v>
      </c>
      <c r="AG5418">
        <v>-1.1043510972599999</v>
      </c>
      <c r="AH5418">
        <v>16.2723544319011</v>
      </c>
      <c r="AI5418">
        <v>93.882421755943497</v>
      </c>
      <c r="AJ5418">
        <v>90.4130059716571</v>
      </c>
      <c r="AK5418">
        <v>16.3102075090463</v>
      </c>
    </row>
    <row r="5419" spans="1:37" x14ac:dyDescent="0.2">
      <c r="A5419" t="str">
        <f>"20200111160325196"</f>
        <v>20200111160325196</v>
      </c>
      <c r="B5419" t="str">
        <f>"1578729805188569"</f>
        <v>1578729805188569</v>
      </c>
      <c r="C5419" t="s">
        <v>37</v>
      </c>
      <c r="D5419">
        <v>4.6590259999999999</v>
      </c>
      <c r="E5419">
        <v>0.5223314</v>
      </c>
      <c r="F5419" t="s">
        <v>97</v>
      </c>
      <c r="G5419">
        <v>-235.733</v>
      </c>
      <c r="H5419" s="1">
        <v>-1.91009999999999E-6</v>
      </c>
      <c r="I5419">
        <v>-62.125749999999996</v>
      </c>
      <c r="J5419">
        <v>-252.38759999999999</v>
      </c>
      <c r="K5419">
        <v>1.1043479999999899</v>
      </c>
      <c r="L5419">
        <v>-63.035400000000003</v>
      </c>
      <c r="M5419">
        <v>0.99883040000000001</v>
      </c>
      <c r="N5419">
        <v>0</v>
      </c>
      <c r="O5419">
        <v>4.7150949999999997E-2</v>
      </c>
      <c r="P5419">
        <v>0.99348989999999904</v>
      </c>
      <c r="Q5419">
        <v>-2.1848429999999999E-2</v>
      </c>
      <c r="R5419">
        <v>0.1118053</v>
      </c>
      <c r="S5419">
        <v>2.9968870000000001</v>
      </c>
      <c r="T5419">
        <v>-0.19769429999999999</v>
      </c>
      <c r="U5419">
        <v>0.16360469999999999</v>
      </c>
      <c r="V5419">
        <v>-6.4828239999999995E-2</v>
      </c>
      <c r="W5419">
        <v>-1.120546E-2</v>
      </c>
      <c r="X5419">
        <v>0.99783349999999904</v>
      </c>
      <c r="Y5419">
        <v>-7.452134E-3</v>
      </c>
      <c r="Z5419">
        <v>-2.8576750000000001E-3</v>
      </c>
      <c r="AA5419">
        <v>0.99996819999999897</v>
      </c>
      <c r="AB5419">
        <v>18</v>
      </c>
      <c r="AC5419">
        <v>16.654599999999899</v>
      </c>
      <c r="AD5419">
        <v>-1.1043499100999901</v>
      </c>
      <c r="AE5419">
        <v>0.90965000000000595</v>
      </c>
      <c r="AF5419">
        <v>-0.122774708240541</v>
      </c>
      <c r="AG5419">
        <v>-1.1043499100999901</v>
      </c>
      <c r="AH5419">
        <v>16.6061693140547</v>
      </c>
      <c r="AI5419">
        <v>93.804600214380798</v>
      </c>
      <c r="AJ5419">
        <v>90.423598261192893</v>
      </c>
      <c r="AK5419">
        <v>16.643302606152801</v>
      </c>
    </row>
    <row r="5420" spans="1:37" x14ac:dyDescent="0.2">
      <c r="A5420" t="str">
        <f>"20200111160325207"</f>
        <v>20200111160325207</v>
      </c>
      <c r="B5420" t="str">
        <f>"1578729805198329"</f>
        <v>1578729805198329</v>
      </c>
      <c r="C5420" t="s">
        <v>37</v>
      </c>
      <c r="D5420">
        <v>4.7324999999999999</v>
      </c>
      <c r="E5420">
        <v>0.52234639999999999</v>
      </c>
      <c r="F5420" t="s">
        <v>97</v>
      </c>
      <c r="G5420">
        <v>-235.55779999999999</v>
      </c>
      <c r="H5420" s="1">
        <v>-1.8336919999999999E-6</v>
      </c>
      <c r="I5420">
        <v>-62.121069999999897</v>
      </c>
      <c r="J5420">
        <v>-252.3005</v>
      </c>
      <c r="K5420">
        <v>1.104347</v>
      </c>
      <c r="L5420">
        <v>-63.031009999999903</v>
      </c>
      <c r="M5420">
        <v>0.99881949999999997</v>
      </c>
      <c r="N5420">
        <v>0</v>
      </c>
      <c r="O5420">
        <v>4.7400060000000001E-2</v>
      </c>
      <c r="P5420">
        <v>0.99348709999999996</v>
      </c>
      <c r="Q5420">
        <v>-2.1846089999999999E-2</v>
      </c>
      <c r="R5420">
        <v>0.1118326</v>
      </c>
      <c r="S5420">
        <v>2.9970249999999998</v>
      </c>
      <c r="T5420">
        <v>-0.19666029999999901</v>
      </c>
      <c r="U5420">
        <v>0.16281129999999999</v>
      </c>
      <c r="V5420">
        <v>-6.4606469999999999E-2</v>
      </c>
      <c r="W5420">
        <v>-1.1263769999999999E-2</v>
      </c>
      <c r="X5420">
        <v>0.99784729999999999</v>
      </c>
      <c r="Y5420">
        <v>-6.9370609999999996E-3</v>
      </c>
      <c r="Z5420">
        <v>-2.875814E-3</v>
      </c>
      <c r="AA5420">
        <v>0.99997179999999997</v>
      </c>
      <c r="AB5420">
        <v>18</v>
      </c>
      <c r="AC5420">
        <v>16.742699999999999</v>
      </c>
      <c r="AD5420">
        <v>-1.104348833692</v>
      </c>
      <c r="AE5420">
        <v>0.90993999999999797</v>
      </c>
      <c r="AF5420">
        <v>-0.11476947508940701</v>
      </c>
      <c r="AG5420">
        <v>-1.104348833692</v>
      </c>
      <c r="AH5420">
        <v>16.694592820340599</v>
      </c>
      <c r="AI5420">
        <v>93.784518013195395</v>
      </c>
      <c r="AJ5420">
        <v>90.393882200100094</v>
      </c>
      <c r="AK5420">
        <v>16.731472972092401</v>
      </c>
    </row>
    <row r="5421" spans="1:37" x14ac:dyDescent="0.2">
      <c r="A5421" t="str">
        <f>"20200111160325218"</f>
        <v>20200111160325218</v>
      </c>
      <c r="B5421" t="str">
        <f>"1578729805209066"</f>
        <v>1578729805209066</v>
      </c>
      <c r="C5421" t="s">
        <v>37</v>
      </c>
      <c r="D5421">
        <v>4.7089349999999897</v>
      </c>
      <c r="E5421">
        <v>0.52234639999999999</v>
      </c>
      <c r="F5421" t="s">
        <v>97</v>
      </c>
      <c r="G5421">
        <v>-235.37780000000001</v>
      </c>
      <c r="H5421" s="1">
        <v>-1.753984E-6</v>
      </c>
      <c r="I5421">
        <v>-62.111640000000001</v>
      </c>
      <c r="J5421">
        <v>-252.21449999999999</v>
      </c>
      <c r="K5421">
        <v>1.104347</v>
      </c>
      <c r="L5421">
        <v>-63.02664</v>
      </c>
      <c r="M5421">
        <v>0.99880829999999998</v>
      </c>
      <c r="N5421">
        <v>0</v>
      </c>
      <c r="O5421">
        <v>4.764579E-2</v>
      </c>
      <c r="P5421">
        <v>0.99349730000000003</v>
      </c>
      <c r="Q5421">
        <v>-2.1450739999999999E-2</v>
      </c>
      <c r="R5421">
        <v>0.11181769999999901</v>
      </c>
      <c r="S5421">
        <v>2.9970400000000001</v>
      </c>
      <c r="T5421">
        <v>-0.1955826</v>
      </c>
      <c r="U5421">
        <v>0.16281129999999999</v>
      </c>
      <c r="V5421">
        <v>-6.4345970000000002E-2</v>
      </c>
      <c r="W5421">
        <v>-1.092192E-2</v>
      </c>
      <c r="X5421">
        <v>0.99786790000000003</v>
      </c>
      <c r="Y5421">
        <v>-6.6908799999999997E-3</v>
      </c>
      <c r="Z5421">
        <v>-2.8840759999999902E-3</v>
      </c>
      <c r="AA5421">
        <v>0.99997349999999996</v>
      </c>
      <c r="AB5421">
        <v>18</v>
      </c>
      <c r="AC5421">
        <v>16.836699999999901</v>
      </c>
      <c r="AD5421">
        <v>-1.104348753984</v>
      </c>
      <c r="AE5421">
        <v>0.91499999999999904</v>
      </c>
      <c r="AF5421">
        <v>-0.111240790919059</v>
      </c>
      <c r="AG5421">
        <v>-1.104348753984</v>
      </c>
      <c r="AH5421">
        <v>16.7891557380044</v>
      </c>
      <c r="AI5421">
        <v>93.763269624882398</v>
      </c>
      <c r="AJ5421">
        <v>90.379622100276293</v>
      </c>
      <c r="AK5421">
        <v>16.825804916227799</v>
      </c>
    </row>
    <row r="5422" spans="1:37" x14ac:dyDescent="0.2">
      <c r="A5422" t="str">
        <f>"20200111160325230"</f>
        <v>20200111160325230</v>
      </c>
      <c r="B5422" t="str">
        <f>"1578729805218826"</f>
        <v>1578729805218826</v>
      </c>
      <c r="C5422" t="s">
        <v>37</v>
      </c>
      <c r="D5422">
        <v>4.7645400000000002</v>
      </c>
      <c r="E5422">
        <v>0.51984739999999996</v>
      </c>
      <c r="F5422" t="s">
        <v>97</v>
      </c>
      <c r="G5422">
        <v>-235.1927</v>
      </c>
      <c r="H5422" s="1">
        <v>-1.6720339999999999E-6</v>
      </c>
      <c r="I5422">
        <v>-62.102069999999998</v>
      </c>
      <c r="J5422">
        <v>-252.12700000000001</v>
      </c>
      <c r="K5422">
        <v>1.1043459999999901</v>
      </c>
      <c r="L5422">
        <v>-63.022190000000002</v>
      </c>
      <c r="M5422">
        <v>0.99879689999999999</v>
      </c>
      <c r="N5422">
        <v>0</v>
      </c>
      <c r="O5422">
        <v>4.7895819999999999E-2</v>
      </c>
      <c r="P5422">
        <v>0.99353060000000004</v>
      </c>
      <c r="Q5422">
        <v>-2.1464210000000001E-2</v>
      </c>
      <c r="R5422">
        <v>0.1115183</v>
      </c>
      <c r="S5422">
        <v>2.9970859999999999</v>
      </c>
      <c r="T5422">
        <v>-0.194446799999999</v>
      </c>
      <c r="U5422">
        <v>0.1627808</v>
      </c>
      <c r="V5422">
        <v>-6.3795870000000005E-2</v>
      </c>
      <c r="W5422">
        <v>-1.098824E-2</v>
      </c>
      <c r="X5422">
        <v>0.99790249999999903</v>
      </c>
      <c r="Y5422">
        <v>-6.4296709999999997E-3</v>
      </c>
      <c r="Z5422">
        <v>-2.8919449999999999E-3</v>
      </c>
      <c r="AA5422">
        <v>0.99997510000000001</v>
      </c>
      <c r="AB5422">
        <v>18</v>
      </c>
      <c r="AC5422">
        <v>16.9343</v>
      </c>
      <c r="AD5422">
        <v>-1.10434767203399</v>
      </c>
      <c r="AE5422">
        <v>0.92012000000000405</v>
      </c>
      <c r="AF5422">
        <v>-0.107481043607869</v>
      </c>
      <c r="AG5422">
        <v>-1.10434767203399</v>
      </c>
      <c r="AH5422">
        <v>16.8873279275141</v>
      </c>
      <c r="AI5422">
        <v>93.741457360759298</v>
      </c>
      <c r="AJ5422">
        <v>90.364659646119307</v>
      </c>
      <c r="AK5422">
        <v>16.923740144745199</v>
      </c>
    </row>
    <row r="5423" spans="1:37" x14ac:dyDescent="0.2">
      <c r="A5423" t="str">
        <f>"20200111160325240"</f>
        <v>20200111160325240</v>
      </c>
      <c r="B5423" t="str">
        <f>"1578729805238345"</f>
        <v>1578729805238345</v>
      </c>
      <c r="C5423" t="s">
        <v>37</v>
      </c>
      <c r="D5423">
        <v>4.7295610000000003</v>
      </c>
      <c r="E5423">
        <v>0.52005509999999999</v>
      </c>
      <c r="F5423" t="s">
        <v>42</v>
      </c>
      <c r="G5423">
        <v>-251.2544</v>
      </c>
      <c r="H5423">
        <v>1.031282</v>
      </c>
      <c r="I5423">
        <v>-62.96904</v>
      </c>
      <c r="J5423">
        <v>-252.0359</v>
      </c>
      <c r="K5423">
        <v>1.104349</v>
      </c>
      <c r="L5423">
        <v>-63.017519999999998</v>
      </c>
      <c r="M5423">
        <v>0.99878480000000003</v>
      </c>
      <c r="N5423">
        <v>0</v>
      </c>
      <c r="O5423">
        <v>4.8155469999999999E-2</v>
      </c>
      <c r="P5423">
        <v>0.99353239999999998</v>
      </c>
      <c r="Q5423">
        <v>-2.1328070000000001E-2</v>
      </c>
      <c r="R5423">
        <v>0.1115276</v>
      </c>
      <c r="S5423">
        <v>2.9935</v>
      </c>
      <c r="T5423">
        <v>-0.2506679</v>
      </c>
      <c r="U5423">
        <v>0.18362429999999999</v>
      </c>
      <c r="V5423">
        <v>-6.3545630000000006E-2</v>
      </c>
      <c r="W5423">
        <v>-1.0900969999999999E-2</v>
      </c>
      <c r="X5423">
        <v>0.99791939999999901</v>
      </c>
      <c r="Y5423">
        <v>-1.320879E-2</v>
      </c>
      <c r="Z5423">
        <v>-3.4676300000000002E-3</v>
      </c>
      <c r="AA5423">
        <v>0.99990669999999904</v>
      </c>
      <c r="AB5423">
        <v>18</v>
      </c>
      <c r="AC5423">
        <v>0.78149999999999398</v>
      </c>
      <c r="AD5423">
        <v>-7.3066999999999993E-2</v>
      </c>
      <c r="AE5423">
        <v>4.8479999999997803E-2</v>
      </c>
      <c r="AF5423">
        <v>-1.0695048453461999E-2</v>
      </c>
      <c r="AG5423">
        <v>-7.3066999999999993E-2</v>
      </c>
      <c r="AH5423">
        <v>0.77616909969250003</v>
      </c>
      <c r="AI5423">
        <v>95.377353355718</v>
      </c>
      <c r="AJ5423">
        <v>90.789444413761203</v>
      </c>
      <c r="AK5423">
        <v>0.77967406130246997</v>
      </c>
    </row>
    <row r="5424" spans="1:37" x14ac:dyDescent="0.2">
      <c r="A5424" t="str">
        <f>"20200111160325252"</f>
        <v>20200111160325252</v>
      </c>
      <c r="B5424" t="str">
        <f>"1578729805249082"</f>
        <v>1578729805249082</v>
      </c>
      <c r="C5424" t="s">
        <v>37</v>
      </c>
      <c r="D5424">
        <v>4.7204329999999999</v>
      </c>
      <c r="E5424">
        <v>0.52052029999999905</v>
      </c>
      <c r="F5424" t="s">
        <v>42</v>
      </c>
      <c r="G5424">
        <v>-251.24879999999999</v>
      </c>
      <c r="H5424">
        <v>1.038081</v>
      </c>
      <c r="I5424">
        <v>-62.970009999999903</v>
      </c>
      <c r="J5424">
        <v>-251.95310000000001</v>
      </c>
      <c r="K5424">
        <v>1.104347</v>
      </c>
      <c r="L5424">
        <v>-63.013280000000002</v>
      </c>
      <c r="M5424">
        <v>0.99877389999999999</v>
      </c>
      <c r="N5424">
        <v>0</v>
      </c>
      <c r="O5424">
        <v>4.8391190000000001E-2</v>
      </c>
      <c r="P5424">
        <v>0.99356199999999995</v>
      </c>
      <c r="Q5424">
        <v>-2.1696969999999999E-2</v>
      </c>
      <c r="R5424">
        <v>0.1111936</v>
      </c>
      <c r="S5424">
        <v>2.9936829999999999</v>
      </c>
      <c r="T5424">
        <v>-0.25207160000000001</v>
      </c>
      <c r="U5424">
        <v>0.18212890000000001</v>
      </c>
      <c r="V5424">
        <v>-6.2974799999999997E-2</v>
      </c>
      <c r="W5424">
        <v>-1.131266E-2</v>
      </c>
      <c r="X5424">
        <v>0.99795100000000003</v>
      </c>
      <c r="Y5424">
        <v>-1.247624E-2</v>
      </c>
      <c r="Z5424">
        <v>-3.5373520000000001E-3</v>
      </c>
      <c r="AA5424">
        <v>0.99991589999999997</v>
      </c>
      <c r="AB5424">
        <v>18</v>
      </c>
      <c r="AC5424">
        <v>0.70430000000001702</v>
      </c>
      <c r="AD5424">
        <v>-6.6265999999999894E-2</v>
      </c>
      <c r="AE5424">
        <v>4.3270000000006803E-2</v>
      </c>
      <c r="AF5424">
        <v>-9.0556655170934905E-3</v>
      </c>
      <c r="AG5424">
        <v>-6.6265999999999894E-2</v>
      </c>
      <c r="AH5424">
        <v>0.69940063012639198</v>
      </c>
      <c r="AI5424">
        <v>95.411985994557895</v>
      </c>
      <c r="AJ5424">
        <v>90.741810060249406</v>
      </c>
      <c r="AK5424">
        <v>0.70259122486347003</v>
      </c>
    </row>
    <row r="5425" spans="1:37" x14ac:dyDescent="0.2">
      <c r="A5425" t="str">
        <f>"20200111160325262"</f>
        <v>20200111160325262</v>
      </c>
      <c r="B5425" t="str">
        <f>"1578729805258842"</f>
        <v>1578729805258842</v>
      </c>
      <c r="C5425" t="s">
        <v>37</v>
      </c>
      <c r="D5425">
        <v>4.7611850000000002</v>
      </c>
      <c r="E5425">
        <v>0.52045989999999998</v>
      </c>
      <c r="F5425" t="s">
        <v>42</v>
      </c>
      <c r="G5425">
        <v>-251.09610000000001</v>
      </c>
      <c r="H5425">
        <v>1.0314049999999999</v>
      </c>
      <c r="I5425">
        <v>-62.96264</v>
      </c>
      <c r="J5425">
        <v>-251.8622</v>
      </c>
      <c r="K5425">
        <v>1.1043419999999999</v>
      </c>
      <c r="L5425">
        <v>-63.008580000000002</v>
      </c>
      <c r="M5425">
        <v>0.99876180000000003</v>
      </c>
      <c r="N5425">
        <v>0</v>
      </c>
      <c r="O5425">
        <v>4.8648959999999998E-2</v>
      </c>
      <c r="P5425">
        <v>0.9936026</v>
      </c>
      <c r="Q5425">
        <v>-2.1843189999999998E-2</v>
      </c>
      <c r="R5425">
        <v>0.11080039999999999</v>
      </c>
      <c r="S5425">
        <v>2.99400299999999</v>
      </c>
      <c r="T5425">
        <v>-0.25484029999999902</v>
      </c>
      <c r="U5425">
        <v>0.17758180000000001</v>
      </c>
      <c r="V5425">
        <v>-6.2322250000000003E-2</v>
      </c>
      <c r="W5425">
        <v>-1.150111E-2</v>
      </c>
      <c r="X5425">
        <v>0.99798980000000004</v>
      </c>
      <c r="Y5425">
        <v>-1.07086E-2</v>
      </c>
      <c r="Z5425">
        <v>-3.672757E-3</v>
      </c>
      <c r="AA5425">
        <v>0.99993589999999999</v>
      </c>
      <c r="AB5425">
        <v>18</v>
      </c>
      <c r="AC5425">
        <v>0.76609999999999401</v>
      </c>
      <c r="AD5425">
        <v>-7.2937000000000002E-2</v>
      </c>
      <c r="AE5425">
        <v>4.5940000000001598E-2</v>
      </c>
      <c r="AF5425">
        <v>-8.5365159852762492E-3</v>
      </c>
      <c r="AG5425">
        <v>-7.2937000000000002E-2</v>
      </c>
      <c r="AH5425">
        <v>0.7605587634723</v>
      </c>
      <c r="AI5425">
        <v>95.477526518973804</v>
      </c>
      <c r="AJ5425">
        <v>90.643061159524805</v>
      </c>
      <c r="AK5425">
        <v>0.764095747121185</v>
      </c>
    </row>
    <row r="5426" spans="1:37" x14ac:dyDescent="0.2">
      <c r="A5426" t="str">
        <f>"20200111160325275"</f>
        <v>20200111160325275</v>
      </c>
      <c r="B5426" t="str">
        <f>"1578729805268600"</f>
        <v>1578729805268600</v>
      </c>
      <c r="C5426" t="s">
        <v>37</v>
      </c>
      <c r="D5426">
        <v>5.0650839999999997</v>
      </c>
      <c r="E5426">
        <v>0.52045989999999998</v>
      </c>
      <c r="F5426" t="s">
        <v>42</v>
      </c>
      <c r="G5426">
        <v>-251.09010000000001</v>
      </c>
      <c r="H5426">
        <v>1.0384420000000001</v>
      </c>
      <c r="I5426">
        <v>-62.963159999999903</v>
      </c>
      <c r="J5426">
        <v>-251.7602</v>
      </c>
      <c r="K5426">
        <v>1.1043339999999999</v>
      </c>
      <c r="L5426">
        <v>-63.003269999999901</v>
      </c>
      <c r="M5426">
        <v>0.99874830000000003</v>
      </c>
      <c r="N5426">
        <v>0</v>
      </c>
      <c r="O5426">
        <v>4.8937729999999999E-2</v>
      </c>
      <c r="P5426">
        <v>0.99365380000000003</v>
      </c>
      <c r="Q5426">
        <v>-2.2244679999999999E-2</v>
      </c>
      <c r="R5426">
        <v>0.1102612</v>
      </c>
      <c r="S5426">
        <v>2.993973</v>
      </c>
      <c r="T5426">
        <v>-0.25552049999999998</v>
      </c>
      <c r="U5426">
        <v>0.17684939999999999</v>
      </c>
      <c r="V5426">
        <v>-6.1492930000000001E-2</v>
      </c>
      <c r="W5426">
        <v>-1.1946740000000001E-2</v>
      </c>
      <c r="X5426">
        <v>0.99803600000000003</v>
      </c>
      <c r="Y5426">
        <v>-1.018004E-2</v>
      </c>
      <c r="Z5426">
        <v>-3.729628E-3</v>
      </c>
      <c r="AA5426">
        <v>0.99994119999999997</v>
      </c>
      <c r="AB5426">
        <v>18</v>
      </c>
      <c r="AC5426">
        <v>0.67009999999999004</v>
      </c>
      <c r="AD5426">
        <v>-6.5891999999999798E-2</v>
      </c>
      <c r="AE5426">
        <v>4.0109999999998501E-2</v>
      </c>
      <c r="AF5426">
        <v>-7.19766350145394E-3</v>
      </c>
      <c r="AG5426">
        <v>-6.5891999999999798E-2</v>
      </c>
      <c r="AH5426">
        <v>0.66485442355714497</v>
      </c>
      <c r="AI5426">
        <v>95.659623900308802</v>
      </c>
      <c r="AJ5426">
        <v>90.620255527369906</v>
      </c>
      <c r="AK5426">
        <v>0.66815040712954998</v>
      </c>
    </row>
    <row r="5427" spans="1:37" x14ac:dyDescent="0.2">
      <c r="A5427" t="str">
        <f>"20200111160325287"</f>
        <v>20200111160325287</v>
      </c>
      <c r="B5427" t="str">
        <f>"1578729805278361"</f>
        <v>1578729805278361</v>
      </c>
      <c r="C5427" t="s">
        <v>37</v>
      </c>
      <c r="D5427">
        <v>4.944388</v>
      </c>
      <c r="E5427">
        <v>0.52000619999999997</v>
      </c>
      <c r="F5427" t="s">
        <v>42</v>
      </c>
      <c r="G5427">
        <v>-250.93539999999999</v>
      </c>
      <c r="H5427">
        <v>1.033598</v>
      </c>
      <c r="I5427">
        <v>-62.955150000000003</v>
      </c>
      <c r="J5427">
        <v>-251.667</v>
      </c>
      <c r="K5427">
        <v>1.1043229999999999</v>
      </c>
      <c r="L5427">
        <v>-62.99841</v>
      </c>
      <c r="M5427">
        <v>0.9987357</v>
      </c>
      <c r="N5427">
        <v>0</v>
      </c>
      <c r="O5427">
        <v>4.920095E-2</v>
      </c>
      <c r="P5427">
        <v>0.99369359999999995</v>
      </c>
      <c r="Q5427">
        <v>-2.2508759999999999E-2</v>
      </c>
      <c r="R5427">
        <v>0.1098478</v>
      </c>
      <c r="S5427">
        <v>2.9939879999999999</v>
      </c>
      <c r="T5427">
        <v>-0.2567489</v>
      </c>
      <c r="U5427">
        <v>0.17520139999999901</v>
      </c>
      <c r="V5427">
        <v>-6.0815000000000001E-2</v>
      </c>
      <c r="W5427">
        <v>-1.2248530000000001E-2</v>
      </c>
      <c r="X5427">
        <v>0.99807389999999996</v>
      </c>
      <c r="Y5427">
        <v>-9.3729869999999993E-3</v>
      </c>
      <c r="Z5427">
        <v>-3.8045359999999999E-3</v>
      </c>
      <c r="AA5427">
        <v>0.99994889999999903</v>
      </c>
      <c r="AB5427">
        <v>18</v>
      </c>
      <c r="AC5427">
        <v>0.73160000000001402</v>
      </c>
      <c r="AD5427">
        <v>-7.0724999999999899E-2</v>
      </c>
      <c r="AE5427">
        <v>4.3259999999996503E-2</v>
      </c>
      <c r="AF5427">
        <v>-7.1437458380398597E-3</v>
      </c>
      <c r="AG5427">
        <v>-7.0724999999999899E-2</v>
      </c>
      <c r="AH5427">
        <v>0.72608053086649904</v>
      </c>
      <c r="AI5427">
        <v>95.563165630022397</v>
      </c>
      <c r="AJ5427">
        <v>90.563702320377701</v>
      </c>
      <c r="AK5427">
        <v>0.72955191455644597</v>
      </c>
    </row>
    <row r="5428" spans="1:37" x14ac:dyDescent="0.2">
      <c r="A5428" t="str">
        <f>"20200111160325298"</f>
        <v>20200111160325298</v>
      </c>
      <c r="B5428" t="str">
        <f>"1578729805289098"</f>
        <v>1578729805289098</v>
      </c>
      <c r="C5428" t="s">
        <v>37</v>
      </c>
      <c r="D5428">
        <v>4.7694010000000002</v>
      </c>
      <c r="E5428">
        <v>0.52022829999999998</v>
      </c>
      <c r="F5428" t="s">
        <v>97</v>
      </c>
      <c r="G5428">
        <v>-238.4521</v>
      </c>
      <c r="H5428" s="1">
        <v>-3.075344E-6</v>
      </c>
      <c r="I5428">
        <v>-62.215690000000002</v>
      </c>
      <c r="J5428">
        <v>-251.5796</v>
      </c>
      <c r="K5428">
        <v>1.104314</v>
      </c>
      <c r="L5428">
        <v>-62.9938</v>
      </c>
      <c r="M5428">
        <v>0.99872380000000005</v>
      </c>
      <c r="N5428">
        <v>0</v>
      </c>
      <c r="O5428">
        <v>4.9447159999999997E-2</v>
      </c>
      <c r="P5428">
        <v>0.99372640000000001</v>
      </c>
      <c r="Q5428">
        <v>-2.291667E-2</v>
      </c>
      <c r="R5428">
        <v>0.1094646</v>
      </c>
      <c r="S5428">
        <v>2.9937740000000002</v>
      </c>
      <c r="T5428">
        <v>-0.25018049999999997</v>
      </c>
      <c r="U5428">
        <v>0.1773071</v>
      </c>
      <c r="V5428">
        <v>-6.0184069999999999E-2</v>
      </c>
      <c r="W5428">
        <v>-1.268789E-2</v>
      </c>
      <c r="X5428">
        <v>0.99810669999999901</v>
      </c>
      <c r="Y5428">
        <v>-9.8235140000000002E-3</v>
      </c>
      <c r="Z5428">
        <v>-3.709427E-3</v>
      </c>
      <c r="AA5428">
        <v>0.99994490000000003</v>
      </c>
      <c r="AB5428">
        <v>18</v>
      </c>
      <c r="AC5428">
        <v>13.1274999999999</v>
      </c>
      <c r="AD5428">
        <v>-1.1043170753439999</v>
      </c>
      <c r="AE5428">
        <v>0.77810999999999797</v>
      </c>
      <c r="AF5428">
        <v>-0.1271097979194</v>
      </c>
      <c r="AG5428">
        <v>-1.1043170753439999</v>
      </c>
      <c r="AH5428">
        <v>13.057836001267001</v>
      </c>
      <c r="AI5428">
        <v>94.833842847389803</v>
      </c>
      <c r="AJ5428">
        <v>90.557720661508398</v>
      </c>
      <c r="AK5428">
        <v>13.1050659723486</v>
      </c>
    </row>
    <row r="5429" spans="1:37" x14ac:dyDescent="0.2">
      <c r="A5429" t="str">
        <f>"20200111160325316"</f>
        <v>20200111160325316</v>
      </c>
      <c r="B5429" t="str">
        <f>"1578729805308616"</f>
        <v>1578729805308616</v>
      </c>
      <c r="C5429" t="s">
        <v>37</v>
      </c>
      <c r="D5429">
        <v>5.0010779999999997</v>
      </c>
      <c r="E5429">
        <v>0.52037639999999996</v>
      </c>
      <c r="F5429" t="s">
        <v>42</v>
      </c>
      <c r="G5429">
        <v>-250.77350000000001</v>
      </c>
      <c r="H5429">
        <v>1.0367299999999999</v>
      </c>
      <c r="I5429">
        <v>-62.946890000000003</v>
      </c>
      <c r="J5429">
        <v>-251.4366</v>
      </c>
      <c r="K5429">
        <v>1.104293</v>
      </c>
      <c r="L5429">
        <v>-62.986269999999998</v>
      </c>
      <c r="M5429">
        <v>0.99870439999999905</v>
      </c>
      <c r="N5429">
        <v>0</v>
      </c>
      <c r="O5429">
        <v>4.9848719999999999E-2</v>
      </c>
      <c r="P5429">
        <v>0.99379119999999999</v>
      </c>
      <c r="Q5429">
        <v>-2.4002900000000001E-2</v>
      </c>
      <c r="R5429">
        <v>0.1086414</v>
      </c>
      <c r="S5429">
        <v>2.993973</v>
      </c>
      <c r="T5429">
        <v>-0.25100990000000001</v>
      </c>
      <c r="U5429">
        <v>0.17440799999999901</v>
      </c>
      <c r="V5429">
        <v>-5.8956649999999999E-2</v>
      </c>
      <c r="W5429">
        <v>-1.382416E-2</v>
      </c>
      <c r="X5429">
        <v>0.99816479999999996</v>
      </c>
      <c r="Y5429">
        <v>-8.4596710000000002E-3</v>
      </c>
      <c r="Z5429">
        <v>-3.8121129999999998E-3</v>
      </c>
      <c r="AA5429">
        <v>0.99995699999999998</v>
      </c>
      <c r="AB5429">
        <v>18</v>
      </c>
      <c r="AC5429">
        <v>0.66309999999998503</v>
      </c>
      <c r="AD5429">
        <v>-6.7562999999999998E-2</v>
      </c>
      <c r="AE5429">
        <v>3.9379999999994197E-2</v>
      </c>
      <c r="AF5429">
        <v>-6.2103749244257003E-3</v>
      </c>
      <c r="AG5429">
        <v>-6.7562999999999998E-2</v>
      </c>
      <c r="AH5429">
        <v>0.65743748446773198</v>
      </c>
      <c r="AI5429">
        <v>95.867268076986406</v>
      </c>
      <c r="AJ5429">
        <v>90.541219047334394</v>
      </c>
      <c r="AK5429">
        <v>0.66092917450280697</v>
      </c>
    </row>
    <row r="5430" spans="1:37" x14ac:dyDescent="0.2">
      <c r="A5430" t="str">
        <f>"20200111160325327"</f>
        <v>20200111160325327</v>
      </c>
      <c r="B5430" t="str">
        <f>"1578729805318377"</f>
        <v>1578729805318377</v>
      </c>
      <c r="C5430" t="s">
        <v>37</v>
      </c>
      <c r="D5430">
        <v>4.7978969999999999</v>
      </c>
      <c r="E5430">
        <v>0.52051289999999995</v>
      </c>
      <c r="F5430" t="s">
        <v>42</v>
      </c>
      <c r="G5430">
        <v>-250.61510000000001</v>
      </c>
      <c r="H5430">
        <v>1.0356620000000001</v>
      </c>
      <c r="I5430">
        <v>-62.939719999999902</v>
      </c>
      <c r="J5430">
        <v>-251.34460000000001</v>
      </c>
      <c r="K5430">
        <v>1.1042829999999999</v>
      </c>
      <c r="L5430">
        <v>-62.981380000000001</v>
      </c>
      <c r="M5430">
        <v>0.99869189999999997</v>
      </c>
      <c r="N5430">
        <v>0</v>
      </c>
      <c r="O5430">
        <v>5.010589E-2</v>
      </c>
      <c r="P5430">
        <v>0.99379269999999997</v>
      </c>
      <c r="Q5430">
        <v>-2.478723E-2</v>
      </c>
      <c r="R5430">
        <v>0.1084529</v>
      </c>
      <c r="S5430">
        <v>2.994049</v>
      </c>
      <c r="T5430">
        <v>-0.25014560000000002</v>
      </c>
      <c r="U5430">
        <v>0.17062379999999999</v>
      </c>
      <c r="V5430">
        <v>-5.8511420000000001E-2</v>
      </c>
      <c r="W5430">
        <v>-1.464086E-2</v>
      </c>
      <c r="X5430">
        <v>0.99817939999999905</v>
      </c>
      <c r="Y5430">
        <v>-6.9462009999999999E-3</v>
      </c>
      <c r="Z5430">
        <v>-3.8835639999999999E-3</v>
      </c>
      <c r="AA5430">
        <v>0.99996830000000003</v>
      </c>
      <c r="AB5430">
        <v>18</v>
      </c>
      <c r="AC5430">
        <v>0.72950000000000104</v>
      </c>
      <c r="AD5430">
        <v>-6.8620999999999793E-2</v>
      </c>
      <c r="AE5430">
        <v>4.1660000000007302E-2</v>
      </c>
      <c r="AF5430">
        <v>-5.0093398772991203E-3</v>
      </c>
      <c r="AG5430">
        <v>-6.8620999999999793E-2</v>
      </c>
      <c r="AH5430">
        <v>0.72428321128804496</v>
      </c>
      <c r="AI5430">
        <v>95.412108642234102</v>
      </c>
      <c r="AJ5430">
        <v>90.396266891669399</v>
      </c>
      <c r="AK5430">
        <v>0.72754388546721305</v>
      </c>
    </row>
    <row r="5431" spans="1:37" x14ac:dyDescent="0.2">
      <c r="A5431" t="str">
        <f>"20200111160325339"</f>
        <v>20200111160325339</v>
      </c>
      <c r="B5431" t="str">
        <f>"1578729805329114"</f>
        <v>1578729805329114</v>
      </c>
      <c r="C5431" t="s">
        <v>37</v>
      </c>
      <c r="D5431">
        <v>4.8394810000000001</v>
      </c>
      <c r="E5431">
        <v>0.52069569999999998</v>
      </c>
      <c r="F5431" t="s">
        <v>97</v>
      </c>
      <c r="G5431">
        <v>-238.10929999999999</v>
      </c>
      <c r="H5431" s="1">
        <v>-2.9585079999999999E-6</v>
      </c>
      <c r="I5431">
        <v>-62.234639999999999</v>
      </c>
      <c r="J5431">
        <v>-251.25559999999999</v>
      </c>
      <c r="K5431">
        <v>1.104268</v>
      </c>
      <c r="L5431">
        <v>-62.976619999999997</v>
      </c>
      <c r="M5431">
        <v>0.99867980000000001</v>
      </c>
      <c r="N5431">
        <v>0</v>
      </c>
      <c r="O5431">
        <v>5.035365E-2</v>
      </c>
      <c r="P5431">
        <v>0.99379030000000002</v>
      </c>
      <c r="Q5431">
        <v>-2.569155E-2</v>
      </c>
      <c r="R5431">
        <v>0.1082631</v>
      </c>
      <c r="S5431">
        <v>2.9940950000000002</v>
      </c>
      <c r="T5431">
        <v>-0.24981129999999999</v>
      </c>
      <c r="U5431">
        <v>0.1689148</v>
      </c>
      <c r="V5431">
        <v>-5.8073649999999997E-2</v>
      </c>
      <c r="W5431">
        <v>-1.557967E-2</v>
      </c>
      <c r="X5431">
        <v>0.99819069999999899</v>
      </c>
      <c r="Y5431">
        <v>-6.1316030000000002E-3</v>
      </c>
      <c r="Z5431">
        <v>-3.932891E-3</v>
      </c>
      <c r="AA5431">
        <v>0.99997349999999996</v>
      </c>
      <c r="AB5431">
        <v>18</v>
      </c>
      <c r="AC5431">
        <v>13.146299999999901</v>
      </c>
      <c r="AD5431">
        <v>-1.1042709585079999</v>
      </c>
      <c r="AE5431">
        <v>0.74197999999999797</v>
      </c>
      <c r="AF5431">
        <v>-7.8488289726446905E-2</v>
      </c>
      <c r="AG5431">
        <v>-1.1042709585079999</v>
      </c>
      <c r="AH5431">
        <v>13.0750234975705</v>
      </c>
      <c r="AI5431">
        <v>94.827459084245703</v>
      </c>
      <c r="AJ5431">
        <v>90.343937716628901</v>
      </c>
      <c r="AK5431">
        <v>13.1218068200782</v>
      </c>
    </row>
    <row r="5432" spans="1:37" x14ac:dyDescent="0.2">
      <c r="A5432" t="str">
        <f>"20200111160325351"</f>
        <v>20200111160325351</v>
      </c>
      <c r="B5432" t="str">
        <f>"1578729805348520"</f>
        <v>1578729805348520</v>
      </c>
      <c r="C5432" t="s">
        <v>37</v>
      </c>
      <c r="D5432">
        <v>4.8110160000000004</v>
      </c>
      <c r="E5432">
        <v>0.52077220000000002</v>
      </c>
      <c r="F5432" t="s">
        <v>42</v>
      </c>
      <c r="G5432">
        <v>-250.4537</v>
      </c>
      <c r="H5432">
        <v>1.037431</v>
      </c>
      <c r="I5432">
        <v>-62.932019999999902</v>
      </c>
      <c r="J5432">
        <v>-251.1583</v>
      </c>
      <c r="K5432">
        <v>1.1042540000000001</v>
      </c>
      <c r="L5432">
        <v>-62.971440000000001</v>
      </c>
      <c r="M5432">
        <v>0.99866650000000001</v>
      </c>
      <c r="N5432">
        <v>0</v>
      </c>
      <c r="O5432">
        <v>5.0623550000000003E-2</v>
      </c>
      <c r="P5432">
        <v>0.99377109999999902</v>
      </c>
      <c r="Q5432">
        <v>-2.6745029999999999E-2</v>
      </c>
      <c r="R5432">
        <v>0.10818319999999999</v>
      </c>
      <c r="S5432">
        <v>2.9941409999999999</v>
      </c>
      <c r="T5432">
        <v>-0.2495626</v>
      </c>
      <c r="U5432">
        <v>0.16680909999999999</v>
      </c>
      <c r="V5432">
        <v>-5.7724209999999998E-2</v>
      </c>
      <c r="W5432">
        <v>-1.6673759999999999E-2</v>
      </c>
      <c r="X5432">
        <v>0.99819329999999995</v>
      </c>
      <c r="Y5432">
        <v>-5.1634209999999996E-3</v>
      </c>
      <c r="Z5432">
        <v>-3.9916750000000001E-3</v>
      </c>
      <c r="AA5432">
        <v>0.9999787</v>
      </c>
      <c r="AB5432">
        <v>18</v>
      </c>
      <c r="AC5432">
        <v>0.704599999999999</v>
      </c>
      <c r="AD5432">
        <v>-6.6822999999999994E-2</v>
      </c>
      <c r="AE5432">
        <v>3.9420000000006797E-2</v>
      </c>
      <c r="AF5432">
        <v>-3.6654047718289902E-3</v>
      </c>
      <c r="AG5432">
        <v>-6.6822999999999994E-2</v>
      </c>
      <c r="AH5432">
        <v>0.69942099304086602</v>
      </c>
      <c r="AI5432">
        <v>95.457425276333794</v>
      </c>
      <c r="AJ5432">
        <v>90.300263079247003</v>
      </c>
      <c r="AK5432">
        <v>0.70261545245419399</v>
      </c>
    </row>
    <row r="5433" spans="1:37" x14ac:dyDescent="0.2">
      <c r="A5433" t="str">
        <f>"20200111160325362"</f>
        <v>20200111160325362</v>
      </c>
      <c r="B5433" t="str">
        <f>"1578729805358268"</f>
        <v>1578729805358268</v>
      </c>
      <c r="C5433" t="s">
        <v>37</v>
      </c>
      <c r="D5433">
        <v>4.8255339999999904</v>
      </c>
      <c r="E5433">
        <v>0.52074089999999995</v>
      </c>
      <c r="F5433" t="s">
        <v>42</v>
      </c>
      <c r="G5433">
        <v>-250.29730000000001</v>
      </c>
      <c r="H5433">
        <v>1.0330299999999999</v>
      </c>
      <c r="I5433">
        <v>-62.923869999999901</v>
      </c>
      <c r="J5433">
        <v>-251.07169999999999</v>
      </c>
      <c r="K5433">
        <v>1.1042379999999901</v>
      </c>
      <c r="L5433">
        <v>-62.966769999999997</v>
      </c>
      <c r="M5433">
        <v>0.99865490000000001</v>
      </c>
      <c r="N5433">
        <v>0</v>
      </c>
      <c r="O5433">
        <v>5.0861469999999999E-2</v>
      </c>
      <c r="P5433">
        <v>0.9937319</v>
      </c>
      <c r="Q5433">
        <v>-2.78639E-2</v>
      </c>
      <c r="R5433">
        <v>0.1082621</v>
      </c>
      <c r="S5433">
        <v>2.9940799999999999</v>
      </c>
      <c r="T5433">
        <v>-0.2476853</v>
      </c>
      <c r="U5433">
        <v>0.165741</v>
      </c>
      <c r="V5433">
        <v>-5.7567409999999999E-2</v>
      </c>
      <c r="W5433">
        <v>-1.783848E-2</v>
      </c>
      <c r="X5433">
        <v>0.99818220000000002</v>
      </c>
      <c r="Y5433">
        <v>-4.5711980000000003E-3</v>
      </c>
      <c r="Z5433">
        <v>-4.0059140000000002E-3</v>
      </c>
      <c r="AA5433">
        <v>0.99998149999999997</v>
      </c>
      <c r="AB5433">
        <v>18</v>
      </c>
      <c r="AC5433">
        <v>0.77439999999998499</v>
      </c>
      <c r="AD5433">
        <v>-7.1207999999999896E-2</v>
      </c>
      <c r="AE5433">
        <v>4.2900000000002998E-2</v>
      </c>
      <c r="AF5433">
        <v>-3.4264651985554998E-3</v>
      </c>
      <c r="AG5433">
        <v>-7.1207999999999896E-2</v>
      </c>
      <c r="AH5433">
        <v>0.76909665865281596</v>
      </c>
      <c r="AI5433">
        <v>95.289685273651799</v>
      </c>
      <c r="AJ5433">
        <v>90.255261407554002</v>
      </c>
      <c r="AK5433">
        <v>0.77239367571121598</v>
      </c>
    </row>
    <row r="5434" spans="1:37" x14ac:dyDescent="0.2">
      <c r="A5434" t="str">
        <f>"20200111160325372"</f>
        <v>20200111160325372</v>
      </c>
      <c r="B5434" t="str">
        <f>"1578729805369004"</f>
        <v>1578729805369004</v>
      </c>
      <c r="C5434" t="s">
        <v>37</v>
      </c>
      <c r="D5434">
        <v>4.81684</v>
      </c>
      <c r="E5434">
        <v>0.52070519999999998</v>
      </c>
      <c r="F5434" t="s">
        <v>42</v>
      </c>
      <c r="G5434">
        <v>-250.29259999999999</v>
      </c>
      <c r="H5434">
        <v>1.0385</v>
      </c>
      <c r="I5434">
        <v>-62.923559999999902</v>
      </c>
      <c r="J5434">
        <v>-250.98560000000001</v>
      </c>
      <c r="K5434">
        <v>1.10422</v>
      </c>
      <c r="L5434">
        <v>-62.962130000000002</v>
      </c>
      <c r="M5434">
        <v>0.99864349999999902</v>
      </c>
      <c r="N5434">
        <v>0</v>
      </c>
      <c r="O5434">
        <v>5.109673E-2</v>
      </c>
      <c r="P5434">
        <v>0.99371019999999899</v>
      </c>
      <c r="Q5434">
        <v>-2.9010939999999999E-2</v>
      </c>
      <c r="R5434">
        <v>0.10815959999999999</v>
      </c>
      <c r="S5434">
        <v>2.99369799999999</v>
      </c>
      <c r="T5434">
        <v>-0.25260969999999999</v>
      </c>
      <c r="U5434">
        <v>0.16635129999999901</v>
      </c>
      <c r="V5434">
        <v>-5.7230110000000001E-2</v>
      </c>
      <c r="W5434">
        <v>-1.9036819999999999E-2</v>
      </c>
      <c r="X5434">
        <v>0.9981795</v>
      </c>
      <c r="Y5434">
        <v>-4.5531790000000001E-3</v>
      </c>
      <c r="Z5434">
        <v>-4.1062950000000003E-3</v>
      </c>
      <c r="AA5434">
        <v>0.99998120000000001</v>
      </c>
      <c r="AB5434">
        <v>18</v>
      </c>
      <c r="AC5434">
        <v>0.69300000000001205</v>
      </c>
      <c r="AD5434">
        <v>-6.5720000000000001E-2</v>
      </c>
      <c r="AE5434">
        <v>3.8570000000007099E-2</v>
      </c>
      <c r="AF5434">
        <v>-3.08018564226889E-3</v>
      </c>
      <c r="AG5434">
        <v>-6.5720000000000001E-2</v>
      </c>
      <c r="AH5434">
        <v>0.68789804425173595</v>
      </c>
      <c r="AI5434">
        <v>95.457272699955894</v>
      </c>
      <c r="AJ5434">
        <v>90.256550312136795</v>
      </c>
      <c r="AK5434">
        <v>0.69103713737320505</v>
      </c>
    </row>
    <row r="5435" spans="1:37" x14ac:dyDescent="0.2">
      <c r="A5435" t="str">
        <f>"20200111160325384"</f>
        <v>20200111160325384</v>
      </c>
      <c r="B5435" t="str">
        <f>"1578729805378765"</f>
        <v>1578729805378765</v>
      </c>
      <c r="C5435" t="s">
        <v>37</v>
      </c>
      <c r="D5435">
        <v>4.8309790000000001</v>
      </c>
      <c r="E5435">
        <v>0.52075450000000001</v>
      </c>
      <c r="F5435" t="s">
        <v>42</v>
      </c>
      <c r="G5435">
        <v>-250.1377</v>
      </c>
      <c r="H5435">
        <v>1.031298</v>
      </c>
      <c r="I5435">
        <v>-62.915119999999902</v>
      </c>
      <c r="J5435">
        <v>-250.88900000000001</v>
      </c>
      <c r="K5435">
        <v>1.1042000000000001</v>
      </c>
      <c r="L5435">
        <v>-62.956850000000003</v>
      </c>
      <c r="M5435">
        <v>0.99863069999999898</v>
      </c>
      <c r="N5435">
        <v>0</v>
      </c>
      <c r="O5435">
        <v>5.1358960000000002E-2</v>
      </c>
      <c r="P5435">
        <v>0.99367059999999996</v>
      </c>
      <c r="Q5435">
        <v>-3.0036469999999999E-2</v>
      </c>
      <c r="R5435">
        <v>0.1082427</v>
      </c>
      <c r="S5435">
        <v>2.9933619999999999</v>
      </c>
      <c r="T5435">
        <v>-0.25742689999999901</v>
      </c>
      <c r="U5435">
        <v>0.16635129999999901</v>
      </c>
      <c r="V5435">
        <v>-5.70523E-2</v>
      </c>
      <c r="W5435">
        <v>-2.013247E-2</v>
      </c>
      <c r="X5435">
        <v>0.99816819999999895</v>
      </c>
      <c r="Y5435">
        <v>-4.30507799999999E-3</v>
      </c>
      <c r="Z5435">
        <v>-4.2178739999999999E-3</v>
      </c>
      <c r="AA5435">
        <v>0.99998180000000003</v>
      </c>
      <c r="AB5435">
        <v>18</v>
      </c>
      <c r="AC5435">
        <v>0.75130000000001396</v>
      </c>
      <c r="AD5435">
        <v>-7.2901999999999995E-2</v>
      </c>
      <c r="AE5435">
        <v>4.1730000000008198E-2</v>
      </c>
      <c r="AF5435">
        <v>-3.0583176451069302E-3</v>
      </c>
      <c r="AG5435">
        <v>-7.2901999999999995E-2</v>
      </c>
      <c r="AH5435">
        <v>0.74545431650594496</v>
      </c>
      <c r="AI5435">
        <v>95.585455450933793</v>
      </c>
      <c r="AJ5435">
        <v>90.235061634876601</v>
      </c>
      <c r="AK5435">
        <v>0.74901681750689997</v>
      </c>
    </row>
    <row r="5436" spans="1:37" x14ac:dyDescent="0.2">
      <c r="A5436" t="str">
        <f>"20200111160325396"</f>
        <v>20200111160325396</v>
      </c>
      <c r="B5436" t="str">
        <f>"1578729805388523"</f>
        <v>1578729805388523</v>
      </c>
      <c r="C5436" t="s">
        <v>37</v>
      </c>
      <c r="D5436">
        <v>4.8637870000000003</v>
      </c>
      <c r="E5436">
        <v>0.52048749999999999</v>
      </c>
      <c r="F5436" t="s">
        <v>42</v>
      </c>
      <c r="G5436">
        <v>-250.13210000000001</v>
      </c>
      <c r="H5436">
        <v>1.0380579999999999</v>
      </c>
      <c r="I5436">
        <v>-62.914919999999903</v>
      </c>
      <c r="J5436">
        <v>-250.7978</v>
      </c>
      <c r="K5436">
        <v>1.104177</v>
      </c>
      <c r="L5436">
        <v>-62.951900000000002</v>
      </c>
      <c r="M5436">
        <v>0.99861880000000003</v>
      </c>
      <c r="N5436">
        <v>0</v>
      </c>
      <c r="O5436">
        <v>5.1604110000000002E-2</v>
      </c>
      <c r="P5436">
        <v>0.99365479999999995</v>
      </c>
      <c r="Q5436">
        <v>-3.089107E-2</v>
      </c>
      <c r="R5436">
        <v>0.1081486</v>
      </c>
      <c r="S5436">
        <v>2.9930729999999999</v>
      </c>
      <c r="T5436">
        <v>-0.26158490000000001</v>
      </c>
      <c r="U5436">
        <v>0.16625979999999899</v>
      </c>
      <c r="V5436">
        <v>-5.6714220000000003E-2</v>
      </c>
      <c r="W5436">
        <v>-2.1065210000000001E-2</v>
      </c>
      <c r="X5436">
        <v>0.99816819999999895</v>
      </c>
      <c r="Y5436">
        <v>-4.0420880000000001E-3</v>
      </c>
      <c r="Z5436">
        <v>-4.3189559999999997E-3</v>
      </c>
      <c r="AA5436">
        <v>0.9999825</v>
      </c>
      <c r="AB5436">
        <v>18</v>
      </c>
      <c r="AC5436">
        <v>0.66569999999998597</v>
      </c>
      <c r="AD5436">
        <v>-6.6118999999999997E-2</v>
      </c>
      <c r="AE5436">
        <v>3.6980000000006799E-2</v>
      </c>
      <c r="AF5436">
        <v>-2.5511036793617798E-3</v>
      </c>
      <c r="AG5436">
        <v>-6.6118999999999997E-2</v>
      </c>
      <c r="AH5436">
        <v>0.66022827095997905</v>
      </c>
      <c r="AI5436">
        <v>95.718814030508895</v>
      </c>
      <c r="AJ5436">
        <v>90.221388196965904</v>
      </c>
      <c r="AK5436">
        <v>0.66353568107961303</v>
      </c>
    </row>
    <row r="5437" spans="1:37" x14ac:dyDescent="0.2">
      <c r="A5437" t="str">
        <f>"20200111160325407"</f>
        <v>20200111160325407</v>
      </c>
      <c r="B5437" t="str">
        <f>"1578729805398283"</f>
        <v>1578729805398283</v>
      </c>
      <c r="C5437" t="s">
        <v>37</v>
      </c>
      <c r="D5437">
        <v>5.1177789999999996</v>
      </c>
      <c r="E5437">
        <v>0.52048749999999999</v>
      </c>
      <c r="F5437" t="s">
        <v>42</v>
      </c>
      <c r="G5437">
        <v>-249.97630000000001</v>
      </c>
      <c r="H5437">
        <v>1.0312239999999999</v>
      </c>
      <c r="I5437">
        <v>-62.905929999999998</v>
      </c>
      <c r="J5437">
        <v>-250.7106</v>
      </c>
      <c r="K5437">
        <v>1.1041570000000001</v>
      </c>
      <c r="L5437">
        <v>-62.947109999999903</v>
      </c>
      <c r="M5437">
        <v>0.99860749999999998</v>
      </c>
      <c r="N5437">
        <v>0</v>
      </c>
      <c r="O5437">
        <v>5.1837479999999998E-2</v>
      </c>
      <c r="P5437">
        <v>0.99360910000000002</v>
      </c>
      <c r="Q5437">
        <v>-3.1356370000000001E-2</v>
      </c>
      <c r="R5437">
        <v>0.1084326</v>
      </c>
      <c r="S5437">
        <v>2.9925839999999999</v>
      </c>
      <c r="T5437">
        <v>-0.26571420000000001</v>
      </c>
      <c r="U5437">
        <v>0.16809079999999901</v>
      </c>
      <c r="V5437">
        <v>-5.6766869999999997E-2</v>
      </c>
      <c r="W5437">
        <v>-2.161269E-2</v>
      </c>
      <c r="X5437">
        <v>0.99815350000000003</v>
      </c>
      <c r="Y5437">
        <v>-4.4325850000000002E-3</v>
      </c>
      <c r="Z5437">
        <v>-4.3908259999999996E-3</v>
      </c>
      <c r="AA5437">
        <v>0.99998050000000005</v>
      </c>
      <c r="AB5437">
        <v>18</v>
      </c>
      <c r="AC5437">
        <v>0.73429999999998996</v>
      </c>
      <c r="AD5437">
        <v>-7.2933000000000095E-2</v>
      </c>
      <c r="AE5437">
        <v>4.1179999999990002E-2</v>
      </c>
      <c r="AF5437">
        <v>-3.0287567174762E-3</v>
      </c>
      <c r="AG5437">
        <v>-7.2933000000000095E-2</v>
      </c>
      <c r="AH5437">
        <v>0.72828535728938504</v>
      </c>
      <c r="AI5437">
        <v>95.718680955891202</v>
      </c>
      <c r="AJ5437">
        <v>90.238277448414905</v>
      </c>
      <c r="AK5437">
        <v>0.73193439425837903</v>
      </c>
    </row>
    <row r="5438" spans="1:37" x14ac:dyDescent="0.2">
      <c r="A5438" t="str">
        <f>"20200111160325417"</f>
        <v>20200111160325417</v>
      </c>
      <c r="B5438" t="str">
        <f>"1578729805409020"</f>
        <v>1578729805409020</v>
      </c>
      <c r="C5438" t="s">
        <v>37</v>
      </c>
      <c r="D5438">
        <v>5.0951219999999999</v>
      </c>
      <c r="E5438">
        <v>0.48306059999999901</v>
      </c>
      <c r="F5438" t="s">
        <v>42</v>
      </c>
      <c r="G5438">
        <v>-249.97059999999999</v>
      </c>
      <c r="H5438">
        <v>1.038119</v>
      </c>
      <c r="I5438">
        <v>-62.90551</v>
      </c>
      <c r="J5438">
        <v>-250.62309999999999</v>
      </c>
      <c r="K5438">
        <v>1.104131</v>
      </c>
      <c r="L5438">
        <v>-62.94229</v>
      </c>
      <c r="M5438">
        <v>0.9985965</v>
      </c>
      <c r="N5438">
        <v>0</v>
      </c>
      <c r="O5438">
        <v>5.2068059999999999E-2</v>
      </c>
      <c r="P5438">
        <v>0.99355210000000005</v>
      </c>
      <c r="Q5438">
        <v>-3.196707E-2</v>
      </c>
      <c r="R5438">
        <v>0.1087777</v>
      </c>
      <c r="S5438">
        <v>2.9924469999999999</v>
      </c>
      <c r="T5438">
        <v>-0.26706649999999998</v>
      </c>
      <c r="U5438">
        <v>0.1689148</v>
      </c>
      <c r="V5438">
        <v>-5.688402E-2</v>
      </c>
      <c r="W5438">
        <v>-2.2322000000000002E-2</v>
      </c>
      <c r="X5438">
        <v>0.9981312</v>
      </c>
      <c r="Y5438">
        <v>-4.4814019999999998E-3</v>
      </c>
      <c r="Z5438">
        <v>-4.4315520000000001E-3</v>
      </c>
      <c r="AA5438">
        <v>0.99998019999999999</v>
      </c>
      <c r="AB5438">
        <v>18</v>
      </c>
      <c r="AC5438">
        <v>0.65250000000000297</v>
      </c>
      <c r="AD5438">
        <v>-6.6011999999999904E-2</v>
      </c>
      <c r="AE5438">
        <v>3.6780000000000201E-2</v>
      </c>
      <c r="AF5438">
        <v>-2.7262845470920199E-3</v>
      </c>
      <c r="AG5438">
        <v>-6.6011999999999904E-2</v>
      </c>
      <c r="AH5438">
        <v>0.64692967228992504</v>
      </c>
      <c r="AI5438">
        <v>95.826182674098305</v>
      </c>
      <c r="AJ5438">
        <v>90.241453870955098</v>
      </c>
      <c r="AK5438">
        <v>0.65029456222590498</v>
      </c>
    </row>
    <row r="5439" spans="1:37" x14ac:dyDescent="0.2">
      <c r="A5439" t="str">
        <f>"20200111160325428"</f>
        <v>20200111160325428</v>
      </c>
      <c r="B5439" t="str">
        <f>"1578729805418779"</f>
        <v>1578729805418779</v>
      </c>
      <c r="C5439" t="s">
        <v>37</v>
      </c>
      <c r="D5439">
        <v>5.1468629999999997</v>
      </c>
      <c r="E5439">
        <v>0.48157680000000003</v>
      </c>
      <c r="F5439" t="s">
        <v>97</v>
      </c>
      <c r="G5439">
        <v>-233.3246</v>
      </c>
      <c r="H5439" s="1">
        <v>-4.4015809999999898E-7</v>
      </c>
      <c r="I5439">
        <v>-60.232819999999997</v>
      </c>
      <c r="J5439">
        <v>-250.53440000000001</v>
      </c>
      <c r="K5439">
        <v>1.1041019999999999</v>
      </c>
      <c r="L5439">
        <v>-62.93741</v>
      </c>
      <c r="M5439">
        <v>0.99858539999999996</v>
      </c>
      <c r="N5439">
        <v>0</v>
      </c>
      <c r="O5439">
        <v>5.2301220000000002E-2</v>
      </c>
      <c r="P5439">
        <v>0.99350659999999902</v>
      </c>
      <c r="Q5439">
        <v>-3.2397380000000003E-2</v>
      </c>
      <c r="R5439">
        <v>0.109066699999999</v>
      </c>
      <c r="S5439">
        <v>2.9625849999999998</v>
      </c>
      <c r="T5439">
        <v>-0.18909609999999999</v>
      </c>
      <c r="U5439">
        <v>0.46401979999999998</v>
      </c>
      <c r="V5439">
        <v>-5.6941869999999999E-2</v>
      </c>
      <c r="W5439">
        <v>-2.285643E-2</v>
      </c>
      <c r="X5439">
        <v>0.9981158</v>
      </c>
      <c r="Y5439">
        <v>-0.1027546</v>
      </c>
      <c r="Z5439" s="1">
        <v>-5.4209729999999999E-5</v>
      </c>
      <c r="AA5439">
        <v>0.99470669999999894</v>
      </c>
      <c r="AB5439">
        <v>18</v>
      </c>
      <c r="AC5439">
        <v>17.209800000000001</v>
      </c>
      <c r="AD5439">
        <v>-1.1041024401581001</v>
      </c>
      <c r="AE5439">
        <v>2.70459</v>
      </c>
      <c r="AF5439">
        <v>-1.7935490081415</v>
      </c>
      <c r="AG5439">
        <v>-1.1041024401581001</v>
      </c>
      <c r="AH5439">
        <v>17.2583815011075</v>
      </c>
      <c r="AI5439">
        <v>93.640945449912394</v>
      </c>
      <c r="AJ5439">
        <v>95.933071950394705</v>
      </c>
      <c r="AK5439">
        <v>17.386419766033999</v>
      </c>
    </row>
    <row r="5440" spans="1:37" x14ac:dyDescent="0.2">
      <c r="A5440" t="str">
        <f>"20200111160325440"</f>
        <v>20200111160325440</v>
      </c>
      <c r="B5440" t="str">
        <f>"1578729805428540"</f>
        <v>1578729805428540</v>
      </c>
      <c r="C5440" t="s">
        <v>37</v>
      </c>
      <c r="D5440">
        <v>4.9815180000000003</v>
      </c>
      <c r="E5440">
        <v>0.48007</v>
      </c>
      <c r="F5440" t="s">
        <v>97</v>
      </c>
      <c r="G5440">
        <v>-234.33519999999999</v>
      </c>
      <c r="H5440" s="1">
        <v>-8.5692859999999999E-7</v>
      </c>
      <c r="I5440">
        <v>-60.327350000000003</v>
      </c>
      <c r="J5440">
        <v>-250.44</v>
      </c>
      <c r="K5440">
        <v>1.104069</v>
      </c>
      <c r="L5440">
        <v>-62.932189999999999</v>
      </c>
      <c r="M5440">
        <v>0.99857399999999996</v>
      </c>
      <c r="N5440">
        <v>0</v>
      </c>
      <c r="O5440">
        <v>5.2543760000000002E-2</v>
      </c>
      <c r="P5440">
        <v>0.99340419999999996</v>
      </c>
      <c r="Q5440">
        <v>-3.3020470000000003E-2</v>
      </c>
      <c r="R5440">
        <v>0.1098103</v>
      </c>
      <c r="S5440">
        <v>2.9606629999999998</v>
      </c>
      <c r="T5440">
        <v>-0.2017931</v>
      </c>
      <c r="U5440">
        <v>0.47702029999999901</v>
      </c>
      <c r="V5440">
        <v>-5.7447249999999998E-2</v>
      </c>
      <c r="W5440">
        <v>-2.361284E-2</v>
      </c>
      <c r="X5440">
        <v>0.99806930000000005</v>
      </c>
      <c r="Y5440">
        <v>-0.106848499999999</v>
      </c>
      <c r="Z5440" s="1">
        <v>6.4358349999999993E-5</v>
      </c>
      <c r="AA5440">
        <v>0.99427529999999997</v>
      </c>
      <c r="AB5440">
        <v>18</v>
      </c>
      <c r="AC5440">
        <v>16.104800000000001</v>
      </c>
      <c r="AD5440">
        <v>-1.1040698569286</v>
      </c>
      <c r="AE5440">
        <v>2.6048399999999998</v>
      </c>
      <c r="AF5440">
        <v>-1.74699568799386</v>
      </c>
      <c r="AG5440">
        <v>-1.1040698569286</v>
      </c>
      <c r="AH5440">
        <v>16.145478842296001</v>
      </c>
      <c r="AI5440">
        <v>93.889312976936907</v>
      </c>
      <c r="AJ5440">
        <v>96.175571728587002</v>
      </c>
      <c r="AK5440">
        <v>16.277206493433599</v>
      </c>
    </row>
    <row r="5441" spans="1:37" x14ac:dyDescent="0.2">
      <c r="A5441" t="str">
        <f>"20200111160325451"</f>
        <v>20200111160325451</v>
      </c>
      <c r="B5441" t="str">
        <f>"1578729805449036"</f>
        <v>1578729805449036</v>
      </c>
      <c r="C5441" t="s">
        <v>37</v>
      </c>
      <c r="D5441">
        <v>4.8842509999999999</v>
      </c>
      <c r="E5441">
        <v>0.47932520000000001</v>
      </c>
      <c r="F5441" t="s">
        <v>97</v>
      </c>
      <c r="G5441">
        <v>-235.3545</v>
      </c>
      <c r="H5441" s="1">
        <v>-1.2951509999999901E-6</v>
      </c>
      <c r="I5441">
        <v>-60.424840000000003</v>
      </c>
      <c r="J5441">
        <v>-250.3441</v>
      </c>
      <c r="K5441">
        <v>1.104036</v>
      </c>
      <c r="L5441">
        <v>-62.926850000000002</v>
      </c>
      <c r="M5441">
        <v>0.99856230000000001</v>
      </c>
      <c r="N5441">
        <v>0</v>
      </c>
      <c r="O5441">
        <v>5.2788699999999897E-2</v>
      </c>
      <c r="P5441">
        <v>0.99331389999999997</v>
      </c>
      <c r="Q5441">
        <v>-3.3915800000000003E-2</v>
      </c>
      <c r="R5441">
        <v>0.1103507</v>
      </c>
      <c r="S5441">
        <v>2.9583889999999999</v>
      </c>
      <c r="T5441">
        <v>-0.21651709999999999</v>
      </c>
      <c r="U5441">
        <v>0.4916992</v>
      </c>
      <c r="V5441">
        <v>-5.774659E-2</v>
      </c>
      <c r="W5441">
        <v>-2.46497E-2</v>
      </c>
      <c r="X5441">
        <v>0.99802690000000005</v>
      </c>
      <c r="Y5441">
        <v>-0.1114981</v>
      </c>
      <c r="Z5441">
        <v>2.202359E-4</v>
      </c>
      <c r="AA5441">
        <v>0.9937646</v>
      </c>
      <c r="AB5441">
        <v>18</v>
      </c>
      <c r="AC5441">
        <v>14.9895999999999</v>
      </c>
      <c r="AD5441">
        <v>-1.104037295151</v>
      </c>
      <c r="AE5441">
        <v>2.5020099999999901</v>
      </c>
      <c r="AF5441">
        <v>-1.69824237522723</v>
      </c>
      <c r="AG5441">
        <v>-1.104037295151</v>
      </c>
      <c r="AH5441">
        <v>15.0215013472035</v>
      </c>
      <c r="AI5441">
        <v>94.177003761810298</v>
      </c>
      <c r="AJ5441">
        <v>96.450135830231801</v>
      </c>
      <c r="AK5441">
        <v>15.1574545434957</v>
      </c>
    </row>
    <row r="5442" spans="1:37" x14ac:dyDescent="0.2">
      <c r="A5442" t="str">
        <f>"20200111160325463"</f>
        <v>20200111160325463</v>
      </c>
      <c r="B5442" t="str">
        <f>"1578729805458796"</f>
        <v>1578729805458796</v>
      </c>
      <c r="C5442" t="s">
        <v>37</v>
      </c>
      <c r="D5442">
        <v>5.0061269999999896</v>
      </c>
      <c r="E5442">
        <v>0.47861199999999998</v>
      </c>
      <c r="F5442" t="s">
        <v>97</v>
      </c>
      <c r="G5442">
        <v>-236.56039999999999</v>
      </c>
      <c r="H5442" s="1">
        <v>-1.858298E-6</v>
      </c>
      <c r="I5442">
        <v>-60.59704</v>
      </c>
      <c r="J5442">
        <v>-250.24430000000001</v>
      </c>
      <c r="K5442">
        <v>1.103998</v>
      </c>
      <c r="L5442">
        <v>-62.921259999999997</v>
      </c>
      <c r="M5442">
        <v>0.99855059999999995</v>
      </c>
      <c r="N5442">
        <v>0</v>
      </c>
      <c r="O5442">
        <v>5.3038439999999999E-2</v>
      </c>
      <c r="P5442">
        <v>0.9931894</v>
      </c>
      <c r="Q5442">
        <v>-3.4568429999999997E-2</v>
      </c>
      <c r="R5442">
        <v>0.1112653</v>
      </c>
      <c r="S5442">
        <v>2.9565730000000001</v>
      </c>
      <c r="T5442">
        <v>-0.23681389999999999</v>
      </c>
      <c r="U5442">
        <v>0.49972529999999998</v>
      </c>
      <c r="V5442">
        <v>-5.8416860000000001E-2</v>
      </c>
      <c r="W5442">
        <v>-2.5466740000000002E-2</v>
      </c>
      <c r="X5442">
        <v>0.99796739999999995</v>
      </c>
      <c r="Y5442">
        <v>-0.113935199999999</v>
      </c>
      <c r="Z5442">
        <v>3.1798800000000001E-4</v>
      </c>
      <c r="AA5442">
        <v>0.99348809999999999</v>
      </c>
      <c r="AB5442">
        <v>18</v>
      </c>
      <c r="AC5442">
        <v>13.6839</v>
      </c>
      <c r="AD5442">
        <v>-1.103999858298</v>
      </c>
      <c r="AE5442">
        <v>2.3242199999999902</v>
      </c>
      <c r="AF5442">
        <v>-1.58511695189349</v>
      </c>
      <c r="AG5442">
        <v>-1.103999858298</v>
      </c>
      <c r="AH5442">
        <v>13.701234607250999</v>
      </c>
      <c r="AI5442">
        <v>94.576356937324704</v>
      </c>
      <c r="AJ5442">
        <v>96.599298566752097</v>
      </c>
      <c r="AK5442">
        <v>13.8367352074553</v>
      </c>
    </row>
    <row r="5443" spans="1:37" x14ac:dyDescent="0.2">
      <c r="A5443" t="str">
        <f>"20200111160325475"</f>
        <v>20200111160325475</v>
      </c>
      <c r="B5443" t="str">
        <f>"1578729805468555"</f>
        <v>1578729805468555</v>
      </c>
      <c r="C5443" t="s">
        <v>37</v>
      </c>
      <c r="D5443">
        <v>4.9484859999999999</v>
      </c>
      <c r="E5443">
        <v>0.47859069999999998</v>
      </c>
      <c r="F5443" t="s">
        <v>97</v>
      </c>
      <c r="G5443">
        <v>-236.95820000000001</v>
      </c>
      <c r="H5443" s="1">
        <v>-2.0393199999999998E-6</v>
      </c>
      <c r="I5443">
        <v>-60.636009999999999</v>
      </c>
      <c r="J5443">
        <v>-250.1566</v>
      </c>
      <c r="K5443">
        <v>1.1039620000000001</v>
      </c>
      <c r="L5443">
        <v>-62.916379999999997</v>
      </c>
      <c r="M5443">
        <v>0.99854039999999999</v>
      </c>
      <c r="N5443">
        <v>0</v>
      </c>
      <c r="O5443">
        <v>5.3254629999999997E-2</v>
      </c>
      <c r="P5443">
        <v>0.99308569999999996</v>
      </c>
      <c r="Q5443">
        <v>-3.5290580000000002E-2</v>
      </c>
      <c r="R5443">
        <v>0.1119613</v>
      </c>
      <c r="S5443">
        <v>2.9550930000000002</v>
      </c>
      <c r="T5443">
        <v>-0.2455512</v>
      </c>
      <c r="U5443">
        <v>0.50827029999999995</v>
      </c>
      <c r="V5443">
        <v>-5.8901380000000003E-2</v>
      </c>
      <c r="W5443">
        <v>-2.634034E-2</v>
      </c>
      <c r="X5443">
        <v>0.99791620000000003</v>
      </c>
      <c r="Y5443">
        <v>-0.1165708</v>
      </c>
      <c r="Z5443">
        <v>4.20629E-4</v>
      </c>
      <c r="AA5443">
        <v>0.99318229999999996</v>
      </c>
      <c r="AB5443">
        <v>18</v>
      </c>
      <c r="AC5443">
        <v>13.1983999999999</v>
      </c>
      <c r="AD5443">
        <v>-1.1039640393200001</v>
      </c>
      <c r="AE5443">
        <v>2.28037</v>
      </c>
      <c r="AF5443">
        <v>-1.5636070906239901</v>
      </c>
      <c r="AG5443">
        <v>-1.1039640393200001</v>
      </c>
      <c r="AH5443">
        <v>13.211363475376899</v>
      </c>
      <c r="AI5443">
        <v>94.743680559134702</v>
      </c>
      <c r="AJ5443">
        <v>96.749739873780797</v>
      </c>
      <c r="AK5443">
        <v>13.349296933265199</v>
      </c>
    </row>
    <row r="5444" spans="1:37" x14ac:dyDescent="0.2">
      <c r="A5444" t="str">
        <f>"20200111160325486"</f>
        <v>20200111160325486</v>
      </c>
      <c r="B5444" t="str">
        <f>"1578729805478316"</f>
        <v>1578729805478316</v>
      </c>
      <c r="C5444" t="s">
        <v>37</v>
      </c>
      <c r="D5444">
        <v>5.0933539999999997</v>
      </c>
      <c r="E5444">
        <v>0.47801830000000001</v>
      </c>
      <c r="F5444" t="s">
        <v>97</v>
      </c>
      <c r="G5444">
        <v>-237.16159999999999</v>
      </c>
      <c r="H5444" s="1">
        <v>-2.135772E-6</v>
      </c>
      <c r="I5444">
        <v>-60.670469999999902</v>
      </c>
      <c r="J5444">
        <v>-250.0617</v>
      </c>
      <c r="K5444">
        <v>1.1039239999999999</v>
      </c>
      <c r="L5444">
        <v>-62.911069999999903</v>
      </c>
      <c r="M5444">
        <v>0.99852969999999897</v>
      </c>
      <c r="N5444">
        <v>0</v>
      </c>
      <c r="O5444">
        <v>5.3485669999999999E-2</v>
      </c>
      <c r="P5444">
        <v>0.99296659999999903</v>
      </c>
      <c r="Q5444">
        <v>-3.5906849999999997E-2</v>
      </c>
      <c r="R5444">
        <v>0.11281960000000001</v>
      </c>
      <c r="S5444">
        <v>2.95439099999999</v>
      </c>
      <c r="T5444">
        <v>-0.2509845</v>
      </c>
      <c r="U5444">
        <v>0.51058959999999998</v>
      </c>
      <c r="V5444">
        <v>-5.953394E-2</v>
      </c>
      <c r="W5444">
        <v>-2.7127100000000001E-2</v>
      </c>
      <c r="X5444">
        <v>0.99785759999999901</v>
      </c>
      <c r="Y5444">
        <v>-0.117127</v>
      </c>
      <c r="Z5444">
        <v>4.3403449999999998E-4</v>
      </c>
      <c r="AA5444">
        <v>0.99311689999999997</v>
      </c>
      <c r="AB5444">
        <v>18</v>
      </c>
      <c r="AC5444">
        <v>12.9001</v>
      </c>
      <c r="AD5444">
        <v>-1.1039261357719901</v>
      </c>
      <c r="AE5444">
        <v>2.2406000000000001</v>
      </c>
      <c r="AF5444">
        <v>-1.5364730689372099</v>
      </c>
      <c r="AG5444">
        <v>-1.1039261357719901</v>
      </c>
      <c r="AH5444">
        <v>12.909707888059801</v>
      </c>
      <c r="AI5444">
        <v>94.853459434940106</v>
      </c>
      <c r="AJ5444">
        <v>96.787237587588905</v>
      </c>
      <c r="AK5444">
        <v>13.047603617517</v>
      </c>
    </row>
    <row r="5445" spans="1:37" x14ac:dyDescent="0.2">
      <c r="A5445" t="str">
        <f>"20200111160325496"</f>
        <v>20200111160325496</v>
      </c>
      <c r="B5445" t="str">
        <f>"1578729805489051"</f>
        <v>1578729805489051</v>
      </c>
      <c r="C5445" t="s">
        <v>37</v>
      </c>
      <c r="D5445">
        <v>4.9786440000000001</v>
      </c>
      <c r="E5445">
        <v>0.4781184</v>
      </c>
      <c r="F5445" t="s">
        <v>97</v>
      </c>
      <c r="G5445">
        <v>-237.2028</v>
      </c>
      <c r="H5445" s="1">
        <v>-2.1499099999999998E-6</v>
      </c>
      <c r="I5445">
        <v>-60.657159999999998</v>
      </c>
      <c r="J5445">
        <v>-249.97659999999999</v>
      </c>
      <c r="K5445">
        <v>1.103891</v>
      </c>
      <c r="L5445">
        <v>-62.906280000000002</v>
      </c>
      <c r="M5445">
        <v>0.99852009999999902</v>
      </c>
      <c r="N5445">
        <v>0</v>
      </c>
      <c r="O5445">
        <v>5.3689229999999998E-2</v>
      </c>
      <c r="P5445">
        <v>0.9928498</v>
      </c>
      <c r="Q5445">
        <v>-3.6689649999999997E-2</v>
      </c>
      <c r="R5445">
        <v>0.1135921</v>
      </c>
      <c r="S5445">
        <v>2.9532929999999999</v>
      </c>
      <c r="T5445">
        <v>-0.25353779999999998</v>
      </c>
      <c r="U5445">
        <v>0.51763919999999997</v>
      </c>
      <c r="V5445">
        <v>-6.0107630000000002E-2</v>
      </c>
      <c r="W5445">
        <v>-2.8070270000000001E-2</v>
      </c>
      <c r="X5445">
        <v>0.99779709999999999</v>
      </c>
      <c r="Y5445">
        <v>-0.1192757</v>
      </c>
      <c r="Z5445">
        <v>5.1269960000000002E-4</v>
      </c>
      <c r="AA5445">
        <v>0.99286099999999999</v>
      </c>
      <c r="AB5445">
        <v>18</v>
      </c>
      <c r="AC5445">
        <v>12.7737999999999</v>
      </c>
      <c r="AD5445">
        <v>-1.10389314991</v>
      </c>
      <c r="AE5445">
        <v>2.24912</v>
      </c>
      <c r="AF5445">
        <v>-1.5488156018366701</v>
      </c>
      <c r="AG5445">
        <v>-1.10389314991</v>
      </c>
      <c r="AH5445">
        <v>12.783534117613099</v>
      </c>
      <c r="AI5445">
        <v>94.899749751376305</v>
      </c>
      <c r="AJ5445">
        <v>96.908118850441895</v>
      </c>
      <c r="AK5445">
        <v>12.9242467630067</v>
      </c>
    </row>
    <row r="5446" spans="1:37" x14ac:dyDescent="0.2">
      <c r="A5446" t="str">
        <f>"20200111160325507"</f>
        <v>20200111160325507</v>
      </c>
      <c r="B5446" t="str">
        <f>"1578729805498812"</f>
        <v>1578729805498812</v>
      </c>
      <c r="C5446" t="s">
        <v>37</v>
      </c>
      <c r="D5446">
        <v>5.0204209999999998</v>
      </c>
      <c r="E5446">
        <v>0.47818850000000002</v>
      </c>
      <c r="F5446" t="s">
        <v>97</v>
      </c>
      <c r="G5446">
        <v>-237.41079999999999</v>
      </c>
      <c r="H5446" s="1">
        <v>-2.2495639999999999E-6</v>
      </c>
      <c r="I5446">
        <v>-60.696350000000002</v>
      </c>
      <c r="J5446">
        <v>-249.88229999999999</v>
      </c>
      <c r="K5446">
        <v>1.103853</v>
      </c>
      <c r="L5446">
        <v>-62.900939999999999</v>
      </c>
      <c r="M5446">
        <v>0.99850969999999994</v>
      </c>
      <c r="N5446">
        <v>0</v>
      </c>
      <c r="O5446">
        <v>5.3912479999999999E-2</v>
      </c>
      <c r="P5446">
        <v>0.99274580000000001</v>
      </c>
      <c r="Q5446">
        <v>-3.6691799999999997E-2</v>
      </c>
      <c r="R5446">
        <v>0.1144964</v>
      </c>
      <c r="S5446">
        <v>2.952591</v>
      </c>
      <c r="T5446">
        <v>-0.25938359999999999</v>
      </c>
      <c r="U5446">
        <v>0.51925659999999996</v>
      </c>
      <c r="V5446">
        <v>-6.0793380000000001E-2</v>
      </c>
      <c r="W5446">
        <v>-2.8252469999999998E-2</v>
      </c>
      <c r="X5446">
        <v>0.99775049999999899</v>
      </c>
      <c r="Y5446">
        <v>-0.119610199999999</v>
      </c>
      <c r="Z5446">
        <v>5.1979119999999998E-4</v>
      </c>
      <c r="AA5446">
        <v>0.99282079999999995</v>
      </c>
      <c r="AB5446">
        <v>18</v>
      </c>
      <c r="AC5446">
        <v>12.471499999999899</v>
      </c>
      <c r="AD5446">
        <v>-1.1038552495639999</v>
      </c>
      <c r="AE5446">
        <v>2.20459</v>
      </c>
      <c r="AF5446">
        <v>-1.5174622387947201</v>
      </c>
      <c r="AG5446">
        <v>-1.1038552495639999</v>
      </c>
      <c r="AH5446">
        <v>12.477433061480999</v>
      </c>
      <c r="AI5446">
        <v>95.018899583906204</v>
      </c>
      <c r="AJ5446">
        <v>96.934061997601603</v>
      </c>
      <c r="AK5446">
        <v>12.6177463860191</v>
      </c>
    </row>
    <row r="5447" spans="1:37" x14ac:dyDescent="0.2">
      <c r="A5447" t="str">
        <f>"20200111160325519"</f>
        <v>20200111160325519</v>
      </c>
      <c r="B5447" t="str">
        <f>"1578729805508571"</f>
        <v>1578729805508571</v>
      </c>
      <c r="C5447" t="s">
        <v>37</v>
      </c>
      <c r="D5447">
        <v>5.0081870000000004</v>
      </c>
      <c r="E5447">
        <v>0.4783482</v>
      </c>
      <c r="F5447" t="s">
        <v>97</v>
      </c>
      <c r="G5447">
        <v>-237.37700000000001</v>
      </c>
      <c r="H5447" s="1">
        <v>-2.2339310000000001E-6</v>
      </c>
      <c r="I5447">
        <v>-60.692129999999999</v>
      </c>
      <c r="J5447">
        <v>-249.7936</v>
      </c>
      <c r="K5447">
        <v>1.103818</v>
      </c>
      <c r="L5447">
        <v>-62.895899999999997</v>
      </c>
      <c r="M5447">
        <v>0.99850000000000005</v>
      </c>
      <c r="N5447">
        <v>0</v>
      </c>
      <c r="O5447">
        <v>5.4117829999999999E-2</v>
      </c>
      <c r="P5447">
        <v>0.99263289999999904</v>
      </c>
      <c r="Q5447">
        <v>-3.7072220000000003E-2</v>
      </c>
      <c r="R5447">
        <v>0.1153508</v>
      </c>
      <c r="S5447">
        <v>2.9521639999999998</v>
      </c>
      <c r="T5447">
        <v>-0.26058979999999998</v>
      </c>
      <c r="U5447">
        <v>0.52142330000000003</v>
      </c>
      <c r="V5447">
        <v>-6.1447990000000001E-2</v>
      </c>
      <c r="W5447">
        <v>-2.8811380000000001E-2</v>
      </c>
      <c r="X5447">
        <v>0.99769439999999998</v>
      </c>
      <c r="Y5447">
        <v>-0.1201338</v>
      </c>
      <c r="Z5447">
        <v>5.2726970000000005E-4</v>
      </c>
      <c r="AA5447">
        <v>0.99275759999999902</v>
      </c>
      <c r="AB5447">
        <v>18</v>
      </c>
      <c r="AC5447">
        <v>12.416599999999899</v>
      </c>
      <c r="AD5447">
        <v>-1.1038202339309999</v>
      </c>
      <c r="AE5447">
        <v>2.2037699999999898</v>
      </c>
      <c r="AF5447">
        <v>-1.5169354322894</v>
      </c>
      <c r="AG5447">
        <v>-1.1038202339309999</v>
      </c>
      <c r="AH5447">
        <v>12.422493643856299</v>
      </c>
      <c r="AI5447">
        <v>95.040524500346606</v>
      </c>
      <c r="AJ5447">
        <v>96.962033834402703</v>
      </c>
      <c r="AK5447">
        <v>12.563353873318301</v>
      </c>
    </row>
    <row r="5448" spans="1:37" x14ac:dyDescent="0.2">
      <c r="A5448" t="str">
        <f>"20200111160325531"</f>
        <v>20200111160325531</v>
      </c>
      <c r="B5448" t="str">
        <f>"1578729805518332"</f>
        <v>1578729805518332</v>
      </c>
      <c r="C5448" t="s">
        <v>37</v>
      </c>
      <c r="D5448">
        <v>4.9856579999999999</v>
      </c>
      <c r="E5448">
        <v>0.47893909999999901</v>
      </c>
      <c r="F5448" t="s">
        <v>97</v>
      </c>
      <c r="G5448">
        <v>-237.39330000000001</v>
      </c>
      <c r="H5448" s="1">
        <v>-2.2429609999999999E-6</v>
      </c>
      <c r="I5448">
        <v>-60.699809999999999</v>
      </c>
      <c r="J5448">
        <v>-249.69669999999999</v>
      </c>
      <c r="K5448">
        <v>1.10379</v>
      </c>
      <c r="L5448">
        <v>-62.890409999999903</v>
      </c>
      <c r="M5448">
        <v>0.99848959999999998</v>
      </c>
      <c r="N5448">
        <v>0</v>
      </c>
      <c r="O5448">
        <v>5.4340640000000003E-2</v>
      </c>
      <c r="P5448">
        <v>0.99253130000000001</v>
      </c>
      <c r="Q5448">
        <v>-3.715483E-2</v>
      </c>
      <c r="R5448">
        <v>0.1161948</v>
      </c>
      <c r="S5448">
        <v>2.951721</v>
      </c>
      <c r="T5448">
        <v>-0.26274979999999998</v>
      </c>
      <c r="U5448">
        <v>0.52273559999999997</v>
      </c>
      <c r="V5448">
        <v>-6.2074020000000001E-2</v>
      </c>
      <c r="W5448">
        <v>-2.9090439999999999E-2</v>
      </c>
      <c r="X5448">
        <v>0.99764750000000002</v>
      </c>
      <c r="Y5448">
        <v>-0.1203616</v>
      </c>
      <c r="Z5448">
        <v>5.2217110000000002E-4</v>
      </c>
      <c r="AA5448">
        <v>0.992729999999999</v>
      </c>
      <c r="AB5448">
        <v>19</v>
      </c>
      <c r="AC5448">
        <v>12.3033999999999</v>
      </c>
      <c r="AD5448">
        <v>-1.1037922429610001</v>
      </c>
      <c r="AE5448">
        <v>2.1905999999999901</v>
      </c>
      <c r="AF5448">
        <v>-1.50700978491382</v>
      </c>
      <c r="AG5448">
        <v>-1.1037922429610001</v>
      </c>
      <c r="AH5448">
        <v>12.308241450342299</v>
      </c>
      <c r="AI5448">
        <v>95.086741447541897</v>
      </c>
      <c r="AJ5448">
        <v>96.980498696336497</v>
      </c>
      <c r="AK5448">
        <v>12.4491864556433</v>
      </c>
    </row>
    <row r="5449" spans="1:37" x14ac:dyDescent="0.2">
      <c r="A5449" t="str">
        <f>"20200111160325542"</f>
        <v>20200111160325542</v>
      </c>
      <c r="B5449" t="str">
        <f>"1578729805538828"</f>
        <v>1578729805538828</v>
      </c>
      <c r="C5449" t="s">
        <v>37</v>
      </c>
      <c r="D5449">
        <v>4.9872690000000004</v>
      </c>
      <c r="E5449">
        <v>0.47933609999999999</v>
      </c>
      <c r="F5449" t="s">
        <v>97</v>
      </c>
      <c r="G5449">
        <v>-237.702</v>
      </c>
      <c r="H5449" s="1">
        <v>-2.395087E-6</v>
      </c>
      <c r="I5449">
        <v>-60.773879999999998</v>
      </c>
      <c r="J5449">
        <v>-249.59530000000001</v>
      </c>
      <c r="K5449">
        <v>1.103753</v>
      </c>
      <c r="L5449">
        <v>-62.884639999999997</v>
      </c>
      <c r="M5449">
        <v>0.9984788</v>
      </c>
      <c r="N5449">
        <v>0</v>
      </c>
      <c r="O5449">
        <v>5.4568800000000001E-2</v>
      </c>
      <c r="P5449">
        <v>0.99245599999999901</v>
      </c>
      <c r="Q5449">
        <v>-3.6802370000000001E-2</v>
      </c>
      <c r="R5449">
        <v>0.1169468</v>
      </c>
      <c r="S5449">
        <v>2.9514619999999998</v>
      </c>
      <c r="T5449">
        <v>-0.27160119999999999</v>
      </c>
      <c r="U5449">
        <v>0.52078250000000004</v>
      </c>
      <c r="V5449">
        <v>-6.2600890000000006E-2</v>
      </c>
      <c r="W5449">
        <v>-2.8951290000000001E-2</v>
      </c>
      <c r="X5449">
        <v>0.99761860000000002</v>
      </c>
      <c r="Y5449">
        <v>-0.11949990000000001</v>
      </c>
      <c r="Z5449">
        <v>4.7976619999999997E-4</v>
      </c>
      <c r="AA5449">
        <v>0.99283410000000005</v>
      </c>
      <c r="AB5449">
        <v>19</v>
      </c>
      <c r="AC5449">
        <v>11.8933</v>
      </c>
      <c r="AD5449">
        <v>-1.103755395087</v>
      </c>
      <c r="AE5449">
        <v>2.1107599999999902</v>
      </c>
      <c r="AF5449">
        <v>-1.44651345372045</v>
      </c>
      <c r="AG5449">
        <v>-1.103755395087</v>
      </c>
      <c r="AH5449">
        <v>11.891472582232399</v>
      </c>
      <c r="AI5449">
        <v>95.264361756762298</v>
      </c>
      <c r="AJ5449">
        <v>96.935551445084997</v>
      </c>
      <c r="AK5449">
        <v>12.0298710432806</v>
      </c>
    </row>
    <row r="5450" spans="1:37" x14ac:dyDescent="0.2">
      <c r="A5450" t="str">
        <f>"20200111160325554"</f>
        <v>20200111160325554</v>
      </c>
      <c r="B5450" t="str">
        <f>"1578729805548588"</f>
        <v>1578729805548588</v>
      </c>
      <c r="C5450" t="s">
        <v>37</v>
      </c>
      <c r="D5450">
        <v>5.0251580000000002</v>
      </c>
      <c r="E5450">
        <v>0.47928100000000001</v>
      </c>
      <c r="F5450" t="s">
        <v>97</v>
      </c>
      <c r="G5450">
        <v>-237.51419999999999</v>
      </c>
      <c r="H5450" s="1">
        <v>-2.3101059999999999E-6</v>
      </c>
      <c r="I5450">
        <v>-60.757190000000001</v>
      </c>
      <c r="J5450">
        <v>-249.49529999999999</v>
      </c>
      <c r="K5450">
        <v>1.1037189999999999</v>
      </c>
      <c r="L5450">
        <v>-62.878909999999998</v>
      </c>
      <c r="M5450">
        <v>0.99846829999999998</v>
      </c>
      <c r="N5450">
        <v>0</v>
      </c>
      <c r="O5450">
        <v>5.4791579999999999E-2</v>
      </c>
      <c r="P5450">
        <v>0.99235689999999999</v>
      </c>
      <c r="Q5450">
        <v>-3.6890319999999997E-2</v>
      </c>
      <c r="R5450">
        <v>0.1177581</v>
      </c>
      <c r="S5450">
        <v>2.9515530000000001</v>
      </c>
      <c r="T5450">
        <v>-0.26966020000000002</v>
      </c>
      <c r="U5450">
        <v>0.51974489999999995</v>
      </c>
      <c r="V5450">
        <v>-6.3194009999999995E-2</v>
      </c>
      <c r="W5450">
        <v>-2.9251240000000001E-2</v>
      </c>
      <c r="X5450">
        <v>0.99757249999999997</v>
      </c>
      <c r="Y5450">
        <v>-0.11894149999999901</v>
      </c>
      <c r="Z5450">
        <v>4.310044E-4</v>
      </c>
      <c r="AA5450">
        <v>0.99290109999999998</v>
      </c>
      <c r="AB5450">
        <v>19</v>
      </c>
      <c r="AC5450">
        <v>11.9810999999999</v>
      </c>
      <c r="AD5450">
        <v>-1.1037213101059999</v>
      </c>
      <c r="AE5450">
        <v>2.1217199999999901</v>
      </c>
      <c r="AF5450">
        <v>-1.45011770993529</v>
      </c>
      <c r="AG5450">
        <v>-1.1037213101059999</v>
      </c>
      <c r="AH5450">
        <v>11.980774393797599</v>
      </c>
      <c r="AI5450">
        <v>95.225556497963694</v>
      </c>
      <c r="AJ5450">
        <v>96.901341882155506</v>
      </c>
      <c r="AK5450">
        <v>12.1185806585642</v>
      </c>
    </row>
    <row r="5451" spans="1:37" x14ac:dyDescent="0.2">
      <c r="A5451" t="str">
        <f>"20200111160325567"</f>
        <v>20200111160325567</v>
      </c>
      <c r="B5451" t="str">
        <f>"1578729805558348"</f>
        <v>1578729805558348</v>
      </c>
      <c r="C5451" t="s">
        <v>37</v>
      </c>
      <c r="D5451">
        <v>5.0066470000000001</v>
      </c>
      <c r="E5451">
        <v>0.47942029999999902</v>
      </c>
      <c r="F5451" t="s">
        <v>97</v>
      </c>
      <c r="G5451">
        <v>-237.3768</v>
      </c>
      <c r="H5451" s="1">
        <v>-2.244598E-6</v>
      </c>
      <c r="I5451">
        <v>-60.732509999999998</v>
      </c>
      <c r="J5451">
        <v>-249.37880000000001</v>
      </c>
      <c r="K5451">
        <v>1.1036790000000001</v>
      </c>
      <c r="L5451">
        <v>-62.872250000000001</v>
      </c>
      <c r="M5451">
        <v>0.99845599999999901</v>
      </c>
      <c r="N5451">
        <v>0</v>
      </c>
      <c r="O5451">
        <v>5.5048340000000001E-2</v>
      </c>
      <c r="P5451">
        <v>0.99227240000000005</v>
      </c>
      <c r="Q5451">
        <v>-3.6953449999999999E-2</v>
      </c>
      <c r="R5451">
        <v>0.1184482</v>
      </c>
      <c r="S5451">
        <v>2.9510800000000001</v>
      </c>
      <c r="T5451">
        <v>-0.2687774</v>
      </c>
      <c r="U5451">
        <v>0.52267459999999999</v>
      </c>
      <c r="V5451">
        <v>-6.3631510000000002E-2</v>
      </c>
      <c r="W5451">
        <v>-2.9563309999999999E-2</v>
      </c>
      <c r="X5451">
        <v>0.99753549999999902</v>
      </c>
      <c r="Y5451">
        <v>-0.1196692</v>
      </c>
      <c r="Z5451">
        <v>4.3940819999999998E-4</v>
      </c>
      <c r="AA5451">
        <v>0.99281369999999902</v>
      </c>
      <c r="AB5451">
        <v>19</v>
      </c>
      <c r="AC5451">
        <v>12.002000000000001</v>
      </c>
      <c r="AD5451">
        <v>-1.103681244598</v>
      </c>
      <c r="AE5451">
        <v>2.1397400000000002</v>
      </c>
      <c r="AF5451">
        <v>-1.4637899454534899</v>
      </c>
      <c r="AG5451">
        <v>-1.103681244598</v>
      </c>
      <c r="AH5451">
        <v>12.0032167319136</v>
      </c>
      <c r="AI5451">
        <v>95.215085163829798</v>
      </c>
      <c r="AJ5451">
        <v>96.952877636688001</v>
      </c>
      <c r="AK5451">
        <v>12.1424052480297</v>
      </c>
    </row>
    <row r="5452" spans="1:37" x14ac:dyDescent="0.2">
      <c r="A5452" t="str">
        <f>"20200111160325584"</f>
        <v>20200111160325584</v>
      </c>
      <c r="B5452" t="str">
        <f>"1578729805578843"</f>
        <v>1578729805578843</v>
      </c>
      <c r="C5452" t="s">
        <v>37</v>
      </c>
      <c r="D5452">
        <v>5.0160799999999997</v>
      </c>
      <c r="E5452">
        <v>0.47962349999999998</v>
      </c>
      <c r="F5452" t="s">
        <v>97</v>
      </c>
      <c r="G5452">
        <v>-237.21610000000001</v>
      </c>
      <c r="H5452" s="1">
        <v>-2.170708E-6</v>
      </c>
      <c r="I5452">
        <v>-60.713990000000003</v>
      </c>
      <c r="J5452">
        <v>-249.23769999999999</v>
      </c>
      <c r="K5452">
        <v>1.1036269999999999</v>
      </c>
      <c r="L5452">
        <v>-62.864109999999997</v>
      </c>
      <c r="M5452">
        <v>0.99844120000000003</v>
      </c>
      <c r="N5452">
        <v>0</v>
      </c>
      <c r="O5452">
        <v>5.5354250000000001E-2</v>
      </c>
      <c r="P5452">
        <v>0.99215379999999997</v>
      </c>
      <c r="Q5452">
        <v>-3.806872E-2</v>
      </c>
      <c r="R5452">
        <v>0.11908630000000001</v>
      </c>
      <c r="S5452">
        <v>2.9508969999999999</v>
      </c>
      <c r="T5452">
        <v>-0.26777399999999901</v>
      </c>
      <c r="U5452">
        <v>0.52362059999999999</v>
      </c>
      <c r="V5452">
        <v>-6.3968860000000002E-2</v>
      </c>
      <c r="W5452">
        <v>-3.0983190000000001E-2</v>
      </c>
      <c r="X5452">
        <v>0.99747079999999999</v>
      </c>
      <c r="Y5452">
        <v>-0.1196873</v>
      </c>
      <c r="Z5452">
        <v>4.1123430000000001E-4</v>
      </c>
      <c r="AA5452">
        <v>0.99281160000000002</v>
      </c>
      <c r="AB5452">
        <v>19</v>
      </c>
      <c r="AC5452">
        <v>12.0215999999999</v>
      </c>
      <c r="AD5452">
        <v>-1.1036291707079999</v>
      </c>
      <c r="AE5452">
        <v>2.15011999999999</v>
      </c>
      <c r="AF5452">
        <v>-1.4693597498791799</v>
      </c>
      <c r="AG5452">
        <v>-1.1036291707079999</v>
      </c>
      <c r="AH5452">
        <v>12.0239922330047</v>
      </c>
      <c r="AI5452">
        <v>95.205722368847105</v>
      </c>
      <c r="AJ5452">
        <v>96.967133224642296</v>
      </c>
      <c r="AK5452">
        <v>12.1636098523571</v>
      </c>
    </row>
    <row r="5453" spans="1:37" x14ac:dyDescent="0.2">
      <c r="A5453" t="str">
        <f>"20200111160325597"</f>
        <v>20200111160325597</v>
      </c>
      <c r="B5453" t="str">
        <f>"1578729805588604"</f>
        <v>1578729805588604</v>
      </c>
      <c r="C5453" t="s">
        <v>37</v>
      </c>
      <c r="D5453">
        <v>5.0007999999999999</v>
      </c>
      <c r="E5453">
        <v>0.47976839999999998</v>
      </c>
      <c r="F5453" t="s">
        <v>97</v>
      </c>
      <c r="G5453">
        <v>-237.18010000000001</v>
      </c>
      <c r="H5453" s="1">
        <v>-2.1577320000000001E-6</v>
      </c>
      <c r="I5453">
        <v>-60.723169999999897</v>
      </c>
      <c r="J5453">
        <v>-249.1319</v>
      </c>
      <c r="K5453">
        <v>1.103593</v>
      </c>
      <c r="L5453">
        <v>-62.857969999999902</v>
      </c>
      <c r="M5453">
        <v>0.99843040000000005</v>
      </c>
      <c r="N5453">
        <v>0</v>
      </c>
      <c r="O5453">
        <v>5.5581499999999999E-2</v>
      </c>
      <c r="P5453">
        <v>0.99210580000000004</v>
      </c>
      <c r="Q5453">
        <v>-3.8516790000000002E-2</v>
      </c>
      <c r="R5453">
        <v>0.1193432</v>
      </c>
      <c r="S5453">
        <v>2.9504549999999998</v>
      </c>
      <c r="T5453">
        <v>-0.27005489999999999</v>
      </c>
      <c r="U5453">
        <v>0.52386469999999996</v>
      </c>
      <c r="V5453">
        <v>-6.4000790000000002E-2</v>
      </c>
      <c r="W5453">
        <v>-3.1662059999999999E-2</v>
      </c>
      <c r="X5453">
        <v>0.99744739999999998</v>
      </c>
      <c r="Y5453">
        <v>-0.11956369999999999</v>
      </c>
      <c r="Z5453">
        <v>3.886707E-4</v>
      </c>
      <c r="AA5453">
        <v>0.99282649999999995</v>
      </c>
      <c r="AB5453">
        <v>19</v>
      </c>
      <c r="AC5453">
        <v>11.951799999999899</v>
      </c>
      <c r="AD5453">
        <v>-1.103595157732</v>
      </c>
      <c r="AE5453">
        <v>2.13479999999999</v>
      </c>
      <c r="AF5453">
        <v>-1.4551617118076099</v>
      </c>
      <c r="AG5453">
        <v>-1.103595157732</v>
      </c>
      <c r="AH5453">
        <v>11.9532177397925</v>
      </c>
      <c r="AI5453">
        <v>95.236504433875993</v>
      </c>
      <c r="AJ5453">
        <v>96.940923812084407</v>
      </c>
      <c r="AK5453">
        <v>12.091932526051</v>
      </c>
    </row>
    <row r="5454" spans="1:37" x14ac:dyDescent="0.2">
      <c r="A5454" t="str">
        <f>"20200111160325607"</f>
        <v>20200111160325607</v>
      </c>
      <c r="B5454" t="str">
        <f>"1578729805598363"</f>
        <v>1578729805598363</v>
      </c>
      <c r="C5454" t="s">
        <v>37</v>
      </c>
      <c r="D5454">
        <v>4.9843070000000003</v>
      </c>
      <c r="E5454">
        <v>0.47993729999999901</v>
      </c>
      <c r="F5454" t="s">
        <v>97</v>
      </c>
      <c r="G5454">
        <v>-237.13059999999999</v>
      </c>
      <c r="H5454" s="1">
        <v>-2.1379349999999998E-6</v>
      </c>
      <c r="I5454">
        <v>-60.728609999999897</v>
      </c>
      <c r="J5454">
        <v>-249.0403</v>
      </c>
      <c r="K5454">
        <v>1.103566</v>
      </c>
      <c r="L5454">
        <v>-62.852690000000003</v>
      </c>
      <c r="M5454">
        <v>0.99842070000000005</v>
      </c>
      <c r="N5454">
        <v>0</v>
      </c>
      <c r="O5454">
        <v>5.577762E-2</v>
      </c>
      <c r="P5454">
        <v>0.99204629999999905</v>
      </c>
      <c r="Q5454">
        <v>-3.898857E-2</v>
      </c>
      <c r="R5454">
        <v>0.1196841</v>
      </c>
      <c r="S5454">
        <v>2.9504090000000001</v>
      </c>
      <c r="T5454">
        <v>-0.27130879999999902</v>
      </c>
      <c r="U5454">
        <v>0.52346800000000004</v>
      </c>
      <c r="V5454">
        <v>-6.4148739999999996E-2</v>
      </c>
      <c r="W5454">
        <v>-3.2335160000000002E-2</v>
      </c>
      <c r="X5454">
        <v>0.99741639999999998</v>
      </c>
      <c r="Y5454">
        <v>-0.11924169999999901</v>
      </c>
      <c r="Z5454">
        <v>3.5802179999999998E-4</v>
      </c>
      <c r="AA5454">
        <v>0.9928652</v>
      </c>
      <c r="AB5454">
        <v>19</v>
      </c>
      <c r="AC5454">
        <v>11.909700000000001</v>
      </c>
      <c r="AD5454">
        <v>-1.103568137935</v>
      </c>
      <c r="AE5454">
        <v>2.1240800000000002</v>
      </c>
      <c r="AF5454">
        <v>-1.44444363525316</v>
      </c>
      <c r="AG5454">
        <v>-1.103568137935</v>
      </c>
      <c r="AH5454">
        <v>11.9105246085331</v>
      </c>
      <c r="AI5454">
        <v>95.255331801610197</v>
      </c>
      <c r="AJ5454">
        <v>96.914752790033305</v>
      </c>
      <c r="AK5454">
        <v>12.048438757821</v>
      </c>
    </row>
    <row r="5455" spans="1:37" x14ac:dyDescent="0.2">
      <c r="A5455" t="str">
        <f>"20200111160325618"</f>
        <v>20200111160325618</v>
      </c>
      <c r="B5455" t="str">
        <f>"1578729805609099"</f>
        <v>1578729805609099</v>
      </c>
      <c r="C5455" t="s">
        <v>37</v>
      </c>
      <c r="D5455">
        <v>4.9534529999999997</v>
      </c>
      <c r="E5455">
        <v>0.48028480000000001</v>
      </c>
      <c r="F5455" t="s">
        <v>97</v>
      </c>
      <c r="G5455">
        <v>-237.14709999999999</v>
      </c>
      <c r="H5455" s="1">
        <v>-2.14900399999999E-6</v>
      </c>
      <c r="I5455">
        <v>-60.743600000000001</v>
      </c>
      <c r="J5455">
        <v>-248.9469</v>
      </c>
      <c r="K5455">
        <v>1.103542</v>
      </c>
      <c r="L5455">
        <v>-62.847259999999999</v>
      </c>
      <c r="M5455">
        <v>0.998411099999999</v>
      </c>
      <c r="N5455">
        <v>0</v>
      </c>
      <c r="O5455">
        <v>5.5976190000000002E-2</v>
      </c>
      <c r="P5455">
        <v>0.99199490000000001</v>
      </c>
      <c r="Q5455">
        <v>-3.9750750000000001E-2</v>
      </c>
      <c r="R5455">
        <v>0.1198594</v>
      </c>
      <c r="S5455">
        <v>2.9501949999999999</v>
      </c>
      <c r="T5455">
        <v>-0.27374920000000003</v>
      </c>
      <c r="U5455">
        <v>0.52316279999999904</v>
      </c>
      <c r="V5455">
        <v>-6.4127669999999998E-2</v>
      </c>
      <c r="W5455">
        <v>-3.3303579999999999E-2</v>
      </c>
      <c r="X5455">
        <v>0.99738590000000005</v>
      </c>
      <c r="Y5455">
        <v>-0.118954399999999</v>
      </c>
      <c r="Z5455">
        <v>3.2988659999999998E-4</v>
      </c>
      <c r="AA5455">
        <v>0.99289969999999905</v>
      </c>
      <c r="AB5455">
        <v>19</v>
      </c>
      <c r="AC5455">
        <v>11.799799999999999</v>
      </c>
      <c r="AD5455">
        <v>-1.1035441490040001</v>
      </c>
      <c r="AE5455">
        <v>2.1036599999999899</v>
      </c>
      <c r="AF5455">
        <v>-1.4277369343569</v>
      </c>
      <c r="AG5455">
        <v>-1.1035441490040001</v>
      </c>
      <c r="AH5455">
        <v>11.7990354269017</v>
      </c>
      <c r="AI5455">
        <v>95.304762874029393</v>
      </c>
      <c r="AJ5455">
        <v>96.899505898396399</v>
      </c>
      <c r="AK5455">
        <v>11.936225510931401</v>
      </c>
    </row>
    <row r="5456" spans="1:37" x14ac:dyDescent="0.2">
      <c r="A5456" t="str">
        <f>"20200111160325631"</f>
        <v>20200111160325631</v>
      </c>
      <c r="B5456" t="str">
        <f>"1578729805618860"</f>
        <v>1578729805618860</v>
      </c>
      <c r="C5456" t="s">
        <v>37</v>
      </c>
      <c r="D5456">
        <v>5.0520149999999999</v>
      </c>
      <c r="E5456">
        <v>0.480381</v>
      </c>
      <c r="F5456" t="s">
        <v>97</v>
      </c>
      <c r="G5456">
        <v>-237.3048</v>
      </c>
      <c r="H5456" s="1">
        <v>-2.2293349999999999E-6</v>
      </c>
      <c r="I5456">
        <v>-60.791260000000001</v>
      </c>
      <c r="J5456">
        <v>-248.84180000000001</v>
      </c>
      <c r="K5456">
        <v>1.103512</v>
      </c>
      <c r="L5456">
        <v>-62.841090000000001</v>
      </c>
      <c r="M5456">
        <v>0.99839999999999995</v>
      </c>
      <c r="N5456">
        <v>0</v>
      </c>
      <c r="O5456">
        <v>5.6199310000000002E-2</v>
      </c>
      <c r="P5456">
        <v>0.99195949999999899</v>
      </c>
      <c r="Q5456">
        <v>-4.0245889999999999E-2</v>
      </c>
      <c r="R5456">
        <v>0.1199875</v>
      </c>
      <c r="S5456">
        <v>2.9500579999999998</v>
      </c>
      <c r="T5456">
        <v>-0.27963339999999998</v>
      </c>
      <c r="U5456">
        <v>0.52096560000000003</v>
      </c>
      <c r="V5456">
        <v>-6.403433E-2</v>
      </c>
      <c r="W5456">
        <v>-3.4030980000000002E-2</v>
      </c>
      <c r="X5456">
        <v>0.99736729999999996</v>
      </c>
      <c r="Y5456">
        <v>-0.118017</v>
      </c>
      <c r="Z5456">
        <v>2.7211059999999998E-4</v>
      </c>
      <c r="AA5456">
        <v>0.99301149999999905</v>
      </c>
      <c r="AB5456">
        <v>19</v>
      </c>
      <c r="AC5456">
        <v>11.537000000000001</v>
      </c>
      <c r="AD5456">
        <v>-1.103514229335</v>
      </c>
      <c r="AE5456">
        <v>2.04983</v>
      </c>
      <c r="AF5456">
        <v>-1.38591454705287</v>
      </c>
      <c r="AG5456">
        <v>-1.103514229335</v>
      </c>
      <c r="AH5456">
        <v>11.5316931526503</v>
      </c>
      <c r="AI5456">
        <v>95.427399064708993</v>
      </c>
      <c r="AJ5456">
        <v>96.853114709110301</v>
      </c>
      <c r="AK5456">
        <v>11.6669811756495</v>
      </c>
    </row>
    <row r="5457" spans="1:37" x14ac:dyDescent="0.2">
      <c r="A5457" t="str">
        <f>"20200111160325643"</f>
        <v>20200111160325643</v>
      </c>
      <c r="B5457" t="str">
        <f>"1578729805638380"</f>
        <v>1578729805638380</v>
      </c>
      <c r="C5457" t="s">
        <v>37</v>
      </c>
      <c r="D5457">
        <v>5.0582079999999996</v>
      </c>
      <c r="E5457">
        <v>0.4804524</v>
      </c>
      <c r="F5457" t="s">
        <v>97</v>
      </c>
      <c r="G5457">
        <v>-237.303</v>
      </c>
      <c r="H5457" s="1">
        <v>-2.2320890000000001E-6</v>
      </c>
      <c r="I5457">
        <v>-60.80444</v>
      </c>
      <c r="J5457">
        <v>-248.73400000000001</v>
      </c>
      <c r="K5457">
        <v>1.1034809999999999</v>
      </c>
      <c r="L5457">
        <v>-62.834780000000002</v>
      </c>
      <c r="M5457">
        <v>0.99838859999999996</v>
      </c>
      <c r="N5457">
        <v>0</v>
      </c>
      <c r="O5457">
        <v>5.642755E-2</v>
      </c>
      <c r="P5457">
        <v>0.99194680000000002</v>
      </c>
      <c r="Q5457">
        <v>-4.03653E-2</v>
      </c>
      <c r="R5457">
        <v>0.1200507</v>
      </c>
      <c r="S5457">
        <v>2.94990499999999</v>
      </c>
      <c r="T5457">
        <v>-0.28211639999999999</v>
      </c>
      <c r="U5457">
        <v>0.52066040000000002</v>
      </c>
      <c r="V5457">
        <v>-6.3869460000000003E-2</v>
      </c>
      <c r="W5457">
        <v>-3.438712E-2</v>
      </c>
      <c r="X5457">
        <v>0.99736569999999902</v>
      </c>
      <c r="Y5457">
        <v>-0.11769689999999999</v>
      </c>
      <c r="Z5457">
        <v>2.3784399999999999E-4</v>
      </c>
      <c r="AA5457">
        <v>0.99304959999999898</v>
      </c>
      <c r="AB5457">
        <v>19</v>
      </c>
      <c r="AC5457">
        <v>11.430999999999999</v>
      </c>
      <c r="AD5457">
        <v>-1.103483232089</v>
      </c>
      <c r="AE5457">
        <v>2.0303399999999998</v>
      </c>
      <c r="AF5457">
        <v>-1.3696963032634299</v>
      </c>
      <c r="AG5457">
        <v>-1.103483232089</v>
      </c>
      <c r="AH5457">
        <v>11.4241512136047</v>
      </c>
      <c r="AI5457">
        <v>95.478213650325799</v>
      </c>
      <c r="AJ5457">
        <v>96.836831279707795</v>
      </c>
      <c r="AK5457">
        <v>11.558761791731101</v>
      </c>
    </row>
    <row r="5458" spans="1:37" x14ac:dyDescent="0.2">
      <c r="A5458" t="str">
        <f>"20200111160325654"</f>
        <v>20200111160325654</v>
      </c>
      <c r="B5458" t="str">
        <f>"1578729805648771"</f>
        <v>1578729805648771</v>
      </c>
      <c r="C5458" t="s">
        <v>37</v>
      </c>
      <c r="D5458">
        <v>5.0906289999999998</v>
      </c>
      <c r="E5458">
        <v>0.48051749999999999</v>
      </c>
      <c r="F5458" t="s">
        <v>97</v>
      </c>
      <c r="G5458">
        <v>-237.1925</v>
      </c>
      <c r="H5458" s="1">
        <v>-2.1833380000000001E-6</v>
      </c>
      <c r="I5458">
        <v>-60.799439999999997</v>
      </c>
      <c r="J5458">
        <v>-248.63319999999999</v>
      </c>
      <c r="K5458">
        <v>1.103458</v>
      </c>
      <c r="L5458">
        <v>-62.828859999999999</v>
      </c>
      <c r="M5458">
        <v>0.99837779999999998</v>
      </c>
      <c r="N5458">
        <v>0</v>
      </c>
      <c r="O5458">
        <v>5.6640749999999997E-2</v>
      </c>
      <c r="P5458">
        <v>0.99194740000000003</v>
      </c>
      <c r="Q5458">
        <v>-4.080135E-2</v>
      </c>
      <c r="R5458">
        <v>0.1198993</v>
      </c>
      <c r="S5458">
        <v>2.9499209999999998</v>
      </c>
      <c r="T5458">
        <v>-0.28204240000000003</v>
      </c>
      <c r="U5458">
        <v>0.52020259999999996</v>
      </c>
      <c r="V5458">
        <v>-6.3505629999999993E-2</v>
      </c>
      <c r="W5458">
        <v>-3.5042579999999997E-2</v>
      </c>
      <c r="X5458">
        <v>0.99736610000000003</v>
      </c>
      <c r="Y5458">
        <v>-0.1173372</v>
      </c>
      <c r="Z5458">
        <v>2.0065250000000001E-4</v>
      </c>
      <c r="AA5458">
        <v>0.99309210000000003</v>
      </c>
      <c r="AB5458">
        <v>19</v>
      </c>
      <c r="AC5458">
        <v>11.4406999999999</v>
      </c>
      <c r="AD5458">
        <v>-1.103460183338</v>
      </c>
      <c r="AE5458">
        <v>2.0294199999999898</v>
      </c>
      <c r="AF5458">
        <v>-1.3658229816779699</v>
      </c>
      <c r="AG5458">
        <v>-1.103460183338</v>
      </c>
      <c r="AH5458">
        <v>11.434159085133899</v>
      </c>
      <c r="AI5458">
        <v>95.473619069471795</v>
      </c>
      <c r="AJ5458">
        <v>96.811768696085295</v>
      </c>
      <c r="AK5458">
        <v>11.568193064504101</v>
      </c>
    </row>
    <row r="5459" spans="1:37" x14ac:dyDescent="0.2">
      <c r="A5459" t="str">
        <f>"20200111160325665"</f>
        <v>20200111160325665</v>
      </c>
      <c r="B5459" t="str">
        <f>"1578729805658515"</f>
        <v>1578729805658515</v>
      </c>
      <c r="C5459" t="s">
        <v>37</v>
      </c>
      <c r="D5459">
        <v>5.1484690000000004</v>
      </c>
      <c r="E5459">
        <v>0.48054049999999998</v>
      </c>
      <c r="F5459" t="s">
        <v>97</v>
      </c>
      <c r="G5459">
        <v>-237.13820000000001</v>
      </c>
      <c r="H5459" s="1">
        <v>-2.1615859999999998E-6</v>
      </c>
      <c r="I5459">
        <v>-60.805300000000003</v>
      </c>
      <c r="J5459">
        <v>-248.53299999999999</v>
      </c>
      <c r="K5459">
        <v>1.1034329999999899</v>
      </c>
      <c r="L5459">
        <v>-62.822940000000003</v>
      </c>
      <c r="M5459">
        <v>0.99836689999999995</v>
      </c>
      <c r="N5459">
        <v>0</v>
      </c>
      <c r="O5459">
        <v>5.6852720000000002E-2</v>
      </c>
      <c r="P5459">
        <v>0.99190409999999996</v>
      </c>
      <c r="Q5459">
        <v>-4.1079919999999999E-2</v>
      </c>
      <c r="R5459">
        <v>0.12016250000000001</v>
      </c>
      <c r="S5459">
        <v>2.949951</v>
      </c>
      <c r="T5459">
        <v>-0.28317940000000003</v>
      </c>
      <c r="U5459">
        <v>0.5192871</v>
      </c>
      <c r="V5459">
        <v>-6.3558260000000005E-2</v>
      </c>
      <c r="W5459">
        <v>-3.5537270000000003E-2</v>
      </c>
      <c r="X5459">
        <v>0.99734519999999904</v>
      </c>
      <c r="Y5459">
        <v>-0.11682679999999999</v>
      </c>
      <c r="Z5459">
        <v>1.5712389999999999E-4</v>
      </c>
      <c r="AA5459">
        <v>0.99315229999999999</v>
      </c>
      <c r="AB5459">
        <v>20</v>
      </c>
      <c r="AC5459">
        <v>11.394799999999901</v>
      </c>
      <c r="AD5459">
        <v>-1.1034351615860001</v>
      </c>
      <c r="AE5459">
        <v>2.0176400000000001</v>
      </c>
      <c r="AF5459">
        <v>-1.35422797876559</v>
      </c>
      <c r="AG5459">
        <v>-1.1034351615860001</v>
      </c>
      <c r="AH5459">
        <v>11.3875405527104</v>
      </c>
      <c r="AI5459">
        <v>95.496106000915006</v>
      </c>
      <c r="AJ5459">
        <v>96.781872056784906</v>
      </c>
      <c r="AK5459">
        <v>11.520745740355499</v>
      </c>
    </row>
    <row r="5460" spans="1:37" x14ac:dyDescent="0.2">
      <c r="A5460" t="str">
        <f>"20200111160325676"</f>
        <v>20200111160325676</v>
      </c>
      <c r="B5460" t="str">
        <f>"1578729805668274"</f>
        <v>1578729805668274</v>
      </c>
      <c r="C5460" t="s">
        <v>37</v>
      </c>
      <c r="D5460">
        <v>5.1031459999999997</v>
      </c>
      <c r="E5460">
        <v>0.480579599999999</v>
      </c>
      <c r="F5460" t="s">
        <v>97</v>
      </c>
      <c r="G5460">
        <v>-237.06110000000001</v>
      </c>
      <c r="H5460" s="1">
        <v>-2.1273840000000001E-6</v>
      </c>
      <c r="I5460">
        <v>-60.80095</v>
      </c>
      <c r="J5460">
        <v>-248.4402</v>
      </c>
      <c r="K5460">
        <v>1.103416</v>
      </c>
      <c r="L5460">
        <v>-62.817469999999901</v>
      </c>
      <c r="M5460">
        <v>0.99835699999999905</v>
      </c>
      <c r="N5460">
        <v>0</v>
      </c>
      <c r="O5460">
        <v>5.7048590000000003E-2</v>
      </c>
      <c r="P5460">
        <v>0.99190499999999904</v>
      </c>
      <c r="Q5460">
        <v>-4.1123460000000001E-2</v>
      </c>
      <c r="R5460">
        <v>0.1201411</v>
      </c>
      <c r="S5460">
        <v>2.9497529999999998</v>
      </c>
      <c r="T5460">
        <v>-0.28372599999999998</v>
      </c>
      <c r="U5460">
        <v>0.51989750000000001</v>
      </c>
      <c r="V5460">
        <v>-6.3341320000000007E-2</v>
      </c>
      <c r="W5460">
        <v>-3.5777339999999998E-2</v>
      </c>
      <c r="X5460">
        <v>0.99735039999999997</v>
      </c>
      <c r="Y5460">
        <v>-0.1168425</v>
      </c>
      <c r="Z5460">
        <v>1.3961219999999999E-4</v>
      </c>
      <c r="AA5460">
        <v>0.99315049999999905</v>
      </c>
      <c r="AB5460">
        <v>20</v>
      </c>
      <c r="AC5460">
        <v>11.3790999999999</v>
      </c>
      <c r="AD5460">
        <v>-1.103418127384</v>
      </c>
      <c r="AE5460">
        <v>2.0165199999999901</v>
      </c>
      <c r="AF5460">
        <v>-1.3517415026305899</v>
      </c>
      <c r="AG5460">
        <v>-1.103418127384</v>
      </c>
      <c r="AH5460">
        <v>11.371934784104999</v>
      </c>
      <c r="AI5460">
        <v>95.503553179955205</v>
      </c>
      <c r="AJ5460">
        <v>96.778739117806794</v>
      </c>
      <c r="AK5460">
        <v>11.5050266139505</v>
      </c>
    </row>
    <row r="5461" spans="1:37" x14ac:dyDescent="0.2">
      <c r="A5461" t="str">
        <f>"20200111160325686"</f>
        <v>20200111160325686</v>
      </c>
      <c r="B5461" t="str">
        <f>"1578729805679010"</f>
        <v>1578729805679010</v>
      </c>
      <c r="C5461" t="s">
        <v>37</v>
      </c>
      <c r="D5461">
        <v>5.1363830000000004</v>
      </c>
      <c r="E5461">
        <v>0.48060920000000001</v>
      </c>
      <c r="F5461" t="s">
        <v>97</v>
      </c>
      <c r="G5461">
        <v>-236.96430000000001</v>
      </c>
      <c r="H5461" s="1">
        <v>-2.0845819999999998E-6</v>
      </c>
      <c r="I5461">
        <v>-60.796230000000001</v>
      </c>
      <c r="J5461">
        <v>-248.34549999999999</v>
      </c>
      <c r="K5461">
        <v>1.103399</v>
      </c>
      <c r="L5461">
        <v>-62.81183</v>
      </c>
      <c r="M5461">
        <v>0.99834659999999997</v>
      </c>
      <c r="N5461">
        <v>0</v>
      </c>
      <c r="O5461">
        <v>5.7248790000000001E-2</v>
      </c>
      <c r="P5461">
        <v>0.99191419999999997</v>
      </c>
      <c r="Q5461">
        <v>-4.1078150000000001E-2</v>
      </c>
      <c r="R5461">
        <v>0.12008089999999901</v>
      </c>
      <c r="S5461">
        <v>2.9498139999999999</v>
      </c>
      <c r="T5461">
        <v>-0.28362670000000001</v>
      </c>
      <c r="U5461">
        <v>0.51953130000000003</v>
      </c>
      <c r="V5461">
        <v>-6.3080360000000002E-2</v>
      </c>
      <c r="W5461">
        <v>-3.5931070000000002E-2</v>
      </c>
      <c r="X5461">
        <v>0.99736139999999995</v>
      </c>
      <c r="Y5461">
        <v>-0.1165228</v>
      </c>
      <c r="Z5461">
        <v>1.05356299999999E-4</v>
      </c>
      <c r="AA5461">
        <v>0.99318799999999996</v>
      </c>
      <c r="AB5461">
        <v>20</v>
      </c>
      <c r="AC5461">
        <v>11.3811999999999</v>
      </c>
      <c r="AD5461">
        <v>-1.1034010845819999</v>
      </c>
      <c r="AE5461">
        <v>2.0156000000000001</v>
      </c>
      <c r="AF5461">
        <v>-1.3484368097808499</v>
      </c>
      <c r="AG5461">
        <v>-1.1034010845819999</v>
      </c>
      <c r="AH5461">
        <v>11.3742680445018</v>
      </c>
      <c r="AI5461">
        <v>95.502548274355803</v>
      </c>
      <c r="AJ5461">
        <v>96.760945992920895</v>
      </c>
      <c r="AK5461">
        <v>11.5069435269147</v>
      </c>
    </row>
    <row r="5462" spans="1:37" x14ac:dyDescent="0.2">
      <c r="A5462" t="str">
        <f>"20200111160325697"</f>
        <v>20200111160325697</v>
      </c>
      <c r="B5462" t="str">
        <f>"1578729805688771"</f>
        <v>1578729805688771</v>
      </c>
      <c r="C5462" t="s">
        <v>37</v>
      </c>
      <c r="D5462">
        <v>4.7625710000000003</v>
      </c>
      <c r="E5462">
        <v>0.48063210000000001</v>
      </c>
      <c r="F5462" t="s">
        <v>97</v>
      </c>
      <c r="G5462">
        <v>-236.8733</v>
      </c>
      <c r="H5462" s="1">
        <v>-2.0445949999999999E-6</v>
      </c>
      <c r="I5462">
        <v>-60.792700000000004</v>
      </c>
      <c r="J5462">
        <v>-248.25319999999999</v>
      </c>
      <c r="K5462">
        <v>1.1033899999999901</v>
      </c>
      <c r="L5462">
        <v>-62.8063</v>
      </c>
      <c r="M5462">
        <v>0.99833619999999901</v>
      </c>
      <c r="N5462">
        <v>0</v>
      </c>
      <c r="O5462">
        <v>5.7444050000000003E-2</v>
      </c>
      <c r="P5462">
        <v>0.99190140000000004</v>
      </c>
      <c r="Q5462">
        <v>-4.0705310000000001E-2</v>
      </c>
      <c r="R5462">
        <v>0.1203109</v>
      </c>
      <c r="S5462">
        <v>2.9498599999999899</v>
      </c>
      <c r="T5462">
        <v>-0.28371879999999999</v>
      </c>
      <c r="U5462">
        <v>0.51916499999999999</v>
      </c>
      <c r="V5462">
        <v>-6.3115499999999894E-2</v>
      </c>
      <c r="W5462">
        <v>-3.5747979999999999E-2</v>
      </c>
      <c r="X5462">
        <v>0.99736579999999997</v>
      </c>
      <c r="Y5462">
        <v>-0.11620850000000001</v>
      </c>
      <c r="Z5462" s="1">
        <v>7.1895769999999893E-5</v>
      </c>
      <c r="AA5462">
        <v>0.99322489999999997</v>
      </c>
      <c r="AB5462">
        <v>20</v>
      </c>
      <c r="AC5462">
        <v>11.3798999999999</v>
      </c>
      <c r="AD5462">
        <v>-1.1033920445949901</v>
      </c>
      <c r="AE5462">
        <v>2.0135999999999901</v>
      </c>
      <c r="AF5462">
        <v>-1.3443048024277999</v>
      </c>
      <c r="AG5462">
        <v>-1.1033920445949901</v>
      </c>
      <c r="AH5462">
        <v>11.373104243446701</v>
      </c>
      <c r="AI5462">
        <v>95.503287309370506</v>
      </c>
      <c r="AJ5462">
        <v>96.7411027693812</v>
      </c>
      <c r="AK5462">
        <v>11.505308754579801</v>
      </c>
    </row>
    <row r="5463" spans="1:37" x14ac:dyDescent="0.2">
      <c r="A5463" t="str">
        <f>"20200111160325708"</f>
        <v>20200111160325708</v>
      </c>
      <c r="B5463" t="str">
        <f>"1578729805698531"</f>
        <v>1578729805698531</v>
      </c>
      <c r="C5463" t="s">
        <v>37</v>
      </c>
      <c r="D5463">
        <v>5.0872469999999996</v>
      </c>
      <c r="E5463">
        <v>0.4806995</v>
      </c>
      <c r="F5463" t="s">
        <v>97</v>
      </c>
      <c r="G5463">
        <v>-236.57820000000001</v>
      </c>
      <c r="H5463" s="1">
        <v>-1.9066669999999901E-6</v>
      </c>
      <c r="I5463">
        <v>-60.750140000000002</v>
      </c>
      <c r="J5463">
        <v>-248.15180000000001</v>
      </c>
      <c r="K5463">
        <v>1.1033770000000001</v>
      </c>
      <c r="L5463">
        <v>-62.800259999999902</v>
      </c>
      <c r="M5463">
        <v>0.99832489999999996</v>
      </c>
      <c r="N5463">
        <v>0</v>
      </c>
      <c r="O5463">
        <v>5.7658649999999999E-2</v>
      </c>
      <c r="P5463">
        <v>0.99191759999999995</v>
      </c>
      <c r="Q5463">
        <v>-4.022249E-2</v>
      </c>
      <c r="R5463">
        <v>0.12034069999999999</v>
      </c>
      <c r="S5463">
        <v>2.950027</v>
      </c>
      <c r="T5463">
        <v>-0.27880349999999998</v>
      </c>
      <c r="U5463">
        <v>0.51953130000000003</v>
      </c>
      <c r="V5463">
        <v>-6.2930150000000004E-2</v>
      </c>
      <c r="W5463">
        <v>-3.5472169999999997E-2</v>
      </c>
      <c r="X5463">
        <v>0.99738729999999998</v>
      </c>
      <c r="Y5463">
        <v>-0.11611539999999999</v>
      </c>
      <c r="Z5463" s="1">
        <v>4.62960499999999E-5</v>
      </c>
      <c r="AA5463">
        <v>0.99323569999999906</v>
      </c>
      <c r="AB5463">
        <v>20</v>
      </c>
      <c r="AC5463">
        <v>11.573600000000001</v>
      </c>
      <c r="AD5463">
        <v>-1.1033789066669999</v>
      </c>
      <c r="AE5463">
        <v>2.05011999999999</v>
      </c>
      <c r="AF5463">
        <v>-1.3673339618802001</v>
      </c>
      <c r="AG5463">
        <v>-1.1033789066669999</v>
      </c>
      <c r="AH5463">
        <v>11.5705889479077</v>
      </c>
      <c r="AI5463">
        <v>95.409873228576998</v>
      </c>
      <c r="AJ5463">
        <v>96.739571262595305</v>
      </c>
      <c r="AK5463">
        <v>11.7032292883815</v>
      </c>
    </row>
    <row r="5464" spans="1:37" x14ac:dyDescent="0.2">
      <c r="A5464" t="str">
        <f>"20200111160325720"</f>
        <v>20200111160325720</v>
      </c>
      <c r="B5464" t="str">
        <f>"1578729805708291"</f>
        <v>1578729805708291</v>
      </c>
      <c r="C5464" t="s">
        <v>37</v>
      </c>
      <c r="D5464">
        <v>5.1359159999999999</v>
      </c>
      <c r="E5464">
        <v>0.48074229999999901</v>
      </c>
      <c r="F5464" t="s">
        <v>97</v>
      </c>
      <c r="G5464">
        <v>-236.41220000000001</v>
      </c>
      <c r="H5464" s="1">
        <v>-1.83141699999999E-6</v>
      </c>
      <c r="I5464">
        <v>-60.734830000000002</v>
      </c>
      <c r="J5464">
        <v>-248.0532</v>
      </c>
      <c r="K5464">
        <v>1.103364</v>
      </c>
      <c r="L5464">
        <v>-62.794339999999998</v>
      </c>
      <c r="M5464">
        <v>0.99831360000000002</v>
      </c>
      <c r="N5464">
        <v>0</v>
      </c>
      <c r="O5464">
        <v>5.7867599999999901E-2</v>
      </c>
      <c r="P5464">
        <v>0.9919367</v>
      </c>
      <c r="Q5464">
        <v>-3.97063E-2</v>
      </c>
      <c r="R5464">
        <v>0.120354</v>
      </c>
      <c r="S5464">
        <v>2.9502410000000001</v>
      </c>
      <c r="T5464">
        <v>-0.27728769999999903</v>
      </c>
      <c r="U5464">
        <v>0.51904300000000003</v>
      </c>
      <c r="V5464">
        <v>-6.2733510000000006E-2</v>
      </c>
      <c r="W5464">
        <v>-3.5148560000000002E-2</v>
      </c>
      <c r="X5464">
        <v>0.99741119999999905</v>
      </c>
      <c r="Y5464">
        <v>-0.115741</v>
      </c>
      <c r="Z5464" s="1">
        <v>9.2466359999999905E-6</v>
      </c>
      <c r="AA5464">
        <v>0.99327940000000003</v>
      </c>
      <c r="AB5464">
        <v>20</v>
      </c>
      <c r="AC5464">
        <v>11.640999999999901</v>
      </c>
      <c r="AD5464">
        <v>-1.1033658314170001</v>
      </c>
      <c r="AE5464">
        <v>2.05951</v>
      </c>
      <c r="AF5464">
        <v>-1.3704764634895299</v>
      </c>
      <c r="AG5464">
        <v>-1.1033658314170001</v>
      </c>
      <c r="AH5464">
        <v>11.6392815058335</v>
      </c>
      <c r="AI5464">
        <v>95.378335597633296</v>
      </c>
      <c r="AJ5464">
        <v>96.715416724495398</v>
      </c>
      <c r="AK5464">
        <v>11.771512046757399</v>
      </c>
    </row>
    <row r="5465" spans="1:37" x14ac:dyDescent="0.2">
      <c r="A5465" t="str">
        <f>"20200111160325731"</f>
        <v>20200111160325731</v>
      </c>
      <c r="B5465" t="str">
        <f>"1578729805728787"</f>
        <v>1578729805728787</v>
      </c>
      <c r="C5465" t="s">
        <v>37</v>
      </c>
      <c r="D5465">
        <v>5.237552</v>
      </c>
      <c r="E5465">
        <v>0.48068450000000001</v>
      </c>
      <c r="F5465" t="s">
        <v>97</v>
      </c>
      <c r="G5465">
        <v>-236.2457</v>
      </c>
      <c r="H5465" s="1">
        <v>-1.7554820000000001E-6</v>
      </c>
      <c r="I5465">
        <v>-60.717930000000003</v>
      </c>
      <c r="J5465">
        <v>-247.94239999999999</v>
      </c>
      <c r="K5465">
        <v>1.1033500000000001</v>
      </c>
      <c r="L5465">
        <v>-62.787659999999903</v>
      </c>
      <c r="M5465">
        <v>0.99830099999999999</v>
      </c>
      <c r="N5465">
        <v>0</v>
      </c>
      <c r="O5465">
        <v>5.8102189999999998E-2</v>
      </c>
      <c r="P5465">
        <v>0.99198189999999997</v>
      </c>
      <c r="Q5465">
        <v>-3.8881930000000002E-2</v>
      </c>
      <c r="R5465">
        <v>0.1202506</v>
      </c>
      <c r="S5465">
        <v>2.95039399999999</v>
      </c>
      <c r="T5465">
        <v>-0.27570440000000002</v>
      </c>
      <c r="U5465">
        <v>0.51882929999999905</v>
      </c>
      <c r="V5465">
        <v>-6.239335E-2</v>
      </c>
      <c r="W5465">
        <v>-3.453606E-2</v>
      </c>
      <c r="X5465">
        <v>0.9974539</v>
      </c>
      <c r="Y5465">
        <v>-0.115434199999999</v>
      </c>
      <c r="Z5465" s="1">
        <v>-2.662698E-5</v>
      </c>
      <c r="AA5465">
        <v>0.99331510000000001</v>
      </c>
      <c r="AB5465">
        <v>20</v>
      </c>
      <c r="AC5465">
        <v>11.6966999999999</v>
      </c>
      <c r="AD5465">
        <v>-1.103351755482</v>
      </c>
      <c r="AE5465">
        <v>2.0697299999999901</v>
      </c>
      <c r="AF5465">
        <v>-1.37476150858051</v>
      </c>
      <c r="AG5465">
        <v>-1.103351755482</v>
      </c>
      <c r="AH5465">
        <v>11.696280863062</v>
      </c>
      <c r="AI5465">
        <v>95.3523382023983</v>
      </c>
      <c r="AJ5465">
        <v>96.703692986586006</v>
      </c>
      <c r="AK5465">
        <v>11.828370146788201</v>
      </c>
    </row>
    <row r="5466" spans="1:37" x14ac:dyDescent="0.2">
      <c r="A5466" t="str">
        <f>"20200111160325743"</f>
        <v>20200111160325743</v>
      </c>
      <c r="B5466" t="str">
        <f>"1578729805738547"</f>
        <v>1578729805738547</v>
      </c>
      <c r="C5466" t="s">
        <v>37</v>
      </c>
      <c r="D5466">
        <v>5.082376</v>
      </c>
      <c r="E5466">
        <v>0.480796</v>
      </c>
      <c r="F5466" t="s">
        <v>97</v>
      </c>
      <c r="G5466">
        <v>-235.93</v>
      </c>
      <c r="H5466" s="1">
        <v>-1.6086179999999901E-6</v>
      </c>
      <c r="I5466">
        <v>-60.675049999999999</v>
      </c>
      <c r="J5466">
        <v>-247.83699999999999</v>
      </c>
      <c r="K5466">
        <v>1.10334</v>
      </c>
      <c r="L5466">
        <v>-62.781280000000002</v>
      </c>
      <c r="M5466">
        <v>0.99828879999999998</v>
      </c>
      <c r="N5466">
        <v>0</v>
      </c>
      <c r="O5466">
        <v>5.832557E-2</v>
      </c>
      <c r="P5466">
        <v>0.99200480000000002</v>
      </c>
      <c r="Q5466">
        <v>-3.8183420000000003E-2</v>
      </c>
      <c r="R5466">
        <v>0.1202857</v>
      </c>
      <c r="S5466">
        <v>2.9507140000000001</v>
      </c>
      <c r="T5466">
        <v>-0.27102459999999901</v>
      </c>
      <c r="U5466">
        <v>0.51892090000000002</v>
      </c>
      <c r="V5466">
        <v>-6.2203710000000002E-2</v>
      </c>
      <c r="W5466">
        <v>-3.4026960000000002E-2</v>
      </c>
      <c r="X5466">
        <v>0.99748329999999996</v>
      </c>
      <c r="Y5466">
        <v>-0.115233399999999</v>
      </c>
      <c r="Z5466" s="1">
        <v>-5.554222E-5</v>
      </c>
      <c r="AA5466">
        <v>0.99333850000000001</v>
      </c>
      <c r="AB5466">
        <v>20</v>
      </c>
      <c r="AC5466">
        <v>11.907</v>
      </c>
      <c r="AD5466">
        <v>-1.1033416086179999</v>
      </c>
      <c r="AE5466">
        <v>2.10623</v>
      </c>
      <c r="AF5466">
        <v>-1.3965282076558601</v>
      </c>
      <c r="AG5466">
        <v>-1.1033416086179999</v>
      </c>
      <c r="AH5466">
        <v>11.9104118499486</v>
      </c>
      <c r="AI5466">
        <v>95.256780131689894</v>
      </c>
      <c r="AJ5466">
        <v>96.687550392669607</v>
      </c>
      <c r="AK5466">
        <v>12.042656026619801</v>
      </c>
    </row>
    <row r="5467" spans="1:37" x14ac:dyDescent="0.2">
      <c r="A5467" t="str">
        <f>"20200111160325754"</f>
        <v>20200111160325754</v>
      </c>
      <c r="B5467" t="str">
        <f>"1578729805748879"</f>
        <v>1578729805748879</v>
      </c>
      <c r="C5467" t="s">
        <v>37</v>
      </c>
      <c r="D5467">
        <v>5.165699</v>
      </c>
      <c r="E5467">
        <v>0.48084700000000002</v>
      </c>
      <c r="F5467" t="s">
        <v>97</v>
      </c>
      <c r="G5467">
        <v>-235.75559999999999</v>
      </c>
      <c r="H5467" s="1">
        <v>-1.5297360000000001E-6</v>
      </c>
      <c r="I5467">
        <v>-60.659730000000003</v>
      </c>
      <c r="J5467">
        <v>-247.73419999999999</v>
      </c>
      <c r="K5467">
        <v>1.1033309999999901</v>
      </c>
      <c r="L5467">
        <v>-62.77505</v>
      </c>
      <c r="M5467">
        <v>0.99827670000000002</v>
      </c>
      <c r="N5467">
        <v>0</v>
      </c>
      <c r="O5467">
        <v>5.8543169999999999E-2</v>
      </c>
      <c r="P5467">
        <v>0.99205710000000003</v>
      </c>
      <c r="Q5467">
        <v>-3.6935990000000002E-2</v>
      </c>
      <c r="R5467">
        <v>0.1202438</v>
      </c>
      <c r="S5467">
        <v>2.950958</v>
      </c>
      <c r="T5467">
        <v>-0.26949859999999998</v>
      </c>
      <c r="U5467">
        <v>0.51818850000000005</v>
      </c>
      <c r="V5467">
        <v>-6.1941959999999997E-2</v>
      </c>
      <c r="W5467">
        <v>-3.2953209999999997E-2</v>
      </c>
      <c r="X5467">
        <v>0.99753559999999997</v>
      </c>
      <c r="Y5467">
        <v>-0.1147691</v>
      </c>
      <c r="Z5467" s="1">
        <v>-9.5839149999999999E-5</v>
      </c>
      <c r="AA5467">
        <v>0.99339219999999895</v>
      </c>
      <c r="AB5467">
        <v>20</v>
      </c>
      <c r="AC5467">
        <v>11.9786</v>
      </c>
      <c r="AD5467">
        <v>-1.1033325297359999</v>
      </c>
      <c r="AE5467">
        <v>2.1153199999999899</v>
      </c>
      <c r="AF5467">
        <v>-1.3989115177379501</v>
      </c>
      <c r="AG5467">
        <v>-1.1033325297359999</v>
      </c>
      <c r="AH5467">
        <v>11.9833016503756</v>
      </c>
      <c r="AI5467">
        <v>95.225248372126103</v>
      </c>
      <c r="AJ5467">
        <v>96.658480104908094</v>
      </c>
      <c r="AK5467">
        <v>12.115024331363401</v>
      </c>
    </row>
    <row r="5468" spans="1:37" x14ac:dyDescent="0.2">
      <c r="A5468" t="str">
        <f>"20200111160325766"</f>
        <v>20200111160325766</v>
      </c>
      <c r="B5468" t="str">
        <f>"1578729805758629"</f>
        <v>1578729805758629</v>
      </c>
      <c r="C5468" t="s">
        <v>37</v>
      </c>
      <c r="D5468">
        <v>5.1557680000000001</v>
      </c>
      <c r="E5468">
        <v>0.48088509999999901</v>
      </c>
      <c r="F5468" t="s">
        <v>97</v>
      </c>
      <c r="G5468">
        <v>-235.4863</v>
      </c>
      <c r="H5468" s="1">
        <v>-1.4053779999999999E-6</v>
      </c>
      <c r="I5468">
        <v>-60.626579999999997</v>
      </c>
      <c r="J5468">
        <v>-247.62370000000001</v>
      </c>
      <c r="K5468">
        <v>1.1033269999999999</v>
      </c>
      <c r="L5468">
        <v>-62.76831</v>
      </c>
      <c r="M5468">
        <v>0.99826369999999898</v>
      </c>
      <c r="N5468">
        <v>0</v>
      </c>
      <c r="O5468">
        <v>5.8777089999999997E-2</v>
      </c>
      <c r="P5468">
        <v>0.99213359999999995</v>
      </c>
      <c r="Q5468">
        <v>-3.5628680000000003E-2</v>
      </c>
      <c r="R5468">
        <v>0.120005399999999</v>
      </c>
      <c r="S5468">
        <v>2.9513699999999998</v>
      </c>
      <c r="T5468">
        <v>-0.2658684</v>
      </c>
      <c r="U5468">
        <v>0.51770020000000005</v>
      </c>
      <c r="V5468">
        <v>-6.1466159999999999E-2</v>
      </c>
      <c r="W5468">
        <v>-3.1820559999999998E-2</v>
      </c>
      <c r="X5468">
        <v>0.99760179999999998</v>
      </c>
      <c r="Y5468">
        <v>-0.114361899999999</v>
      </c>
      <c r="Z5468">
        <v>-1.335028E-4</v>
      </c>
      <c r="AA5468">
        <v>0.99343909999999902</v>
      </c>
      <c r="AB5468">
        <v>20</v>
      </c>
      <c r="AC5468">
        <v>12.1374</v>
      </c>
      <c r="AD5468">
        <v>-1.1033284053779999</v>
      </c>
      <c r="AE5468">
        <v>2.1417299999999901</v>
      </c>
      <c r="AF5468">
        <v>-1.4132948819150299</v>
      </c>
      <c r="AG5468">
        <v>-1.1033284053779999</v>
      </c>
      <c r="AH5468">
        <v>12.144973182492601</v>
      </c>
      <c r="AI5468">
        <v>95.156267151302004</v>
      </c>
      <c r="AJ5468">
        <v>96.637582144995605</v>
      </c>
      <c r="AK5468">
        <v>12.2766082285306</v>
      </c>
    </row>
    <row r="5469" spans="1:37" x14ac:dyDescent="0.2">
      <c r="A5469" t="str">
        <f>"20200111160325777"</f>
        <v>20200111160325777</v>
      </c>
      <c r="B5469" t="str">
        <f>"1578729805768389"</f>
        <v>1578729805768389</v>
      </c>
      <c r="C5469" t="s">
        <v>37</v>
      </c>
      <c r="D5469">
        <v>5.1282550000000002</v>
      </c>
      <c r="E5469">
        <v>0.48094330000000002</v>
      </c>
      <c r="F5469" t="s">
        <v>97</v>
      </c>
      <c r="G5469">
        <v>-235.1927</v>
      </c>
      <c r="H5469" s="1">
        <v>-1.2703050000000001E-6</v>
      </c>
      <c r="I5469">
        <v>-60.592319999999901</v>
      </c>
      <c r="J5469">
        <v>-247.5232</v>
      </c>
      <c r="K5469">
        <v>1.1033249999999999</v>
      </c>
      <c r="L5469">
        <v>-62.762149999999998</v>
      </c>
      <c r="M5469">
        <v>0.99825189999999997</v>
      </c>
      <c r="N5469">
        <v>0</v>
      </c>
      <c r="O5469">
        <v>5.8989479999999997E-2</v>
      </c>
      <c r="P5469">
        <v>0.99220169999999996</v>
      </c>
      <c r="Q5469">
        <v>-3.4503800000000001E-2</v>
      </c>
      <c r="R5469">
        <v>0.11977359999999999</v>
      </c>
      <c r="S5469">
        <v>2.9518740000000001</v>
      </c>
      <c r="T5469">
        <v>-0.26199539999999999</v>
      </c>
      <c r="U5469">
        <v>0.51669309999999902</v>
      </c>
      <c r="V5469">
        <v>-6.1018999999999997E-2</v>
      </c>
      <c r="W5469">
        <v>-3.0832760000000001E-2</v>
      </c>
      <c r="X5469">
        <v>0.99766030000000006</v>
      </c>
      <c r="Y5469">
        <v>-0.11380219999999901</v>
      </c>
      <c r="Z5469">
        <v>-1.7476039999999999E-4</v>
      </c>
      <c r="AA5469">
        <v>0.99350339999999904</v>
      </c>
      <c r="AB5469">
        <v>20</v>
      </c>
      <c r="AC5469">
        <v>12.330500000000001</v>
      </c>
      <c r="AD5469">
        <v>-1.103326270305</v>
      </c>
      <c r="AE5469">
        <v>2.1698300000000001</v>
      </c>
      <c r="AF5469">
        <v>-1.42758998279563</v>
      </c>
      <c r="AG5469">
        <v>-1.103326270305</v>
      </c>
      <c r="AH5469">
        <v>12.341182778851699</v>
      </c>
      <c r="AI5469">
        <v>95.075110401287802</v>
      </c>
      <c r="AJ5469">
        <v>96.598471742611395</v>
      </c>
      <c r="AK5469">
        <v>12.4723748499935</v>
      </c>
    </row>
    <row r="5470" spans="1:37" x14ac:dyDescent="0.2">
      <c r="A5470" t="str">
        <f>"20200111160325789"</f>
        <v>20200111160325789</v>
      </c>
      <c r="B5470" t="str">
        <f>"1578729805779127"</f>
        <v>1578729805779127</v>
      </c>
      <c r="C5470" t="s">
        <v>37</v>
      </c>
      <c r="D5470">
        <v>5.1692489999999998</v>
      </c>
      <c r="E5470">
        <v>0.48102070000000002</v>
      </c>
      <c r="F5470" t="s">
        <v>97</v>
      </c>
      <c r="G5470">
        <v>-234.96039999999999</v>
      </c>
      <c r="H5470" s="1">
        <v>-1.1642039999999999E-6</v>
      </c>
      <c r="I5470">
        <v>-60.567990000000002</v>
      </c>
      <c r="J5470">
        <v>-247.41399999999999</v>
      </c>
      <c r="K5470">
        <v>1.1033200000000001</v>
      </c>
      <c r="L5470">
        <v>-62.755490000000002</v>
      </c>
      <c r="M5470">
        <v>0.99823859999999998</v>
      </c>
      <c r="N5470">
        <v>0</v>
      </c>
      <c r="O5470">
        <v>5.9219790000000001E-2</v>
      </c>
      <c r="P5470">
        <v>0.99223719999999904</v>
      </c>
      <c r="Q5470">
        <v>-3.3617800000000003E-2</v>
      </c>
      <c r="R5470">
        <v>0.1197303</v>
      </c>
      <c r="S5470">
        <v>2.9523160000000002</v>
      </c>
      <c r="T5470">
        <v>-0.25928809999999902</v>
      </c>
      <c r="U5470">
        <v>0.515625</v>
      </c>
      <c r="V5470">
        <v>-6.0743499999999902E-2</v>
      </c>
      <c r="W5470">
        <v>-3.008806E-2</v>
      </c>
      <c r="X5470">
        <v>0.99769979999999903</v>
      </c>
      <c r="Y5470">
        <v>-0.1132063</v>
      </c>
      <c r="Z5470">
        <v>-2.1883570000000001E-4</v>
      </c>
      <c r="AA5470">
        <v>0.99357150000000005</v>
      </c>
      <c r="AB5470">
        <v>21</v>
      </c>
      <c r="AC5470">
        <v>12.4536</v>
      </c>
      <c r="AD5470">
        <v>-1.1033211642039999</v>
      </c>
      <c r="AE5470">
        <v>2.1875</v>
      </c>
      <c r="AF5470">
        <v>-1.4352286177038001</v>
      </c>
      <c r="AG5470">
        <v>-1.1033211642039999</v>
      </c>
      <c r="AH5470">
        <v>12.466367532282501</v>
      </c>
      <c r="AI5470">
        <v>95.0246986777355</v>
      </c>
      <c r="AJ5470">
        <v>96.567437408399798</v>
      </c>
      <c r="AK5470">
        <v>12.5971234107793</v>
      </c>
    </row>
    <row r="5471" spans="1:37" x14ac:dyDescent="0.2">
      <c r="A5471" t="str">
        <f>"20200111160325801"</f>
        <v>20200111160325801</v>
      </c>
      <c r="B5471" t="str">
        <f>"1578729805798646"</f>
        <v>1578729805798646</v>
      </c>
      <c r="C5471" t="s">
        <v>37</v>
      </c>
      <c r="D5471">
        <v>5.1513819999999999</v>
      </c>
      <c r="E5471">
        <v>0.48126039999999998</v>
      </c>
      <c r="F5471" t="s">
        <v>97</v>
      </c>
      <c r="G5471">
        <v>-234.7484</v>
      </c>
      <c r="H5471" s="1">
        <v>-1.0675989999999999E-6</v>
      </c>
      <c r="I5471">
        <v>-60.546750000000003</v>
      </c>
      <c r="J5471">
        <v>-247.29560000000001</v>
      </c>
      <c r="K5471">
        <v>1.1033249999999999</v>
      </c>
      <c r="L5471">
        <v>-62.748169999999902</v>
      </c>
      <c r="M5471">
        <v>0.99822429999999995</v>
      </c>
      <c r="N5471">
        <v>0</v>
      </c>
      <c r="O5471">
        <v>5.946883E-2</v>
      </c>
      <c r="P5471">
        <v>0.99230940000000001</v>
      </c>
      <c r="Q5471">
        <v>-3.3094430000000001E-2</v>
      </c>
      <c r="R5471">
        <v>0.1192768</v>
      </c>
      <c r="S5471">
        <v>2.95263699999999</v>
      </c>
      <c r="T5471">
        <v>-0.25720879999999902</v>
      </c>
      <c r="U5471">
        <v>0.51489259999999903</v>
      </c>
      <c r="V5471">
        <v>-6.0038229999999998E-2</v>
      </c>
      <c r="W5471">
        <v>-2.9674949999999999E-2</v>
      </c>
      <c r="X5471">
        <v>0.9977549</v>
      </c>
      <c r="Y5471">
        <v>-0.112706999999999</v>
      </c>
      <c r="Z5471">
        <v>-2.600309E-4</v>
      </c>
      <c r="AA5471">
        <v>0.99362819999999996</v>
      </c>
      <c r="AB5471">
        <v>21</v>
      </c>
      <c r="AC5471">
        <v>12.5472</v>
      </c>
      <c r="AD5471">
        <v>-1.103326067599</v>
      </c>
      <c r="AE5471">
        <v>2.2014199999999899</v>
      </c>
      <c r="AF5471">
        <v>-1.4405459056594001</v>
      </c>
      <c r="AG5471">
        <v>-1.103326067599</v>
      </c>
      <c r="AH5471">
        <v>12.561678723529999</v>
      </c>
      <c r="AI5471">
        <v>94.987042360827701</v>
      </c>
      <c r="AJ5471">
        <v>96.541977005293802</v>
      </c>
      <c r="AK5471">
        <v>12.692055517958501</v>
      </c>
    </row>
    <row r="5472" spans="1:37" x14ac:dyDescent="0.2">
      <c r="A5472" t="str">
        <f>"20200111160325814"</f>
        <v>20200111160325814</v>
      </c>
      <c r="B5472" t="str">
        <f>"1578729805808406"</f>
        <v>1578729805808406</v>
      </c>
      <c r="C5472" t="s">
        <v>37</v>
      </c>
      <c r="D5472">
        <v>5.1196869999999999</v>
      </c>
      <c r="E5472">
        <v>0.5150361</v>
      </c>
      <c r="F5472" t="s">
        <v>97</v>
      </c>
      <c r="G5472">
        <v>-234.56049999999999</v>
      </c>
      <c r="H5472" s="1">
        <v>-9.8563530000000008E-7</v>
      </c>
      <c r="I5472">
        <v>-60.541699999999999</v>
      </c>
      <c r="J5472">
        <v>-247.18620000000001</v>
      </c>
      <c r="K5472">
        <v>1.1033309999999901</v>
      </c>
      <c r="L5472">
        <v>-62.741419999999998</v>
      </c>
      <c r="M5472">
        <v>0.99821090000000001</v>
      </c>
      <c r="N5472">
        <v>0</v>
      </c>
      <c r="O5472">
        <v>5.9698689999999999E-2</v>
      </c>
      <c r="P5472">
        <v>0.99239370000000005</v>
      </c>
      <c r="Q5472">
        <v>-3.2693449999999999E-2</v>
      </c>
      <c r="R5472">
        <v>0.11868579999999999</v>
      </c>
      <c r="S5472">
        <v>2.9532319999999999</v>
      </c>
      <c r="T5472">
        <v>-0.255857</v>
      </c>
      <c r="U5472">
        <v>0.51165769999999999</v>
      </c>
      <c r="V5472">
        <v>-5.9213309999999998E-2</v>
      </c>
      <c r="W5472">
        <v>-2.9357790000000002E-2</v>
      </c>
      <c r="X5472">
        <v>0.99781359999999997</v>
      </c>
      <c r="Y5472">
        <v>-0.11139539999999901</v>
      </c>
      <c r="Z5472">
        <v>-3.3462610000000001E-4</v>
      </c>
      <c r="AA5472">
        <v>0.99377610000000005</v>
      </c>
      <c r="AB5472">
        <v>21</v>
      </c>
      <c r="AC5472">
        <v>12.6257</v>
      </c>
      <c r="AD5472">
        <v>-1.1033319856352899</v>
      </c>
      <c r="AE5472">
        <v>2.1997199999999899</v>
      </c>
      <c r="AF5472">
        <v>-1.4314453400818601</v>
      </c>
      <c r="AG5472">
        <v>-1.1033319856352899</v>
      </c>
      <c r="AH5472">
        <v>12.6408129625885</v>
      </c>
      <c r="AI5472">
        <v>94.956802543991898</v>
      </c>
      <c r="AJ5472">
        <v>96.460650822515305</v>
      </c>
      <c r="AK5472">
        <v>12.7693590123903</v>
      </c>
    </row>
    <row r="5473" spans="1:37" x14ac:dyDescent="0.2">
      <c r="A5473" t="str">
        <f>"20200111160325829"</f>
        <v>20200111160325829</v>
      </c>
      <c r="B5473" t="str">
        <f>"1578729805819142"</f>
        <v>1578729805819142</v>
      </c>
      <c r="C5473" t="s">
        <v>37</v>
      </c>
      <c r="D5473">
        <v>5.0868510000000002</v>
      </c>
      <c r="E5473">
        <v>0.51895769999999997</v>
      </c>
      <c r="F5473" t="s">
        <v>42</v>
      </c>
      <c r="G5473">
        <v>-246.33439999999999</v>
      </c>
      <c r="H5473">
        <v>1.014416</v>
      </c>
      <c r="I5473">
        <v>-62.671859999999903</v>
      </c>
      <c r="J5473">
        <v>-247.0377</v>
      </c>
      <c r="K5473">
        <v>1.103342</v>
      </c>
      <c r="L5473">
        <v>-62.73218</v>
      </c>
      <c r="M5473">
        <v>0.99819249999999904</v>
      </c>
      <c r="N5473">
        <v>0</v>
      </c>
      <c r="O5473">
        <v>6.0009890000000003E-2</v>
      </c>
      <c r="P5473">
        <v>0.99254509999999996</v>
      </c>
      <c r="Q5473">
        <v>-3.2511600000000002E-2</v>
      </c>
      <c r="R5473">
        <v>0.1174632</v>
      </c>
      <c r="S5473">
        <v>2.9835210000000001</v>
      </c>
      <c r="T5473">
        <v>-0.31147069999999999</v>
      </c>
      <c r="U5473">
        <v>0.2441101</v>
      </c>
      <c r="V5473">
        <v>-5.7672330000000001E-2</v>
      </c>
      <c r="W5473">
        <v>-2.9249359999999999E-2</v>
      </c>
      <c r="X5473">
        <v>0.99790699999999999</v>
      </c>
      <c r="Y5473">
        <v>-2.1795430000000001E-2</v>
      </c>
      <c r="Z5473">
        <v>-5.0982170000000004E-3</v>
      </c>
      <c r="AA5473">
        <v>0.99974949999999996</v>
      </c>
      <c r="AB5473">
        <v>21</v>
      </c>
      <c r="AC5473">
        <v>0.70330000000001203</v>
      </c>
      <c r="AD5473">
        <v>-8.8926000000000005E-2</v>
      </c>
      <c r="AE5473">
        <v>6.0320000000011399E-2</v>
      </c>
      <c r="AF5473">
        <v>-1.7724807604756702E-2</v>
      </c>
      <c r="AG5473">
        <v>-8.8926000000000005E-2</v>
      </c>
      <c r="AH5473">
        <v>0.69462813844721905</v>
      </c>
      <c r="AI5473">
        <v>97.292951544968304</v>
      </c>
      <c r="AJ5473">
        <v>91.461697681487706</v>
      </c>
      <c r="AK5473">
        <v>0.70052141509255395</v>
      </c>
    </row>
    <row r="5474" spans="1:37" x14ac:dyDescent="0.2">
      <c r="A5474" t="str">
        <f>"20200111160325844"</f>
        <v>20200111160325844</v>
      </c>
      <c r="B5474" t="str">
        <f>"1578729805838662"</f>
        <v>1578729805838662</v>
      </c>
      <c r="C5474" t="s">
        <v>37</v>
      </c>
      <c r="D5474">
        <v>5.1065500000000004</v>
      </c>
      <c r="E5474">
        <v>0.52292470000000002</v>
      </c>
      <c r="F5474" t="s">
        <v>42</v>
      </c>
      <c r="G5474">
        <v>-246.14670000000001</v>
      </c>
      <c r="H5474">
        <v>1.0111190000000001</v>
      </c>
      <c r="I5474">
        <v>-62.669939999999997</v>
      </c>
      <c r="J5474">
        <v>-246.8997</v>
      </c>
      <c r="K5474">
        <v>1.1033649999999999</v>
      </c>
      <c r="L5474">
        <v>-62.723569999999903</v>
      </c>
      <c r="M5474">
        <v>0.99817500000000003</v>
      </c>
      <c r="N5474">
        <v>0</v>
      </c>
      <c r="O5474">
        <v>6.029851E-2</v>
      </c>
      <c r="P5474">
        <v>0.99258869999999899</v>
      </c>
      <c r="Q5474">
        <v>-3.2429930000000003E-2</v>
      </c>
      <c r="R5474">
        <v>0.1171151</v>
      </c>
      <c r="S5474">
        <v>2.9876399999999999</v>
      </c>
      <c r="T5474">
        <v>-0.30924239999999997</v>
      </c>
      <c r="U5474">
        <v>0.20913699999999999</v>
      </c>
      <c r="V5474">
        <v>-5.7033399999999998E-2</v>
      </c>
      <c r="W5474">
        <v>-2.9171450000000002E-2</v>
      </c>
      <c r="X5474">
        <v>0.997945999999999</v>
      </c>
      <c r="Y5474">
        <v>-9.8189369999999998E-3</v>
      </c>
      <c r="Z5474">
        <v>-5.7048919999999996E-3</v>
      </c>
      <c r="AA5474">
        <v>0.99993549999999998</v>
      </c>
      <c r="AB5474">
        <v>21</v>
      </c>
      <c r="AC5474">
        <v>0.75299999999998501</v>
      </c>
      <c r="AD5474">
        <v>-9.22459999999998E-2</v>
      </c>
      <c r="AE5474">
        <v>5.3629999999991101E-2</v>
      </c>
      <c r="AF5474">
        <v>-8.0078209823849205E-3</v>
      </c>
      <c r="AG5474">
        <v>-9.22459999999998E-2</v>
      </c>
      <c r="AH5474">
        <v>0.74375811105637102</v>
      </c>
      <c r="AI5474">
        <v>97.069706444902394</v>
      </c>
      <c r="AJ5474">
        <v>90.616862674747793</v>
      </c>
      <c r="AK5474">
        <v>0.74949955135078405</v>
      </c>
    </row>
    <row r="5475" spans="1:37" x14ac:dyDescent="0.2">
      <c r="A5475" t="str">
        <f>"20200111160325864"</f>
        <v>20200111160325864</v>
      </c>
      <c r="B5475" t="str">
        <f>"1578729805859202"</f>
        <v>1578729805859202</v>
      </c>
      <c r="C5475" t="s">
        <v>37</v>
      </c>
      <c r="D5475">
        <v>5.1337109999999999</v>
      </c>
      <c r="E5475">
        <v>0.52438039999999997</v>
      </c>
      <c r="F5475" t="s">
        <v>42</v>
      </c>
      <c r="G5475">
        <v>-246.14019999999999</v>
      </c>
      <c r="H5475">
        <v>1.0242519999999999</v>
      </c>
      <c r="I5475">
        <v>-62.67886</v>
      </c>
      <c r="J5475">
        <v>-246.7157</v>
      </c>
      <c r="K5475">
        <v>1.1034029999999999</v>
      </c>
      <c r="L5475">
        <v>-62.712009999999999</v>
      </c>
      <c r="M5475">
        <v>0.99815149999999997</v>
      </c>
      <c r="N5475">
        <v>0</v>
      </c>
      <c r="O5475">
        <v>6.068312E-2</v>
      </c>
      <c r="P5475">
        <v>0.99269580000000002</v>
      </c>
      <c r="Q5475">
        <v>-3.2930840000000003E-2</v>
      </c>
      <c r="R5475">
        <v>0.11606420000000001</v>
      </c>
      <c r="S5475">
        <v>2.9913789999999998</v>
      </c>
      <c r="T5475">
        <v>-0.31160709999999903</v>
      </c>
      <c r="U5475">
        <v>0.17663570000000001</v>
      </c>
      <c r="V5475">
        <v>-5.5593139999999999E-2</v>
      </c>
      <c r="W5475">
        <v>-2.961219E-2</v>
      </c>
      <c r="X5475">
        <v>0.99801430000000002</v>
      </c>
      <c r="Y5475">
        <v>1.406783E-3</v>
      </c>
      <c r="Z5475">
        <v>-6.3660909999999999E-3</v>
      </c>
      <c r="AA5475">
        <v>0.9999787</v>
      </c>
      <c r="AB5475">
        <v>21</v>
      </c>
      <c r="AC5475">
        <v>0.57550000000000501</v>
      </c>
      <c r="AD5475">
        <v>-7.9151000000000193E-2</v>
      </c>
      <c r="AE5475">
        <v>3.3149999999999097E-2</v>
      </c>
      <c r="AF5475">
        <v>1.80047888505651E-3</v>
      </c>
      <c r="AG5475">
        <v>-7.9151000000000193E-2</v>
      </c>
      <c r="AH5475">
        <v>0.56578423906471598</v>
      </c>
      <c r="AI5475">
        <v>97.963731066784305</v>
      </c>
      <c r="AJ5475">
        <v>89.817669906887602</v>
      </c>
      <c r="AK5475">
        <v>0.57129670723648895</v>
      </c>
    </row>
    <row r="5476" spans="1:37" x14ac:dyDescent="0.2">
      <c r="A5476" t="str">
        <f>"20200111160325876"</f>
        <v>20200111160325876</v>
      </c>
      <c r="B5476" t="str">
        <f>"1578729805868961"</f>
        <v>1578729805868961</v>
      </c>
      <c r="C5476" t="s">
        <v>37</v>
      </c>
      <c r="D5476">
        <v>5.1282990000000002</v>
      </c>
      <c r="E5476">
        <v>0.52460660000000003</v>
      </c>
      <c r="F5476" t="s">
        <v>42</v>
      </c>
      <c r="G5476">
        <v>-245.95060000000001</v>
      </c>
      <c r="H5476">
        <v>1.0234540000000001</v>
      </c>
      <c r="I5476">
        <v>-62.670780000000001</v>
      </c>
      <c r="J5476">
        <v>-246.5933</v>
      </c>
      <c r="K5476">
        <v>1.103437</v>
      </c>
      <c r="L5476">
        <v>-62.704250000000002</v>
      </c>
      <c r="M5476">
        <v>0.99813560000000001</v>
      </c>
      <c r="N5476">
        <v>0</v>
      </c>
      <c r="O5476">
        <v>6.0939180000000003E-2</v>
      </c>
      <c r="P5476">
        <v>0.99271969999999998</v>
      </c>
      <c r="Q5476">
        <v>-3.3412789999999998E-2</v>
      </c>
      <c r="R5476">
        <v>0.1157218</v>
      </c>
      <c r="S5476">
        <v>2.9927830000000002</v>
      </c>
      <c r="T5476">
        <v>-0.31268800000000002</v>
      </c>
      <c r="U5476">
        <v>0.16177369999999999</v>
      </c>
      <c r="V5476">
        <v>-5.4993340000000002E-2</v>
      </c>
      <c r="W5476">
        <v>-3.0007240000000001E-2</v>
      </c>
      <c r="X5476">
        <v>0.99803569999999997</v>
      </c>
      <c r="Y5476">
        <v>6.6092039999999996E-3</v>
      </c>
      <c r="Z5476">
        <v>-6.6836489999999998E-3</v>
      </c>
      <c r="AA5476">
        <v>0.99995579999999995</v>
      </c>
      <c r="AB5476">
        <v>21</v>
      </c>
      <c r="AC5476">
        <v>0.64269999999998995</v>
      </c>
      <c r="AD5476">
        <v>-7.9982999999999901E-2</v>
      </c>
      <c r="AE5476">
        <v>3.3469999999994102E-2</v>
      </c>
      <c r="AF5476">
        <v>5.6704630013403503E-3</v>
      </c>
      <c r="AG5476">
        <v>-7.9982999999999901E-2</v>
      </c>
      <c r="AH5476">
        <v>0.63375646364851401</v>
      </c>
      <c r="AI5476">
        <v>97.192679721547293</v>
      </c>
      <c r="AJ5476">
        <v>89.4873662880739</v>
      </c>
      <c r="AK5476">
        <v>0.63880880524294603</v>
      </c>
    </row>
    <row r="5477" spans="1:37" x14ac:dyDescent="0.2">
      <c r="A5477" t="str">
        <f>"20200111160325887"</f>
        <v>20200111160325887</v>
      </c>
      <c r="B5477" t="str">
        <f>"1578729805878721"</f>
        <v>1578729805878721</v>
      </c>
      <c r="C5477" t="s">
        <v>37</v>
      </c>
      <c r="D5477">
        <v>5.1620220000000003</v>
      </c>
      <c r="E5477">
        <v>0.52502669999999996</v>
      </c>
      <c r="F5477" t="s">
        <v>42</v>
      </c>
      <c r="G5477">
        <v>-245.76310000000001</v>
      </c>
      <c r="H5477">
        <v>1.016405</v>
      </c>
      <c r="I5477">
        <v>-62.660359999999997</v>
      </c>
      <c r="J5477">
        <v>-246.4846</v>
      </c>
      <c r="K5477">
        <v>1.103469</v>
      </c>
      <c r="L5477">
        <v>-62.697389999999999</v>
      </c>
      <c r="M5477">
        <v>0.99812129999999999</v>
      </c>
      <c r="N5477">
        <v>0</v>
      </c>
      <c r="O5477">
        <v>6.1166720000000001E-2</v>
      </c>
      <c r="P5477">
        <v>0.99276149999999996</v>
      </c>
      <c r="Q5477">
        <v>-3.423259E-2</v>
      </c>
      <c r="R5477">
        <v>0.115119899999999</v>
      </c>
      <c r="S5477">
        <v>2.9929199999999998</v>
      </c>
      <c r="T5477">
        <v>-0.313747</v>
      </c>
      <c r="U5477">
        <v>0.1588745</v>
      </c>
      <c r="V5477">
        <v>-5.4161689999999998E-2</v>
      </c>
      <c r="W5477">
        <v>-3.0727529999999999E-2</v>
      </c>
      <c r="X5477">
        <v>0.99805929999999998</v>
      </c>
      <c r="Y5477">
        <v>7.7953379999999997E-3</v>
      </c>
      <c r="Z5477">
        <v>-6.7917559999999899E-3</v>
      </c>
      <c r="AA5477">
        <v>0.99994649999999996</v>
      </c>
      <c r="AB5477">
        <v>21</v>
      </c>
      <c r="AC5477">
        <v>0.72149999999999104</v>
      </c>
      <c r="AD5477">
        <v>-8.7064000000000002E-2</v>
      </c>
      <c r="AE5477">
        <v>3.7030000000008501E-2</v>
      </c>
      <c r="AF5477">
        <v>7.0687408902881197E-3</v>
      </c>
      <c r="AG5477">
        <v>-8.7064000000000002E-2</v>
      </c>
      <c r="AH5477">
        <v>0.71207247237045601</v>
      </c>
      <c r="AI5477">
        <v>96.9705265302415</v>
      </c>
      <c r="AJ5477">
        <v>89.431243683641796</v>
      </c>
      <c r="AK5477">
        <v>0.71741014287612903</v>
      </c>
    </row>
    <row r="5478" spans="1:37" x14ac:dyDescent="0.2">
      <c r="A5478" t="str">
        <f>"20200111160325898"</f>
        <v>20200111160325898</v>
      </c>
      <c r="B5478" t="str">
        <f>"1578729805888480"</f>
        <v>1578729805888480</v>
      </c>
      <c r="C5478" t="s">
        <v>37</v>
      </c>
      <c r="D5478">
        <v>5.1162279999999898</v>
      </c>
      <c r="E5478">
        <v>0.52522519999999995</v>
      </c>
      <c r="F5478" t="s">
        <v>42</v>
      </c>
      <c r="G5478">
        <v>-245.75819999999999</v>
      </c>
      <c r="H5478">
        <v>1.0266879999999901</v>
      </c>
      <c r="I5478">
        <v>-62.660269999999997</v>
      </c>
      <c r="J5478">
        <v>-246.38409999999999</v>
      </c>
      <c r="K5478">
        <v>1.103504</v>
      </c>
      <c r="L5478">
        <v>-62.690980000000003</v>
      </c>
      <c r="M5478">
        <v>0.99810779999999999</v>
      </c>
      <c r="N5478">
        <v>0</v>
      </c>
      <c r="O5478">
        <v>6.1378059999999998E-2</v>
      </c>
      <c r="P5478">
        <v>0.99273040000000001</v>
      </c>
      <c r="Q5478">
        <v>-3.4907269999999997E-2</v>
      </c>
      <c r="R5478">
        <v>0.1151855</v>
      </c>
      <c r="S5478">
        <v>2.993134</v>
      </c>
      <c r="T5478">
        <v>-0.31632259999999901</v>
      </c>
      <c r="U5478">
        <v>0.1536255</v>
      </c>
      <c r="V5478">
        <v>-5.4017509999999998E-2</v>
      </c>
      <c r="W5478">
        <v>-3.1276760000000001E-2</v>
      </c>
      <c r="X5478">
        <v>0.99804999999999999</v>
      </c>
      <c r="Y5478">
        <v>9.7415390000000004E-3</v>
      </c>
      <c r="Z5478">
        <v>-6.9718139999999998E-3</v>
      </c>
      <c r="AA5478">
        <v>0.99992819999999905</v>
      </c>
      <c r="AB5478">
        <v>21</v>
      </c>
      <c r="AC5478">
        <v>0.62590000000000101</v>
      </c>
      <c r="AD5478">
        <v>-7.6816000000000204E-2</v>
      </c>
      <c r="AE5478">
        <v>3.0710000000006201E-2</v>
      </c>
      <c r="AF5478">
        <v>7.6497432518366102E-3</v>
      </c>
      <c r="AG5478">
        <v>-7.6816000000000204E-2</v>
      </c>
      <c r="AH5478">
        <v>0.61732873265877597</v>
      </c>
      <c r="AI5478">
        <v>97.092482186747105</v>
      </c>
      <c r="AJ5478">
        <v>89.290045080598503</v>
      </c>
      <c r="AK5478">
        <v>0.62213662534358904</v>
      </c>
    </row>
    <row r="5479" spans="1:37" x14ac:dyDescent="0.2">
      <c r="A5479" t="str">
        <f>"20200111160325909"</f>
        <v>20200111160325909</v>
      </c>
      <c r="B5479" t="str">
        <f>"1578729805899217"</f>
        <v>1578729805899217</v>
      </c>
      <c r="C5479" t="s">
        <v>37</v>
      </c>
      <c r="D5479">
        <v>5.1160930000000002</v>
      </c>
      <c r="E5479">
        <v>0.5254143</v>
      </c>
      <c r="F5479" t="s">
        <v>42</v>
      </c>
      <c r="G5479">
        <v>-245.57130000000001</v>
      </c>
      <c r="H5479">
        <v>1.0172239999999999</v>
      </c>
      <c r="I5479">
        <v>-62.649880000000003</v>
      </c>
      <c r="J5479">
        <v>-246.27459999999999</v>
      </c>
      <c r="K5479">
        <v>1.103539</v>
      </c>
      <c r="L5479">
        <v>-62.683990000000001</v>
      </c>
      <c r="M5479">
        <v>0.99809319999999901</v>
      </c>
      <c r="N5479">
        <v>0</v>
      </c>
      <c r="O5479">
        <v>6.1607950000000002E-2</v>
      </c>
      <c r="P5479">
        <v>0.99272739999999904</v>
      </c>
      <c r="Q5479">
        <v>-3.5702589999999999E-2</v>
      </c>
      <c r="R5479">
        <v>0.114968899999999</v>
      </c>
      <c r="S5479">
        <v>2.9931179999999999</v>
      </c>
      <c r="T5479">
        <v>-0.31769130000000001</v>
      </c>
      <c r="U5479">
        <v>0.15216060000000001</v>
      </c>
      <c r="V5479">
        <v>-5.3571430000000003E-2</v>
      </c>
      <c r="W5479">
        <v>-3.1928089999999999E-2</v>
      </c>
      <c r="X5479">
        <v>0.99805339999999998</v>
      </c>
      <c r="Y5479">
        <v>1.045104E-2</v>
      </c>
      <c r="Z5479">
        <v>-7.0637510000000001E-3</v>
      </c>
      <c r="AA5479">
        <v>0.99992039999999904</v>
      </c>
      <c r="AB5479">
        <v>21</v>
      </c>
      <c r="AC5479">
        <v>0.70329999999998405</v>
      </c>
      <c r="AD5479">
        <v>-8.63150000000001E-2</v>
      </c>
      <c r="AE5479">
        <v>3.4109999999998301E-2</v>
      </c>
      <c r="AF5479">
        <v>9.1465345903211995E-3</v>
      </c>
      <c r="AG5479">
        <v>-8.63150000000001E-2</v>
      </c>
      <c r="AH5479">
        <v>0.69364214430049997</v>
      </c>
      <c r="AI5479">
        <v>97.092663116810797</v>
      </c>
      <c r="AJ5479">
        <v>89.244527653348698</v>
      </c>
      <c r="AK5479">
        <v>0.69905175965003297</v>
      </c>
    </row>
    <row r="5480" spans="1:37" x14ac:dyDescent="0.2">
      <c r="A5480" t="str">
        <f>"20200111160325921"</f>
        <v>20200111160325921</v>
      </c>
      <c r="B5480" t="str">
        <f>"1578729805918737"</f>
        <v>1578729805918737</v>
      </c>
      <c r="C5480" t="s">
        <v>37</v>
      </c>
      <c r="D5480">
        <v>5.1708699999999999</v>
      </c>
      <c r="E5480">
        <v>0.52552909999999997</v>
      </c>
      <c r="F5480" t="s">
        <v>42</v>
      </c>
      <c r="G5480">
        <v>-245.38329999999999</v>
      </c>
      <c r="H5480">
        <v>1.0086299999999999</v>
      </c>
      <c r="I5480">
        <v>-62.639479999999999</v>
      </c>
      <c r="J5480">
        <v>-246.1585</v>
      </c>
      <c r="K5480">
        <v>1.103575</v>
      </c>
      <c r="L5480">
        <v>-62.676540000000003</v>
      </c>
      <c r="M5480">
        <v>0.99807729999999995</v>
      </c>
      <c r="N5480">
        <v>0</v>
      </c>
      <c r="O5480">
        <v>6.1852900000000002E-2</v>
      </c>
      <c r="P5480">
        <v>0.99271569999999998</v>
      </c>
      <c r="Q5480">
        <v>-3.6399979999999998E-2</v>
      </c>
      <c r="R5480">
        <v>0.1148512</v>
      </c>
      <c r="S5480">
        <v>2.9931640000000002</v>
      </c>
      <c r="T5480">
        <v>-0.31868959999999902</v>
      </c>
      <c r="U5480">
        <v>0.14981079999999999</v>
      </c>
      <c r="V5480">
        <v>-5.3208869999999998E-2</v>
      </c>
      <c r="W5480">
        <v>-3.2441539999999998E-2</v>
      </c>
      <c r="X5480">
        <v>0.99805630000000001</v>
      </c>
      <c r="Y5480">
        <v>1.1470620000000001E-2</v>
      </c>
      <c r="Z5480">
        <v>-7.1659239999999997E-3</v>
      </c>
      <c r="AA5480">
        <v>0.99990849999999898</v>
      </c>
      <c r="AB5480">
        <v>21</v>
      </c>
      <c r="AC5480">
        <v>0.77520000000001199</v>
      </c>
      <c r="AD5480">
        <v>-9.4945000000000002E-2</v>
      </c>
      <c r="AE5480">
        <v>3.70599999999967E-2</v>
      </c>
      <c r="AF5480">
        <v>1.0798098995461599E-2</v>
      </c>
      <c r="AG5480">
        <v>-9.4945000000000002E-2</v>
      </c>
      <c r="AH5480">
        <v>0.7645649766489</v>
      </c>
      <c r="AI5480">
        <v>97.078150740753301</v>
      </c>
      <c r="AJ5480">
        <v>89.190854423446098</v>
      </c>
      <c r="AK5480">
        <v>0.77051330649447503</v>
      </c>
    </row>
    <row r="5481" spans="1:37" x14ac:dyDescent="0.2">
      <c r="A5481" t="str">
        <f>"20200111160325933"</f>
        <v>20200111160325933</v>
      </c>
      <c r="B5481" t="str">
        <f>"1578729805928497"</f>
        <v>1578729805928497</v>
      </c>
      <c r="C5481" t="s">
        <v>37</v>
      </c>
      <c r="D5481">
        <v>5.0855030000000001</v>
      </c>
      <c r="E5481">
        <v>0.52560850000000003</v>
      </c>
      <c r="F5481" t="s">
        <v>42</v>
      </c>
      <c r="G5481">
        <v>-245.37780000000001</v>
      </c>
      <c r="H5481">
        <v>1.020081</v>
      </c>
      <c r="I5481">
        <v>-62.637929999999997</v>
      </c>
      <c r="J5481">
        <v>-246.05109999999999</v>
      </c>
      <c r="K5481">
        <v>1.1036090000000001</v>
      </c>
      <c r="L5481">
        <v>-62.669649999999997</v>
      </c>
      <c r="M5481">
        <v>0.99806240000000002</v>
      </c>
      <c r="N5481">
        <v>0</v>
      </c>
      <c r="O5481">
        <v>6.2080030000000001E-2</v>
      </c>
      <c r="P5481">
        <v>0.99266540000000003</v>
      </c>
      <c r="Q5481">
        <v>-3.7256209999999998E-2</v>
      </c>
      <c r="R5481">
        <v>0.11501069999999999</v>
      </c>
      <c r="S5481">
        <v>2.993134</v>
      </c>
      <c r="T5481">
        <v>-0.32009349999999998</v>
      </c>
      <c r="U5481">
        <v>0.1484375</v>
      </c>
      <c r="V5481">
        <v>-5.3143910000000003E-2</v>
      </c>
      <c r="W5481">
        <v>-3.3118950000000001E-2</v>
      </c>
      <c r="X5481">
        <v>0.99803750000000002</v>
      </c>
      <c r="Y5481">
        <v>1.2146560000000001E-2</v>
      </c>
      <c r="Z5481">
        <v>-7.2576669999999998E-3</v>
      </c>
      <c r="AA5481">
        <v>0.99989989999999995</v>
      </c>
      <c r="AB5481">
        <v>21</v>
      </c>
      <c r="AC5481">
        <v>0.67329999999998302</v>
      </c>
      <c r="AD5481">
        <v>-8.3528000000000005E-2</v>
      </c>
      <c r="AE5481">
        <v>3.1719999999992803E-2</v>
      </c>
      <c r="AF5481">
        <v>9.9866761586099098E-3</v>
      </c>
      <c r="AG5481">
        <v>-8.3528000000000005E-2</v>
      </c>
      <c r="AH5481">
        <v>0.66377738863538605</v>
      </c>
      <c r="AI5481">
        <v>97.171447883215606</v>
      </c>
      <c r="AJ5481">
        <v>89.138037484854394</v>
      </c>
      <c r="AK5481">
        <v>0.66908675233358905</v>
      </c>
    </row>
    <row r="5482" spans="1:37" x14ac:dyDescent="0.2">
      <c r="A5482" t="str">
        <f>"20200111160325944"</f>
        <v>20200111160325944</v>
      </c>
      <c r="B5482" t="str">
        <f>"1578729805939233"</f>
        <v>1578729805939233</v>
      </c>
      <c r="C5482" t="s">
        <v>37</v>
      </c>
      <c r="D5482">
        <v>5.1551619999999998</v>
      </c>
      <c r="E5482">
        <v>0.52562869999999995</v>
      </c>
      <c r="F5482" t="s">
        <v>42</v>
      </c>
      <c r="G5482">
        <v>-245.18950000000001</v>
      </c>
      <c r="H5482">
        <v>1.0111569999999901</v>
      </c>
      <c r="I5482">
        <v>-62.627029999999998</v>
      </c>
      <c r="J5482">
        <v>-245.93950000000001</v>
      </c>
      <c r="K5482">
        <v>1.1036440000000001</v>
      </c>
      <c r="L5482">
        <v>-62.66245</v>
      </c>
      <c r="M5482">
        <v>0.99804689999999996</v>
      </c>
      <c r="N5482">
        <v>0</v>
      </c>
      <c r="O5482">
        <v>6.2316199999999898E-2</v>
      </c>
      <c r="P5482">
        <v>0.99266200000000004</v>
      </c>
      <c r="Q5482">
        <v>-3.7410150000000003E-2</v>
      </c>
      <c r="R5482">
        <v>0.1149901</v>
      </c>
      <c r="S5482">
        <v>2.99295</v>
      </c>
      <c r="T5482">
        <v>-0.32118419999999998</v>
      </c>
      <c r="U5482">
        <v>0.14813229999999999</v>
      </c>
      <c r="V5482">
        <v>-5.2887490000000002E-2</v>
      </c>
      <c r="W5482">
        <v>-3.3069729999999999E-2</v>
      </c>
      <c r="X5482">
        <v>0.99805279999999996</v>
      </c>
      <c r="Y5482">
        <v>1.2475750000000001E-2</v>
      </c>
      <c r="Z5482">
        <v>-7.3255300000000002E-3</v>
      </c>
      <c r="AA5482">
        <v>0.99989530000000004</v>
      </c>
      <c r="AB5482">
        <v>22</v>
      </c>
      <c r="AC5482">
        <v>0.75</v>
      </c>
      <c r="AD5482">
        <v>-9.2487000000000194E-2</v>
      </c>
      <c r="AE5482">
        <v>3.54199999999949E-2</v>
      </c>
      <c r="AF5482">
        <v>1.1216253259238E-2</v>
      </c>
      <c r="AG5482">
        <v>-9.2487000000000194E-2</v>
      </c>
      <c r="AH5482">
        <v>0.73952871055425595</v>
      </c>
      <c r="AI5482">
        <v>97.1277073014395</v>
      </c>
      <c r="AJ5482">
        <v>89.131075378933005</v>
      </c>
      <c r="AK5482">
        <v>0.74537397542456196</v>
      </c>
    </row>
    <row r="5483" spans="1:37" x14ac:dyDescent="0.2">
      <c r="A5483" t="str">
        <f>"20200111160325954"</f>
        <v>20200111160325954</v>
      </c>
      <c r="B5483" t="str">
        <f>"1578729805948992"</f>
        <v>1578729805948992</v>
      </c>
      <c r="C5483" t="s">
        <v>37</v>
      </c>
      <c r="D5483">
        <v>5.152234</v>
      </c>
      <c r="E5483">
        <v>0.5257946</v>
      </c>
      <c r="F5483" t="s">
        <v>42</v>
      </c>
      <c r="G5483">
        <v>-245.1841</v>
      </c>
      <c r="H5483">
        <v>1.022624</v>
      </c>
      <c r="I5483">
        <v>-62.625169999999997</v>
      </c>
      <c r="J5483">
        <v>-245.8374</v>
      </c>
      <c r="K5483">
        <v>1.1036790000000001</v>
      </c>
      <c r="L5483">
        <v>-62.655819999999999</v>
      </c>
      <c r="M5483">
        <v>0.99803240000000004</v>
      </c>
      <c r="N5483">
        <v>0</v>
      </c>
      <c r="O5483">
        <v>6.2532370000000004E-2</v>
      </c>
      <c r="P5483">
        <v>0.99262240000000002</v>
      </c>
      <c r="Q5483">
        <v>-3.7850910000000001E-2</v>
      </c>
      <c r="R5483">
        <v>0.1151875</v>
      </c>
      <c r="S5483">
        <v>2.992966</v>
      </c>
      <c r="T5483">
        <v>-0.32095269999999998</v>
      </c>
      <c r="U5483">
        <v>0.1477966</v>
      </c>
      <c r="V5483">
        <v>-5.2869939999999997E-2</v>
      </c>
      <c r="W5483">
        <v>-3.3298889999999998E-2</v>
      </c>
      <c r="X5483">
        <v>0.99804599999999899</v>
      </c>
      <c r="Y5483">
        <v>1.2802030000000001E-2</v>
      </c>
      <c r="Z5483">
        <v>-7.3607569999999999E-3</v>
      </c>
      <c r="AA5483">
        <v>0.99989099999999997</v>
      </c>
      <c r="AB5483">
        <v>22</v>
      </c>
      <c r="AC5483">
        <v>0.65330000000000099</v>
      </c>
      <c r="AD5483">
        <v>-8.1055000000000099E-2</v>
      </c>
      <c r="AE5483">
        <v>3.0650000000001398E-2</v>
      </c>
      <c r="AF5483">
        <v>1.0107564205565901E-2</v>
      </c>
      <c r="AG5483">
        <v>-8.1055000000000099E-2</v>
      </c>
      <c r="AH5483">
        <v>0.64404578567384796</v>
      </c>
      <c r="AI5483">
        <v>97.172250434769097</v>
      </c>
      <c r="AJ5483">
        <v>89.100881886410406</v>
      </c>
      <c r="AK5483">
        <v>0.64920493676759305</v>
      </c>
    </row>
    <row r="5484" spans="1:37" x14ac:dyDescent="0.2">
      <c r="A5484" t="str">
        <f>"20200111160325966"</f>
        <v>20200111160325966</v>
      </c>
      <c r="B5484" t="str">
        <f>"1578729805958752"</f>
        <v>1578729805958752</v>
      </c>
      <c r="C5484" t="s">
        <v>37</v>
      </c>
      <c r="D5484">
        <v>5.1310750000000001</v>
      </c>
      <c r="E5484">
        <v>0.52584759999999997</v>
      </c>
      <c r="F5484" t="s">
        <v>42</v>
      </c>
      <c r="G5484">
        <v>-244.9957</v>
      </c>
      <c r="H5484">
        <v>1.01325</v>
      </c>
      <c r="I5484">
        <v>-62.6145</v>
      </c>
      <c r="J5484">
        <v>-245.7235</v>
      </c>
      <c r="K5484">
        <v>1.1037219999999901</v>
      </c>
      <c r="L5484">
        <v>-62.648409999999998</v>
      </c>
      <c r="M5484">
        <v>0.99801609999999996</v>
      </c>
      <c r="N5484">
        <v>0</v>
      </c>
      <c r="O5484">
        <v>6.2773200000000001E-2</v>
      </c>
      <c r="P5484">
        <v>0.99261219999999994</v>
      </c>
      <c r="Q5484">
        <v>-3.8000060000000002E-2</v>
      </c>
      <c r="R5484">
        <v>0.1152273</v>
      </c>
      <c r="S5484">
        <v>2.9929809999999999</v>
      </c>
      <c r="T5484">
        <v>-0.32157929999999901</v>
      </c>
      <c r="U5484">
        <v>0.1470032</v>
      </c>
      <c r="V5484">
        <v>-5.2669779999999999E-2</v>
      </c>
      <c r="W5484">
        <v>-3.318981E-2</v>
      </c>
      <c r="X5484">
        <v>0.99806030000000001</v>
      </c>
      <c r="Y5484">
        <v>1.330214E-2</v>
      </c>
      <c r="Z5484">
        <v>-7.4275809999999999E-3</v>
      </c>
      <c r="AA5484">
        <v>0.99988390000000005</v>
      </c>
      <c r="AB5484">
        <v>22</v>
      </c>
      <c r="AC5484">
        <v>0.727800000000002</v>
      </c>
      <c r="AD5484">
        <v>-9.0471999999999803E-2</v>
      </c>
      <c r="AE5484">
        <v>3.3909999999998698E-2</v>
      </c>
      <c r="AF5484">
        <v>1.16638992475625E-2</v>
      </c>
      <c r="AG5484">
        <v>-9.0471999999999803E-2</v>
      </c>
      <c r="AH5484">
        <v>0.71743104657956602</v>
      </c>
      <c r="AI5484">
        <v>97.186434029488495</v>
      </c>
      <c r="AJ5484">
        <v>89.068574838710703</v>
      </c>
      <c r="AK5484">
        <v>0.72320711827657602</v>
      </c>
    </row>
    <row r="5485" spans="1:37" x14ac:dyDescent="0.2">
      <c r="A5485" t="str">
        <f>"20200111160325977"</f>
        <v>20200111160325977</v>
      </c>
      <c r="B5485" t="str">
        <f>"1578729805968513"</f>
        <v>1578729805968513</v>
      </c>
      <c r="C5485" t="s">
        <v>37</v>
      </c>
      <c r="D5485">
        <v>5.1563549999999996</v>
      </c>
      <c r="E5485">
        <v>0.52585780000000004</v>
      </c>
      <c r="F5485" t="s">
        <v>42</v>
      </c>
      <c r="G5485">
        <v>-244.99019999999999</v>
      </c>
      <c r="H5485">
        <v>1.024832</v>
      </c>
      <c r="I5485">
        <v>-62.612499999999997</v>
      </c>
      <c r="J5485">
        <v>-245.62219999999999</v>
      </c>
      <c r="K5485">
        <v>1.103772</v>
      </c>
      <c r="L5485">
        <v>-62.641750000000002</v>
      </c>
      <c r="M5485">
        <v>0.99800100000000003</v>
      </c>
      <c r="N5485">
        <v>0</v>
      </c>
      <c r="O5485">
        <v>6.2990099999999993E-2</v>
      </c>
      <c r="P5485">
        <v>0.99258359999999901</v>
      </c>
      <c r="Q5485">
        <v>-3.8397239999999999E-2</v>
      </c>
      <c r="R5485">
        <v>0.115341</v>
      </c>
      <c r="S5485">
        <v>2.992966</v>
      </c>
      <c r="T5485">
        <v>-0.32205840000000002</v>
      </c>
      <c r="U5485">
        <v>0.14666750000000001</v>
      </c>
      <c r="V5485">
        <v>-5.2568200000000002E-2</v>
      </c>
      <c r="W5485">
        <v>-3.3305830000000002E-2</v>
      </c>
      <c r="X5485">
        <v>0.9980618</v>
      </c>
      <c r="Y5485">
        <v>1.362676E-2</v>
      </c>
      <c r="Z5485">
        <v>-7.4792679999999999E-3</v>
      </c>
      <c r="AA5485">
        <v>0.99987919999999997</v>
      </c>
      <c r="AB5485">
        <v>22</v>
      </c>
      <c r="AC5485">
        <v>0.632000000000005</v>
      </c>
      <c r="AD5485">
        <v>-7.8939999999999996E-2</v>
      </c>
      <c r="AE5485">
        <v>2.9250000000004599E-2</v>
      </c>
      <c r="AF5485">
        <v>1.04555815775156E-2</v>
      </c>
      <c r="AG5485">
        <v>-7.8939999999999996E-2</v>
      </c>
      <c r="AH5485">
        <v>0.622890284206708</v>
      </c>
      <c r="AI5485">
        <v>97.221686540566793</v>
      </c>
      <c r="AJ5485">
        <v>89.038346786828399</v>
      </c>
      <c r="AK5485">
        <v>0.62795951218628498</v>
      </c>
    </row>
    <row r="5486" spans="1:37" x14ac:dyDescent="0.2">
      <c r="A5486" t="str">
        <f>"20200111160325989"</f>
        <v>20200111160325989</v>
      </c>
      <c r="B5486" t="str">
        <f>"1578729805979248"</f>
        <v>1578729805979248</v>
      </c>
      <c r="C5486" t="s">
        <v>37</v>
      </c>
      <c r="D5486">
        <v>5.2696249999999996</v>
      </c>
      <c r="E5486">
        <v>0.52579770000000003</v>
      </c>
      <c r="F5486" t="s">
        <v>42</v>
      </c>
      <c r="G5486">
        <v>-244.8021</v>
      </c>
      <c r="H5486">
        <v>1.015196</v>
      </c>
      <c r="I5486">
        <v>-62.601579999999998</v>
      </c>
      <c r="J5486">
        <v>-245.51130000000001</v>
      </c>
      <c r="K5486">
        <v>1.103828</v>
      </c>
      <c r="L5486">
        <v>-62.63449</v>
      </c>
      <c r="M5486">
        <v>0.99798430000000005</v>
      </c>
      <c r="N5486">
        <v>0</v>
      </c>
      <c r="O5486">
        <v>6.3227720000000001E-2</v>
      </c>
      <c r="P5486">
        <v>0.99255280000000001</v>
      </c>
      <c r="Q5486">
        <v>-3.8694480000000003E-2</v>
      </c>
      <c r="R5486">
        <v>0.1155079</v>
      </c>
      <c r="S5486">
        <v>2.9928590000000002</v>
      </c>
      <c r="T5486">
        <v>-0.32326519999999997</v>
      </c>
      <c r="U5486">
        <v>0.1468506</v>
      </c>
      <c r="V5486">
        <v>-5.2498290000000003E-2</v>
      </c>
      <c r="W5486">
        <v>-3.3281020000000001E-2</v>
      </c>
      <c r="X5486">
        <v>0.99806629999999996</v>
      </c>
      <c r="Y5486">
        <v>1.379649E-2</v>
      </c>
      <c r="Z5486">
        <v>-7.5420490000000003E-3</v>
      </c>
      <c r="AA5486">
        <v>0.9998764</v>
      </c>
      <c r="AB5486">
        <v>22</v>
      </c>
      <c r="AC5486">
        <v>0.70920000000000905</v>
      </c>
      <c r="AD5486">
        <v>-8.8632000000000002E-2</v>
      </c>
      <c r="AE5486">
        <v>3.2909999999994E-2</v>
      </c>
      <c r="AF5486">
        <v>1.1813498731057E-2</v>
      </c>
      <c r="AG5486">
        <v>-8.8632000000000002E-2</v>
      </c>
      <c r="AH5486">
        <v>0.69896830569352697</v>
      </c>
      <c r="AI5486">
        <v>97.2257458585064</v>
      </c>
      <c r="AJ5486">
        <v>89.031716925880005</v>
      </c>
      <c r="AK5486">
        <v>0.70466437581329999</v>
      </c>
    </row>
    <row r="5487" spans="1:37" x14ac:dyDescent="0.2">
      <c r="A5487" t="str">
        <f>"20200111160326003"</f>
        <v>20200111160326003</v>
      </c>
      <c r="B5487" t="str">
        <f>"1578729805998768"</f>
        <v>1578729805998768</v>
      </c>
      <c r="C5487" t="s">
        <v>37</v>
      </c>
      <c r="D5487">
        <v>5.1504640000000004</v>
      </c>
      <c r="E5487">
        <v>0.5258718</v>
      </c>
      <c r="F5487" t="s">
        <v>42</v>
      </c>
      <c r="G5487">
        <v>-244.79679999999999</v>
      </c>
      <c r="H5487">
        <v>1.0263990000000001</v>
      </c>
      <c r="I5487">
        <v>-62.59928</v>
      </c>
      <c r="J5487">
        <v>-245.37979999999999</v>
      </c>
      <c r="K5487">
        <v>1.1039049999999999</v>
      </c>
      <c r="L5487">
        <v>-62.62585</v>
      </c>
      <c r="M5487">
        <v>0.99796439999999997</v>
      </c>
      <c r="N5487">
        <v>0</v>
      </c>
      <c r="O5487">
        <v>6.3497979999999996E-2</v>
      </c>
      <c r="P5487">
        <v>0.99248530000000001</v>
      </c>
      <c r="Q5487">
        <v>-3.9576220000000002E-2</v>
      </c>
      <c r="R5487">
        <v>0.1157871</v>
      </c>
      <c r="S5487">
        <v>2.9926759999999999</v>
      </c>
      <c r="T5487">
        <v>-0.32430140000000002</v>
      </c>
      <c r="U5487">
        <v>0.14776610000000001</v>
      </c>
      <c r="V5487">
        <v>-5.251041E-2</v>
      </c>
      <c r="W5487">
        <v>-3.3696869999999997E-2</v>
      </c>
      <c r="X5487">
        <v>0.99805169999999999</v>
      </c>
      <c r="Y5487">
        <v>1.375506E-2</v>
      </c>
      <c r="Z5487">
        <v>-7.5933679999999996E-3</v>
      </c>
      <c r="AA5487">
        <v>0.9998766</v>
      </c>
      <c r="AB5487">
        <v>22</v>
      </c>
      <c r="AC5487">
        <v>0.58299999999999796</v>
      </c>
      <c r="AD5487">
        <v>-7.7505999999999797E-2</v>
      </c>
      <c r="AE5487">
        <v>2.6569999999992398E-2</v>
      </c>
      <c r="AF5487">
        <v>1.0321548002864601E-2</v>
      </c>
      <c r="AG5487">
        <v>-7.7505999999999797E-2</v>
      </c>
      <c r="AH5487">
        <v>0.57339742645554104</v>
      </c>
      <c r="AI5487">
        <v>97.696768806383105</v>
      </c>
      <c r="AJ5487">
        <v>88.968747940441801</v>
      </c>
      <c r="AK5487">
        <v>0.57870400297130598</v>
      </c>
    </row>
    <row r="5488" spans="1:37" x14ac:dyDescent="0.2">
      <c r="A5488" t="str">
        <f>"20200111160326018"</f>
        <v>20200111160326018</v>
      </c>
      <c r="B5488" t="str">
        <f>"1578729806008530"</f>
        <v>1578729806008530</v>
      </c>
      <c r="C5488" t="s">
        <v>37</v>
      </c>
      <c r="D5488">
        <v>5.1791619999999998</v>
      </c>
      <c r="E5488">
        <v>0.52587680000000003</v>
      </c>
      <c r="F5488" t="s">
        <v>42</v>
      </c>
      <c r="G5488">
        <v>-244.60749999999999</v>
      </c>
      <c r="H5488">
        <v>1.0197879999999999</v>
      </c>
      <c r="I5488">
        <v>-62.587739999999997</v>
      </c>
      <c r="J5488">
        <v>-245.23779999999999</v>
      </c>
      <c r="K5488">
        <v>1.1039889999999899</v>
      </c>
      <c r="L5488">
        <v>-62.616419999999998</v>
      </c>
      <c r="M5488">
        <v>0.99794249999999995</v>
      </c>
      <c r="N5488">
        <v>0</v>
      </c>
      <c r="O5488">
        <v>6.3790169999999993E-2</v>
      </c>
      <c r="P5488">
        <v>0.9923959</v>
      </c>
      <c r="Q5488">
        <v>-4.0459910000000002E-2</v>
      </c>
      <c r="R5488">
        <v>0.116249399999999</v>
      </c>
      <c r="S5488">
        <v>2.99246199999999</v>
      </c>
      <c r="T5488">
        <v>-0.32594990000000001</v>
      </c>
      <c r="U5488">
        <v>0.14791869999999999</v>
      </c>
      <c r="V5488">
        <v>-5.2684920000000003E-2</v>
      </c>
      <c r="W5488">
        <v>-3.404563E-2</v>
      </c>
      <c r="X5488">
        <v>0.99803069999999905</v>
      </c>
      <c r="Y5488">
        <v>1.3985940000000001E-2</v>
      </c>
      <c r="Z5488">
        <v>-7.676464E-3</v>
      </c>
      <c r="AA5488">
        <v>0.99987269999999995</v>
      </c>
      <c r="AB5488">
        <v>22</v>
      </c>
      <c r="AC5488">
        <v>0.63030000000000497</v>
      </c>
      <c r="AD5488">
        <v>-8.4200999999999901E-2</v>
      </c>
      <c r="AE5488">
        <v>2.86799999999942E-2</v>
      </c>
      <c r="AF5488">
        <v>1.1383465028012499E-2</v>
      </c>
      <c r="AG5488">
        <v>-8.4200999999999901E-2</v>
      </c>
      <c r="AH5488">
        <v>0.619807569224338</v>
      </c>
      <c r="AI5488">
        <v>97.734996290505507</v>
      </c>
      <c r="AJ5488">
        <v>88.947816686016495</v>
      </c>
      <c r="AK5488">
        <v>0.625604359435599</v>
      </c>
    </row>
    <row r="5489" spans="1:37" x14ac:dyDescent="0.2">
      <c r="A5489" t="str">
        <f>"20200111160326030"</f>
        <v>20200111160326030</v>
      </c>
      <c r="B5489" t="str">
        <f>"1578729806018288"</f>
        <v>1578729806018288</v>
      </c>
      <c r="C5489" t="s">
        <v>37</v>
      </c>
      <c r="D5489">
        <v>5.1997650000000002</v>
      </c>
      <c r="E5489">
        <v>0.52582430000000002</v>
      </c>
      <c r="F5489" t="s">
        <v>42</v>
      </c>
      <c r="G5489">
        <v>-244.41829999999999</v>
      </c>
      <c r="H5489">
        <v>1.014132</v>
      </c>
      <c r="I5489">
        <v>-62.575629999999997</v>
      </c>
      <c r="J5489">
        <v>-245.11099999999999</v>
      </c>
      <c r="K5489">
        <v>1.104058</v>
      </c>
      <c r="L5489">
        <v>-62.607999999999997</v>
      </c>
      <c r="M5489">
        <v>0.99792219999999998</v>
      </c>
      <c r="N5489">
        <v>0</v>
      </c>
      <c r="O5489">
        <v>6.4051620000000004E-2</v>
      </c>
      <c r="P5489">
        <v>0.99233709999999997</v>
      </c>
      <c r="Q5489">
        <v>-4.0793199999999898E-2</v>
      </c>
      <c r="R5489">
        <v>0.116631399999999</v>
      </c>
      <c r="S5489">
        <v>2.9921259999999998</v>
      </c>
      <c r="T5489">
        <v>-0.32812929999999901</v>
      </c>
      <c r="U5489">
        <v>0.14913940000000001</v>
      </c>
      <c r="V5489">
        <v>-5.2808470000000003E-2</v>
      </c>
      <c r="W5489">
        <v>-3.3879819999999998E-2</v>
      </c>
      <c r="X5489">
        <v>0.99802979999999997</v>
      </c>
      <c r="Y5489">
        <v>1.382884E-2</v>
      </c>
      <c r="Z5489">
        <v>-7.7481900000000003E-3</v>
      </c>
      <c r="AA5489">
        <v>0.99987440000000005</v>
      </c>
      <c r="AB5489">
        <v>22</v>
      </c>
      <c r="AC5489">
        <v>0.69270000000000198</v>
      </c>
      <c r="AD5489">
        <v>-8.9925999999999895E-2</v>
      </c>
      <c r="AE5489">
        <v>3.2370000000000197E-2</v>
      </c>
      <c r="AF5489">
        <v>1.18665565355392E-2</v>
      </c>
      <c r="AG5489">
        <v>-8.9925999999999895E-2</v>
      </c>
      <c r="AH5489">
        <v>0.68188410197341098</v>
      </c>
      <c r="AI5489">
        <v>97.511615805935406</v>
      </c>
      <c r="AJ5489">
        <v>89.003005084061797</v>
      </c>
      <c r="AK5489">
        <v>0.68789056481688704</v>
      </c>
    </row>
    <row r="5490" spans="1:37" x14ac:dyDescent="0.2">
      <c r="A5490" t="str">
        <f>"20200111160326053"</f>
        <v>20200111160326053</v>
      </c>
      <c r="B5490" t="str">
        <f>"1578729806048545"</f>
        <v>1578729806048545</v>
      </c>
      <c r="C5490" t="s">
        <v>37</v>
      </c>
      <c r="D5490">
        <v>5.1154900000000003</v>
      </c>
      <c r="E5490">
        <v>0.52593250000000002</v>
      </c>
      <c r="F5490" t="s">
        <v>42</v>
      </c>
      <c r="G5490">
        <v>-244.23009999999999</v>
      </c>
      <c r="H5490">
        <v>1.0071779999999999</v>
      </c>
      <c r="I5490">
        <v>-62.564059999999998</v>
      </c>
      <c r="J5490">
        <v>-244.89840000000001</v>
      </c>
      <c r="K5490">
        <v>1.1041559999999999</v>
      </c>
      <c r="L5490">
        <v>-62.593780000000002</v>
      </c>
      <c r="M5490">
        <v>0.99788729999999903</v>
      </c>
      <c r="N5490">
        <v>0</v>
      </c>
      <c r="O5490">
        <v>6.4498120000000006E-2</v>
      </c>
      <c r="P5490">
        <v>0.99224319999999899</v>
      </c>
      <c r="Q5490">
        <v>-4.1147959999999997E-2</v>
      </c>
      <c r="R5490">
        <v>0.1173047</v>
      </c>
      <c r="S5490">
        <v>2.9919739999999999</v>
      </c>
      <c r="T5490">
        <v>-0.32903979999999999</v>
      </c>
      <c r="U5490">
        <v>0.1504211</v>
      </c>
      <c r="V5490">
        <v>-5.3040619999999997E-2</v>
      </c>
      <c r="W5490">
        <v>-3.3398419999999998E-2</v>
      </c>
      <c r="X5490">
        <v>0.99803369999999902</v>
      </c>
      <c r="Y5490">
        <v>1.384147E-2</v>
      </c>
      <c r="Z5490">
        <v>-7.8193959999999993E-3</v>
      </c>
      <c r="AA5490">
        <v>0.99987359999999903</v>
      </c>
      <c r="AB5490">
        <v>21</v>
      </c>
      <c r="AC5490">
        <v>0.66830000000001599</v>
      </c>
      <c r="AD5490">
        <v>-9.69779999999998E-2</v>
      </c>
      <c r="AE5490">
        <v>2.97200000000046E-2</v>
      </c>
      <c r="AF5490">
        <v>1.3170504311804301E-2</v>
      </c>
      <c r="AG5490">
        <v>-9.69779999999998E-2</v>
      </c>
      <c r="AH5490">
        <v>0.65505877248241695</v>
      </c>
      <c r="AI5490">
        <v>98.419493646907497</v>
      </c>
      <c r="AJ5490">
        <v>88.848175637751893</v>
      </c>
      <c r="AK5490">
        <v>0.66232936676097798</v>
      </c>
    </row>
    <row r="5491" spans="1:37" x14ac:dyDescent="0.2">
      <c r="A5491" t="str">
        <f>"20200111160326065"</f>
        <v>20200111160326065</v>
      </c>
      <c r="B5491" t="str">
        <f>"1578729806058304"</f>
        <v>1578729806058304</v>
      </c>
      <c r="C5491" t="s">
        <v>37</v>
      </c>
      <c r="D5491">
        <v>5.1487730000000003</v>
      </c>
      <c r="E5491">
        <v>0.52595499999999995</v>
      </c>
      <c r="F5491" t="s">
        <v>42</v>
      </c>
      <c r="G5491">
        <v>-244.03790000000001</v>
      </c>
      <c r="H5491">
        <v>1.009625</v>
      </c>
      <c r="I5491">
        <v>-62.550289999999997</v>
      </c>
      <c r="J5491">
        <v>-244.78550000000001</v>
      </c>
      <c r="K5491">
        <v>1.1042000000000001</v>
      </c>
      <c r="L5491">
        <v>-62.586209999999902</v>
      </c>
      <c r="M5491">
        <v>0.99786839999999999</v>
      </c>
      <c r="N5491">
        <v>0</v>
      </c>
      <c r="O5491">
        <v>6.4737740000000002E-2</v>
      </c>
      <c r="P5491">
        <v>0.99215750000000003</v>
      </c>
      <c r="Q5491">
        <v>-4.1361780000000001E-2</v>
      </c>
      <c r="R5491">
        <v>0.1179529</v>
      </c>
      <c r="S5491">
        <v>2.9919279999999899</v>
      </c>
      <c r="T5491">
        <v>-0.32869389999999998</v>
      </c>
      <c r="U5491">
        <v>0.1512146</v>
      </c>
      <c r="V5491">
        <v>-5.345312E-2</v>
      </c>
      <c r="W5491">
        <v>-3.31901E-2</v>
      </c>
      <c r="X5491">
        <v>0.99801859999999998</v>
      </c>
      <c r="Y5491">
        <v>1.3816230000000001E-2</v>
      </c>
      <c r="Z5491">
        <v>-7.8360840000000001E-3</v>
      </c>
      <c r="AA5491">
        <v>0.99987380000000003</v>
      </c>
      <c r="AB5491">
        <v>21</v>
      </c>
      <c r="AC5491">
        <v>0.74760000000000504</v>
      </c>
      <c r="AD5491">
        <v>-9.4575000000000006E-2</v>
      </c>
      <c r="AE5491">
        <v>3.5919999999990099E-2</v>
      </c>
      <c r="AF5491">
        <v>1.23576171286057E-2</v>
      </c>
      <c r="AG5491">
        <v>-9.4575000000000006E-2</v>
      </c>
      <c r="AH5491">
        <v>0.73659617758663398</v>
      </c>
      <c r="AI5491">
        <v>97.315423578746902</v>
      </c>
      <c r="AJ5491">
        <v>89.038858859499697</v>
      </c>
      <c r="AK5491">
        <v>0.74274562951345402</v>
      </c>
    </row>
    <row r="5492" spans="1:37" x14ac:dyDescent="0.2">
      <c r="A5492" t="str">
        <f>"20200111160326075"</f>
        <v>20200111160326075</v>
      </c>
      <c r="B5492" t="str">
        <f>"1578729806069040"</f>
        <v>1578729806069040</v>
      </c>
      <c r="C5492" t="s">
        <v>37</v>
      </c>
      <c r="D5492">
        <v>5.1643319999999999</v>
      </c>
      <c r="E5492">
        <v>0.52599669999999998</v>
      </c>
      <c r="F5492" t="s">
        <v>42</v>
      </c>
      <c r="G5492">
        <v>-244.03229999999999</v>
      </c>
      <c r="H5492">
        <v>1.0213190000000001</v>
      </c>
      <c r="I5492">
        <v>-62.547699999999999</v>
      </c>
      <c r="J5492">
        <v>-244.68020000000001</v>
      </c>
      <c r="K5492">
        <v>1.1042319999999901</v>
      </c>
      <c r="L5492">
        <v>-62.579129999999999</v>
      </c>
      <c r="M5492">
        <v>0.99785100000000004</v>
      </c>
      <c r="N5492">
        <v>0</v>
      </c>
      <c r="O5492">
        <v>6.496064E-2</v>
      </c>
      <c r="P5492">
        <v>0.99209049999999999</v>
      </c>
      <c r="Q5492">
        <v>-4.1531060000000002E-2</v>
      </c>
      <c r="R5492">
        <v>0.1184566</v>
      </c>
      <c r="S5492">
        <v>2.9917910000000001</v>
      </c>
      <c r="T5492">
        <v>-0.329258</v>
      </c>
      <c r="U5492">
        <v>0.1529846</v>
      </c>
      <c r="V5492">
        <v>-5.373758E-2</v>
      </c>
      <c r="W5492">
        <v>-3.298765E-2</v>
      </c>
      <c r="X5492">
        <v>0.99800999999999995</v>
      </c>
      <c r="Y5492">
        <v>1.3446680000000001E-2</v>
      </c>
      <c r="Z5492">
        <v>-7.853802E-3</v>
      </c>
      <c r="AA5492">
        <v>0.99987879999999996</v>
      </c>
      <c r="AB5492">
        <v>21</v>
      </c>
      <c r="AC5492">
        <v>0.64790000000002101</v>
      </c>
      <c r="AD5492">
        <v>-8.2912999999999695E-2</v>
      </c>
      <c r="AE5492">
        <v>3.1430000000007403E-2</v>
      </c>
      <c r="AF5492">
        <v>1.0553508859173199E-2</v>
      </c>
      <c r="AG5492">
        <v>-8.2912999999999695E-2</v>
      </c>
      <c r="AH5492">
        <v>0.638146935430702</v>
      </c>
      <c r="AI5492">
        <v>97.401840770667604</v>
      </c>
      <c r="AJ5492">
        <v>89.052543596307999</v>
      </c>
      <c r="AK5492">
        <v>0.64359727572282199</v>
      </c>
    </row>
    <row r="5493" spans="1:37" x14ac:dyDescent="0.2">
      <c r="A5493" t="str">
        <f>"20200111160326087"</f>
        <v>20200111160326087</v>
      </c>
      <c r="B5493" t="str">
        <f>"1578729806078801"</f>
        <v>1578729806078801</v>
      </c>
      <c r="C5493" t="s">
        <v>37</v>
      </c>
      <c r="D5493">
        <v>5.1652290000000001</v>
      </c>
      <c r="E5493">
        <v>0.52605959999999996</v>
      </c>
      <c r="F5493" t="s">
        <v>42</v>
      </c>
      <c r="G5493">
        <v>-243.8459</v>
      </c>
      <c r="H5493">
        <v>1.012462</v>
      </c>
      <c r="I5493">
        <v>-62.53633</v>
      </c>
      <c r="J5493">
        <v>-244.55889999999999</v>
      </c>
      <c r="K5493">
        <v>1.1042650000000001</v>
      </c>
      <c r="L5493">
        <v>-62.570919999999902</v>
      </c>
      <c r="M5493">
        <v>0.99783049999999995</v>
      </c>
      <c r="N5493">
        <v>0</v>
      </c>
      <c r="O5493">
        <v>6.5217300000000006E-2</v>
      </c>
      <c r="P5493">
        <v>0.99203009999999903</v>
      </c>
      <c r="Q5493">
        <v>-4.1443000000000001E-2</v>
      </c>
      <c r="R5493">
        <v>0.11899069999999901</v>
      </c>
      <c r="S5493">
        <v>2.99175999999999</v>
      </c>
      <c r="T5493">
        <v>-0.32902219999999999</v>
      </c>
      <c r="U5493">
        <v>0.15399170000000001</v>
      </c>
      <c r="V5493">
        <v>-5.4017820000000001E-2</v>
      </c>
      <c r="W5493">
        <v>-3.248757E-2</v>
      </c>
      <c r="X5493">
        <v>0.99801139999999999</v>
      </c>
      <c r="Y5493">
        <v>1.3367520000000001E-2</v>
      </c>
      <c r="Z5493">
        <v>-7.8719519999999998E-3</v>
      </c>
      <c r="AA5493">
        <v>0.99987969999999904</v>
      </c>
      <c r="AB5493">
        <v>21</v>
      </c>
      <c r="AC5493">
        <v>0.71299999999999297</v>
      </c>
      <c r="AD5493">
        <v>-9.1802999999999996E-2</v>
      </c>
      <c r="AE5493">
        <v>3.45899999999872E-2</v>
      </c>
      <c r="AF5493">
        <v>1.17904588836132E-2</v>
      </c>
      <c r="AG5493">
        <v>-9.1802999999999996E-2</v>
      </c>
      <c r="AH5493">
        <v>0.70212534710012298</v>
      </c>
      <c r="AI5493">
        <v>97.448136364688494</v>
      </c>
      <c r="AJ5493">
        <v>89.037949495089904</v>
      </c>
      <c r="AK5493">
        <v>0.70819969554508699</v>
      </c>
    </row>
    <row r="5494" spans="1:37" x14ac:dyDescent="0.2">
      <c r="A5494" t="str">
        <f>"20200111160326099"</f>
        <v>20200111160326099</v>
      </c>
      <c r="B5494" t="str">
        <f>"1578729806088561"</f>
        <v>1578729806088561</v>
      </c>
      <c r="C5494" t="s">
        <v>37</v>
      </c>
      <c r="D5494">
        <v>7.7321929999999996</v>
      </c>
      <c r="E5494">
        <v>0.52605959999999996</v>
      </c>
      <c r="F5494" t="s">
        <v>42</v>
      </c>
      <c r="G5494">
        <v>-243.8398</v>
      </c>
      <c r="H5494">
        <v>1.0252349999999999</v>
      </c>
      <c r="I5494">
        <v>-62.533790000000003</v>
      </c>
      <c r="J5494">
        <v>-244.4597</v>
      </c>
      <c r="K5494">
        <v>1.1042809999999901</v>
      </c>
      <c r="L5494">
        <v>-62.564209999999903</v>
      </c>
      <c r="M5494">
        <v>0.99781439999999999</v>
      </c>
      <c r="N5494">
        <v>0</v>
      </c>
      <c r="O5494">
        <v>6.5422240000000006E-2</v>
      </c>
      <c r="P5494">
        <v>0.9919751</v>
      </c>
      <c r="Q5494">
        <v>-4.1474009999999999E-2</v>
      </c>
      <c r="R5494">
        <v>0.11943959999999899</v>
      </c>
      <c r="S5494">
        <v>2.9917449999999999</v>
      </c>
      <c r="T5494">
        <v>-0.32875100000000002</v>
      </c>
      <c r="U5494">
        <v>0.15509029999999999</v>
      </c>
      <c r="V5494">
        <v>-5.4265269999999997E-2</v>
      </c>
      <c r="W5494">
        <v>-3.2215649999999998E-2</v>
      </c>
      <c r="X5494">
        <v>0.99800669999999903</v>
      </c>
      <c r="Y5494">
        <v>1.3207119999999999E-2</v>
      </c>
      <c r="Z5494">
        <v>-7.8790690000000007E-3</v>
      </c>
      <c r="AA5494">
        <v>0.99988169999999899</v>
      </c>
      <c r="AB5494">
        <v>21</v>
      </c>
      <c r="AC5494">
        <v>0.61990000000000101</v>
      </c>
      <c r="AD5494">
        <v>-7.90459999999997E-2</v>
      </c>
      <c r="AE5494">
        <v>3.04199999999923E-2</v>
      </c>
      <c r="AF5494">
        <v>1.00393272339713E-2</v>
      </c>
      <c r="AG5494">
        <v>-7.90459999999997E-2</v>
      </c>
      <c r="AH5494">
        <v>0.61065675173168099</v>
      </c>
      <c r="AI5494">
        <v>97.374610914999707</v>
      </c>
      <c r="AJ5494">
        <v>89.0581300155484</v>
      </c>
      <c r="AK5494">
        <v>0.61583335947543305</v>
      </c>
    </row>
    <row r="5495" spans="1:37" x14ac:dyDescent="0.2">
      <c r="A5495" t="str">
        <f>"20200111160326111"</f>
        <v>20200111160326111</v>
      </c>
      <c r="B5495" t="str">
        <f>"1578729806109056"</f>
        <v>1578729806109056</v>
      </c>
      <c r="C5495" t="s">
        <v>37</v>
      </c>
      <c r="D5495">
        <v>5.1248579999999997</v>
      </c>
      <c r="E5495">
        <v>0.52614969999999905</v>
      </c>
      <c r="F5495" t="s">
        <v>42</v>
      </c>
      <c r="G5495">
        <v>-243.654</v>
      </c>
      <c r="H5495">
        <v>1.0157510000000001</v>
      </c>
      <c r="I5495">
        <v>-62.522300000000001</v>
      </c>
      <c r="J5495">
        <v>-244.34799999999899</v>
      </c>
      <c r="K5495">
        <v>1.104298</v>
      </c>
      <c r="L5495">
        <v>-62.556579999999997</v>
      </c>
      <c r="M5495">
        <v>0.99779609999999996</v>
      </c>
      <c r="N5495">
        <v>0</v>
      </c>
      <c r="O5495">
        <v>6.5651249999999994E-2</v>
      </c>
      <c r="P5495">
        <v>0.99191679999999904</v>
      </c>
      <c r="Q5495">
        <v>-4.1112089999999997E-2</v>
      </c>
      <c r="R5495">
        <v>0.1200476</v>
      </c>
      <c r="S5495">
        <v>2.9916990000000001</v>
      </c>
      <c r="T5495">
        <v>-0.32869199999999998</v>
      </c>
      <c r="U5495">
        <v>0.15625</v>
      </c>
      <c r="V5495">
        <v>-5.4646710000000001E-2</v>
      </c>
      <c r="W5495">
        <v>-3.1520090000000001E-2</v>
      </c>
      <c r="X5495">
        <v>0.99800809999999995</v>
      </c>
      <c r="Y5495">
        <v>1.304924E-2</v>
      </c>
      <c r="Z5495">
        <v>-7.8940709999999904E-3</v>
      </c>
      <c r="AA5495">
        <v>0.99988369999999904</v>
      </c>
      <c r="AB5495">
        <v>21</v>
      </c>
      <c r="AC5495">
        <v>0.69399999999995898</v>
      </c>
      <c r="AD5495">
        <v>-8.8546999999999904E-2</v>
      </c>
      <c r="AE5495">
        <v>3.4280000000002503E-2</v>
      </c>
      <c r="AF5495">
        <v>1.11765439755219E-2</v>
      </c>
      <c r="AG5495">
        <v>-8.8546999999999904E-2</v>
      </c>
      <c r="AH5495">
        <v>0.68365117832819799</v>
      </c>
      <c r="AI5495">
        <v>97.378931578508499</v>
      </c>
      <c r="AJ5495">
        <v>89.063394054027796</v>
      </c>
      <c r="AK5495">
        <v>0.68945226083737698</v>
      </c>
    </row>
    <row r="5496" spans="1:37" x14ac:dyDescent="0.2">
      <c r="A5496" t="str">
        <f>"20200111160326123"</f>
        <v>20200111160326123</v>
      </c>
      <c r="B5496" t="str">
        <f>"1578729806118817"</f>
        <v>1578729806118817</v>
      </c>
      <c r="C5496" t="s">
        <v>37</v>
      </c>
      <c r="D5496">
        <v>5.1473889999999898</v>
      </c>
      <c r="E5496">
        <v>0.52623050000000005</v>
      </c>
      <c r="F5496" t="s">
        <v>42</v>
      </c>
      <c r="G5496">
        <v>-243.46770000000001</v>
      </c>
      <c r="H5496">
        <v>1.007868</v>
      </c>
      <c r="I5496">
        <v>-62.510559999999998</v>
      </c>
      <c r="J5496">
        <v>-244.21979999999999</v>
      </c>
      <c r="K5496">
        <v>1.104314</v>
      </c>
      <c r="L5496">
        <v>-62.547819999999902</v>
      </c>
      <c r="M5496">
        <v>0.997776</v>
      </c>
      <c r="N5496">
        <v>0</v>
      </c>
      <c r="O5496">
        <v>6.5904669999999999E-2</v>
      </c>
      <c r="P5496">
        <v>0.99182429999999999</v>
      </c>
      <c r="Q5496">
        <v>-4.1190709999999998E-2</v>
      </c>
      <c r="R5496">
        <v>0.1207821</v>
      </c>
      <c r="S5496">
        <v>2.9918209999999998</v>
      </c>
      <c r="T5496">
        <v>-0.32772709999999999</v>
      </c>
      <c r="U5496">
        <v>0.15716549999999899</v>
      </c>
      <c r="V5496">
        <v>-5.513258E-2</v>
      </c>
      <c r="W5496">
        <v>-3.1254379999999998E-2</v>
      </c>
      <c r="X5496">
        <v>0.99798980000000004</v>
      </c>
      <c r="Y5496">
        <v>1.300199E-2</v>
      </c>
      <c r="Z5496">
        <v>-7.8956719999999994E-3</v>
      </c>
      <c r="AA5496">
        <v>0.99988429999999995</v>
      </c>
      <c r="AB5496">
        <v>21</v>
      </c>
      <c r="AC5496">
        <v>0.752099999999984</v>
      </c>
      <c r="AD5496">
        <v>-9.6446000000000004E-2</v>
      </c>
      <c r="AE5496">
        <v>3.7259999999996199E-2</v>
      </c>
      <c r="AF5496">
        <v>1.2190412908847601E-2</v>
      </c>
      <c r="AG5496">
        <v>-9.6446000000000004E-2</v>
      </c>
      <c r="AH5496">
        <v>0.74076879213708102</v>
      </c>
      <c r="AI5496">
        <v>97.417028016848704</v>
      </c>
      <c r="AJ5496">
        <v>89.057200874337795</v>
      </c>
      <c r="AK5496">
        <v>0.74712036546136096</v>
      </c>
    </row>
    <row r="5497" spans="1:37" x14ac:dyDescent="0.2">
      <c r="A5497" t="str">
        <f>"20200111160326137"</f>
        <v>20200111160326137</v>
      </c>
      <c r="B5497" t="str">
        <f>"1578729806128576"</f>
        <v>1578729806128576</v>
      </c>
      <c r="C5497" t="s">
        <v>37</v>
      </c>
      <c r="D5497">
        <v>5.1202990000000002</v>
      </c>
      <c r="E5497">
        <v>0.52626309999999998</v>
      </c>
      <c r="F5497" t="s">
        <v>42</v>
      </c>
      <c r="G5497">
        <v>-243.46129999999999</v>
      </c>
      <c r="H5497">
        <v>1.0211509999999999</v>
      </c>
      <c r="I5497">
        <v>-62.507849999999998</v>
      </c>
      <c r="J5497">
        <v>-244.0984</v>
      </c>
      <c r="K5497">
        <v>1.1043209999999899</v>
      </c>
      <c r="L5497">
        <v>-62.539519999999897</v>
      </c>
      <c r="M5497">
        <v>0.99775749999999996</v>
      </c>
      <c r="N5497">
        <v>0</v>
      </c>
      <c r="O5497">
        <v>6.6138150000000007E-2</v>
      </c>
      <c r="P5497">
        <v>0.99172819999999995</v>
      </c>
      <c r="Q5497">
        <v>-4.1156489999999997E-2</v>
      </c>
      <c r="R5497">
        <v>0.1215797</v>
      </c>
      <c r="S5497">
        <v>2.9917910000000001</v>
      </c>
      <c r="T5497">
        <v>-0.32801900000000001</v>
      </c>
      <c r="U5497">
        <v>0.15853879999999901</v>
      </c>
      <c r="V5497">
        <v>-5.5701349999999997E-2</v>
      </c>
      <c r="W5497">
        <v>-3.0917509999999999E-2</v>
      </c>
      <c r="X5497">
        <v>0.99796870000000004</v>
      </c>
      <c r="Y5497">
        <v>1.277706E-2</v>
      </c>
      <c r="Z5497">
        <v>-7.9158010000000001E-3</v>
      </c>
      <c r="AA5497">
        <v>0.99988699999999997</v>
      </c>
      <c r="AB5497">
        <v>21</v>
      </c>
      <c r="AC5497">
        <v>0.637100000000003</v>
      </c>
      <c r="AD5497">
        <v>-8.3169999999999897E-2</v>
      </c>
      <c r="AE5497">
        <v>3.1669999999998297E-2</v>
      </c>
      <c r="AF5497">
        <v>1.0362038766174199E-2</v>
      </c>
      <c r="AG5497">
        <v>-8.3169999999999897E-2</v>
      </c>
      <c r="AH5497">
        <v>0.62713832376652001</v>
      </c>
      <c r="AI5497">
        <v>97.553366107855197</v>
      </c>
      <c r="AJ5497">
        <v>89.053403295783596</v>
      </c>
      <c r="AK5497">
        <v>0.63271407277226899</v>
      </c>
    </row>
    <row r="5498" spans="1:37" x14ac:dyDescent="0.2">
      <c r="A5498" t="str">
        <f>"20200111160326148"</f>
        <v>20200111160326148</v>
      </c>
      <c r="B5498" t="str">
        <f>"1578729806138336"</f>
        <v>1578729806138336</v>
      </c>
      <c r="C5498" t="s">
        <v>37</v>
      </c>
      <c r="D5498">
        <v>5.1078599999999996</v>
      </c>
      <c r="E5498">
        <v>0.52632579999999995</v>
      </c>
      <c r="F5498" t="s">
        <v>42</v>
      </c>
      <c r="G5498">
        <v>-243.27510000000001</v>
      </c>
      <c r="H5498">
        <v>1.0140549999999999</v>
      </c>
      <c r="I5498">
        <v>-62.49539</v>
      </c>
      <c r="J5498">
        <v>-243.98750000000001</v>
      </c>
      <c r="K5498">
        <v>1.1043240000000001</v>
      </c>
      <c r="L5498">
        <v>-62.531889999999997</v>
      </c>
      <c r="M5498">
        <v>0.99774089999999904</v>
      </c>
      <c r="N5498">
        <v>0</v>
      </c>
      <c r="O5498">
        <v>6.6347699999999996E-2</v>
      </c>
      <c r="P5498">
        <v>0.99162340000000004</v>
      </c>
      <c r="Q5498">
        <v>-4.149887E-2</v>
      </c>
      <c r="R5498">
        <v>0.12231599999999999</v>
      </c>
      <c r="S5498">
        <v>2.991714</v>
      </c>
      <c r="T5498">
        <v>-0.32803300000000002</v>
      </c>
      <c r="U5498">
        <v>0.16049189999999999</v>
      </c>
      <c r="V5498">
        <v>-5.6233699999999998E-2</v>
      </c>
      <c r="W5498">
        <v>-3.0997070000000002E-2</v>
      </c>
      <c r="X5498">
        <v>0.99793639999999995</v>
      </c>
      <c r="Y5498">
        <v>1.233632E-2</v>
      </c>
      <c r="Z5498">
        <v>-7.9149400000000005E-3</v>
      </c>
      <c r="AA5498">
        <v>0.99989259999999902</v>
      </c>
      <c r="AB5498">
        <v>21</v>
      </c>
      <c r="AC5498">
        <v>0.71240000000000203</v>
      </c>
      <c r="AD5498">
        <v>-9.0269000000000099E-2</v>
      </c>
      <c r="AE5498">
        <v>3.6500000000003703E-2</v>
      </c>
      <c r="AF5498">
        <v>1.0678164594831299E-2</v>
      </c>
      <c r="AG5498">
        <v>-9.0269000000000099E-2</v>
      </c>
      <c r="AH5498">
        <v>0.70201016355004198</v>
      </c>
      <c r="AI5498">
        <v>97.326415448514894</v>
      </c>
      <c r="AJ5498">
        <v>89.1285502440073</v>
      </c>
      <c r="AK5498">
        <v>0.70787059925361395</v>
      </c>
    </row>
    <row r="5499" spans="1:37" x14ac:dyDescent="0.2">
      <c r="A5499" t="str">
        <f>"20200111160326165"</f>
        <v>20200111160326165</v>
      </c>
      <c r="B5499" t="str">
        <f>"1578729806158832"</f>
        <v>1578729806158832</v>
      </c>
      <c r="C5499" t="s">
        <v>37</v>
      </c>
      <c r="D5499">
        <v>5.1643339999999904</v>
      </c>
      <c r="E5499">
        <v>0.52651890000000001</v>
      </c>
      <c r="F5499" t="s">
        <v>42</v>
      </c>
      <c r="G5499">
        <v>-243.2697</v>
      </c>
      <c r="H5499">
        <v>1.025345</v>
      </c>
      <c r="I5499">
        <v>-62.49306</v>
      </c>
      <c r="J5499">
        <v>-243.8246</v>
      </c>
      <c r="K5499">
        <v>1.1043099999999999</v>
      </c>
      <c r="L5499">
        <v>-62.520690000000002</v>
      </c>
      <c r="M5499">
        <v>0.99771799999999999</v>
      </c>
      <c r="N5499">
        <v>0</v>
      </c>
      <c r="O5499">
        <v>6.6636409999999993E-2</v>
      </c>
      <c r="P5499">
        <v>0.99145260000000002</v>
      </c>
      <c r="Q5499">
        <v>-4.2971349999999998E-2</v>
      </c>
      <c r="R5499">
        <v>0.1231886</v>
      </c>
      <c r="S5499">
        <v>2.9915769999999999</v>
      </c>
      <c r="T5499">
        <v>-0.32916000000000001</v>
      </c>
      <c r="U5499">
        <v>0.16201779999999999</v>
      </c>
      <c r="V5499">
        <v>-5.6827419999999997E-2</v>
      </c>
      <c r="W5499">
        <v>-3.2133290000000002E-2</v>
      </c>
      <c r="X5499">
        <v>0.9978667</v>
      </c>
      <c r="Y5499">
        <v>1.211131E-2</v>
      </c>
      <c r="Z5499">
        <v>-7.9614569999999999E-3</v>
      </c>
      <c r="AA5499">
        <v>0.99989499999999998</v>
      </c>
      <c r="AB5499">
        <v>21</v>
      </c>
      <c r="AC5499">
        <v>0.55490000000000295</v>
      </c>
      <c r="AD5499">
        <v>-7.8964999999999896E-2</v>
      </c>
      <c r="AE5499">
        <v>2.7630000000002E-2</v>
      </c>
      <c r="AF5499">
        <v>9.2238257055451203E-3</v>
      </c>
      <c r="AG5499">
        <v>-7.8964999999999896E-2</v>
      </c>
      <c r="AH5499">
        <v>0.54450836486302701</v>
      </c>
      <c r="AI5499">
        <v>98.250383091222105</v>
      </c>
      <c r="AJ5499">
        <v>89.029517678359298</v>
      </c>
      <c r="AK5499">
        <v>0.55028166386992605</v>
      </c>
    </row>
    <row r="5500" spans="1:37" x14ac:dyDescent="0.2">
      <c r="A5500" t="str">
        <f>"20200111160326177"</f>
        <v>20200111160326177</v>
      </c>
      <c r="B5500" t="str">
        <f>"1578729806168592"</f>
        <v>1578729806168592</v>
      </c>
      <c r="C5500" t="s">
        <v>37</v>
      </c>
      <c r="D5500">
        <v>5.1012959999999996</v>
      </c>
      <c r="E5500">
        <v>0.5265917</v>
      </c>
      <c r="F5500" t="s">
        <v>42</v>
      </c>
      <c r="G5500">
        <v>-243.0821</v>
      </c>
      <c r="H5500">
        <v>1.0214700000000001</v>
      </c>
      <c r="I5500">
        <v>-62.480429999999998</v>
      </c>
      <c r="J5500">
        <v>-243.72130000000001</v>
      </c>
      <c r="K5500">
        <v>1.1042909999999999</v>
      </c>
      <c r="L5500">
        <v>-62.513550000000002</v>
      </c>
      <c r="M5500">
        <v>0.99770460000000005</v>
      </c>
      <c r="N5500">
        <v>0</v>
      </c>
      <c r="O5500">
        <v>6.6803539999999995E-2</v>
      </c>
      <c r="P5500">
        <v>0.99138159999999897</v>
      </c>
      <c r="Q5500">
        <v>-4.4466720000000001E-2</v>
      </c>
      <c r="R5500">
        <v>0.1232278</v>
      </c>
      <c r="S5500">
        <v>2.9912259999999899</v>
      </c>
      <c r="T5500">
        <v>-0.33371590000000001</v>
      </c>
      <c r="U5500">
        <v>0.16250609999999999</v>
      </c>
      <c r="V5500">
        <v>-5.6704599999999897E-2</v>
      </c>
      <c r="W5500">
        <v>-3.3438450000000002E-2</v>
      </c>
      <c r="X5500">
        <v>0.99783089999999997</v>
      </c>
      <c r="Y5500">
        <v>1.2095679999999999E-2</v>
      </c>
      <c r="Z5500">
        <v>-8.0895469999999903E-3</v>
      </c>
      <c r="AA5500">
        <v>0.99989409999999901</v>
      </c>
      <c r="AB5500">
        <v>21</v>
      </c>
      <c r="AC5500">
        <v>0.63920000000001598</v>
      </c>
      <c r="AD5500">
        <v>-8.2820999999999798E-2</v>
      </c>
      <c r="AE5500">
        <v>3.3119999999996701E-2</v>
      </c>
      <c r="AF5500">
        <v>9.4984041518102295E-3</v>
      </c>
      <c r="AG5500">
        <v>-8.2820999999999798E-2</v>
      </c>
      <c r="AH5500">
        <v>0.629445572751542</v>
      </c>
      <c r="AI5500">
        <v>97.494943729796901</v>
      </c>
      <c r="AJ5500">
        <v>89.135465891024893</v>
      </c>
      <c r="AK5500">
        <v>0.63494193969129797</v>
      </c>
    </row>
    <row r="5501" spans="1:37" x14ac:dyDescent="0.2">
      <c r="A5501" t="str">
        <f>"20200111160326188"</f>
        <v>20200111160326188</v>
      </c>
      <c r="B5501" t="str">
        <f>"1578729806178353"</f>
        <v>1578729806178353</v>
      </c>
      <c r="C5501" t="s">
        <v>37</v>
      </c>
      <c r="D5501">
        <v>5.1087379999999998</v>
      </c>
      <c r="E5501">
        <v>0.52669119999999903</v>
      </c>
      <c r="F5501" t="s">
        <v>42</v>
      </c>
      <c r="G5501">
        <v>-242.89789999999999</v>
      </c>
      <c r="H5501">
        <v>1.0110969999999999</v>
      </c>
      <c r="I5501">
        <v>-62.469110000000001</v>
      </c>
      <c r="J5501">
        <v>-243.61150000000001</v>
      </c>
      <c r="K5501">
        <v>1.1042670000000001</v>
      </c>
      <c r="L5501">
        <v>-62.505980000000001</v>
      </c>
      <c r="M5501">
        <v>0.99769099999999999</v>
      </c>
      <c r="N5501">
        <v>0</v>
      </c>
      <c r="O5501">
        <v>6.6974140000000001E-2</v>
      </c>
      <c r="P5501">
        <v>0.99134560000000005</v>
      </c>
      <c r="Q5501">
        <v>-4.5892780000000001E-2</v>
      </c>
      <c r="R5501">
        <v>0.1229951</v>
      </c>
      <c r="S5501">
        <v>2.990799</v>
      </c>
      <c r="T5501">
        <v>-0.33845500000000001</v>
      </c>
      <c r="U5501">
        <v>0.1617432</v>
      </c>
      <c r="V5501">
        <v>-5.630541E-2</v>
      </c>
      <c r="W5501">
        <v>-3.4671720000000003E-2</v>
      </c>
      <c r="X5501">
        <v>0.99781139999999902</v>
      </c>
      <c r="Y5501">
        <v>1.249573E-2</v>
      </c>
      <c r="Z5501">
        <v>-8.2466850000000001E-3</v>
      </c>
      <c r="AA5501">
        <v>0.99988790000000005</v>
      </c>
      <c r="AB5501">
        <v>21</v>
      </c>
      <c r="AC5501">
        <v>0.713600000000013</v>
      </c>
      <c r="AD5501">
        <v>-9.3170000000000197E-2</v>
      </c>
      <c r="AE5501">
        <v>3.6870000000007501E-2</v>
      </c>
      <c r="AF5501">
        <v>1.0824546488585E-2</v>
      </c>
      <c r="AG5501">
        <v>-9.3170000000000197E-2</v>
      </c>
      <c r="AH5501">
        <v>0.70252317427231104</v>
      </c>
      <c r="AI5501">
        <v>97.553706617150894</v>
      </c>
      <c r="AJ5501">
        <v>89.117250820875995</v>
      </c>
      <c r="AK5501">
        <v>0.708757102325139</v>
      </c>
    </row>
    <row r="5502" spans="1:37" x14ac:dyDescent="0.2">
      <c r="A5502" t="str">
        <f>"20200111160326201"</f>
        <v>20200111160326201</v>
      </c>
      <c r="B5502" t="str">
        <f>"1578729806198849"</f>
        <v>1578729806198849</v>
      </c>
      <c r="C5502" t="s">
        <v>37</v>
      </c>
      <c r="D5502">
        <v>5.1084110000000003</v>
      </c>
      <c r="E5502">
        <v>0.52673819999999905</v>
      </c>
      <c r="F5502" t="s">
        <v>42</v>
      </c>
      <c r="G5502">
        <v>-242.89269999999999</v>
      </c>
      <c r="H5502">
        <v>1.021946</v>
      </c>
      <c r="I5502">
        <v>-62.467619999999997</v>
      </c>
      <c r="J5502">
        <v>-243.4933</v>
      </c>
      <c r="K5502">
        <v>1.104225</v>
      </c>
      <c r="L5502">
        <v>-62.497859999999903</v>
      </c>
      <c r="M5502">
        <v>0.99767909999999904</v>
      </c>
      <c r="N5502">
        <v>0</v>
      </c>
      <c r="O5502">
        <v>6.7123150000000006E-2</v>
      </c>
      <c r="P5502">
        <v>0.99133680000000002</v>
      </c>
      <c r="Q5502">
        <v>-4.7340090000000001E-2</v>
      </c>
      <c r="R5502">
        <v>0.1225173</v>
      </c>
      <c r="S5502">
        <v>2.9904790000000001</v>
      </c>
      <c r="T5502">
        <v>-0.3424392</v>
      </c>
      <c r="U5502">
        <v>0.15994259999999999</v>
      </c>
      <c r="V5502">
        <v>-5.5682000000000002E-2</v>
      </c>
      <c r="W5502">
        <v>-3.5940430000000002E-2</v>
      </c>
      <c r="X5502">
        <v>0.99780149999999901</v>
      </c>
      <c r="Y5502">
        <v>1.322196E-2</v>
      </c>
      <c r="Z5502">
        <v>-8.4025799999999998E-3</v>
      </c>
      <c r="AA5502">
        <v>0.99987729999999997</v>
      </c>
      <c r="AB5502">
        <v>21</v>
      </c>
      <c r="AC5502">
        <v>0.60060000000001401</v>
      </c>
      <c r="AD5502">
        <v>-8.2278999999999894E-2</v>
      </c>
      <c r="AE5502">
        <v>3.0239999999999101E-2</v>
      </c>
      <c r="AF5502">
        <v>9.9585863354089994E-3</v>
      </c>
      <c r="AG5502">
        <v>-8.2278999999999894E-2</v>
      </c>
      <c r="AH5502">
        <v>0.59022614266755202</v>
      </c>
      <c r="AI5502">
        <v>97.934916530035693</v>
      </c>
      <c r="AJ5502">
        <v>89.033369093579097</v>
      </c>
      <c r="AK5502">
        <v>0.59601670007728602</v>
      </c>
    </row>
    <row r="5503" spans="1:37" x14ac:dyDescent="0.2">
      <c r="A5503" t="str">
        <f>"20200111160326214"</f>
        <v>20200111160326214</v>
      </c>
      <c r="B5503" t="str">
        <f>"1578729806208609"</f>
        <v>1578729806208609</v>
      </c>
      <c r="C5503" t="s">
        <v>37</v>
      </c>
      <c r="D5503">
        <v>5.1630019999999996</v>
      </c>
      <c r="E5503">
        <v>0.52682269999999998</v>
      </c>
      <c r="F5503" t="s">
        <v>42</v>
      </c>
      <c r="G5503">
        <v>-242.7079</v>
      </c>
      <c r="H5503">
        <v>1.013285</v>
      </c>
      <c r="I5503">
        <v>-62.456619999999901</v>
      </c>
      <c r="J5503">
        <v>-243.37629999999999</v>
      </c>
      <c r="K5503">
        <v>1.1041859999999999</v>
      </c>
      <c r="L5503">
        <v>-62.489809999999999</v>
      </c>
      <c r="M5503">
        <v>0.99766860000000002</v>
      </c>
      <c r="N5503">
        <v>0</v>
      </c>
      <c r="O5503">
        <v>6.7252320000000004E-2</v>
      </c>
      <c r="P5503">
        <v>0.99135499999999899</v>
      </c>
      <c r="Q5503">
        <v>-4.8469529999999997E-2</v>
      </c>
      <c r="R5503">
        <v>0.1219262</v>
      </c>
      <c r="S5503">
        <v>2.9902039999999999</v>
      </c>
      <c r="T5503">
        <v>-0.34620050000000002</v>
      </c>
      <c r="U5503">
        <v>0.1577759</v>
      </c>
      <c r="V5503">
        <v>-5.496446E-2</v>
      </c>
      <c r="W5503">
        <v>-3.6902839999999999E-2</v>
      </c>
      <c r="X5503">
        <v>0.99780609999999903</v>
      </c>
      <c r="Y5503">
        <v>1.405113E-2</v>
      </c>
      <c r="Z5503">
        <v>-8.5579239999999997E-3</v>
      </c>
      <c r="AA5503">
        <v>0.99986459999999999</v>
      </c>
      <c r="AB5503">
        <v>21</v>
      </c>
      <c r="AC5503">
        <v>0.668399999999991</v>
      </c>
      <c r="AD5503">
        <v>-9.0901000000000107E-2</v>
      </c>
      <c r="AE5503">
        <v>3.3190000000004702E-2</v>
      </c>
      <c r="AF5503">
        <v>1.16251428699098E-2</v>
      </c>
      <c r="AG5503">
        <v>-9.0901000000000107E-2</v>
      </c>
      <c r="AH5503">
        <v>0.65699723482386196</v>
      </c>
      <c r="AI5503">
        <v>97.876116226165394</v>
      </c>
      <c r="AJ5503">
        <v>88.986293873199003</v>
      </c>
      <c r="AK5503">
        <v>0.663357748363541</v>
      </c>
    </row>
    <row r="5504" spans="1:37" x14ac:dyDescent="0.2">
      <c r="A5504" t="str">
        <f>"20200111160326225"</f>
        <v>20200111160326225</v>
      </c>
      <c r="B5504" t="str">
        <f>"1578729806218369"</f>
        <v>1578729806218369</v>
      </c>
      <c r="C5504" t="s">
        <v>37</v>
      </c>
      <c r="D5504">
        <v>5.131761</v>
      </c>
      <c r="E5504">
        <v>0.52688040000000003</v>
      </c>
      <c r="F5504" t="s">
        <v>42</v>
      </c>
      <c r="G5504">
        <v>-242.5232</v>
      </c>
      <c r="H5504">
        <v>1.00451</v>
      </c>
      <c r="I5504">
        <v>-62.445659999999997</v>
      </c>
      <c r="J5504">
        <v>-243.25729999999999</v>
      </c>
      <c r="K5504">
        <v>1.1041449999999999</v>
      </c>
      <c r="L5504">
        <v>-62.481630000000003</v>
      </c>
      <c r="M5504">
        <v>0.99765999999999999</v>
      </c>
      <c r="N5504">
        <v>0</v>
      </c>
      <c r="O5504">
        <v>6.7351960000000002E-2</v>
      </c>
      <c r="P5504">
        <v>0.99139859999999902</v>
      </c>
      <c r="Q5504">
        <v>-4.9277840000000003E-2</v>
      </c>
      <c r="R5504">
        <v>0.1212473</v>
      </c>
      <c r="S5504">
        <v>2.990005</v>
      </c>
      <c r="T5504">
        <v>-0.34937990000000002</v>
      </c>
      <c r="U5504">
        <v>0.15499879999999999</v>
      </c>
      <c r="V5504">
        <v>-5.4187579999999999E-2</v>
      </c>
      <c r="W5504">
        <v>-3.7557029999999998E-2</v>
      </c>
      <c r="X5504">
        <v>0.99782420000000005</v>
      </c>
      <c r="Y5504">
        <v>1.505621E-2</v>
      </c>
      <c r="Z5504">
        <v>-8.7068919999999904E-3</v>
      </c>
      <c r="AA5504">
        <v>0.99984869999999904</v>
      </c>
      <c r="AB5504">
        <v>21</v>
      </c>
      <c r="AC5504">
        <v>0.73409999999998299</v>
      </c>
      <c r="AD5504">
        <v>-9.9635000000000098E-2</v>
      </c>
      <c r="AE5504">
        <v>3.5970000000005997E-2</v>
      </c>
      <c r="AF5504">
        <v>1.3313519737512E-2</v>
      </c>
      <c r="AG5504">
        <v>-9.9635000000000098E-2</v>
      </c>
      <c r="AH5504">
        <v>0.721594980237662</v>
      </c>
      <c r="AI5504">
        <v>97.860147011374295</v>
      </c>
      <c r="AJ5504">
        <v>88.943005460385606</v>
      </c>
      <c r="AK5504">
        <v>0.72856276224975502</v>
      </c>
    </row>
    <row r="5505" spans="1:37" x14ac:dyDescent="0.2">
      <c r="A5505" t="str">
        <f>"20200111160326236"</f>
        <v>20200111160326236</v>
      </c>
      <c r="B5505" t="str">
        <f>"1578729806229106"</f>
        <v>1578729806229106</v>
      </c>
      <c r="C5505" t="s">
        <v>37</v>
      </c>
      <c r="D5505">
        <v>5.0994570000000001</v>
      </c>
      <c r="E5505">
        <v>0.52696239999999905</v>
      </c>
      <c r="F5505" t="s">
        <v>42</v>
      </c>
      <c r="G5505">
        <v>-242.5172</v>
      </c>
      <c r="H5505">
        <v>1.017139</v>
      </c>
      <c r="I5505">
        <v>-62.443980000000003</v>
      </c>
      <c r="J5505">
        <v>-243.15549999999999</v>
      </c>
      <c r="K5505">
        <v>1.1041069999999999</v>
      </c>
      <c r="L5505">
        <v>-62.474699999999999</v>
      </c>
      <c r="M5505">
        <v>0.99765469999999901</v>
      </c>
      <c r="N5505">
        <v>0</v>
      </c>
      <c r="O5505">
        <v>6.740989E-2</v>
      </c>
      <c r="P5505">
        <v>0.99147830000000003</v>
      </c>
      <c r="Q5505">
        <v>-4.9620129999999998E-2</v>
      </c>
      <c r="R5505">
        <v>0.1204529</v>
      </c>
      <c r="S5505">
        <v>2.9899290000000001</v>
      </c>
      <c r="T5505">
        <v>-0.35148620000000003</v>
      </c>
      <c r="U5505">
        <v>0.15237429999999999</v>
      </c>
      <c r="V5505">
        <v>-5.3334479999999997E-2</v>
      </c>
      <c r="W5505">
        <v>-3.7777600000000001E-2</v>
      </c>
      <c r="X5505">
        <v>0.99786189999999997</v>
      </c>
      <c r="Y5505">
        <v>1.597488E-2</v>
      </c>
      <c r="Z5505">
        <v>-8.8200529999999996E-3</v>
      </c>
      <c r="AA5505">
        <v>0.99983349999999904</v>
      </c>
      <c r="AB5505">
        <v>21</v>
      </c>
      <c r="AC5505">
        <v>0.63829999999998599</v>
      </c>
      <c r="AD5505">
        <v>-8.6967999999999906E-2</v>
      </c>
      <c r="AE5505">
        <v>3.0719999999995199E-2</v>
      </c>
      <c r="AF5505">
        <v>1.2155520877309201E-2</v>
      </c>
      <c r="AG5505">
        <v>-8.6967999999999906E-2</v>
      </c>
      <c r="AH5505">
        <v>0.62730063758834798</v>
      </c>
      <c r="AI5505">
        <v>97.8916229632474</v>
      </c>
      <c r="AJ5505">
        <v>88.889889709593803</v>
      </c>
      <c r="AK5505">
        <v>0.63341714503993796</v>
      </c>
    </row>
    <row r="5506" spans="1:37" x14ac:dyDescent="0.2">
      <c r="A5506" t="str">
        <f>"20200111160326247"</f>
        <v>20200111160326247</v>
      </c>
      <c r="B5506" t="str">
        <f>"1578729806238865"</f>
        <v>1578729806238865</v>
      </c>
      <c r="C5506" t="s">
        <v>37</v>
      </c>
      <c r="D5506">
        <v>5.1061230000000002</v>
      </c>
      <c r="E5506">
        <v>0.52700290000000005</v>
      </c>
      <c r="F5506" t="s">
        <v>42</v>
      </c>
      <c r="G5506">
        <v>-242.33330000000001</v>
      </c>
      <c r="H5506">
        <v>1.007336</v>
      </c>
      <c r="I5506">
        <v>-62.433819999999997</v>
      </c>
      <c r="J5506">
        <v>-243.0506</v>
      </c>
      <c r="K5506">
        <v>1.1040719999999999</v>
      </c>
      <c r="L5506">
        <v>-62.467500000000001</v>
      </c>
      <c r="M5506">
        <v>0.99765009999999998</v>
      </c>
      <c r="N5506">
        <v>0</v>
      </c>
      <c r="O5506">
        <v>6.7458000000000004E-2</v>
      </c>
      <c r="P5506">
        <v>0.99161929999999998</v>
      </c>
      <c r="Q5506">
        <v>-4.9484229999999997E-2</v>
      </c>
      <c r="R5506">
        <v>0.1193417</v>
      </c>
      <c r="S5506">
        <v>2.9900359999999999</v>
      </c>
      <c r="T5506">
        <v>-0.35190110000000002</v>
      </c>
      <c r="U5506">
        <v>0.14913940000000001</v>
      </c>
      <c r="V5506">
        <v>-5.2171580000000002E-2</v>
      </c>
      <c r="W5506">
        <v>-3.7520459999999999E-2</v>
      </c>
      <c r="X5506">
        <v>0.99793299999999996</v>
      </c>
      <c r="Y5506">
        <v>1.709459E-2</v>
      </c>
      <c r="Z5506">
        <v>-8.901651E-3</v>
      </c>
      <c r="AA5506">
        <v>0.99981430000000004</v>
      </c>
      <c r="AB5506">
        <v>21</v>
      </c>
      <c r="AC5506">
        <v>0.71729999999999405</v>
      </c>
      <c r="AD5506">
        <v>-9.6735999999999905E-2</v>
      </c>
      <c r="AE5506">
        <v>3.3680000000003901E-2</v>
      </c>
      <c r="AF5506">
        <v>1.45242508767952E-2</v>
      </c>
      <c r="AG5506">
        <v>-9.6735999999999905E-2</v>
      </c>
      <c r="AH5506">
        <v>0.70514139287202104</v>
      </c>
      <c r="AI5506">
        <v>97.809820345645306</v>
      </c>
      <c r="AJ5506">
        <v>88.820008828398102</v>
      </c>
      <c r="AK5506">
        <v>0.71189408727775405</v>
      </c>
    </row>
    <row r="5507" spans="1:37" x14ac:dyDescent="0.2">
      <c r="A5507" t="str">
        <f>"20200111160326258"</f>
        <v>20200111160326258</v>
      </c>
      <c r="B5507" t="str">
        <f>"1578729806248625"</f>
        <v>1578729806248625</v>
      </c>
      <c r="C5507" t="s">
        <v>37</v>
      </c>
      <c r="D5507">
        <v>5.0712529999999996</v>
      </c>
      <c r="E5507">
        <v>0.52700290000000005</v>
      </c>
      <c r="F5507" t="s">
        <v>42</v>
      </c>
      <c r="G5507">
        <v>-242.32759999999999</v>
      </c>
      <c r="H5507">
        <v>1.019158</v>
      </c>
      <c r="I5507">
        <v>-62.432459999999999</v>
      </c>
      <c r="J5507">
        <v>-242.94929999999999</v>
      </c>
      <c r="K5507">
        <v>1.1040399999999999</v>
      </c>
      <c r="L5507">
        <v>-62.460630000000002</v>
      </c>
      <c r="M5507">
        <v>0.99764850000000005</v>
      </c>
      <c r="N5507">
        <v>0</v>
      </c>
      <c r="O5507">
        <v>6.7463789999999996E-2</v>
      </c>
      <c r="P5507">
        <v>0.991757</v>
      </c>
      <c r="Q5507">
        <v>-4.9062920000000003E-2</v>
      </c>
      <c r="R5507">
        <v>0.1183684</v>
      </c>
      <c r="S5507">
        <v>2.9903409999999999</v>
      </c>
      <c r="T5507">
        <v>-0.35117579999999998</v>
      </c>
      <c r="U5507">
        <v>0.14544679999999999</v>
      </c>
      <c r="V5507">
        <v>-5.1188039999999997E-2</v>
      </c>
      <c r="W5507">
        <v>-3.6987069999999997E-2</v>
      </c>
      <c r="X5507">
        <v>0.99800390000000005</v>
      </c>
      <c r="Y5507">
        <v>1.8331110000000001E-2</v>
      </c>
      <c r="Z5507">
        <v>-8.9558769999999992E-3</v>
      </c>
      <c r="AA5507">
        <v>0.99979189999999996</v>
      </c>
      <c r="AB5507">
        <v>21</v>
      </c>
      <c r="AC5507">
        <v>0.62170000000000403</v>
      </c>
      <c r="AD5507">
        <v>-8.4881999999999902E-2</v>
      </c>
      <c r="AE5507">
        <v>2.8170000000002901E-2</v>
      </c>
      <c r="AF5507">
        <v>1.3586739423081799E-2</v>
      </c>
      <c r="AG5507">
        <v>-8.4881999999999902E-2</v>
      </c>
      <c r="AH5507">
        <v>0.61082099032995196</v>
      </c>
      <c r="AI5507">
        <v>97.9094413142967</v>
      </c>
      <c r="AJ5507">
        <v>88.725756825236701</v>
      </c>
      <c r="AK5507">
        <v>0.61684020267798301</v>
      </c>
    </row>
    <row r="5508" spans="1:37" x14ac:dyDescent="0.2">
      <c r="A5508" t="str">
        <f>"20200111160326270"</f>
        <v>20200111160326270</v>
      </c>
      <c r="B5508" t="str">
        <f>"1578729806258385"</f>
        <v>1578729806258385</v>
      </c>
      <c r="C5508" t="s">
        <v>37</v>
      </c>
      <c r="D5508">
        <v>5.0883859999999999</v>
      </c>
      <c r="E5508">
        <v>0.51952869999999995</v>
      </c>
      <c r="F5508" t="s">
        <v>42</v>
      </c>
      <c r="G5508">
        <v>-242.1437</v>
      </c>
      <c r="H5508">
        <v>1.0098069999999999</v>
      </c>
      <c r="I5508">
        <v>-62.422339999999998</v>
      </c>
      <c r="J5508">
        <v>-242.84119999999999</v>
      </c>
      <c r="K5508">
        <v>1.1040110000000001</v>
      </c>
      <c r="L5508">
        <v>-62.453309999999902</v>
      </c>
      <c r="M5508">
        <v>0.99764730000000001</v>
      </c>
      <c r="N5508">
        <v>0</v>
      </c>
      <c r="O5508">
        <v>6.7459399999999906E-2</v>
      </c>
      <c r="P5508">
        <v>0.9919597</v>
      </c>
      <c r="Q5508">
        <v>-4.7949599999999898E-2</v>
      </c>
      <c r="R5508">
        <v>0.11711829999999999</v>
      </c>
      <c r="S5508">
        <v>2.990631</v>
      </c>
      <c r="T5508">
        <v>-0.34981760000000001</v>
      </c>
      <c r="U5508">
        <v>0.1424561</v>
      </c>
      <c r="V5508">
        <v>-4.9934850000000003E-2</v>
      </c>
      <c r="W5508">
        <v>-3.5754349999999997E-2</v>
      </c>
      <c r="X5508">
        <v>0.99811229999999995</v>
      </c>
      <c r="Y5508">
        <v>1.9326860000000001E-2</v>
      </c>
      <c r="Z5508">
        <v>-8.9784029999999994E-3</v>
      </c>
      <c r="AA5508">
        <v>0.99977289999999996</v>
      </c>
      <c r="AB5508">
        <v>21</v>
      </c>
      <c r="AC5508">
        <v>0.69749999999999002</v>
      </c>
      <c r="AD5508">
        <v>-9.4204000000000093E-2</v>
      </c>
      <c r="AE5508">
        <v>3.0969999999989201E-2</v>
      </c>
      <c r="AF5508">
        <v>1.5868117241405199E-2</v>
      </c>
      <c r="AG5508">
        <v>-9.4204000000000093E-2</v>
      </c>
      <c r="AH5508">
        <v>0.68552022824357595</v>
      </c>
      <c r="AI5508">
        <v>97.822492834975293</v>
      </c>
      <c r="AJ5508">
        <v>88.673979585425698</v>
      </c>
      <c r="AK5508">
        <v>0.69214461934765603</v>
      </c>
    </row>
    <row r="5509" spans="1:37" x14ac:dyDescent="0.2">
      <c r="A5509" t="str">
        <f>"20200111160326282"</f>
        <v>20200111160326282</v>
      </c>
      <c r="B5509" t="str">
        <f>"1578729806278880"</f>
        <v>1578729806278880</v>
      </c>
      <c r="C5509" t="s">
        <v>37</v>
      </c>
      <c r="D5509">
        <v>5.0491589999999897</v>
      </c>
      <c r="E5509">
        <v>0.51938609999999996</v>
      </c>
      <c r="F5509" t="s">
        <v>42</v>
      </c>
      <c r="G5509">
        <v>-241.95699999999999</v>
      </c>
      <c r="H5509">
        <v>1.0086389999999901</v>
      </c>
      <c r="I5509">
        <v>-62.394909999999904</v>
      </c>
      <c r="J5509">
        <v>-242.72579999999999</v>
      </c>
      <c r="K5509">
        <v>1.1039779999999999</v>
      </c>
      <c r="L5509">
        <v>-62.44556</v>
      </c>
      <c r="M5509">
        <v>0.99765000000000004</v>
      </c>
      <c r="N5509">
        <v>0</v>
      </c>
      <c r="O5509">
        <v>6.73985E-2</v>
      </c>
      <c r="P5509">
        <v>0.99214009999999997</v>
      </c>
      <c r="Q5509">
        <v>-4.6894539999999998E-2</v>
      </c>
      <c r="R5509">
        <v>0.11601350000000001</v>
      </c>
      <c r="S5509">
        <v>2.9853669999999899</v>
      </c>
      <c r="T5509">
        <v>-0.3219957</v>
      </c>
      <c r="U5509">
        <v>0.19775390000000001</v>
      </c>
      <c r="V5509">
        <v>-4.8884570000000002E-2</v>
      </c>
      <c r="W5509">
        <v>-3.4569599999999999E-2</v>
      </c>
      <c r="X5509">
        <v>0.99820599999999904</v>
      </c>
      <c r="Y5509">
        <v>9.1668740000000004E-4</v>
      </c>
      <c r="Z5509">
        <v>-7.282218E-3</v>
      </c>
      <c r="AA5509">
        <v>0.99997309999999995</v>
      </c>
      <c r="AB5509">
        <v>21</v>
      </c>
      <c r="AC5509">
        <v>0.76879999999999804</v>
      </c>
      <c r="AD5509">
        <v>-9.5339000000000201E-2</v>
      </c>
      <c r="AE5509">
        <v>5.0650000000004497E-2</v>
      </c>
      <c r="AF5509">
        <v>1.2657112778586899E-3</v>
      </c>
      <c r="AG5509">
        <v>-9.5339000000000201E-2</v>
      </c>
      <c r="AH5509">
        <v>0.75884608735215398</v>
      </c>
      <c r="AI5509">
        <v>97.160928739307195</v>
      </c>
      <c r="AJ5509">
        <v>89.904434050248994</v>
      </c>
      <c r="AK5509">
        <v>0.76481272951992096</v>
      </c>
    </row>
    <row r="5510" spans="1:37" x14ac:dyDescent="0.2">
      <c r="A5510" t="str">
        <f>"20200111160326298"</f>
        <v>20200111160326298</v>
      </c>
      <c r="B5510" t="str">
        <f>"1578729806288640"</f>
        <v>1578729806288640</v>
      </c>
      <c r="C5510" t="s">
        <v>37</v>
      </c>
      <c r="D5510">
        <v>5.0356750000000003</v>
      </c>
      <c r="E5510">
        <v>0.51926890000000003</v>
      </c>
      <c r="F5510" t="s">
        <v>42</v>
      </c>
      <c r="G5510">
        <v>-241.95009999999999</v>
      </c>
      <c r="H5510">
        <v>1.022877</v>
      </c>
      <c r="I5510">
        <v>-62.394939999999998</v>
      </c>
      <c r="J5510">
        <v>-242.57910000000001</v>
      </c>
      <c r="K5510">
        <v>1.103947</v>
      </c>
      <c r="L5510">
        <v>-62.43573</v>
      </c>
      <c r="M5510">
        <v>0.99765619999999999</v>
      </c>
      <c r="N5510">
        <v>0</v>
      </c>
      <c r="O5510">
        <v>6.7276420000000003E-2</v>
      </c>
      <c r="P5510">
        <v>0.9924518</v>
      </c>
      <c r="Q5510">
        <v>-4.5068990000000003E-2</v>
      </c>
      <c r="R5510">
        <v>0.11405559999999999</v>
      </c>
      <c r="S5510">
        <v>2.98612999999999</v>
      </c>
      <c r="T5510">
        <v>-0.3121678</v>
      </c>
      <c r="U5510">
        <v>0.19549559999999999</v>
      </c>
      <c r="V5510">
        <v>-4.7036069999999999E-2</v>
      </c>
      <c r="W5510">
        <v>-3.257757E-2</v>
      </c>
      <c r="X5510">
        <v>0.99836179999999997</v>
      </c>
      <c r="Y5510">
        <v>1.5850829999999999E-3</v>
      </c>
      <c r="Z5510">
        <v>-7.0817390000000001E-3</v>
      </c>
      <c r="AA5510">
        <v>0.99997369999999997</v>
      </c>
      <c r="AB5510">
        <v>21</v>
      </c>
      <c r="AC5510">
        <v>0.62900000000001899</v>
      </c>
      <c r="AD5510">
        <v>-8.1069999999999906E-2</v>
      </c>
      <c r="AE5510">
        <v>4.07900000000012E-2</v>
      </c>
      <c r="AF5510">
        <v>1.59619359078978E-3</v>
      </c>
      <c r="AG5510">
        <v>-8.1069999999999906E-2</v>
      </c>
      <c r="AH5510">
        <v>0.62006185485285403</v>
      </c>
      <c r="AI5510">
        <v>97.448860843572902</v>
      </c>
      <c r="AJ5510">
        <v>89.852506724440303</v>
      </c>
      <c r="AK5510">
        <v>0.625341184136741</v>
      </c>
    </row>
    <row r="5511" spans="1:37" x14ac:dyDescent="0.2">
      <c r="A5511" t="str">
        <f>"20200111160326310"</f>
        <v>20200111160326310</v>
      </c>
      <c r="B5511" t="str">
        <f>"1578729806298400"</f>
        <v>1578729806298400</v>
      </c>
      <c r="C5511" t="s">
        <v>37</v>
      </c>
      <c r="D5511">
        <v>5.0652699999999999</v>
      </c>
      <c r="E5511">
        <v>0.51917420000000003</v>
      </c>
      <c r="F5511" t="s">
        <v>42</v>
      </c>
      <c r="G5511">
        <v>-241.7637</v>
      </c>
      <c r="H5511">
        <v>1.0202869999999999</v>
      </c>
      <c r="I5511">
        <v>-62.383759999999903</v>
      </c>
      <c r="J5511">
        <v>-242.46979999999999</v>
      </c>
      <c r="K5511">
        <v>1.1039219999999901</v>
      </c>
      <c r="L5511">
        <v>-62.428469999999997</v>
      </c>
      <c r="M5511">
        <v>0.99766270000000001</v>
      </c>
      <c r="N5511">
        <v>0</v>
      </c>
      <c r="O5511">
        <v>6.7157220000000004E-2</v>
      </c>
      <c r="P5511">
        <v>0.99260990000000004</v>
      </c>
      <c r="Q5511">
        <v>-4.4453640000000003E-2</v>
      </c>
      <c r="R5511">
        <v>0.11291420000000001</v>
      </c>
      <c r="S5511">
        <v>2.98696899999999</v>
      </c>
      <c r="T5511">
        <v>-0.3064654</v>
      </c>
      <c r="U5511">
        <v>0.19064329999999999</v>
      </c>
      <c r="V5511">
        <v>-4.6008859999999999E-2</v>
      </c>
      <c r="W5511">
        <v>-3.1838230000000002E-2</v>
      </c>
      <c r="X5511">
        <v>0.99843349999999897</v>
      </c>
      <c r="Y5511">
        <v>3.107992E-3</v>
      </c>
      <c r="Z5511">
        <v>-7.0172730000000001E-3</v>
      </c>
      <c r="AA5511">
        <v>0.99997060000000004</v>
      </c>
      <c r="AB5511">
        <v>21</v>
      </c>
      <c r="AC5511">
        <v>0.70609999999999196</v>
      </c>
      <c r="AD5511">
        <v>-8.3634999999999599E-2</v>
      </c>
      <c r="AE5511">
        <v>4.4710000000001998E-2</v>
      </c>
      <c r="AF5511">
        <v>2.7756519075373899E-3</v>
      </c>
      <c r="AG5511">
        <v>-8.3634999999999599E-2</v>
      </c>
      <c r="AH5511">
        <v>0.69775835402229403</v>
      </c>
      <c r="AI5511">
        <v>96.834948470671094</v>
      </c>
      <c r="AJ5511">
        <v>89.772081122444902</v>
      </c>
      <c r="AK5511">
        <v>0.70275830701345199</v>
      </c>
    </row>
    <row r="5512" spans="1:37" x14ac:dyDescent="0.2">
      <c r="A5512" t="str">
        <f>"20200111160326320"</f>
        <v>20200111160326320</v>
      </c>
      <c r="B5512" t="str">
        <f>"1578729806309137"</f>
        <v>1578729806309137</v>
      </c>
      <c r="C5512" t="s">
        <v>37</v>
      </c>
      <c r="D5512">
        <v>5.0641369999999997</v>
      </c>
      <c r="E5512">
        <v>0.51928109999999905</v>
      </c>
      <c r="F5512" t="s">
        <v>42</v>
      </c>
      <c r="G5512">
        <v>-241.57990000000001</v>
      </c>
      <c r="H5512">
        <v>1.013037</v>
      </c>
      <c r="I5512">
        <v>-62.372599999999998</v>
      </c>
      <c r="J5512">
        <v>-242.3655</v>
      </c>
      <c r="K5512">
        <v>1.103896</v>
      </c>
      <c r="L5512">
        <v>-62.42163</v>
      </c>
      <c r="M5512">
        <v>0.99767280000000003</v>
      </c>
      <c r="N5512">
        <v>0</v>
      </c>
      <c r="O5512">
        <v>6.6988130000000007E-2</v>
      </c>
      <c r="P5512">
        <v>0.99273840000000002</v>
      </c>
      <c r="Q5512">
        <v>-4.3540089999999997E-2</v>
      </c>
      <c r="R5512">
        <v>0.112138</v>
      </c>
      <c r="S5512">
        <v>2.9872740000000002</v>
      </c>
      <c r="T5512">
        <v>-0.30501840000000002</v>
      </c>
      <c r="U5512">
        <v>0.18811040000000001</v>
      </c>
      <c r="V5512">
        <v>-4.5397100000000003E-2</v>
      </c>
      <c r="W5512">
        <v>-3.0810110000000002E-2</v>
      </c>
      <c r="X5512">
        <v>0.99849379999999999</v>
      </c>
      <c r="Y5512">
        <v>3.7904109999999901E-3</v>
      </c>
      <c r="Z5512">
        <v>-7.0014059999999999E-3</v>
      </c>
      <c r="AA5512">
        <v>0.99996830000000003</v>
      </c>
      <c r="AB5512">
        <v>21</v>
      </c>
      <c r="AC5512">
        <v>0.78559999999998797</v>
      </c>
      <c r="AD5512">
        <v>-9.0858999999999801E-2</v>
      </c>
      <c r="AE5512">
        <v>4.9030000000008997E-2</v>
      </c>
      <c r="AF5512">
        <v>3.6614904781499999E-3</v>
      </c>
      <c r="AG5512">
        <v>-9.0858999999999801E-2</v>
      </c>
      <c r="AH5512">
        <v>0.776769851986438</v>
      </c>
      <c r="AI5512">
        <v>96.671514102415202</v>
      </c>
      <c r="AJ5512">
        <v>89.729924640063501</v>
      </c>
      <c r="AK5512">
        <v>0.78207427227121695</v>
      </c>
    </row>
    <row r="5513" spans="1:37" x14ac:dyDescent="0.2">
      <c r="A5513" t="str">
        <f>"20200111160326332"</f>
        <v>20200111160326332</v>
      </c>
      <c r="B5513" t="str">
        <f>"1578729806328656"</f>
        <v>1578729806328656</v>
      </c>
      <c r="C5513" t="s">
        <v>37</v>
      </c>
      <c r="D5513">
        <v>5.0257819999999898</v>
      </c>
      <c r="E5513">
        <v>0.51957699999999996</v>
      </c>
      <c r="F5513" t="s">
        <v>42</v>
      </c>
      <c r="G5513">
        <v>-241.57470000000001</v>
      </c>
      <c r="H5513">
        <v>1.0235780000000001</v>
      </c>
      <c r="I5513">
        <v>-62.372819999999997</v>
      </c>
      <c r="J5513">
        <v>-242.25729999999999</v>
      </c>
      <c r="K5513">
        <v>1.1038699999999999</v>
      </c>
      <c r="L5513">
        <v>-62.414549999999998</v>
      </c>
      <c r="M5513">
        <v>0.99768419999999902</v>
      </c>
      <c r="N5513">
        <v>0</v>
      </c>
      <c r="O5513">
        <v>6.679562E-2</v>
      </c>
      <c r="P5513">
        <v>0.99287530000000002</v>
      </c>
      <c r="Q5513">
        <v>-4.2640690000000002E-2</v>
      </c>
      <c r="R5513">
        <v>0.1112682</v>
      </c>
      <c r="S5513">
        <v>2.9877319999999998</v>
      </c>
      <c r="T5513">
        <v>-0.30339319999999997</v>
      </c>
      <c r="U5513">
        <v>0.18505859999999999</v>
      </c>
      <c r="V5513">
        <v>-4.4715249999999998E-2</v>
      </c>
      <c r="W5513">
        <v>-2.9794689999999999E-2</v>
      </c>
      <c r="X5513">
        <v>0.99855539999999998</v>
      </c>
      <c r="Y5513">
        <v>4.6252690000000004E-3</v>
      </c>
      <c r="Z5513">
        <v>-6.9863310000000001E-3</v>
      </c>
      <c r="AA5513">
        <v>0.99996489999999905</v>
      </c>
      <c r="AB5513">
        <v>21</v>
      </c>
      <c r="AC5513">
        <v>0.682599999999979</v>
      </c>
      <c r="AD5513">
        <v>-8.0292000000000002E-2</v>
      </c>
      <c r="AE5513">
        <v>4.17300000000011E-2</v>
      </c>
      <c r="AF5513">
        <v>3.9077875616091102E-3</v>
      </c>
      <c r="AG5513">
        <v>-8.0292000000000002E-2</v>
      </c>
      <c r="AH5513">
        <v>0.67456434327012604</v>
      </c>
      <c r="AI5513">
        <v>96.787749619070397</v>
      </c>
      <c r="AJ5513">
        <v>89.668086177181195</v>
      </c>
      <c r="AK5513">
        <v>0.679337272110903</v>
      </c>
    </row>
    <row r="5514" spans="1:37" x14ac:dyDescent="0.2">
      <c r="A5514" t="str">
        <f>"20200111160326344"</f>
        <v>20200111160326344</v>
      </c>
      <c r="B5514" t="str">
        <f>"1578729806338417"</f>
        <v>1578729806338417</v>
      </c>
      <c r="C5514" t="s">
        <v>37</v>
      </c>
      <c r="D5514">
        <v>5.0761029999999998</v>
      </c>
      <c r="E5514">
        <v>0.51943660000000003</v>
      </c>
      <c r="F5514" t="s">
        <v>42</v>
      </c>
      <c r="G5514">
        <v>-241.39109999999999</v>
      </c>
      <c r="H5514">
        <v>1.01667</v>
      </c>
      <c r="I5514">
        <v>-62.362439999999999</v>
      </c>
      <c r="J5514">
        <v>-242.14359999999999</v>
      </c>
      <c r="K5514">
        <v>1.103845</v>
      </c>
      <c r="L5514">
        <v>-62.407229999999998</v>
      </c>
      <c r="M5514">
        <v>0.99769929999999996</v>
      </c>
      <c r="N5514">
        <v>0</v>
      </c>
      <c r="O5514">
        <v>6.6548360000000001E-2</v>
      </c>
      <c r="P5514">
        <v>0.99298790000000003</v>
      </c>
      <c r="Q5514">
        <v>-4.2169789999999999E-2</v>
      </c>
      <c r="R5514">
        <v>0.11043939999999999</v>
      </c>
      <c r="S5514">
        <v>2.9884490000000001</v>
      </c>
      <c r="T5514">
        <v>-0.3008208</v>
      </c>
      <c r="U5514">
        <v>0.180175799999999</v>
      </c>
      <c r="V5514">
        <v>-4.4130820000000001E-2</v>
      </c>
      <c r="W5514">
        <v>-2.9209209999999999E-2</v>
      </c>
      <c r="X5514">
        <v>0.998598599999999</v>
      </c>
      <c r="Y5514">
        <v>6.0205950000000001E-3</v>
      </c>
      <c r="Z5514">
        <v>-6.9714310000000002E-3</v>
      </c>
      <c r="AA5514">
        <v>0.999957599999999</v>
      </c>
      <c r="AB5514">
        <v>21</v>
      </c>
      <c r="AC5514">
        <v>0.75249999999999695</v>
      </c>
      <c r="AD5514">
        <v>-8.7175000000000002E-2</v>
      </c>
      <c r="AE5514">
        <v>4.4790000000006103E-2</v>
      </c>
      <c r="AF5514">
        <v>5.3199952668559203E-3</v>
      </c>
      <c r="AG5514">
        <v>-8.7175000000000002E-2</v>
      </c>
      <c r="AH5514">
        <v>0.74386468621143698</v>
      </c>
      <c r="AI5514">
        <v>96.683949793804601</v>
      </c>
      <c r="AJ5514">
        <v>89.590237196770303</v>
      </c>
      <c r="AK5514">
        <v>0.748974268160849</v>
      </c>
    </row>
    <row r="5515" spans="1:37" x14ac:dyDescent="0.2">
      <c r="A5515" t="str">
        <f>"20200111160326356"</f>
        <v>20200111160326356</v>
      </c>
      <c r="B5515" t="str">
        <f>"1578729806349152"</f>
        <v>1578729806349152</v>
      </c>
      <c r="C5515" t="s">
        <v>37</v>
      </c>
      <c r="D5515">
        <v>5.2033009999999997</v>
      </c>
      <c r="E5515">
        <v>0.51962909999999995</v>
      </c>
      <c r="F5515" t="s">
        <v>42</v>
      </c>
      <c r="G5515">
        <v>-241.38570000000001</v>
      </c>
      <c r="H5515">
        <v>1.027809</v>
      </c>
      <c r="I5515">
        <v>-62.361959999999897</v>
      </c>
      <c r="J5515">
        <v>-242.02670000000001</v>
      </c>
      <c r="K5515">
        <v>1.1038159999999999</v>
      </c>
      <c r="L5515">
        <v>-62.399719999999903</v>
      </c>
      <c r="M5515">
        <v>0.99771739999999998</v>
      </c>
      <c r="N5515">
        <v>0</v>
      </c>
      <c r="O5515">
        <v>6.6253480000000003E-2</v>
      </c>
      <c r="P5515">
        <v>0.99309439999999904</v>
      </c>
      <c r="Q5515">
        <v>-4.1387210000000001E-2</v>
      </c>
      <c r="R5515">
        <v>0.1097756</v>
      </c>
      <c r="S5515">
        <v>2.988556</v>
      </c>
      <c r="T5515">
        <v>-0.29972959999999998</v>
      </c>
      <c r="U5515">
        <v>0.17895510000000001</v>
      </c>
      <c r="V5515">
        <v>-4.3759100000000002E-2</v>
      </c>
      <c r="W5515">
        <v>-2.8316239999999999E-2</v>
      </c>
      <c r="X5515">
        <v>0.99864069999999905</v>
      </c>
      <c r="Y5515">
        <v>6.1377860000000001E-3</v>
      </c>
      <c r="Z5515">
        <v>-6.9225989999999998E-3</v>
      </c>
      <c r="AA5515">
        <v>0.99995719999999999</v>
      </c>
      <c r="AB5515">
        <v>21</v>
      </c>
      <c r="AC5515">
        <v>0.64099999999999102</v>
      </c>
      <c r="AD5515">
        <v>-7.6006999999999894E-2</v>
      </c>
      <c r="AE5515">
        <v>3.77599999999986E-2</v>
      </c>
      <c r="AF5515">
        <v>4.7288221704448697E-3</v>
      </c>
      <c r="AG5515">
        <v>-7.6006999999999894E-2</v>
      </c>
      <c r="AH5515">
        <v>0.63322089851682795</v>
      </c>
      <c r="AI5515">
        <v>96.844412238739594</v>
      </c>
      <c r="AJ5515">
        <v>89.572129542006707</v>
      </c>
      <c r="AK5515">
        <v>0.63778376596349495</v>
      </c>
    </row>
    <row r="5516" spans="1:37" x14ac:dyDescent="0.2">
      <c r="A5516" t="str">
        <f>"20200111160326368"</f>
        <v>20200111160326368</v>
      </c>
      <c r="B5516" t="str">
        <f>"1578729806358913"</f>
        <v>1578729806358913</v>
      </c>
      <c r="C5516" t="s">
        <v>37</v>
      </c>
      <c r="D5516">
        <v>5.0527550000000003</v>
      </c>
      <c r="E5516">
        <v>0.51945980000000003</v>
      </c>
      <c r="F5516" t="s">
        <v>42</v>
      </c>
      <c r="G5516">
        <v>-241.2021</v>
      </c>
      <c r="H5516">
        <v>1.0214019999999999</v>
      </c>
      <c r="I5516">
        <v>-62.35145</v>
      </c>
      <c r="J5516">
        <v>-241.91890000000001</v>
      </c>
      <c r="K5516">
        <v>1.10379</v>
      </c>
      <c r="L5516">
        <v>-62.392879999999998</v>
      </c>
      <c r="M5516">
        <v>0.99773579999999995</v>
      </c>
      <c r="N5516">
        <v>0</v>
      </c>
      <c r="O5516">
        <v>6.5959989999999996E-2</v>
      </c>
      <c r="P5516">
        <v>0.99316659999999901</v>
      </c>
      <c r="Q5516">
        <v>-4.0762310000000003E-2</v>
      </c>
      <c r="R5516">
        <v>0.1093563</v>
      </c>
      <c r="S5516">
        <v>2.9889830000000002</v>
      </c>
      <c r="T5516">
        <v>-0.29861670000000001</v>
      </c>
      <c r="U5516">
        <v>0.1756287</v>
      </c>
      <c r="V5516">
        <v>-4.3630929999999998E-2</v>
      </c>
      <c r="W5516">
        <v>-2.7593449999999999E-2</v>
      </c>
      <c r="X5516">
        <v>0.99866659999999996</v>
      </c>
      <c r="Y5516">
        <v>6.9612789999999999E-3</v>
      </c>
      <c r="Z5516">
        <v>-6.9081849999999998E-3</v>
      </c>
      <c r="AA5516">
        <v>0.9999519</v>
      </c>
      <c r="AB5516">
        <v>21</v>
      </c>
      <c r="AC5516">
        <v>0.71680000000000599</v>
      </c>
      <c r="AD5516">
        <v>-8.2387999999999906E-2</v>
      </c>
      <c r="AE5516">
        <v>4.14300000000054E-2</v>
      </c>
      <c r="AF5516">
        <v>5.86718686800837E-3</v>
      </c>
      <c r="AG5516">
        <v>-8.2387999999999906E-2</v>
      </c>
      <c r="AH5516">
        <v>0.70864108491255795</v>
      </c>
      <c r="AI5516">
        <v>96.631321996362303</v>
      </c>
      <c r="AJ5516">
        <v>89.525630998176695</v>
      </c>
      <c r="AK5516">
        <v>0.71343843017585695</v>
      </c>
    </row>
    <row r="5517" spans="1:37" x14ac:dyDescent="0.2">
      <c r="A5517" t="str">
        <f>"20200111160326379"</f>
        <v>20200111160326379</v>
      </c>
      <c r="B5517" t="str">
        <f>"1578729806368673"</f>
        <v>1578729806368673</v>
      </c>
      <c r="C5517" t="s">
        <v>37</v>
      </c>
      <c r="D5517">
        <v>5.0842720000000003</v>
      </c>
      <c r="E5517">
        <v>0.51926110000000003</v>
      </c>
      <c r="F5517" t="s">
        <v>42</v>
      </c>
      <c r="G5517">
        <v>-241.1969</v>
      </c>
      <c r="H5517">
        <v>1.032016</v>
      </c>
      <c r="I5517">
        <v>-62.350589999999997</v>
      </c>
      <c r="J5517">
        <v>-241.8201</v>
      </c>
      <c r="K5517">
        <v>1.103769</v>
      </c>
      <c r="L5517">
        <v>-62.386659999999999</v>
      </c>
      <c r="M5517">
        <v>0.99775559999999996</v>
      </c>
      <c r="N5517">
        <v>0</v>
      </c>
      <c r="O5517">
        <v>6.5642389999999995E-2</v>
      </c>
      <c r="P5517">
        <v>0.99326219999999998</v>
      </c>
      <c r="Q5517">
        <v>-4.0275099999999897E-2</v>
      </c>
      <c r="R5517">
        <v>0.1086652</v>
      </c>
      <c r="S5517">
        <v>2.98909</v>
      </c>
      <c r="T5517">
        <v>-0.29706070000000001</v>
      </c>
      <c r="U5517">
        <v>0.17590329999999901</v>
      </c>
      <c r="V5517">
        <v>-4.325445E-2</v>
      </c>
      <c r="W5517">
        <v>-2.702562E-2</v>
      </c>
      <c r="X5517">
        <v>0.99869850000000004</v>
      </c>
      <c r="Y5517">
        <v>6.560855E-3</v>
      </c>
      <c r="Z5517">
        <v>-6.8208940000000001E-3</v>
      </c>
      <c r="AA5517">
        <v>0.99995519999999904</v>
      </c>
      <c r="AB5517">
        <v>21</v>
      </c>
      <c r="AC5517">
        <v>0.62319999999999698</v>
      </c>
      <c r="AD5517">
        <v>-7.17529999999999E-2</v>
      </c>
      <c r="AE5517">
        <v>3.6069999999995099E-2</v>
      </c>
      <c r="AF5517">
        <v>4.8555706294051704E-3</v>
      </c>
      <c r="AG5517">
        <v>-7.17529999999999E-2</v>
      </c>
      <c r="AH5517">
        <v>0.616083803983273</v>
      </c>
      <c r="AI5517">
        <v>96.642894208864604</v>
      </c>
      <c r="AJ5517">
        <v>89.548441393294993</v>
      </c>
      <c r="AK5517">
        <v>0.62026713850214299</v>
      </c>
    </row>
    <row r="5518" spans="1:37" x14ac:dyDescent="0.2">
      <c r="A5518" t="str">
        <f>"20200111160326392"</f>
        <v>20200111160326392</v>
      </c>
      <c r="B5518" t="str">
        <f>"1578729806389169"</f>
        <v>1578729806389169</v>
      </c>
      <c r="C5518" t="s">
        <v>37</v>
      </c>
      <c r="D5518">
        <v>5.0707449999999996</v>
      </c>
      <c r="E5518">
        <v>0.51894879999999999</v>
      </c>
      <c r="F5518" t="s">
        <v>42</v>
      </c>
      <c r="G5518">
        <v>-241.0145</v>
      </c>
      <c r="H5518">
        <v>1.0240370000000001</v>
      </c>
      <c r="I5518">
        <v>-62.339419999999997</v>
      </c>
      <c r="J5518">
        <v>-241.70189999999999</v>
      </c>
      <c r="K5518">
        <v>1.1037429999999999</v>
      </c>
      <c r="L5518">
        <v>-62.379300000000001</v>
      </c>
      <c r="M5518">
        <v>0.99778040000000001</v>
      </c>
      <c r="N5518">
        <v>0</v>
      </c>
      <c r="O5518">
        <v>6.5246979999999996E-2</v>
      </c>
      <c r="P5518">
        <v>0.99328689999999997</v>
      </c>
      <c r="Q5518">
        <v>-3.9649780000000003E-2</v>
      </c>
      <c r="R5518">
        <v>0.10867010000000001</v>
      </c>
      <c r="S5518">
        <v>2.9891509999999899</v>
      </c>
      <c r="T5518">
        <v>-0.29578080000000001</v>
      </c>
      <c r="U5518">
        <v>0.1755371</v>
      </c>
      <c r="V5518">
        <v>-4.3654829999999999E-2</v>
      </c>
      <c r="W5518">
        <v>-2.6306030000000001E-2</v>
      </c>
      <c r="X5518">
        <v>0.99870029999999999</v>
      </c>
      <c r="Y5518">
        <v>6.2941919999999997E-3</v>
      </c>
      <c r="Z5518">
        <v>-6.7394969999999997E-3</v>
      </c>
      <c r="AA5518">
        <v>0.99995750000000005</v>
      </c>
      <c r="AB5518">
        <v>21</v>
      </c>
      <c r="AC5518">
        <v>0.68739999999999601</v>
      </c>
      <c r="AD5518">
        <v>-7.9705999999999805E-2</v>
      </c>
      <c r="AE5518">
        <v>3.98800000000036E-2</v>
      </c>
      <c r="AF5518">
        <v>4.9928359444983E-3</v>
      </c>
      <c r="AG5518">
        <v>-7.9705999999999805E-2</v>
      </c>
      <c r="AH5518">
        <v>0.679432893781306</v>
      </c>
      <c r="AI5518">
        <v>96.690752325927605</v>
      </c>
      <c r="AJ5518">
        <v>89.578967575925205</v>
      </c>
      <c r="AK5518">
        <v>0.68411039459929801</v>
      </c>
    </row>
    <row r="5519" spans="1:37" x14ac:dyDescent="0.2">
      <c r="A5519" t="str">
        <f>"20200111160326404"</f>
        <v>20200111160326404</v>
      </c>
      <c r="B5519" t="str">
        <f>"1578729806398929"</f>
        <v>1578729806398929</v>
      </c>
      <c r="C5519" t="s">
        <v>37</v>
      </c>
      <c r="D5519">
        <v>5.1055269999999897</v>
      </c>
      <c r="E5519">
        <v>0.51877189999999995</v>
      </c>
      <c r="F5519" t="s">
        <v>42</v>
      </c>
      <c r="G5519">
        <v>-240.83160000000001</v>
      </c>
      <c r="H5519">
        <v>1.0178609999999999</v>
      </c>
      <c r="I5519">
        <v>-62.327669999999998</v>
      </c>
      <c r="J5519">
        <v>-241.578</v>
      </c>
      <c r="K5519">
        <v>1.103718</v>
      </c>
      <c r="L5519">
        <v>-62.371729999999999</v>
      </c>
      <c r="M5519">
        <v>0.99780919999999895</v>
      </c>
      <c r="N5519">
        <v>0</v>
      </c>
      <c r="O5519">
        <v>6.4787899999999995E-2</v>
      </c>
      <c r="P5519">
        <v>0.99331930000000002</v>
      </c>
      <c r="Q5519">
        <v>-3.943091E-2</v>
      </c>
      <c r="R5519">
        <v>0.10845299999999999</v>
      </c>
      <c r="S5519">
        <v>2.9890140000000001</v>
      </c>
      <c r="T5519">
        <v>-0.29480149999999999</v>
      </c>
      <c r="U5519">
        <v>0.1782532</v>
      </c>
      <c r="V5519">
        <v>-4.3897100000000001E-2</v>
      </c>
      <c r="W5519">
        <v>-2.5996729999999999E-2</v>
      </c>
      <c r="X5519">
        <v>0.99869779999999997</v>
      </c>
      <c r="Y5519">
        <v>4.9370519999999999E-3</v>
      </c>
      <c r="Z5519">
        <v>-6.6056580000000004E-3</v>
      </c>
      <c r="AA5519">
        <v>0.99996600000000002</v>
      </c>
      <c r="AB5519">
        <v>21</v>
      </c>
      <c r="AC5519">
        <v>0.74639999999999396</v>
      </c>
      <c r="AD5519">
        <v>-8.5856999999999795E-2</v>
      </c>
      <c r="AE5519">
        <v>4.40600000000088E-2</v>
      </c>
      <c r="AF5519">
        <v>4.3374181239235598E-3</v>
      </c>
      <c r="AG5519">
        <v>-8.5856999999999795E-2</v>
      </c>
      <c r="AH5519">
        <v>0.73795604658204805</v>
      </c>
      <c r="AI5519">
        <v>96.636090100259594</v>
      </c>
      <c r="AJ5519">
        <v>89.663241609134005</v>
      </c>
      <c r="AK5519">
        <v>0.74294640744268203</v>
      </c>
    </row>
    <row r="5520" spans="1:37" x14ac:dyDescent="0.2">
      <c r="A5520" t="str">
        <f>"20200111160326416"</f>
        <v>20200111160326416</v>
      </c>
      <c r="B5520" t="str">
        <f>"1578729806408689"</f>
        <v>1578729806408689</v>
      </c>
      <c r="C5520" t="s">
        <v>37</v>
      </c>
      <c r="D5520">
        <v>5.1015519999999999</v>
      </c>
      <c r="E5520">
        <v>0.51858779999999904</v>
      </c>
      <c r="F5520" t="s">
        <v>42</v>
      </c>
      <c r="G5520">
        <v>-240.8261</v>
      </c>
      <c r="H5520">
        <v>1.0291709999999901</v>
      </c>
      <c r="I5520">
        <v>-62.326919999999902</v>
      </c>
      <c r="J5520">
        <v>-241.46960000000001</v>
      </c>
      <c r="K5520">
        <v>1.103699</v>
      </c>
      <c r="L5520">
        <v>-62.3651699999999</v>
      </c>
      <c r="M5520">
        <v>0.99783599999999995</v>
      </c>
      <c r="N5520">
        <v>0</v>
      </c>
      <c r="O5520">
        <v>6.4359200000000005E-2</v>
      </c>
      <c r="P5520">
        <v>0.99331700000000001</v>
      </c>
      <c r="Q5520">
        <v>-3.9237870000000001E-2</v>
      </c>
      <c r="R5520">
        <v>0.1085433</v>
      </c>
      <c r="S5520">
        <v>2.988861</v>
      </c>
      <c r="T5520">
        <v>-0.29614390000000002</v>
      </c>
      <c r="U5520">
        <v>0.17922969999999999</v>
      </c>
      <c r="V5520">
        <v>-4.4417900000000003E-2</v>
      </c>
      <c r="W5520">
        <v>-2.5730349999999999E-2</v>
      </c>
      <c r="X5520">
        <v>0.99868159999999895</v>
      </c>
      <c r="Y5520">
        <v>4.1815749999999999E-3</v>
      </c>
      <c r="Z5520">
        <v>-6.5563169999999999E-3</v>
      </c>
      <c r="AA5520">
        <v>0.99996980000000002</v>
      </c>
      <c r="AB5520">
        <v>21</v>
      </c>
      <c r="AC5520">
        <v>0.64350000000001695</v>
      </c>
      <c r="AD5520">
        <v>-7.4528000000000094E-2</v>
      </c>
      <c r="AE5520">
        <v>3.8249999999997897E-2</v>
      </c>
      <c r="AF5520">
        <v>3.2053687080978001E-3</v>
      </c>
      <c r="AG5520">
        <v>-7.4528000000000094E-2</v>
      </c>
      <c r="AH5520">
        <v>0.63612499883483498</v>
      </c>
      <c r="AI5520">
        <v>96.682189777447604</v>
      </c>
      <c r="AJ5520">
        <v>89.711294879525795</v>
      </c>
      <c r="AK5520">
        <v>0.64048396647782901</v>
      </c>
    </row>
    <row r="5521" spans="1:37" x14ac:dyDescent="0.2">
      <c r="A5521" t="str">
        <f>"20200111160326434"</f>
        <v>20200111160326434</v>
      </c>
      <c r="B5521" t="str">
        <f>"1578729806429184"</f>
        <v>1578729806429184</v>
      </c>
      <c r="C5521" t="s">
        <v>37</v>
      </c>
      <c r="D5521">
        <v>5.1342369999999997</v>
      </c>
      <c r="E5521">
        <v>0.51835640000000005</v>
      </c>
      <c r="F5521" t="s">
        <v>42</v>
      </c>
      <c r="G5521">
        <v>-240.64410000000001</v>
      </c>
      <c r="H5521">
        <v>1.0217780000000001</v>
      </c>
      <c r="I5521">
        <v>-62.315369999999902</v>
      </c>
      <c r="J5521">
        <v>-241.32089999999999</v>
      </c>
      <c r="K5521">
        <v>1.1036729999999999</v>
      </c>
      <c r="L5521">
        <v>-62.356290000000001</v>
      </c>
      <c r="M5521">
        <v>0.99787440000000005</v>
      </c>
      <c r="N5521">
        <v>0</v>
      </c>
      <c r="O5521">
        <v>6.3742099999999996E-2</v>
      </c>
      <c r="P5521">
        <v>0.99321340000000002</v>
      </c>
      <c r="Q5521">
        <v>-3.9109930000000001E-2</v>
      </c>
      <c r="R5521">
        <v>0.10953399999999899</v>
      </c>
      <c r="S5521">
        <v>2.9886629999999998</v>
      </c>
      <c r="T5521">
        <v>-0.29645189999999999</v>
      </c>
      <c r="U5521">
        <v>0.18109129999999901</v>
      </c>
      <c r="V5521">
        <v>-4.6032459999999997E-2</v>
      </c>
      <c r="W5521">
        <v>-2.550792E-2</v>
      </c>
      <c r="X5521">
        <v>0.99861420000000001</v>
      </c>
      <c r="Y5521">
        <v>2.9469639999999998E-3</v>
      </c>
      <c r="Z5521">
        <v>-6.4415050000000001E-3</v>
      </c>
      <c r="AA5521">
        <v>0.9999749</v>
      </c>
      <c r="AB5521">
        <v>21</v>
      </c>
      <c r="AC5521">
        <v>0.67679999999998497</v>
      </c>
      <c r="AD5521">
        <v>-8.1894999999999801E-2</v>
      </c>
      <c r="AE5521">
        <v>4.0920000000006902E-2</v>
      </c>
      <c r="AF5521">
        <v>2.27466093673085E-3</v>
      </c>
      <c r="AG5521">
        <v>-8.1894999999999801E-2</v>
      </c>
      <c r="AH5521">
        <v>0.66828276079001703</v>
      </c>
      <c r="AI5521">
        <v>96.986461984802105</v>
      </c>
      <c r="AJ5521">
        <v>89.804980801774903</v>
      </c>
      <c r="AK5521">
        <v>0.67328583341438597</v>
      </c>
    </row>
    <row r="5522" spans="1:37" x14ac:dyDescent="0.2">
      <c r="A5522" t="str">
        <f>"20200111160326444"</f>
        <v>20200111160326444</v>
      </c>
      <c r="B5522" t="str">
        <f>"1578729806438944"</f>
        <v>1578729806438944</v>
      </c>
      <c r="C5522" t="s">
        <v>37</v>
      </c>
      <c r="D5522">
        <v>5.2787189999999997</v>
      </c>
      <c r="E5522">
        <v>0.51832929999999999</v>
      </c>
      <c r="F5522" t="s">
        <v>42</v>
      </c>
      <c r="G5522">
        <v>-240.4606</v>
      </c>
      <c r="H5522">
        <v>1.0182450000000001</v>
      </c>
      <c r="I5522">
        <v>-62.30274</v>
      </c>
      <c r="J5522">
        <v>-241.2148</v>
      </c>
      <c r="K5522">
        <v>1.1036629999999901</v>
      </c>
      <c r="L5522">
        <v>-62.35004</v>
      </c>
      <c r="M5522">
        <v>0.99790299999999998</v>
      </c>
      <c r="N5522">
        <v>0</v>
      </c>
      <c r="O5522">
        <v>6.3279169999999996E-2</v>
      </c>
      <c r="P5522">
        <v>0.99314460000000004</v>
      </c>
      <c r="Q5522">
        <v>-3.9386749999999998E-2</v>
      </c>
      <c r="R5522">
        <v>0.1100573</v>
      </c>
      <c r="S5522">
        <v>2.9882659999999999</v>
      </c>
      <c r="T5522">
        <v>-0.29675089999999998</v>
      </c>
      <c r="U5522">
        <v>0.1863098</v>
      </c>
      <c r="V5522">
        <v>-4.7023580000000002E-2</v>
      </c>
      <c r="W5522">
        <v>-2.572414E-2</v>
      </c>
      <c r="X5522">
        <v>0.99856250000000002</v>
      </c>
      <c r="Y5522">
        <v>7.477041E-4</v>
      </c>
      <c r="Z5522">
        <v>-6.293865E-3</v>
      </c>
      <c r="AA5522">
        <v>0.99997990000000003</v>
      </c>
      <c r="AB5522">
        <v>21</v>
      </c>
      <c r="AC5522">
        <v>0.75419999999999698</v>
      </c>
      <c r="AD5522">
        <v>-8.5417999999999702E-2</v>
      </c>
      <c r="AE5522">
        <v>4.7299999999999898E-2</v>
      </c>
      <c r="AF5522">
        <v>5.1777127165475402E-4</v>
      </c>
      <c r="AG5522">
        <v>-8.5417999999999702E-2</v>
      </c>
      <c r="AH5522">
        <v>0.74614822248799895</v>
      </c>
      <c r="AI5522">
        <v>96.530708711319505</v>
      </c>
      <c r="AJ5522">
        <v>89.960241004450396</v>
      </c>
      <c r="AK5522">
        <v>0.75102175250327496</v>
      </c>
    </row>
    <row r="5523" spans="1:37" x14ac:dyDescent="0.2">
      <c r="A5523" t="str">
        <f>"20200111160326455"</f>
        <v>20200111160326455</v>
      </c>
      <c r="B5523" t="str">
        <f>"1578729806448704"</f>
        <v>1578729806448704</v>
      </c>
      <c r="C5523" t="s">
        <v>37</v>
      </c>
      <c r="D5523">
        <v>5.1000860000000001</v>
      </c>
      <c r="E5523">
        <v>0.51822879999999905</v>
      </c>
      <c r="F5523" t="s">
        <v>42</v>
      </c>
      <c r="G5523">
        <v>-240.45590000000001</v>
      </c>
      <c r="H5523">
        <v>1.028003</v>
      </c>
      <c r="I5523">
        <v>-62.302280000000003</v>
      </c>
      <c r="J5523">
        <v>-241.1105</v>
      </c>
      <c r="K5523">
        <v>1.103656</v>
      </c>
      <c r="L5523">
        <v>-62.34393</v>
      </c>
      <c r="M5523">
        <v>0.99793189999999998</v>
      </c>
      <c r="N5523">
        <v>0</v>
      </c>
      <c r="O5523">
        <v>6.2811850000000002E-2</v>
      </c>
      <c r="P5523">
        <v>0.99310489999999996</v>
      </c>
      <c r="Q5523">
        <v>-3.926193E-2</v>
      </c>
      <c r="R5523">
        <v>0.11046110000000001</v>
      </c>
      <c r="S5523">
        <v>2.9880369999999998</v>
      </c>
      <c r="T5523">
        <v>-0.29785070000000002</v>
      </c>
      <c r="U5523">
        <v>0.18832399999999999</v>
      </c>
      <c r="V5523">
        <v>-4.7897040000000002E-2</v>
      </c>
      <c r="W5523">
        <v>-2.5544310000000001E-2</v>
      </c>
      <c r="X5523">
        <v>0.99852559999999901</v>
      </c>
      <c r="Y5523">
        <v>-3.9117470000000001E-4</v>
      </c>
      <c r="Z5523">
        <v>-6.2145169999999897E-3</v>
      </c>
      <c r="AA5523">
        <v>0.9999806</v>
      </c>
      <c r="AB5523">
        <v>21</v>
      </c>
      <c r="AC5523">
        <v>0.65459999999998697</v>
      </c>
      <c r="AD5523">
        <v>-7.5652999999999901E-2</v>
      </c>
      <c r="AE5523">
        <v>4.16500000000041E-2</v>
      </c>
      <c r="AF5523">
        <v>-4.4139651093856499E-4</v>
      </c>
      <c r="AG5523">
        <v>-7.5652999999999901E-2</v>
      </c>
      <c r="AH5523">
        <v>0.64731241448547105</v>
      </c>
      <c r="AI5523">
        <v>96.666056489611194</v>
      </c>
      <c r="AJ5523">
        <v>90.039069470448695</v>
      </c>
      <c r="AK5523">
        <v>0.65171844625335695</v>
      </c>
    </row>
    <row r="5524" spans="1:37" x14ac:dyDescent="0.2">
      <c r="A5524" t="str">
        <f>"20200111160326466"</f>
        <v>20200111160326466</v>
      </c>
      <c r="B5524" t="str">
        <f>"1578729806458465"</f>
        <v>1578729806458465</v>
      </c>
      <c r="C5524" t="s">
        <v>37</v>
      </c>
      <c r="D5524">
        <v>5.1531949999999904</v>
      </c>
      <c r="E5524">
        <v>0.51807349999999996</v>
      </c>
      <c r="F5524" t="s">
        <v>42</v>
      </c>
      <c r="G5524">
        <v>-240.2748</v>
      </c>
      <c r="H5524">
        <v>1.02017</v>
      </c>
      <c r="I5524">
        <v>-62.290790000000001</v>
      </c>
      <c r="J5524">
        <v>-241.00989999999999</v>
      </c>
      <c r="K5524">
        <v>1.103656</v>
      </c>
      <c r="L5524">
        <v>-62.338099999999997</v>
      </c>
      <c r="M5524">
        <v>0.99795990000000001</v>
      </c>
      <c r="N5524">
        <v>0</v>
      </c>
      <c r="O5524">
        <v>6.2353989999999998E-2</v>
      </c>
      <c r="P5524">
        <v>0.99306369999999899</v>
      </c>
      <c r="Q5524">
        <v>-3.8977579999999998E-2</v>
      </c>
      <c r="R5524">
        <v>0.11093</v>
      </c>
      <c r="S5524">
        <v>2.987854</v>
      </c>
      <c r="T5524">
        <v>-0.29842779999999902</v>
      </c>
      <c r="U5524">
        <v>0.1905212</v>
      </c>
      <c r="V5524">
        <v>-4.8824939999999997E-2</v>
      </c>
      <c r="W5524">
        <v>-2.520998E-2</v>
      </c>
      <c r="X5524">
        <v>0.99848909999999902</v>
      </c>
      <c r="Y5524">
        <v>-1.5792860000000001E-3</v>
      </c>
      <c r="Z5524">
        <v>-6.1221119999999999E-3</v>
      </c>
      <c r="AA5524">
        <v>0.99997999999999998</v>
      </c>
      <c r="AB5524">
        <v>21</v>
      </c>
      <c r="AC5524">
        <v>0.73509999999998799</v>
      </c>
      <c r="AD5524">
        <v>-8.3485999999999894E-2</v>
      </c>
      <c r="AE5524">
        <v>4.7309999999995897E-2</v>
      </c>
      <c r="AF5524">
        <v>-1.35972837426543E-3</v>
      </c>
      <c r="AG5524">
        <v>-8.3485999999999894E-2</v>
      </c>
      <c r="AH5524">
        <v>0.72727754969317304</v>
      </c>
      <c r="AI5524">
        <v>96.548450451145996</v>
      </c>
      <c r="AJ5524">
        <v>90.107120873440195</v>
      </c>
      <c r="AK5524">
        <v>0.73205491279340396</v>
      </c>
    </row>
    <row r="5525" spans="1:37" x14ac:dyDescent="0.2">
      <c r="A5525" t="str">
        <f>"20200111160326478"</f>
        <v>20200111160326478</v>
      </c>
      <c r="B5525" t="str">
        <f>"1578729806469201"</f>
        <v>1578729806469201</v>
      </c>
      <c r="C5525" t="s">
        <v>37</v>
      </c>
      <c r="D5525">
        <v>5.1017099999999997</v>
      </c>
      <c r="E5525">
        <v>0.51802519999999996</v>
      </c>
      <c r="F5525" t="s">
        <v>42</v>
      </c>
      <c r="G5525">
        <v>-240.27</v>
      </c>
      <c r="H5525">
        <v>1.0296459999999901</v>
      </c>
      <c r="I5525">
        <v>-62.290329999999997</v>
      </c>
      <c r="J5525">
        <v>-240.90190000000001</v>
      </c>
      <c r="K5525">
        <v>1.103664</v>
      </c>
      <c r="L5525">
        <v>-62.331940000000003</v>
      </c>
      <c r="M5525">
        <v>0.99799040000000006</v>
      </c>
      <c r="N5525">
        <v>0</v>
      </c>
      <c r="O5525">
        <v>6.1852869999999997E-2</v>
      </c>
      <c r="P5525">
        <v>0.99304669999999895</v>
      </c>
      <c r="Q5525">
        <v>-3.8430159999999998E-2</v>
      </c>
      <c r="R5525">
        <v>0.111273</v>
      </c>
      <c r="S5525">
        <v>2.987625</v>
      </c>
      <c r="T5525">
        <v>-0.29874709999999899</v>
      </c>
      <c r="U5525">
        <v>0.19345090000000001</v>
      </c>
      <c r="V5525">
        <v>-4.9668860000000002E-2</v>
      </c>
      <c r="W5525">
        <v>-2.4614670000000002E-2</v>
      </c>
      <c r="X5525">
        <v>0.99846239999999997</v>
      </c>
      <c r="Y5525">
        <v>-3.0536719999999999E-3</v>
      </c>
      <c r="Z5525">
        <v>-6.0055909999999898E-3</v>
      </c>
      <c r="AA5525">
        <v>0.99997729999999996</v>
      </c>
      <c r="AB5525">
        <v>21</v>
      </c>
      <c r="AC5525">
        <v>0.63190000000000102</v>
      </c>
      <c r="AD5525">
        <v>-7.4018000000000098E-2</v>
      </c>
      <c r="AE5525">
        <v>4.1609999999998502E-2</v>
      </c>
      <c r="AF5525">
        <v>-2.4088743427113199E-3</v>
      </c>
      <c r="AG5525">
        <v>-7.4018000000000098E-2</v>
      </c>
      <c r="AH5525">
        <v>0.62472905326843098</v>
      </c>
      <c r="AI5525">
        <v>96.756864178698393</v>
      </c>
      <c r="AJ5525">
        <v>90.220924012565007</v>
      </c>
      <c r="AK5525">
        <v>0.62910321648936796</v>
      </c>
    </row>
    <row r="5526" spans="1:37" x14ac:dyDescent="0.2">
      <c r="A5526" t="str">
        <f>"20200111160326490"</f>
        <v>20200111160326490</v>
      </c>
      <c r="B5526" t="str">
        <f>"1578729806478961"</f>
        <v>1578729806478961</v>
      </c>
      <c r="C5526" t="s">
        <v>37</v>
      </c>
      <c r="D5526">
        <v>5.1791489999999998</v>
      </c>
      <c r="E5526">
        <v>0.51800049999999997</v>
      </c>
      <c r="F5526" t="s">
        <v>42</v>
      </c>
      <c r="G5526">
        <v>-240.0891</v>
      </c>
      <c r="H5526">
        <v>1.022494</v>
      </c>
      <c r="I5526">
        <v>-62.279049999999998</v>
      </c>
      <c r="J5526">
        <v>-240.7987</v>
      </c>
      <c r="K5526">
        <v>1.1036709999999901</v>
      </c>
      <c r="L5526">
        <v>-62.326079999999997</v>
      </c>
      <c r="M5526">
        <v>0.99801949999999995</v>
      </c>
      <c r="N5526">
        <v>0</v>
      </c>
      <c r="O5526">
        <v>6.1372429999999999E-2</v>
      </c>
      <c r="P5526">
        <v>0.99305080000000001</v>
      </c>
      <c r="Q5526">
        <v>-3.7200759999999999E-2</v>
      </c>
      <c r="R5526">
        <v>0.11165360000000001</v>
      </c>
      <c r="S5526">
        <v>2.9876099999999899</v>
      </c>
      <c r="T5526">
        <v>-0.29822870000000001</v>
      </c>
      <c r="U5526">
        <v>0.19512939999999901</v>
      </c>
      <c r="V5526">
        <v>-5.05269E-2</v>
      </c>
      <c r="W5526">
        <v>-2.3340940000000001E-2</v>
      </c>
      <c r="X5526">
        <v>0.9984499</v>
      </c>
      <c r="Y5526">
        <v>-4.0863109999999996E-3</v>
      </c>
      <c r="Z5526">
        <v>-5.89608699999999E-3</v>
      </c>
      <c r="AA5526">
        <v>0.99997429999999998</v>
      </c>
      <c r="AB5526">
        <v>21</v>
      </c>
      <c r="AC5526">
        <v>0.70959999999999401</v>
      </c>
      <c r="AD5526">
        <v>-8.1176999999999805E-2</v>
      </c>
      <c r="AE5526">
        <v>4.7030000000006497E-2</v>
      </c>
      <c r="AF5526">
        <v>-3.3437354614177899E-3</v>
      </c>
      <c r="AG5526">
        <v>-8.1176999999999805E-2</v>
      </c>
      <c r="AH5526">
        <v>0.70200183230548197</v>
      </c>
      <c r="AI5526">
        <v>96.596109580948095</v>
      </c>
      <c r="AJ5526">
        <v>90.272905955668705</v>
      </c>
      <c r="AK5526">
        <v>0.70668766683457096</v>
      </c>
    </row>
    <row r="5527" spans="1:37" x14ac:dyDescent="0.2">
      <c r="A5527" t="str">
        <f>"20200111160326502"</f>
        <v>20200111160326502</v>
      </c>
      <c r="B5527" t="str">
        <f>"1578729806498480"</f>
        <v>1578729806498480</v>
      </c>
      <c r="C5527" t="s">
        <v>37</v>
      </c>
      <c r="D5527">
        <v>5.0968470000000003</v>
      </c>
      <c r="E5527">
        <v>0.5178682</v>
      </c>
      <c r="F5527" t="s">
        <v>42</v>
      </c>
      <c r="G5527">
        <v>-239.9083</v>
      </c>
      <c r="H5527">
        <v>1.015604</v>
      </c>
      <c r="I5527">
        <v>-62.26755</v>
      </c>
      <c r="J5527">
        <v>-240.67699999999999</v>
      </c>
      <c r="K5527">
        <v>1.1036889999999999</v>
      </c>
      <c r="L5527">
        <v>-62.319240000000001</v>
      </c>
      <c r="M5527">
        <v>0.99805379999999999</v>
      </c>
      <c r="N5527">
        <v>0</v>
      </c>
      <c r="O5527">
        <v>6.0802469999999997E-2</v>
      </c>
      <c r="P5527">
        <v>0.99301949999999894</v>
      </c>
      <c r="Q5527">
        <v>-3.6100989999999999E-2</v>
      </c>
      <c r="R5527">
        <v>0.1122905</v>
      </c>
      <c r="S5527">
        <v>2.9878230000000001</v>
      </c>
      <c r="T5527">
        <v>-0.29547269999999998</v>
      </c>
      <c r="U5527">
        <v>0.196746799999999</v>
      </c>
      <c r="V5527">
        <v>-5.1732260000000002E-2</v>
      </c>
      <c r="W5527">
        <v>-2.2195860000000001E-2</v>
      </c>
      <c r="X5527">
        <v>0.99841429999999998</v>
      </c>
      <c r="Y5527">
        <v>-5.1784090000000001E-3</v>
      </c>
      <c r="Z5527">
        <v>-5.7314760000000001E-3</v>
      </c>
      <c r="AA5527">
        <v>0.99997009999999897</v>
      </c>
      <c r="AB5527">
        <v>21</v>
      </c>
      <c r="AC5527">
        <v>0.76870000000002303</v>
      </c>
      <c r="AD5527">
        <v>-8.8084999999999705E-2</v>
      </c>
      <c r="AE5527">
        <v>5.1690000000000597E-2</v>
      </c>
      <c r="AF5527">
        <v>-4.7884146140690096E-3</v>
      </c>
      <c r="AG5527">
        <v>-8.8084999999999705E-2</v>
      </c>
      <c r="AH5527">
        <v>0.76047993583826801</v>
      </c>
      <c r="AI5527">
        <v>96.606893531327898</v>
      </c>
      <c r="AJ5527">
        <v>90.360762078425694</v>
      </c>
      <c r="AK5527">
        <v>0.76557927672586101</v>
      </c>
    </row>
    <row r="5528" spans="1:37" x14ac:dyDescent="0.2">
      <c r="A5528" t="str">
        <f>"20200111160326515"</f>
        <v>20200111160326515</v>
      </c>
      <c r="B5528" t="str">
        <f>"1578729806509218"</f>
        <v>1578729806509218</v>
      </c>
      <c r="C5528" t="s">
        <v>37</v>
      </c>
      <c r="D5528">
        <v>5.189209</v>
      </c>
      <c r="E5528">
        <v>0.51786430000000006</v>
      </c>
      <c r="F5528" t="s">
        <v>42</v>
      </c>
      <c r="G5528">
        <v>-239.9024</v>
      </c>
      <c r="H5528">
        <v>1.027668</v>
      </c>
      <c r="I5528">
        <v>-62.267490000000002</v>
      </c>
      <c r="J5528">
        <v>-240.5686</v>
      </c>
      <c r="K5528">
        <v>1.1037059999999901</v>
      </c>
      <c r="L5528">
        <v>-62.313229999999997</v>
      </c>
      <c r="M5528">
        <v>0.99808390000000002</v>
      </c>
      <c r="N5528">
        <v>0</v>
      </c>
      <c r="O5528">
        <v>6.0296290000000002E-2</v>
      </c>
      <c r="P5528">
        <v>0.9929945</v>
      </c>
      <c r="Q5528">
        <v>-3.5156720000000002E-2</v>
      </c>
      <c r="R5528">
        <v>0.1128107</v>
      </c>
      <c r="S5528">
        <v>2.9878079999999998</v>
      </c>
      <c r="T5528">
        <v>-0.2931629</v>
      </c>
      <c r="U5528">
        <v>0.2000122</v>
      </c>
      <c r="V5528">
        <v>-5.2757409999999998E-2</v>
      </c>
      <c r="W5528">
        <v>-2.1213760000000002E-2</v>
      </c>
      <c r="X5528">
        <v>0.99838199999999999</v>
      </c>
      <c r="Y5528">
        <v>-6.7597589999999997E-3</v>
      </c>
      <c r="Z5528">
        <v>-5.5599780000000001E-3</v>
      </c>
      <c r="AA5528">
        <v>0.99996169999999995</v>
      </c>
      <c r="AB5528">
        <v>21</v>
      </c>
      <c r="AC5528">
        <v>0.66620000000000301</v>
      </c>
      <c r="AD5528">
        <v>-7.60379999999998E-2</v>
      </c>
      <c r="AE5528">
        <v>4.5740000000002098E-2</v>
      </c>
      <c r="AF5528">
        <v>-5.4133085066877E-3</v>
      </c>
      <c r="AG5528">
        <v>-7.60379999999998E-2</v>
      </c>
      <c r="AH5528">
        <v>0.65919860755770499</v>
      </c>
      <c r="AI5528">
        <v>96.579719502217401</v>
      </c>
      <c r="AJ5528">
        <v>90.470499717938296</v>
      </c>
      <c r="AK5528">
        <v>0.66359165573340695</v>
      </c>
    </row>
    <row r="5529" spans="1:37" x14ac:dyDescent="0.2">
      <c r="A5529" t="str">
        <f>"20200111160326525"</f>
        <v>20200111160326525</v>
      </c>
      <c r="B5529" t="str">
        <f>"1578729806518977"</f>
        <v>1578729806518977</v>
      </c>
      <c r="C5529" t="s">
        <v>37</v>
      </c>
      <c r="D5529">
        <v>5.2547009999999998</v>
      </c>
      <c r="E5529">
        <v>0.51786120000000002</v>
      </c>
      <c r="F5529" t="s">
        <v>42</v>
      </c>
      <c r="G5529">
        <v>-239.7218</v>
      </c>
      <c r="H5529">
        <v>1.0211459999999899</v>
      </c>
      <c r="I5529">
        <v>-62.256259999999997</v>
      </c>
      <c r="J5529">
        <v>-240.4588</v>
      </c>
      <c r="K5529">
        <v>1.1037250000000001</v>
      </c>
      <c r="L5529">
        <v>-62.307189999999999</v>
      </c>
      <c r="M5529">
        <v>0.99811430000000001</v>
      </c>
      <c r="N5529">
        <v>0</v>
      </c>
      <c r="O5529">
        <v>5.9784980000000001E-2</v>
      </c>
      <c r="P5529">
        <v>0.99295929999999999</v>
      </c>
      <c r="Q5529">
        <v>-3.4686939999999999E-2</v>
      </c>
      <c r="R5529">
        <v>0.113265</v>
      </c>
      <c r="S5529">
        <v>2.9879150000000001</v>
      </c>
      <c r="T5529">
        <v>-0.29119889999999998</v>
      </c>
      <c r="U5529">
        <v>0.20181270000000001</v>
      </c>
      <c r="V5529">
        <v>-5.3722939999999997E-2</v>
      </c>
      <c r="W5529">
        <v>-2.0708939999999999E-2</v>
      </c>
      <c r="X5529">
        <v>0.99834109999999998</v>
      </c>
      <c r="Y5529">
        <v>-7.8584789999999998E-3</v>
      </c>
      <c r="Z5529">
        <v>-5.4196769999999899E-3</v>
      </c>
      <c r="AA5529">
        <v>0.99995449999999997</v>
      </c>
      <c r="AB5529">
        <v>21</v>
      </c>
      <c r="AC5529">
        <v>0.73699999999999399</v>
      </c>
      <c r="AD5529">
        <v>-8.2579000000000097E-2</v>
      </c>
      <c r="AE5529">
        <v>5.0930000000008101E-2</v>
      </c>
      <c r="AF5529">
        <v>-6.68950157747231E-3</v>
      </c>
      <c r="AG5529">
        <v>-8.2579000000000097E-2</v>
      </c>
      <c r="AH5529">
        <v>0.72961014276881697</v>
      </c>
      <c r="AI5529">
        <v>96.457122579559893</v>
      </c>
      <c r="AJ5529">
        <v>90.525307209416297</v>
      </c>
      <c r="AK5529">
        <v>0.73429898617898703</v>
      </c>
    </row>
    <row r="5530" spans="1:37" x14ac:dyDescent="0.2">
      <c r="A5530" t="str">
        <f>"20200111160326545"</f>
        <v>20200111160326545</v>
      </c>
      <c r="B5530" t="str">
        <f>"1578729806538496"</f>
        <v>1578729806538496</v>
      </c>
      <c r="C5530" t="s">
        <v>37</v>
      </c>
      <c r="D5530">
        <v>5.1683440000000003</v>
      </c>
      <c r="E5530">
        <v>0.51778749999999996</v>
      </c>
      <c r="F5530" t="s">
        <v>42</v>
      </c>
      <c r="G5530">
        <v>-239.71530000000001</v>
      </c>
      <c r="H5530">
        <v>1.031412</v>
      </c>
      <c r="I5530">
        <v>-62.256790000000002</v>
      </c>
      <c r="J5530">
        <v>-240.28909999999999</v>
      </c>
      <c r="K5530">
        <v>1.103756</v>
      </c>
      <c r="L5530">
        <v>-62.297939999999997</v>
      </c>
      <c r="M5530">
        <v>0.99816000000000005</v>
      </c>
      <c r="N5530">
        <v>0</v>
      </c>
      <c r="O5530">
        <v>5.9004540000000001E-2</v>
      </c>
      <c r="P5530">
        <v>0.99287579999999998</v>
      </c>
      <c r="Q5530">
        <v>-3.3894269999999997E-2</v>
      </c>
      <c r="R5530">
        <v>0.1142326</v>
      </c>
      <c r="S5530">
        <v>2.987946</v>
      </c>
      <c r="T5530">
        <v>-0.29045709999999902</v>
      </c>
      <c r="U5530">
        <v>0.20339969999999999</v>
      </c>
      <c r="V5530">
        <v>-5.5471850000000003E-2</v>
      </c>
      <c r="W5530">
        <v>-1.9868299999999998E-2</v>
      </c>
      <c r="X5530">
        <v>0.99826250000000005</v>
      </c>
      <c r="Y5530">
        <v>-9.1572709999999998E-3</v>
      </c>
      <c r="Z5530">
        <v>-5.2674289999999997E-3</v>
      </c>
      <c r="AA5530">
        <v>0.99994419999999995</v>
      </c>
      <c r="AB5530">
        <v>21</v>
      </c>
      <c r="AC5530">
        <v>0.573799999999977</v>
      </c>
      <c r="AD5530">
        <v>-7.2343999999999895E-2</v>
      </c>
      <c r="AE5530">
        <v>4.1150000000001803E-2</v>
      </c>
      <c r="AF5530">
        <v>-7.1058080770243096E-3</v>
      </c>
      <c r="AG5530">
        <v>-7.2343999999999895E-2</v>
      </c>
      <c r="AH5530">
        <v>0.56627301754165504</v>
      </c>
      <c r="AI5530">
        <v>97.279796883047197</v>
      </c>
      <c r="AJ5530">
        <v>90.718931386385094</v>
      </c>
      <c r="AK5530">
        <v>0.57091967669730803</v>
      </c>
    </row>
    <row r="5531" spans="1:37" x14ac:dyDescent="0.2">
      <c r="A5531" t="str">
        <f>"20200111160326556"</f>
        <v>20200111160326556</v>
      </c>
      <c r="B5531" t="str">
        <f>"1578729806548256"</f>
        <v>1578729806548256</v>
      </c>
      <c r="C5531" t="s">
        <v>37</v>
      </c>
      <c r="D5531">
        <v>5.2017759999999997</v>
      </c>
      <c r="E5531">
        <v>0.51782839999999997</v>
      </c>
      <c r="F5531" t="s">
        <v>42</v>
      </c>
      <c r="G5531">
        <v>-239.5324</v>
      </c>
      <c r="H5531">
        <v>1.0304629999999999</v>
      </c>
      <c r="I5531">
        <v>-62.245739999999998</v>
      </c>
      <c r="J5531">
        <v>-240.18780000000001</v>
      </c>
      <c r="K5531">
        <v>1.103775</v>
      </c>
      <c r="L5531">
        <v>-62.292479999999998</v>
      </c>
      <c r="M5531">
        <v>0.99818669999999998</v>
      </c>
      <c r="N5531">
        <v>0</v>
      </c>
      <c r="O5531">
        <v>5.8545279999999998E-2</v>
      </c>
      <c r="P5531">
        <v>0.99283069999999896</v>
      </c>
      <c r="Q5531">
        <v>-3.3552600000000002E-2</v>
      </c>
      <c r="R5531">
        <v>0.1147236</v>
      </c>
      <c r="S5531">
        <v>2.9878230000000001</v>
      </c>
      <c r="T5531">
        <v>-0.2892132</v>
      </c>
      <c r="U5531">
        <v>0.20706179999999999</v>
      </c>
      <c r="V5531">
        <v>-5.6422819999999999E-2</v>
      </c>
      <c r="W5531">
        <v>-1.9501129999999998E-2</v>
      </c>
      <c r="X5531">
        <v>0.99821649999999995</v>
      </c>
      <c r="Y5531">
        <v>-1.082806E-2</v>
      </c>
      <c r="Z5531">
        <v>-5.1201399999999996E-3</v>
      </c>
      <c r="AA5531">
        <v>0.99992829999999999</v>
      </c>
      <c r="AB5531">
        <v>21</v>
      </c>
      <c r="AC5531">
        <v>0.65540000000001397</v>
      </c>
      <c r="AD5531">
        <v>-7.3312000000000002E-2</v>
      </c>
      <c r="AE5531">
        <v>4.6739999999999698E-2</v>
      </c>
      <c r="AF5531">
        <v>-8.1836032868529696E-3</v>
      </c>
      <c r="AG5531">
        <v>-7.3312000000000002E-2</v>
      </c>
      <c r="AH5531">
        <v>0.64893371286703205</v>
      </c>
      <c r="AI5531">
        <v>96.445040377391393</v>
      </c>
      <c r="AJ5531">
        <v>90.722509967412194</v>
      </c>
      <c r="AK5531">
        <v>0.65311299512576604</v>
      </c>
    </row>
    <row r="5532" spans="1:37" x14ac:dyDescent="0.2">
      <c r="A5532" t="str">
        <f>"20200111160326566"</f>
        <v>20200111160326566</v>
      </c>
      <c r="B5532" t="str">
        <f>"1578729806558992"</f>
        <v>1578729806558992</v>
      </c>
      <c r="C5532" t="s">
        <v>37</v>
      </c>
      <c r="D5532">
        <v>5.1667239999999897</v>
      </c>
      <c r="E5532">
        <v>0.51784750000000002</v>
      </c>
      <c r="F5532" t="s">
        <v>42</v>
      </c>
      <c r="G5532">
        <v>-239.35429999999999</v>
      </c>
      <c r="H5532">
        <v>1.023147</v>
      </c>
      <c r="I5532">
        <v>-62.234540000000003</v>
      </c>
      <c r="J5532">
        <v>-240.08969999999999</v>
      </c>
      <c r="K5532">
        <v>1.103791</v>
      </c>
      <c r="L5532">
        <v>-62.287230000000001</v>
      </c>
      <c r="M5532">
        <v>0.99821219999999999</v>
      </c>
      <c r="N5532">
        <v>0</v>
      </c>
      <c r="O5532">
        <v>5.8103450000000001E-2</v>
      </c>
      <c r="P5532">
        <v>0.99283149999999998</v>
      </c>
      <c r="Q5532">
        <v>-3.2818809999999997E-2</v>
      </c>
      <c r="R5532">
        <v>0.1149289</v>
      </c>
      <c r="S5532">
        <v>2.9878390000000001</v>
      </c>
      <c r="T5532">
        <v>-0.28895759999999998</v>
      </c>
      <c r="U5532">
        <v>0.20819090000000001</v>
      </c>
      <c r="V5532">
        <v>-5.7067640000000003E-2</v>
      </c>
      <c r="W5532">
        <v>-1.874404E-2</v>
      </c>
      <c r="X5532">
        <v>0.99819429999999998</v>
      </c>
      <c r="Y5532">
        <v>-1.164016E-2</v>
      </c>
      <c r="Z5532">
        <v>-5.0339099999999999E-3</v>
      </c>
      <c r="AA5532">
        <v>0.99991960000000002</v>
      </c>
      <c r="AB5532">
        <v>21</v>
      </c>
      <c r="AC5532">
        <v>0.73539999999999806</v>
      </c>
      <c r="AD5532">
        <v>-8.0643999999999896E-2</v>
      </c>
      <c r="AE5532">
        <v>5.2690000000005399E-2</v>
      </c>
      <c r="AF5532">
        <v>-9.7508345786348899E-3</v>
      </c>
      <c r="AG5532">
        <v>-8.0643999999999896E-2</v>
      </c>
      <c r="AH5532">
        <v>0.72850336958937001</v>
      </c>
      <c r="AI5532">
        <v>96.3162590422844</v>
      </c>
      <c r="AJ5532">
        <v>90.766843822699698</v>
      </c>
      <c r="AK5532">
        <v>0.733018207832552</v>
      </c>
    </row>
    <row r="5533" spans="1:37" x14ac:dyDescent="0.2">
      <c r="A5533" t="str">
        <f>"20200111160326577"</f>
        <v>20200111160326577</v>
      </c>
      <c r="B5533" t="str">
        <f>"1578729806568753"</f>
        <v>1578729806568753</v>
      </c>
      <c r="C5533" t="s">
        <v>37</v>
      </c>
      <c r="D5533">
        <v>5.234693</v>
      </c>
      <c r="E5533">
        <v>0.51786080000000001</v>
      </c>
      <c r="F5533" t="s">
        <v>42</v>
      </c>
      <c r="G5533">
        <v>-239.3475</v>
      </c>
      <c r="H5533">
        <v>1.032357</v>
      </c>
      <c r="I5533">
        <v>-62.235529999999997</v>
      </c>
      <c r="J5533">
        <v>-239.9924</v>
      </c>
      <c r="K5533">
        <v>1.1038079999999999</v>
      </c>
      <c r="L5533">
        <v>-62.282069999999997</v>
      </c>
      <c r="M5533">
        <v>0.99823689999999998</v>
      </c>
      <c r="N5533">
        <v>0</v>
      </c>
      <c r="O5533">
        <v>5.7671800000000002E-2</v>
      </c>
      <c r="P5533">
        <v>0.99279769999999901</v>
      </c>
      <c r="Q5533">
        <v>-3.2586160000000003E-2</v>
      </c>
      <c r="R5533">
        <v>0.1152873</v>
      </c>
      <c r="S5533">
        <v>2.9879910000000001</v>
      </c>
      <c r="T5533">
        <v>-0.28747919999999999</v>
      </c>
      <c r="U5533">
        <v>0.20867919999999901</v>
      </c>
      <c r="V5533">
        <v>-5.7858010000000001E-2</v>
      </c>
      <c r="W5533">
        <v>-1.849081E-2</v>
      </c>
      <c r="X5533">
        <v>0.99815359999999997</v>
      </c>
      <c r="Y5533">
        <v>-1.222471E-2</v>
      </c>
      <c r="Z5533">
        <v>-4.93867099999999E-3</v>
      </c>
      <c r="AA5533">
        <v>0.999913099999999</v>
      </c>
      <c r="AB5533">
        <v>21</v>
      </c>
      <c r="AC5533">
        <v>0.64490000000000602</v>
      </c>
      <c r="AD5533">
        <v>-7.1450999999999903E-2</v>
      </c>
      <c r="AE5533">
        <v>4.6539999999993101E-2</v>
      </c>
      <c r="AF5533">
        <v>-9.1545223035729793E-3</v>
      </c>
      <c r="AG5533">
        <v>-7.1450999999999903E-2</v>
      </c>
      <c r="AH5533">
        <v>0.63871098091612999</v>
      </c>
      <c r="AI5533">
        <v>96.382347388981003</v>
      </c>
      <c r="AJ5533">
        <v>90.821153220442099</v>
      </c>
      <c r="AK5533">
        <v>0.64276027243635103</v>
      </c>
    </row>
    <row r="5534" spans="1:37" x14ac:dyDescent="0.2">
      <c r="A5534" t="str">
        <f>"20200111160326589"</f>
        <v>20200111160326589</v>
      </c>
      <c r="B5534" t="str">
        <f>"1578729806578512"</f>
        <v>1578729806578512</v>
      </c>
      <c r="C5534" t="s">
        <v>37</v>
      </c>
      <c r="D5534">
        <v>5.190029</v>
      </c>
      <c r="E5534">
        <v>0.51788469999999998</v>
      </c>
      <c r="F5534" t="s">
        <v>42</v>
      </c>
      <c r="G5534">
        <v>-239.17080000000001</v>
      </c>
      <c r="H5534">
        <v>1.0246679999999999</v>
      </c>
      <c r="I5534">
        <v>-62.224490000000003</v>
      </c>
      <c r="J5534">
        <v>-239.88499999999999</v>
      </c>
      <c r="K5534">
        <v>1.1038250000000001</v>
      </c>
      <c r="L5534">
        <v>-62.276400000000002</v>
      </c>
      <c r="M5534">
        <v>0.99826389999999998</v>
      </c>
      <c r="N5534">
        <v>0</v>
      </c>
      <c r="O5534">
        <v>5.7196999999999998E-2</v>
      </c>
      <c r="P5534">
        <v>0.99277700000000002</v>
      </c>
      <c r="Q5534">
        <v>-3.2324470000000001E-2</v>
      </c>
      <c r="R5534">
        <v>0.115538899999999</v>
      </c>
      <c r="S5534">
        <v>2.9879609999999999</v>
      </c>
      <c r="T5534">
        <v>-0.28782140000000001</v>
      </c>
      <c r="U5534">
        <v>0.20962519999999901</v>
      </c>
      <c r="V5534">
        <v>-5.8584619999999997E-2</v>
      </c>
      <c r="W5534">
        <v>-1.8207290000000001E-2</v>
      </c>
      <c r="X5534">
        <v>0.99811640000000001</v>
      </c>
      <c r="Y5534">
        <v>-1.301076E-2</v>
      </c>
      <c r="Z5534">
        <v>-4.8613049999999998E-3</v>
      </c>
      <c r="AA5534">
        <v>0.9999036</v>
      </c>
      <c r="AB5534">
        <v>20</v>
      </c>
      <c r="AC5534">
        <v>0.71419999999997597</v>
      </c>
      <c r="AD5534">
        <v>-7.9156999999999894E-2</v>
      </c>
      <c r="AE5534">
        <v>5.1909999999999401E-2</v>
      </c>
      <c r="AF5534">
        <v>-1.0838426785711701E-2</v>
      </c>
      <c r="AG5534">
        <v>-7.9156999999999894E-2</v>
      </c>
      <c r="AH5534">
        <v>0.707356461654569</v>
      </c>
      <c r="AI5534">
        <v>96.384398381162896</v>
      </c>
      <c r="AJ5534">
        <v>90.877842436339904</v>
      </c>
      <c r="AK5534">
        <v>0.71185424490457405</v>
      </c>
    </row>
    <row r="5535" spans="1:37" x14ac:dyDescent="0.2">
      <c r="A5535" t="str">
        <f>"20200111160326601"</f>
        <v>20200111160326601</v>
      </c>
      <c r="B5535" t="str">
        <f>"1578729806599009"</f>
        <v>1578729806599009</v>
      </c>
      <c r="C5535" t="s">
        <v>37</v>
      </c>
      <c r="D5535">
        <v>5.2009559999999997</v>
      </c>
      <c r="E5535">
        <v>0.51790439999999904</v>
      </c>
      <c r="F5535" t="s">
        <v>42</v>
      </c>
      <c r="G5535">
        <v>-238.99180000000001</v>
      </c>
      <c r="H5535">
        <v>1.017712</v>
      </c>
      <c r="I5535">
        <v>-62.213809999999903</v>
      </c>
      <c r="J5535">
        <v>-239.7689</v>
      </c>
      <c r="K5535">
        <v>1.103837</v>
      </c>
      <c r="L5535">
        <v>-62.270389999999999</v>
      </c>
      <c r="M5535">
        <v>0.99829239999999997</v>
      </c>
      <c r="N5535">
        <v>0</v>
      </c>
      <c r="O5535">
        <v>5.6691619999999998E-2</v>
      </c>
      <c r="P5535">
        <v>0.99277549999999903</v>
      </c>
      <c r="Q5535">
        <v>-3.1777939999999998E-2</v>
      </c>
      <c r="R5535">
        <v>0.115703</v>
      </c>
      <c r="S5535">
        <v>2.9879910000000001</v>
      </c>
      <c r="T5535">
        <v>-0.28796459999999902</v>
      </c>
      <c r="U5535">
        <v>0.21011350000000001</v>
      </c>
      <c r="V5535">
        <v>-5.9252470000000002E-2</v>
      </c>
      <c r="W5535">
        <v>-1.764021E-2</v>
      </c>
      <c r="X5535">
        <v>0.99808719999999995</v>
      </c>
      <c r="Y5535">
        <v>-1.3673640000000001E-2</v>
      </c>
      <c r="Z5535">
        <v>-4.7833729999999996E-3</v>
      </c>
      <c r="AA5535">
        <v>0.99989509999999904</v>
      </c>
      <c r="AB5535">
        <v>20</v>
      </c>
      <c r="AC5535">
        <v>0.77709999999999002</v>
      </c>
      <c r="AD5535">
        <v>-8.6124999999999993E-2</v>
      </c>
      <c r="AE5535">
        <v>5.6580000000003801E-2</v>
      </c>
      <c r="AF5535">
        <v>-1.22795247029101E-2</v>
      </c>
      <c r="AG5535">
        <v>-8.6124999999999993E-2</v>
      </c>
      <c r="AH5535">
        <v>0.76965408634641597</v>
      </c>
      <c r="AI5535">
        <v>96.384082919492997</v>
      </c>
      <c r="AJ5535">
        <v>90.914053812188797</v>
      </c>
      <c r="AK5535">
        <v>0.77455517232903803</v>
      </c>
    </row>
    <row r="5536" spans="1:37" x14ac:dyDescent="0.2">
      <c r="A5536" t="str">
        <f>"20200111160326615"</f>
        <v>20200111160326615</v>
      </c>
      <c r="B5536" t="str">
        <f>"1578729806608768"</f>
        <v>1578729806608768</v>
      </c>
      <c r="C5536" t="s">
        <v>37</v>
      </c>
      <c r="D5536">
        <v>5.2532379999999996</v>
      </c>
      <c r="E5536">
        <v>0.51882729999999999</v>
      </c>
      <c r="F5536" t="s">
        <v>42</v>
      </c>
      <c r="G5536">
        <v>-238.9853</v>
      </c>
      <c r="H5536">
        <v>1.028511</v>
      </c>
      <c r="I5536">
        <v>-62.215419999999902</v>
      </c>
      <c r="J5536">
        <v>-239.65180000000001</v>
      </c>
      <c r="K5536">
        <v>1.103853</v>
      </c>
      <c r="L5536">
        <v>-62.264309999999902</v>
      </c>
      <c r="M5536">
        <v>0.99832080000000001</v>
      </c>
      <c r="N5536">
        <v>0</v>
      </c>
      <c r="O5536">
        <v>5.6184329999999998E-2</v>
      </c>
      <c r="P5536">
        <v>0.99278599999999995</v>
      </c>
      <c r="Q5536">
        <v>-3.118638E-2</v>
      </c>
      <c r="R5536">
        <v>0.11577419999999999</v>
      </c>
      <c r="S5536">
        <v>2.9881129999999998</v>
      </c>
      <c r="T5536">
        <v>-0.28710150000000001</v>
      </c>
      <c r="U5536">
        <v>0.21041869999999999</v>
      </c>
      <c r="V5536">
        <v>-5.9828970000000002E-2</v>
      </c>
      <c r="W5536">
        <v>-1.7029200000000001E-2</v>
      </c>
      <c r="X5536">
        <v>0.99806340000000004</v>
      </c>
      <c r="Y5536">
        <v>-1.4274230000000001E-2</v>
      </c>
      <c r="Z5536">
        <v>-4.6916700000000002E-3</v>
      </c>
      <c r="AA5536">
        <v>0.99988709999999903</v>
      </c>
      <c r="AB5536">
        <v>20</v>
      </c>
      <c r="AC5536">
        <v>0.66650000000001297</v>
      </c>
      <c r="AD5536">
        <v>-7.5342000000000006E-2</v>
      </c>
      <c r="AE5536">
        <v>4.88900000000001E-2</v>
      </c>
      <c r="AF5536">
        <v>-1.1219577860310199E-2</v>
      </c>
      <c r="AG5536">
        <v>-7.5342000000000006E-2</v>
      </c>
      <c r="AH5536">
        <v>0.65980800194843903</v>
      </c>
      <c r="AI5536">
        <v>96.513328381474096</v>
      </c>
      <c r="AJ5536">
        <v>90.974181141170902</v>
      </c>
      <c r="AK5536">
        <v>0.66419040592781398</v>
      </c>
    </row>
    <row r="5537" spans="1:37" x14ac:dyDescent="0.2">
      <c r="A5537" t="str">
        <f>"20200111160326626"</f>
        <v>20200111160326626</v>
      </c>
      <c r="B5537" t="str">
        <f>"1578729806618529"</f>
        <v>1578729806618529</v>
      </c>
      <c r="C5537" t="s">
        <v>37</v>
      </c>
      <c r="D5537">
        <v>5.2722790000000002</v>
      </c>
      <c r="E5537">
        <v>0.52122899999999905</v>
      </c>
      <c r="F5537" t="s">
        <v>42</v>
      </c>
      <c r="G5537">
        <v>-238.81319999999999</v>
      </c>
      <c r="H5537">
        <v>1.0105329999999999</v>
      </c>
      <c r="I5537">
        <v>-62.206980000000001</v>
      </c>
      <c r="J5537">
        <v>-239.542</v>
      </c>
      <c r="K5537">
        <v>1.1038680000000001</v>
      </c>
      <c r="L5537">
        <v>-62.258669999999903</v>
      </c>
      <c r="M5537">
        <v>0.99834699999999998</v>
      </c>
      <c r="N5537">
        <v>0</v>
      </c>
      <c r="O5537">
        <v>5.5711789999999997E-2</v>
      </c>
      <c r="P5537">
        <v>0.99280400000000002</v>
      </c>
      <c r="Q5537">
        <v>-3.0754050000000002E-2</v>
      </c>
      <c r="R5537">
        <v>0.1157345</v>
      </c>
      <c r="S5537">
        <v>2.9875180000000001</v>
      </c>
      <c r="T5537">
        <v>-0.33239249999999998</v>
      </c>
      <c r="U5537">
        <v>0.20446779999999901</v>
      </c>
      <c r="V5537">
        <v>-6.0259159999999999E-2</v>
      </c>
      <c r="W5537">
        <v>-1.658024E-2</v>
      </c>
      <c r="X5537">
        <v>0.99804499999999996</v>
      </c>
      <c r="Y5537">
        <v>-1.285033E-2</v>
      </c>
      <c r="Z5537">
        <v>-5.4557360000000001E-3</v>
      </c>
      <c r="AA5537">
        <v>0.99990249999999903</v>
      </c>
      <c r="AB5537">
        <v>20</v>
      </c>
      <c r="AC5537">
        <v>0.728800000000006</v>
      </c>
      <c r="AD5537">
        <v>-9.3335000000000098E-2</v>
      </c>
      <c r="AE5537">
        <v>5.1689999999993498E-2</v>
      </c>
      <c r="AF5537">
        <v>-1.0826228208415899E-2</v>
      </c>
      <c r="AG5537">
        <v>-9.3335000000000098E-2</v>
      </c>
      <c r="AH5537">
        <v>0.71881752558574197</v>
      </c>
      <c r="AI5537">
        <v>97.397359887220901</v>
      </c>
      <c r="AJ5537">
        <v>90.862875856856206</v>
      </c>
      <c r="AK5537">
        <v>0.72493259309499203</v>
      </c>
    </row>
    <row r="5538" spans="1:37" x14ac:dyDescent="0.2">
      <c r="A5538" t="str">
        <f>"20200111160326637"</f>
        <v>20200111160326637</v>
      </c>
      <c r="B5538" t="str">
        <f>"1578729806628288"</f>
        <v>1578729806628288</v>
      </c>
      <c r="C5538" t="s">
        <v>37</v>
      </c>
      <c r="D5538">
        <v>5.3551029999999997</v>
      </c>
      <c r="E5538">
        <v>0.52122899999999905</v>
      </c>
      <c r="F5538" t="s">
        <v>42</v>
      </c>
      <c r="G5538">
        <v>-238.80619999999999</v>
      </c>
      <c r="H5538">
        <v>1.0244819999999999</v>
      </c>
      <c r="I5538">
        <v>-62.2132199999999</v>
      </c>
      <c r="J5538">
        <v>-239.4469</v>
      </c>
      <c r="K5538">
        <v>1.1038840000000001</v>
      </c>
      <c r="L5538">
        <v>-62.25385</v>
      </c>
      <c r="M5538">
        <v>0.99836950000000002</v>
      </c>
      <c r="N5538">
        <v>0</v>
      </c>
      <c r="O5538">
        <v>5.5304270000000003E-2</v>
      </c>
      <c r="P5538">
        <v>0.992811</v>
      </c>
      <c r="Q5538">
        <v>-3.0116560000000001E-2</v>
      </c>
      <c r="R5538">
        <v>0.1158434</v>
      </c>
      <c r="S5538">
        <v>2.990189</v>
      </c>
      <c r="T5538">
        <v>-0.32257150000000001</v>
      </c>
      <c r="U5538">
        <v>0.18496699999999999</v>
      </c>
      <c r="V5538">
        <v>-6.0773769999999998E-2</v>
      </c>
      <c r="W5538">
        <v>-1.5929720000000001E-2</v>
      </c>
      <c r="X5538">
        <v>0.99802449999999998</v>
      </c>
      <c r="Y5538">
        <v>-6.721533E-3</v>
      </c>
      <c r="Z5538">
        <v>-5.5777750000000001E-3</v>
      </c>
      <c r="AA5538">
        <v>0.99996189999999996</v>
      </c>
      <c r="AB5538">
        <v>20</v>
      </c>
      <c r="AC5538">
        <v>0.64070000000000904</v>
      </c>
      <c r="AD5538">
        <v>-7.9402000000000195E-2</v>
      </c>
      <c r="AE5538">
        <v>4.0630000000007202E-2</v>
      </c>
      <c r="AF5538">
        <v>-5.0535151729832603E-3</v>
      </c>
      <c r="AG5538">
        <v>-7.9402000000000195E-2</v>
      </c>
      <c r="AH5538">
        <v>0.63229418309373897</v>
      </c>
      <c r="AI5538">
        <v>97.157373957018905</v>
      </c>
      <c r="AJ5538">
        <v>90.457918060839503</v>
      </c>
      <c r="AK5538">
        <v>0.63728027554113298</v>
      </c>
    </row>
    <row r="5539" spans="1:37" x14ac:dyDescent="0.2">
      <c r="A5539" t="str">
        <f>"20200111160326647"</f>
        <v>20200111160326647</v>
      </c>
      <c r="B5539" t="str">
        <f>"1578729806639024"</f>
        <v>1578729806639024</v>
      </c>
      <c r="C5539" t="s">
        <v>37</v>
      </c>
      <c r="D5539">
        <v>5.2093949999999998</v>
      </c>
      <c r="E5539">
        <v>0.51813489999999995</v>
      </c>
      <c r="F5539" t="s">
        <v>42</v>
      </c>
      <c r="G5539">
        <v>-238.62860000000001</v>
      </c>
      <c r="H5539">
        <v>1.0161249999999999</v>
      </c>
      <c r="I5539">
        <v>-62.203290000000003</v>
      </c>
      <c r="J5539">
        <v>-239.34440000000001</v>
      </c>
      <c r="K5539">
        <v>1.1038939999999999</v>
      </c>
      <c r="L5539">
        <v>-62.248660000000001</v>
      </c>
      <c r="M5539">
        <v>0.99839359999999999</v>
      </c>
      <c r="N5539">
        <v>0</v>
      </c>
      <c r="O5539">
        <v>5.4865579999999997E-2</v>
      </c>
      <c r="P5539">
        <v>0.99282349999999997</v>
      </c>
      <c r="Q5539">
        <v>-2.939601E-2</v>
      </c>
      <c r="R5539">
        <v>0.11592229999999901</v>
      </c>
      <c r="S5539">
        <v>2.9903559999999998</v>
      </c>
      <c r="T5539">
        <v>-0.32063350000000002</v>
      </c>
      <c r="U5539">
        <v>0.18530269999999999</v>
      </c>
      <c r="V5539">
        <v>-6.1289389999999999E-2</v>
      </c>
      <c r="W5539">
        <v>-1.519562E-2</v>
      </c>
      <c r="X5539">
        <v>0.99800440000000001</v>
      </c>
      <c r="Y5539">
        <v>-7.2603299999999997E-3</v>
      </c>
      <c r="Z5539">
        <v>-5.4685790000000003E-3</v>
      </c>
      <c r="AA5539">
        <v>0.99995869999999998</v>
      </c>
      <c r="AB5539">
        <v>20</v>
      </c>
      <c r="AC5539">
        <v>0.71580000000000099</v>
      </c>
      <c r="AD5539">
        <v>-8.7769000000000194E-2</v>
      </c>
      <c r="AE5539">
        <v>4.5369999999998301E-2</v>
      </c>
      <c r="AF5539">
        <v>-5.9360475248315999E-3</v>
      </c>
      <c r="AG5539">
        <v>-8.7769000000000194E-2</v>
      </c>
      <c r="AH5539">
        <v>0.70662955690865203</v>
      </c>
      <c r="AI5539">
        <v>97.080081082419497</v>
      </c>
      <c r="AJ5539">
        <v>90.4813023553981</v>
      </c>
      <c r="AK5539">
        <v>0.71208423990293102</v>
      </c>
    </row>
    <row r="5540" spans="1:37" x14ac:dyDescent="0.2">
      <c r="A5540" t="str">
        <f>"20200111160326693"</f>
        <v>20200111160326693</v>
      </c>
      <c r="B5540" t="str">
        <f>"1578729806688801"</f>
        <v>1578729806688801</v>
      </c>
      <c r="C5540" t="s">
        <v>37</v>
      </c>
      <c r="D5540">
        <v>5.297434</v>
      </c>
      <c r="E5540">
        <v>0.51813489999999995</v>
      </c>
      <c r="F5540" t="s">
        <v>42</v>
      </c>
      <c r="G5540">
        <v>-238.6217</v>
      </c>
      <c r="H5540">
        <v>1.0283089999999999</v>
      </c>
      <c r="I5540">
        <v>-62.198050000000002</v>
      </c>
      <c r="J5540">
        <v>-238.93369999999999</v>
      </c>
      <c r="K5540">
        <v>1.1039330000000001</v>
      </c>
      <c r="L5540">
        <v>-62.2284199999999</v>
      </c>
      <c r="M5540">
        <v>0.99848769999999998</v>
      </c>
      <c r="N5540">
        <v>0</v>
      </c>
      <c r="O5540">
        <v>5.3111949999999998E-2</v>
      </c>
      <c r="P5540">
        <v>0.99260680000000001</v>
      </c>
      <c r="Q5540">
        <v>-2.7184420000000001E-2</v>
      </c>
      <c r="R5540">
        <v>0.1182914</v>
      </c>
      <c r="S5540">
        <v>2.987946</v>
      </c>
      <c r="T5540">
        <v>-0.31244739999999999</v>
      </c>
      <c r="U5540">
        <v>0.20986939999999901</v>
      </c>
      <c r="V5540">
        <v>-6.5415890000000004E-2</v>
      </c>
      <c r="W5540">
        <v>-1.294089E-2</v>
      </c>
      <c r="X5540">
        <v>0.99777420000000006</v>
      </c>
      <c r="Y5540">
        <v>-1.7175030000000001E-2</v>
      </c>
      <c r="Z5540">
        <v>-4.6335949999999999E-3</v>
      </c>
      <c r="AA5540">
        <v>0.99984169999999895</v>
      </c>
      <c r="AB5540">
        <v>20</v>
      </c>
      <c r="AC5540">
        <v>0.31199999999998301</v>
      </c>
      <c r="AD5540">
        <v>-7.5624000000000094E-2</v>
      </c>
      <c r="AE5540">
        <v>3.0369999999990599E-2</v>
      </c>
      <c r="AF5540">
        <v>-1.29980562947639E-2</v>
      </c>
      <c r="AG5540">
        <v>-7.5624000000000094E-2</v>
      </c>
      <c r="AH5540">
        <v>0.295948829408959</v>
      </c>
      <c r="AI5540">
        <v>104.320859583732</v>
      </c>
      <c r="AJ5540">
        <v>92.514811321373202</v>
      </c>
      <c r="AK5540">
        <v>0.30573460463607199</v>
      </c>
    </row>
    <row r="5541" spans="1:37" x14ac:dyDescent="0.2">
      <c r="A5541" t="str">
        <f>"20200111160326705"</f>
        <v>20200111160326705</v>
      </c>
      <c r="B5541" t="str">
        <f>"1578729806688801"</f>
        <v>1578729806688801</v>
      </c>
      <c r="C5541" t="s">
        <v>37</v>
      </c>
      <c r="D5541">
        <v>5.297434</v>
      </c>
      <c r="E5541">
        <v>0.51813489999999995</v>
      </c>
      <c r="F5541" t="s">
        <v>42</v>
      </c>
      <c r="G5541">
        <v>-238.08539999999999</v>
      </c>
      <c r="H5541">
        <v>1.0171699999999999</v>
      </c>
      <c r="I5541">
        <v>-62.167019999999901</v>
      </c>
      <c r="J5541">
        <v>-238.8237</v>
      </c>
      <c r="K5541">
        <v>1.1039429999999999</v>
      </c>
      <c r="L5541">
        <v>-62.223109999999998</v>
      </c>
      <c r="M5541">
        <v>0.99851239999999997</v>
      </c>
      <c r="N5541">
        <v>0</v>
      </c>
      <c r="O5541">
        <v>5.2641130000000001E-2</v>
      </c>
      <c r="P5541">
        <v>0.99249050000000005</v>
      </c>
      <c r="Q5541">
        <v>-2.6689210000000001E-2</v>
      </c>
      <c r="R5541">
        <v>0.1193755</v>
      </c>
      <c r="S5541">
        <v>2.988159</v>
      </c>
      <c r="T5541">
        <v>-0.30556450000000002</v>
      </c>
      <c r="U5541">
        <v>0.2166138</v>
      </c>
      <c r="V5541">
        <v>-6.6973950000000004E-2</v>
      </c>
      <c r="W5541">
        <v>-1.2436340000000001E-2</v>
      </c>
      <c r="X5541">
        <v>0.99767719999999904</v>
      </c>
      <c r="Y5541">
        <v>-1.9861779999999999E-2</v>
      </c>
      <c r="Z5541">
        <v>-4.3465909999999899E-3</v>
      </c>
      <c r="AA5541">
        <v>0.9997933</v>
      </c>
      <c r="AB5541">
        <v>20</v>
      </c>
      <c r="AC5541">
        <v>0.73830000000000895</v>
      </c>
      <c r="AD5541">
        <v>-8.6772999999999906E-2</v>
      </c>
      <c r="AE5541">
        <v>5.6090000000004601E-2</v>
      </c>
      <c r="AF5541">
        <v>-1.6911084342290199E-2</v>
      </c>
      <c r="AG5541">
        <v>-8.6772999999999906E-2</v>
      </c>
      <c r="AH5541">
        <v>0.73020034150786595</v>
      </c>
      <c r="AI5541">
        <v>96.775134842718003</v>
      </c>
      <c r="AJ5541">
        <v>91.326705189030903</v>
      </c>
      <c r="AK5541">
        <v>0.73553251256544505</v>
      </c>
    </row>
    <row r="5542" spans="1:37" x14ac:dyDescent="0.2">
      <c r="A5542" t="str">
        <f>"20200111160326717"</f>
        <v>20200111160326717</v>
      </c>
      <c r="B5542" t="str">
        <f>"1578729806708321"</f>
        <v>1578729806708321</v>
      </c>
      <c r="C5542" t="s">
        <v>37</v>
      </c>
      <c r="D5542">
        <v>5.1678169999999897</v>
      </c>
      <c r="E5542">
        <v>0.33261639999999998</v>
      </c>
      <c r="F5542" t="s">
        <v>42</v>
      </c>
      <c r="G5542">
        <v>-238.07830000000001</v>
      </c>
      <c r="H5542">
        <v>1.0280750000000001</v>
      </c>
      <c r="I5542">
        <v>-62.168349999999997</v>
      </c>
      <c r="J5542">
        <v>-238.72280000000001</v>
      </c>
      <c r="K5542">
        <v>1.103947</v>
      </c>
      <c r="L5542">
        <v>-62.218319999999999</v>
      </c>
      <c r="M5542">
        <v>0.99853499999999995</v>
      </c>
      <c r="N5542">
        <v>0</v>
      </c>
      <c r="O5542">
        <v>5.2208520000000001E-2</v>
      </c>
      <c r="P5542">
        <v>0.99237719999999896</v>
      </c>
      <c r="Q5542">
        <v>-2.6599379999999999E-2</v>
      </c>
      <c r="R5542">
        <v>0.12033239999999901</v>
      </c>
      <c r="S5542">
        <v>2.988083</v>
      </c>
      <c r="T5542">
        <v>-0.30405959999999899</v>
      </c>
      <c r="U5542">
        <v>0.2198792</v>
      </c>
      <c r="V5542">
        <v>-6.8366910000000003E-2</v>
      </c>
      <c r="W5542">
        <v>-1.2338999999999999E-2</v>
      </c>
      <c r="X5542">
        <v>0.99758389999999997</v>
      </c>
      <c r="Y5542">
        <v>-2.1371899999999999E-2</v>
      </c>
      <c r="Z5542">
        <v>-4.2048980000000003E-3</v>
      </c>
      <c r="AA5542">
        <v>0.99976279999999995</v>
      </c>
      <c r="AB5542">
        <v>20</v>
      </c>
      <c r="AC5542">
        <v>0.64449999999999297</v>
      </c>
      <c r="AD5542">
        <v>-7.5871999999999898E-2</v>
      </c>
      <c r="AE5542">
        <v>4.9970000000001798E-2</v>
      </c>
      <c r="AF5542">
        <v>-1.6029230944866201E-2</v>
      </c>
      <c r="AG5542">
        <v>-7.5871999999999898E-2</v>
      </c>
      <c r="AH5542">
        <v>0.63744866500337705</v>
      </c>
      <c r="AI5542">
        <v>96.785542734284505</v>
      </c>
      <c r="AJ5542">
        <v>91.440451335012597</v>
      </c>
      <c r="AK5542">
        <v>0.64214818939499596</v>
      </c>
    </row>
    <row r="5543" spans="1:37" x14ac:dyDescent="0.2">
      <c r="A5543" t="str">
        <f>"20200111160326727"</f>
        <v>20200111160326727</v>
      </c>
      <c r="B5543" t="str">
        <f>"1578729806719056"</f>
        <v>1578729806719056</v>
      </c>
      <c r="C5543" t="s">
        <v>37</v>
      </c>
      <c r="D5543">
        <v>5.2441440000000004</v>
      </c>
      <c r="E5543">
        <v>0.33283309999999999</v>
      </c>
      <c r="F5543" t="s">
        <v>49</v>
      </c>
      <c r="G5543">
        <v>-168.45050000000001</v>
      </c>
      <c r="H5543">
        <v>3.1924060000000001</v>
      </c>
      <c r="I5543">
        <v>-20.307469999999999</v>
      </c>
      <c r="J5543">
        <v>-238.61969999999999</v>
      </c>
      <c r="K5543">
        <v>1.10395</v>
      </c>
      <c r="L5543">
        <v>-62.213409999999897</v>
      </c>
      <c r="M5543">
        <v>0.9985581</v>
      </c>
      <c r="N5543">
        <v>0</v>
      </c>
      <c r="O5543">
        <v>5.1766189999999997E-2</v>
      </c>
      <c r="P5543">
        <v>0.99221550000000003</v>
      </c>
      <c r="Q5543">
        <v>-2.6724189999999998E-2</v>
      </c>
      <c r="R5543">
        <v>0.1216333</v>
      </c>
      <c r="S5543">
        <v>2.821259</v>
      </c>
      <c r="T5543">
        <v>8.3846329999999997E-2</v>
      </c>
      <c r="U5543">
        <v>1.68261699999999</v>
      </c>
      <c r="V5543">
        <v>-7.0116739999999997E-2</v>
      </c>
      <c r="W5543">
        <v>-1.245651E-2</v>
      </c>
      <c r="X5543">
        <v>0.99746100000000004</v>
      </c>
      <c r="Y5543">
        <v>-0.46693959999999901</v>
      </c>
      <c r="Z5543">
        <v>-4.9945789999999999E-3</v>
      </c>
      <c r="AA5543">
        <v>0.88427509999999998</v>
      </c>
      <c r="AB5543">
        <v>20</v>
      </c>
      <c r="AC5543">
        <v>70.169199999999904</v>
      </c>
      <c r="AD5543">
        <v>2.0884559999999999</v>
      </c>
      <c r="AE5543">
        <v>41.905940000000001</v>
      </c>
      <c r="AF5543">
        <v>-38.192045638894598</v>
      </c>
      <c r="AG5543">
        <v>2.0884559999999999</v>
      </c>
      <c r="AH5543">
        <v>72.197488359408197</v>
      </c>
      <c r="AI5543">
        <v>88.535281051615499</v>
      </c>
      <c r="AJ5543">
        <v>117.878576363105</v>
      </c>
      <c r="AK5543">
        <v>81.703557596681307</v>
      </c>
    </row>
    <row r="5544" spans="1:37" x14ac:dyDescent="0.2">
      <c r="A5544" t="str">
        <f>"20200111160326751"</f>
        <v>20200111160326751</v>
      </c>
      <c r="B5544" t="str">
        <f>"1578729806748336"</f>
        <v>1578729806748336</v>
      </c>
      <c r="C5544" t="s">
        <v>37</v>
      </c>
      <c r="D5544">
        <v>5.1601359999999996</v>
      </c>
      <c r="E5544">
        <v>0.33012799999999998</v>
      </c>
      <c r="F5544" t="s">
        <v>49</v>
      </c>
      <c r="G5544">
        <v>-168.45050000000001</v>
      </c>
      <c r="H5544">
        <v>1.9003060000000001</v>
      </c>
      <c r="I5544">
        <v>-20.22861</v>
      </c>
      <c r="J5544">
        <v>-238.41579999999999</v>
      </c>
      <c r="K5544">
        <v>1.103958</v>
      </c>
      <c r="L5544">
        <v>-62.203890000000001</v>
      </c>
      <c r="M5544">
        <v>0.99860280000000001</v>
      </c>
      <c r="N5544">
        <v>0</v>
      </c>
      <c r="O5544">
        <v>5.089018E-2</v>
      </c>
      <c r="P5544">
        <v>0.99187839999999905</v>
      </c>
      <c r="Q5544">
        <v>-2.7558030000000001E-2</v>
      </c>
      <c r="R5544">
        <v>0.1241675</v>
      </c>
      <c r="S5544">
        <v>2.8177189999999999</v>
      </c>
      <c r="T5544">
        <v>3.1978369999999999E-2</v>
      </c>
      <c r="U5544">
        <v>1.6859439999999899</v>
      </c>
      <c r="V5544">
        <v>-7.3540519999999998E-2</v>
      </c>
      <c r="W5544">
        <v>-1.327878E-2</v>
      </c>
      <c r="X5544">
        <v>0.99720379999999997</v>
      </c>
      <c r="Y5544">
        <v>-0.46908620000000001</v>
      </c>
      <c r="Z5544">
        <v>-1.9270679999999899E-3</v>
      </c>
      <c r="AA5544">
        <v>0.88315030000000005</v>
      </c>
      <c r="AB5544">
        <v>20</v>
      </c>
      <c r="AC5544">
        <v>69.9652999999999</v>
      </c>
      <c r="AD5544">
        <v>0.79634799999999994</v>
      </c>
      <c r="AE5544">
        <v>41.975279999999998</v>
      </c>
      <c r="AF5544">
        <v>-38.356318281652101</v>
      </c>
      <c r="AG5544">
        <v>0.79634799999999994</v>
      </c>
      <c r="AH5544">
        <v>72.004111160308199</v>
      </c>
      <c r="AI5544">
        <v>89.440742742652702</v>
      </c>
      <c r="AJ5544">
        <v>118.04405969654999</v>
      </c>
      <c r="AK5544">
        <v>81.586967992728603</v>
      </c>
    </row>
    <row r="5545" spans="1:37" x14ac:dyDescent="0.2">
      <c r="A5545" t="str">
        <f>"20200111160326766"</f>
        <v>20200111160326766</v>
      </c>
      <c r="B5545" t="str">
        <f>"1578729806759072"</f>
        <v>1578729806759072</v>
      </c>
      <c r="C5545" t="s">
        <v>37</v>
      </c>
      <c r="D5545">
        <v>5.1201400000000001</v>
      </c>
      <c r="E5545">
        <v>0.33047939999999998</v>
      </c>
      <c r="F5545" t="s">
        <v>49</v>
      </c>
      <c r="G5545">
        <v>-168.45050000000001</v>
      </c>
      <c r="H5545">
        <v>2.7082660000000001</v>
      </c>
      <c r="I5545">
        <v>-19.56589</v>
      </c>
      <c r="J5545">
        <v>-238.27340000000001</v>
      </c>
      <c r="K5545">
        <v>1.103961</v>
      </c>
      <c r="L5545">
        <v>-62.197330000000001</v>
      </c>
      <c r="M5545">
        <v>0.99863380000000002</v>
      </c>
      <c r="N5545">
        <v>0</v>
      </c>
      <c r="O5545">
        <v>5.0277639999999998E-2</v>
      </c>
      <c r="P5545">
        <v>0.99144699999999997</v>
      </c>
      <c r="Q5545">
        <v>-2.8387450000000002E-2</v>
      </c>
      <c r="R5545">
        <v>0.12738579999999999</v>
      </c>
      <c r="S5545">
        <v>2.8118590000000001</v>
      </c>
      <c r="T5545">
        <v>6.447601E-2</v>
      </c>
      <c r="U5545">
        <v>1.7135929999999999</v>
      </c>
      <c r="V5545">
        <v>-7.7388760000000001E-2</v>
      </c>
      <c r="W5545">
        <v>-1.410148E-2</v>
      </c>
      <c r="X5545">
        <v>0.99690129999999999</v>
      </c>
      <c r="Y5545">
        <v>-0.4767187</v>
      </c>
      <c r="Z5545">
        <v>-3.976449E-3</v>
      </c>
      <c r="AA5545">
        <v>0.87904689999999996</v>
      </c>
      <c r="AB5545">
        <v>20</v>
      </c>
      <c r="AC5545">
        <v>69.822900000000004</v>
      </c>
      <c r="AD5545">
        <v>1.6043050000000001</v>
      </c>
      <c r="AE5545">
        <v>42.631439999999998</v>
      </c>
      <c r="AF5545">
        <v>-39.051607723207802</v>
      </c>
      <c r="AG5545">
        <v>1.6043050000000001</v>
      </c>
      <c r="AH5545">
        <v>71.850569614522399</v>
      </c>
      <c r="AI5545">
        <v>88.876117487543496</v>
      </c>
      <c r="AJ5545">
        <v>118.524586858963</v>
      </c>
      <c r="AK5545">
        <v>81.793069475547</v>
      </c>
    </row>
    <row r="5546" spans="1:37" x14ac:dyDescent="0.2">
      <c r="A5546" t="str">
        <f>"20200111160326778"</f>
        <v>20200111160326778</v>
      </c>
      <c r="B5546" t="str">
        <f>"1578729806768833"</f>
        <v>1578729806768833</v>
      </c>
      <c r="C5546" t="s">
        <v>37</v>
      </c>
      <c r="D5546">
        <v>5.0696599999999998</v>
      </c>
      <c r="E5546">
        <v>0.33039639999999998</v>
      </c>
      <c r="F5546" t="s">
        <v>49</v>
      </c>
      <c r="G5546">
        <v>-168.45050000000001</v>
      </c>
      <c r="H5546">
        <v>2.5353319999999999</v>
      </c>
      <c r="I5546">
        <v>-19.406700000000001</v>
      </c>
      <c r="J5546">
        <v>-238.17070000000001</v>
      </c>
      <c r="K5546">
        <v>1.103966</v>
      </c>
      <c r="L5546">
        <v>-62.192689999999999</v>
      </c>
      <c r="M5546">
        <v>0.99865590000000004</v>
      </c>
      <c r="N5546">
        <v>0</v>
      </c>
      <c r="O5546">
        <v>4.9836999999999999E-2</v>
      </c>
      <c r="P5546">
        <v>0.99124460000000003</v>
      </c>
      <c r="Q5546">
        <v>-2.8726149999999999E-2</v>
      </c>
      <c r="R5546">
        <v>0.12887680000000001</v>
      </c>
      <c r="S5546">
        <v>2.8065340000000001</v>
      </c>
      <c r="T5546">
        <v>5.7533859999999999E-2</v>
      </c>
      <c r="U5546">
        <v>1.7199709999999999</v>
      </c>
      <c r="V5546">
        <v>-7.9328179999999998E-2</v>
      </c>
      <c r="W5546">
        <v>-1.4436320000000001E-2</v>
      </c>
      <c r="X5546">
        <v>0.99674399999999996</v>
      </c>
      <c r="Y5546">
        <v>-0.47931509999999999</v>
      </c>
      <c r="Z5546">
        <v>-3.5849440000000001E-3</v>
      </c>
      <c r="AA5546">
        <v>0.87763559999999996</v>
      </c>
      <c r="AB5546">
        <v>20</v>
      </c>
      <c r="AC5546">
        <v>69.720200000000006</v>
      </c>
      <c r="AD5546">
        <v>1.4313659999999999</v>
      </c>
      <c r="AE5546">
        <v>42.785989999999998</v>
      </c>
      <c r="AF5546">
        <v>-39.245797849495403</v>
      </c>
      <c r="AG5546">
        <v>1.4313659999999999</v>
      </c>
      <c r="AH5546">
        <v>71.744120618771902</v>
      </c>
      <c r="AI5546">
        <v>88.997236166849902</v>
      </c>
      <c r="AJ5546">
        <v>118.67974356882399</v>
      </c>
      <c r="AK5546">
        <v>81.789365450713106</v>
      </c>
    </row>
    <row r="5547" spans="1:37" x14ac:dyDescent="0.2">
      <c r="A5547" t="str">
        <f>"20200111160326791"</f>
        <v>20200111160326791</v>
      </c>
      <c r="B5547" t="str">
        <f>"1578729806778593"</f>
        <v>1578729806778593</v>
      </c>
      <c r="C5547" t="s">
        <v>37</v>
      </c>
      <c r="D5547">
        <v>5.0899769999999904</v>
      </c>
      <c r="E5547">
        <v>0.33037070000000002</v>
      </c>
      <c r="F5547" t="s">
        <v>49</v>
      </c>
      <c r="G5547">
        <v>-168.45050000000001</v>
      </c>
      <c r="H5547">
        <v>2.5848179999999998</v>
      </c>
      <c r="I5547">
        <v>-19.306270000000001</v>
      </c>
      <c r="J5547">
        <v>-238.06360000000001</v>
      </c>
      <c r="K5547">
        <v>1.103972</v>
      </c>
      <c r="L5547">
        <v>-62.187840000000001</v>
      </c>
      <c r="M5547">
        <v>0.99867859999999997</v>
      </c>
      <c r="N5547">
        <v>0</v>
      </c>
      <c r="O5547">
        <v>4.9377829999999998E-2</v>
      </c>
      <c r="P5547">
        <v>0.9910698</v>
      </c>
      <c r="Q5547">
        <v>-2.8714190000000001E-2</v>
      </c>
      <c r="R5547">
        <v>0.13021659999999999</v>
      </c>
      <c r="S5547">
        <v>2.8039860000000001</v>
      </c>
      <c r="T5547">
        <v>5.9556369999999997E-2</v>
      </c>
      <c r="U5547">
        <v>1.7247919999999901</v>
      </c>
      <c r="V5547">
        <v>-8.1133200000000003E-2</v>
      </c>
      <c r="W5547">
        <v>-1.442061E-2</v>
      </c>
      <c r="X5547">
        <v>0.99659900000000001</v>
      </c>
      <c r="Y5547">
        <v>-0.48116340000000002</v>
      </c>
      <c r="Z5547">
        <v>-3.739249E-3</v>
      </c>
      <c r="AA5547">
        <v>0.87662299999999904</v>
      </c>
      <c r="AB5547">
        <v>20</v>
      </c>
      <c r="AC5547">
        <v>69.613100000000003</v>
      </c>
      <c r="AD5547">
        <v>1.4808459999999899</v>
      </c>
      <c r="AE5547">
        <v>42.881570000000004</v>
      </c>
      <c r="AF5547">
        <v>-39.378640752529002</v>
      </c>
      <c r="AG5547">
        <v>1.4808459999999899</v>
      </c>
      <c r="AH5547">
        <v>71.622285199254407</v>
      </c>
      <c r="AI5547">
        <v>88.962034696407898</v>
      </c>
      <c r="AJ5547">
        <v>118.80243031066</v>
      </c>
      <c r="AK5547">
        <v>81.747305702119505</v>
      </c>
    </row>
    <row r="5548" spans="1:37" x14ac:dyDescent="0.2">
      <c r="A5548" t="str">
        <f>"20200111160326802"</f>
        <v>20200111160326802</v>
      </c>
      <c r="B5548" t="str">
        <f>"1578729806799088"</f>
        <v>1578729806799088</v>
      </c>
      <c r="C5548" t="s">
        <v>37</v>
      </c>
      <c r="D5548">
        <v>5.3662140000000003</v>
      </c>
      <c r="E5548">
        <v>0.33022869999999999</v>
      </c>
      <c r="F5548" t="s">
        <v>49</v>
      </c>
      <c r="G5548">
        <v>-168.45050000000001</v>
      </c>
      <c r="H5548">
        <v>2.6454770000000001</v>
      </c>
      <c r="I5548">
        <v>-19.23349</v>
      </c>
      <c r="J5548">
        <v>-237.953</v>
      </c>
      <c r="K5548">
        <v>1.103982</v>
      </c>
      <c r="L5548">
        <v>-62.182919999999903</v>
      </c>
      <c r="M5548">
        <v>0.99870170000000003</v>
      </c>
      <c r="N5548">
        <v>0</v>
      </c>
      <c r="O5548">
        <v>4.8905570000000002E-2</v>
      </c>
      <c r="P5548">
        <v>0.99092049999999998</v>
      </c>
      <c r="Q5548">
        <v>-2.8246239999999999E-2</v>
      </c>
      <c r="R5548">
        <v>0.13144900000000001</v>
      </c>
      <c r="S5548">
        <v>2.801682</v>
      </c>
      <c r="T5548">
        <v>6.203997E-2</v>
      </c>
      <c r="U5548">
        <v>1.7287599999999901</v>
      </c>
      <c r="V5548">
        <v>-8.2841579999999998E-2</v>
      </c>
      <c r="W5548">
        <v>-1.3949629999999999E-2</v>
      </c>
      <c r="X5548">
        <v>0.99646509999999999</v>
      </c>
      <c r="Y5548">
        <v>-0.4827919</v>
      </c>
      <c r="Z5548">
        <v>-3.9226779999999998E-3</v>
      </c>
      <c r="AA5548">
        <v>0.87572629999999996</v>
      </c>
      <c r="AB5548">
        <v>20</v>
      </c>
      <c r="AC5548">
        <v>69.502499999999998</v>
      </c>
      <c r="AD5548">
        <v>1.5414950000000001</v>
      </c>
      <c r="AE5548">
        <v>42.9494299999999</v>
      </c>
      <c r="AF5548">
        <v>-39.484566416879197</v>
      </c>
      <c r="AG5548">
        <v>1.5414950000000001</v>
      </c>
      <c r="AH5548">
        <v>71.494546513464797</v>
      </c>
      <c r="AI5548">
        <v>88.918730483183694</v>
      </c>
      <c r="AJ5548">
        <v>118.91072101512199</v>
      </c>
      <c r="AK5548">
        <v>81.687681893477404</v>
      </c>
    </row>
    <row r="5549" spans="1:37" x14ac:dyDescent="0.2">
      <c r="A5549" t="str">
        <f>"20200111160326816"</f>
        <v>20200111160326816</v>
      </c>
      <c r="B5549" t="str">
        <f>"1578729806808848"</f>
        <v>1578729806808848</v>
      </c>
      <c r="C5549" t="s">
        <v>37</v>
      </c>
      <c r="D5549">
        <v>5.0269149999999998</v>
      </c>
      <c r="E5549">
        <v>0.33014670000000002</v>
      </c>
      <c r="F5549" t="s">
        <v>49</v>
      </c>
      <c r="G5549">
        <v>-168.45050000000001</v>
      </c>
      <c r="H5549">
        <v>2.7783090000000001</v>
      </c>
      <c r="I5549">
        <v>-19.149529999999999</v>
      </c>
      <c r="J5549">
        <v>-237.83920000000001</v>
      </c>
      <c r="K5549">
        <v>1.10399</v>
      </c>
      <c r="L5549">
        <v>-62.177889999999998</v>
      </c>
      <c r="M5549">
        <v>0.99872539999999999</v>
      </c>
      <c r="N5549">
        <v>0</v>
      </c>
      <c r="O5549">
        <v>4.842159E-2</v>
      </c>
      <c r="P5549">
        <v>0.99079660000000003</v>
      </c>
      <c r="Q5549">
        <v>-2.775594E-2</v>
      </c>
      <c r="R5549">
        <v>0.13248470000000001</v>
      </c>
      <c r="S5549">
        <v>2.7994840000000001</v>
      </c>
      <c r="T5549">
        <v>6.7439910000000006E-2</v>
      </c>
      <c r="U5549">
        <v>1.7333369999999999</v>
      </c>
      <c r="V5549">
        <v>-8.4364430000000004E-2</v>
      </c>
      <c r="W5549">
        <v>-1.345682E-2</v>
      </c>
      <c r="X5549">
        <v>0.99634409999999896</v>
      </c>
      <c r="Y5549">
        <v>-0.48454399999999997</v>
      </c>
      <c r="Z5549">
        <v>-4.295231E-3</v>
      </c>
      <c r="AA5549">
        <v>0.87475630000000004</v>
      </c>
      <c r="AB5549">
        <v>20</v>
      </c>
      <c r="AC5549">
        <v>69.3887</v>
      </c>
      <c r="AD5549">
        <v>1.6743189999999999</v>
      </c>
      <c r="AE5549">
        <v>43.028359999999999</v>
      </c>
      <c r="AF5549">
        <v>-39.6009714181547</v>
      </c>
      <c r="AG5549">
        <v>1.6743189999999999</v>
      </c>
      <c r="AH5549">
        <v>71.360993274839302</v>
      </c>
      <c r="AI5549">
        <v>88.824717360775296</v>
      </c>
      <c r="AJ5549">
        <v>119.027586144439</v>
      </c>
      <c r="AK5549">
        <v>81.629845292925395</v>
      </c>
    </row>
    <row r="5550" spans="1:37" x14ac:dyDescent="0.2">
      <c r="A5550" t="str">
        <f>"20200111160326857"</f>
        <v>20200111160326857</v>
      </c>
      <c r="B5550" t="str">
        <f>"1578729806848865"</f>
        <v>1578729806848865</v>
      </c>
      <c r="C5550" t="s">
        <v>37</v>
      </c>
      <c r="D5550">
        <v>5.0454359999999996</v>
      </c>
      <c r="E5550">
        <v>0.33027499999999999</v>
      </c>
      <c r="F5550" t="s">
        <v>49</v>
      </c>
      <c r="G5550">
        <v>-168.45050000000001</v>
      </c>
      <c r="H5550">
        <v>2.8787500000000001</v>
      </c>
      <c r="I5550">
        <v>-19.103590000000001</v>
      </c>
      <c r="J5550">
        <v>-237.46950000000001</v>
      </c>
      <c r="K5550">
        <v>1.104012</v>
      </c>
      <c r="L5550">
        <v>-62.161960000000001</v>
      </c>
      <c r="M5550">
        <v>0.99879899999999999</v>
      </c>
      <c r="N5550">
        <v>0</v>
      </c>
      <c r="O5550">
        <v>4.6873819999999997E-2</v>
      </c>
      <c r="P5550">
        <v>0.99036919999999995</v>
      </c>
      <c r="Q5550">
        <v>-2.7122429999999999E-2</v>
      </c>
      <c r="R5550">
        <v>0.13576959999999999</v>
      </c>
      <c r="S5550">
        <v>2.7976529999999999</v>
      </c>
      <c r="T5550">
        <v>7.1555729999999998E-2</v>
      </c>
      <c r="U5550">
        <v>1.736694</v>
      </c>
      <c r="V5550">
        <v>-8.9207750000000002E-2</v>
      </c>
      <c r="W5550">
        <v>-1.2820410000000001E-2</v>
      </c>
      <c r="X5550">
        <v>0.9959306</v>
      </c>
      <c r="Y5550">
        <v>-0.48689959999999999</v>
      </c>
      <c r="Z5550">
        <v>-4.6222839999999999E-3</v>
      </c>
      <c r="AA5550">
        <v>0.87344569999999999</v>
      </c>
      <c r="AB5550">
        <v>20</v>
      </c>
      <c r="AC5550">
        <v>69.018999999999906</v>
      </c>
      <c r="AD5550">
        <v>1.7747379999999999</v>
      </c>
      <c r="AE5550">
        <v>43.058369999999996</v>
      </c>
      <c r="AF5550">
        <v>-39.7565958313333</v>
      </c>
      <c r="AG5550">
        <v>1.7747379999999999</v>
      </c>
      <c r="AH5550">
        <v>70.927877315630695</v>
      </c>
      <c r="AI5550">
        <v>88.749617661381194</v>
      </c>
      <c r="AJ5550">
        <v>119.271565062862</v>
      </c>
      <c r="AK5550">
        <v>81.329578798649806</v>
      </c>
    </row>
    <row r="5551" spans="1:37" x14ac:dyDescent="0.2">
      <c r="A5551" t="str">
        <f>"20200111160326871"</f>
        <v>20200111160326871</v>
      </c>
      <c r="B5551" t="str">
        <f>"1578729806868386"</f>
        <v>1578729806868386</v>
      </c>
      <c r="C5551" t="s">
        <v>37</v>
      </c>
      <c r="D5551">
        <v>5.042529</v>
      </c>
      <c r="E5551">
        <v>0.33068389999999998</v>
      </c>
      <c r="F5551" t="s">
        <v>49</v>
      </c>
      <c r="G5551">
        <v>-168.45050000000001</v>
      </c>
      <c r="H5551">
        <v>2.919022</v>
      </c>
      <c r="I5551">
        <v>-19.025110000000002</v>
      </c>
      <c r="J5551">
        <v>-237.34909999999999</v>
      </c>
      <c r="K5551">
        <v>1.104023</v>
      </c>
      <c r="L5551">
        <v>-62.156859999999902</v>
      </c>
      <c r="M5551">
        <v>0.99882199999999999</v>
      </c>
      <c r="N5551">
        <v>0</v>
      </c>
      <c r="O5551">
        <v>4.6379980000000001E-2</v>
      </c>
      <c r="P5551">
        <v>0.99033789999999999</v>
      </c>
      <c r="Q5551">
        <v>-2.7070980000000001E-2</v>
      </c>
      <c r="R5551">
        <v>0.13600809999999999</v>
      </c>
      <c r="S5551">
        <v>2.7919459999999998</v>
      </c>
      <c r="T5551">
        <v>7.3420410000000005E-2</v>
      </c>
      <c r="U5551">
        <v>1.7449650000000001</v>
      </c>
      <c r="V5551">
        <v>-8.993959E-2</v>
      </c>
      <c r="W5551">
        <v>-1.276937E-2</v>
      </c>
      <c r="X5551">
        <v>0.99586529999999995</v>
      </c>
      <c r="Y5551">
        <v>-0.48998439999999999</v>
      </c>
      <c r="Z5551">
        <v>-4.7965909999999898E-3</v>
      </c>
      <c r="AA5551">
        <v>0.87171799999999999</v>
      </c>
      <c r="AB5551">
        <v>20</v>
      </c>
      <c r="AC5551">
        <v>68.898599999999902</v>
      </c>
      <c r="AD5551">
        <v>1.814999</v>
      </c>
      <c r="AE5551">
        <v>43.131749999999997</v>
      </c>
      <c r="AF5551">
        <v>-39.869606551009497</v>
      </c>
      <c r="AG5551">
        <v>1.814999</v>
      </c>
      <c r="AH5551">
        <v>70.789800781312394</v>
      </c>
      <c r="AI5551">
        <v>88.720238281014204</v>
      </c>
      <c r="AJ5551">
        <v>119.38869739494299</v>
      </c>
      <c r="AK5551">
        <v>81.265464021072304</v>
      </c>
    </row>
    <row r="5552" spans="1:37" x14ac:dyDescent="0.2">
      <c r="A5552" t="str">
        <f>"20200111160326884"</f>
        <v>20200111160326884</v>
      </c>
      <c r="B5552" t="str">
        <f>"1578729806879121"</f>
        <v>1578729806879121</v>
      </c>
      <c r="C5552" t="s">
        <v>37</v>
      </c>
      <c r="D5552">
        <v>5.0640939999999999</v>
      </c>
      <c r="E5552">
        <v>0.33087050000000001</v>
      </c>
      <c r="F5552" t="s">
        <v>49</v>
      </c>
      <c r="G5552">
        <v>-168.45050000000001</v>
      </c>
      <c r="H5552">
        <v>2.8947319999999999</v>
      </c>
      <c r="I5552">
        <v>-19.15747</v>
      </c>
      <c r="J5552">
        <v>-237.22710000000001</v>
      </c>
      <c r="K5552">
        <v>1.104034</v>
      </c>
      <c r="L5552">
        <v>-62.151789999999998</v>
      </c>
      <c r="M5552">
        <v>0.99884479999999998</v>
      </c>
      <c r="N5552">
        <v>0</v>
      </c>
      <c r="O5552">
        <v>4.5888539999999998E-2</v>
      </c>
      <c r="P5552">
        <v>0.99032619999999905</v>
      </c>
      <c r="Q5552">
        <v>-2.7249969999999998E-2</v>
      </c>
      <c r="R5552">
        <v>0.13605729999999999</v>
      </c>
      <c r="S5552">
        <v>2.7919770000000002</v>
      </c>
      <c r="T5552">
        <v>7.2564719999999999E-2</v>
      </c>
      <c r="U5552">
        <v>1.742462</v>
      </c>
      <c r="V5552">
        <v>-9.0478820000000001E-2</v>
      </c>
      <c r="W5552">
        <v>-1.2949560000000001E-2</v>
      </c>
      <c r="X5552">
        <v>0.99581419999999998</v>
      </c>
      <c r="Y5552">
        <v>-0.48984929999999899</v>
      </c>
      <c r="Z5552">
        <v>-4.7517139999999998E-3</v>
      </c>
      <c r="AA5552">
        <v>0.87179419999999996</v>
      </c>
      <c r="AB5552">
        <v>20</v>
      </c>
      <c r="AC5552">
        <v>68.776600000000002</v>
      </c>
      <c r="AD5552">
        <v>1.7906979999999999</v>
      </c>
      <c r="AE5552">
        <v>42.994320000000002</v>
      </c>
      <c r="AF5552">
        <v>-39.7732542351362</v>
      </c>
      <c r="AG5552">
        <v>1.7906979999999999</v>
      </c>
      <c r="AH5552">
        <v>70.642848148573705</v>
      </c>
      <c r="AI5552">
        <v>88.734637697636501</v>
      </c>
      <c r="AJ5552">
        <v>119.38033061778199</v>
      </c>
      <c r="AK5552">
        <v>81.089643890711699</v>
      </c>
    </row>
    <row r="5553" spans="1:37" x14ac:dyDescent="0.2">
      <c r="A5553" t="str">
        <f>"20200111160326902"</f>
        <v>20200111160326902</v>
      </c>
      <c r="B5553" t="str">
        <f>"1578729806898640"</f>
        <v>1578729806898640</v>
      </c>
      <c r="C5553" t="s">
        <v>37</v>
      </c>
      <c r="D5553">
        <v>5.022824</v>
      </c>
      <c r="E5553">
        <v>0.33134759999999902</v>
      </c>
      <c r="F5553" t="s">
        <v>49</v>
      </c>
      <c r="G5553">
        <v>-168.45050000000001</v>
      </c>
      <c r="H5553">
        <v>2.7807810000000002</v>
      </c>
      <c r="I5553">
        <v>-19.258400000000002</v>
      </c>
      <c r="J5553">
        <v>-237.07320000000001</v>
      </c>
      <c r="K5553">
        <v>1.104055</v>
      </c>
      <c r="L5553">
        <v>-62.145449999999997</v>
      </c>
      <c r="M5553">
        <v>0.9988726</v>
      </c>
      <c r="N5553">
        <v>0</v>
      </c>
      <c r="O5553">
        <v>4.5278730000000003E-2</v>
      </c>
      <c r="P5553">
        <v>0.99033280000000001</v>
      </c>
      <c r="Q5553">
        <v>-2.7573029999999998E-2</v>
      </c>
      <c r="R5553">
        <v>0.13594410000000001</v>
      </c>
      <c r="S5553">
        <v>2.7919619999999998</v>
      </c>
      <c r="T5553">
        <v>6.8066840000000003E-2</v>
      </c>
      <c r="U5553">
        <v>1.741241</v>
      </c>
      <c r="V5553">
        <v>-9.0972730000000002E-2</v>
      </c>
      <c r="W5553">
        <v>-1.327473E-2</v>
      </c>
      <c r="X5553">
        <v>0.99576489999999995</v>
      </c>
      <c r="Y5553">
        <v>-0.490122</v>
      </c>
      <c r="Z5553">
        <v>-4.4743450000000002E-3</v>
      </c>
      <c r="AA5553">
        <v>0.87164240000000004</v>
      </c>
      <c r="AB5553">
        <v>20</v>
      </c>
      <c r="AC5553">
        <v>68.622699999999995</v>
      </c>
      <c r="AD5553">
        <v>1.6767259999999999</v>
      </c>
      <c r="AE5553">
        <v>42.887050000000002</v>
      </c>
      <c r="AF5553">
        <v>-39.718538725841803</v>
      </c>
      <c r="AG5553">
        <v>1.6767259999999999</v>
      </c>
      <c r="AH5553">
        <v>70.464122028945994</v>
      </c>
      <c r="AI5553">
        <v>88.812476494244706</v>
      </c>
      <c r="AJ5553">
        <v>119.408668318962</v>
      </c>
      <c r="AK5553">
        <v>80.904673671583794</v>
      </c>
    </row>
    <row r="5554" spans="1:37" x14ac:dyDescent="0.2">
      <c r="A5554" t="str">
        <f>"20200111160326914"</f>
        <v>20200111160326914</v>
      </c>
      <c r="B5554" t="str">
        <f>"1578729806908400"</f>
        <v>1578729806908400</v>
      </c>
      <c r="C5554" t="s">
        <v>37</v>
      </c>
      <c r="D5554">
        <v>5.0029709999999996</v>
      </c>
      <c r="E5554">
        <v>0.33147140000000003</v>
      </c>
      <c r="F5554" t="s">
        <v>49</v>
      </c>
      <c r="G5554">
        <v>-168.45050000000001</v>
      </c>
      <c r="H5554">
        <v>2.5841620000000001</v>
      </c>
      <c r="I5554">
        <v>-19.45176</v>
      </c>
      <c r="J5554">
        <v>-236.97389999999999</v>
      </c>
      <c r="K5554">
        <v>1.104068</v>
      </c>
      <c r="L5554">
        <v>-62.141390000000001</v>
      </c>
      <c r="M5554">
        <v>0.99889019999999995</v>
      </c>
      <c r="N5554">
        <v>0</v>
      </c>
      <c r="O5554">
        <v>4.4890800000000002E-2</v>
      </c>
      <c r="P5554">
        <v>0.99038609999999905</v>
      </c>
      <c r="Q5554">
        <v>-2.7015549999999999E-2</v>
      </c>
      <c r="R5554">
        <v>0.13566779999999901</v>
      </c>
      <c r="S5554">
        <v>2.792465</v>
      </c>
      <c r="T5554">
        <v>6.0229899999999899E-2</v>
      </c>
      <c r="U5554">
        <v>1.7373349999999901</v>
      </c>
      <c r="V5554">
        <v>-9.1080690000000006E-2</v>
      </c>
      <c r="W5554">
        <v>-1.271859E-2</v>
      </c>
      <c r="X5554">
        <v>0.99576229999999999</v>
      </c>
      <c r="Y5554">
        <v>-0.48953170000000001</v>
      </c>
      <c r="Z5554">
        <v>-3.9618020000000004E-3</v>
      </c>
      <c r="AA5554">
        <v>0.87197649999999904</v>
      </c>
      <c r="AB5554">
        <v>20</v>
      </c>
      <c r="AC5554">
        <v>68.523399999999896</v>
      </c>
      <c r="AD5554">
        <v>1.480094</v>
      </c>
      <c r="AE5554">
        <v>42.689630000000001</v>
      </c>
      <c r="AF5554">
        <v>-39.556907802750104</v>
      </c>
      <c r="AG5554">
        <v>1.480094</v>
      </c>
      <c r="AH5554">
        <v>70.347229892731207</v>
      </c>
      <c r="AI5554">
        <v>88.949353423010606</v>
      </c>
      <c r="AJ5554">
        <v>119.34945660481</v>
      </c>
      <c r="AK5554">
        <v>80.719714981811507</v>
      </c>
    </row>
    <row r="5555" spans="1:37" x14ac:dyDescent="0.2">
      <c r="A5555" t="str">
        <f>"20200111160326924"</f>
        <v>20200111160326924</v>
      </c>
      <c r="B5555" t="str">
        <f>"1578729806919136"</f>
        <v>1578729806919136</v>
      </c>
      <c r="C5555" t="s">
        <v>37</v>
      </c>
      <c r="D5555">
        <v>5.0146670000000002</v>
      </c>
      <c r="E5555">
        <v>0.33151540000000002</v>
      </c>
      <c r="F5555" t="s">
        <v>49</v>
      </c>
      <c r="G5555">
        <v>-168.45050000000001</v>
      </c>
      <c r="H5555">
        <v>2.6051759999999899</v>
      </c>
      <c r="I5555">
        <v>-19.56024</v>
      </c>
      <c r="J5555">
        <v>-236.86510000000001</v>
      </c>
      <c r="K5555">
        <v>1.104082</v>
      </c>
      <c r="L5555">
        <v>-62.136959999999902</v>
      </c>
      <c r="M5555">
        <v>0.99890879999999904</v>
      </c>
      <c r="N5555">
        <v>0</v>
      </c>
      <c r="O5555">
        <v>4.4472619999999997E-2</v>
      </c>
      <c r="P5555">
        <v>0.99050130000000003</v>
      </c>
      <c r="Q5555">
        <v>-2.6464069999999999E-2</v>
      </c>
      <c r="R5555">
        <v>0.13493250000000001</v>
      </c>
      <c r="S5555">
        <v>2.7930450000000002</v>
      </c>
      <c r="T5555">
        <v>6.1185719999999999E-2</v>
      </c>
      <c r="U5555">
        <v>1.7356259999999999</v>
      </c>
      <c r="V5555">
        <v>-9.0756539999999997E-2</v>
      </c>
      <c r="W5555">
        <v>-1.2168770000000001E-2</v>
      </c>
      <c r="X5555">
        <v>0.99579879999999998</v>
      </c>
      <c r="Y5555">
        <v>-0.48942829999999898</v>
      </c>
      <c r="Z5555">
        <v>-4.0318630000000001E-3</v>
      </c>
      <c r="AA5555">
        <v>0.87203419999999898</v>
      </c>
      <c r="AB5555">
        <v>20</v>
      </c>
      <c r="AC5555">
        <v>68.414599999999993</v>
      </c>
      <c r="AD5555">
        <v>1.5010939999999899</v>
      </c>
      <c r="AE5555">
        <v>42.576720000000002</v>
      </c>
      <c r="AF5555">
        <v>-39.478000742762099</v>
      </c>
      <c r="AG5555">
        <v>1.5010939999999899</v>
      </c>
      <c r="AH5555">
        <v>70.216221877584402</v>
      </c>
      <c r="AI5555">
        <v>88.932428310206802</v>
      </c>
      <c r="AJ5555">
        <v>119.34620787922201</v>
      </c>
      <c r="AK5555">
        <v>80.567261593059797</v>
      </c>
    </row>
    <row r="5556" spans="1:37" x14ac:dyDescent="0.2">
      <c r="A5556" t="str">
        <f>"20200111160326935"</f>
        <v>20200111160326935</v>
      </c>
      <c r="B5556" t="str">
        <f>"1578729806928897"</f>
        <v>1578729806928897</v>
      </c>
      <c r="C5556" t="s">
        <v>37</v>
      </c>
      <c r="D5556">
        <v>5.0187419999999996</v>
      </c>
      <c r="E5556">
        <v>0.33172220000000002</v>
      </c>
      <c r="F5556" t="s">
        <v>49</v>
      </c>
      <c r="G5556">
        <v>-168.45050000000001</v>
      </c>
      <c r="H5556">
        <v>2.5596779999999999</v>
      </c>
      <c r="I5556">
        <v>-19.697340000000001</v>
      </c>
      <c r="J5556">
        <v>-236.77459999999999</v>
      </c>
      <c r="K5556">
        <v>1.104095</v>
      </c>
      <c r="L5556">
        <v>-62.133330000000001</v>
      </c>
      <c r="M5556">
        <v>0.99892399999999903</v>
      </c>
      <c r="N5556">
        <v>0</v>
      </c>
      <c r="O5556">
        <v>4.4130450000000002E-2</v>
      </c>
      <c r="P5556">
        <v>0.99059540000000001</v>
      </c>
      <c r="Q5556">
        <v>-2.5971999999999999E-2</v>
      </c>
      <c r="R5556">
        <v>0.13433709999999999</v>
      </c>
      <c r="S5556">
        <v>2.7942200000000001</v>
      </c>
      <c r="T5556">
        <v>5.9450030000000001E-2</v>
      </c>
      <c r="U5556">
        <v>1.7333369999999999</v>
      </c>
      <c r="V5556">
        <v>-9.0498270000000006E-2</v>
      </c>
      <c r="W5556">
        <v>-1.167816E-2</v>
      </c>
      <c r="X5556">
        <v>0.99582819999999905</v>
      </c>
      <c r="Y5556">
        <v>-0.48905129999999902</v>
      </c>
      <c r="Z5556">
        <v>-3.9198409999999899E-3</v>
      </c>
      <c r="AA5556">
        <v>0.87224619999999997</v>
      </c>
      <c r="AB5556">
        <v>20</v>
      </c>
      <c r="AC5556">
        <v>68.324099999999902</v>
      </c>
      <c r="AD5556">
        <v>1.4555829999999901</v>
      </c>
      <c r="AE5556">
        <v>42.435989999999997</v>
      </c>
      <c r="AF5556">
        <v>-39.366266371755799</v>
      </c>
      <c r="AG5556">
        <v>1.4555829999999901</v>
      </c>
      <c r="AH5556">
        <v>70.107471764123105</v>
      </c>
      <c r="AI5556">
        <v>88.962863428584896</v>
      </c>
      <c r="AJ5556">
        <v>119.31478280428399</v>
      </c>
      <c r="AK5556">
        <v>80.416908962476597</v>
      </c>
    </row>
    <row r="5557" spans="1:37" x14ac:dyDescent="0.2">
      <c r="A5557" t="str">
        <f>"20200111160326946"</f>
        <v>20200111160326946</v>
      </c>
      <c r="B5557" t="str">
        <f>"1578729806938656"</f>
        <v>1578729806938656</v>
      </c>
      <c r="C5557" t="s">
        <v>37</v>
      </c>
      <c r="D5557">
        <v>4.6504050000000001</v>
      </c>
      <c r="E5557">
        <v>0.33172220000000002</v>
      </c>
      <c r="F5557" t="s">
        <v>49</v>
      </c>
      <c r="G5557">
        <v>-168.45050000000001</v>
      </c>
      <c r="H5557">
        <v>2.4846629999999998</v>
      </c>
      <c r="I5557">
        <v>-19.844539999999999</v>
      </c>
      <c r="J5557">
        <v>-236.6755</v>
      </c>
      <c r="K5557">
        <v>1.104109</v>
      </c>
      <c r="L5557">
        <v>-62.129390000000001</v>
      </c>
      <c r="M5557">
        <v>0.9989403</v>
      </c>
      <c r="N5557">
        <v>0</v>
      </c>
      <c r="O5557">
        <v>4.3758909999999998E-2</v>
      </c>
      <c r="P5557">
        <v>0.99074019999999996</v>
      </c>
      <c r="Q5557">
        <v>-2.5294850000000001E-2</v>
      </c>
      <c r="R5557">
        <v>0.13339519999999999</v>
      </c>
      <c r="S5557">
        <v>2.7953489999999999</v>
      </c>
      <c r="T5557">
        <v>5.6483150000000003E-2</v>
      </c>
      <c r="U5557">
        <v>1.730164</v>
      </c>
      <c r="V5557">
        <v>-8.9920109999999998E-2</v>
      </c>
      <c r="W5557">
        <v>-1.100256E-2</v>
      </c>
      <c r="X5557">
        <v>0.9958882</v>
      </c>
      <c r="Y5557">
        <v>-0.48850909999999897</v>
      </c>
      <c r="Z5557">
        <v>-3.7258090000000001E-3</v>
      </c>
      <c r="AA5557">
        <v>0.87255079999999996</v>
      </c>
      <c r="AB5557">
        <v>20</v>
      </c>
      <c r="AC5557">
        <v>68.224999999999994</v>
      </c>
      <c r="AD5557">
        <v>1.3805540000000001</v>
      </c>
      <c r="AE5557">
        <v>42.284849999999999</v>
      </c>
      <c r="AF5557">
        <v>-39.246972177920298</v>
      </c>
      <c r="AG5557">
        <v>1.3805540000000001</v>
      </c>
      <c r="AH5557">
        <v>69.989457574110901</v>
      </c>
      <c r="AI5557">
        <v>89.014335612973497</v>
      </c>
      <c r="AJ5557">
        <v>119.281767962993</v>
      </c>
      <c r="AK5557">
        <v>80.254314064725705</v>
      </c>
    </row>
    <row r="5558" spans="1:37" x14ac:dyDescent="0.2">
      <c r="A5558" t="str">
        <f>"20200111160326958"</f>
        <v>20200111160326958</v>
      </c>
      <c r="B5558" t="str">
        <f>"1578729806948416"</f>
        <v>1578729806948416</v>
      </c>
      <c r="C5558" t="s">
        <v>37</v>
      </c>
      <c r="D5558">
        <v>4.6866089999999998</v>
      </c>
      <c r="E5558">
        <v>0.37980150000000001</v>
      </c>
      <c r="F5558" t="s">
        <v>49</v>
      </c>
      <c r="G5558">
        <v>-168.45050000000001</v>
      </c>
      <c r="H5558">
        <v>2.5229169999999899</v>
      </c>
      <c r="I5558">
        <v>-19.99166</v>
      </c>
      <c r="J5558">
        <v>-236.58019999999999</v>
      </c>
      <c r="K5558">
        <v>1.1041209999999999</v>
      </c>
      <c r="L5558">
        <v>-62.125609999999902</v>
      </c>
      <c r="M5558">
        <v>0.99895579999999995</v>
      </c>
      <c r="N5558">
        <v>0</v>
      </c>
      <c r="O5558">
        <v>4.34084E-2</v>
      </c>
      <c r="P5558">
        <v>0.99091209999999996</v>
      </c>
      <c r="Q5558">
        <v>-2.481148E-2</v>
      </c>
      <c r="R5558">
        <v>0.13220519999999999</v>
      </c>
      <c r="S5558">
        <v>2.796951</v>
      </c>
      <c r="T5558">
        <v>5.8165309999999998E-2</v>
      </c>
      <c r="U5558">
        <v>1.7274779999999901</v>
      </c>
      <c r="V5558">
        <v>-8.9072410000000005E-2</v>
      </c>
      <c r="W5558">
        <v>-1.0520740000000001E-2</v>
      </c>
      <c r="X5558">
        <v>0.99596960000000001</v>
      </c>
      <c r="Y5558">
        <v>-0.48798140000000001</v>
      </c>
      <c r="Z5558">
        <v>-3.8373790000000001E-3</v>
      </c>
      <c r="AA5558">
        <v>0.8728456</v>
      </c>
      <c r="AB5558">
        <v>20</v>
      </c>
      <c r="AC5558">
        <v>68.1296999999999</v>
      </c>
      <c r="AD5558">
        <v>1.41879599999999</v>
      </c>
      <c r="AE5558">
        <v>42.133949999999999</v>
      </c>
      <c r="AF5558">
        <v>-39.124252187158199</v>
      </c>
      <c r="AG5558">
        <v>1.41879599999999</v>
      </c>
      <c r="AH5558">
        <v>69.872702716634706</v>
      </c>
      <c r="AI5558">
        <v>88.984991073465295</v>
      </c>
      <c r="AJ5558">
        <v>119.246041315222</v>
      </c>
      <c r="AK5558">
        <v>80.093162481083098</v>
      </c>
    </row>
    <row r="5559" spans="1:37" x14ac:dyDescent="0.2">
      <c r="A5559" t="str">
        <f>"20200111160326969"</f>
        <v>20200111160326969</v>
      </c>
      <c r="B5559" t="str">
        <f>"1578729806959153"</f>
        <v>1578729806959153</v>
      </c>
      <c r="C5559" t="s">
        <v>37</v>
      </c>
      <c r="D5559">
        <v>7.2571050000000001</v>
      </c>
      <c r="E5559">
        <v>0.37980150000000001</v>
      </c>
      <c r="F5559" t="s">
        <v>49</v>
      </c>
      <c r="G5559">
        <v>-152.9554</v>
      </c>
      <c r="H5559">
        <v>1.931122</v>
      </c>
      <c r="I5559">
        <v>-22.650010000000002</v>
      </c>
      <c r="J5559">
        <v>-236.4778</v>
      </c>
      <c r="K5559">
        <v>1.1041339999999999</v>
      </c>
      <c r="L5559">
        <v>-62.121609999999997</v>
      </c>
      <c r="M5559">
        <v>0.99897190000000002</v>
      </c>
      <c r="N5559">
        <v>0</v>
      </c>
      <c r="O5559">
        <v>4.3034349999999999E-2</v>
      </c>
      <c r="P5559">
        <v>0.99107319999999999</v>
      </c>
      <c r="Q5559">
        <v>-2.43594E-2</v>
      </c>
      <c r="R5559">
        <v>0.13107559999999999</v>
      </c>
      <c r="S5559">
        <v>2.8487849999999999</v>
      </c>
      <c r="T5559">
        <v>2.8172969999999999E-2</v>
      </c>
      <c r="U5559">
        <v>1.3447879999999901</v>
      </c>
      <c r="V5559">
        <v>-8.830913E-2</v>
      </c>
      <c r="W5559">
        <v>-1.00704E-2</v>
      </c>
      <c r="X5559">
        <v>0.99604219999999899</v>
      </c>
      <c r="Y5559">
        <v>-0.38755429999999902</v>
      </c>
      <c r="Z5559">
        <v>-1.4168469999999999E-3</v>
      </c>
      <c r="AA5559">
        <v>0.92184580000000005</v>
      </c>
      <c r="AB5559">
        <v>20</v>
      </c>
      <c r="AC5559">
        <v>83.522400000000005</v>
      </c>
      <c r="AD5559">
        <v>0.82698799999999995</v>
      </c>
      <c r="AE5559">
        <v>39.471600000000002</v>
      </c>
      <c r="AF5559">
        <v>-35.837456405362502</v>
      </c>
      <c r="AG5559">
        <v>0.82698799999999995</v>
      </c>
      <c r="AH5559">
        <v>85.136992974945898</v>
      </c>
      <c r="AI5559">
        <v>89.487057411897993</v>
      </c>
      <c r="AJ5559">
        <v>112.82810988369501</v>
      </c>
      <c r="AK5559">
        <v>92.375942558516797</v>
      </c>
    </row>
    <row r="5560" spans="1:37" x14ac:dyDescent="0.2">
      <c r="A5560" t="str">
        <f>"20200111160326981"</f>
        <v>20200111160326981</v>
      </c>
      <c r="B5560" t="str">
        <f>"1578729806978672"</f>
        <v>1578729806978672</v>
      </c>
      <c r="C5560" t="s">
        <v>37</v>
      </c>
      <c r="D5560">
        <v>5.2196470000000001</v>
      </c>
      <c r="E5560">
        <v>0.51434460000000004</v>
      </c>
      <c r="F5560" t="s">
        <v>49</v>
      </c>
      <c r="G5560">
        <v>-152.6131</v>
      </c>
      <c r="H5560">
        <v>1.9573389999999999</v>
      </c>
      <c r="I5560">
        <v>-22.650010000000002</v>
      </c>
      <c r="J5560">
        <v>-236.37430000000001</v>
      </c>
      <c r="K5560">
        <v>1.1041430000000001</v>
      </c>
      <c r="L5560">
        <v>-62.117579999999997</v>
      </c>
      <c r="M5560">
        <v>0.99898759999999998</v>
      </c>
      <c r="N5560">
        <v>0</v>
      </c>
      <c r="O5560">
        <v>4.2664580000000001E-2</v>
      </c>
      <c r="P5560">
        <v>0.99123680000000003</v>
      </c>
      <c r="Q5560">
        <v>-2.3914370000000001E-2</v>
      </c>
      <c r="R5560">
        <v>0.1299148</v>
      </c>
      <c r="S5560">
        <v>2.850311</v>
      </c>
      <c r="T5560">
        <v>2.8997660000000001E-2</v>
      </c>
      <c r="U5560">
        <v>1.3415219999999899</v>
      </c>
      <c r="V5560">
        <v>-8.751109E-2</v>
      </c>
      <c r="W5560">
        <v>-9.6271629999999993E-3</v>
      </c>
      <c r="X5560">
        <v>0.99611700000000003</v>
      </c>
      <c r="Y5560">
        <v>-0.38683990000000001</v>
      </c>
      <c r="Z5560">
        <v>-1.4580509999999999E-3</v>
      </c>
      <c r="AA5560">
        <v>0.92214569999999996</v>
      </c>
      <c r="AB5560">
        <v>20</v>
      </c>
      <c r="AC5560">
        <v>83.761200000000002</v>
      </c>
      <c r="AD5560">
        <v>0.85319599999999896</v>
      </c>
      <c r="AE5560">
        <v>39.467570000000002</v>
      </c>
      <c r="AF5560">
        <v>-35.854581236783098</v>
      </c>
      <c r="AG5560">
        <v>0.85319599999999896</v>
      </c>
      <c r="AH5560">
        <v>85.361706930262301</v>
      </c>
      <c r="AI5560">
        <v>89.472024570921704</v>
      </c>
      <c r="AJ5560">
        <v>112.783925882641</v>
      </c>
      <c r="AK5560">
        <v>92.589955984045503</v>
      </c>
    </row>
    <row r="5561" spans="1:37" x14ac:dyDescent="0.2">
      <c r="A5561" t="str">
        <f>"20200111160326994"</f>
        <v>20200111160326994</v>
      </c>
      <c r="B5561" t="str">
        <f>"1578729806988432"</f>
        <v>1578729806988432</v>
      </c>
      <c r="C5561" t="s">
        <v>37</v>
      </c>
      <c r="D5561">
        <v>5.4125730000000001</v>
      </c>
      <c r="E5561">
        <v>0.52407530000000002</v>
      </c>
      <c r="F5561" t="s">
        <v>42</v>
      </c>
      <c r="G5561">
        <v>-235.59280000000001</v>
      </c>
      <c r="H5561">
        <v>1.013903</v>
      </c>
      <c r="I5561">
        <v>-62.04374</v>
      </c>
      <c r="J5561">
        <v>-236.26159999999999</v>
      </c>
      <c r="K5561">
        <v>1.1041529999999999</v>
      </c>
      <c r="L5561">
        <v>-62.113250000000001</v>
      </c>
      <c r="M5561">
        <v>0.99900469999999897</v>
      </c>
      <c r="N5561">
        <v>0</v>
      </c>
      <c r="O5561">
        <v>4.2264469999999998E-2</v>
      </c>
      <c r="P5561">
        <v>0.99140539999999999</v>
      </c>
      <c r="Q5561">
        <v>-2.3432149999999999E-2</v>
      </c>
      <c r="R5561">
        <v>0.12871050000000001</v>
      </c>
      <c r="S5561">
        <v>2.9812319999999999</v>
      </c>
      <c r="T5561">
        <v>-0.3441497</v>
      </c>
      <c r="U5561">
        <v>0.28222659999999899</v>
      </c>
      <c r="V5561">
        <v>-8.6698269999999994E-2</v>
      </c>
      <c r="W5561">
        <v>-9.1468729999999998E-3</v>
      </c>
      <c r="X5561">
        <v>0.99619259999999998</v>
      </c>
      <c r="Y5561">
        <v>-5.2017300000000002E-2</v>
      </c>
      <c r="Z5561">
        <v>-1.8632049999999999E-3</v>
      </c>
      <c r="AA5561">
        <v>0.99864449999999905</v>
      </c>
      <c r="AB5561">
        <v>20</v>
      </c>
      <c r="AC5561">
        <v>0.66879999999997597</v>
      </c>
      <c r="AD5561">
        <v>-9.0250000000000094E-2</v>
      </c>
      <c r="AE5561">
        <v>6.9510000000001002E-2</v>
      </c>
      <c r="AF5561">
        <v>-4.0449819554073001E-2</v>
      </c>
      <c r="AG5561">
        <v>-9.0250000000000094E-2</v>
      </c>
      <c r="AH5561">
        <v>0.65926370146245705</v>
      </c>
      <c r="AI5561">
        <v>97.780609315337699</v>
      </c>
      <c r="AJ5561">
        <v>93.511041532462997</v>
      </c>
      <c r="AK5561">
        <v>0.66664074168020804</v>
      </c>
    </row>
    <row r="5562" spans="1:37" x14ac:dyDescent="0.2">
      <c r="A5562" t="str">
        <f>"20200111160327006"</f>
        <v>20200111160327006</v>
      </c>
      <c r="B5562" t="str">
        <f>"1578729806999169"</f>
        <v>1578729806999169</v>
      </c>
      <c r="C5562" t="s">
        <v>37</v>
      </c>
      <c r="D5562">
        <v>5.5005300000000004</v>
      </c>
      <c r="E5562">
        <v>0.52806589999999998</v>
      </c>
      <c r="F5562" t="s">
        <v>42</v>
      </c>
      <c r="G5562">
        <v>-235.42160000000001</v>
      </c>
      <c r="H5562">
        <v>1.009954</v>
      </c>
      <c r="I5562">
        <v>-62.056959999999997</v>
      </c>
      <c r="J5562">
        <v>-236.1523</v>
      </c>
      <c r="K5562">
        <v>1.1041620000000001</v>
      </c>
      <c r="L5562">
        <v>-62.10904</v>
      </c>
      <c r="M5562">
        <v>0.99902080000000004</v>
      </c>
      <c r="N5562">
        <v>0</v>
      </c>
      <c r="O5562">
        <v>4.1880319999999999E-2</v>
      </c>
      <c r="P5562">
        <v>0.9915581</v>
      </c>
      <c r="Q5562">
        <v>-2.328363E-2</v>
      </c>
      <c r="R5562">
        <v>0.12755549999999999</v>
      </c>
      <c r="S5562">
        <v>2.991943</v>
      </c>
      <c r="T5562">
        <v>-0.33539980000000003</v>
      </c>
      <c r="U5562">
        <v>0.2012939</v>
      </c>
      <c r="V5562">
        <v>-8.5920750000000004E-2</v>
      </c>
      <c r="W5562">
        <v>-9.0002810000000006E-3</v>
      </c>
      <c r="X5562">
        <v>0.99626130000000002</v>
      </c>
      <c r="Y5562">
        <v>-2.538062E-2</v>
      </c>
      <c r="Z5562">
        <v>-3.2561719999999999E-3</v>
      </c>
      <c r="AA5562">
        <v>0.99967249999999996</v>
      </c>
      <c r="AB5562">
        <v>20</v>
      </c>
      <c r="AC5562">
        <v>0.73069999999998403</v>
      </c>
      <c r="AD5562">
        <v>-9.4208E-2</v>
      </c>
      <c r="AE5562">
        <v>5.2080000000003603E-2</v>
      </c>
      <c r="AF5562">
        <v>-2.1080591906277701E-2</v>
      </c>
      <c r="AG5562">
        <v>-9.4208E-2</v>
      </c>
      <c r="AH5562">
        <v>0.72032698312131205</v>
      </c>
      <c r="AI5562">
        <v>97.447987224654796</v>
      </c>
      <c r="AJ5562">
        <v>91.676300253719901</v>
      </c>
      <c r="AK5562">
        <v>0.72676715750766396</v>
      </c>
    </row>
    <row r="5563" spans="1:37" x14ac:dyDescent="0.2">
      <c r="A5563" t="str">
        <f>"20200111160327018"</f>
        <v>20200111160327018</v>
      </c>
      <c r="B5563" t="str">
        <f>"1578729807008929"</f>
        <v>1578729807008929</v>
      </c>
      <c r="C5563" t="s">
        <v>37</v>
      </c>
      <c r="D5563">
        <v>5.2929449999999996</v>
      </c>
      <c r="E5563">
        <v>0.53153159999999999</v>
      </c>
      <c r="F5563" t="s">
        <v>42</v>
      </c>
      <c r="G5563">
        <v>-235.41460000000001</v>
      </c>
      <c r="H5563">
        <v>1.0238719999999999</v>
      </c>
      <c r="I5563">
        <v>-62.068399999999997</v>
      </c>
      <c r="J5563">
        <v>-236.04679999999999</v>
      </c>
      <c r="K5563">
        <v>1.104171</v>
      </c>
      <c r="L5563">
        <v>-62.105069999999998</v>
      </c>
      <c r="M5563">
        <v>0.99903629999999999</v>
      </c>
      <c r="N5563">
        <v>0</v>
      </c>
      <c r="O5563">
        <v>4.1513559999999998E-2</v>
      </c>
      <c r="P5563">
        <v>0.991728099999999</v>
      </c>
      <c r="Q5563">
        <v>-2.281441E-2</v>
      </c>
      <c r="R5563">
        <v>0.12631310000000001</v>
      </c>
      <c r="S5563">
        <v>2.9965359999999999</v>
      </c>
      <c r="T5563">
        <v>-0.32599250000000002</v>
      </c>
      <c r="U5563">
        <v>0.16601559999999899</v>
      </c>
      <c r="V5563">
        <v>-8.5037459999999995E-2</v>
      </c>
      <c r="W5563">
        <v>-8.5327349999999996E-3</v>
      </c>
      <c r="X5563">
        <v>0.99634120000000004</v>
      </c>
      <c r="Y5563">
        <v>-1.397757E-2</v>
      </c>
      <c r="Z5563">
        <v>-3.74024599999999E-3</v>
      </c>
      <c r="AA5563">
        <v>0.99989530000000004</v>
      </c>
      <c r="AB5563">
        <v>20</v>
      </c>
      <c r="AC5563">
        <v>0.632199999999983</v>
      </c>
      <c r="AD5563">
        <v>-8.0299000000000106E-2</v>
      </c>
      <c r="AE5563">
        <v>3.6670000000000799E-2</v>
      </c>
      <c r="AF5563">
        <v>-1.0226415615340699E-2</v>
      </c>
      <c r="AG5563">
        <v>-8.0299000000000106E-2</v>
      </c>
      <c r="AH5563">
        <v>0.62315774752795605</v>
      </c>
      <c r="AI5563">
        <v>97.341593243173804</v>
      </c>
      <c r="AJ5563">
        <v>90.9401758484818</v>
      </c>
      <c r="AK5563">
        <v>0.62839325846276595</v>
      </c>
    </row>
    <row r="5564" spans="1:37" x14ac:dyDescent="0.2">
      <c r="A5564" t="str">
        <f>"20200111160327030"</f>
        <v>20200111160327030</v>
      </c>
      <c r="B5564" t="str">
        <f>"1578729807018689"</f>
        <v>1578729807018689</v>
      </c>
      <c r="C5564" t="s">
        <v>37</v>
      </c>
      <c r="D5564">
        <v>5.3801239999999897</v>
      </c>
      <c r="E5564">
        <v>0.53326680000000004</v>
      </c>
      <c r="F5564" t="s">
        <v>42</v>
      </c>
      <c r="G5564">
        <v>-235.2424</v>
      </c>
      <c r="H5564">
        <v>1.0179100000000001</v>
      </c>
      <c r="I5564">
        <v>-62.068899999999999</v>
      </c>
      <c r="J5564">
        <v>-235.9442</v>
      </c>
      <c r="K5564">
        <v>1.104179</v>
      </c>
      <c r="L5564">
        <v>-62.101199999999999</v>
      </c>
      <c r="M5564">
        <v>0.99905100000000002</v>
      </c>
      <c r="N5564">
        <v>0</v>
      </c>
      <c r="O5564">
        <v>4.1158470000000003E-2</v>
      </c>
      <c r="P5564">
        <v>0.99187890000000001</v>
      </c>
      <c r="Q5564">
        <v>-2.2698429999999999E-2</v>
      </c>
      <c r="R5564">
        <v>0.12514420000000001</v>
      </c>
      <c r="S5564">
        <v>3.0004580000000001</v>
      </c>
      <c r="T5564">
        <v>-0.321770099999999</v>
      </c>
      <c r="U5564">
        <v>0.13476559999999899</v>
      </c>
      <c r="V5564">
        <v>-8.4217020000000004E-2</v>
      </c>
      <c r="W5564">
        <v>-8.4184519999999999E-3</v>
      </c>
      <c r="X5564">
        <v>0.99641190000000002</v>
      </c>
      <c r="Y5564">
        <v>-3.9234600000000001E-3</v>
      </c>
      <c r="Z5564">
        <v>-4.1878610000000002E-3</v>
      </c>
      <c r="AA5564">
        <v>0.99998349999999903</v>
      </c>
      <c r="AB5564">
        <v>20</v>
      </c>
      <c r="AC5564">
        <v>0.70179999999999099</v>
      </c>
      <c r="AD5564">
        <v>-8.6268999999999901E-2</v>
      </c>
      <c r="AE5564">
        <v>3.2299999999999301E-2</v>
      </c>
      <c r="AF5564">
        <v>-3.33439836705357E-3</v>
      </c>
      <c r="AG5564">
        <v>-8.6268999999999901E-2</v>
      </c>
      <c r="AH5564">
        <v>0.69209880089109399</v>
      </c>
      <c r="AI5564">
        <v>97.105097939175707</v>
      </c>
      <c r="AJ5564">
        <v>90.276037865222506</v>
      </c>
      <c r="AK5564">
        <v>0.69746269345991596</v>
      </c>
    </row>
    <row r="5565" spans="1:37" x14ac:dyDescent="0.2">
      <c r="A5565" t="str">
        <f>"20200111160327042"</f>
        <v>20200111160327042</v>
      </c>
      <c r="B5565" t="str">
        <f>"1578729807039184"</f>
        <v>1578729807039184</v>
      </c>
      <c r="C5565" t="s">
        <v>37</v>
      </c>
      <c r="D5565">
        <v>5.1062709999999996</v>
      </c>
      <c r="E5565">
        <v>0.53528889999999996</v>
      </c>
      <c r="F5565" t="s">
        <v>42</v>
      </c>
      <c r="G5565">
        <v>-235.07079999999999</v>
      </c>
      <c r="H5565">
        <v>1.011541</v>
      </c>
      <c r="I5565">
        <v>-62.067219999999899</v>
      </c>
      <c r="J5565">
        <v>-235.8432</v>
      </c>
      <c r="K5565">
        <v>1.1041840000000001</v>
      </c>
      <c r="L5565">
        <v>-62.097469999999902</v>
      </c>
      <c r="M5565">
        <v>0.99906519999999999</v>
      </c>
      <c r="N5565">
        <v>0</v>
      </c>
      <c r="O5565">
        <v>4.0812370000000001E-2</v>
      </c>
      <c r="P5565">
        <v>0.99202509999999999</v>
      </c>
      <c r="Q5565">
        <v>-2.254521E-2</v>
      </c>
      <c r="R5565">
        <v>0.1240081</v>
      </c>
      <c r="S5565">
        <v>3.002472</v>
      </c>
      <c r="T5565">
        <v>-0.31833289999999997</v>
      </c>
      <c r="U5565">
        <v>0.11749269999999901</v>
      </c>
      <c r="V5565">
        <v>-8.342128E-2</v>
      </c>
      <c r="W5565">
        <v>-8.2669279999999998E-3</v>
      </c>
      <c r="X5565">
        <v>0.99648009999999998</v>
      </c>
      <c r="Y5565">
        <v>1.4793129999999999E-3</v>
      </c>
      <c r="Z5565">
        <v>-4.3901950000000004E-3</v>
      </c>
      <c r="AA5565">
        <v>0.99998929999999997</v>
      </c>
      <c r="AB5565">
        <v>20</v>
      </c>
      <c r="AC5565">
        <v>0.77240000000000397</v>
      </c>
      <c r="AD5565">
        <v>-9.2643000000000003E-2</v>
      </c>
      <c r="AE5565">
        <v>3.0250000000002299E-2</v>
      </c>
      <c r="AF5565">
        <v>1.2834490371744899E-3</v>
      </c>
      <c r="AG5565">
        <v>-9.2643000000000003E-2</v>
      </c>
      <c r="AH5565">
        <v>0.76204502007923502</v>
      </c>
      <c r="AI5565">
        <v>96.931512499253301</v>
      </c>
      <c r="AJ5565">
        <v>89.903501575914603</v>
      </c>
      <c r="AK5565">
        <v>0.76765681480593395</v>
      </c>
    </row>
    <row r="5566" spans="1:37" x14ac:dyDescent="0.2">
      <c r="A5566" t="str">
        <f>"20200111160327053"</f>
        <v>20200111160327053</v>
      </c>
      <c r="B5566" t="str">
        <f>"1578729807048944"</f>
        <v>1578729807048944</v>
      </c>
      <c r="C5566" t="s">
        <v>37</v>
      </c>
      <c r="D5566">
        <v>5.1298240000000002</v>
      </c>
      <c r="E5566">
        <v>0.5359275</v>
      </c>
      <c r="F5566" t="s">
        <v>42</v>
      </c>
      <c r="G5566">
        <v>-235.0658</v>
      </c>
      <c r="H5566">
        <v>1.021506</v>
      </c>
      <c r="I5566">
        <v>-62.072299999999998</v>
      </c>
      <c r="J5566">
        <v>-235.74359999999999</v>
      </c>
      <c r="K5566">
        <v>1.1041889999999901</v>
      </c>
      <c r="L5566">
        <v>-62.093809999999998</v>
      </c>
      <c r="M5566">
        <v>0.99907900000000005</v>
      </c>
      <c r="N5566">
        <v>0</v>
      </c>
      <c r="O5566">
        <v>4.047162E-2</v>
      </c>
      <c r="P5566">
        <v>0.99217529999999998</v>
      </c>
      <c r="Q5566">
        <v>-2.255625E-2</v>
      </c>
      <c r="R5566">
        <v>0.122798399999999</v>
      </c>
      <c r="S5566">
        <v>3.0045929999999998</v>
      </c>
      <c r="T5566">
        <v>-0.31938919999999998</v>
      </c>
      <c r="U5566">
        <v>9.8052979999999998E-2</v>
      </c>
      <c r="V5566">
        <v>-8.254599E-2</v>
      </c>
      <c r="W5566">
        <v>-8.2795769999999998E-3</v>
      </c>
      <c r="X5566">
        <v>0.99655289999999996</v>
      </c>
      <c r="Y5566">
        <v>7.5935719999999998E-3</v>
      </c>
      <c r="Z5566">
        <v>-4.6901369999999996E-3</v>
      </c>
      <c r="AA5566">
        <v>0.99996019999999897</v>
      </c>
      <c r="AB5566">
        <v>20</v>
      </c>
      <c r="AC5566">
        <v>0.67779999999998997</v>
      </c>
      <c r="AD5566">
        <v>-8.2682999999999798E-2</v>
      </c>
      <c r="AE5566">
        <v>2.15099999999992E-2</v>
      </c>
      <c r="AF5566">
        <v>5.85503789234157E-3</v>
      </c>
      <c r="AG5566">
        <v>-8.2682999999999798E-2</v>
      </c>
      <c r="AH5566">
        <v>0.66818204146253102</v>
      </c>
      <c r="AI5566">
        <v>97.053837191331695</v>
      </c>
      <c r="AJ5566">
        <v>89.497950627970397</v>
      </c>
      <c r="AK5566">
        <v>0.67330379509605898</v>
      </c>
    </row>
    <row r="5567" spans="1:37" x14ac:dyDescent="0.2">
      <c r="A5567" t="str">
        <f>"20200111160327064"</f>
        <v>20200111160327064</v>
      </c>
      <c r="B5567" t="str">
        <f>"1578729807058704"</f>
        <v>1578729807058704</v>
      </c>
      <c r="C5567" t="s">
        <v>37</v>
      </c>
      <c r="D5567">
        <v>5.1967140000000001</v>
      </c>
      <c r="E5567">
        <v>0.53646919999999898</v>
      </c>
      <c r="F5567" t="s">
        <v>42</v>
      </c>
      <c r="G5567">
        <v>-234.89519999999999</v>
      </c>
      <c r="H5567">
        <v>1.0140450000000001</v>
      </c>
      <c r="I5567">
        <v>-62.068659999999902</v>
      </c>
      <c r="J5567">
        <v>-235.6439</v>
      </c>
      <c r="K5567">
        <v>1.1041909999999999</v>
      </c>
      <c r="L5567">
        <v>-62.090179999999997</v>
      </c>
      <c r="M5567">
        <v>0.9990928</v>
      </c>
      <c r="N5567">
        <v>0</v>
      </c>
      <c r="O5567">
        <v>4.0132470000000003E-2</v>
      </c>
      <c r="P5567">
        <v>0.99232749999999903</v>
      </c>
      <c r="Q5567">
        <v>-2.2297979999999998E-2</v>
      </c>
      <c r="R5567">
        <v>0.1216103</v>
      </c>
      <c r="S5567">
        <v>3.005325</v>
      </c>
      <c r="T5567">
        <v>-0.31929669999999999</v>
      </c>
      <c r="U5567">
        <v>8.9416499999999996E-2</v>
      </c>
      <c r="V5567">
        <v>-8.1690780000000005E-2</v>
      </c>
      <c r="W5567">
        <v>-8.0227790000000007E-3</v>
      </c>
      <c r="X5567">
        <v>0.99662539999999999</v>
      </c>
      <c r="Y5567">
        <v>1.0120809999999999E-2</v>
      </c>
      <c r="Z5567">
        <v>-4.78587299999999E-3</v>
      </c>
      <c r="AA5567">
        <v>0.99993739999999998</v>
      </c>
      <c r="AB5567">
        <v>20</v>
      </c>
      <c r="AC5567">
        <v>0.74870000000001302</v>
      </c>
      <c r="AD5567">
        <v>-9.0145999999999796E-2</v>
      </c>
      <c r="AE5567">
        <v>2.15200000000095E-2</v>
      </c>
      <c r="AF5567">
        <v>8.4255269060922403E-3</v>
      </c>
      <c r="AG5567">
        <v>-9.0145999999999796E-2</v>
      </c>
      <c r="AH5567">
        <v>0.73826664428061295</v>
      </c>
      <c r="AI5567">
        <v>96.961186573162195</v>
      </c>
      <c r="AJ5567">
        <v>89.346135737695903</v>
      </c>
      <c r="AK5567">
        <v>0.74379763973610602</v>
      </c>
    </row>
    <row r="5568" spans="1:37" x14ac:dyDescent="0.2">
      <c r="A5568" t="str">
        <f>"20200111160327081"</f>
        <v>20200111160327081</v>
      </c>
      <c r="B5568" t="str">
        <f>"1578729807068464"</f>
        <v>1578729807068464</v>
      </c>
      <c r="C5568" t="s">
        <v>37</v>
      </c>
      <c r="D5568">
        <v>5.1340849999999998</v>
      </c>
      <c r="E5568">
        <v>0.536744</v>
      </c>
      <c r="F5568" t="s">
        <v>42</v>
      </c>
      <c r="G5568">
        <v>-234.89</v>
      </c>
      <c r="H5568">
        <v>1.0244489999999999</v>
      </c>
      <c r="I5568">
        <v>-62.069809999999997</v>
      </c>
      <c r="J5568">
        <v>-235.5087</v>
      </c>
      <c r="K5568">
        <v>1.104193</v>
      </c>
      <c r="L5568">
        <v>-62.085299999999997</v>
      </c>
      <c r="M5568">
        <v>0.99911119999999898</v>
      </c>
      <c r="N5568">
        <v>0</v>
      </c>
      <c r="O5568">
        <v>3.9673170000000001E-2</v>
      </c>
      <c r="P5568">
        <v>0.99256290000000003</v>
      </c>
      <c r="Q5568">
        <v>-2.243301E-2</v>
      </c>
      <c r="R5568">
        <v>0.119647699999999</v>
      </c>
      <c r="S5568">
        <v>3.0060579999999999</v>
      </c>
      <c r="T5568">
        <v>-0.31797140000000002</v>
      </c>
      <c r="U5568">
        <v>8.1573489999999999E-2</v>
      </c>
      <c r="V5568">
        <v>-8.0178429999999995E-2</v>
      </c>
      <c r="W5568">
        <v>-8.1598450000000006E-3</v>
      </c>
      <c r="X5568">
        <v>0.9967471</v>
      </c>
      <c r="Y5568">
        <v>1.226815E-2</v>
      </c>
      <c r="Z5568">
        <v>-4.8300249999999999E-3</v>
      </c>
      <c r="AA5568">
        <v>0.999913099999999</v>
      </c>
      <c r="AB5568">
        <v>20</v>
      </c>
      <c r="AC5568">
        <v>0.61870000000001801</v>
      </c>
      <c r="AD5568">
        <v>-7.9743999999999995E-2</v>
      </c>
      <c r="AE5568">
        <v>1.54899999999997E-2</v>
      </c>
      <c r="AF5568">
        <v>8.9223478804231707E-3</v>
      </c>
      <c r="AG5568">
        <v>-7.9743999999999995E-2</v>
      </c>
      <c r="AH5568">
        <v>0.60872133716350596</v>
      </c>
      <c r="AI5568">
        <v>97.462595169906393</v>
      </c>
      <c r="AJ5568">
        <v>89.1602458461157</v>
      </c>
      <c r="AK5568">
        <v>0.61398728011728898</v>
      </c>
    </row>
    <row r="5569" spans="1:37" x14ac:dyDescent="0.2">
      <c r="A5569" t="str">
        <f>"20200111160327093"</f>
        <v>20200111160327093</v>
      </c>
      <c r="B5569" t="str">
        <f>"1578729807088962"</f>
        <v>1578729807088962</v>
      </c>
      <c r="C5569" t="s">
        <v>37</v>
      </c>
      <c r="D5569">
        <v>5.2685789999999999</v>
      </c>
      <c r="E5569">
        <v>0.5376301</v>
      </c>
      <c r="F5569" t="s">
        <v>42</v>
      </c>
      <c r="G5569">
        <v>-234.71799999999999</v>
      </c>
      <c r="H5569">
        <v>1.0204150000000001</v>
      </c>
      <c r="I5569">
        <v>-62.066200000000002</v>
      </c>
      <c r="J5569">
        <v>-235.39859999999999</v>
      </c>
      <c r="K5569">
        <v>1.104196</v>
      </c>
      <c r="L5569">
        <v>-62.081330000000001</v>
      </c>
      <c r="M5569">
        <v>0.99912590000000001</v>
      </c>
      <c r="N5569">
        <v>0</v>
      </c>
      <c r="O5569">
        <v>3.9299140000000003E-2</v>
      </c>
      <c r="P5569">
        <v>0.99268009999999995</v>
      </c>
      <c r="Q5569">
        <v>-2.2438099999999898E-2</v>
      </c>
      <c r="R5569">
        <v>0.118670699999999</v>
      </c>
      <c r="S5569">
        <v>3.0064389999999999</v>
      </c>
      <c r="T5569">
        <v>-0.31843109999999902</v>
      </c>
      <c r="U5569">
        <v>7.3394780000000007E-2</v>
      </c>
      <c r="V5569">
        <v>-7.9570520000000006E-2</v>
      </c>
      <c r="W5569">
        <v>-8.1667470000000002E-3</v>
      </c>
      <c r="X5569">
        <v>0.99679580000000001</v>
      </c>
      <c r="Y5569">
        <v>1.460383E-2</v>
      </c>
      <c r="Z5569">
        <v>-4.9204419999999997E-3</v>
      </c>
      <c r="AA5569">
        <v>0.99988129999999997</v>
      </c>
      <c r="AB5569">
        <v>19</v>
      </c>
      <c r="AC5569">
        <v>0.68059999999999798</v>
      </c>
      <c r="AD5569">
        <v>-8.37809999999998E-2</v>
      </c>
      <c r="AE5569">
        <v>1.51299999999992E-2</v>
      </c>
      <c r="AF5569">
        <v>1.14578618977659E-2</v>
      </c>
      <c r="AG5569">
        <v>-8.37809999999998E-2</v>
      </c>
      <c r="AH5569">
        <v>0.67051330965646105</v>
      </c>
      <c r="AI5569">
        <v>97.121197104617707</v>
      </c>
      <c r="AJ5569">
        <v>89.021013854243193</v>
      </c>
      <c r="AK5569">
        <v>0.67582441283718797</v>
      </c>
    </row>
    <row r="5570" spans="1:37" x14ac:dyDescent="0.2">
      <c r="A5570" t="str">
        <f>"20200111160327104"</f>
        <v>20200111160327104</v>
      </c>
      <c r="B5570" t="str">
        <f>"1578729807098722"</f>
        <v>1578729807098722</v>
      </c>
      <c r="C5570" t="s">
        <v>37</v>
      </c>
      <c r="D5570">
        <v>5.0260999999999996</v>
      </c>
      <c r="E5570">
        <v>0.53772730000000002</v>
      </c>
      <c r="F5570" t="s">
        <v>42</v>
      </c>
      <c r="G5570">
        <v>-234.54750000000001</v>
      </c>
      <c r="H5570">
        <v>1.0141260000000001</v>
      </c>
      <c r="I5570">
        <v>-62.06344</v>
      </c>
      <c r="J5570">
        <v>-235.29519999999999</v>
      </c>
      <c r="K5570">
        <v>1.1041969999999901</v>
      </c>
      <c r="L5570">
        <v>-62.0777</v>
      </c>
      <c r="M5570">
        <v>0.99913969999999896</v>
      </c>
      <c r="N5570">
        <v>0</v>
      </c>
      <c r="O5570">
        <v>3.894852E-2</v>
      </c>
      <c r="P5570">
        <v>0.99278659999999996</v>
      </c>
      <c r="Q5570">
        <v>-2.2383210000000001E-2</v>
      </c>
      <c r="R5570">
        <v>0.117785999999999</v>
      </c>
      <c r="S5570">
        <v>3.007339</v>
      </c>
      <c r="T5570">
        <v>-0.31819920000000002</v>
      </c>
      <c r="U5570">
        <v>6.3476560000000001E-2</v>
      </c>
      <c r="V5570">
        <v>-7.903201E-2</v>
      </c>
      <c r="W5570">
        <v>-8.1134769999999991E-3</v>
      </c>
      <c r="X5570">
        <v>0.99683899999999903</v>
      </c>
      <c r="Y5570">
        <v>1.7542229999999999E-2</v>
      </c>
      <c r="Z5570">
        <v>-5.033704E-3</v>
      </c>
      <c r="AA5570">
        <v>0.99983349999999904</v>
      </c>
      <c r="AB5570">
        <v>19</v>
      </c>
      <c r="AC5570">
        <v>0.74769999999998005</v>
      </c>
      <c r="AD5570">
        <v>-9.0070999999999707E-2</v>
      </c>
      <c r="AE5570">
        <v>1.4260000000000101E-2</v>
      </c>
      <c r="AF5570">
        <v>1.4662880834536001E-2</v>
      </c>
      <c r="AG5570">
        <v>-9.0070999999999707E-2</v>
      </c>
      <c r="AH5570">
        <v>0.73699689302482796</v>
      </c>
      <c r="AI5570">
        <v>96.966401600536699</v>
      </c>
      <c r="AJ5570">
        <v>88.860225363823005</v>
      </c>
      <c r="AK5570">
        <v>0.74262521196335496</v>
      </c>
    </row>
    <row r="5571" spans="1:37" x14ac:dyDescent="0.2">
      <c r="A5571" t="str">
        <f>"20200111160327116"</f>
        <v>20200111160327116</v>
      </c>
      <c r="B5571" t="str">
        <f>"1578729807108480"</f>
        <v>1578729807108480</v>
      </c>
      <c r="C5571" t="s">
        <v>37</v>
      </c>
      <c r="D5571">
        <v>5.0002409999999999</v>
      </c>
      <c r="E5571">
        <v>0.53788519999999995</v>
      </c>
      <c r="F5571" t="s">
        <v>42</v>
      </c>
      <c r="G5571">
        <v>-234.54230000000001</v>
      </c>
      <c r="H5571">
        <v>1.0247059999999999</v>
      </c>
      <c r="I5571">
        <v>-62.062739999999998</v>
      </c>
      <c r="J5571">
        <v>-235.20070000000001</v>
      </c>
      <c r="K5571">
        <v>1.104198</v>
      </c>
      <c r="L5571">
        <v>-62.074399999999997</v>
      </c>
      <c r="M5571">
        <v>0.99915209999999999</v>
      </c>
      <c r="N5571">
        <v>0</v>
      </c>
      <c r="O5571">
        <v>3.8627399999999999E-2</v>
      </c>
      <c r="P5571">
        <v>0.99291620000000003</v>
      </c>
      <c r="Q5571">
        <v>-2.2221970000000001E-2</v>
      </c>
      <c r="R5571">
        <v>0.1167204</v>
      </c>
      <c r="S5571">
        <v>3.0075069999999999</v>
      </c>
      <c r="T5571">
        <v>-0.3174437</v>
      </c>
      <c r="U5571">
        <v>6.0058590000000002E-2</v>
      </c>
      <c r="V5571">
        <v>-7.8282500000000005E-2</v>
      </c>
      <c r="W5571">
        <v>-7.9536439999999993E-3</v>
      </c>
      <c r="X5571">
        <v>0.99689950000000005</v>
      </c>
      <c r="Y5571">
        <v>1.8356649999999999E-2</v>
      </c>
      <c r="Z5571">
        <v>-5.0307009999999899E-3</v>
      </c>
      <c r="AA5571">
        <v>0.99981889999999995</v>
      </c>
      <c r="AB5571">
        <v>19</v>
      </c>
      <c r="AC5571">
        <v>0.65839999999999999</v>
      </c>
      <c r="AD5571">
        <v>-7.9492000000000104E-2</v>
      </c>
      <c r="AE5571">
        <v>1.1659999999992E-2</v>
      </c>
      <c r="AF5571">
        <v>1.35855911732855E-2</v>
      </c>
      <c r="AG5571">
        <v>-7.9492000000000104E-2</v>
      </c>
      <c r="AH5571">
        <v>0.64890289550822</v>
      </c>
      <c r="AI5571">
        <v>96.982543799876694</v>
      </c>
      <c r="AJ5571">
        <v>88.800616639186899</v>
      </c>
      <c r="AK5571">
        <v>0.65389488004608198</v>
      </c>
    </row>
    <row r="5572" spans="1:37" x14ac:dyDescent="0.2">
      <c r="A5572" t="str">
        <f>"20200111160327129"</f>
        <v>20200111160327129</v>
      </c>
      <c r="B5572" t="str">
        <f>"1578729807119216"</f>
        <v>1578729807119216</v>
      </c>
      <c r="C5572" t="s">
        <v>37</v>
      </c>
      <c r="D5572">
        <v>5.0113959999999897</v>
      </c>
      <c r="E5572">
        <v>0.53780729999999999</v>
      </c>
      <c r="F5572" t="s">
        <v>42</v>
      </c>
      <c r="G5572">
        <v>-234.37270000000001</v>
      </c>
      <c r="H5572">
        <v>1.017244</v>
      </c>
      <c r="I5572">
        <v>-62.059369999999902</v>
      </c>
      <c r="J5572">
        <v>-235.08260000000001</v>
      </c>
      <c r="K5572">
        <v>1.104201</v>
      </c>
      <c r="L5572">
        <v>-62.070279999999997</v>
      </c>
      <c r="M5572">
        <v>0.99916769999999999</v>
      </c>
      <c r="N5572">
        <v>0</v>
      </c>
      <c r="O5572">
        <v>3.8225870000000002E-2</v>
      </c>
      <c r="P5572">
        <v>0.99302789999999996</v>
      </c>
      <c r="Q5572">
        <v>-2.1987690000000001E-2</v>
      </c>
      <c r="R5572">
        <v>0.1158124</v>
      </c>
      <c r="S5572">
        <v>3.0078279999999999</v>
      </c>
      <c r="T5572">
        <v>-0.3157334</v>
      </c>
      <c r="U5572">
        <v>5.5541989999999999E-2</v>
      </c>
      <c r="V5572">
        <v>-7.7771140000000002E-2</v>
      </c>
      <c r="W5572">
        <v>-7.7212169999999998E-3</v>
      </c>
      <c r="X5572">
        <v>0.99694130000000003</v>
      </c>
      <c r="Y5572">
        <v>1.945734E-2</v>
      </c>
      <c r="Z5572">
        <v>-5.018921E-3</v>
      </c>
      <c r="AA5572">
        <v>0.99979810000000002</v>
      </c>
      <c r="AB5572">
        <v>19</v>
      </c>
      <c r="AC5572">
        <v>0.70990000000000397</v>
      </c>
      <c r="AD5572">
        <v>-8.6956999999999895E-2</v>
      </c>
      <c r="AE5572">
        <v>1.09100000000097E-2</v>
      </c>
      <c r="AF5572">
        <v>1.5997300094694501E-2</v>
      </c>
      <c r="AG5572">
        <v>-8.6956999999999895E-2</v>
      </c>
      <c r="AH5572">
        <v>0.699308007187048</v>
      </c>
      <c r="AI5572">
        <v>97.086351660567601</v>
      </c>
      <c r="AJ5572">
        <v>88.689536032766696</v>
      </c>
      <c r="AK5572">
        <v>0.70487525305917798</v>
      </c>
    </row>
    <row r="5573" spans="1:37" x14ac:dyDescent="0.2">
      <c r="A5573" t="str">
        <f>"20200111160327140"</f>
        <v>20200111160327140</v>
      </c>
      <c r="B5573" t="str">
        <f>"1578729807138737"</f>
        <v>1578729807138737</v>
      </c>
      <c r="C5573" t="s">
        <v>37</v>
      </c>
      <c r="D5573">
        <v>4.9690250000000002</v>
      </c>
      <c r="E5573">
        <v>0.53769270000000002</v>
      </c>
      <c r="F5573" t="s">
        <v>42</v>
      </c>
      <c r="G5573">
        <v>-234.2021</v>
      </c>
      <c r="H5573">
        <v>1.0123200000000001</v>
      </c>
      <c r="I5573">
        <v>-62.054759999999902</v>
      </c>
      <c r="J5573">
        <v>-234.97819999999999</v>
      </c>
      <c r="K5573">
        <v>1.1041939999999999</v>
      </c>
      <c r="L5573">
        <v>-62.06671</v>
      </c>
      <c r="M5573">
        <v>0.99918130000000005</v>
      </c>
      <c r="N5573">
        <v>0</v>
      </c>
      <c r="O5573">
        <v>3.7869750000000001E-2</v>
      </c>
      <c r="P5573">
        <v>0.99317749999999905</v>
      </c>
      <c r="Q5573">
        <v>-2.1622220000000001E-2</v>
      </c>
      <c r="R5573">
        <v>0.1145911</v>
      </c>
      <c r="S5573">
        <v>3.0078740000000002</v>
      </c>
      <c r="T5573">
        <v>-0.31385990000000002</v>
      </c>
      <c r="U5573">
        <v>5.3436280000000003E-2</v>
      </c>
      <c r="V5573">
        <v>-7.6899969999999998E-2</v>
      </c>
      <c r="W5573">
        <v>-7.3571879999999997E-3</v>
      </c>
      <c r="X5573">
        <v>0.99701169999999995</v>
      </c>
      <c r="Y5573">
        <v>1.9804760000000001E-2</v>
      </c>
      <c r="Z5573">
        <v>-4.9703120000000002E-3</v>
      </c>
      <c r="AA5573">
        <v>0.99979150000000006</v>
      </c>
      <c r="AB5573">
        <v>19</v>
      </c>
      <c r="AC5573">
        <v>0.77609999999998502</v>
      </c>
      <c r="AD5573">
        <v>-9.1873999999999997E-2</v>
      </c>
      <c r="AE5573">
        <v>1.19500000000059E-2</v>
      </c>
      <c r="AF5573">
        <v>1.72111317074875E-2</v>
      </c>
      <c r="AG5573">
        <v>-9.1873999999999997E-2</v>
      </c>
      <c r="AH5573">
        <v>0.76527406061400105</v>
      </c>
      <c r="AI5573">
        <v>96.844093538066502</v>
      </c>
      <c r="AJ5573">
        <v>88.711626271368104</v>
      </c>
      <c r="AK5573">
        <v>0.77096137567279899</v>
      </c>
    </row>
    <row r="5574" spans="1:37" x14ac:dyDescent="0.2">
      <c r="A5574" t="str">
        <f>"20200111160327152"</f>
        <v>20200111160327152</v>
      </c>
      <c r="B5574" t="str">
        <f>"1578729807148496"</f>
        <v>1578729807148496</v>
      </c>
      <c r="C5574" t="s">
        <v>37</v>
      </c>
      <c r="D5574">
        <v>4.950825</v>
      </c>
      <c r="E5574">
        <v>0.53765359999999995</v>
      </c>
      <c r="F5574" t="s">
        <v>42</v>
      </c>
      <c r="G5574">
        <v>-234.19669999999999</v>
      </c>
      <c r="H5574">
        <v>1.023501</v>
      </c>
      <c r="I5574">
        <v>-62.053669999999997</v>
      </c>
      <c r="J5574">
        <v>-234.88419999999999</v>
      </c>
      <c r="K5574">
        <v>1.104195</v>
      </c>
      <c r="L5574">
        <v>-62.063510000000001</v>
      </c>
      <c r="M5574">
        <v>0.99919329999999995</v>
      </c>
      <c r="N5574">
        <v>0</v>
      </c>
      <c r="O5574">
        <v>3.7549100000000002E-2</v>
      </c>
      <c r="P5574">
        <v>0.99326460000000005</v>
      </c>
      <c r="Q5574">
        <v>-2.1417619999999998E-2</v>
      </c>
      <c r="R5574">
        <v>0.113872499999999</v>
      </c>
      <c r="S5574">
        <v>3.0079959999999999</v>
      </c>
      <c r="T5574">
        <v>-0.3105252</v>
      </c>
      <c r="U5574">
        <v>5.0659179999999998E-2</v>
      </c>
      <c r="V5574">
        <v>-7.6498819999999995E-2</v>
      </c>
      <c r="W5574">
        <v>-7.1540319999999899E-3</v>
      </c>
      <c r="X5574">
        <v>0.99704400000000004</v>
      </c>
      <c r="Y5574">
        <v>2.0412489999999998E-2</v>
      </c>
      <c r="Z5574">
        <v>-4.9159329999999999E-3</v>
      </c>
      <c r="AA5574">
        <v>0.99977959999999999</v>
      </c>
      <c r="AB5574">
        <v>19</v>
      </c>
      <c r="AC5574">
        <v>0.6875</v>
      </c>
      <c r="AD5574">
        <v>-8.0694000000000002E-2</v>
      </c>
      <c r="AE5574">
        <v>9.8400000000040694E-3</v>
      </c>
      <c r="AF5574">
        <v>1.57673911416422E-2</v>
      </c>
      <c r="AG5574">
        <v>-8.0694000000000002E-2</v>
      </c>
      <c r="AH5574">
        <v>0.678045445242631</v>
      </c>
      <c r="AI5574">
        <v>96.785016404983097</v>
      </c>
      <c r="AJ5574">
        <v>88.667873688004505</v>
      </c>
      <c r="AK5574">
        <v>0.68301226787934899</v>
      </c>
    </row>
    <row r="5575" spans="1:37" x14ac:dyDescent="0.2">
      <c r="A5575" t="str">
        <f>"20200111160327163"</f>
        <v>20200111160327163</v>
      </c>
      <c r="B5575" t="str">
        <f>"1578729807159233"</f>
        <v>1578729807159233</v>
      </c>
      <c r="C5575" t="s">
        <v>37</v>
      </c>
      <c r="D5575">
        <v>4.9606389999999996</v>
      </c>
      <c r="E5575">
        <v>0.53761490000000001</v>
      </c>
      <c r="F5575" t="s">
        <v>42</v>
      </c>
      <c r="G5575">
        <v>-234.02760000000001</v>
      </c>
      <c r="H5575">
        <v>1.0161709999999999</v>
      </c>
      <c r="I5575">
        <v>-62.049799999999998</v>
      </c>
      <c r="J5575">
        <v>-234.7903</v>
      </c>
      <c r="K5575">
        <v>1.1041969999999901</v>
      </c>
      <c r="L5575">
        <v>-62.060359999999903</v>
      </c>
      <c r="M5575">
        <v>0.99920549999999997</v>
      </c>
      <c r="N5575">
        <v>0</v>
      </c>
      <c r="O5575">
        <v>3.7227429999999999E-2</v>
      </c>
      <c r="P5575">
        <v>0.99338749999999998</v>
      </c>
      <c r="Q5575">
        <v>-2.1444520000000002E-2</v>
      </c>
      <c r="R5575">
        <v>0.1127915</v>
      </c>
      <c r="S5575">
        <v>3.0081020000000001</v>
      </c>
      <c r="T5575">
        <v>-0.30900339999999998</v>
      </c>
      <c r="U5575">
        <v>4.8797609999999998E-2</v>
      </c>
      <c r="V5575">
        <v>-7.5734289999999996E-2</v>
      </c>
      <c r="W5575">
        <v>-7.1824100000000002E-3</v>
      </c>
      <c r="X5575">
        <v>0.99710209999999999</v>
      </c>
      <c r="Y5575">
        <v>2.0712910000000001E-2</v>
      </c>
      <c r="Z5575">
        <v>-4.8742830000000001E-3</v>
      </c>
      <c r="AA5575">
        <v>0.99977359999999904</v>
      </c>
      <c r="AB5575">
        <v>19</v>
      </c>
      <c r="AC5575">
        <v>0.76269999999999505</v>
      </c>
      <c r="AD5575">
        <v>-8.8025999999999896E-2</v>
      </c>
      <c r="AE5575">
        <v>1.05599999999981E-2</v>
      </c>
      <c r="AF5575">
        <v>1.7609044385215E-2</v>
      </c>
      <c r="AG5575">
        <v>-8.8025999999999896E-2</v>
      </c>
      <c r="AH5575">
        <v>0.75254218865404199</v>
      </c>
      <c r="AI5575">
        <v>96.669847151515896</v>
      </c>
      <c r="AJ5575">
        <v>88.659557084404597</v>
      </c>
      <c r="AK5575">
        <v>0.75787756321478195</v>
      </c>
    </row>
    <row r="5576" spans="1:37" x14ac:dyDescent="0.2">
      <c r="A5576" t="str">
        <f>"20200111160327174"</f>
        <v>20200111160327174</v>
      </c>
      <c r="B5576" t="str">
        <f>"1578729807168992"</f>
        <v>1578729807168992</v>
      </c>
      <c r="C5576" t="s">
        <v>37</v>
      </c>
      <c r="D5576">
        <v>5.1866899999999996</v>
      </c>
      <c r="E5576">
        <v>0.53759179999999995</v>
      </c>
      <c r="F5576" t="s">
        <v>42</v>
      </c>
      <c r="G5576">
        <v>-234.023</v>
      </c>
      <c r="H5576">
        <v>1.0257160000000001</v>
      </c>
      <c r="I5576">
        <v>-62.048850000000002</v>
      </c>
      <c r="J5576">
        <v>-234.68950000000001</v>
      </c>
      <c r="K5576">
        <v>1.104201</v>
      </c>
      <c r="L5576">
        <v>-62.057040000000001</v>
      </c>
      <c r="M5576">
        <v>0.99921819999999895</v>
      </c>
      <c r="N5576">
        <v>0</v>
      </c>
      <c r="O5576">
        <v>3.688222E-2</v>
      </c>
      <c r="P5576">
        <v>0.99349549999999998</v>
      </c>
      <c r="Q5576">
        <v>-2.1189030000000001E-2</v>
      </c>
      <c r="R5576">
        <v>0.111883</v>
      </c>
      <c r="S5576">
        <v>3.0081180000000001</v>
      </c>
      <c r="T5576">
        <v>-0.30752600000000002</v>
      </c>
      <c r="U5576">
        <v>4.586792E-2</v>
      </c>
      <c r="V5576">
        <v>-7.5166720000000006E-2</v>
      </c>
      <c r="W5576">
        <v>-6.9285980000000002E-3</v>
      </c>
      <c r="X5576">
        <v>0.99714689999999995</v>
      </c>
      <c r="Y5576">
        <v>2.1342460000000001E-2</v>
      </c>
      <c r="Z5576">
        <v>-4.8480449999999996E-3</v>
      </c>
      <c r="AA5576">
        <v>0.99976039999999899</v>
      </c>
      <c r="AB5576">
        <v>19</v>
      </c>
      <c r="AC5576">
        <v>0.66650000000001297</v>
      </c>
      <c r="AD5576">
        <v>-7.8484999999999902E-2</v>
      </c>
      <c r="AE5576">
        <v>8.1899999999990297E-3</v>
      </c>
      <c r="AF5576">
        <v>1.6175793763574801E-2</v>
      </c>
      <c r="AG5576">
        <v>-7.8484999999999902E-2</v>
      </c>
      <c r="AH5576">
        <v>0.65723621111363195</v>
      </c>
      <c r="AI5576">
        <v>96.807784492247393</v>
      </c>
      <c r="AJ5576">
        <v>88.590129956081299</v>
      </c>
      <c r="AK5576">
        <v>0.66210345772234402</v>
      </c>
    </row>
    <row r="5577" spans="1:37" x14ac:dyDescent="0.2">
      <c r="A5577" t="str">
        <f>"20200111160327186"</f>
        <v>20200111160327186</v>
      </c>
      <c r="B5577" t="str">
        <f>"1578729807178753"</f>
        <v>1578729807178753</v>
      </c>
      <c r="C5577" t="s">
        <v>37</v>
      </c>
      <c r="D5577">
        <v>4.9461729999999999</v>
      </c>
      <c r="E5577">
        <v>0.53761159999999997</v>
      </c>
      <c r="F5577" t="s">
        <v>42</v>
      </c>
      <c r="G5577">
        <v>-233.8535</v>
      </c>
      <c r="H5577">
        <v>1.019973</v>
      </c>
      <c r="I5577">
        <v>-62.045050000000003</v>
      </c>
      <c r="J5577">
        <v>-234.58940000000001</v>
      </c>
      <c r="K5577">
        <v>1.104201</v>
      </c>
      <c r="L5577">
        <v>-62.053709999999903</v>
      </c>
      <c r="M5577">
        <v>0.99923099999999998</v>
      </c>
      <c r="N5577">
        <v>0</v>
      </c>
      <c r="O5577">
        <v>3.6538559999999998E-2</v>
      </c>
      <c r="P5577">
        <v>0.99360999999999999</v>
      </c>
      <c r="Q5577">
        <v>-2.0907829999999999E-2</v>
      </c>
      <c r="R5577">
        <v>0.11091620000000001</v>
      </c>
      <c r="S5577">
        <v>3.0083009999999999</v>
      </c>
      <c r="T5577">
        <v>-0.30305909999999903</v>
      </c>
      <c r="U5577">
        <v>4.3273930000000002E-2</v>
      </c>
      <c r="V5577">
        <v>-7.4539220000000003E-2</v>
      </c>
      <c r="W5577">
        <v>-6.6491240000000002E-3</v>
      </c>
      <c r="X5577">
        <v>0.99719590000000002</v>
      </c>
      <c r="Y5577">
        <v>2.1869240000000002E-2</v>
      </c>
      <c r="Z5577">
        <v>-4.7696930000000002E-3</v>
      </c>
      <c r="AA5577">
        <v>0.99974949999999996</v>
      </c>
      <c r="AB5577">
        <v>19</v>
      </c>
      <c r="AC5577">
        <v>0.73590000000001499</v>
      </c>
      <c r="AD5577">
        <v>-8.42279999999999E-2</v>
      </c>
      <c r="AE5577">
        <v>8.6599999999918895E-3</v>
      </c>
      <c r="AF5577">
        <v>1.8001442561074402E-2</v>
      </c>
      <c r="AG5577">
        <v>-8.42279999999999E-2</v>
      </c>
      <c r="AH5577">
        <v>0.726212795112534</v>
      </c>
      <c r="AI5577">
        <v>96.613736851423198</v>
      </c>
      <c r="AJ5577">
        <v>88.5800367064992</v>
      </c>
      <c r="AK5577">
        <v>0.73130255825030299</v>
      </c>
    </row>
    <row r="5578" spans="1:37" x14ac:dyDescent="0.2">
      <c r="A5578" t="str">
        <f>"20200111160327197"</f>
        <v>20200111160327197</v>
      </c>
      <c r="B5578" t="str">
        <f>"1578729807188513"</f>
        <v>1578729807188513</v>
      </c>
      <c r="C5578" t="s">
        <v>37</v>
      </c>
      <c r="D5578">
        <v>4.9474790000000004</v>
      </c>
      <c r="E5578">
        <v>0.53753200000000001</v>
      </c>
      <c r="F5578" t="s">
        <v>42</v>
      </c>
      <c r="G5578">
        <v>-233.8484</v>
      </c>
      <c r="H5578">
        <v>1.0303370000000001</v>
      </c>
      <c r="I5578">
        <v>-62.04383</v>
      </c>
      <c r="J5578">
        <v>-234.49709999999999</v>
      </c>
      <c r="K5578">
        <v>1.1042019999999999</v>
      </c>
      <c r="L5578">
        <v>-62.050719999999998</v>
      </c>
      <c r="M5578">
        <v>0.99924239999999998</v>
      </c>
      <c r="N5578">
        <v>0</v>
      </c>
      <c r="O5578">
        <v>3.6221370000000003E-2</v>
      </c>
      <c r="P5578">
        <v>0.99372240000000001</v>
      </c>
      <c r="Q5578">
        <v>-2.0551110000000001E-2</v>
      </c>
      <c r="R5578">
        <v>0.10996839999999999</v>
      </c>
      <c r="S5578">
        <v>3.008499</v>
      </c>
      <c r="T5578">
        <v>-0.29989829999999901</v>
      </c>
      <c r="U5578">
        <v>4.0252690000000001E-2</v>
      </c>
      <c r="V5578">
        <v>-7.3904090000000006E-2</v>
      </c>
      <c r="W5578">
        <v>-6.2939930000000003E-3</v>
      </c>
      <c r="X5578">
        <v>0.99724550000000001</v>
      </c>
      <c r="Y5578">
        <v>2.2560920000000002E-2</v>
      </c>
      <c r="Z5578">
        <v>-4.7227969999999999E-3</v>
      </c>
      <c r="AA5578">
        <v>0.99973429999999996</v>
      </c>
      <c r="AB5578">
        <v>19</v>
      </c>
      <c r="AC5578">
        <v>0.64869999999999095</v>
      </c>
      <c r="AD5578">
        <v>-7.3865E-2</v>
      </c>
      <c r="AE5578">
        <v>6.8899999999914004E-3</v>
      </c>
      <c r="AF5578">
        <v>1.64010815531507E-2</v>
      </c>
      <c r="AG5578">
        <v>-7.3865E-2</v>
      </c>
      <c r="AH5578">
        <v>0.64022392786456905</v>
      </c>
      <c r="AI5578">
        <v>96.579187599390494</v>
      </c>
      <c r="AJ5578">
        <v>88.532533345467201</v>
      </c>
      <c r="AK5578">
        <v>0.64467954171933395</v>
      </c>
    </row>
    <row r="5579" spans="1:37" x14ac:dyDescent="0.2">
      <c r="A5579" t="str">
        <f>"20200111160327209"</f>
        <v>20200111160327209</v>
      </c>
      <c r="B5579" t="str">
        <f>"1578729807198272"</f>
        <v>1578729807198272</v>
      </c>
      <c r="C5579" t="s">
        <v>37</v>
      </c>
      <c r="D5579">
        <v>4.9139759999999999</v>
      </c>
      <c r="E5579">
        <v>0.53750010000000004</v>
      </c>
      <c r="F5579" t="s">
        <v>42</v>
      </c>
      <c r="G5579">
        <v>-233.68010000000001</v>
      </c>
      <c r="H5579">
        <v>1.0230709999999901</v>
      </c>
      <c r="I5579">
        <v>-62.040610000000001</v>
      </c>
      <c r="J5579">
        <v>-234.3914</v>
      </c>
      <c r="K5579">
        <v>1.104203</v>
      </c>
      <c r="L5579">
        <v>-62.047330000000002</v>
      </c>
      <c r="M5579">
        <v>0.99925560000000002</v>
      </c>
      <c r="N5579">
        <v>0</v>
      </c>
      <c r="O5579">
        <v>3.5857930000000003E-2</v>
      </c>
      <c r="P5579">
        <v>0.99384439999999996</v>
      </c>
      <c r="Q5579">
        <v>-2.0451540000000001E-2</v>
      </c>
      <c r="R5579">
        <v>0.10888109999999999</v>
      </c>
      <c r="S5579">
        <v>3.0085449999999998</v>
      </c>
      <c r="T5579">
        <v>-0.29859940000000001</v>
      </c>
      <c r="U5579">
        <v>3.805542E-2</v>
      </c>
      <c r="V5579">
        <v>-7.3175630000000005E-2</v>
      </c>
      <c r="W5579">
        <v>-6.1963159999999899E-3</v>
      </c>
      <c r="X5579">
        <v>0.99729979999999996</v>
      </c>
      <c r="Y5579">
        <v>2.2929999999999999E-2</v>
      </c>
      <c r="Z5579">
        <v>-4.6847119999999997E-3</v>
      </c>
      <c r="AA5579">
        <v>0.99972609999999995</v>
      </c>
      <c r="AB5579">
        <v>19</v>
      </c>
      <c r="AC5579">
        <v>0.71129999999999405</v>
      </c>
      <c r="AD5579">
        <v>-8.1132000000000204E-2</v>
      </c>
      <c r="AE5579">
        <v>6.7200000000013898E-3</v>
      </c>
      <c r="AF5579">
        <v>1.8551318484517201E-2</v>
      </c>
      <c r="AG5579">
        <v>-8.1132000000000204E-2</v>
      </c>
      <c r="AH5579">
        <v>0.701951849308044</v>
      </c>
      <c r="AI5579">
        <v>96.590743689968093</v>
      </c>
      <c r="AJ5579">
        <v>88.486128507520107</v>
      </c>
      <c r="AK5579">
        <v>0.70686841179140003</v>
      </c>
    </row>
    <row r="5580" spans="1:37" x14ac:dyDescent="0.2">
      <c r="A5580" t="str">
        <f>"20200111160327221"</f>
        <v>20200111160327221</v>
      </c>
      <c r="B5580" t="str">
        <f>"1578729807218769"</f>
        <v>1578729807218769</v>
      </c>
      <c r="C5580" t="s">
        <v>37</v>
      </c>
      <c r="D5580">
        <v>4.9444099999999898</v>
      </c>
      <c r="E5580">
        <v>0.53734009999999999</v>
      </c>
      <c r="F5580" t="s">
        <v>42</v>
      </c>
      <c r="G5580">
        <v>-233.51150000000001</v>
      </c>
      <c r="H5580">
        <v>1.016907</v>
      </c>
      <c r="I5580">
        <v>-62.037109999999998</v>
      </c>
      <c r="J5580">
        <v>-234.28139999999999</v>
      </c>
      <c r="K5580">
        <v>1.104203</v>
      </c>
      <c r="L5580">
        <v>-62.043819999999997</v>
      </c>
      <c r="M5580">
        <v>0.99926919999999897</v>
      </c>
      <c r="N5580">
        <v>0</v>
      </c>
      <c r="O5580">
        <v>3.5478820000000001E-2</v>
      </c>
      <c r="P5580">
        <v>0.99395639999999996</v>
      </c>
      <c r="Q5580">
        <v>-2.0430509999999999E-2</v>
      </c>
      <c r="R5580">
        <v>0.1078586</v>
      </c>
      <c r="S5580">
        <v>3.008591</v>
      </c>
      <c r="T5580">
        <v>-0.29847249999999997</v>
      </c>
      <c r="U5580">
        <v>3.5095210000000002E-2</v>
      </c>
      <c r="V5580">
        <v>-7.2528389999999998E-2</v>
      </c>
      <c r="W5580">
        <v>-6.1774869999999997E-3</v>
      </c>
      <c r="X5580">
        <v>0.99734719999999999</v>
      </c>
      <c r="Y5580">
        <v>2.353355E-2</v>
      </c>
      <c r="Z5580">
        <v>-4.6750680000000001E-3</v>
      </c>
      <c r="AA5580">
        <v>0.99971209999999899</v>
      </c>
      <c r="AB5580">
        <v>19</v>
      </c>
      <c r="AC5580">
        <v>0.76989999999997805</v>
      </c>
      <c r="AD5580">
        <v>-8.7295999999999999E-2</v>
      </c>
      <c r="AE5580">
        <v>6.7099999999982096E-3</v>
      </c>
      <c r="AF5580">
        <v>2.03505174805617E-2</v>
      </c>
      <c r="AG5580">
        <v>-8.7295999999999999E-2</v>
      </c>
      <c r="AH5580">
        <v>0.75988462788132505</v>
      </c>
      <c r="AI5580">
        <v>96.551115875761994</v>
      </c>
      <c r="AJ5580">
        <v>88.465924854375302</v>
      </c>
      <c r="AK5580">
        <v>0.7651531760818</v>
      </c>
    </row>
    <row r="5581" spans="1:37" x14ac:dyDescent="0.2">
      <c r="A5581" t="str">
        <f>"20200111160327237"</f>
        <v>20200111160327237</v>
      </c>
      <c r="B5581" t="str">
        <f>"1578729807228528"</f>
        <v>1578729807228528</v>
      </c>
      <c r="C5581" t="s">
        <v>37</v>
      </c>
      <c r="D5581">
        <v>4.9276559999999998</v>
      </c>
      <c r="E5581">
        <v>0.53699960000000002</v>
      </c>
      <c r="F5581" t="s">
        <v>42</v>
      </c>
      <c r="G5581">
        <v>-233.50649999999999</v>
      </c>
      <c r="H5581">
        <v>1.0273060000000001</v>
      </c>
      <c r="I5581">
        <v>-62.035260000000001</v>
      </c>
      <c r="J5581">
        <v>-234.15780000000001</v>
      </c>
      <c r="K5581">
        <v>1.1042049999999899</v>
      </c>
      <c r="L5581">
        <v>-62.039949999999997</v>
      </c>
      <c r="M5581">
        <v>0.99928419999999896</v>
      </c>
      <c r="N5581">
        <v>0</v>
      </c>
      <c r="O5581">
        <v>3.5052699999999999E-2</v>
      </c>
      <c r="P5581">
        <v>0.99413530000000006</v>
      </c>
      <c r="Q5581">
        <v>-2.040144E-2</v>
      </c>
      <c r="R5581">
        <v>0.10620259999999999</v>
      </c>
      <c r="S5581">
        <v>3.0084840000000002</v>
      </c>
      <c r="T5581">
        <v>-0.29848859999999999</v>
      </c>
      <c r="U5581">
        <v>3.3416750000000002E-2</v>
      </c>
      <c r="V5581">
        <v>-7.1292330000000001E-2</v>
      </c>
      <c r="W5581">
        <v>-6.1509160000000002E-3</v>
      </c>
      <c r="X5581">
        <v>0.99743649999999995</v>
      </c>
      <c r="Y5581">
        <v>2.3665889999999998E-2</v>
      </c>
      <c r="Z5581">
        <v>-4.6399019999999996E-3</v>
      </c>
      <c r="AA5581">
        <v>0.99970910000000002</v>
      </c>
      <c r="AB5581">
        <v>19</v>
      </c>
      <c r="AC5581">
        <v>0.65130000000001997</v>
      </c>
      <c r="AD5581">
        <v>-7.6898999999999801E-2</v>
      </c>
      <c r="AE5581">
        <v>4.6899999999965199E-3</v>
      </c>
      <c r="AF5581">
        <v>1.78955563709987E-2</v>
      </c>
      <c r="AG5581">
        <v>-7.6898999999999801E-2</v>
      </c>
      <c r="AH5581">
        <v>0.642113153929458</v>
      </c>
      <c r="AI5581">
        <v>96.826550150647606</v>
      </c>
      <c r="AJ5581">
        <v>88.403592107644897</v>
      </c>
      <c r="AK5581">
        <v>0.64694900076285999</v>
      </c>
    </row>
    <row r="5582" spans="1:37" x14ac:dyDescent="0.2">
      <c r="A5582" t="str">
        <f>"20200111160327248"</f>
        <v>20200111160327248</v>
      </c>
      <c r="B5582" t="str">
        <f>"1578729807238288"</f>
        <v>1578729807238288</v>
      </c>
      <c r="C5582" t="s">
        <v>37</v>
      </c>
      <c r="D5582">
        <v>4.8859300000000001</v>
      </c>
      <c r="E5582">
        <v>0.53699960000000002</v>
      </c>
      <c r="F5582" t="s">
        <v>42</v>
      </c>
      <c r="G5582">
        <v>-233.33760000000001</v>
      </c>
      <c r="H5582">
        <v>1.0224229999999901</v>
      </c>
      <c r="I5582">
        <v>-62.031489999999998</v>
      </c>
      <c r="J5582">
        <v>-234.0633</v>
      </c>
      <c r="K5582">
        <v>1.104206</v>
      </c>
      <c r="L5582">
        <v>-62.036990000000003</v>
      </c>
      <c r="M5582">
        <v>0.99929570000000001</v>
      </c>
      <c r="N5582">
        <v>0</v>
      </c>
      <c r="O5582">
        <v>3.4726760000000002E-2</v>
      </c>
      <c r="P5582">
        <v>0.99426740000000002</v>
      </c>
      <c r="Q5582">
        <v>-2.0427420000000002E-2</v>
      </c>
      <c r="R5582">
        <v>0.10495350000000001</v>
      </c>
      <c r="S5582">
        <v>3.008194</v>
      </c>
      <c r="T5582">
        <v>-0.29987720000000001</v>
      </c>
      <c r="U5582">
        <v>3.1341550000000003E-2</v>
      </c>
      <c r="V5582">
        <v>-7.0364839999999998E-2</v>
      </c>
      <c r="W5582">
        <v>-6.1788950000000002E-3</v>
      </c>
      <c r="X5582">
        <v>0.99750219999999901</v>
      </c>
      <c r="Y5582">
        <v>2.4025399999999999E-2</v>
      </c>
      <c r="Z5582">
        <v>-4.647333E-3</v>
      </c>
      <c r="AA5582">
        <v>0.99970049999999899</v>
      </c>
      <c r="AB5582">
        <v>19</v>
      </c>
      <c r="AC5582">
        <v>0.72569999999998902</v>
      </c>
      <c r="AD5582">
        <v>-8.1783000000000106E-2</v>
      </c>
      <c r="AE5582">
        <v>5.49999999999784E-3</v>
      </c>
      <c r="AF5582">
        <v>1.9459943731267901E-2</v>
      </c>
      <c r="AG5582">
        <v>-8.1783000000000106E-2</v>
      </c>
      <c r="AH5582">
        <v>0.71635585116501599</v>
      </c>
      <c r="AI5582">
        <v>96.510611737472502</v>
      </c>
      <c r="AJ5582">
        <v>88.443931879498507</v>
      </c>
      <c r="AK5582">
        <v>0.72127169221963705</v>
      </c>
    </row>
    <row r="5583" spans="1:37" x14ac:dyDescent="0.2">
      <c r="A5583" t="str">
        <f>"20200111160327261"</f>
        <v>20200111160327261</v>
      </c>
      <c r="B5583" t="str">
        <f>"1578729807258784"</f>
        <v>1578729807258784</v>
      </c>
      <c r="C5583" t="s">
        <v>37</v>
      </c>
      <c r="D5583">
        <v>4.8338299999999998</v>
      </c>
      <c r="E5583">
        <v>0.52127309999999905</v>
      </c>
      <c r="F5583" t="s">
        <v>42</v>
      </c>
      <c r="G5583">
        <v>-233.33320000000001</v>
      </c>
      <c r="H5583">
        <v>1.03139</v>
      </c>
      <c r="I5583">
        <v>-62.0304</v>
      </c>
      <c r="J5583">
        <v>-233.95050000000001</v>
      </c>
      <c r="K5583">
        <v>1.1042069999999999</v>
      </c>
      <c r="L5583">
        <v>-62.033569999999997</v>
      </c>
      <c r="M5583">
        <v>0.99930919999999901</v>
      </c>
      <c r="N5583">
        <v>0</v>
      </c>
      <c r="O5583">
        <v>3.4338250000000001E-2</v>
      </c>
      <c r="P5583">
        <v>0.99439149999999998</v>
      </c>
      <c r="Q5583">
        <v>-2.04283E-2</v>
      </c>
      <c r="R5583">
        <v>0.103772399999999</v>
      </c>
      <c r="S5583">
        <v>3.0082239999999998</v>
      </c>
      <c r="T5583">
        <v>-0.29993779999999998</v>
      </c>
      <c r="U5583">
        <v>2.752686E-2</v>
      </c>
      <c r="V5583">
        <v>-6.9567630000000005E-2</v>
      </c>
      <c r="W5583">
        <v>-6.1822379999999996E-3</v>
      </c>
      <c r="X5583">
        <v>0.9975581</v>
      </c>
      <c r="Y5583">
        <v>2.4901880000000001E-2</v>
      </c>
      <c r="Z5583">
        <v>-4.6532309999999999E-3</v>
      </c>
      <c r="AA5583">
        <v>0.99967909999999904</v>
      </c>
      <c r="AB5583">
        <v>19</v>
      </c>
      <c r="AC5583">
        <v>0.61729999999999996</v>
      </c>
      <c r="AD5583">
        <v>-7.2816999999999896E-2</v>
      </c>
      <c r="AE5583">
        <v>3.1699999999972302E-3</v>
      </c>
      <c r="AF5583">
        <v>1.77835668561491E-2</v>
      </c>
      <c r="AG5583">
        <v>-7.2816999999999896E-2</v>
      </c>
      <c r="AH5583">
        <v>0.60857682404300395</v>
      </c>
      <c r="AI5583">
        <v>96.820192601133499</v>
      </c>
      <c r="AJ5583">
        <v>88.326203998710497</v>
      </c>
      <c r="AK5583">
        <v>0.61317560413098404</v>
      </c>
    </row>
    <row r="5584" spans="1:37" x14ac:dyDescent="0.2">
      <c r="A5584" t="str">
        <f>"20200111160327276"</f>
        <v>20200111160327276</v>
      </c>
      <c r="B5584" t="str">
        <f>"1578729807268544"</f>
        <v>1578729807268544</v>
      </c>
      <c r="C5584" t="s">
        <v>37</v>
      </c>
      <c r="D5584">
        <v>4.8566379999999896</v>
      </c>
      <c r="E5584">
        <v>0.52080909999999903</v>
      </c>
      <c r="F5584" t="s">
        <v>42</v>
      </c>
      <c r="G5584">
        <v>-233.16640000000001</v>
      </c>
      <c r="H5584">
        <v>1.023981</v>
      </c>
      <c r="I5584">
        <v>-61.99456</v>
      </c>
      <c r="J5584">
        <v>-233.8228</v>
      </c>
      <c r="K5584">
        <v>1.1042069999999999</v>
      </c>
      <c r="L5584">
        <v>-62.02966</v>
      </c>
      <c r="M5584">
        <v>0.99932410000000005</v>
      </c>
      <c r="N5584">
        <v>0</v>
      </c>
      <c r="O5584">
        <v>3.3899220000000001E-2</v>
      </c>
      <c r="P5584">
        <v>0.99452689999999999</v>
      </c>
      <c r="Q5584">
        <v>-2.0245030000000001E-2</v>
      </c>
      <c r="R5584">
        <v>0.1025016</v>
      </c>
      <c r="S5584">
        <v>2.9950869999999998</v>
      </c>
      <c r="T5584">
        <v>-0.30648300000000001</v>
      </c>
      <c r="U5584">
        <v>0.148925799999999</v>
      </c>
      <c r="V5584">
        <v>-6.8730979999999997E-2</v>
      </c>
      <c r="W5584">
        <v>-6.0018279999999999E-3</v>
      </c>
      <c r="X5584">
        <v>0.99761719999999898</v>
      </c>
      <c r="Y5584">
        <v>-1.586651E-2</v>
      </c>
      <c r="Z5584">
        <v>-2.6476429999999999E-3</v>
      </c>
      <c r="AA5584">
        <v>0.99987060000000005</v>
      </c>
      <c r="AB5584">
        <v>19</v>
      </c>
      <c r="AC5584">
        <v>0.65639999999998999</v>
      </c>
      <c r="AD5584">
        <v>-8.0225999999999895E-2</v>
      </c>
      <c r="AE5584">
        <v>3.5099999999999902E-2</v>
      </c>
      <c r="AF5584">
        <v>-1.2637877958485699E-2</v>
      </c>
      <c r="AG5584">
        <v>-8.0225999999999895E-2</v>
      </c>
      <c r="AH5584">
        <v>0.64756685730800301</v>
      </c>
      <c r="AI5584">
        <v>97.060964788971305</v>
      </c>
      <c r="AJ5584">
        <v>91.118039245542903</v>
      </c>
      <c r="AK5584">
        <v>0.65263984073840997</v>
      </c>
    </row>
    <row r="5585" spans="1:37" x14ac:dyDescent="0.2">
      <c r="A5585" t="str">
        <f>"20200111160327290"</f>
        <v>20200111160327290</v>
      </c>
      <c r="B5585" t="str">
        <f>"1578729807278304"</f>
        <v>1578729807278304</v>
      </c>
      <c r="C5585" t="s">
        <v>37</v>
      </c>
      <c r="D5585">
        <v>4.8140179999999999</v>
      </c>
      <c r="E5585">
        <v>0.52068059999999905</v>
      </c>
      <c r="F5585" t="s">
        <v>42</v>
      </c>
      <c r="G5585">
        <v>-232.99789999999999</v>
      </c>
      <c r="H5585">
        <v>1.019871</v>
      </c>
      <c r="I5585">
        <v>-61.988930000000003</v>
      </c>
      <c r="J5585">
        <v>-233.70769999999999</v>
      </c>
      <c r="K5585">
        <v>1.104209</v>
      </c>
      <c r="L5585">
        <v>-62.026249999999997</v>
      </c>
      <c r="M5585">
        <v>0.99933749999999999</v>
      </c>
      <c r="N5585">
        <v>0</v>
      </c>
      <c r="O5585">
        <v>3.3504109999999997E-2</v>
      </c>
      <c r="P5585">
        <v>0.99464830000000004</v>
      </c>
      <c r="Q5585">
        <v>-1.9980629999999999E-2</v>
      </c>
      <c r="R5585">
        <v>0.101369</v>
      </c>
      <c r="S5585">
        <v>2.9949490000000001</v>
      </c>
      <c r="T5585">
        <v>-0.30605149999999998</v>
      </c>
      <c r="U5585">
        <v>0.14874270000000001</v>
      </c>
      <c r="V5585">
        <v>-6.7988969999999996E-2</v>
      </c>
      <c r="W5585">
        <v>-5.7400860000000001E-3</v>
      </c>
      <c r="X5585">
        <v>0.99766960000000005</v>
      </c>
      <c r="Y5585">
        <v>-1.6199100000000001E-2</v>
      </c>
      <c r="Z5585">
        <v>-2.5869040000000001E-3</v>
      </c>
      <c r="AA5585">
        <v>0.99986540000000002</v>
      </c>
      <c r="AB5585">
        <v>19</v>
      </c>
      <c r="AC5585">
        <v>0.70980000000000099</v>
      </c>
      <c r="AD5585">
        <v>-8.4337999999999996E-2</v>
      </c>
      <c r="AE5585">
        <v>3.7319999999993997E-2</v>
      </c>
      <c r="AF5585">
        <v>-1.33277801057862E-2</v>
      </c>
      <c r="AG5585">
        <v>-8.4337999999999996E-2</v>
      </c>
      <c r="AH5585">
        <v>0.70078547660581303</v>
      </c>
      <c r="AI5585">
        <v>96.861189074365001</v>
      </c>
      <c r="AJ5585">
        <v>91.089539564766696</v>
      </c>
      <c r="AK5585">
        <v>0.70596799657504705</v>
      </c>
    </row>
    <row r="5586" spans="1:37" x14ac:dyDescent="0.2">
      <c r="A5586" t="str">
        <f>"20200111160327304"</f>
        <v>20200111160327304</v>
      </c>
      <c r="B5586" t="str">
        <f>"1578729807298800"</f>
        <v>1578729807298800</v>
      </c>
      <c r="C5586" t="s">
        <v>37</v>
      </c>
      <c r="D5586">
        <v>4.803706</v>
      </c>
      <c r="E5586">
        <v>0.52049129999999999</v>
      </c>
      <c r="F5586" t="s">
        <v>42</v>
      </c>
      <c r="G5586">
        <v>-232.83009999999999</v>
      </c>
      <c r="H5586">
        <v>1.0148680000000001</v>
      </c>
      <c r="I5586">
        <v>-61.983259999999902</v>
      </c>
      <c r="J5586">
        <v>-233.5763</v>
      </c>
      <c r="K5586">
        <v>1.1042099999999999</v>
      </c>
      <c r="L5586">
        <v>-62.022369999999903</v>
      </c>
      <c r="M5586">
        <v>0.99935249999999998</v>
      </c>
      <c r="N5586">
        <v>0</v>
      </c>
      <c r="O5586">
        <v>3.3054939999999998E-2</v>
      </c>
      <c r="P5586">
        <v>0.99490279999999998</v>
      </c>
      <c r="Q5586">
        <v>-1.9519709999999999E-2</v>
      </c>
      <c r="R5586">
        <v>9.8930989999999996E-2</v>
      </c>
      <c r="S5586">
        <v>2.9950709999999998</v>
      </c>
      <c r="T5586">
        <v>-0.30494250000000001</v>
      </c>
      <c r="U5586">
        <v>0.14648439999999999</v>
      </c>
      <c r="V5586">
        <v>-6.5991919999999996E-2</v>
      </c>
      <c r="W5586">
        <v>-5.2821689999999998E-3</v>
      </c>
      <c r="X5586">
        <v>0.99780619999999998</v>
      </c>
      <c r="Y5586">
        <v>-1.5893009999999999E-2</v>
      </c>
      <c r="Z5586">
        <v>-2.547512E-3</v>
      </c>
      <c r="AA5586">
        <v>0.9998705</v>
      </c>
      <c r="AB5586">
        <v>19</v>
      </c>
      <c r="AC5586">
        <v>0.74620000000001596</v>
      </c>
      <c r="AD5586">
        <v>-8.9342000000000005E-2</v>
      </c>
      <c r="AE5586">
        <v>3.9110000000000797E-2</v>
      </c>
      <c r="AF5586">
        <v>-1.4217288269432299E-2</v>
      </c>
      <c r="AG5586">
        <v>-8.9342000000000005E-2</v>
      </c>
      <c r="AH5586">
        <v>0.73655538290577605</v>
      </c>
      <c r="AI5586">
        <v>96.914747483710201</v>
      </c>
      <c r="AJ5586">
        <v>91.105808861094104</v>
      </c>
      <c r="AK5586">
        <v>0.74209026158359703</v>
      </c>
    </row>
    <row r="5587" spans="1:37" x14ac:dyDescent="0.2">
      <c r="A5587" t="str">
        <f>"20200111160327319"</f>
        <v>20200111160327319</v>
      </c>
      <c r="B5587" t="str">
        <f>"1578729807308560"</f>
        <v>1578729807308560</v>
      </c>
      <c r="C5587" t="s">
        <v>37</v>
      </c>
      <c r="D5587">
        <v>4.7761930000000001</v>
      </c>
      <c r="E5587">
        <v>0.5203255</v>
      </c>
      <c r="F5587" t="s">
        <v>42</v>
      </c>
      <c r="G5587">
        <v>-232.82299999999901</v>
      </c>
      <c r="H5587">
        <v>1.0276289999999999</v>
      </c>
      <c r="I5587">
        <v>-61.986879999999999</v>
      </c>
      <c r="J5587">
        <v>-233.4599</v>
      </c>
      <c r="K5587">
        <v>1.1042130000000001</v>
      </c>
      <c r="L5587">
        <v>-62.019009999999902</v>
      </c>
      <c r="M5587">
        <v>0.99936559999999897</v>
      </c>
      <c r="N5587">
        <v>0</v>
      </c>
      <c r="O5587">
        <v>3.2658470000000002E-2</v>
      </c>
      <c r="P5587">
        <v>0.99502900000000005</v>
      </c>
      <c r="Q5587">
        <v>-1.9761419999999998E-2</v>
      </c>
      <c r="R5587">
        <v>9.7607020000000003E-2</v>
      </c>
      <c r="S5587">
        <v>2.9953919999999998</v>
      </c>
      <c r="T5587">
        <v>-0.30454979999999998</v>
      </c>
      <c r="U5587">
        <v>0.14089969999999999</v>
      </c>
      <c r="V5587">
        <v>-6.5060679999999996E-2</v>
      </c>
      <c r="W5587">
        <v>-5.5268209999999899E-3</v>
      </c>
      <c r="X5587">
        <v>0.99786600000000003</v>
      </c>
      <c r="Y5587">
        <v>-1.442979E-2</v>
      </c>
      <c r="Z5587">
        <v>-2.5781100000000002E-3</v>
      </c>
      <c r="AA5587">
        <v>0.99989249999999996</v>
      </c>
      <c r="AB5587">
        <v>19</v>
      </c>
      <c r="AC5587">
        <v>0.636900000000025</v>
      </c>
      <c r="AD5587">
        <v>-7.6583999999999694E-2</v>
      </c>
      <c r="AE5587">
        <v>3.2129999999988001E-2</v>
      </c>
      <c r="AF5587">
        <v>-1.11497749754045E-2</v>
      </c>
      <c r="AG5587">
        <v>-7.6583999999999694E-2</v>
      </c>
      <c r="AH5587">
        <v>0.62854465262470705</v>
      </c>
      <c r="AI5587">
        <v>96.945786675578304</v>
      </c>
      <c r="AJ5587">
        <v>91.0162651936907</v>
      </c>
      <c r="AK5587">
        <v>0.63329124964830796</v>
      </c>
    </row>
    <row r="5588" spans="1:37" x14ac:dyDescent="0.2">
      <c r="A5588" t="str">
        <f>"20200111160327331"</f>
        <v>20200111160327331</v>
      </c>
      <c r="B5588" t="str">
        <f>"1578729807329055"</f>
        <v>1578729807329055</v>
      </c>
      <c r="C5588" t="s">
        <v>37</v>
      </c>
      <c r="D5588">
        <v>4.7432749999999997</v>
      </c>
      <c r="E5588">
        <v>0.52018209999999998</v>
      </c>
      <c r="F5588" t="s">
        <v>42</v>
      </c>
      <c r="G5588">
        <v>-232.6567</v>
      </c>
      <c r="H5588">
        <v>1.022073</v>
      </c>
      <c r="I5588">
        <v>-61.982140000000001</v>
      </c>
      <c r="J5588">
        <v>-233.35560000000001</v>
      </c>
      <c r="K5588">
        <v>1.1042149999999999</v>
      </c>
      <c r="L5588">
        <v>-62.016019999999997</v>
      </c>
      <c r="M5588">
        <v>0.99937710000000002</v>
      </c>
      <c r="N5588">
        <v>0</v>
      </c>
      <c r="O5588">
        <v>3.2304380000000001E-2</v>
      </c>
      <c r="P5588">
        <v>0.99517019999999901</v>
      </c>
      <c r="Q5588">
        <v>-2.007689E-2</v>
      </c>
      <c r="R5588">
        <v>9.6089399999999894E-2</v>
      </c>
      <c r="S5588">
        <v>2.9953609999999999</v>
      </c>
      <c r="T5588">
        <v>-0.30618269999999997</v>
      </c>
      <c r="U5588">
        <v>0.13827509999999901</v>
      </c>
      <c r="V5588">
        <v>-6.3892379999999999E-2</v>
      </c>
      <c r="W5588">
        <v>-5.8449879999999997E-3</v>
      </c>
      <c r="X5588">
        <v>0.99793969999999899</v>
      </c>
      <c r="Y5588">
        <v>-1.3912219999999999E-2</v>
      </c>
      <c r="Z5588">
        <v>-2.5822660000000002E-3</v>
      </c>
      <c r="AA5588">
        <v>0.99989989999999995</v>
      </c>
      <c r="AB5588">
        <v>19</v>
      </c>
      <c r="AC5588">
        <v>0.69890000000000896</v>
      </c>
      <c r="AD5588">
        <v>-8.2141999999999896E-2</v>
      </c>
      <c r="AE5588">
        <v>3.3879999999996302E-2</v>
      </c>
      <c r="AF5588">
        <v>-1.1129132938842099E-2</v>
      </c>
      <c r="AG5588">
        <v>-8.2141999999999896E-2</v>
      </c>
      <c r="AH5588">
        <v>0.69011919682893796</v>
      </c>
      <c r="AI5588">
        <v>96.786868553433393</v>
      </c>
      <c r="AJ5588">
        <v>90.923894136722595</v>
      </c>
      <c r="AK5588">
        <v>0.69507961529294504</v>
      </c>
    </row>
    <row r="5589" spans="1:37" x14ac:dyDescent="0.2">
      <c r="A5589" t="str">
        <f>"20200111160327342"</f>
        <v>20200111160327342</v>
      </c>
      <c r="B5589" t="str">
        <f>"1578729807338817"</f>
        <v>1578729807338817</v>
      </c>
      <c r="C5589" t="s">
        <v>37</v>
      </c>
      <c r="D5589">
        <v>4.9155739999999897</v>
      </c>
      <c r="E5589">
        <v>0.5204297</v>
      </c>
      <c r="F5589" t="s">
        <v>42</v>
      </c>
      <c r="G5589">
        <v>-232.49029999999999</v>
      </c>
      <c r="H5589">
        <v>1.015741</v>
      </c>
      <c r="I5589">
        <v>-61.977089999999997</v>
      </c>
      <c r="J5589">
        <v>-233.2525</v>
      </c>
      <c r="K5589">
        <v>1.1042209999999999</v>
      </c>
      <c r="L5589">
        <v>-62.013089999999998</v>
      </c>
      <c r="M5589">
        <v>0.99938850000000001</v>
      </c>
      <c r="N5589">
        <v>0</v>
      </c>
      <c r="O5589">
        <v>3.1956310000000002E-2</v>
      </c>
      <c r="P5589">
        <v>0.99528439999999996</v>
      </c>
      <c r="Q5589">
        <v>-2.024946E-2</v>
      </c>
      <c r="R5589">
        <v>9.4864459999999998E-2</v>
      </c>
      <c r="S5589">
        <v>2.995377</v>
      </c>
      <c r="T5589">
        <v>-0.30628709999999998</v>
      </c>
      <c r="U5589">
        <v>0.13482669999999999</v>
      </c>
      <c r="V5589">
        <v>-6.3012440000000003E-2</v>
      </c>
      <c r="W5589">
        <v>-6.0203660000000001E-3</v>
      </c>
      <c r="X5589">
        <v>0.99799459999999995</v>
      </c>
      <c r="Y5589">
        <v>-1.311388E-2</v>
      </c>
      <c r="Z5589">
        <v>-2.5884419999999998E-3</v>
      </c>
      <c r="AA5589">
        <v>0.99991070000000004</v>
      </c>
      <c r="AB5589">
        <v>19</v>
      </c>
      <c r="AC5589">
        <v>0.76220000000000698</v>
      </c>
      <c r="AD5589">
        <v>-8.8479999999999795E-2</v>
      </c>
      <c r="AE5589">
        <v>3.6000000000001302E-2</v>
      </c>
      <c r="AF5589">
        <v>-1.1467863175538801E-2</v>
      </c>
      <c r="AG5589">
        <v>-8.8479999999999795E-2</v>
      </c>
      <c r="AH5589">
        <v>0.752838713092985</v>
      </c>
      <c r="AI5589">
        <v>96.702365694267797</v>
      </c>
      <c r="AJ5589">
        <v>90.8727092993892</v>
      </c>
      <c r="AK5589">
        <v>0.75810708360845303</v>
      </c>
    </row>
    <row r="5590" spans="1:37" x14ac:dyDescent="0.2">
      <c r="A5590" t="str">
        <f>"20200111160327354"</f>
        <v>20200111160327354</v>
      </c>
      <c r="B5590" t="str">
        <f>"1578729807348576"</f>
        <v>1578729807348576</v>
      </c>
      <c r="C5590" t="s">
        <v>37</v>
      </c>
      <c r="D5590">
        <v>4.7243490000000001</v>
      </c>
      <c r="E5590">
        <v>0.52020480000000002</v>
      </c>
      <c r="F5590" t="s">
        <v>42</v>
      </c>
      <c r="G5590">
        <v>-232.4854</v>
      </c>
      <c r="H5590">
        <v>1.0257369999999999</v>
      </c>
      <c r="I5590">
        <v>-61.98001</v>
      </c>
      <c r="J5590">
        <v>-233.1591</v>
      </c>
      <c r="K5590">
        <v>1.1042190000000001</v>
      </c>
      <c r="L5590">
        <v>-62.010530000000003</v>
      </c>
      <c r="M5590">
        <v>0.99939840000000002</v>
      </c>
      <c r="N5590">
        <v>0</v>
      </c>
      <c r="O5590">
        <v>3.1643409999999997E-2</v>
      </c>
      <c r="P5590">
        <v>0.99540729999999999</v>
      </c>
      <c r="Q5590">
        <v>-2.0091109999999999E-2</v>
      </c>
      <c r="R5590">
        <v>9.359932E-2</v>
      </c>
      <c r="S5590">
        <v>2.995682</v>
      </c>
      <c r="T5590">
        <v>-0.30655209999999999</v>
      </c>
      <c r="U5590">
        <v>0.12924189999999999</v>
      </c>
      <c r="V5590">
        <v>-6.2055939999999997E-2</v>
      </c>
      <c r="W5590">
        <v>-5.864513E-3</v>
      </c>
      <c r="X5590">
        <v>0.99805549999999998</v>
      </c>
      <c r="Y5590">
        <v>-1.1568459999999999E-2</v>
      </c>
      <c r="Z5590">
        <v>-2.6374649999999999E-3</v>
      </c>
      <c r="AA5590">
        <v>0.99992959999999997</v>
      </c>
      <c r="AB5590">
        <v>19</v>
      </c>
      <c r="AC5590">
        <v>0.67369999999999597</v>
      </c>
      <c r="AD5590">
        <v>-7.8481999999999899E-2</v>
      </c>
      <c r="AE5590">
        <v>3.0520000000002701E-2</v>
      </c>
      <c r="AF5590">
        <v>-9.0616765893468502E-3</v>
      </c>
      <c r="AG5590">
        <v>-7.8481999999999899E-2</v>
      </c>
      <c r="AH5590">
        <v>0.66531797391149705</v>
      </c>
      <c r="AI5590">
        <v>96.726996123209503</v>
      </c>
      <c r="AJ5590">
        <v>90.780324210555094</v>
      </c>
      <c r="AK5590">
        <v>0.66999219750405203</v>
      </c>
    </row>
    <row r="5591" spans="1:37" x14ac:dyDescent="0.2">
      <c r="A5591" t="str">
        <f>"20200111160327365"</f>
        <v>20200111160327365</v>
      </c>
      <c r="B5591" t="str">
        <f>"1578729807359142"</f>
        <v>1578729807359142</v>
      </c>
      <c r="C5591" t="s">
        <v>37</v>
      </c>
      <c r="D5591">
        <v>4.7008779999999897</v>
      </c>
      <c r="E5591">
        <v>0.52005869999999998</v>
      </c>
      <c r="F5591" t="s">
        <v>42</v>
      </c>
      <c r="G5591">
        <v>-232.31960000000001</v>
      </c>
      <c r="H5591">
        <v>1.0186519999999999</v>
      </c>
      <c r="I5591">
        <v>-61.975079999999998</v>
      </c>
      <c r="J5591">
        <v>-233.05430000000001</v>
      </c>
      <c r="K5591">
        <v>1.1042209999999999</v>
      </c>
      <c r="L5591">
        <v>-62.007629999999999</v>
      </c>
      <c r="M5591">
        <v>0.9994094</v>
      </c>
      <c r="N5591">
        <v>0</v>
      </c>
      <c r="O5591">
        <v>3.1293269999999998E-2</v>
      </c>
      <c r="P5591">
        <v>0.99551749999999894</v>
      </c>
      <c r="Q5591">
        <v>-2.0148880000000001E-2</v>
      </c>
      <c r="R5591">
        <v>9.2407610000000001E-2</v>
      </c>
      <c r="S5591">
        <v>2.9956969999999998</v>
      </c>
      <c r="T5591">
        <v>-0.30523549999999999</v>
      </c>
      <c r="U5591">
        <v>0.12725829999999999</v>
      </c>
      <c r="V5591">
        <v>-6.1211149999999999E-2</v>
      </c>
      <c r="W5591">
        <v>-5.9251850000000003E-3</v>
      </c>
      <c r="X5591">
        <v>0.99810730000000003</v>
      </c>
      <c r="Y5591">
        <v>-1.125657E-2</v>
      </c>
      <c r="Z5591">
        <v>-2.6065229999999999E-3</v>
      </c>
      <c r="AA5591">
        <v>0.99993319999999997</v>
      </c>
      <c r="AB5591">
        <v>19</v>
      </c>
      <c r="AC5591">
        <v>0.73470000000000302</v>
      </c>
      <c r="AD5591">
        <v>-8.5568999999999701E-2</v>
      </c>
      <c r="AE5591">
        <v>3.2550000000000502E-2</v>
      </c>
      <c r="AF5591">
        <v>-9.4131351612862894E-3</v>
      </c>
      <c r="AG5591">
        <v>-8.5568999999999701E-2</v>
      </c>
      <c r="AH5591">
        <v>0.72553634072157003</v>
      </c>
      <c r="AI5591">
        <v>96.725771666255994</v>
      </c>
      <c r="AJ5591">
        <v>90.743315845575793</v>
      </c>
      <c r="AK5591">
        <v>0.73062551459842295</v>
      </c>
    </row>
    <row r="5592" spans="1:37" x14ac:dyDescent="0.2">
      <c r="A5592" t="str">
        <f>"20200111160327377"</f>
        <v>20200111160327377</v>
      </c>
      <c r="B5592" t="str">
        <f>"1578729807368902"</f>
        <v>1578729807368902</v>
      </c>
      <c r="C5592" t="s">
        <v>37</v>
      </c>
      <c r="D5592">
        <v>4.6863219999999997</v>
      </c>
      <c r="E5592">
        <v>0.51990820000000004</v>
      </c>
      <c r="F5592" t="s">
        <v>42</v>
      </c>
      <c r="G5592">
        <v>-232.31389999999999</v>
      </c>
      <c r="H5592">
        <v>1.02878</v>
      </c>
      <c r="I5592">
        <v>-61.976979999999998</v>
      </c>
      <c r="J5592">
        <v>-232.95590000000001</v>
      </c>
      <c r="K5592">
        <v>1.1042259999999999</v>
      </c>
      <c r="L5592">
        <v>-62.004909999999903</v>
      </c>
      <c r="M5592">
        <v>0.99941959999999996</v>
      </c>
      <c r="N5592">
        <v>0</v>
      </c>
      <c r="O5592">
        <v>3.0967919999999999E-2</v>
      </c>
      <c r="P5592">
        <v>0.99562199999999901</v>
      </c>
      <c r="Q5592">
        <v>-2.011986E-2</v>
      </c>
      <c r="R5592">
        <v>9.1279860000000004E-2</v>
      </c>
      <c r="S5592">
        <v>2.995743</v>
      </c>
      <c r="T5592">
        <v>-0.30512640000000002</v>
      </c>
      <c r="U5592">
        <v>0.1248779</v>
      </c>
      <c r="V5592">
        <v>-6.040537E-2</v>
      </c>
      <c r="W5592">
        <v>-5.8989519999999998E-3</v>
      </c>
      <c r="X5592">
        <v>0.9981565</v>
      </c>
      <c r="Y5592">
        <v>-1.078898E-2</v>
      </c>
      <c r="Z5592">
        <v>-2.5963329999999902E-3</v>
      </c>
      <c r="AA5592">
        <v>0.99993840000000001</v>
      </c>
      <c r="AB5592">
        <v>19</v>
      </c>
      <c r="AC5592">
        <v>0.642000000000024</v>
      </c>
      <c r="AD5592">
        <v>-7.5445999999999902E-2</v>
      </c>
      <c r="AE5592">
        <v>2.7929999999990601E-2</v>
      </c>
      <c r="AF5592">
        <v>-7.9239685046073906E-3</v>
      </c>
      <c r="AG5592">
        <v>-7.5445999999999902E-2</v>
      </c>
      <c r="AH5592">
        <v>0.633820343567431</v>
      </c>
      <c r="AI5592">
        <v>96.787664462924496</v>
      </c>
      <c r="AJ5592">
        <v>90.716269689879596</v>
      </c>
      <c r="AK5592">
        <v>0.63834404212211304</v>
      </c>
    </row>
    <row r="5593" spans="1:37" x14ac:dyDescent="0.2">
      <c r="A5593" t="str">
        <f>"20200111160327394"</f>
        <v>20200111160327394</v>
      </c>
      <c r="B5593" t="str">
        <f>"1578729807388422"</f>
        <v>1578729807388422</v>
      </c>
      <c r="C5593" t="s">
        <v>37</v>
      </c>
      <c r="D5593">
        <v>4.6693119999999997</v>
      </c>
      <c r="E5593">
        <v>0.51954259999999997</v>
      </c>
      <c r="F5593" t="s">
        <v>42</v>
      </c>
      <c r="G5593">
        <v>-232.1491</v>
      </c>
      <c r="H5593">
        <v>1.022081</v>
      </c>
      <c r="I5593">
        <v>-61.971869999999903</v>
      </c>
      <c r="J5593">
        <v>-232.8262</v>
      </c>
      <c r="K5593">
        <v>1.104228</v>
      </c>
      <c r="L5593">
        <v>-62.001399999999997</v>
      </c>
      <c r="M5593">
        <v>0.99943280000000001</v>
      </c>
      <c r="N5593">
        <v>0</v>
      </c>
      <c r="O5593">
        <v>3.0541700000000001E-2</v>
      </c>
      <c r="P5593">
        <v>0.99577070000000001</v>
      </c>
      <c r="Q5593">
        <v>-2.0234039999999998E-2</v>
      </c>
      <c r="R5593">
        <v>8.9619119999999997E-2</v>
      </c>
      <c r="S5593">
        <v>2.9957889999999998</v>
      </c>
      <c r="T5593">
        <v>-0.30504189999999998</v>
      </c>
      <c r="U5593">
        <v>0.1227722</v>
      </c>
      <c r="V5593">
        <v>-5.9166379999999998E-2</v>
      </c>
      <c r="W5593">
        <v>-6.0168540000000003E-3</v>
      </c>
      <c r="X5593">
        <v>0.99822999999999995</v>
      </c>
      <c r="Y5593">
        <v>-1.051231E-2</v>
      </c>
      <c r="Z5593">
        <v>-2.5664220000000001E-3</v>
      </c>
      <c r="AA5593">
        <v>0.99994150000000004</v>
      </c>
      <c r="AB5593">
        <v>19</v>
      </c>
      <c r="AC5593">
        <v>0.67709999999999504</v>
      </c>
      <c r="AD5593">
        <v>-8.2146999999999901E-2</v>
      </c>
      <c r="AE5593">
        <v>2.9530000000001101E-2</v>
      </c>
      <c r="AF5593">
        <v>-8.7064478916658097E-3</v>
      </c>
      <c r="AG5593">
        <v>-8.2146999999999901E-2</v>
      </c>
      <c r="AH5593">
        <v>0.66787428456597797</v>
      </c>
      <c r="AI5593">
        <v>97.011440409025795</v>
      </c>
      <c r="AJ5593">
        <v>90.746868797874299</v>
      </c>
      <c r="AK5593">
        <v>0.67296358878352902</v>
      </c>
    </row>
    <row r="5594" spans="1:37" x14ac:dyDescent="0.2">
      <c r="A5594" t="str">
        <f>"20200111160327405"</f>
        <v>20200111160327405</v>
      </c>
      <c r="B5594" t="str">
        <f>"1578729807399158"</f>
        <v>1578729807399158</v>
      </c>
      <c r="C5594" t="s">
        <v>37</v>
      </c>
      <c r="D5594">
        <v>4.8708349999999996</v>
      </c>
      <c r="E5594">
        <v>0.51954259999999997</v>
      </c>
      <c r="F5594" t="s">
        <v>42</v>
      </c>
      <c r="G5594">
        <v>-231.98240000000001</v>
      </c>
      <c r="H5594">
        <v>1.018432</v>
      </c>
      <c r="I5594">
        <v>-61.96754</v>
      </c>
      <c r="J5594">
        <v>-232.7159</v>
      </c>
      <c r="K5594">
        <v>1.1042289999999999</v>
      </c>
      <c r="L5594">
        <v>-61.998469999999998</v>
      </c>
      <c r="M5594">
        <v>0.99944369999999905</v>
      </c>
      <c r="N5594">
        <v>0</v>
      </c>
      <c r="O5594">
        <v>3.0182099999999899E-2</v>
      </c>
      <c r="P5594">
        <v>0.99585009999999996</v>
      </c>
      <c r="Q5594">
        <v>-2.0513150000000001E-2</v>
      </c>
      <c r="R5594">
        <v>8.8667560000000006E-2</v>
      </c>
      <c r="S5594">
        <v>2.9956509999999898</v>
      </c>
      <c r="T5594">
        <v>-0.30447350000000001</v>
      </c>
      <c r="U5594">
        <v>0.1209412</v>
      </c>
      <c r="V5594">
        <v>-5.8572699999999998E-2</v>
      </c>
      <c r="W5594">
        <v>-6.2992350000000003E-3</v>
      </c>
      <c r="X5594">
        <v>0.99826329999999996</v>
      </c>
      <c r="Y5594">
        <v>-1.0262840000000001E-2</v>
      </c>
      <c r="Z5594">
        <v>-2.5380400000000001E-3</v>
      </c>
      <c r="AA5594">
        <v>0.999944099999999</v>
      </c>
      <c r="AB5594">
        <v>19</v>
      </c>
      <c r="AC5594">
        <v>0.73349999999999205</v>
      </c>
      <c r="AD5594">
        <v>-8.5797000000000095E-2</v>
      </c>
      <c r="AE5594">
        <v>3.09299999999979E-2</v>
      </c>
      <c r="AF5594">
        <v>-8.6568750839954803E-3</v>
      </c>
      <c r="AG5594">
        <v>-8.5797000000000095E-2</v>
      </c>
      <c r="AH5594">
        <v>0.72420848349200995</v>
      </c>
      <c r="AI5594">
        <v>96.755863161615906</v>
      </c>
      <c r="AJ5594">
        <v>90.684856357234494</v>
      </c>
      <c r="AK5594">
        <v>0.72932434091905696</v>
      </c>
    </row>
    <row r="5595" spans="1:37" x14ac:dyDescent="0.2">
      <c r="A5595" t="str">
        <f>"20200111160327418"</f>
        <v>20200111160327418</v>
      </c>
      <c r="B5595" t="str">
        <f>"1578729807408918"</f>
        <v>1578729807408918</v>
      </c>
      <c r="C5595" t="s">
        <v>37</v>
      </c>
      <c r="D5595">
        <v>4.7125019999999997</v>
      </c>
      <c r="E5595">
        <v>0.51736470000000001</v>
      </c>
      <c r="F5595" t="s">
        <v>42</v>
      </c>
      <c r="G5595">
        <v>-231.97659999999999</v>
      </c>
      <c r="H5595">
        <v>1.0288469999999901</v>
      </c>
      <c r="I5595">
        <v>-61.969519999999903</v>
      </c>
      <c r="J5595">
        <v>-232.61789999999999</v>
      </c>
      <c r="K5595">
        <v>1.104231</v>
      </c>
      <c r="L5595">
        <v>-61.99588</v>
      </c>
      <c r="M5595">
        <v>0.99945319999999904</v>
      </c>
      <c r="N5595">
        <v>0</v>
      </c>
      <c r="O5595">
        <v>2.9865220000000001E-2</v>
      </c>
      <c r="P5595">
        <v>0.99587909999999902</v>
      </c>
      <c r="Q5595">
        <v>-2.087402E-2</v>
      </c>
      <c r="R5595">
        <v>8.8256349999999997E-2</v>
      </c>
      <c r="S5595">
        <v>2.995682</v>
      </c>
      <c r="T5595">
        <v>-0.30535570000000001</v>
      </c>
      <c r="U5595">
        <v>0.11816409999999999</v>
      </c>
      <c r="V5595">
        <v>-5.8477359999999999E-2</v>
      </c>
      <c r="W5595">
        <v>-6.6629899999999997E-3</v>
      </c>
      <c r="X5595">
        <v>0.99826649999999995</v>
      </c>
      <c r="Y5595">
        <v>-9.6560510000000006E-3</v>
      </c>
      <c r="Z5595">
        <v>-2.5440340000000001E-3</v>
      </c>
      <c r="AA5595">
        <v>0.99995020000000001</v>
      </c>
      <c r="AB5595">
        <v>19</v>
      </c>
      <c r="AC5595">
        <v>0.64130000000000098</v>
      </c>
      <c r="AD5595">
        <v>-7.5384000000000104E-2</v>
      </c>
      <c r="AE5595">
        <v>2.6360000000011E-2</v>
      </c>
      <c r="AF5595">
        <v>-7.0958619625886296E-3</v>
      </c>
      <c r="AG5595">
        <v>-7.5384000000000104E-2</v>
      </c>
      <c r="AH5595">
        <v>0.63306840993332902</v>
      </c>
      <c r="AI5595">
        <v>96.790221981668395</v>
      </c>
      <c r="AJ5595">
        <v>90.642183232100706</v>
      </c>
      <c r="AK5595">
        <v>0.63758035600895502</v>
      </c>
    </row>
    <row r="5596" spans="1:37" x14ac:dyDescent="0.2">
      <c r="A5596" t="str">
        <f>"20200111160327430"</f>
        <v>20200111160327430</v>
      </c>
      <c r="B5596" t="str">
        <f>"1578729807418679"</f>
        <v>1578729807418679</v>
      </c>
      <c r="C5596" t="s">
        <v>37</v>
      </c>
      <c r="D5596">
        <v>4.6439159999999999</v>
      </c>
      <c r="E5596">
        <v>0.51736470000000001</v>
      </c>
      <c r="F5596" t="s">
        <v>42</v>
      </c>
      <c r="G5596">
        <v>-231.7921</v>
      </c>
      <c r="H5596">
        <v>1.0355529999999999</v>
      </c>
      <c r="I5596">
        <v>-61.9593699999999</v>
      </c>
      <c r="J5596">
        <v>-232.5181</v>
      </c>
      <c r="K5596">
        <v>1.104233</v>
      </c>
      <c r="L5596">
        <v>-61.993290000000002</v>
      </c>
      <c r="M5596">
        <v>0.99946279999999998</v>
      </c>
      <c r="N5596">
        <v>0</v>
      </c>
      <c r="O5596">
        <v>2.9543630000000001E-2</v>
      </c>
      <c r="P5596">
        <v>0.99591759999999996</v>
      </c>
      <c r="Q5596">
        <v>-2.1286960000000001E-2</v>
      </c>
      <c r="R5596">
        <v>8.7722449999999993E-2</v>
      </c>
      <c r="S5596">
        <v>2.9954529999999999</v>
      </c>
      <c r="T5596">
        <v>-0.24910189999999999</v>
      </c>
      <c r="U5596">
        <v>0.13247679999999901</v>
      </c>
      <c r="V5596">
        <v>-5.826394E-2</v>
      </c>
      <c r="W5596">
        <v>-7.0788319999999898E-3</v>
      </c>
      <c r="X5596">
        <v>0.9982761</v>
      </c>
      <c r="Y5596">
        <v>-1.4696860000000001E-2</v>
      </c>
      <c r="Z5596">
        <v>-1.841257E-3</v>
      </c>
      <c r="AA5596">
        <v>0.99989030000000001</v>
      </c>
      <c r="AB5596">
        <v>19</v>
      </c>
      <c r="AC5596">
        <v>0.72599999999999898</v>
      </c>
      <c r="AD5596">
        <v>-6.8679999999999797E-2</v>
      </c>
      <c r="AE5596">
        <v>3.3920000000008999E-2</v>
      </c>
      <c r="AF5596">
        <v>-1.23441260767736E-2</v>
      </c>
      <c r="AG5596">
        <v>-6.8679999999999797E-2</v>
      </c>
      <c r="AH5596">
        <v>0.72025355249773904</v>
      </c>
      <c r="AI5596">
        <v>95.446192450228395</v>
      </c>
      <c r="AJ5596">
        <v>90.981872407333199</v>
      </c>
      <c r="AK5596">
        <v>0.72362593909713702</v>
      </c>
    </row>
    <row r="5597" spans="1:37" x14ac:dyDescent="0.2">
      <c r="A5597" t="str">
        <f>"20200111160327448"</f>
        <v>20200111160327448</v>
      </c>
      <c r="B5597" t="str">
        <f>"1578729807438456"</f>
        <v>1578729807438456</v>
      </c>
      <c r="C5597" t="s">
        <v>37</v>
      </c>
      <c r="D5597">
        <v>4.6482859999999997</v>
      </c>
      <c r="E5597">
        <v>0.51694479999999998</v>
      </c>
      <c r="F5597" t="s">
        <v>42</v>
      </c>
      <c r="G5597">
        <v>-231.63810000000001</v>
      </c>
      <c r="H5597">
        <v>1.0306439999999999</v>
      </c>
      <c r="I5597">
        <v>-61.95496</v>
      </c>
      <c r="J5597">
        <v>-232.3629</v>
      </c>
      <c r="K5597">
        <v>1.1042270000000001</v>
      </c>
      <c r="L5597">
        <v>-61.9893199999999</v>
      </c>
      <c r="M5597">
        <v>0.99947759999999997</v>
      </c>
      <c r="N5597">
        <v>0</v>
      </c>
      <c r="O5597">
        <v>2.9046829999999999E-2</v>
      </c>
      <c r="P5597">
        <v>0.99596739999999995</v>
      </c>
      <c r="Q5597">
        <v>-2.1943020000000001E-2</v>
      </c>
      <c r="R5597">
        <v>8.6992920000000001E-2</v>
      </c>
      <c r="S5597">
        <v>2.9953919999999998</v>
      </c>
      <c r="T5597">
        <v>-0.250391799999999</v>
      </c>
      <c r="U5597">
        <v>0.1309814</v>
      </c>
      <c r="V5597">
        <v>-5.8029459999999998E-2</v>
      </c>
      <c r="W5597">
        <v>-7.7393480000000001E-3</v>
      </c>
      <c r="X5597">
        <v>0.99828490000000003</v>
      </c>
      <c r="Y5597">
        <v>-1.4695379999999999E-2</v>
      </c>
      <c r="Z5597">
        <v>-1.8094679999999901E-3</v>
      </c>
      <c r="AA5597">
        <v>0.99989039999999996</v>
      </c>
      <c r="AB5597">
        <v>19</v>
      </c>
      <c r="AC5597">
        <v>0.72479999999998701</v>
      </c>
      <c r="AD5597">
        <v>-7.3582999999999898E-2</v>
      </c>
      <c r="AE5597">
        <v>3.4359999999992397E-2</v>
      </c>
      <c r="AF5597">
        <v>-1.3154962505999899E-2</v>
      </c>
      <c r="AG5597">
        <v>-7.3582999999999898E-2</v>
      </c>
      <c r="AH5597">
        <v>0.71810755413196004</v>
      </c>
      <c r="AI5597">
        <v>95.849586416955802</v>
      </c>
      <c r="AJ5597">
        <v>91.049480027783204</v>
      </c>
      <c r="AK5597">
        <v>0.72198751390098204</v>
      </c>
    </row>
    <row r="5598" spans="1:37" x14ac:dyDescent="0.2">
      <c r="A5598" t="str">
        <f>"20200111160327459"</f>
        <v>20200111160327459</v>
      </c>
      <c r="B5598" t="str">
        <f>"1578729807449193"</f>
        <v>1578729807449193</v>
      </c>
      <c r="C5598" t="s">
        <v>37</v>
      </c>
      <c r="D5598">
        <v>4.600841</v>
      </c>
      <c r="E5598">
        <v>0.51677819999999997</v>
      </c>
      <c r="F5598" t="s">
        <v>42</v>
      </c>
      <c r="G5598">
        <v>-231.63730000000001</v>
      </c>
      <c r="H5598">
        <v>1.0320100000000001</v>
      </c>
      <c r="I5598">
        <v>-61.95711</v>
      </c>
      <c r="J5598">
        <v>-232.27099999999999</v>
      </c>
      <c r="K5598">
        <v>1.1042270000000001</v>
      </c>
      <c r="L5598">
        <v>-61.9869699999999</v>
      </c>
      <c r="M5598">
        <v>0.99948599999999999</v>
      </c>
      <c r="N5598">
        <v>0</v>
      </c>
      <c r="O5598">
        <v>2.8754470000000001E-2</v>
      </c>
      <c r="P5598">
        <v>0.99596989999999996</v>
      </c>
      <c r="Q5598">
        <v>-2.2226900000000001E-2</v>
      </c>
      <c r="R5598">
        <v>8.6892220000000006E-2</v>
      </c>
      <c r="S5598">
        <v>2.9939580000000001</v>
      </c>
      <c r="T5598">
        <v>-0.29783579999999998</v>
      </c>
      <c r="U5598">
        <v>0.13354489999999999</v>
      </c>
      <c r="V5598">
        <v>-5.8220679999999997E-2</v>
      </c>
      <c r="W5598">
        <v>-8.0257179999999994E-3</v>
      </c>
      <c r="X5598">
        <v>0.99827149999999998</v>
      </c>
      <c r="Y5598">
        <v>-1.5876680000000001E-2</v>
      </c>
      <c r="Z5598">
        <v>-2.064186E-3</v>
      </c>
      <c r="AA5598">
        <v>0.99987190000000004</v>
      </c>
      <c r="AB5598">
        <v>19</v>
      </c>
      <c r="AC5598">
        <v>0.63369999999997595</v>
      </c>
      <c r="AD5598">
        <v>-7.2216999999999906E-2</v>
      </c>
      <c r="AE5598">
        <v>2.9859999999992198E-2</v>
      </c>
      <c r="AF5598">
        <v>-1.1475410223769701E-2</v>
      </c>
      <c r="AG5598">
        <v>-7.2216999999999906E-2</v>
      </c>
      <c r="AH5598">
        <v>0.62618234682983198</v>
      </c>
      <c r="AI5598">
        <v>96.577706670206894</v>
      </c>
      <c r="AJ5598">
        <v>91.049884251216298</v>
      </c>
      <c r="AK5598">
        <v>0.63043739705867696</v>
      </c>
    </row>
    <row r="5599" spans="1:37" x14ac:dyDescent="0.2">
      <c r="A5599" t="str">
        <f>"20200111160327471"</f>
        <v>20200111160327471</v>
      </c>
      <c r="B5599" t="str">
        <f>"1578729807468712"</f>
        <v>1578729807468712</v>
      </c>
      <c r="C5599" t="s">
        <v>37</v>
      </c>
      <c r="D5599">
        <v>4.6125059999999998</v>
      </c>
      <c r="E5599">
        <v>0.51655859999999998</v>
      </c>
      <c r="F5599" t="s">
        <v>42</v>
      </c>
      <c r="G5599">
        <v>-231.4751</v>
      </c>
      <c r="H5599">
        <v>1.02542</v>
      </c>
      <c r="I5599">
        <v>-61.951180000000001</v>
      </c>
      <c r="J5599">
        <v>-232.17240000000001</v>
      </c>
      <c r="K5599">
        <v>1.1042319999999901</v>
      </c>
      <c r="L5599">
        <v>-61.984529999999999</v>
      </c>
      <c r="M5599">
        <v>0.99949500000000002</v>
      </c>
      <c r="N5599">
        <v>0</v>
      </c>
      <c r="O5599">
        <v>2.8441549999999999E-2</v>
      </c>
      <c r="P5599">
        <v>0.99598209999999998</v>
      </c>
      <c r="Q5599">
        <v>-2.2385680000000002E-2</v>
      </c>
      <c r="R5599">
        <v>8.6711399999999994E-2</v>
      </c>
      <c r="S5599">
        <v>2.9937589999999998</v>
      </c>
      <c r="T5599">
        <v>-0.29651620000000001</v>
      </c>
      <c r="U5599">
        <v>0.13461300000000001</v>
      </c>
      <c r="V5599">
        <v>-5.8352460000000002E-2</v>
      </c>
      <c r="W5599">
        <v>-8.1871140000000005E-3</v>
      </c>
      <c r="X5599">
        <v>0.99826250000000005</v>
      </c>
      <c r="Y5599">
        <v>-1.654336E-2</v>
      </c>
      <c r="Z5599">
        <v>-1.9913959999999999E-3</v>
      </c>
      <c r="AA5599">
        <v>0.99986119999999901</v>
      </c>
      <c r="AB5599">
        <v>19</v>
      </c>
      <c r="AC5599">
        <v>0.69730000000001202</v>
      </c>
      <c r="AD5599">
        <v>-7.8811999999999799E-2</v>
      </c>
      <c r="AE5599">
        <v>3.3349999999998603E-2</v>
      </c>
      <c r="AF5599">
        <v>-1.3332295992779001E-2</v>
      </c>
      <c r="AG5599">
        <v>-7.8811999999999799E-2</v>
      </c>
      <c r="AH5599">
        <v>0.68918257705806696</v>
      </c>
      <c r="AI5599">
        <v>96.522553674289796</v>
      </c>
      <c r="AJ5599">
        <v>91.108253528677295</v>
      </c>
      <c r="AK5599">
        <v>0.69380235368643495</v>
      </c>
    </row>
    <row r="5600" spans="1:37" x14ac:dyDescent="0.2">
      <c r="A5600" t="str">
        <f>"20200111160327482"</f>
        <v>20200111160327482</v>
      </c>
      <c r="B5600" t="str">
        <f>"1578729807478472"</f>
        <v>1578729807478472</v>
      </c>
      <c r="C5600" t="s">
        <v>37</v>
      </c>
      <c r="D5600">
        <v>4.7386749999999997</v>
      </c>
      <c r="E5600">
        <v>0.51655859999999998</v>
      </c>
      <c r="F5600" t="s">
        <v>42</v>
      </c>
      <c r="G5600">
        <v>-231.31139999999999</v>
      </c>
      <c r="H5600">
        <v>1.0192589999999999</v>
      </c>
      <c r="I5600">
        <v>-61.9456699999999</v>
      </c>
      <c r="J5600">
        <v>-232.0812</v>
      </c>
      <c r="K5600">
        <v>1.104233</v>
      </c>
      <c r="L5600">
        <v>-61.9822699999999</v>
      </c>
      <c r="M5600">
        <v>0.99950309999999898</v>
      </c>
      <c r="N5600">
        <v>0</v>
      </c>
      <c r="O5600">
        <v>2.815258E-2</v>
      </c>
      <c r="P5600">
        <v>0.9959943</v>
      </c>
      <c r="Q5600">
        <v>-2.246217E-2</v>
      </c>
      <c r="R5600">
        <v>8.6550409999999994E-2</v>
      </c>
      <c r="S5600">
        <v>2.993652</v>
      </c>
      <c r="T5600">
        <v>-0.2953827</v>
      </c>
      <c r="U5600">
        <v>0.13574220000000001</v>
      </c>
      <c r="V5600">
        <v>-5.8479509999999998E-2</v>
      </c>
      <c r="W5600">
        <v>-8.2659510000000005E-3</v>
      </c>
      <c r="X5600">
        <v>0.99825439999999999</v>
      </c>
      <c r="Y5600">
        <v>-1.7205350000000001E-2</v>
      </c>
      <c r="Z5600">
        <v>-1.9228909999999999E-3</v>
      </c>
      <c r="AA5600">
        <v>0.99985020000000002</v>
      </c>
      <c r="AB5600">
        <v>19</v>
      </c>
      <c r="AC5600">
        <v>0.76980000000000304</v>
      </c>
      <c r="AD5600">
        <v>-8.4974000000000105E-2</v>
      </c>
      <c r="AE5600">
        <v>3.6599999999999903E-2</v>
      </c>
      <c r="AF5600">
        <v>-1.47323509277509E-2</v>
      </c>
      <c r="AG5600">
        <v>-8.4974000000000105E-2</v>
      </c>
      <c r="AH5600">
        <v>0.761270345584797</v>
      </c>
      <c r="AI5600">
        <v>96.367883864150201</v>
      </c>
      <c r="AJ5600">
        <v>91.108668140715196</v>
      </c>
      <c r="AK5600">
        <v>0.76613977961378299</v>
      </c>
    </row>
    <row r="5601" spans="1:37" x14ac:dyDescent="0.2">
      <c r="A5601" t="str">
        <f>"20200111160327494"</f>
        <v>20200111160327494</v>
      </c>
      <c r="B5601" t="str">
        <f>"1578729807489209"</f>
        <v>1578729807489209</v>
      </c>
      <c r="C5601" t="s">
        <v>37</v>
      </c>
      <c r="D5601">
        <v>4.6133119999999996</v>
      </c>
      <c r="E5601">
        <v>0.51648099999999997</v>
      </c>
      <c r="F5601" t="s">
        <v>42</v>
      </c>
      <c r="G5601">
        <v>-231.30599999999899</v>
      </c>
      <c r="H5601">
        <v>1.027649</v>
      </c>
      <c r="I5601">
        <v>-61.947429999999997</v>
      </c>
      <c r="J5601">
        <v>-231.9846</v>
      </c>
      <c r="K5601">
        <v>1.104233</v>
      </c>
      <c r="L5601">
        <v>-61.979889999999997</v>
      </c>
      <c r="M5601">
        <v>0.99951179999999995</v>
      </c>
      <c r="N5601">
        <v>0</v>
      </c>
      <c r="O5601">
        <v>2.7846490000000002E-2</v>
      </c>
      <c r="P5601">
        <v>0.99600339999999998</v>
      </c>
      <c r="Q5601">
        <v>-2.2373480000000001E-2</v>
      </c>
      <c r="R5601">
        <v>8.6468320000000001E-2</v>
      </c>
      <c r="S5601">
        <v>2.993652</v>
      </c>
      <c r="T5601">
        <v>-0.29565849999999999</v>
      </c>
      <c r="U5601">
        <v>0.1352844</v>
      </c>
      <c r="V5601">
        <v>-5.8702799999999999E-2</v>
      </c>
      <c r="W5601">
        <v>-8.1796819999999902E-3</v>
      </c>
      <c r="X5601">
        <v>0.99824199999999996</v>
      </c>
      <c r="Y5601">
        <v>-1.735685E-2</v>
      </c>
      <c r="Z5601">
        <v>-1.887101E-3</v>
      </c>
      <c r="AA5601">
        <v>0.99984759999999995</v>
      </c>
      <c r="AB5601">
        <v>19</v>
      </c>
      <c r="AC5601">
        <v>0.67860000000001697</v>
      </c>
      <c r="AD5601">
        <v>-7.6583999999999902E-2</v>
      </c>
      <c r="AE5601">
        <v>3.2460000000000301E-2</v>
      </c>
      <c r="AF5601">
        <v>-1.33788744827596E-2</v>
      </c>
      <c r="AG5601">
        <v>-7.6583999999999902E-2</v>
      </c>
      <c r="AH5601">
        <v>0.67071772047100098</v>
      </c>
      <c r="AI5601">
        <v>96.5126607294835</v>
      </c>
      <c r="AJ5601">
        <v>91.142733189001902</v>
      </c>
      <c r="AK5601">
        <v>0.67520838553163798</v>
      </c>
    </row>
    <row r="5602" spans="1:37" x14ac:dyDescent="0.2">
      <c r="A5602" t="str">
        <f>"20200111160327505"</f>
        <v>20200111160327505</v>
      </c>
      <c r="B5602" t="str">
        <f>"1578729807498968"</f>
        <v>1578729807498968</v>
      </c>
      <c r="C5602" t="s">
        <v>37</v>
      </c>
      <c r="D5602">
        <v>4.6679699999999897</v>
      </c>
      <c r="E5602">
        <v>0.51648099999999997</v>
      </c>
      <c r="F5602" t="s">
        <v>42</v>
      </c>
      <c r="G5602">
        <v>-231.14349999999999</v>
      </c>
      <c r="H5602">
        <v>1.021385</v>
      </c>
      <c r="I5602">
        <v>-61.941800000000001</v>
      </c>
      <c r="J5602">
        <v>-231.8869</v>
      </c>
      <c r="K5602">
        <v>1.104236</v>
      </c>
      <c r="L5602">
        <v>-61.977539999999998</v>
      </c>
      <c r="M5602">
        <v>0.99952039999999998</v>
      </c>
      <c r="N5602">
        <v>0</v>
      </c>
      <c r="O5602">
        <v>2.7537840000000001E-2</v>
      </c>
      <c r="P5602">
        <v>0.99601949999999995</v>
      </c>
      <c r="Q5602">
        <v>-2.2528960000000001E-2</v>
      </c>
      <c r="R5602">
        <v>8.6242059999999995E-2</v>
      </c>
      <c r="S5602">
        <v>2.9936370000000001</v>
      </c>
      <c r="T5602">
        <v>-0.29487170000000001</v>
      </c>
      <c r="U5602">
        <v>0.13571169999999999</v>
      </c>
      <c r="V5602">
        <v>-5.8784599999999999E-2</v>
      </c>
      <c r="W5602">
        <v>-8.3375949999999997E-3</v>
      </c>
      <c r="X5602">
        <v>0.99823589999999995</v>
      </c>
      <c r="Y5602">
        <v>-1.7804319999999998E-2</v>
      </c>
      <c r="Z5602">
        <v>-1.829834E-3</v>
      </c>
      <c r="AA5602">
        <v>0.99983979999999995</v>
      </c>
      <c r="AB5602">
        <v>19</v>
      </c>
      <c r="AC5602">
        <v>0.74340000000000805</v>
      </c>
      <c r="AD5602">
        <v>-8.2850999999999994E-2</v>
      </c>
      <c r="AE5602">
        <v>3.5740000000004102E-2</v>
      </c>
      <c r="AF5602">
        <v>-1.5066057737438901E-2</v>
      </c>
      <c r="AG5602">
        <v>-8.2850999999999994E-2</v>
      </c>
      <c r="AH5602">
        <v>0.73499413839662397</v>
      </c>
      <c r="AI5602">
        <v>96.430083948641297</v>
      </c>
      <c r="AJ5602">
        <v>91.174295964973496</v>
      </c>
      <c r="AK5602">
        <v>0.73980244509878701</v>
      </c>
    </row>
    <row r="5603" spans="1:37" x14ac:dyDescent="0.2">
      <c r="A5603" t="str">
        <f>"20200111160327517"</f>
        <v>20200111160327517</v>
      </c>
      <c r="B5603" t="str">
        <f>"1578729807508728"</f>
        <v>1578729807508728</v>
      </c>
      <c r="C5603" t="s">
        <v>37</v>
      </c>
      <c r="D5603">
        <v>4.6096190000000004</v>
      </c>
      <c r="E5603">
        <v>0.51369750000000003</v>
      </c>
      <c r="F5603" t="s">
        <v>42</v>
      </c>
      <c r="G5603">
        <v>-231.137</v>
      </c>
      <c r="H5603">
        <v>1.030222</v>
      </c>
      <c r="I5603">
        <v>-61.943709999999903</v>
      </c>
      <c r="J5603">
        <v>-231.7911</v>
      </c>
      <c r="K5603">
        <v>1.104236</v>
      </c>
      <c r="L5603">
        <v>-61.975250000000003</v>
      </c>
      <c r="M5603">
        <v>0.99952859999999999</v>
      </c>
      <c r="N5603">
        <v>0</v>
      </c>
      <c r="O5603">
        <v>2.7234600000000001E-2</v>
      </c>
      <c r="P5603">
        <v>0.99605580000000005</v>
      </c>
      <c r="Q5603">
        <v>-2.2417889999999999E-2</v>
      </c>
      <c r="R5603">
        <v>8.5849999999999996E-2</v>
      </c>
      <c r="S5603">
        <v>2.9936069999999999</v>
      </c>
      <c r="T5603">
        <v>-0.29537970000000002</v>
      </c>
      <c r="U5603">
        <v>0.13519289999999901</v>
      </c>
      <c r="V5603">
        <v>-5.8694679999999999E-2</v>
      </c>
      <c r="W5603">
        <v>-8.2288109999999904E-3</v>
      </c>
      <c r="X5603">
        <v>0.99824210000000002</v>
      </c>
      <c r="Y5603">
        <v>-1.7933259999999999E-2</v>
      </c>
      <c r="Z5603">
        <v>-1.7968379999999901E-3</v>
      </c>
      <c r="AA5603">
        <v>0.99983759999999999</v>
      </c>
      <c r="AB5603">
        <v>19</v>
      </c>
      <c r="AC5603">
        <v>0.65409999999999902</v>
      </c>
      <c r="AD5603">
        <v>-7.4013999999999996E-2</v>
      </c>
      <c r="AE5603">
        <v>3.1540000000006702E-2</v>
      </c>
      <c r="AF5603">
        <v>-1.3539403433658601E-2</v>
      </c>
      <c r="AG5603">
        <v>-7.4013999999999996E-2</v>
      </c>
      <c r="AH5603">
        <v>0.64645845572802896</v>
      </c>
      <c r="AI5603">
        <v>96.530020603363496</v>
      </c>
      <c r="AJ5603">
        <v>91.199825401384203</v>
      </c>
      <c r="AK5603">
        <v>0.65082249701712602</v>
      </c>
    </row>
    <row r="5604" spans="1:37" x14ac:dyDescent="0.2">
      <c r="A5604" t="str">
        <f>"20200111160327527"</f>
        <v>20200111160327527</v>
      </c>
      <c r="B5604" t="str">
        <f>"1578729807518489"</f>
        <v>1578729807518489</v>
      </c>
      <c r="C5604" t="s">
        <v>37</v>
      </c>
      <c r="D5604">
        <v>4.6435370000000002</v>
      </c>
      <c r="E5604">
        <v>0.51410679999999997</v>
      </c>
      <c r="F5604" t="s">
        <v>42</v>
      </c>
      <c r="G5604">
        <v>-230.97329999999999</v>
      </c>
      <c r="H5604">
        <v>1.0256319999999901</v>
      </c>
      <c r="I5604">
        <v>-61.932719999999897</v>
      </c>
      <c r="J5604">
        <v>-231.70189999999999</v>
      </c>
      <c r="K5604">
        <v>1.104236</v>
      </c>
      <c r="L5604">
        <v>-61.973179999999999</v>
      </c>
      <c r="M5604">
        <v>0.99953649999999905</v>
      </c>
      <c r="N5604">
        <v>0</v>
      </c>
      <c r="O5604">
        <v>2.6952460000000001E-2</v>
      </c>
      <c r="P5604">
        <v>0.99608649999999999</v>
      </c>
      <c r="Q5604">
        <v>-2.2452380000000001E-2</v>
      </c>
      <c r="R5604">
        <v>8.5485229999999995E-2</v>
      </c>
      <c r="S5604">
        <v>2.991943</v>
      </c>
      <c r="T5604">
        <v>-0.28752299999999997</v>
      </c>
      <c r="U5604">
        <v>0.15594479999999999</v>
      </c>
      <c r="V5604">
        <v>-5.8610889999999999E-2</v>
      </c>
      <c r="W5604">
        <v>-8.2654500000000006E-3</v>
      </c>
      <c r="X5604">
        <v>0.99824669999999904</v>
      </c>
      <c r="Y5604">
        <v>-2.5121790000000001E-2</v>
      </c>
      <c r="Z5604">
        <v>-1.3784800000000001E-3</v>
      </c>
      <c r="AA5604">
        <v>0.9996834</v>
      </c>
      <c r="AB5604">
        <v>19</v>
      </c>
      <c r="AC5604">
        <v>0.72860000000000003</v>
      </c>
      <c r="AD5604">
        <v>-7.8604000000000104E-2</v>
      </c>
      <c r="AE5604">
        <v>4.0460000000010099E-2</v>
      </c>
      <c r="AF5604">
        <v>-2.0567126470474598E-2</v>
      </c>
      <c r="AG5604">
        <v>-7.8604000000000104E-2</v>
      </c>
      <c r="AH5604">
        <v>0.72105934552039896</v>
      </c>
      <c r="AI5604">
        <v>96.2188420626116</v>
      </c>
      <c r="AJ5604">
        <v>91.633832397077398</v>
      </c>
      <c r="AK5604">
        <v>0.72562261215425095</v>
      </c>
    </row>
    <row r="5605" spans="1:37" x14ac:dyDescent="0.2">
      <c r="A5605" t="str">
        <f>"20200111160327539"</f>
        <v>20200111160327539</v>
      </c>
      <c r="B5605" t="str">
        <f>"1578729807529224"</f>
        <v>1578729807529224</v>
      </c>
      <c r="C5605" t="s">
        <v>37</v>
      </c>
      <c r="D5605">
        <v>4.6175309999999996</v>
      </c>
      <c r="E5605">
        <v>0.51431199999999999</v>
      </c>
      <c r="F5605" t="s">
        <v>42</v>
      </c>
      <c r="G5605">
        <v>-230.96459999999999</v>
      </c>
      <c r="H5605">
        <v>1.032775</v>
      </c>
      <c r="I5605">
        <v>-61.935890000000001</v>
      </c>
      <c r="J5605">
        <v>-231.6071</v>
      </c>
      <c r="K5605">
        <v>1.1042399999999899</v>
      </c>
      <c r="L5605">
        <v>-61.970979999999997</v>
      </c>
      <c r="M5605">
        <v>0.9995444</v>
      </c>
      <c r="N5605">
        <v>0</v>
      </c>
      <c r="O5605">
        <v>2.6651790000000002E-2</v>
      </c>
      <c r="P5605">
        <v>0.996123599999999</v>
      </c>
      <c r="Q5605">
        <v>-2.2419580000000001E-2</v>
      </c>
      <c r="R5605">
        <v>8.5061070000000003E-2</v>
      </c>
      <c r="S5605">
        <v>2.9922490000000002</v>
      </c>
      <c r="T5605">
        <v>-0.28995679999999902</v>
      </c>
      <c r="U5605">
        <v>0.15173339999999999</v>
      </c>
      <c r="V5605">
        <v>-5.8486199999999898E-2</v>
      </c>
      <c r="W5605">
        <v>-8.2349789999999999E-3</v>
      </c>
      <c r="X5605">
        <v>0.99825419999999998</v>
      </c>
      <c r="Y5605">
        <v>-2.4017790000000001E-2</v>
      </c>
      <c r="Z5605">
        <v>-1.414312E-3</v>
      </c>
      <c r="AA5605">
        <v>0.9997106</v>
      </c>
      <c r="AB5605">
        <v>19</v>
      </c>
      <c r="AC5605">
        <v>0.64250000000001195</v>
      </c>
      <c r="AD5605">
        <v>-7.1464999999999806E-2</v>
      </c>
      <c r="AE5605">
        <v>3.5090000000003799E-2</v>
      </c>
      <c r="AF5605">
        <v>-1.7733295093928202E-2</v>
      </c>
      <c r="AG5605">
        <v>-7.1464999999999806E-2</v>
      </c>
      <c r="AH5605">
        <v>0.63536960250088204</v>
      </c>
      <c r="AI5605">
        <v>96.415055602667806</v>
      </c>
      <c r="AJ5605">
        <v>91.598721845434596</v>
      </c>
      <c r="AK5605">
        <v>0.63962195691049895</v>
      </c>
    </row>
    <row r="5606" spans="1:37" x14ac:dyDescent="0.2">
      <c r="A5606" t="str">
        <f>"20200111160327551"</f>
        <v>20200111160327551</v>
      </c>
      <c r="B5606" t="str">
        <f>"1578729807538984"</f>
        <v>1578729807538984</v>
      </c>
      <c r="C5606" t="s">
        <v>37</v>
      </c>
      <c r="D5606">
        <v>4.6381259999999997</v>
      </c>
      <c r="E5606">
        <v>0.51424529999999902</v>
      </c>
      <c r="F5606" t="s">
        <v>42</v>
      </c>
      <c r="G5606">
        <v>-230.8064</v>
      </c>
      <c r="H5606">
        <v>1.0268090000000001</v>
      </c>
      <c r="I5606">
        <v>-61.931159999999998</v>
      </c>
      <c r="J5606">
        <v>-231.50540000000001</v>
      </c>
      <c r="K5606">
        <v>1.1042379999999901</v>
      </c>
      <c r="L5606">
        <v>-61.968629999999997</v>
      </c>
      <c r="M5606">
        <v>0.99955309999999897</v>
      </c>
      <c r="N5606">
        <v>0</v>
      </c>
      <c r="O5606">
        <v>2.6329000000000002E-2</v>
      </c>
      <c r="P5606">
        <v>0.99616659999999901</v>
      </c>
      <c r="Q5606">
        <v>-2.2613769999999998E-2</v>
      </c>
      <c r="R5606">
        <v>8.4504019999999999E-2</v>
      </c>
      <c r="S5606">
        <v>2.992432</v>
      </c>
      <c r="T5606">
        <v>-0.2893599</v>
      </c>
      <c r="U5606">
        <v>0.14880370000000001</v>
      </c>
      <c r="V5606">
        <v>-5.825048E-2</v>
      </c>
      <c r="W5606">
        <v>-8.4317049999999994E-3</v>
      </c>
      <c r="X5606">
        <v>0.9982664</v>
      </c>
      <c r="Y5606">
        <v>-2.3362750000000002E-2</v>
      </c>
      <c r="Z5606">
        <v>-1.411844E-3</v>
      </c>
      <c r="AA5606">
        <v>0.99972609999999995</v>
      </c>
      <c r="AB5606">
        <v>19</v>
      </c>
      <c r="AC5606">
        <v>0.69900000000001195</v>
      </c>
      <c r="AD5606">
        <v>-7.7428999999999706E-2</v>
      </c>
      <c r="AE5606">
        <v>3.7470000000006103E-2</v>
      </c>
      <c r="AF5606">
        <v>-1.8820917116764799E-2</v>
      </c>
      <c r="AG5606">
        <v>-7.7428999999999706E-2</v>
      </c>
      <c r="AH5606">
        <v>0.691286333726152</v>
      </c>
      <c r="AI5606">
        <v>96.388551175694602</v>
      </c>
      <c r="AJ5606">
        <v>91.559545933531098</v>
      </c>
      <c r="AK5606">
        <v>0.69586368791499797</v>
      </c>
    </row>
    <row r="5607" spans="1:37" x14ac:dyDescent="0.2">
      <c r="A5607" t="str">
        <f>"20200111160327563"</f>
        <v>20200111160327563</v>
      </c>
      <c r="B5607" t="str">
        <f>"1578729807558504"</f>
        <v>1578729807558504</v>
      </c>
      <c r="C5607" t="s">
        <v>37</v>
      </c>
      <c r="D5607">
        <v>4.6290300000000002</v>
      </c>
      <c r="E5607">
        <v>0.51410699999999998</v>
      </c>
      <c r="F5607" t="s">
        <v>42</v>
      </c>
      <c r="G5607">
        <v>-230.6446</v>
      </c>
      <c r="H5607">
        <v>1.0216479999999999</v>
      </c>
      <c r="I5607">
        <v>-61.926319999999997</v>
      </c>
      <c r="J5607">
        <v>-231.4083</v>
      </c>
      <c r="K5607">
        <v>1.1042369999999999</v>
      </c>
      <c r="L5607">
        <v>-61.966430000000003</v>
      </c>
      <c r="M5607">
        <v>0.99956119999999904</v>
      </c>
      <c r="N5607">
        <v>0</v>
      </c>
      <c r="O5607">
        <v>2.6019750000000001E-2</v>
      </c>
      <c r="P5607">
        <v>0.99621589999999904</v>
      </c>
      <c r="Q5607">
        <v>-2.2811359999999999E-2</v>
      </c>
      <c r="R5607">
        <v>8.3868719999999994E-2</v>
      </c>
      <c r="S5607">
        <v>2.9924930000000001</v>
      </c>
      <c r="T5607">
        <v>-0.2870876</v>
      </c>
      <c r="U5607">
        <v>0.1475525</v>
      </c>
      <c r="V5607">
        <v>-5.7923349999999998E-2</v>
      </c>
      <c r="W5607">
        <v>-8.6316459999999998E-3</v>
      </c>
      <c r="X5607">
        <v>0.9982837</v>
      </c>
      <c r="Y5607">
        <v>-2.325292E-2</v>
      </c>
      <c r="Z5607">
        <v>-1.3764809999999999E-3</v>
      </c>
      <c r="AA5607">
        <v>0.99972870000000003</v>
      </c>
      <c r="AB5607">
        <v>19</v>
      </c>
      <c r="AC5607">
        <v>0.76370000000000005</v>
      </c>
      <c r="AD5607">
        <v>-8.2589000000000204E-2</v>
      </c>
      <c r="AE5607">
        <v>4.01100000000056E-2</v>
      </c>
      <c r="AF5607">
        <v>-1.9990003667326301E-2</v>
      </c>
      <c r="AG5607">
        <v>-8.2589000000000204E-2</v>
      </c>
      <c r="AH5607">
        <v>0.755671894355326</v>
      </c>
      <c r="AI5607">
        <v>96.235059011149701</v>
      </c>
      <c r="AJ5607">
        <v>91.515308167489906</v>
      </c>
      <c r="AK5607">
        <v>0.760434451538189</v>
      </c>
    </row>
    <row r="5608" spans="1:37" x14ac:dyDescent="0.2">
      <c r="A5608" t="str">
        <f>"20200111160327575"</f>
        <v>20200111160327575</v>
      </c>
      <c r="B5608" t="str">
        <f>"1578729807569240"</f>
        <v>1578729807569240</v>
      </c>
      <c r="C5608" t="s">
        <v>37</v>
      </c>
      <c r="D5608">
        <v>4.6187309999999897</v>
      </c>
      <c r="E5608">
        <v>0.51413240000000004</v>
      </c>
      <c r="F5608" t="s">
        <v>42</v>
      </c>
      <c r="G5608">
        <v>-230.6379</v>
      </c>
      <c r="H5608">
        <v>1.030089</v>
      </c>
      <c r="I5608">
        <v>-61.928780000000003</v>
      </c>
      <c r="J5608">
        <v>-231.3083</v>
      </c>
      <c r="K5608">
        <v>1.104236</v>
      </c>
      <c r="L5608">
        <v>-61.964199999999998</v>
      </c>
      <c r="M5608">
        <v>0.9995695</v>
      </c>
      <c r="N5608">
        <v>0</v>
      </c>
      <c r="O5608">
        <v>2.5700959999999998E-2</v>
      </c>
      <c r="P5608">
        <v>0.99627259999999995</v>
      </c>
      <c r="Q5608">
        <v>-2.3054580000000002E-2</v>
      </c>
      <c r="R5608">
        <v>8.3124320000000002E-2</v>
      </c>
      <c r="S5608">
        <v>2.99246199999999</v>
      </c>
      <c r="T5608">
        <v>-0.28796919999999998</v>
      </c>
      <c r="U5608">
        <v>0.14672850000000001</v>
      </c>
      <c r="V5608">
        <v>-5.749576E-2</v>
      </c>
      <c r="W5608">
        <v>-8.8773680000000001E-3</v>
      </c>
      <c r="X5608">
        <v>0.99830629999999998</v>
      </c>
      <c r="Y5608">
        <v>-2.3296069999999999E-2</v>
      </c>
      <c r="Z5608">
        <v>-1.3480689999999999E-3</v>
      </c>
      <c r="AA5608">
        <v>0.9997277</v>
      </c>
      <c r="AB5608">
        <v>19</v>
      </c>
      <c r="AC5608">
        <v>0.6704</v>
      </c>
      <c r="AD5608">
        <v>-7.4146999999999894E-2</v>
      </c>
      <c r="AE5608">
        <v>3.54199999999949E-2</v>
      </c>
      <c r="AF5608">
        <v>-1.79575916205344E-2</v>
      </c>
      <c r="AG5608">
        <v>-7.4146999999999894E-2</v>
      </c>
      <c r="AH5608">
        <v>0.66300126528941095</v>
      </c>
      <c r="AI5608">
        <v>96.378860009028102</v>
      </c>
      <c r="AJ5608">
        <v>91.551494349965793</v>
      </c>
      <c r="AK5608">
        <v>0.66737615366535896</v>
      </c>
    </row>
    <row r="5609" spans="1:37" x14ac:dyDescent="0.2">
      <c r="A5609" t="str">
        <f>"20200111160327585"</f>
        <v>20200111160327585</v>
      </c>
      <c r="B5609" t="str">
        <f>"1578729807579000"</f>
        <v>1578729807579000</v>
      </c>
      <c r="C5609" t="s">
        <v>37</v>
      </c>
      <c r="D5609">
        <v>4.9862089999999997</v>
      </c>
      <c r="E5609">
        <v>0.51413240000000004</v>
      </c>
      <c r="F5609" t="s">
        <v>42</v>
      </c>
      <c r="G5609">
        <v>-230.47720000000001</v>
      </c>
      <c r="H5609">
        <v>1.024151</v>
      </c>
      <c r="I5609">
        <v>-61.924079999999996</v>
      </c>
      <c r="J5609">
        <v>-231.2139</v>
      </c>
      <c r="K5609">
        <v>1.1042350000000001</v>
      </c>
      <c r="L5609">
        <v>-61.962130000000002</v>
      </c>
      <c r="M5609">
        <v>0.99957719999999906</v>
      </c>
      <c r="N5609">
        <v>0</v>
      </c>
      <c r="O5609">
        <v>2.5399330000000001E-2</v>
      </c>
      <c r="P5609">
        <v>0.9963303</v>
      </c>
      <c r="Q5609">
        <v>-2.3179490000000001E-2</v>
      </c>
      <c r="R5609">
        <v>8.2393809999999998E-2</v>
      </c>
      <c r="S5609">
        <v>2.9924930000000001</v>
      </c>
      <c r="T5609">
        <v>-0.28841329999999998</v>
      </c>
      <c r="U5609">
        <v>0.14431759999999999</v>
      </c>
      <c r="V5609">
        <v>-5.7065360000000002E-2</v>
      </c>
      <c r="W5609">
        <v>-9.0046889999999997E-3</v>
      </c>
      <c r="X5609">
        <v>0.99832980000000004</v>
      </c>
      <c r="Y5609">
        <v>-2.279467E-2</v>
      </c>
      <c r="Z5609">
        <v>-1.345277E-3</v>
      </c>
      <c r="AA5609">
        <v>0.9997393</v>
      </c>
      <c r="AB5609">
        <v>19</v>
      </c>
      <c r="AC5609">
        <v>0.73669999999998403</v>
      </c>
      <c r="AD5609">
        <v>-8.0084000000000002E-2</v>
      </c>
      <c r="AE5609">
        <v>3.80499999999983E-2</v>
      </c>
      <c r="AF5609">
        <v>-1.9099066689534001E-2</v>
      </c>
      <c r="AG5609">
        <v>-8.0084000000000002E-2</v>
      </c>
      <c r="AH5609">
        <v>0.72883898921051304</v>
      </c>
      <c r="AI5609">
        <v>96.268306094982805</v>
      </c>
      <c r="AJ5609">
        <v>91.501079871403604</v>
      </c>
      <c r="AK5609">
        <v>0.73347426239631197</v>
      </c>
    </row>
    <row r="5610" spans="1:37" x14ac:dyDescent="0.2">
      <c r="A5610" t="str">
        <f>"20200111160327597"</f>
        <v>20200111160327597</v>
      </c>
      <c r="B5610" t="str">
        <f>"1578729807588760"</f>
        <v>1578729807588760</v>
      </c>
      <c r="C5610" t="s">
        <v>37</v>
      </c>
      <c r="D5610">
        <v>4.6887449999999999</v>
      </c>
      <c r="E5610">
        <v>0.51406750000000001</v>
      </c>
      <c r="F5610" t="s">
        <v>42</v>
      </c>
      <c r="G5610">
        <v>-230.47059999999999</v>
      </c>
      <c r="H5610">
        <v>1.032524</v>
      </c>
      <c r="I5610">
        <v>-61.9268</v>
      </c>
      <c r="J5610">
        <v>-231.12690000000001</v>
      </c>
      <c r="K5610">
        <v>1.1042339999999999</v>
      </c>
      <c r="L5610">
        <v>-61.960239999999999</v>
      </c>
      <c r="M5610">
        <v>0.99958440000000004</v>
      </c>
      <c r="N5610">
        <v>0</v>
      </c>
      <c r="O5610">
        <v>2.5120719999999999E-2</v>
      </c>
      <c r="P5610">
        <v>0.99637749999999903</v>
      </c>
      <c r="Q5610">
        <v>-2.3209110000000002E-2</v>
      </c>
      <c r="R5610">
        <v>8.1814010000000006E-2</v>
      </c>
      <c r="S5610">
        <v>2.9925989999999998</v>
      </c>
      <c r="T5610">
        <v>-0.28875149999999999</v>
      </c>
      <c r="U5610">
        <v>0.142059299999999</v>
      </c>
      <c r="V5610">
        <v>-5.6763050000000002E-2</v>
      </c>
      <c r="W5610">
        <v>-9.0364850000000004E-3</v>
      </c>
      <c r="X5610">
        <v>0.99834679999999998</v>
      </c>
      <c r="Y5610">
        <v>-2.2319840000000001E-2</v>
      </c>
      <c r="Z5610">
        <v>-1.342876E-3</v>
      </c>
      <c r="AA5610">
        <v>0.99975000000000003</v>
      </c>
      <c r="AB5610">
        <v>19</v>
      </c>
      <c r="AC5610">
        <v>0.65630000000001498</v>
      </c>
      <c r="AD5610">
        <v>-7.1709999999999899E-2</v>
      </c>
      <c r="AE5610">
        <v>3.3439999999998797E-2</v>
      </c>
      <c r="AF5610">
        <v>-1.6741712175433299E-2</v>
      </c>
      <c r="AG5610">
        <v>-7.1709999999999899E-2</v>
      </c>
      <c r="AH5610">
        <v>0.64920244665296301</v>
      </c>
      <c r="AI5610">
        <v>96.301181457910502</v>
      </c>
      <c r="AJ5610">
        <v>91.477223170237295</v>
      </c>
      <c r="AK5610">
        <v>0.65336546110638505</v>
      </c>
    </row>
    <row r="5611" spans="1:37" x14ac:dyDescent="0.2">
      <c r="A5611" t="str">
        <f>"20200111160327608"</f>
        <v>20200111160327608</v>
      </c>
      <c r="B5611" t="str">
        <f>"1578729807598522"</f>
        <v>1578729807598522</v>
      </c>
      <c r="C5611" t="s">
        <v>37</v>
      </c>
      <c r="D5611">
        <v>4.6798479999999998</v>
      </c>
      <c r="E5611">
        <v>0.51389799999999997</v>
      </c>
      <c r="F5611" t="s">
        <v>42</v>
      </c>
      <c r="G5611">
        <v>-230.31110000000001</v>
      </c>
      <c r="H5611">
        <v>1.0254570000000001</v>
      </c>
      <c r="I5611">
        <v>-61.921930000000003</v>
      </c>
      <c r="J5611">
        <v>-231.0333</v>
      </c>
      <c r="K5611">
        <v>1.104236</v>
      </c>
      <c r="L5611">
        <v>-61.95825</v>
      </c>
      <c r="M5611">
        <v>0.99959189999999998</v>
      </c>
      <c r="N5611">
        <v>0</v>
      </c>
      <c r="O5611">
        <v>2.482094E-2</v>
      </c>
      <c r="P5611">
        <v>0.99643619999999899</v>
      </c>
      <c r="Q5611">
        <v>-2.3495209999999999E-2</v>
      </c>
      <c r="R5611">
        <v>8.1015610000000002E-2</v>
      </c>
      <c r="S5611">
        <v>2.9926149999999998</v>
      </c>
      <c r="T5611">
        <v>-0.2889564</v>
      </c>
      <c r="U5611">
        <v>0.14093020000000001</v>
      </c>
      <c r="V5611">
        <v>-5.6263050000000002E-2</v>
      </c>
      <c r="W5611">
        <v>-9.3249830000000002E-3</v>
      </c>
      <c r="X5611">
        <v>0.99837240000000005</v>
      </c>
      <c r="Y5611">
        <v>-2.2242040000000001E-2</v>
      </c>
      <c r="Z5611">
        <v>-1.3187279999999999E-3</v>
      </c>
      <c r="AA5611">
        <v>0.99975170000000002</v>
      </c>
      <c r="AB5611">
        <v>18</v>
      </c>
      <c r="AC5611">
        <v>0.72219999999998596</v>
      </c>
      <c r="AD5611">
        <v>-7.8778999999999905E-2</v>
      </c>
      <c r="AE5611">
        <v>3.63199999999963E-2</v>
      </c>
      <c r="AF5611">
        <v>-1.8165726314581802E-2</v>
      </c>
      <c r="AG5611">
        <v>-7.8778999999999905E-2</v>
      </c>
      <c r="AH5611">
        <v>0.714399930218104</v>
      </c>
      <c r="AI5611">
        <v>96.290733818638103</v>
      </c>
      <c r="AJ5611">
        <v>91.456600383065094</v>
      </c>
      <c r="AK5611">
        <v>0.71895993264518498</v>
      </c>
    </row>
    <row r="5612" spans="1:37" x14ac:dyDescent="0.2">
      <c r="A5612" t="str">
        <f>"20200111160327620"</f>
        <v>20200111160327620</v>
      </c>
      <c r="B5612" t="str">
        <f>"1578729807619016"</f>
        <v>1578729807619016</v>
      </c>
      <c r="C5612" t="s">
        <v>37</v>
      </c>
      <c r="D5612">
        <v>4.6740250000000003</v>
      </c>
      <c r="E5612">
        <v>0.51361069999999998</v>
      </c>
      <c r="F5612" t="s">
        <v>42</v>
      </c>
      <c r="G5612">
        <v>-230.30109999999999</v>
      </c>
      <c r="H5612">
        <v>1.033507</v>
      </c>
      <c r="I5612">
        <v>-61.924129999999998</v>
      </c>
      <c r="J5612">
        <v>-230.93219999999999</v>
      </c>
      <c r="K5612">
        <v>1.104231</v>
      </c>
      <c r="L5612">
        <v>-61.956150000000001</v>
      </c>
      <c r="M5612">
        <v>0.99959989999999999</v>
      </c>
      <c r="N5612">
        <v>0</v>
      </c>
      <c r="O5612">
        <v>2.4496850000000001E-2</v>
      </c>
      <c r="P5612">
        <v>0.99650380000000005</v>
      </c>
      <c r="Q5612">
        <v>-2.3070400000000001E-2</v>
      </c>
      <c r="R5612">
        <v>8.0300499999999997E-2</v>
      </c>
      <c r="S5612">
        <v>2.9925229999999998</v>
      </c>
      <c r="T5612">
        <v>-0.28899399999999997</v>
      </c>
      <c r="U5612">
        <v>0.13992309999999999</v>
      </c>
      <c r="V5612">
        <v>-5.5869559999999999E-2</v>
      </c>
      <c r="W5612">
        <v>-8.9025760000000006E-3</v>
      </c>
      <c r="X5612">
        <v>0.99839840000000002</v>
      </c>
      <c r="Y5612">
        <v>-2.223046E-2</v>
      </c>
      <c r="Z5612">
        <v>-1.288314E-3</v>
      </c>
      <c r="AA5612">
        <v>0.99975199999999997</v>
      </c>
      <c r="AB5612">
        <v>18</v>
      </c>
      <c r="AC5612">
        <v>0.63110000000000299</v>
      </c>
      <c r="AD5612">
        <v>-7.0723999999999995E-2</v>
      </c>
      <c r="AE5612">
        <v>3.2019999999995698E-2</v>
      </c>
      <c r="AF5612">
        <v>-1.6344150517108899E-2</v>
      </c>
      <c r="AG5612">
        <v>-7.0723999999999995E-2</v>
      </c>
      <c r="AH5612">
        <v>0.62388016822957904</v>
      </c>
      <c r="AI5612">
        <v>96.465326765369397</v>
      </c>
      <c r="AJ5612">
        <v>91.500667511733397</v>
      </c>
      <c r="AK5612">
        <v>0.62808875148524501</v>
      </c>
    </row>
    <row r="5613" spans="1:37" x14ac:dyDescent="0.2">
      <c r="A5613" t="str">
        <f>"20200111160327633"</f>
        <v>20200111160327633</v>
      </c>
      <c r="B5613" t="str">
        <f>"1578729807628776"</f>
        <v>1578729807628776</v>
      </c>
      <c r="C5613" t="s">
        <v>37</v>
      </c>
      <c r="D5613">
        <v>4.7925219999999999</v>
      </c>
      <c r="E5613">
        <v>0.51361069999999998</v>
      </c>
      <c r="F5613" t="s">
        <v>42</v>
      </c>
      <c r="G5613">
        <v>-230.1439</v>
      </c>
      <c r="H5613">
        <v>1.0283629999999999</v>
      </c>
      <c r="I5613">
        <v>-61.919269999999997</v>
      </c>
      <c r="J5613">
        <v>-230.8339</v>
      </c>
      <c r="K5613">
        <v>1.1042319999999901</v>
      </c>
      <c r="L5613">
        <v>-61.954099999999997</v>
      </c>
      <c r="M5613">
        <v>0.99960759999999904</v>
      </c>
      <c r="N5613">
        <v>0</v>
      </c>
      <c r="O5613">
        <v>2.4181339999999999E-2</v>
      </c>
      <c r="P5613">
        <v>0.99652989999999997</v>
      </c>
      <c r="Q5613">
        <v>-2.324789E-2</v>
      </c>
      <c r="R5613">
        <v>7.9923049999999995E-2</v>
      </c>
      <c r="S5613">
        <v>2.992569</v>
      </c>
      <c r="T5613">
        <v>-0.28798439999999997</v>
      </c>
      <c r="U5613">
        <v>0.14016719999999999</v>
      </c>
      <c r="V5613">
        <v>-5.5806620000000001E-2</v>
      </c>
      <c r="W5613">
        <v>-9.0824949999999995E-3</v>
      </c>
      <c r="X5613">
        <v>0.99840030000000002</v>
      </c>
      <c r="Y5613">
        <v>-2.262335E-2</v>
      </c>
      <c r="Z5613">
        <v>-1.2346969999999899E-3</v>
      </c>
      <c r="AA5613">
        <v>0.9997433</v>
      </c>
      <c r="AB5613">
        <v>18</v>
      </c>
      <c r="AC5613">
        <v>0.68999999999999695</v>
      </c>
      <c r="AD5613">
        <v>-7.5868999999999895E-2</v>
      </c>
      <c r="AE5613">
        <v>3.4829999999999403E-2</v>
      </c>
      <c r="AF5613">
        <v>-1.7916953148793401E-2</v>
      </c>
      <c r="AG5613">
        <v>-7.5868999999999895E-2</v>
      </c>
      <c r="AH5613">
        <v>0.68241105505195299</v>
      </c>
      <c r="AI5613">
        <v>96.341801796226605</v>
      </c>
      <c r="AJ5613">
        <v>91.503976234421202</v>
      </c>
      <c r="AK5613">
        <v>0.68684930692856905</v>
      </c>
    </row>
    <row r="5614" spans="1:37" x14ac:dyDescent="0.2">
      <c r="A5614" t="str">
        <f>"20200111160327644"</f>
        <v>20200111160327644</v>
      </c>
      <c r="B5614" t="str">
        <f>"1578729807638536"</f>
        <v>1578729807638536</v>
      </c>
      <c r="C5614" t="s">
        <v>37</v>
      </c>
      <c r="D5614">
        <v>4.6986730000000003</v>
      </c>
      <c r="E5614">
        <v>0.513575</v>
      </c>
      <c r="F5614" t="s">
        <v>42</v>
      </c>
      <c r="G5614">
        <v>-229.98429999999999</v>
      </c>
      <c r="H5614">
        <v>1.0222979999999999</v>
      </c>
      <c r="I5614">
        <v>-61.914749999999998</v>
      </c>
      <c r="J5614">
        <v>-230.73750000000001</v>
      </c>
      <c r="K5614">
        <v>1.104236</v>
      </c>
      <c r="L5614">
        <v>-61.952119999999901</v>
      </c>
      <c r="M5614">
        <v>0.99961509999999998</v>
      </c>
      <c r="N5614">
        <v>0</v>
      </c>
      <c r="O5614">
        <v>2.3871730000000001E-2</v>
      </c>
      <c r="P5614">
        <v>0.99657859999999998</v>
      </c>
      <c r="Q5614">
        <v>-2.309195E-2</v>
      </c>
      <c r="R5614">
        <v>7.9360890000000003E-2</v>
      </c>
      <c r="S5614">
        <v>2.9925540000000002</v>
      </c>
      <c r="T5614">
        <v>-0.28852929999999999</v>
      </c>
      <c r="U5614">
        <v>0.1390991</v>
      </c>
      <c r="V5614">
        <v>-5.5552480000000001E-2</v>
      </c>
      <c r="W5614">
        <v>-8.9287469999999904E-3</v>
      </c>
      <c r="X5614">
        <v>0.99841579999999996</v>
      </c>
      <c r="Y5614">
        <v>-2.2576010000000001E-2</v>
      </c>
      <c r="Z5614">
        <v>-1.209562E-3</v>
      </c>
      <c r="AA5614">
        <v>0.99974439999999998</v>
      </c>
      <c r="AB5614">
        <v>18</v>
      </c>
      <c r="AC5614">
        <v>0.75320000000002096</v>
      </c>
      <c r="AD5614">
        <v>-8.1937999999999997E-2</v>
      </c>
      <c r="AE5614">
        <v>3.7369999999995601E-2</v>
      </c>
      <c r="AF5614">
        <v>-1.9151275756498099E-2</v>
      </c>
      <c r="AG5614">
        <v>-8.1937999999999997E-2</v>
      </c>
      <c r="AH5614">
        <v>0.74508147538463398</v>
      </c>
      <c r="AI5614">
        <v>96.273650234408095</v>
      </c>
      <c r="AJ5614">
        <v>91.472383564791599</v>
      </c>
      <c r="AK5614">
        <v>0.74981798602623795</v>
      </c>
    </row>
    <row r="5615" spans="1:37" x14ac:dyDescent="0.2">
      <c r="A5615" t="str">
        <f>"20200111160327655"</f>
        <v>20200111160327655</v>
      </c>
      <c r="B5615" t="str">
        <f>"1578729807648297"</f>
        <v>1578729807648297</v>
      </c>
      <c r="C5615" t="s">
        <v>37</v>
      </c>
      <c r="D5615">
        <v>4.7382970000000002</v>
      </c>
      <c r="E5615">
        <v>0.51345209999999997</v>
      </c>
      <c r="F5615" t="s">
        <v>42</v>
      </c>
      <c r="G5615">
        <v>-229.97730000000001</v>
      </c>
      <c r="H5615">
        <v>1.0309809999999999</v>
      </c>
      <c r="I5615">
        <v>-61.917259999999999</v>
      </c>
      <c r="J5615">
        <v>-230.6454</v>
      </c>
      <c r="K5615">
        <v>1.104236</v>
      </c>
      <c r="L5615">
        <v>-61.95026</v>
      </c>
      <c r="M5615">
        <v>0.99962209999999996</v>
      </c>
      <c r="N5615">
        <v>0</v>
      </c>
      <c r="O5615">
        <v>2.3576130000000001E-2</v>
      </c>
      <c r="P5615">
        <v>0.99662580000000001</v>
      </c>
      <c r="Q5615">
        <v>-2.282957E-2</v>
      </c>
      <c r="R5615">
        <v>7.8840339999999995E-2</v>
      </c>
      <c r="S5615">
        <v>2.9926300000000001</v>
      </c>
      <c r="T5615">
        <v>-0.2883192</v>
      </c>
      <c r="U5615">
        <v>0.1377563</v>
      </c>
      <c r="V5615">
        <v>-5.5325989999999999E-2</v>
      </c>
      <c r="W5615">
        <v>-8.6684420000000002E-3</v>
      </c>
      <c r="X5615">
        <v>0.99843069999999901</v>
      </c>
      <c r="Y5615">
        <v>-2.2422170000000002E-2</v>
      </c>
      <c r="Z5615">
        <v>-1.1876720000000001E-3</v>
      </c>
      <c r="AA5615">
        <v>0.99974789999999902</v>
      </c>
      <c r="AB5615">
        <v>18</v>
      </c>
      <c r="AC5615">
        <v>0.66809999999998104</v>
      </c>
      <c r="AD5615">
        <v>-7.3255000000000001E-2</v>
      </c>
      <c r="AE5615">
        <v>3.3000000000001202E-2</v>
      </c>
      <c r="AF5615">
        <v>-1.7033750857577201E-2</v>
      </c>
      <c r="AG5615">
        <v>-7.3255000000000001E-2</v>
      </c>
      <c r="AH5615">
        <v>0.66076766402462705</v>
      </c>
      <c r="AI5615">
        <v>96.324092007616997</v>
      </c>
      <c r="AJ5615">
        <v>91.476685351229705</v>
      </c>
      <c r="AK5615">
        <v>0.66503409650471301</v>
      </c>
    </row>
    <row r="5616" spans="1:37" x14ac:dyDescent="0.2">
      <c r="A5616" t="str">
        <f>"20200111160327667"</f>
        <v>20200111160327667</v>
      </c>
      <c r="B5616" t="str">
        <f>"1578729807658638"</f>
        <v>1578729807658638</v>
      </c>
      <c r="C5616" t="s">
        <v>37</v>
      </c>
      <c r="D5616">
        <v>4.7529690000000002</v>
      </c>
      <c r="E5616">
        <v>0.51335209999999998</v>
      </c>
      <c r="F5616" t="s">
        <v>42</v>
      </c>
      <c r="G5616">
        <v>-229.81829999999999</v>
      </c>
      <c r="H5616">
        <v>1.0246150000000001</v>
      </c>
      <c r="I5616">
        <v>-61.91234</v>
      </c>
      <c r="J5616">
        <v>-230.54730000000001</v>
      </c>
      <c r="K5616">
        <v>1.104236</v>
      </c>
      <c r="L5616">
        <v>-61.948329999999999</v>
      </c>
      <c r="M5616">
        <v>0.9996294</v>
      </c>
      <c r="N5616">
        <v>0</v>
      </c>
      <c r="O5616">
        <v>2.3261279999999999E-2</v>
      </c>
      <c r="P5616">
        <v>0.99665499999999996</v>
      </c>
      <c r="Q5616">
        <v>-2.2722699999999998E-2</v>
      </c>
      <c r="R5616">
        <v>7.8501489999999993E-2</v>
      </c>
      <c r="S5616">
        <v>2.99269099999999</v>
      </c>
      <c r="T5616">
        <v>-0.28807699999999897</v>
      </c>
      <c r="U5616">
        <v>0.1372681</v>
      </c>
      <c r="V5616">
        <v>-5.5301280000000001E-2</v>
      </c>
      <c r="W5616">
        <v>-8.5638290000000002E-3</v>
      </c>
      <c r="X5616">
        <v>0.99843300000000001</v>
      </c>
      <c r="Y5616">
        <v>-2.2571210000000001E-2</v>
      </c>
      <c r="Z5616">
        <v>-1.1492970000000001E-3</v>
      </c>
      <c r="AA5616">
        <v>0.99974459999999998</v>
      </c>
      <c r="AB5616">
        <v>18</v>
      </c>
      <c r="AC5616">
        <v>0.72900000000001297</v>
      </c>
      <c r="AD5616">
        <v>-7.96209999999999E-2</v>
      </c>
      <c r="AE5616">
        <v>3.5990000000005198E-2</v>
      </c>
      <c r="AF5616">
        <v>-1.87974039006082E-2</v>
      </c>
      <c r="AG5616">
        <v>-7.96209999999999E-2</v>
      </c>
      <c r="AH5616">
        <v>0.721059436114451</v>
      </c>
      <c r="AI5616">
        <v>96.299078026201201</v>
      </c>
      <c r="AJ5616">
        <v>91.493313831811193</v>
      </c>
      <c r="AK5616">
        <v>0.72568557684722701</v>
      </c>
    </row>
    <row r="5617" spans="1:37" x14ac:dyDescent="0.2">
      <c r="A5617" t="str">
        <f>"20200111160327678"</f>
        <v>20200111160327678</v>
      </c>
      <c r="B5617" t="str">
        <f>"1578729807668392"</f>
        <v>1578729807668392</v>
      </c>
      <c r="C5617" t="s">
        <v>37</v>
      </c>
      <c r="D5617">
        <v>4.7517610000000001</v>
      </c>
      <c r="E5617">
        <v>0.5132274</v>
      </c>
      <c r="F5617" t="s">
        <v>42</v>
      </c>
      <c r="G5617">
        <v>-229.8092</v>
      </c>
      <c r="H5617">
        <v>1.0330950000000001</v>
      </c>
      <c r="I5617">
        <v>-61.914529999999999</v>
      </c>
      <c r="J5617">
        <v>-230.46369999999999</v>
      </c>
      <c r="K5617">
        <v>1.104236</v>
      </c>
      <c r="L5617">
        <v>-61.946689999999997</v>
      </c>
      <c r="M5617">
        <v>0.99963570000000002</v>
      </c>
      <c r="N5617">
        <v>0</v>
      </c>
      <c r="O5617">
        <v>2.299238E-2</v>
      </c>
      <c r="P5617">
        <v>0.9966933</v>
      </c>
      <c r="Q5617">
        <v>-2.2670579999999999E-2</v>
      </c>
      <c r="R5617">
        <v>7.8029780000000007E-2</v>
      </c>
      <c r="S5617">
        <v>2.9926759999999999</v>
      </c>
      <c r="T5617">
        <v>-0.28839939999999997</v>
      </c>
      <c r="U5617">
        <v>0.1371155</v>
      </c>
      <c r="V5617">
        <v>-5.5097060000000003E-2</v>
      </c>
      <c r="W5617">
        <v>-8.5137189999999995E-3</v>
      </c>
      <c r="X5617">
        <v>0.99844469999999996</v>
      </c>
      <c r="Y5617">
        <v>-2.2787269999999998E-2</v>
      </c>
      <c r="Z5617">
        <v>-1.1143730000000001E-3</v>
      </c>
      <c r="AA5617">
        <v>0.99973969999999901</v>
      </c>
      <c r="AB5617">
        <v>18</v>
      </c>
      <c r="AC5617">
        <v>0.65449999999998398</v>
      </c>
      <c r="AD5617">
        <v>-7.1140999999999899E-2</v>
      </c>
      <c r="AE5617">
        <v>3.2159999999997503E-2</v>
      </c>
      <c r="AF5617">
        <v>-1.69022668012438E-2</v>
      </c>
      <c r="AG5617">
        <v>-7.1140999999999899E-2</v>
      </c>
      <c r="AH5617">
        <v>0.64743565319087304</v>
      </c>
      <c r="AI5617">
        <v>96.268453720260297</v>
      </c>
      <c r="AJ5617">
        <v>91.4954515198053</v>
      </c>
      <c r="AK5617">
        <v>0.65155172743744005</v>
      </c>
    </row>
    <row r="5618" spans="1:37" x14ac:dyDescent="0.2">
      <c r="A5618" t="str">
        <f>"20200111160327688"</f>
        <v>20200111160327688</v>
      </c>
      <c r="B5618" t="str">
        <f>"1578729807679126"</f>
        <v>1578729807679126</v>
      </c>
      <c r="C5618" t="s">
        <v>37</v>
      </c>
      <c r="D5618">
        <v>4.7617649999999996</v>
      </c>
      <c r="E5618">
        <v>0.51306770000000002</v>
      </c>
      <c r="F5618" t="s">
        <v>42</v>
      </c>
      <c r="G5618">
        <v>-229.6532</v>
      </c>
      <c r="H5618">
        <v>1.0260639999999901</v>
      </c>
      <c r="I5618">
        <v>-61.909790000000001</v>
      </c>
      <c r="J5618">
        <v>-230.37110000000001</v>
      </c>
      <c r="K5618">
        <v>1.1042350000000001</v>
      </c>
      <c r="L5618">
        <v>-61.944919999999897</v>
      </c>
      <c r="M5618">
        <v>0.99964259999999905</v>
      </c>
      <c r="N5618">
        <v>0</v>
      </c>
      <c r="O5618">
        <v>2.2694809999999999E-2</v>
      </c>
      <c r="P5618">
        <v>0.99672809999999901</v>
      </c>
      <c r="Q5618">
        <v>-2.2701840000000001E-2</v>
      </c>
      <c r="R5618">
        <v>7.7577080000000007E-2</v>
      </c>
      <c r="S5618">
        <v>2.9926759999999999</v>
      </c>
      <c r="T5618">
        <v>-0.28853699999999999</v>
      </c>
      <c r="U5618">
        <v>0.13677979999999901</v>
      </c>
      <c r="V5618">
        <v>-5.4940879999999997E-2</v>
      </c>
      <c r="W5618">
        <v>-8.5472410000000006E-3</v>
      </c>
      <c r="X5618">
        <v>0.99845300000000003</v>
      </c>
      <c r="Y5618">
        <v>-2.297074E-2</v>
      </c>
      <c r="Z5618">
        <v>-1.0774879999999999E-3</v>
      </c>
      <c r="AA5618">
        <v>0.9997355</v>
      </c>
      <c r="AB5618">
        <v>18</v>
      </c>
      <c r="AC5618">
        <v>0.71790000000001397</v>
      </c>
      <c r="AD5618">
        <v>-7.8171000000000199E-2</v>
      </c>
      <c r="AE5618">
        <v>3.51299999999952E-2</v>
      </c>
      <c r="AF5618">
        <v>-1.8606633552585398E-2</v>
      </c>
      <c r="AG5618">
        <v>-7.8171000000000199E-2</v>
      </c>
      <c r="AH5618">
        <v>0.71011293370746298</v>
      </c>
      <c r="AI5618">
        <v>96.279830125386596</v>
      </c>
      <c r="AJ5618">
        <v>91.5009411120067</v>
      </c>
      <c r="AK5618">
        <v>0.71464487031796498</v>
      </c>
    </row>
    <row r="5619" spans="1:37" x14ac:dyDescent="0.2">
      <c r="A5619" t="str">
        <f>"20200111160327700"</f>
        <v>20200111160327700</v>
      </c>
      <c r="B5619" t="str">
        <f>"1578729807688887"</f>
        <v>1578729807688887</v>
      </c>
      <c r="C5619" t="s">
        <v>37</v>
      </c>
      <c r="D5619">
        <v>4.8860250000000001</v>
      </c>
      <c r="E5619">
        <v>0.51292570000000004</v>
      </c>
      <c r="F5619" t="s">
        <v>42</v>
      </c>
      <c r="G5619">
        <v>-229.63939999999999</v>
      </c>
      <c r="H5619">
        <v>1.0335650000000001</v>
      </c>
      <c r="I5619">
        <v>-61.9116199999999</v>
      </c>
      <c r="J5619">
        <v>-230.27879999999999</v>
      </c>
      <c r="K5619">
        <v>1.1042350000000001</v>
      </c>
      <c r="L5619">
        <v>-61.943179999999998</v>
      </c>
      <c r="M5619">
        <v>0.99964929999999996</v>
      </c>
      <c r="N5619">
        <v>0</v>
      </c>
      <c r="O5619">
        <v>2.23982E-2</v>
      </c>
      <c r="P5619">
        <v>0.99677269999999896</v>
      </c>
      <c r="Q5619">
        <v>-2.2891599999999901E-2</v>
      </c>
      <c r="R5619">
        <v>7.6944490000000004E-2</v>
      </c>
      <c r="S5619">
        <v>2.9926149999999998</v>
      </c>
      <c r="T5619">
        <v>-0.28894109999999901</v>
      </c>
      <c r="U5619">
        <v>0.1368103</v>
      </c>
      <c r="V5619">
        <v>-5.4603239999999997E-2</v>
      </c>
      <c r="W5619">
        <v>-8.7392430000000007E-3</v>
      </c>
      <c r="X5619">
        <v>0.99846990000000002</v>
      </c>
      <c r="Y5619">
        <v>-2.3275690000000002E-2</v>
      </c>
      <c r="Z5619">
        <v>-1.035785E-3</v>
      </c>
      <c r="AA5619">
        <v>0.99972859999999997</v>
      </c>
      <c r="AB5619">
        <v>18</v>
      </c>
      <c r="AC5619">
        <v>0.63939999999999397</v>
      </c>
      <c r="AD5619">
        <v>-7.0669999999999997E-2</v>
      </c>
      <c r="AE5619">
        <v>3.1560000000013098E-2</v>
      </c>
      <c r="AF5619">
        <v>-1.7021811253311099E-2</v>
      </c>
      <c r="AG5619">
        <v>-7.0669999999999997E-2</v>
      </c>
      <c r="AH5619">
        <v>0.63224189540778597</v>
      </c>
      <c r="AI5619">
        <v>96.375575973713396</v>
      </c>
      <c r="AJ5619">
        <v>91.542198345750506</v>
      </c>
      <c r="AK5619">
        <v>0.63640694941772302</v>
      </c>
    </row>
    <row r="5620" spans="1:37" x14ac:dyDescent="0.2">
      <c r="A5620" t="str">
        <f>"20200111160327712"</f>
        <v>20200111160327712</v>
      </c>
      <c r="B5620" t="str">
        <f>"1578729807708407"</f>
        <v>1578729807708407</v>
      </c>
      <c r="C5620" t="s">
        <v>37</v>
      </c>
      <c r="D5620">
        <v>4.780627</v>
      </c>
      <c r="E5620">
        <v>0.51271270000000002</v>
      </c>
      <c r="F5620" t="s">
        <v>42</v>
      </c>
      <c r="G5620">
        <v>-229.48840000000001</v>
      </c>
      <c r="H5620">
        <v>1.027633</v>
      </c>
      <c r="I5620">
        <v>-61.907240000000002</v>
      </c>
      <c r="J5620">
        <v>-230.1849</v>
      </c>
      <c r="K5620">
        <v>1.104236</v>
      </c>
      <c r="L5620">
        <v>-61.941409999999998</v>
      </c>
      <c r="M5620">
        <v>0.99965599999999999</v>
      </c>
      <c r="N5620">
        <v>0</v>
      </c>
      <c r="O5620">
        <v>2.2096640000000001E-2</v>
      </c>
      <c r="P5620">
        <v>0.99681569999999997</v>
      </c>
      <c r="Q5620">
        <v>-2.2863970000000001E-2</v>
      </c>
      <c r="R5620">
        <v>7.6390739999999999E-2</v>
      </c>
      <c r="S5620">
        <v>2.992569</v>
      </c>
      <c r="T5620">
        <v>-0.29008809999999902</v>
      </c>
      <c r="U5620">
        <v>0.13604739999999901</v>
      </c>
      <c r="V5620">
        <v>-5.4350429999999998E-2</v>
      </c>
      <c r="W5620">
        <v>-8.7138679999999996E-3</v>
      </c>
      <c r="X5620">
        <v>0.99848389999999998</v>
      </c>
      <c r="Y5620">
        <v>-2.3321959999999999E-2</v>
      </c>
      <c r="Z5620">
        <v>-1.0085249999999999E-3</v>
      </c>
      <c r="AA5620">
        <v>0.99972749999999999</v>
      </c>
      <c r="AB5620">
        <v>18</v>
      </c>
      <c r="AC5620">
        <v>0.69649999999998602</v>
      </c>
      <c r="AD5620">
        <v>-7.6602999999999893E-2</v>
      </c>
      <c r="AE5620">
        <v>3.4169999999996002E-2</v>
      </c>
      <c r="AF5620">
        <v>-1.8546011467995002E-2</v>
      </c>
      <c r="AG5620">
        <v>-7.6602999999999893E-2</v>
      </c>
      <c r="AH5620">
        <v>0.68877348173475605</v>
      </c>
      <c r="AI5620">
        <v>96.343877817618903</v>
      </c>
      <c r="AJ5620">
        <v>91.542381524160405</v>
      </c>
      <c r="AK5620">
        <v>0.69326826214055803</v>
      </c>
    </row>
    <row r="5621" spans="1:37" x14ac:dyDescent="0.2">
      <c r="A5621" t="str">
        <f>"20200111160327723"</f>
        <v>20200111160327723</v>
      </c>
      <c r="B5621" t="str">
        <f>"1578729807719144"</f>
        <v>1578729807719144</v>
      </c>
      <c r="C5621" t="s">
        <v>37</v>
      </c>
      <c r="D5621">
        <v>4.7949199999999896</v>
      </c>
      <c r="E5621">
        <v>0.51262189999999996</v>
      </c>
      <c r="F5621" t="s">
        <v>42</v>
      </c>
      <c r="G5621">
        <v>-229.3306</v>
      </c>
      <c r="H5621">
        <v>1.020748</v>
      </c>
      <c r="I5621">
        <v>-61.902679999999997</v>
      </c>
      <c r="J5621">
        <v>-230.09119999999999</v>
      </c>
      <c r="K5621">
        <v>1.1042379999999901</v>
      </c>
      <c r="L5621">
        <v>-61.939700000000002</v>
      </c>
      <c r="M5621">
        <v>0.99966259999999996</v>
      </c>
      <c r="N5621">
        <v>0</v>
      </c>
      <c r="O5621">
        <v>2.1795620000000002E-2</v>
      </c>
      <c r="P5621">
        <v>0.996837999999999</v>
      </c>
      <c r="Q5621">
        <v>-2.3071319999999999E-2</v>
      </c>
      <c r="R5621">
        <v>7.6038289999999994E-2</v>
      </c>
      <c r="S5621">
        <v>2.9924469999999999</v>
      </c>
      <c r="T5621">
        <v>-0.29237190000000002</v>
      </c>
      <c r="U5621">
        <v>0.13619999999999999</v>
      </c>
      <c r="V5621">
        <v>-5.4297970000000001E-2</v>
      </c>
      <c r="W5621">
        <v>-8.9235589999999993E-3</v>
      </c>
      <c r="X5621">
        <v>0.99848490000000001</v>
      </c>
      <c r="Y5621">
        <v>-2.3672530000000001E-2</v>
      </c>
      <c r="Z5621">
        <v>-9.700749E-4</v>
      </c>
      <c r="AA5621">
        <v>0.99971929999999998</v>
      </c>
      <c r="AB5621">
        <v>18</v>
      </c>
      <c r="AC5621">
        <v>0.76059999999998196</v>
      </c>
      <c r="AD5621">
        <v>-8.34899999999998E-2</v>
      </c>
      <c r="AE5621">
        <v>3.70199999999982E-2</v>
      </c>
      <c r="AF5621">
        <v>-2.0189113785861901E-2</v>
      </c>
      <c r="AG5621">
        <v>-8.34899999999998E-2</v>
      </c>
      <c r="AH5621">
        <v>0.75218447457161697</v>
      </c>
      <c r="AI5621">
        <v>96.331455034255796</v>
      </c>
      <c r="AJ5621">
        <v>91.537486333398604</v>
      </c>
      <c r="AK5621">
        <v>0.75707309039619097</v>
      </c>
    </row>
    <row r="5622" spans="1:37" x14ac:dyDescent="0.2">
      <c r="A5622" t="str">
        <f>"20200111160327738"</f>
        <v>20200111160327738</v>
      </c>
      <c r="B5622" t="str">
        <f>"1578729807728903"</f>
        <v>1578729807728903</v>
      </c>
      <c r="C5622" t="s">
        <v>37</v>
      </c>
      <c r="D5622">
        <v>4.8065340000000001</v>
      </c>
      <c r="E5622">
        <v>0.51254739999999999</v>
      </c>
      <c r="F5622" t="s">
        <v>42</v>
      </c>
      <c r="G5622">
        <v>-229.32409999999999</v>
      </c>
      <c r="H5622">
        <v>1.0290109999999999</v>
      </c>
      <c r="I5622">
        <v>-61.905000000000001</v>
      </c>
      <c r="J5622">
        <v>-229.96809999999999</v>
      </c>
      <c r="K5622">
        <v>1.1042369999999999</v>
      </c>
      <c r="L5622">
        <v>-61.937469999999998</v>
      </c>
      <c r="M5622">
        <v>0.99967109999999904</v>
      </c>
      <c r="N5622">
        <v>0</v>
      </c>
      <c r="O5622">
        <v>2.140032E-2</v>
      </c>
      <c r="P5622">
        <v>0.99687320000000001</v>
      </c>
      <c r="Q5622">
        <v>-2.3640520000000002E-2</v>
      </c>
      <c r="R5622">
        <v>7.5399289999999994E-2</v>
      </c>
      <c r="S5622">
        <v>2.9923549999999999</v>
      </c>
      <c r="T5622">
        <v>-0.29338399999999998</v>
      </c>
      <c r="U5622">
        <v>0.1359253</v>
      </c>
      <c r="V5622">
        <v>-5.4053900000000002E-2</v>
      </c>
      <c r="W5622">
        <v>-9.4959320000000003E-3</v>
      </c>
      <c r="X5622">
        <v>0.99849279999999996</v>
      </c>
      <c r="Y5622">
        <v>-2.3974269999999999E-2</v>
      </c>
      <c r="Z5622">
        <v>-9.2006789999999998E-4</v>
      </c>
      <c r="AA5622">
        <v>0.99971219999999905</v>
      </c>
      <c r="AB5622">
        <v>18</v>
      </c>
      <c r="AC5622">
        <v>0.64400000000000501</v>
      </c>
      <c r="AD5622">
        <v>-7.5226000000000001E-2</v>
      </c>
      <c r="AE5622">
        <v>3.2469999999996398E-2</v>
      </c>
      <c r="AF5622">
        <v>-1.8428565165579801E-2</v>
      </c>
      <c r="AG5622">
        <v>-7.5226000000000001E-2</v>
      </c>
      <c r="AH5622">
        <v>0.63589285322992695</v>
      </c>
      <c r="AI5622">
        <v>96.743917649570307</v>
      </c>
      <c r="AJ5622">
        <v>91.660002227593495</v>
      </c>
      <c r="AK5622">
        <v>0.64059213535521997</v>
      </c>
    </row>
    <row r="5623" spans="1:37" x14ac:dyDescent="0.2">
      <c r="A5623" t="str">
        <f>"20200111160327751"</f>
        <v>20200111160327751</v>
      </c>
      <c r="B5623" t="str">
        <f>"1578729807748423"</f>
        <v>1578729807748423</v>
      </c>
      <c r="C5623" t="s">
        <v>37</v>
      </c>
      <c r="D5623">
        <v>4.8913970000000004</v>
      </c>
      <c r="E5623">
        <v>0.50765499999999997</v>
      </c>
      <c r="F5623" t="s">
        <v>42</v>
      </c>
      <c r="G5623">
        <v>-229.16460000000001</v>
      </c>
      <c r="H5623">
        <v>1.024867</v>
      </c>
      <c r="I5623">
        <v>-61.901330000000002</v>
      </c>
      <c r="J5623">
        <v>-229.86699999999999</v>
      </c>
      <c r="K5623">
        <v>1.1042379999999901</v>
      </c>
      <c r="L5623">
        <v>-61.935699999999997</v>
      </c>
      <c r="M5623">
        <v>0.99967819999999996</v>
      </c>
      <c r="N5623">
        <v>0</v>
      </c>
      <c r="O5623">
        <v>2.1075460000000001E-2</v>
      </c>
      <c r="P5623">
        <v>0.99689039999999995</v>
      </c>
      <c r="Q5623">
        <v>-2.3827950000000001E-2</v>
      </c>
      <c r="R5623">
        <v>7.5112129999999999E-2</v>
      </c>
      <c r="S5623">
        <v>2.9922179999999998</v>
      </c>
      <c r="T5623">
        <v>-0.29557030000000001</v>
      </c>
      <c r="U5623">
        <v>0.13458249999999999</v>
      </c>
      <c r="V5623">
        <v>-5.4090939999999997E-2</v>
      </c>
      <c r="W5623">
        <v>-9.6859259999999992E-3</v>
      </c>
      <c r="X5623">
        <v>0.99848899999999996</v>
      </c>
      <c r="Y5623">
        <v>-2.385234E-2</v>
      </c>
      <c r="Z5623">
        <v>-9.0096399999999997E-4</v>
      </c>
      <c r="AA5623">
        <v>0.99971509999999997</v>
      </c>
      <c r="AB5623">
        <v>18</v>
      </c>
      <c r="AC5623">
        <v>0.70240000000001102</v>
      </c>
      <c r="AD5623">
        <v>-7.9370999999999803E-2</v>
      </c>
      <c r="AE5623">
        <v>3.4369999999995501E-2</v>
      </c>
      <c r="AF5623">
        <v>-1.9311487705278501E-2</v>
      </c>
      <c r="AG5623">
        <v>-7.9370999999999803E-2</v>
      </c>
      <c r="AH5623">
        <v>0.69412631003874303</v>
      </c>
      <c r="AI5623">
        <v>96.520745212760403</v>
      </c>
      <c r="AJ5623">
        <v>91.593631275536396</v>
      </c>
      <c r="AK5623">
        <v>0.69891632080413801</v>
      </c>
    </row>
    <row r="5624" spans="1:37" x14ac:dyDescent="0.2">
      <c r="A5624" t="str">
        <f>"20200111160327763"</f>
        <v>20200111160327763</v>
      </c>
      <c r="B5624" t="str">
        <f>"1578729807758971"</f>
        <v>1578729807758971</v>
      </c>
      <c r="C5624" t="s">
        <v>37</v>
      </c>
      <c r="D5624">
        <v>4.9270870000000002</v>
      </c>
      <c r="E5624">
        <v>0.50757959999999902</v>
      </c>
      <c r="F5624" t="s">
        <v>42</v>
      </c>
      <c r="G5624">
        <v>-229.0068</v>
      </c>
      <c r="H5624">
        <v>1.01536</v>
      </c>
      <c r="I5624">
        <v>-61.886090000000003</v>
      </c>
      <c r="J5624">
        <v>-229.76519999999999</v>
      </c>
      <c r="K5624">
        <v>1.104239</v>
      </c>
      <c r="L5624">
        <v>-61.933929999999997</v>
      </c>
      <c r="M5624">
        <v>0.99968500000000005</v>
      </c>
      <c r="N5624">
        <v>0</v>
      </c>
      <c r="O5624">
        <v>2.0748579999999999E-2</v>
      </c>
      <c r="P5624">
        <v>0.99689819999999996</v>
      </c>
      <c r="Q5624">
        <v>-2.407927E-2</v>
      </c>
      <c r="R5624">
        <v>7.4928560000000005E-2</v>
      </c>
      <c r="S5624">
        <v>2.9889220000000001</v>
      </c>
      <c r="T5624">
        <v>-0.30876599999999998</v>
      </c>
      <c r="U5624">
        <v>0.1730652</v>
      </c>
      <c r="V5624">
        <v>-5.423364E-2</v>
      </c>
      <c r="W5624">
        <v>-9.9398030000000005E-3</v>
      </c>
      <c r="X5624">
        <v>0.9984788</v>
      </c>
      <c r="Y5624">
        <v>-3.6990870000000002E-2</v>
      </c>
      <c r="Z5624">
        <v>-2.317249E-4</v>
      </c>
      <c r="AA5624">
        <v>0.99931559999999897</v>
      </c>
      <c r="AB5624">
        <v>18</v>
      </c>
      <c r="AC5624">
        <v>0.75839999999999397</v>
      </c>
      <c r="AD5624">
        <v>-8.8878999999999903E-2</v>
      </c>
      <c r="AE5624">
        <v>4.7840000000000701E-2</v>
      </c>
      <c r="AF5624">
        <v>-3.16593166805701E-2</v>
      </c>
      <c r="AG5624">
        <v>-8.8878999999999903E-2</v>
      </c>
      <c r="AH5624">
        <v>0.74898353395070405</v>
      </c>
      <c r="AI5624">
        <v>96.761441287755204</v>
      </c>
      <c r="AJ5624">
        <v>92.420435109867995</v>
      </c>
      <c r="AK5624">
        <v>0.75490272426516403</v>
      </c>
    </row>
    <row r="5625" spans="1:37" x14ac:dyDescent="0.2">
      <c r="A5625" t="str">
        <f>"20200111160327774"</f>
        <v>20200111160327774</v>
      </c>
      <c r="B5625" t="str">
        <f>"1578729807768712"</f>
        <v>1578729807768712</v>
      </c>
      <c r="C5625" t="s">
        <v>37</v>
      </c>
      <c r="D5625">
        <v>4.8711970000000004</v>
      </c>
      <c r="E5625">
        <v>0.50757959999999902</v>
      </c>
      <c r="F5625" t="s">
        <v>42</v>
      </c>
      <c r="G5625">
        <v>-228.9992</v>
      </c>
      <c r="H5625">
        <v>1.026052</v>
      </c>
      <c r="I5625">
        <v>-61.889830000000003</v>
      </c>
      <c r="J5625">
        <v>-229.67359999999999</v>
      </c>
      <c r="K5625">
        <v>1.1042369999999999</v>
      </c>
      <c r="L5625">
        <v>-61.932369999999999</v>
      </c>
      <c r="M5625">
        <v>0.9996912</v>
      </c>
      <c r="N5625">
        <v>0</v>
      </c>
      <c r="O5625">
        <v>2.0454650000000001E-2</v>
      </c>
      <c r="P5625">
        <v>0.99690970000000001</v>
      </c>
      <c r="Q5625">
        <v>-2.4349389999999999E-2</v>
      </c>
      <c r="R5625">
        <v>7.4688290000000004E-2</v>
      </c>
      <c r="S5625">
        <v>2.988998</v>
      </c>
      <c r="T5625">
        <v>-0.30501119999999998</v>
      </c>
      <c r="U5625">
        <v>0.17288210000000001</v>
      </c>
      <c r="V5625">
        <v>-5.428682E-2</v>
      </c>
      <c r="W5625">
        <v>-1.0212229999999999E-2</v>
      </c>
      <c r="X5625">
        <v>0.99847319999999995</v>
      </c>
      <c r="Y5625">
        <v>-3.7221560000000001E-2</v>
      </c>
      <c r="Z5625">
        <v>-1.873058E-4</v>
      </c>
      <c r="AA5625">
        <v>0.99930699999999995</v>
      </c>
      <c r="AB5625">
        <v>18</v>
      </c>
      <c r="AC5625">
        <v>0.67439999999999101</v>
      </c>
      <c r="AD5625">
        <v>-7.8185000000000102E-2</v>
      </c>
      <c r="AE5625">
        <v>4.2539999999995297E-2</v>
      </c>
      <c r="AF5625">
        <v>-2.8355509942873999E-2</v>
      </c>
      <c r="AG5625">
        <v>-7.8185000000000102E-2</v>
      </c>
      <c r="AH5625">
        <v>0.66621046257741701</v>
      </c>
      <c r="AI5625">
        <v>96.687489965677599</v>
      </c>
      <c r="AJ5625">
        <v>92.437174365242299</v>
      </c>
      <c r="AK5625">
        <v>0.67138164229947295</v>
      </c>
    </row>
    <row r="5626" spans="1:37" x14ac:dyDescent="0.2">
      <c r="A5626" t="str">
        <f>"20200111160327785"</f>
        <v>20200111160327785</v>
      </c>
      <c r="B5626" t="str">
        <f>"1578729807778471"</f>
        <v>1578729807778471</v>
      </c>
      <c r="C5626" t="s">
        <v>37</v>
      </c>
      <c r="D5626">
        <v>4.982774</v>
      </c>
      <c r="E5626">
        <v>0.50641550000000002</v>
      </c>
      <c r="F5626" t="s">
        <v>42</v>
      </c>
      <c r="G5626">
        <v>-228.84180000000001</v>
      </c>
      <c r="H5626">
        <v>1.0191239999999999</v>
      </c>
      <c r="I5626">
        <v>-61.88449</v>
      </c>
      <c r="J5626">
        <v>-229.58260000000001</v>
      </c>
      <c r="K5626">
        <v>1.104233</v>
      </c>
      <c r="L5626">
        <v>-61.93085</v>
      </c>
      <c r="M5626">
        <v>0.99969710000000001</v>
      </c>
      <c r="N5626">
        <v>0</v>
      </c>
      <c r="O5626">
        <v>2.0162340000000001E-2</v>
      </c>
      <c r="P5626">
        <v>0.99693690000000001</v>
      </c>
      <c r="Q5626">
        <v>-2.407714E-2</v>
      </c>
      <c r="R5626">
        <v>7.4414899999999895E-2</v>
      </c>
      <c r="S5626">
        <v>2.988937</v>
      </c>
      <c r="T5626">
        <v>-0.30579459999999897</v>
      </c>
      <c r="U5626">
        <v>0.1721191</v>
      </c>
      <c r="V5626">
        <v>-5.4304579999999998E-2</v>
      </c>
      <c r="W5626">
        <v>-9.9421470000000001E-3</v>
      </c>
      <c r="X5626">
        <v>0.99847489999999905</v>
      </c>
      <c r="Y5626">
        <v>-3.7258550000000001E-2</v>
      </c>
      <c r="Z5626">
        <v>-1.5611149999999999E-4</v>
      </c>
      <c r="AA5626">
        <v>0.99930569999999896</v>
      </c>
      <c r="AB5626">
        <v>18</v>
      </c>
      <c r="AC5626">
        <v>0.74080000000000701</v>
      </c>
      <c r="AD5626">
        <v>-8.5109000000000101E-2</v>
      </c>
      <c r="AE5626">
        <v>4.6359999999999901E-2</v>
      </c>
      <c r="AF5626">
        <v>-3.1005176418159398E-2</v>
      </c>
      <c r="AG5626">
        <v>-8.5109000000000101E-2</v>
      </c>
      <c r="AH5626">
        <v>0.73196056328363901</v>
      </c>
      <c r="AI5626">
        <v>96.626417312761006</v>
      </c>
      <c r="AJ5626">
        <v>92.425546517149996</v>
      </c>
      <c r="AK5626">
        <v>0.73754398448378899</v>
      </c>
    </row>
    <row r="5627" spans="1:37" x14ac:dyDescent="0.2">
      <c r="A5627" t="str">
        <f>"20200111160327797"</f>
        <v>20200111160327797</v>
      </c>
      <c r="B5627" t="str">
        <f>"1578729807789208"</f>
        <v>1578729807789208</v>
      </c>
      <c r="C5627" t="s">
        <v>37</v>
      </c>
      <c r="D5627">
        <v>4.9667909999999997</v>
      </c>
      <c r="E5627">
        <v>0.50590009999999996</v>
      </c>
      <c r="F5627" t="s">
        <v>99</v>
      </c>
      <c r="G5627">
        <v>-218.72559999999999</v>
      </c>
      <c r="H5627" s="1">
        <v>-2.9495470000000001E-6</v>
      </c>
      <c r="I5627">
        <v>-61.275329999999997</v>
      </c>
      <c r="J5627">
        <v>-229.49610000000001</v>
      </c>
      <c r="K5627">
        <v>1.104231</v>
      </c>
      <c r="L5627">
        <v>-61.929409999999997</v>
      </c>
      <c r="M5627">
        <v>0.9997026</v>
      </c>
      <c r="N5627">
        <v>0</v>
      </c>
      <c r="O5627">
        <v>1.9884860000000001E-2</v>
      </c>
      <c r="P5627">
        <v>0.99693639999999994</v>
      </c>
      <c r="Q5627">
        <v>-2.4190139999999999E-2</v>
      </c>
      <c r="R5627">
        <v>7.4380169999999995E-2</v>
      </c>
      <c r="S5627">
        <v>2.9884339999999998</v>
      </c>
      <c r="T5627">
        <v>-0.30394599999999999</v>
      </c>
      <c r="U5627">
        <v>0.18041989999999999</v>
      </c>
      <c r="V5627">
        <v>-5.4546860000000003E-2</v>
      </c>
      <c r="W5627">
        <v>-1.005734E-2</v>
      </c>
      <c r="X5627">
        <v>0.99846049999999997</v>
      </c>
      <c r="Y5627">
        <v>-4.0295520000000001E-2</v>
      </c>
      <c r="Z5627" s="1">
        <v>2.6846540000000001E-5</v>
      </c>
      <c r="AA5627">
        <v>0.99918779999999996</v>
      </c>
      <c r="AB5627">
        <v>18</v>
      </c>
      <c r="AC5627">
        <v>10.7705</v>
      </c>
      <c r="AD5627">
        <v>-1.1042339495469999</v>
      </c>
      <c r="AE5627">
        <v>0.654079999999993</v>
      </c>
      <c r="AF5627">
        <v>-0.43520175238801301</v>
      </c>
      <c r="AG5627">
        <v>-1.1042339495469999</v>
      </c>
      <c r="AH5627">
        <v>10.669639431701899</v>
      </c>
      <c r="AI5627">
        <v>95.903807152359406</v>
      </c>
      <c r="AJ5627">
        <v>92.335731130969904</v>
      </c>
      <c r="AK5627">
        <v>10.735452425638201</v>
      </c>
    </row>
    <row r="5628" spans="1:37" x14ac:dyDescent="0.2">
      <c r="A5628" t="str">
        <f>"20200111160327807"</f>
        <v>20200111160327807</v>
      </c>
      <c r="B5628" t="str">
        <f>"1578729807798968"</f>
        <v>1578729807798968</v>
      </c>
      <c r="C5628" t="s">
        <v>37</v>
      </c>
      <c r="D5628">
        <v>4.8900249999999996</v>
      </c>
      <c r="E5628">
        <v>0.5052915</v>
      </c>
      <c r="F5628" t="s">
        <v>42</v>
      </c>
      <c r="G5628">
        <v>-228.67959999999999</v>
      </c>
      <c r="H5628">
        <v>1.018545</v>
      </c>
      <c r="I5628">
        <v>-61.879010000000001</v>
      </c>
      <c r="J5628">
        <v>-229.4042</v>
      </c>
      <c r="K5628">
        <v>1.1042319999999901</v>
      </c>
      <c r="L5628">
        <v>-61.927919999999901</v>
      </c>
      <c r="M5628">
        <v>0.999708499999999</v>
      </c>
      <c r="N5628">
        <v>0</v>
      </c>
      <c r="O5628">
        <v>1.958998E-2</v>
      </c>
      <c r="P5628">
        <v>0.99693140000000002</v>
      </c>
      <c r="Q5628">
        <v>-2.4315409999999999E-2</v>
      </c>
      <c r="R5628">
        <v>7.4408749999999996E-2</v>
      </c>
      <c r="S5628">
        <v>2.9878390000000001</v>
      </c>
      <c r="T5628">
        <v>-0.3135327</v>
      </c>
      <c r="U5628">
        <v>0.1847839</v>
      </c>
      <c r="V5628">
        <v>-5.4870059999999998E-2</v>
      </c>
      <c r="W5628">
        <v>-1.018494E-2</v>
      </c>
      <c r="X5628">
        <v>0.99844159999999904</v>
      </c>
      <c r="Y5628">
        <v>-4.2038249999999999E-2</v>
      </c>
      <c r="Z5628">
        <v>1.496209E-4</v>
      </c>
      <c r="AA5628">
        <v>0.999116</v>
      </c>
      <c r="AB5628">
        <v>18</v>
      </c>
      <c r="AC5628">
        <v>0.72460000000000901</v>
      </c>
      <c r="AD5628">
        <v>-8.5686999999999805E-2</v>
      </c>
      <c r="AE5628">
        <v>4.8909999999992203E-2</v>
      </c>
      <c r="AF5628">
        <v>-3.4227826021493997E-2</v>
      </c>
      <c r="AG5628">
        <v>-8.5686999999999805E-2</v>
      </c>
      <c r="AH5628">
        <v>0.71545951181844603</v>
      </c>
      <c r="AI5628">
        <v>96.821770630820197</v>
      </c>
      <c r="AJ5628">
        <v>92.738961271990505</v>
      </c>
      <c r="AK5628">
        <v>0.72138486198051499</v>
      </c>
    </row>
    <row r="5629" spans="1:37" x14ac:dyDescent="0.2">
      <c r="A5629" t="str">
        <f>"20200111160327821"</f>
        <v>20200111160327821</v>
      </c>
      <c r="B5629" t="str">
        <f>"1578729807808728"</f>
        <v>1578729807808728</v>
      </c>
      <c r="C5629" t="s">
        <v>37</v>
      </c>
      <c r="D5629">
        <v>4.9014639999999998</v>
      </c>
      <c r="E5629">
        <v>0.50477179999999999</v>
      </c>
      <c r="F5629" t="s">
        <v>42</v>
      </c>
      <c r="G5629">
        <v>-228.66630000000001</v>
      </c>
      <c r="H5629">
        <v>1.025342</v>
      </c>
      <c r="I5629">
        <v>-61.88111</v>
      </c>
      <c r="J5629">
        <v>-229.30359999999999</v>
      </c>
      <c r="K5629">
        <v>1.104231</v>
      </c>
      <c r="L5629">
        <v>-61.92633</v>
      </c>
      <c r="M5629">
        <v>0.99971489999999996</v>
      </c>
      <c r="N5629">
        <v>0</v>
      </c>
      <c r="O5629">
        <v>1.926667E-2</v>
      </c>
      <c r="P5629">
        <v>0.99693089999999995</v>
      </c>
      <c r="Q5629">
        <v>-2.4158789999999999E-2</v>
      </c>
      <c r="R5629">
        <v>7.4468889999999996E-2</v>
      </c>
      <c r="S5629">
        <v>2.9873050000000001</v>
      </c>
      <c r="T5629">
        <v>-0.31930370000000002</v>
      </c>
      <c r="U5629">
        <v>0.18988039999999901</v>
      </c>
      <c r="V5629">
        <v>-5.5252910000000002E-2</v>
      </c>
      <c r="W5629">
        <v>-1.003075E-2</v>
      </c>
      <c r="X5629">
        <v>0.99842199999999903</v>
      </c>
      <c r="Y5629">
        <v>-4.4052300000000003E-2</v>
      </c>
      <c r="Z5629">
        <v>2.9402550000000001E-4</v>
      </c>
      <c r="AA5629">
        <v>0.99902919999999995</v>
      </c>
      <c r="AB5629">
        <v>18</v>
      </c>
      <c r="AC5629">
        <v>0.63729999999998199</v>
      </c>
      <c r="AD5629">
        <v>-7.8888999999999904E-2</v>
      </c>
      <c r="AE5629">
        <v>4.5220000000007497E-2</v>
      </c>
      <c r="AF5629">
        <v>-3.2437187860179698E-2</v>
      </c>
      <c r="AG5629">
        <v>-7.8888999999999904E-2</v>
      </c>
      <c r="AH5629">
        <v>0.62847115678193699</v>
      </c>
      <c r="AI5629">
        <v>97.145233907487395</v>
      </c>
      <c r="AJ5629">
        <v>92.954576811267998</v>
      </c>
      <c r="AK5629">
        <v>0.63423311202120503</v>
      </c>
    </row>
    <row r="5630" spans="1:37" x14ac:dyDescent="0.2">
      <c r="A5630" t="str">
        <f>"20200111160327834"</f>
        <v>20200111160327834</v>
      </c>
      <c r="B5630" t="str">
        <f>"1578729807829224"</f>
        <v>1578729807829224</v>
      </c>
      <c r="C5630" t="s">
        <v>37</v>
      </c>
      <c r="D5630">
        <v>4.9734730000000003</v>
      </c>
      <c r="E5630">
        <v>0.50397510000000001</v>
      </c>
      <c r="F5630" t="s">
        <v>42</v>
      </c>
      <c r="G5630">
        <v>-228.51750000000001</v>
      </c>
      <c r="H5630">
        <v>1.018845</v>
      </c>
      <c r="I5630">
        <v>-61.875259999999997</v>
      </c>
      <c r="J5630">
        <v>-229.19560000000001</v>
      </c>
      <c r="K5630">
        <v>1.104233</v>
      </c>
      <c r="L5630">
        <v>-61.92465</v>
      </c>
      <c r="M5630">
        <v>0.99972150000000004</v>
      </c>
      <c r="N5630">
        <v>0</v>
      </c>
      <c r="O5630">
        <v>1.8920240000000001E-2</v>
      </c>
      <c r="P5630">
        <v>0.99693259999999995</v>
      </c>
      <c r="Q5630">
        <v>-2.4228449999999999E-2</v>
      </c>
      <c r="R5630">
        <v>7.4420570000000005E-2</v>
      </c>
      <c r="S5630">
        <v>2.986847</v>
      </c>
      <c r="T5630">
        <v>-0.32438149999999999</v>
      </c>
      <c r="U5630">
        <v>0.19424439999999901</v>
      </c>
      <c r="V5630">
        <v>-5.5550429999999998E-2</v>
      </c>
      <c r="W5630">
        <v>-1.010308E-2</v>
      </c>
      <c r="X5630">
        <v>0.99840469999999903</v>
      </c>
      <c r="Y5630">
        <v>-4.5844719999999999E-2</v>
      </c>
      <c r="Z5630">
        <v>4.331181E-4</v>
      </c>
      <c r="AA5630">
        <v>0.99894850000000002</v>
      </c>
      <c r="AB5630">
        <v>18</v>
      </c>
      <c r="AC5630">
        <v>0.67810000000000004</v>
      </c>
      <c r="AD5630">
        <v>-8.5388000000000006E-2</v>
      </c>
      <c r="AE5630">
        <v>4.9390000000002397E-2</v>
      </c>
      <c r="AF5630">
        <v>-3.5982521584783003E-2</v>
      </c>
      <c r="AG5630">
        <v>-8.5388000000000006E-2</v>
      </c>
      <c r="AH5630">
        <v>0.66837108503009601</v>
      </c>
      <c r="AI5630">
        <v>97.269991038201297</v>
      </c>
      <c r="AJ5630">
        <v>93.081608926643099</v>
      </c>
      <c r="AK5630">
        <v>0.67476348427275401</v>
      </c>
    </row>
    <row r="5631" spans="1:37" x14ac:dyDescent="0.2">
      <c r="A5631" t="str">
        <f>"20200111160327851"</f>
        <v>20200111160327851</v>
      </c>
      <c r="B5631" t="str">
        <f>"1578729807848746"</f>
        <v>1578729807848746</v>
      </c>
      <c r="C5631" t="s">
        <v>37</v>
      </c>
      <c r="D5631">
        <v>4.9478989999999996</v>
      </c>
      <c r="E5631">
        <v>0.50353809999999999</v>
      </c>
      <c r="F5631" t="s">
        <v>42</v>
      </c>
      <c r="G5631">
        <v>-228.36099999999999</v>
      </c>
      <c r="H5631">
        <v>1.0115430000000001</v>
      </c>
      <c r="I5631">
        <v>-61.86871</v>
      </c>
      <c r="J5631">
        <v>-229.05420000000001</v>
      </c>
      <c r="K5631">
        <v>1.104233</v>
      </c>
      <c r="L5631">
        <v>-61.922519999999999</v>
      </c>
      <c r="M5631">
        <v>0.99973009999999995</v>
      </c>
      <c r="N5631">
        <v>0</v>
      </c>
      <c r="O5631">
        <v>1.8466409999999999E-2</v>
      </c>
      <c r="P5631">
        <v>0.99692060000000005</v>
      </c>
      <c r="Q5631">
        <v>-2.3766160000000001E-2</v>
      </c>
      <c r="R5631">
        <v>7.4733300000000003E-2</v>
      </c>
      <c r="S5631">
        <v>2.986221</v>
      </c>
      <c r="T5631">
        <v>-0.33160909999999999</v>
      </c>
      <c r="U5631">
        <v>0.2005615</v>
      </c>
      <c r="V5631">
        <v>-5.6316190000000002E-2</v>
      </c>
      <c r="W5631">
        <v>-9.6442239999999999E-3</v>
      </c>
      <c r="X5631">
        <v>0.99836639999999999</v>
      </c>
      <c r="Y5631">
        <v>-4.8390130000000003E-2</v>
      </c>
      <c r="Z5631">
        <v>6.3369000000000001E-4</v>
      </c>
      <c r="AA5631">
        <v>0.9988283</v>
      </c>
      <c r="AB5631">
        <v>18</v>
      </c>
      <c r="AC5631">
        <v>0.69320000000001802</v>
      </c>
      <c r="AD5631">
        <v>-9.2689999999999897E-2</v>
      </c>
      <c r="AE5631">
        <v>5.3809999999998498E-2</v>
      </c>
      <c r="AF5631">
        <v>-4.0282725094708503E-2</v>
      </c>
      <c r="AG5631">
        <v>-9.2689999999999897E-2</v>
      </c>
      <c r="AH5631">
        <v>0.68195574059452102</v>
      </c>
      <c r="AI5631">
        <v>97.726787309973204</v>
      </c>
      <c r="AJ5631">
        <v>93.380499956759905</v>
      </c>
      <c r="AK5631">
        <v>0.68940392091347802</v>
      </c>
    </row>
    <row r="5632" spans="1:37" x14ac:dyDescent="0.2">
      <c r="A5632" t="str">
        <f>"20200111160327863"</f>
        <v>20200111160327863</v>
      </c>
      <c r="B5632" t="str">
        <f>"1578729807858503"</f>
        <v>1578729807858503</v>
      </c>
      <c r="C5632" t="s">
        <v>37</v>
      </c>
      <c r="D5632">
        <v>4.9657919999999898</v>
      </c>
      <c r="E5632">
        <v>0.50336130000000001</v>
      </c>
      <c r="F5632" t="s">
        <v>42</v>
      </c>
      <c r="G5632">
        <v>-228.202</v>
      </c>
      <c r="H5632">
        <v>1.0084</v>
      </c>
      <c r="I5632">
        <v>-61.864059999999903</v>
      </c>
      <c r="J5632">
        <v>-228.95599999999999</v>
      </c>
      <c r="K5632">
        <v>1.1042369999999999</v>
      </c>
      <c r="L5632">
        <v>-61.921080000000003</v>
      </c>
      <c r="M5632">
        <v>0.99973590000000001</v>
      </c>
      <c r="N5632">
        <v>0</v>
      </c>
      <c r="O5632">
        <v>1.8151270000000001E-2</v>
      </c>
      <c r="P5632">
        <v>0.99693589999999999</v>
      </c>
      <c r="Q5632">
        <v>-2.325961E-2</v>
      </c>
      <c r="R5632">
        <v>7.4686799999999998E-2</v>
      </c>
      <c r="S5632">
        <v>2.9859009999999899</v>
      </c>
      <c r="T5632">
        <v>-0.33572360000000001</v>
      </c>
      <c r="U5632">
        <v>0.20498659999999999</v>
      </c>
      <c r="V5632">
        <v>-5.6583519999999998E-2</v>
      </c>
      <c r="W5632">
        <v>-9.1400300000000004E-3</v>
      </c>
      <c r="X5632">
        <v>0.99835599999999902</v>
      </c>
      <c r="Y5632">
        <v>-5.0167829999999997E-2</v>
      </c>
      <c r="Z5632">
        <v>7.7632539999999896E-4</v>
      </c>
      <c r="AA5632">
        <v>0.99874050000000003</v>
      </c>
      <c r="AB5632">
        <v>18</v>
      </c>
      <c r="AC5632">
        <v>0.75399999999999001</v>
      </c>
      <c r="AD5632">
        <v>-9.5837000000000103E-2</v>
      </c>
      <c r="AE5632">
        <v>5.7020000000008501E-2</v>
      </c>
      <c r="AF5632">
        <v>-4.2638256396233497E-2</v>
      </c>
      <c r="AG5632">
        <v>-9.5837000000000103E-2</v>
      </c>
      <c r="AH5632">
        <v>0.74297586009196603</v>
      </c>
      <c r="AI5632">
        <v>97.338097108930697</v>
      </c>
      <c r="AJ5632">
        <v>93.2845151613718</v>
      </c>
      <c r="AK5632">
        <v>0.75034384128671805</v>
      </c>
    </row>
    <row r="5633" spans="1:37" x14ac:dyDescent="0.2">
      <c r="A5633" t="str">
        <f>"20200111160327875"</f>
        <v>20200111160327875</v>
      </c>
      <c r="B5633" t="str">
        <f>"1578729807869091"</f>
        <v>1578729807869091</v>
      </c>
      <c r="C5633" t="s">
        <v>37</v>
      </c>
      <c r="D5633">
        <v>5.0082620000000002</v>
      </c>
      <c r="E5633">
        <v>0.50313750000000002</v>
      </c>
      <c r="F5633" t="s">
        <v>42</v>
      </c>
      <c r="G5633">
        <v>-228.1951</v>
      </c>
      <c r="H5633">
        <v>1.0184229999999901</v>
      </c>
      <c r="I5633">
        <v>-61.868559999999903</v>
      </c>
      <c r="J5633">
        <v>-228.85470000000001</v>
      </c>
      <c r="K5633">
        <v>1.1042379999999901</v>
      </c>
      <c r="L5633">
        <v>-61.919589999999999</v>
      </c>
      <c r="M5633">
        <v>0.99974189999999996</v>
      </c>
      <c r="N5633">
        <v>0</v>
      </c>
      <c r="O5633">
        <v>1.7825879999999999E-2</v>
      </c>
      <c r="P5633">
        <v>0.9969751</v>
      </c>
      <c r="Q5633">
        <v>-2.3135679999999999E-2</v>
      </c>
      <c r="R5633">
        <v>7.4200459999999996E-2</v>
      </c>
      <c r="S5633">
        <v>2.9859009999999899</v>
      </c>
      <c r="T5633">
        <v>-0.33670240000000001</v>
      </c>
      <c r="U5633">
        <v>0.20626829999999999</v>
      </c>
      <c r="V5633">
        <v>-5.6421260000000001E-2</v>
      </c>
      <c r="W5633">
        <v>-9.0185969999999997E-3</v>
      </c>
      <c r="X5633">
        <v>0.99836630000000004</v>
      </c>
      <c r="Y5633">
        <v>-5.0911680000000001E-2</v>
      </c>
      <c r="Z5633">
        <v>8.5684520000000003E-4</v>
      </c>
      <c r="AA5633">
        <v>0.9987028</v>
      </c>
      <c r="AB5633">
        <v>18</v>
      </c>
      <c r="AC5633">
        <v>0.65960000000001096</v>
      </c>
      <c r="AD5633">
        <v>-8.5814999999999905E-2</v>
      </c>
      <c r="AE5633">
        <v>5.1030000000004301E-2</v>
      </c>
      <c r="AF5633">
        <v>-3.8613080617496999E-2</v>
      </c>
      <c r="AG5633">
        <v>-8.5814999999999905E-2</v>
      </c>
      <c r="AH5633">
        <v>0.64947700456403401</v>
      </c>
      <c r="AI5633">
        <v>97.513741335909501</v>
      </c>
      <c r="AJ5633">
        <v>93.4023767358144</v>
      </c>
      <c r="AK5633">
        <v>0.65625876274320605</v>
      </c>
    </row>
    <row r="5634" spans="1:37" x14ac:dyDescent="0.2">
      <c r="A5634" t="str">
        <f>"20200111160327887"</f>
        <v>20200111160327887</v>
      </c>
      <c r="B5634" t="str">
        <f>"1578729807878852"</f>
        <v>1578729807878852</v>
      </c>
      <c r="C5634" t="s">
        <v>37</v>
      </c>
      <c r="D5634">
        <v>5.0140799999999999</v>
      </c>
      <c r="E5634">
        <v>0.50318130000000005</v>
      </c>
      <c r="F5634" t="s">
        <v>42</v>
      </c>
      <c r="G5634">
        <v>-228.03909999999999</v>
      </c>
      <c r="H5634">
        <v>1.0117229999999999</v>
      </c>
      <c r="I5634">
        <v>-61.863309999999998</v>
      </c>
      <c r="J5634">
        <v>-228.7594</v>
      </c>
      <c r="K5634">
        <v>1.1042399999999899</v>
      </c>
      <c r="L5634">
        <v>-61.918239999999997</v>
      </c>
      <c r="M5634">
        <v>0.99974719999999995</v>
      </c>
      <c r="N5634">
        <v>0</v>
      </c>
      <c r="O5634">
        <v>1.7520150000000002E-2</v>
      </c>
      <c r="P5634">
        <v>0.99698690000000001</v>
      </c>
      <c r="Q5634">
        <v>-2.3136819999999999E-2</v>
      </c>
      <c r="R5634">
        <v>7.4041199999999904E-2</v>
      </c>
      <c r="S5634">
        <v>2.9858859999999998</v>
      </c>
      <c r="T5634">
        <v>-0.3385473</v>
      </c>
      <c r="U5634">
        <v>0.20669560000000001</v>
      </c>
      <c r="V5634">
        <v>-5.6566930000000001E-2</v>
      </c>
      <c r="W5634">
        <v>-9.0221439999999993E-3</v>
      </c>
      <c r="X5634">
        <v>0.99835810000000003</v>
      </c>
      <c r="Y5634">
        <v>-5.1352589999999997E-2</v>
      </c>
      <c r="Z5634">
        <v>9.2089869999999999E-4</v>
      </c>
      <c r="AA5634">
        <v>0.99868020000000002</v>
      </c>
      <c r="AB5634">
        <v>18</v>
      </c>
      <c r="AC5634">
        <v>0.72030000000000804</v>
      </c>
      <c r="AD5634">
        <v>-9.2516999999999905E-2</v>
      </c>
      <c r="AE5634">
        <v>5.4930000000005898E-2</v>
      </c>
      <c r="AF5634">
        <v>-4.16179308724429E-2</v>
      </c>
      <c r="AG5634">
        <v>-9.2516999999999905E-2</v>
      </c>
      <c r="AH5634">
        <v>0.70951441224354095</v>
      </c>
      <c r="AI5634">
        <v>97.416550670067195</v>
      </c>
      <c r="AJ5634">
        <v>93.356947532509594</v>
      </c>
      <c r="AK5634">
        <v>0.716730178407747</v>
      </c>
    </row>
    <row r="5635" spans="1:37" x14ac:dyDescent="0.2">
      <c r="A5635" t="str">
        <f>"20200111160327899"</f>
        <v>20200111160327899</v>
      </c>
      <c r="B5635" t="str">
        <f>"1578729807888612"</f>
        <v>1578729807888612</v>
      </c>
      <c r="C5635" t="s">
        <v>37</v>
      </c>
      <c r="D5635">
        <v>5.2836429999999996</v>
      </c>
      <c r="E5635">
        <v>0.50333859999999997</v>
      </c>
      <c r="F5635" t="s">
        <v>42</v>
      </c>
      <c r="G5635">
        <v>-228.02889999999999</v>
      </c>
      <c r="H5635">
        <v>1.021075</v>
      </c>
      <c r="I5635">
        <v>-61.868079999999999</v>
      </c>
      <c r="J5635">
        <v>-228.67089999999999</v>
      </c>
      <c r="K5635">
        <v>1.104244</v>
      </c>
      <c r="L5635">
        <v>-61.917050000000003</v>
      </c>
      <c r="M5635">
        <v>0.99975219999999898</v>
      </c>
      <c r="N5635">
        <v>0</v>
      </c>
      <c r="O5635">
        <v>1.7235759999999999E-2</v>
      </c>
      <c r="P5635">
        <v>0.99702990000000002</v>
      </c>
      <c r="Q5635">
        <v>-2.3158359999999999E-2</v>
      </c>
      <c r="R5635">
        <v>7.3453459999999998E-2</v>
      </c>
      <c r="S5635">
        <v>2.9859009999999899</v>
      </c>
      <c r="T5635">
        <v>-0.33981409999999901</v>
      </c>
      <c r="U5635">
        <v>0.20577999999999999</v>
      </c>
      <c r="V5635">
        <v>-5.6263199999999902E-2</v>
      </c>
      <c r="W5635">
        <v>-9.0459349999999997E-3</v>
      </c>
      <c r="X5635">
        <v>0.99837500000000001</v>
      </c>
      <c r="Y5635">
        <v>-5.1328289999999999E-2</v>
      </c>
      <c r="Z5635">
        <v>9.5516220000000003E-4</v>
      </c>
      <c r="AA5635">
        <v>0.99868140000000005</v>
      </c>
      <c r="AB5635">
        <v>18</v>
      </c>
      <c r="AC5635">
        <v>0.64199999999999502</v>
      </c>
      <c r="AD5635">
        <v>-8.3169000000000007E-2</v>
      </c>
      <c r="AE5635">
        <v>4.8969999999997002E-2</v>
      </c>
      <c r="AF5635">
        <v>-3.7274335493754598E-2</v>
      </c>
      <c r="AG5635">
        <v>-8.3169000000000007E-2</v>
      </c>
      <c r="AH5635">
        <v>0.63220029632498798</v>
      </c>
      <c r="AI5635">
        <v>97.481653922601595</v>
      </c>
      <c r="AJ5635">
        <v>93.374235307936004</v>
      </c>
      <c r="AK5635">
        <v>0.63873599657519198</v>
      </c>
    </row>
    <row r="5636" spans="1:37" x14ac:dyDescent="0.2">
      <c r="A5636" t="str">
        <f>"20200111160327911"</f>
        <v>20200111160327911</v>
      </c>
      <c r="B5636" t="str">
        <f>"1578729807898373"</f>
        <v>1578729807898373</v>
      </c>
      <c r="C5636" t="s">
        <v>37</v>
      </c>
      <c r="D5636">
        <v>5.1212460000000002</v>
      </c>
      <c r="E5636">
        <v>0.50328890000000004</v>
      </c>
      <c r="F5636" t="s">
        <v>42</v>
      </c>
      <c r="G5636">
        <v>-227.8768</v>
      </c>
      <c r="H5636">
        <v>1.014751</v>
      </c>
      <c r="I5636">
        <v>-61.863289999999999</v>
      </c>
      <c r="J5636">
        <v>-228.57820000000001</v>
      </c>
      <c r="K5636">
        <v>1.1042459999999901</v>
      </c>
      <c r="L5636">
        <v>-61.915799999999997</v>
      </c>
      <c r="M5636">
        <v>0.99975729999999996</v>
      </c>
      <c r="N5636">
        <v>0</v>
      </c>
      <c r="O5636">
        <v>1.6938140000000001E-2</v>
      </c>
      <c r="P5636">
        <v>0.99705940000000004</v>
      </c>
      <c r="Q5636">
        <v>-2.3234540000000001E-2</v>
      </c>
      <c r="R5636">
        <v>7.3027129999999996E-2</v>
      </c>
      <c r="S5636">
        <v>2.9862060000000001</v>
      </c>
      <c r="T5636">
        <v>-0.33646320000000002</v>
      </c>
      <c r="U5636">
        <v>0.2025757</v>
      </c>
      <c r="V5636">
        <v>-5.6133179999999998E-2</v>
      </c>
      <c r="W5636">
        <v>-9.1245100000000006E-3</v>
      </c>
      <c r="X5636">
        <v>0.99838159999999898</v>
      </c>
      <c r="Y5636">
        <v>-5.0559199999999999E-2</v>
      </c>
      <c r="Z5636">
        <v>9.3597560000000001E-4</v>
      </c>
      <c r="AA5636">
        <v>0.99872059999999996</v>
      </c>
      <c r="AB5636">
        <v>18</v>
      </c>
      <c r="AC5636">
        <v>0.70140000000000602</v>
      </c>
      <c r="AD5636">
        <v>-8.9494999999999797E-2</v>
      </c>
      <c r="AE5636">
        <v>5.2509999999998003E-2</v>
      </c>
      <c r="AF5636">
        <v>-3.9973712735006599E-2</v>
      </c>
      <c r="AG5636">
        <v>-8.9494999999999797E-2</v>
      </c>
      <c r="AH5636">
        <v>0.69100175754039805</v>
      </c>
      <c r="AI5636">
        <v>97.367394713609897</v>
      </c>
      <c r="AJ5636">
        <v>93.310809657496307</v>
      </c>
      <c r="AK5636">
        <v>0.69791882168253605</v>
      </c>
    </row>
    <row r="5637" spans="1:37" x14ac:dyDescent="0.2">
      <c r="A5637" t="str">
        <f>"20200111160327922"</f>
        <v>20200111160327922</v>
      </c>
      <c r="B5637" t="str">
        <f>"1578729807918867"</f>
        <v>1578729807918867</v>
      </c>
      <c r="C5637" t="s">
        <v>37</v>
      </c>
      <c r="D5637">
        <v>5.0276829999999997</v>
      </c>
      <c r="E5637">
        <v>0.5031487</v>
      </c>
      <c r="F5637" t="s">
        <v>42</v>
      </c>
      <c r="G5637">
        <v>-227.72210000000001</v>
      </c>
      <c r="H5637">
        <v>1.007279</v>
      </c>
      <c r="I5637">
        <v>-61.858229999999999</v>
      </c>
      <c r="J5637">
        <v>-228.47909999999999</v>
      </c>
      <c r="K5637">
        <v>1.104247</v>
      </c>
      <c r="L5637">
        <v>-61.914490000000001</v>
      </c>
      <c r="M5637">
        <v>0.9997625</v>
      </c>
      <c r="N5637">
        <v>0</v>
      </c>
      <c r="O5637">
        <v>1.6620070000000001E-2</v>
      </c>
      <c r="P5637">
        <v>0.9971063</v>
      </c>
      <c r="Q5637">
        <v>-2.3349559999999998E-2</v>
      </c>
      <c r="R5637">
        <v>7.2345039999999999E-2</v>
      </c>
      <c r="S5637">
        <v>2.9861909999999998</v>
      </c>
      <c r="T5637">
        <v>-0.3380803</v>
      </c>
      <c r="U5637">
        <v>0.20162959999999999</v>
      </c>
      <c r="V5637">
        <v>-5.5768449999999997E-2</v>
      </c>
      <c r="W5637">
        <v>-9.2420669999999996E-3</v>
      </c>
      <c r="X5637">
        <v>0.99840090000000004</v>
      </c>
      <c r="Y5637">
        <v>-5.0558260000000001E-2</v>
      </c>
      <c r="Z5637">
        <v>9.7624970000000002E-4</v>
      </c>
      <c r="AA5637">
        <v>0.99872059999999996</v>
      </c>
      <c r="AB5637">
        <v>18</v>
      </c>
      <c r="AC5637">
        <v>0.75699999999997603</v>
      </c>
      <c r="AD5637">
        <v>-9.6967999999999901E-2</v>
      </c>
      <c r="AE5637">
        <v>5.6259999999994599E-2</v>
      </c>
      <c r="AF5637">
        <v>-4.2968416115425997E-2</v>
      </c>
      <c r="AG5637">
        <v>-9.6967999999999901E-2</v>
      </c>
      <c r="AH5637">
        <v>0.74566266672683201</v>
      </c>
      <c r="AI5637">
        <v>97.3971839576826</v>
      </c>
      <c r="AJ5637">
        <v>93.297991751051399</v>
      </c>
      <c r="AK5637">
        <v>0.75316790316478499</v>
      </c>
    </row>
    <row r="5638" spans="1:37" x14ac:dyDescent="0.2">
      <c r="A5638" t="str">
        <f>"20200111160327935"</f>
        <v>20200111160327935</v>
      </c>
      <c r="B5638" t="str">
        <f>"1578729807928628"</f>
        <v>1578729807928628</v>
      </c>
      <c r="C5638" t="s">
        <v>37</v>
      </c>
      <c r="D5638">
        <v>5.0307559999999896</v>
      </c>
      <c r="E5638">
        <v>0.503104</v>
      </c>
      <c r="F5638" t="s">
        <v>42</v>
      </c>
      <c r="G5638">
        <v>-227.71520000000001</v>
      </c>
      <c r="H5638">
        <v>1.0174159999999901</v>
      </c>
      <c r="I5638">
        <v>-61.863399999999999</v>
      </c>
      <c r="J5638">
        <v>-228.38290000000001</v>
      </c>
      <c r="K5638">
        <v>1.1042479999999999</v>
      </c>
      <c r="L5638">
        <v>-61.913269999999997</v>
      </c>
      <c r="M5638">
        <v>0.99976779999999998</v>
      </c>
      <c r="N5638">
        <v>0</v>
      </c>
      <c r="O5638">
        <v>1.631113E-2</v>
      </c>
      <c r="P5638">
        <v>0.99715989999999999</v>
      </c>
      <c r="Q5638">
        <v>-2.3381969999999998E-2</v>
      </c>
      <c r="R5638">
        <v>7.1594969999999994E-2</v>
      </c>
      <c r="S5638">
        <v>2.9862060000000001</v>
      </c>
      <c r="T5638">
        <v>-0.33933439999999998</v>
      </c>
      <c r="U5638">
        <v>0.20062260000000001</v>
      </c>
      <c r="V5638">
        <v>-5.5325680000000002E-2</v>
      </c>
      <c r="W5638">
        <v>-9.2769569999999902E-3</v>
      </c>
      <c r="X5638">
        <v>0.99842520000000001</v>
      </c>
      <c r="Y5638">
        <v>-5.0527870000000003E-2</v>
      </c>
      <c r="Z5638">
        <v>1.0130789999999901E-3</v>
      </c>
      <c r="AA5638">
        <v>0.99872209999999995</v>
      </c>
      <c r="AB5638">
        <v>18</v>
      </c>
      <c r="AC5638">
        <v>0.66769999999999596</v>
      </c>
      <c r="AD5638">
        <v>-8.6832000000000006E-2</v>
      </c>
      <c r="AE5638">
        <v>4.9869999999998499E-2</v>
      </c>
      <c r="AF5638">
        <v>-3.83267537055378E-2</v>
      </c>
      <c r="AG5638">
        <v>-8.6832000000000006E-2</v>
      </c>
      <c r="AH5638">
        <v>0.65736887525947096</v>
      </c>
      <c r="AI5638">
        <v>97.512040178322806</v>
      </c>
      <c r="AJ5638">
        <v>93.336753765547599</v>
      </c>
      <c r="AK5638">
        <v>0.66418564756663201</v>
      </c>
    </row>
    <row r="5639" spans="1:37" x14ac:dyDescent="0.2">
      <c r="A5639" t="str">
        <f>"20200111160327946"</f>
        <v>20200111160327946</v>
      </c>
      <c r="B5639" t="str">
        <f>"1578729807938387"</f>
        <v>1578729807938387</v>
      </c>
      <c r="C5639" t="s">
        <v>37</v>
      </c>
      <c r="D5639">
        <v>5.0646779999999998</v>
      </c>
      <c r="E5639">
        <v>0.50312730000000006</v>
      </c>
      <c r="F5639" t="s">
        <v>42</v>
      </c>
      <c r="G5639">
        <v>-227.56039999999999</v>
      </c>
      <c r="H5639">
        <v>1.0104409999999999</v>
      </c>
      <c r="I5639">
        <v>-61.858640000000001</v>
      </c>
      <c r="J5639">
        <v>-228.29159999999999</v>
      </c>
      <c r="K5639">
        <v>1.104249</v>
      </c>
      <c r="L5639">
        <v>-61.912109999999998</v>
      </c>
      <c r="M5639">
        <v>0.99977249999999995</v>
      </c>
      <c r="N5639">
        <v>0</v>
      </c>
      <c r="O5639">
        <v>1.6017920000000001E-2</v>
      </c>
      <c r="P5639">
        <v>0.99720469999999894</v>
      </c>
      <c r="Q5639">
        <v>-2.3536140000000001E-2</v>
      </c>
      <c r="R5639">
        <v>7.0917259999999996E-2</v>
      </c>
      <c r="S5639">
        <v>2.9862980000000001</v>
      </c>
      <c r="T5639">
        <v>-0.34053339999999999</v>
      </c>
      <c r="U5639">
        <v>0.19879150000000001</v>
      </c>
      <c r="V5639">
        <v>-5.4940450000000002E-2</v>
      </c>
      <c r="W5639">
        <v>-9.4335719999999994E-3</v>
      </c>
      <c r="X5639">
        <v>0.99844509999999898</v>
      </c>
      <c r="Y5639">
        <v>-5.0207689999999999E-2</v>
      </c>
      <c r="Z5639">
        <v>1.0317289999999999E-3</v>
      </c>
      <c r="AA5639">
        <v>0.99873829999999997</v>
      </c>
      <c r="AB5639">
        <v>18</v>
      </c>
      <c r="AC5639">
        <v>0.73120000000000096</v>
      </c>
      <c r="AD5639">
        <v>-9.38080000000001E-2</v>
      </c>
      <c r="AE5639">
        <v>5.34699999999972E-2</v>
      </c>
      <c r="AF5639">
        <v>-4.1077174523859103E-2</v>
      </c>
      <c r="AG5639">
        <v>-9.38080000000001E-2</v>
      </c>
      <c r="AH5639">
        <v>0.72017235929807499</v>
      </c>
      <c r="AI5639">
        <v>97.409522886280797</v>
      </c>
      <c r="AJ5639">
        <v>93.264498260479002</v>
      </c>
      <c r="AK5639">
        <v>0.72741700710652801</v>
      </c>
    </row>
    <row r="5640" spans="1:37" x14ac:dyDescent="0.2">
      <c r="A5640" t="str">
        <f>"20200111160327957"</f>
        <v>20200111160327957</v>
      </c>
      <c r="B5640" t="str">
        <f>"1578729807949123"</f>
        <v>1578729807949123</v>
      </c>
      <c r="C5640" t="s">
        <v>37</v>
      </c>
      <c r="D5640">
        <v>5.3596059999999897</v>
      </c>
      <c r="E5640">
        <v>0.50312730000000006</v>
      </c>
      <c r="F5640" t="s">
        <v>42</v>
      </c>
      <c r="G5640">
        <v>-227.55420000000001</v>
      </c>
      <c r="H5640">
        <v>1.0197989999999999</v>
      </c>
      <c r="I5640">
        <v>-61.863719999999901</v>
      </c>
      <c r="J5640">
        <v>-228.20480000000001</v>
      </c>
      <c r="K5640">
        <v>1.104247</v>
      </c>
      <c r="L5640">
        <v>-61.91104</v>
      </c>
      <c r="M5640">
        <v>0.99977700000000003</v>
      </c>
      <c r="N5640">
        <v>0</v>
      </c>
      <c r="O5640">
        <v>1.573919E-2</v>
      </c>
      <c r="P5640">
        <v>0.99723439999999997</v>
      </c>
      <c r="Q5640">
        <v>-2.3572799999999901E-2</v>
      </c>
      <c r="R5640">
        <v>7.0483390000000007E-2</v>
      </c>
      <c r="S5640">
        <v>2.9863740000000001</v>
      </c>
      <c r="T5640">
        <v>-0.3419449</v>
      </c>
      <c r="U5640">
        <v>0.19647220000000001</v>
      </c>
      <c r="V5640">
        <v>-5.4784260000000001E-2</v>
      </c>
      <c r="W5640">
        <v>-9.4724990000000005E-3</v>
      </c>
      <c r="X5640">
        <v>0.99845329999999999</v>
      </c>
      <c r="Y5640">
        <v>-4.9711749999999999E-2</v>
      </c>
      <c r="Z5640">
        <v>1.0394739999999899E-3</v>
      </c>
      <c r="AA5640">
        <v>0.99876309999999902</v>
      </c>
      <c r="AB5640">
        <v>18</v>
      </c>
      <c r="AC5640">
        <v>0.65059999999999696</v>
      </c>
      <c r="AD5640">
        <v>-8.4447999999999995E-2</v>
      </c>
      <c r="AE5640">
        <v>4.7320000000006197E-2</v>
      </c>
      <c r="AF5640">
        <v>-3.6462120945324097E-2</v>
      </c>
      <c r="AG5640">
        <v>-8.4447999999999995E-2</v>
      </c>
      <c r="AH5640">
        <v>0.64052934109683402</v>
      </c>
      <c r="AI5640">
        <v>97.498612441366703</v>
      </c>
      <c r="AJ5640">
        <v>93.258045048223906</v>
      </c>
      <c r="AK5640">
        <v>0.64710029189745899</v>
      </c>
    </row>
    <row r="5641" spans="1:37" x14ac:dyDescent="0.2">
      <c r="A5641" t="str">
        <f>"20200111160327968"</f>
        <v>20200111160327968</v>
      </c>
      <c r="B5641" t="str">
        <f>"1578729807958884"</f>
        <v>1578729807958884</v>
      </c>
      <c r="C5641" t="s">
        <v>37</v>
      </c>
      <c r="D5641">
        <v>5.2486269999999999</v>
      </c>
      <c r="E5641">
        <v>0.50350609999999996</v>
      </c>
      <c r="F5641" t="s">
        <v>42</v>
      </c>
      <c r="G5641">
        <v>-227.40029999999999</v>
      </c>
      <c r="H5641">
        <v>1.0120450000000001</v>
      </c>
      <c r="I5641">
        <v>-61.8587699999999</v>
      </c>
      <c r="J5641">
        <v>-228.1139</v>
      </c>
      <c r="K5641">
        <v>1.104247</v>
      </c>
      <c r="L5641">
        <v>-61.909939999999999</v>
      </c>
      <c r="M5641">
        <v>0.99978159999999905</v>
      </c>
      <c r="N5641">
        <v>0</v>
      </c>
      <c r="O5641">
        <v>1.544717E-2</v>
      </c>
      <c r="P5641">
        <v>0.9972683</v>
      </c>
      <c r="Q5641">
        <v>-2.3525620000000001E-2</v>
      </c>
      <c r="R5641">
        <v>7.0018730000000001E-2</v>
      </c>
      <c r="S5641">
        <v>2.9864199999999999</v>
      </c>
      <c r="T5641">
        <v>-0.34206900000000001</v>
      </c>
      <c r="U5641">
        <v>0.19525149999999999</v>
      </c>
      <c r="V5641">
        <v>-5.4610510000000001E-2</v>
      </c>
      <c r="W5641">
        <v>-9.4276819999999997E-3</v>
      </c>
      <c r="X5641">
        <v>0.9984632</v>
      </c>
      <c r="Y5641">
        <v>-4.959467E-2</v>
      </c>
      <c r="Z5641">
        <v>1.0664649999999999E-3</v>
      </c>
      <c r="AA5641">
        <v>0.99876889999999996</v>
      </c>
      <c r="AB5641">
        <v>18</v>
      </c>
      <c r="AC5641">
        <v>0.713600000000013</v>
      </c>
      <c r="AD5641">
        <v>-9.2201999999999895E-2</v>
      </c>
      <c r="AE5641">
        <v>5.1170000000006099E-2</v>
      </c>
      <c r="AF5641">
        <v>-3.9483912215881101E-2</v>
      </c>
      <c r="AG5641">
        <v>-9.2201999999999895E-2</v>
      </c>
      <c r="AH5641">
        <v>0.70263527683160099</v>
      </c>
      <c r="AI5641">
        <v>97.464174124291304</v>
      </c>
      <c r="AJ5641">
        <v>93.216298513594495</v>
      </c>
      <c r="AK5641">
        <v>0.70975807172309902</v>
      </c>
    </row>
    <row r="5642" spans="1:37" x14ac:dyDescent="0.2">
      <c r="A5642" t="str">
        <f>"20200111160327981"</f>
        <v>20200111160327981</v>
      </c>
      <c r="B5642" t="str">
        <f>"1578729807968547"</f>
        <v>1578729807968547</v>
      </c>
      <c r="C5642" t="s">
        <v>37</v>
      </c>
      <c r="D5642">
        <v>5.0551120000000003</v>
      </c>
      <c r="E5642">
        <v>0.50433209999999995</v>
      </c>
      <c r="F5642" t="s">
        <v>42</v>
      </c>
      <c r="G5642">
        <v>-227.3895</v>
      </c>
      <c r="H5642">
        <v>1.0229409999999901</v>
      </c>
      <c r="I5642">
        <v>-61.864040000000003</v>
      </c>
      <c r="J5642">
        <v>-228.02099999999999</v>
      </c>
      <c r="K5642">
        <v>1.1042379999999901</v>
      </c>
      <c r="L5642">
        <v>-61.908839999999998</v>
      </c>
      <c r="M5642">
        <v>0.99978619999999996</v>
      </c>
      <c r="N5642">
        <v>0</v>
      </c>
      <c r="O5642">
        <v>1.5148770000000001E-2</v>
      </c>
      <c r="P5642">
        <v>0.99729100000000004</v>
      </c>
      <c r="Q5642">
        <v>-2.3389730000000001E-2</v>
      </c>
      <c r="R5642">
        <v>6.9742879999999993E-2</v>
      </c>
      <c r="S5642">
        <v>2.9869379999999999</v>
      </c>
      <c r="T5642">
        <v>-0.33509240000000001</v>
      </c>
      <c r="U5642">
        <v>0.19064329999999999</v>
      </c>
      <c r="V5642">
        <v>-5.4632479999999997E-2</v>
      </c>
      <c r="W5642">
        <v>-9.2942349999999996E-3</v>
      </c>
      <c r="X5642">
        <v>0.99846329999999905</v>
      </c>
      <c r="Y5642">
        <v>-4.836178E-2</v>
      </c>
      <c r="Z5642">
        <v>1.0091760000000001E-3</v>
      </c>
      <c r="AA5642">
        <v>0.99882939999999998</v>
      </c>
      <c r="AB5642">
        <v>18</v>
      </c>
      <c r="AC5642">
        <v>0.63149999999998796</v>
      </c>
      <c r="AD5642">
        <v>-8.1296999999999897E-2</v>
      </c>
      <c r="AE5642">
        <v>4.4800000000002102E-2</v>
      </c>
      <c r="AF5642">
        <v>-3.4655983352330701E-2</v>
      </c>
      <c r="AG5642">
        <v>-8.1296999999999897E-2</v>
      </c>
      <c r="AH5642">
        <v>0.62185188210034903</v>
      </c>
      <c r="AI5642">
        <v>97.436837279750193</v>
      </c>
      <c r="AJ5642">
        <v>93.189810546547093</v>
      </c>
      <c r="AK5642">
        <v>0.62810031257981702</v>
      </c>
    </row>
    <row r="5643" spans="1:37" x14ac:dyDescent="0.2">
      <c r="A5643" t="str">
        <f>"20200111160327991"</f>
        <v>20200111160327991</v>
      </c>
      <c r="B5643" t="str">
        <f>"1578729807989042"</f>
        <v>1578729807989042</v>
      </c>
      <c r="C5643" t="s">
        <v>37</v>
      </c>
      <c r="D5643">
        <v>5.0973930000000003</v>
      </c>
      <c r="E5643">
        <v>0.50587680000000002</v>
      </c>
      <c r="F5643" t="s">
        <v>42</v>
      </c>
      <c r="G5643">
        <v>-227.23820000000001</v>
      </c>
      <c r="H5643">
        <v>1.0171269999999999</v>
      </c>
      <c r="I5643">
        <v>-61.860869999999998</v>
      </c>
      <c r="J5643">
        <v>-227.93219999999999</v>
      </c>
      <c r="K5643">
        <v>1.1042399999999899</v>
      </c>
      <c r="L5643">
        <v>-61.907869999999903</v>
      </c>
      <c r="M5643">
        <v>0.99979039999999997</v>
      </c>
      <c r="N5643">
        <v>0</v>
      </c>
      <c r="O5643">
        <v>1.486385E-2</v>
      </c>
      <c r="P5643">
        <v>0.99731049999999999</v>
      </c>
      <c r="Q5643">
        <v>-2.3217939999999999E-2</v>
      </c>
      <c r="R5643">
        <v>6.951707E-2</v>
      </c>
      <c r="S5643">
        <v>2.9875639999999999</v>
      </c>
      <c r="T5643">
        <v>-0.33239970000000002</v>
      </c>
      <c r="U5643">
        <v>0.1832886</v>
      </c>
      <c r="V5643">
        <v>-5.469065E-2</v>
      </c>
      <c r="W5643">
        <v>-9.1247999999999902E-3</v>
      </c>
      <c r="X5643">
        <v>0.99846170000000001</v>
      </c>
      <c r="Y5643">
        <v>-4.6198610000000001E-2</v>
      </c>
      <c r="Z5643">
        <v>9.1268679999999996E-4</v>
      </c>
      <c r="AA5643">
        <v>0.99893189999999998</v>
      </c>
      <c r="AB5643">
        <v>18</v>
      </c>
      <c r="AC5643">
        <v>0.69399999999998796</v>
      </c>
      <c r="AD5643">
        <v>-8.7112999999999705E-2</v>
      </c>
      <c r="AE5643">
        <v>4.6999999999997003E-2</v>
      </c>
      <c r="AF5643">
        <v>-3.6111889706799502E-2</v>
      </c>
      <c r="AG5643">
        <v>-8.7112999999999705E-2</v>
      </c>
      <c r="AH5643">
        <v>0.68389569617880797</v>
      </c>
      <c r="AI5643">
        <v>97.249116908576497</v>
      </c>
      <c r="AJ5643">
        <v>93.022594122980394</v>
      </c>
      <c r="AK5643">
        <v>0.69036661752947803</v>
      </c>
    </row>
    <row r="5644" spans="1:37" x14ac:dyDescent="0.2">
      <c r="A5644" t="str">
        <f>"20200111160328006"</f>
        <v>20200111160328006</v>
      </c>
      <c r="B5644" t="str">
        <f>"1578729807998801"</f>
        <v>1578729807998801</v>
      </c>
      <c r="C5644" t="s">
        <v>37</v>
      </c>
      <c r="D5644">
        <v>5.0680149999999999</v>
      </c>
      <c r="E5644">
        <v>0.50655159999999999</v>
      </c>
      <c r="F5644" t="s">
        <v>42</v>
      </c>
      <c r="G5644">
        <v>-227.08420000000001</v>
      </c>
      <c r="H5644">
        <v>1.0112620000000001</v>
      </c>
      <c r="I5644">
        <v>-61.859719999999903</v>
      </c>
      <c r="J5644">
        <v>-227.81319999999999</v>
      </c>
      <c r="K5644">
        <v>1.1042430000000001</v>
      </c>
      <c r="L5644">
        <v>-61.906519999999901</v>
      </c>
      <c r="M5644">
        <v>0.99979619999999902</v>
      </c>
      <c r="N5644">
        <v>0</v>
      </c>
      <c r="O5644">
        <v>1.4481239999999999E-2</v>
      </c>
      <c r="P5644">
        <v>0.99732619999999905</v>
      </c>
      <c r="Q5644">
        <v>-2.253047E-2</v>
      </c>
      <c r="R5644">
        <v>6.9520860000000004E-2</v>
      </c>
      <c r="S5644">
        <v>2.9886020000000002</v>
      </c>
      <c r="T5644">
        <v>-0.32764739999999998</v>
      </c>
      <c r="U5644">
        <v>0.1701965</v>
      </c>
      <c r="V5644">
        <v>-5.507567E-2</v>
      </c>
      <c r="W5644">
        <v>-8.4404459999999903E-3</v>
      </c>
      <c r="X5644">
        <v>0.99844650000000001</v>
      </c>
      <c r="Y5644">
        <v>-4.2225569999999997E-2</v>
      </c>
      <c r="Z5644">
        <v>7.243258E-4</v>
      </c>
      <c r="AA5644">
        <v>0.99910779999999999</v>
      </c>
      <c r="AB5644">
        <v>18</v>
      </c>
      <c r="AC5644">
        <v>0.72899999999998499</v>
      </c>
      <c r="AD5644">
        <v>-9.2980999999999897E-2</v>
      </c>
      <c r="AE5644">
        <v>4.6799999999997503E-2</v>
      </c>
      <c r="AF5644">
        <v>-3.5659496553734203E-2</v>
      </c>
      <c r="AG5644">
        <v>-9.2980999999999897E-2</v>
      </c>
      <c r="AH5644">
        <v>0.71796936680796597</v>
      </c>
      <c r="AI5644">
        <v>97.370065224586199</v>
      </c>
      <c r="AJ5644">
        <v>92.843381912808795</v>
      </c>
      <c r="AK5644">
        <v>0.724842795183961</v>
      </c>
    </row>
    <row r="5645" spans="1:37" x14ac:dyDescent="0.2">
      <c r="A5645" t="str">
        <f>"20200111160328018"</f>
        <v>20200111160328018</v>
      </c>
      <c r="B5645" t="str">
        <f>"1578729808008562"</f>
        <v>1578729808008562</v>
      </c>
      <c r="C5645" t="s">
        <v>37</v>
      </c>
      <c r="D5645">
        <v>5.0595280000000002</v>
      </c>
      <c r="E5645">
        <v>0.50716609999999995</v>
      </c>
      <c r="F5645" t="s">
        <v>42</v>
      </c>
      <c r="G5645">
        <v>-227.0753</v>
      </c>
      <c r="H5645">
        <v>1.0243370000000001</v>
      </c>
      <c r="I5645">
        <v>-61.865969999999997</v>
      </c>
      <c r="J5645">
        <v>-227.7201</v>
      </c>
      <c r="K5645">
        <v>1.104244</v>
      </c>
      <c r="L5645">
        <v>-61.905549999999998</v>
      </c>
      <c r="M5645">
        <v>0.99980040000000003</v>
      </c>
      <c r="N5645">
        <v>0</v>
      </c>
      <c r="O5645">
        <v>1.418201E-2</v>
      </c>
      <c r="P5645">
        <v>0.99734519999999904</v>
      </c>
      <c r="Q5645">
        <v>-2.2103000000000001E-2</v>
      </c>
      <c r="R5645">
        <v>6.9385890000000006E-2</v>
      </c>
      <c r="S5645">
        <v>2.9892270000000001</v>
      </c>
      <c r="T5645">
        <v>-0.32363649999999999</v>
      </c>
      <c r="U5645">
        <v>0.164856</v>
      </c>
      <c r="V5645">
        <v>-5.523869E-2</v>
      </c>
      <c r="W5645">
        <v>-8.0155199999999999E-3</v>
      </c>
      <c r="X5645">
        <v>0.99844100000000002</v>
      </c>
      <c r="Y5645">
        <v>-4.074419E-2</v>
      </c>
      <c r="Z5645">
        <v>6.6776589999999897E-4</v>
      </c>
      <c r="AA5645">
        <v>0.99916939999999999</v>
      </c>
      <c r="AB5645">
        <v>18</v>
      </c>
      <c r="AC5645">
        <v>0.64480000000000304</v>
      </c>
      <c r="AD5645">
        <v>-7.9906999999999895E-2</v>
      </c>
      <c r="AE5645">
        <v>3.9580000000000802E-2</v>
      </c>
      <c r="AF5645">
        <v>-2.99719870591445E-2</v>
      </c>
      <c r="AG5645">
        <v>-7.9906999999999895E-2</v>
      </c>
      <c r="AH5645">
        <v>0.63557237720442195</v>
      </c>
      <c r="AI5645">
        <v>97.158011123647597</v>
      </c>
      <c r="AJ5645">
        <v>92.699923958459905</v>
      </c>
      <c r="AK5645">
        <v>0.64127661373431699</v>
      </c>
    </row>
    <row r="5646" spans="1:37" x14ac:dyDescent="0.2">
      <c r="A5646" t="str">
        <f>"20200111160328031"</f>
        <v>20200111160328031</v>
      </c>
      <c r="B5646" t="str">
        <f>"1578729808019298"</f>
        <v>1578729808019298</v>
      </c>
      <c r="C5646" t="s">
        <v>37</v>
      </c>
      <c r="D5646">
        <v>5.1375320000000002</v>
      </c>
      <c r="E5646">
        <v>0.50782970000000005</v>
      </c>
      <c r="F5646" t="s">
        <v>42</v>
      </c>
      <c r="G5646">
        <v>-226.9211</v>
      </c>
      <c r="H5646">
        <v>1.018678</v>
      </c>
      <c r="I5646">
        <v>-61.862990000000003</v>
      </c>
      <c r="J5646">
        <v>-227.6249</v>
      </c>
      <c r="K5646">
        <v>1.1042510000000001</v>
      </c>
      <c r="L5646">
        <v>-61.904539999999997</v>
      </c>
      <c r="M5646">
        <v>0.99980480000000005</v>
      </c>
      <c r="N5646">
        <v>0</v>
      </c>
      <c r="O5646">
        <v>1.387587E-2</v>
      </c>
      <c r="P5646">
        <v>0.99734259999999997</v>
      </c>
      <c r="Q5646">
        <v>-2.1910909999999999E-2</v>
      </c>
      <c r="R5646">
        <v>6.9483210000000004E-2</v>
      </c>
      <c r="S5646">
        <v>2.9898069999999999</v>
      </c>
      <c r="T5646">
        <v>-0.32016090000000003</v>
      </c>
      <c r="U5646">
        <v>0.1595154</v>
      </c>
      <c r="V5646">
        <v>-5.5642009999999999E-2</v>
      </c>
      <c r="W5646">
        <v>-7.8261049999999999E-3</v>
      </c>
      <c r="X5646">
        <v>0.99842009999999903</v>
      </c>
      <c r="Y5646">
        <v>-3.9269890000000002E-2</v>
      </c>
      <c r="Z5646">
        <v>6.1453949999999995E-4</v>
      </c>
      <c r="AA5646">
        <v>0.99922849999999996</v>
      </c>
      <c r="AB5646">
        <v>18</v>
      </c>
      <c r="AC5646">
        <v>0.70380000000000098</v>
      </c>
      <c r="AD5646">
        <v>-8.5573000000000093E-2</v>
      </c>
      <c r="AE5646">
        <v>4.1550000000000802E-2</v>
      </c>
      <c r="AF5646">
        <v>-3.1317819098514998E-2</v>
      </c>
      <c r="AG5646">
        <v>-8.5573000000000093E-2</v>
      </c>
      <c r="AH5646">
        <v>0.69408353630459996</v>
      </c>
      <c r="AI5646">
        <v>97.021409755489401</v>
      </c>
      <c r="AJ5646">
        <v>92.583496820609099</v>
      </c>
      <c r="AK5646">
        <v>0.70003964137124797</v>
      </c>
    </row>
    <row r="5647" spans="1:37" x14ac:dyDescent="0.2">
      <c r="A5647" t="str">
        <f>"20200111160328043"</f>
        <v>20200111160328043</v>
      </c>
      <c r="B5647" t="str">
        <f>"1578729808038818"</f>
        <v>1578729808038818</v>
      </c>
      <c r="C5647" t="s">
        <v>37</v>
      </c>
      <c r="D5647">
        <v>5.066719</v>
      </c>
      <c r="E5647">
        <v>0.50892559999999998</v>
      </c>
      <c r="F5647" t="s">
        <v>42</v>
      </c>
      <c r="G5647">
        <v>-226.7671</v>
      </c>
      <c r="H5647">
        <v>1.0133319999999999</v>
      </c>
      <c r="I5647">
        <v>-61.860390000000002</v>
      </c>
      <c r="J5647">
        <v>-227.52019999999999</v>
      </c>
      <c r="K5647">
        <v>1.1042529999999999</v>
      </c>
      <c r="L5647">
        <v>-61.903500000000001</v>
      </c>
      <c r="M5647">
        <v>0.99980939999999996</v>
      </c>
      <c r="N5647">
        <v>0</v>
      </c>
      <c r="O5647">
        <v>1.3539280000000001E-2</v>
      </c>
      <c r="P5647">
        <v>0.99735010000000002</v>
      </c>
      <c r="Q5647">
        <v>-2.157618E-2</v>
      </c>
      <c r="R5647">
        <v>6.9478239999999997E-2</v>
      </c>
      <c r="S5647">
        <v>2.990265</v>
      </c>
      <c r="T5647">
        <v>-0.31680970000000003</v>
      </c>
      <c r="U5647">
        <v>0.15448000000000001</v>
      </c>
      <c r="V5647">
        <v>-5.5972069999999999E-2</v>
      </c>
      <c r="W5647">
        <v>-7.4942389999999998E-3</v>
      </c>
      <c r="X5647">
        <v>0.99840419999999996</v>
      </c>
      <c r="Y5647">
        <v>-3.7928749999999997E-2</v>
      </c>
      <c r="Z5647">
        <v>5.7280600000000003E-4</v>
      </c>
      <c r="AA5647">
        <v>0.99928030000000001</v>
      </c>
      <c r="AB5647">
        <v>18</v>
      </c>
      <c r="AC5647">
        <v>0.753099999999989</v>
      </c>
      <c r="AD5647">
        <v>-9.0921000000000196E-2</v>
      </c>
      <c r="AE5647">
        <v>4.3109999999998601E-2</v>
      </c>
      <c r="AF5647">
        <v>-3.24373609453672E-2</v>
      </c>
      <c r="AG5647">
        <v>-9.0921000000000196E-2</v>
      </c>
      <c r="AH5647">
        <v>0.74282304664612397</v>
      </c>
      <c r="AI5647">
        <v>96.971673033808202</v>
      </c>
      <c r="AJ5647">
        <v>92.500385414612893</v>
      </c>
      <c r="AK5647">
        <v>0.74906934876200204</v>
      </c>
    </row>
    <row r="5648" spans="1:37" x14ac:dyDescent="0.2">
      <c r="A5648" t="str">
        <f>"20200111160328054"</f>
        <v>20200111160328054</v>
      </c>
      <c r="B5648" t="str">
        <f>"1578729808048579"</f>
        <v>1578729808048579</v>
      </c>
      <c r="C5648" t="s">
        <v>37</v>
      </c>
      <c r="D5648">
        <v>5.127993</v>
      </c>
      <c r="E5648">
        <v>0.50940099999999999</v>
      </c>
      <c r="F5648" t="s">
        <v>42</v>
      </c>
      <c r="G5648">
        <v>-226.75970000000001</v>
      </c>
      <c r="H5648">
        <v>1.024494</v>
      </c>
      <c r="I5648">
        <v>-61.866619999999998</v>
      </c>
      <c r="J5648">
        <v>-227.43469999999999</v>
      </c>
      <c r="K5648">
        <v>1.1042559999999999</v>
      </c>
      <c r="L5648">
        <v>-61.902650000000001</v>
      </c>
      <c r="M5648">
        <v>0.99981330000000002</v>
      </c>
      <c r="N5648">
        <v>0</v>
      </c>
      <c r="O5648">
        <v>1.326419E-2</v>
      </c>
      <c r="P5648">
        <v>0.99735459999999998</v>
      </c>
      <c r="Q5648">
        <v>-2.1140909999999999E-2</v>
      </c>
      <c r="R5648">
        <v>6.9551479999999999E-2</v>
      </c>
      <c r="S5648">
        <v>2.9910429999999999</v>
      </c>
      <c r="T5648">
        <v>-0.3135732</v>
      </c>
      <c r="U5648">
        <v>0.14569089999999901</v>
      </c>
      <c r="V5648">
        <v>-5.6320269999999999E-2</v>
      </c>
      <c r="W5648">
        <v>-7.061243E-3</v>
      </c>
      <c r="X5648">
        <v>0.99838780000000005</v>
      </c>
      <c r="Y5648">
        <v>-3.5276990000000001E-2</v>
      </c>
      <c r="Z5648">
        <v>4.5707449999999998E-4</v>
      </c>
      <c r="AA5648">
        <v>0.99937749999999903</v>
      </c>
      <c r="AB5648">
        <v>18</v>
      </c>
      <c r="AC5648">
        <v>0.67499999999998195</v>
      </c>
      <c r="AD5648">
        <v>-7.9761999999999805E-2</v>
      </c>
      <c r="AE5648">
        <v>3.6030000000003698E-2</v>
      </c>
      <c r="AF5648">
        <v>-2.6700847840977499E-2</v>
      </c>
      <c r="AG5648">
        <v>-7.9761999999999805E-2</v>
      </c>
      <c r="AH5648">
        <v>0.66614350299817104</v>
      </c>
      <c r="AI5648">
        <v>96.822489291897995</v>
      </c>
      <c r="AJ5648">
        <v>92.295342334652204</v>
      </c>
      <c r="AK5648">
        <v>0.67143285480091097</v>
      </c>
    </row>
    <row r="5649" spans="1:37" x14ac:dyDescent="0.2">
      <c r="A5649" t="str">
        <f>"20200111160328066"</f>
        <v>20200111160328066</v>
      </c>
      <c r="B5649" t="str">
        <f>"1578729808059315"</f>
        <v>1578729808059315</v>
      </c>
      <c r="C5649" t="s">
        <v>37</v>
      </c>
      <c r="D5649">
        <v>8.3130869999999994</v>
      </c>
      <c r="E5649">
        <v>0.50940099999999999</v>
      </c>
      <c r="F5649" t="s">
        <v>42</v>
      </c>
      <c r="G5649">
        <v>-226.60659999999999</v>
      </c>
      <c r="H5649">
        <v>1.0181290000000001</v>
      </c>
      <c r="I5649">
        <v>-61.863419999999998</v>
      </c>
      <c r="J5649">
        <v>-227.3424</v>
      </c>
      <c r="K5649">
        <v>1.1042559999999999</v>
      </c>
      <c r="L5649">
        <v>-61.901759999999904</v>
      </c>
      <c r="M5649">
        <v>0.99981699999999996</v>
      </c>
      <c r="N5649">
        <v>0</v>
      </c>
      <c r="O5649">
        <v>1.296746E-2</v>
      </c>
      <c r="P5649">
        <v>0.99737619999999905</v>
      </c>
      <c r="Q5649">
        <v>-2.0674350000000001E-2</v>
      </c>
      <c r="R5649">
        <v>6.9376779999999999E-2</v>
      </c>
      <c r="S5649">
        <v>2.9914700000000001</v>
      </c>
      <c r="T5649">
        <v>-0.31106499999999998</v>
      </c>
      <c r="U5649">
        <v>0.14208979999999999</v>
      </c>
      <c r="V5649">
        <v>-5.6440410000000003E-2</v>
      </c>
      <c r="W5649">
        <v>-6.5971110000000001E-3</v>
      </c>
      <c r="X5649">
        <v>0.99838419999999894</v>
      </c>
      <c r="Y5649">
        <v>-3.4371600000000002E-2</v>
      </c>
      <c r="Z5649">
        <v>4.3721439999999998E-4</v>
      </c>
      <c r="AA5649">
        <v>0.99940899999999999</v>
      </c>
      <c r="AB5649">
        <v>18</v>
      </c>
      <c r="AC5649">
        <v>0.735800000000011</v>
      </c>
      <c r="AD5649">
        <v>-8.6126999999999801E-2</v>
      </c>
      <c r="AE5649">
        <v>3.8339999999998001E-2</v>
      </c>
      <c r="AF5649">
        <v>-2.8406228793689401E-2</v>
      </c>
      <c r="AG5649">
        <v>-8.6126999999999801E-2</v>
      </c>
      <c r="AH5649">
        <v>0.72631094594289802</v>
      </c>
      <c r="AI5649">
        <v>96.757518069792994</v>
      </c>
      <c r="AJ5649">
        <v>92.239712820934301</v>
      </c>
      <c r="AK5649">
        <v>0.73195106677956701</v>
      </c>
    </row>
    <row r="5650" spans="1:37" x14ac:dyDescent="0.2">
      <c r="A5650" t="str">
        <f>"20200111160328077"</f>
        <v>20200111160328077</v>
      </c>
      <c r="B5650" t="str">
        <f>"1578729808069074"</f>
        <v>1578729808069074</v>
      </c>
      <c r="C5650" t="s">
        <v>37</v>
      </c>
      <c r="D5650">
        <v>5.1014210000000002</v>
      </c>
      <c r="E5650">
        <v>0.50987369999999999</v>
      </c>
      <c r="F5650" t="s">
        <v>42</v>
      </c>
      <c r="G5650">
        <v>-226.6</v>
      </c>
      <c r="H5650">
        <v>1.027396</v>
      </c>
      <c r="I5650">
        <v>-61.86674</v>
      </c>
      <c r="J5650">
        <v>-227.25280000000001</v>
      </c>
      <c r="K5650">
        <v>1.1042590000000001</v>
      </c>
      <c r="L5650">
        <v>-61.900939999999999</v>
      </c>
      <c r="M5650">
        <v>0.99982070000000001</v>
      </c>
      <c r="N5650">
        <v>0</v>
      </c>
      <c r="O5650">
        <v>1.267955E-2</v>
      </c>
      <c r="P5650">
        <v>0.99737799999999999</v>
      </c>
      <c r="Q5650">
        <v>-2.0189499999999999E-2</v>
      </c>
      <c r="R5650">
        <v>6.9495420000000002E-2</v>
      </c>
      <c r="S5650">
        <v>2.9916230000000001</v>
      </c>
      <c r="T5650">
        <v>-0.30964449999999999</v>
      </c>
      <c r="U5650">
        <v>0.141571</v>
      </c>
      <c r="V5650">
        <v>-5.6846670000000002E-2</v>
      </c>
      <c r="W5650">
        <v>-6.1146059999999999E-3</v>
      </c>
      <c r="X5650">
        <v>0.99836420000000003</v>
      </c>
      <c r="Y5650">
        <v>-3.448296E-2</v>
      </c>
      <c r="Z5650">
        <v>4.7065269999999997E-4</v>
      </c>
      <c r="AA5650">
        <v>0.99940509999999905</v>
      </c>
      <c r="AB5650">
        <v>18</v>
      </c>
      <c r="AC5650">
        <v>0.65280000000001304</v>
      </c>
      <c r="AD5650">
        <v>-7.6863000000000098E-2</v>
      </c>
      <c r="AE5650">
        <v>3.4200000000005497E-2</v>
      </c>
      <c r="AF5650">
        <v>-2.5565759223368598E-2</v>
      </c>
      <c r="AG5650">
        <v>-7.6863000000000098E-2</v>
      </c>
      <c r="AH5650">
        <v>0.64427372423081397</v>
      </c>
      <c r="AI5650">
        <v>96.798032875794306</v>
      </c>
      <c r="AJ5650">
        <v>92.272391272367599</v>
      </c>
      <c r="AK5650">
        <v>0.64934594828019798</v>
      </c>
    </row>
    <row r="5651" spans="1:37" x14ac:dyDescent="0.2">
      <c r="A5651" t="str">
        <f>"20200111160328089"</f>
        <v>20200111160328089</v>
      </c>
      <c r="B5651" t="str">
        <f>"1578729808078834"</f>
        <v>1578729808078834</v>
      </c>
      <c r="C5651" t="s">
        <v>37</v>
      </c>
      <c r="D5651">
        <v>5.0900629999999998</v>
      </c>
      <c r="E5651">
        <v>0.51033899999999999</v>
      </c>
      <c r="F5651" t="s">
        <v>42</v>
      </c>
      <c r="G5651">
        <v>-226.44649999999999</v>
      </c>
      <c r="H5651">
        <v>1.022073</v>
      </c>
      <c r="I5651">
        <v>-61.863950000000003</v>
      </c>
      <c r="J5651">
        <v>-227.16159999999999</v>
      </c>
      <c r="K5651">
        <v>1.104263</v>
      </c>
      <c r="L5651">
        <v>-61.900149999999996</v>
      </c>
      <c r="M5651">
        <v>0.9998245</v>
      </c>
      <c r="N5651">
        <v>0</v>
      </c>
      <c r="O5651">
        <v>1.2386100000000001E-2</v>
      </c>
      <c r="P5651">
        <v>0.99739089999999997</v>
      </c>
      <c r="Q5651">
        <v>-1.983449E-2</v>
      </c>
      <c r="R5651">
        <v>6.9410840000000001E-2</v>
      </c>
      <c r="S5651">
        <v>2.9920810000000002</v>
      </c>
      <c r="T5651">
        <v>-0.30486449999999998</v>
      </c>
      <c r="U5651">
        <v>0.1380005</v>
      </c>
      <c r="V5651">
        <v>-5.7054340000000002E-2</v>
      </c>
      <c r="W5651">
        <v>-5.7619960000000001E-3</v>
      </c>
      <c r="X5651">
        <v>0.99835439999999998</v>
      </c>
      <c r="Y5651">
        <v>-3.3585730000000001E-2</v>
      </c>
      <c r="Z5651">
        <v>4.4760120000000001E-4</v>
      </c>
      <c r="AA5651">
        <v>0.99943570000000004</v>
      </c>
      <c r="AB5651">
        <v>18</v>
      </c>
      <c r="AC5651">
        <v>0.71510000000000595</v>
      </c>
      <c r="AD5651">
        <v>-8.2189999999999902E-2</v>
      </c>
      <c r="AE5651">
        <v>3.6199999999993702E-2</v>
      </c>
      <c r="AF5651">
        <v>-2.6983505102073101E-2</v>
      </c>
      <c r="AG5651">
        <v>-8.2189999999999902E-2</v>
      </c>
      <c r="AH5651">
        <v>0.70618861378103603</v>
      </c>
      <c r="AI5651">
        <v>96.633724309009693</v>
      </c>
      <c r="AJ5651">
        <v>92.188210311310897</v>
      </c>
      <c r="AK5651">
        <v>0.71146726128584004</v>
      </c>
    </row>
    <row r="5652" spans="1:37" x14ac:dyDescent="0.2">
      <c r="A5652" t="str">
        <f>"20200111160328101"</f>
        <v>20200111160328101</v>
      </c>
      <c r="B5652" t="str">
        <f>"1578729808088594"</f>
        <v>1578729808088594</v>
      </c>
      <c r="C5652" t="s">
        <v>37</v>
      </c>
      <c r="D5652">
        <v>8.7432829999999999</v>
      </c>
      <c r="E5652">
        <v>0.51033899999999999</v>
      </c>
      <c r="F5652" t="s">
        <v>42</v>
      </c>
      <c r="G5652">
        <v>-226.2937</v>
      </c>
      <c r="H5652">
        <v>1.0163059999999999</v>
      </c>
      <c r="I5652">
        <v>-61.861330000000002</v>
      </c>
      <c r="J5652">
        <v>-227.07050000000001</v>
      </c>
      <c r="K5652">
        <v>1.1042670000000001</v>
      </c>
      <c r="L5652">
        <v>-61.899349999999998</v>
      </c>
      <c r="M5652">
        <v>0.99982819999999994</v>
      </c>
      <c r="N5652">
        <v>0</v>
      </c>
      <c r="O5652">
        <v>1.2093309999999999E-2</v>
      </c>
      <c r="P5652">
        <v>0.99741899999999994</v>
      </c>
      <c r="Q5652">
        <v>-1.9454079999999999E-2</v>
      </c>
      <c r="R5652">
        <v>6.9117049999999999E-2</v>
      </c>
      <c r="S5652">
        <v>2.9924770000000001</v>
      </c>
      <c r="T5652">
        <v>-0.30319170000000001</v>
      </c>
      <c r="U5652">
        <v>0.1340942</v>
      </c>
      <c r="V5652">
        <v>-5.7052560000000002E-2</v>
      </c>
      <c r="W5652">
        <v>-5.3839430000000004E-3</v>
      </c>
      <c r="X5652">
        <v>0.99835659999999904</v>
      </c>
      <c r="Y5652">
        <v>-3.257525E-2</v>
      </c>
      <c r="Z5652">
        <v>4.2364839999999899E-4</v>
      </c>
      <c r="AA5652">
        <v>0.99946919999999995</v>
      </c>
      <c r="AB5652">
        <v>18</v>
      </c>
      <c r="AC5652">
        <v>0.77680000000000804</v>
      </c>
      <c r="AD5652">
        <v>-8.7961000000000095E-2</v>
      </c>
      <c r="AE5652">
        <v>3.8019999999995897E-2</v>
      </c>
      <c r="AF5652">
        <v>-2.8260711048542001E-2</v>
      </c>
      <c r="AG5652">
        <v>-8.7961000000000095E-2</v>
      </c>
      <c r="AH5652">
        <v>0.76738695783903099</v>
      </c>
      <c r="AI5652">
        <v>96.534544862202097</v>
      </c>
      <c r="AJ5652">
        <v>92.1090898530571</v>
      </c>
      <c r="AK5652">
        <v>0.77292855321265796</v>
      </c>
    </row>
    <row r="5653" spans="1:37" x14ac:dyDescent="0.2">
      <c r="A5653" t="str">
        <f>"20200111160328113"</f>
        <v>20200111160328113</v>
      </c>
      <c r="B5653" t="str">
        <f>"1578729808109090"</f>
        <v>1578729808109090</v>
      </c>
      <c r="C5653" t="s">
        <v>37</v>
      </c>
      <c r="D5653">
        <v>5.1477170000000001</v>
      </c>
      <c r="E5653">
        <v>0.47296959999999999</v>
      </c>
      <c r="F5653" t="s">
        <v>42</v>
      </c>
      <c r="G5653">
        <v>-226.28739999999999</v>
      </c>
      <c r="H5653">
        <v>1.0252139999999901</v>
      </c>
      <c r="I5653">
        <v>-61.864559999999997</v>
      </c>
      <c r="J5653">
        <v>-226.9768</v>
      </c>
      <c r="K5653">
        <v>1.1042689999999999</v>
      </c>
      <c r="L5653">
        <v>-61.898589999999999</v>
      </c>
      <c r="M5653">
        <v>0.9998319</v>
      </c>
      <c r="N5653">
        <v>0</v>
      </c>
      <c r="O5653">
        <v>1.1791869999999999E-2</v>
      </c>
      <c r="P5653">
        <v>0.99745289999999998</v>
      </c>
      <c r="Q5653">
        <v>-1.8936120000000001E-2</v>
      </c>
      <c r="R5653">
        <v>6.8771819999999997E-2</v>
      </c>
      <c r="S5653">
        <v>2.992645</v>
      </c>
      <c r="T5653">
        <v>-0.30202420000000002</v>
      </c>
      <c r="U5653">
        <v>0.1332092</v>
      </c>
      <c r="V5653">
        <v>-5.7007500000000003E-2</v>
      </c>
      <c r="W5653">
        <v>-4.8684119999999999E-3</v>
      </c>
      <c r="X5653">
        <v>0.99836190000000002</v>
      </c>
      <c r="Y5653">
        <v>-3.2578349999999999E-2</v>
      </c>
      <c r="Z5653">
        <v>4.5248629999999998E-4</v>
      </c>
      <c r="AA5653">
        <v>0.999469099999999</v>
      </c>
      <c r="AB5653">
        <v>18</v>
      </c>
      <c r="AC5653">
        <v>0.68940000000000601</v>
      </c>
      <c r="AD5653">
        <v>-7.9055000000000097E-2</v>
      </c>
      <c r="AE5653">
        <v>3.4030000000008401E-2</v>
      </c>
      <c r="AF5653">
        <v>-2.55621985797016E-2</v>
      </c>
      <c r="AG5653">
        <v>-7.9055000000000097E-2</v>
      </c>
      <c r="AH5653">
        <v>0.68082251893118195</v>
      </c>
      <c r="AI5653">
        <v>96.618724563489195</v>
      </c>
      <c r="AJ5653">
        <v>92.150220377740396</v>
      </c>
      <c r="AK5653">
        <v>0.685873473247819</v>
      </c>
    </row>
    <row r="5654" spans="1:37" x14ac:dyDescent="0.2">
      <c r="A5654" t="str">
        <f>"20200111160328126"</f>
        <v>20200111160328126</v>
      </c>
      <c r="B5654" t="str">
        <f>"1578729808118850"</f>
        <v>1578729808118850</v>
      </c>
      <c r="C5654" t="s">
        <v>37</v>
      </c>
      <c r="D5654">
        <v>5.3488239999999996</v>
      </c>
      <c r="E5654">
        <v>0.52165159999999999</v>
      </c>
      <c r="F5654" t="s">
        <v>74</v>
      </c>
      <c r="G5654">
        <v>-169.244</v>
      </c>
      <c r="H5654">
        <v>13.155419999999999</v>
      </c>
      <c r="I5654">
        <v>-54.205179999999999</v>
      </c>
      <c r="J5654">
        <v>-226.86340000000001</v>
      </c>
      <c r="K5654">
        <v>1.104271</v>
      </c>
      <c r="L5654">
        <v>-61.897640000000003</v>
      </c>
      <c r="M5654">
        <v>0.99983609999999901</v>
      </c>
      <c r="N5654">
        <v>0</v>
      </c>
      <c r="O5654">
        <v>1.1427379999999999E-2</v>
      </c>
      <c r="P5654">
        <v>0.99749219999999905</v>
      </c>
      <c r="Q5654">
        <v>-1.8725490000000001E-2</v>
      </c>
      <c r="R5654">
        <v>6.825697E-2</v>
      </c>
      <c r="S5654">
        <v>2.9920200000000001</v>
      </c>
      <c r="T5654">
        <v>0.62455260000000001</v>
      </c>
      <c r="U5654">
        <v>0.39871220000000002</v>
      </c>
      <c r="V5654">
        <v>-5.6856160000000003E-2</v>
      </c>
      <c r="W5654">
        <v>-4.6608129999999998E-3</v>
      </c>
      <c r="X5654">
        <v>0.99837149999999997</v>
      </c>
      <c r="Y5654">
        <v>-0.1184871</v>
      </c>
      <c r="Z5654">
        <v>-9.8328519999999996E-3</v>
      </c>
      <c r="AA5654">
        <v>0.99290689999999904</v>
      </c>
      <c r="AB5654">
        <v>18</v>
      </c>
      <c r="AC5654">
        <v>57.619399999999899</v>
      </c>
      <c r="AD5654">
        <v>12.051149000000001</v>
      </c>
      <c r="AE5654">
        <v>7.6924599999999899</v>
      </c>
      <c r="AF5654">
        <v>-6.7436258500291597</v>
      </c>
      <c r="AG5654">
        <v>12.051149000000001</v>
      </c>
      <c r="AH5654">
        <v>55.3257557878309</v>
      </c>
      <c r="AI5654">
        <v>77.799247751854594</v>
      </c>
      <c r="AJ5654">
        <v>96.949470077258994</v>
      </c>
      <c r="AK5654">
        <v>57.023205235413499</v>
      </c>
    </row>
    <row r="5655" spans="1:37" x14ac:dyDescent="0.2">
      <c r="A5655" t="str">
        <f>"20200111160328141"</f>
        <v>20200111160328141</v>
      </c>
      <c r="B5655" t="str">
        <f>"1578729808139346"</f>
        <v>1578729808139346</v>
      </c>
      <c r="C5655" t="s">
        <v>37</v>
      </c>
      <c r="D5655">
        <v>5.0967419999999999</v>
      </c>
      <c r="E5655">
        <v>0.52801940000000003</v>
      </c>
      <c r="F5655" t="s">
        <v>99</v>
      </c>
      <c r="G5655">
        <v>-212.5926</v>
      </c>
      <c r="H5655" s="1">
        <v>-4.3562220000000002E-7</v>
      </c>
      <c r="I5655">
        <v>-61.7155699999999</v>
      </c>
      <c r="J5655">
        <v>-226.75579999999999</v>
      </c>
      <c r="K5655">
        <v>1.1042719999999999</v>
      </c>
      <c r="L5655">
        <v>-61.896850000000001</v>
      </c>
      <c r="M5655">
        <v>0.999839899999999</v>
      </c>
      <c r="N5655">
        <v>0</v>
      </c>
      <c r="O5655">
        <v>1.108161E-2</v>
      </c>
      <c r="P5655">
        <v>0.99755020000000005</v>
      </c>
      <c r="Q5655">
        <v>-1.8345670000000001E-2</v>
      </c>
      <c r="R5655">
        <v>6.7507259999999999E-2</v>
      </c>
      <c r="S5655">
        <v>3.0005489999999999</v>
      </c>
      <c r="T5655">
        <v>-0.23218049999999901</v>
      </c>
      <c r="U5655">
        <v>3.8269039999999997E-2</v>
      </c>
      <c r="V5655">
        <v>-5.6451130000000002E-2</v>
      </c>
      <c r="W5655">
        <v>-4.2837559999999997E-3</v>
      </c>
      <c r="X5655">
        <v>0.99839619999999996</v>
      </c>
      <c r="Y5655">
        <v>-1.6984350000000001E-3</v>
      </c>
      <c r="Z5655">
        <v>-7.9061820000000005E-4</v>
      </c>
      <c r="AA5655">
        <v>0.99999830000000001</v>
      </c>
      <c r="AB5655">
        <v>18</v>
      </c>
      <c r="AC5655">
        <v>14.1631999999999</v>
      </c>
      <c r="AD5655">
        <v>-1.1042724356222</v>
      </c>
      <c r="AE5655">
        <v>0.18128000000000799</v>
      </c>
      <c r="AF5655">
        <v>-2.4155500336155201E-2</v>
      </c>
      <c r="AG5655">
        <v>-1.1042724356222</v>
      </c>
      <c r="AH5655">
        <v>14.078768905207699</v>
      </c>
      <c r="AI5655">
        <v>94.484822976301899</v>
      </c>
      <c r="AJ5655">
        <v>90.098304537317503</v>
      </c>
      <c r="AK5655">
        <v>14.1220301297836</v>
      </c>
    </row>
    <row r="5656" spans="1:37" x14ac:dyDescent="0.2">
      <c r="A5656" t="str">
        <f>"20200111160328153"</f>
        <v>20200111160328153</v>
      </c>
      <c r="B5656" t="str">
        <f>"1578729808149106"</f>
        <v>1578729808149106</v>
      </c>
      <c r="C5656" t="s">
        <v>37</v>
      </c>
      <c r="D5656">
        <v>5.1608849999999897</v>
      </c>
      <c r="E5656">
        <v>0.53073879999999996</v>
      </c>
      <c r="F5656" t="s">
        <v>42</v>
      </c>
      <c r="G5656">
        <v>-225.96680000000001</v>
      </c>
      <c r="H5656">
        <v>1.041609</v>
      </c>
      <c r="I5656">
        <v>-61.900769999999902</v>
      </c>
      <c r="J5656">
        <v>-226.66759999999999</v>
      </c>
      <c r="K5656">
        <v>1.1042730000000001</v>
      </c>
      <c r="L5656">
        <v>-61.896180000000001</v>
      </c>
      <c r="M5656">
        <v>0.99984309999999998</v>
      </c>
      <c r="N5656">
        <v>0</v>
      </c>
      <c r="O5656">
        <v>1.0798169999999999E-2</v>
      </c>
      <c r="P5656">
        <v>0.99758429999999998</v>
      </c>
      <c r="Q5656">
        <v>-1.8426850000000002E-2</v>
      </c>
      <c r="R5656">
        <v>6.6978070000000001E-2</v>
      </c>
      <c r="S5656">
        <v>3.0039829999999998</v>
      </c>
      <c r="T5656">
        <v>-0.23852390000000001</v>
      </c>
      <c r="U5656">
        <v>-1.4495849999999999E-2</v>
      </c>
      <c r="V5656">
        <v>-5.620402E-2</v>
      </c>
      <c r="W5656">
        <v>-4.367269E-3</v>
      </c>
      <c r="X5656">
        <v>0.99840969999999996</v>
      </c>
      <c r="Y5656">
        <v>1.554142E-2</v>
      </c>
      <c r="Z5656">
        <v>-1.472169E-3</v>
      </c>
      <c r="AA5656">
        <v>0.99987819999999905</v>
      </c>
      <c r="AB5656">
        <v>18</v>
      </c>
      <c r="AC5656">
        <v>0.70079999999998599</v>
      </c>
      <c r="AD5656">
        <v>-6.2663999999999997E-2</v>
      </c>
      <c r="AE5656">
        <v>-4.5899999999861E-3</v>
      </c>
      <c r="AF5656">
        <v>1.20614026899138E-2</v>
      </c>
      <c r="AG5656">
        <v>-6.2663999999999997E-2</v>
      </c>
      <c r="AH5656">
        <v>0.69515168767679403</v>
      </c>
      <c r="AI5656">
        <v>95.150197884519102</v>
      </c>
      <c r="AJ5656">
        <v>89.005975033021699</v>
      </c>
      <c r="AK5656">
        <v>0.69807458284250901</v>
      </c>
    </row>
    <row r="5657" spans="1:37" x14ac:dyDescent="0.2">
      <c r="A5657" t="str">
        <f>"20200111160328163"</f>
        <v>20200111160328163</v>
      </c>
      <c r="B5657" t="str">
        <f>"1578729808158865"</f>
        <v>1578729808158865</v>
      </c>
      <c r="C5657" t="s">
        <v>37</v>
      </c>
      <c r="D5657">
        <v>5.349043</v>
      </c>
      <c r="E5657">
        <v>0.53251210000000004</v>
      </c>
      <c r="F5657" t="s">
        <v>42</v>
      </c>
      <c r="G5657">
        <v>-225.81559999999999</v>
      </c>
      <c r="H5657">
        <v>1.0368059999999999</v>
      </c>
      <c r="I5657">
        <v>-61.907150000000001</v>
      </c>
      <c r="J5657">
        <v>-226.577</v>
      </c>
      <c r="K5657">
        <v>1.104279</v>
      </c>
      <c r="L5657">
        <v>-61.8955699999999</v>
      </c>
      <c r="M5657">
        <v>0.99984629999999997</v>
      </c>
      <c r="N5657">
        <v>0</v>
      </c>
      <c r="O5657">
        <v>1.050657E-2</v>
      </c>
      <c r="P5657">
        <v>0.99761829999999996</v>
      </c>
      <c r="Q5657">
        <v>-1.8488859999999999E-2</v>
      </c>
      <c r="R5657">
        <v>6.6455650000000005E-2</v>
      </c>
      <c r="S5657">
        <v>3.005417</v>
      </c>
      <c r="T5657">
        <v>-0.23786779999999999</v>
      </c>
      <c r="U5657">
        <v>-3.7902829999999998E-2</v>
      </c>
      <c r="V5657">
        <v>-5.5972630000000002E-2</v>
      </c>
      <c r="W5657">
        <v>-4.4316579999999998E-3</v>
      </c>
      <c r="X5657">
        <v>0.99842240000000004</v>
      </c>
      <c r="Y5657">
        <v>2.3011770000000001E-2</v>
      </c>
      <c r="Z5657">
        <v>-1.7395010000000001E-3</v>
      </c>
      <c r="AA5657">
        <v>0.99973369999999995</v>
      </c>
      <c r="AB5657">
        <v>17</v>
      </c>
      <c r="AC5657">
        <v>0.76140000000000896</v>
      </c>
      <c r="AD5657">
        <v>-6.7473000000000102E-2</v>
      </c>
      <c r="AE5657">
        <v>-1.1580000000009199E-2</v>
      </c>
      <c r="AF5657">
        <v>1.9427324110271E-2</v>
      </c>
      <c r="AG5657">
        <v>-6.7473000000000102E-2</v>
      </c>
      <c r="AH5657">
        <v>0.755306257185408</v>
      </c>
      <c r="AI5657">
        <v>95.103115991547895</v>
      </c>
      <c r="AJ5657">
        <v>88.526613148031601</v>
      </c>
      <c r="AK5657">
        <v>0.758562831144866</v>
      </c>
    </row>
    <row r="5658" spans="1:37" x14ac:dyDescent="0.2">
      <c r="A5658" t="str">
        <f>"20200111160328175"</f>
        <v>20200111160328175</v>
      </c>
      <c r="B5658" t="str">
        <f>"1578729808168626"</f>
        <v>1578729808168626</v>
      </c>
      <c r="C5658" t="s">
        <v>37</v>
      </c>
      <c r="D5658">
        <v>5.0852979999999999</v>
      </c>
      <c r="E5658">
        <v>0.53374370000000004</v>
      </c>
      <c r="F5658" t="s">
        <v>42</v>
      </c>
      <c r="G5658">
        <v>-225.80879999999999</v>
      </c>
      <c r="H5658">
        <v>1.044862</v>
      </c>
      <c r="I5658">
        <v>-61.909519999999901</v>
      </c>
      <c r="J5658">
        <v>-226.4914</v>
      </c>
      <c r="K5658">
        <v>1.104279</v>
      </c>
      <c r="L5658">
        <v>-61.89499</v>
      </c>
      <c r="M5658">
        <v>0.99984910000000005</v>
      </c>
      <c r="N5658">
        <v>0</v>
      </c>
      <c r="O5658">
        <v>1.023159E-2</v>
      </c>
      <c r="P5658">
        <v>0.99765780000000004</v>
      </c>
      <c r="Q5658">
        <v>-1.8484029999999999E-2</v>
      </c>
      <c r="R5658">
        <v>6.5858699999999895E-2</v>
      </c>
      <c r="S5658">
        <v>3.006424</v>
      </c>
      <c r="T5658">
        <v>-0.2323848</v>
      </c>
      <c r="U5658">
        <v>-5.3741459999999998E-2</v>
      </c>
      <c r="V5658">
        <v>-5.5649829999999997E-2</v>
      </c>
      <c r="W5658">
        <v>-4.4290880000000003E-3</v>
      </c>
      <c r="X5658">
        <v>0.99844049999999995</v>
      </c>
      <c r="Y5658">
        <v>2.7988740000000002E-2</v>
      </c>
      <c r="Z5658">
        <v>-1.8697200000000001E-3</v>
      </c>
      <c r="AA5658">
        <v>0.99960649999999995</v>
      </c>
      <c r="AB5658">
        <v>17</v>
      </c>
      <c r="AC5658">
        <v>0.68260000000000698</v>
      </c>
      <c r="AD5658">
        <v>-5.9416999999999803E-2</v>
      </c>
      <c r="AE5658">
        <v>-1.4529999999993401E-2</v>
      </c>
      <c r="AF5658">
        <v>2.1352301000538702E-2</v>
      </c>
      <c r="AG5658">
        <v>-5.9416999999999803E-2</v>
      </c>
      <c r="AH5658">
        <v>0.67728620919448101</v>
      </c>
      <c r="AI5658">
        <v>95.011134505395304</v>
      </c>
      <c r="AJ5658">
        <v>88.194276449518398</v>
      </c>
      <c r="AK5658">
        <v>0.68022269133868796</v>
      </c>
    </row>
    <row r="5659" spans="1:37" x14ac:dyDescent="0.2">
      <c r="A5659" t="str">
        <f>"20200111160328186"</f>
        <v>20200111160328186</v>
      </c>
      <c r="B5659" t="str">
        <f>"1578729808179362"</f>
        <v>1578729808179362</v>
      </c>
      <c r="C5659" t="s">
        <v>37</v>
      </c>
      <c r="D5659">
        <v>5.101235</v>
      </c>
      <c r="E5659">
        <v>0.5344795</v>
      </c>
      <c r="F5659" t="s">
        <v>42</v>
      </c>
      <c r="G5659">
        <v>-225.65819999999999</v>
      </c>
      <c r="H5659">
        <v>1.0395399999999999</v>
      </c>
      <c r="I5659">
        <v>-61.913150000000002</v>
      </c>
      <c r="J5659">
        <v>-226.4024</v>
      </c>
      <c r="K5659">
        <v>1.1042799999999999</v>
      </c>
      <c r="L5659">
        <v>-61.894410000000001</v>
      </c>
      <c r="M5659">
        <v>0.99985199999999996</v>
      </c>
      <c r="N5659">
        <v>0</v>
      </c>
      <c r="O5659">
        <v>9.9454739999999993E-3</v>
      </c>
      <c r="P5659">
        <v>0.99769349999999901</v>
      </c>
      <c r="Q5659">
        <v>-1.839739E-2</v>
      </c>
      <c r="R5659">
        <v>6.5340309999999999E-2</v>
      </c>
      <c r="S5659">
        <v>3.007034</v>
      </c>
      <c r="T5659">
        <v>-0.2336212</v>
      </c>
      <c r="U5659">
        <v>-6.5307619999999997E-2</v>
      </c>
      <c r="V5659">
        <v>-5.541658E-2</v>
      </c>
      <c r="W5659">
        <v>-4.3448050000000002E-3</v>
      </c>
      <c r="X5659">
        <v>0.99845390000000001</v>
      </c>
      <c r="Y5659">
        <v>3.1531259999999998E-2</v>
      </c>
      <c r="Z5659">
        <v>-1.9943840000000001E-3</v>
      </c>
      <c r="AA5659">
        <v>0.99950079999999997</v>
      </c>
      <c r="AB5659">
        <v>17</v>
      </c>
      <c r="AC5659">
        <v>0.74420000000000597</v>
      </c>
      <c r="AD5659">
        <v>-6.4740000000000006E-2</v>
      </c>
      <c r="AE5659">
        <v>-1.8740000000000999E-2</v>
      </c>
      <c r="AF5659">
        <v>2.5945003574136798E-2</v>
      </c>
      <c r="AG5659">
        <v>-6.4740000000000006E-2</v>
      </c>
      <c r="AH5659">
        <v>0.73839237142745395</v>
      </c>
      <c r="AI5659">
        <v>95.007632010403896</v>
      </c>
      <c r="AJ5659">
        <v>87.987617499142402</v>
      </c>
      <c r="AK5659">
        <v>0.741678977046485</v>
      </c>
    </row>
    <row r="5660" spans="1:37" x14ac:dyDescent="0.2">
      <c r="A5660" t="str">
        <f>"20200111160328197"</f>
        <v>20200111160328197</v>
      </c>
      <c r="B5660" t="str">
        <f>"1578729808189121"</f>
        <v>1578729808189121</v>
      </c>
      <c r="C5660" t="s">
        <v>37</v>
      </c>
      <c r="D5660">
        <v>5.1070609999999999</v>
      </c>
      <c r="E5660">
        <v>0.535163099999999</v>
      </c>
      <c r="F5660" t="s">
        <v>42</v>
      </c>
      <c r="G5660">
        <v>-225.65219999999999</v>
      </c>
      <c r="H5660">
        <v>1.0462400000000001</v>
      </c>
      <c r="I5660">
        <v>-61.91263</v>
      </c>
      <c r="J5660">
        <v>-226.31729999999999</v>
      </c>
      <c r="K5660">
        <v>1.104285</v>
      </c>
      <c r="L5660">
        <v>-61.893889999999999</v>
      </c>
      <c r="M5660">
        <v>0.99985489999999999</v>
      </c>
      <c r="N5660">
        <v>0</v>
      </c>
      <c r="O5660">
        <v>9.6717499999999998E-3</v>
      </c>
      <c r="P5660">
        <v>0.99774439999999998</v>
      </c>
      <c r="Q5660">
        <v>-1.8255750000000001E-2</v>
      </c>
      <c r="R5660">
        <v>6.4597009999999996E-2</v>
      </c>
      <c r="S5660">
        <v>3.00740099999999</v>
      </c>
      <c r="T5660">
        <v>-0.23263420000000001</v>
      </c>
      <c r="U5660">
        <v>-7.2784420000000002E-2</v>
      </c>
      <c r="V5660">
        <v>-5.4945729999999998E-2</v>
      </c>
      <c r="W5660">
        <v>-4.2053890000000003E-3</v>
      </c>
      <c r="X5660">
        <v>0.99848049999999999</v>
      </c>
      <c r="Y5660">
        <v>3.3733829999999999E-2</v>
      </c>
      <c r="Z5660">
        <v>-2.0495959999999999E-3</v>
      </c>
      <c r="AA5660">
        <v>0.99942869999999995</v>
      </c>
      <c r="AB5660">
        <v>17</v>
      </c>
      <c r="AC5660">
        <v>0.66509999999999503</v>
      </c>
      <c r="AD5660">
        <v>-5.8044999999999902E-2</v>
      </c>
      <c r="AE5660">
        <v>-1.8740000000008201E-2</v>
      </c>
      <c r="AF5660">
        <v>2.4982309830980098E-2</v>
      </c>
      <c r="AG5660">
        <v>-5.8044999999999902E-2</v>
      </c>
      <c r="AH5660">
        <v>0.65986573524770697</v>
      </c>
      <c r="AI5660">
        <v>95.023495426494094</v>
      </c>
      <c r="AJ5660">
        <v>87.831835274668805</v>
      </c>
      <c r="AK5660">
        <v>0.66288470067085403</v>
      </c>
    </row>
    <row r="5661" spans="1:37" x14ac:dyDescent="0.2">
      <c r="A5661" t="str">
        <f>"20200111160328207"</f>
        <v>20200111160328207</v>
      </c>
      <c r="B5661" t="str">
        <f>"1578729808198882"</f>
        <v>1578729808198882</v>
      </c>
      <c r="C5661" t="s">
        <v>37</v>
      </c>
      <c r="D5661">
        <v>5.0675400000000002</v>
      </c>
      <c r="E5661">
        <v>0.53551789999999999</v>
      </c>
      <c r="F5661" t="s">
        <v>42</v>
      </c>
      <c r="G5661">
        <v>-225.50200000000001</v>
      </c>
      <c r="H5661">
        <v>1.0408679999999999</v>
      </c>
      <c r="I5661">
        <v>-61.915999999999997</v>
      </c>
      <c r="J5661">
        <v>-226.23150000000001</v>
      </c>
      <c r="K5661">
        <v>1.1042860000000001</v>
      </c>
      <c r="L5661">
        <v>-61.893369999999997</v>
      </c>
      <c r="M5661">
        <v>0.99985740000000001</v>
      </c>
      <c r="N5661">
        <v>0</v>
      </c>
      <c r="O5661">
        <v>9.3961189999999997E-3</v>
      </c>
      <c r="P5661">
        <v>0.99778120000000003</v>
      </c>
      <c r="Q5661">
        <v>-1.8165609999999999E-2</v>
      </c>
      <c r="R5661">
        <v>6.4054529999999998E-2</v>
      </c>
      <c r="S5661">
        <v>3.0076749999999999</v>
      </c>
      <c r="T5661">
        <v>-0.23379429999999901</v>
      </c>
      <c r="U5661">
        <v>-8.0413819999999997E-2</v>
      </c>
      <c r="V5661">
        <v>-5.4678659999999997E-2</v>
      </c>
      <c r="W5661">
        <v>-4.1175070000000003E-3</v>
      </c>
      <c r="X5661">
        <v>0.99849549999999998</v>
      </c>
      <c r="Y5661">
        <v>3.598237E-2</v>
      </c>
      <c r="Z5661">
        <v>-2.1253879999999902E-3</v>
      </c>
      <c r="AA5661">
        <v>0.99935019999999997</v>
      </c>
      <c r="AB5661">
        <v>17</v>
      </c>
      <c r="AC5661">
        <v>0.72950000000000104</v>
      </c>
      <c r="AD5661">
        <v>-6.3417999999999905E-2</v>
      </c>
      <c r="AE5661">
        <v>-2.2630000000006499E-2</v>
      </c>
      <c r="AF5661">
        <v>2.92632023516592E-2</v>
      </c>
      <c r="AG5661">
        <v>-6.3417999999999905E-2</v>
      </c>
      <c r="AH5661">
        <v>0.72379039421033797</v>
      </c>
      <c r="AI5661">
        <v>95.0033605096218</v>
      </c>
      <c r="AJ5661">
        <v>87.684764360968103</v>
      </c>
      <c r="AK5661">
        <v>0.72715246852845905</v>
      </c>
    </row>
    <row r="5662" spans="1:37" x14ac:dyDescent="0.2">
      <c r="A5662" t="str">
        <f>"20200111160328219"</f>
        <v>20200111160328219</v>
      </c>
      <c r="B5662" t="str">
        <f>"1578729808208643"</f>
        <v>1578729808208643</v>
      </c>
      <c r="C5662" t="s">
        <v>37</v>
      </c>
      <c r="D5662">
        <v>5.0544190000000002</v>
      </c>
      <c r="E5662">
        <v>0.53578510000000001</v>
      </c>
      <c r="F5662" t="s">
        <v>42</v>
      </c>
      <c r="G5662">
        <v>-225.49629999999999</v>
      </c>
      <c r="H5662">
        <v>1.0470250000000001</v>
      </c>
      <c r="I5662">
        <v>-61.914430000000003</v>
      </c>
      <c r="J5662">
        <v>-226.1454</v>
      </c>
      <c r="K5662">
        <v>1.1042860000000001</v>
      </c>
      <c r="L5662">
        <v>-61.892910000000001</v>
      </c>
      <c r="M5662">
        <v>0.99986010000000003</v>
      </c>
      <c r="N5662">
        <v>0</v>
      </c>
      <c r="O5662">
        <v>9.1194740000000007E-3</v>
      </c>
      <c r="P5662">
        <v>0.99781129999999996</v>
      </c>
      <c r="Q5662">
        <v>-1.812223E-2</v>
      </c>
      <c r="R5662">
        <v>6.3599169999999997E-2</v>
      </c>
      <c r="S5662">
        <v>3.0078580000000001</v>
      </c>
      <c r="T5662">
        <v>-0.2341433</v>
      </c>
      <c r="U5662">
        <v>-8.4899899999999903E-2</v>
      </c>
      <c r="V5662">
        <v>-5.449917E-2</v>
      </c>
      <c r="W5662">
        <v>-4.0764E-3</v>
      </c>
      <c r="X5662">
        <v>0.99850550000000005</v>
      </c>
      <c r="Y5662">
        <v>3.7190359999999999E-2</v>
      </c>
      <c r="Z5662">
        <v>-2.1538149999999999E-3</v>
      </c>
      <c r="AA5662">
        <v>0.99930589999999997</v>
      </c>
      <c r="AB5662">
        <v>17</v>
      </c>
      <c r="AC5662">
        <v>0.64910000000000401</v>
      </c>
      <c r="AD5662">
        <v>-5.7260999999999999E-2</v>
      </c>
      <c r="AE5662">
        <v>-2.1520000000002398E-2</v>
      </c>
      <c r="AF5662">
        <v>2.7227484233787201E-2</v>
      </c>
      <c r="AG5662">
        <v>-5.7260999999999999E-2</v>
      </c>
      <c r="AH5662">
        <v>0.64387158603363803</v>
      </c>
      <c r="AI5662">
        <v>95.0775632255978</v>
      </c>
      <c r="AJ5662">
        <v>87.578568325104897</v>
      </c>
      <c r="AK5662">
        <v>0.64698591740483302</v>
      </c>
    </row>
    <row r="5663" spans="1:37" x14ac:dyDescent="0.2">
      <c r="A5663" t="str">
        <f>"20200111160328232"</f>
        <v>20200111160328232</v>
      </c>
      <c r="B5663" t="str">
        <f>"1578729808218402"</f>
        <v>1578729808218402</v>
      </c>
      <c r="C5663" t="s">
        <v>37</v>
      </c>
      <c r="D5663">
        <v>5.0730059999999897</v>
      </c>
      <c r="E5663">
        <v>0.53619130000000004</v>
      </c>
      <c r="F5663" t="s">
        <v>42</v>
      </c>
      <c r="G5663">
        <v>-225.34610000000001</v>
      </c>
      <c r="H5663">
        <v>1.04183</v>
      </c>
      <c r="I5663">
        <v>-61.916440000000001</v>
      </c>
      <c r="J5663">
        <v>-226.0564</v>
      </c>
      <c r="K5663">
        <v>1.1042879999999999</v>
      </c>
      <c r="L5663">
        <v>-61.892429999999997</v>
      </c>
      <c r="M5663">
        <v>0.99986269999999999</v>
      </c>
      <c r="N5663">
        <v>0</v>
      </c>
      <c r="O5663">
        <v>8.833235E-3</v>
      </c>
      <c r="P5663">
        <v>0.99783580000000005</v>
      </c>
      <c r="Q5663">
        <v>-1.82382E-2</v>
      </c>
      <c r="R5663">
        <v>6.3176070000000001E-2</v>
      </c>
      <c r="S5663">
        <v>3.007965</v>
      </c>
      <c r="T5663">
        <v>-0.23499819999999999</v>
      </c>
      <c r="U5663">
        <v>-8.8317870000000007E-2</v>
      </c>
      <c r="V5663">
        <v>-5.436154E-2</v>
      </c>
      <c r="W5663">
        <v>-4.1947540000000002E-3</v>
      </c>
      <c r="X5663">
        <v>0.99851250000000003</v>
      </c>
      <c r="Y5663">
        <v>3.8035140000000002E-2</v>
      </c>
      <c r="Z5663">
        <v>-2.1721599999999998E-3</v>
      </c>
      <c r="AA5663">
        <v>0.999274</v>
      </c>
      <c r="AB5663">
        <v>17</v>
      </c>
      <c r="AC5663">
        <v>0.71029999999998905</v>
      </c>
      <c r="AD5663">
        <v>-6.2457999999999902E-2</v>
      </c>
      <c r="AE5663">
        <v>-2.4009999999996898E-2</v>
      </c>
      <c r="AF5663">
        <v>3.0051830706184401E-2</v>
      </c>
      <c r="AG5663">
        <v>-6.2457999999999902E-2</v>
      </c>
      <c r="AH5663">
        <v>0.70461827730067295</v>
      </c>
      <c r="AI5663">
        <v>95.060933446315403</v>
      </c>
      <c r="AJ5663">
        <v>87.557826350252597</v>
      </c>
      <c r="AK5663">
        <v>0.70801908943118297</v>
      </c>
    </row>
    <row r="5664" spans="1:37" x14ac:dyDescent="0.2">
      <c r="A5664" t="str">
        <f>"20200111160328242"</f>
        <v>20200111160328242</v>
      </c>
      <c r="B5664" t="str">
        <f>"1578729808238898"</f>
        <v>1578729808238898</v>
      </c>
      <c r="C5664" t="s">
        <v>37</v>
      </c>
      <c r="D5664">
        <v>5.2951059999999996</v>
      </c>
      <c r="E5664">
        <v>0.53572500000000001</v>
      </c>
      <c r="F5664" t="s">
        <v>42</v>
      </c>
      <c r="G5664">
        <v>-225.19479999999999</v>
      </c>
      <c r="H5664">
        <v>1.0364450000000001</v>
      </c>
      <c r="I5664">
        <v>-61.919309999999903</v>
      </c>
      <c r="J5664">
        <v>-225.96129999999999</v>
      </c>
      <c r="K5664">
        <v>1.104287</v>
      </c>
      <c r="L5664">
        <v>-61.891969999999901</v>
      </c>
      <c r="M5664">
        <v>0.99986520000000001</v>
      </c>
      <c r="N5664">
        <v>0</v>
      </c>
      <c r="O5664">
        <v>8.5277459999999992E-3</v>
      </c>
      <c r="P5664">
        <v>0.99788140000000003</v>
      </c>
      <c r="Q5664">
        <v>-1.8246930000000001E-2</v>
      </c>
      <c r="R5664">
        <v>6.2447469999999998E-2</v>
      </c>
      <c r="S5664">
        <v>3.008057</v>
      </c>
      <c r="T5664">
        <v>-0.23673159999999999</v>
      </c>
      <c r="U5664">
        <v>-9.2742920000000006E-2</v>
      </c>
      <c r="V5664">
        <v>-5.3937770000000003E-2</v>
      </c>
      <c r="W5664">
        <v>-4.2059699999999998E-3</v>
      </c>
      <c r="X5664">
        <v>0.99853549999999902</v>
      </c>
      <c r="Y5664">
        <v>3.9192860000000003E-2</v>
      </c>
      <c r="Z5664">
        <v>-2.2094929999999999E-3</v>
      </c>
      <c r="AA5664">
        <v>0.99922919999999904</v>
      </c>
      <c r="AB5664">
        <v>17</v>
      </c>
      <c r="AC5664">
        <v>0.76650000000000695</v>
      </c>
      <c r="AD5664">
        <v>-6.7841999999999902E-2</v>
      </c>
      <c r="AE5664">
        <v>-2.73400000000023E-2</v>
      </c>
      <c r="AF5664">
        <v>3.3613181805102997E-2</v>
      </c>
      <c r="AG5664">
        <v>-6.7841999999999902E-2</v>
      </c>
      <c r="AH5664">
        <v>0.76029054867764201</v>
      </c>
      <c r="AI5664">
        <v>95.094143685610305</v>
      </c>
      <c r="AJ5664">
        <v>87.468546549401196</v>
      </c>
      <c r="AK5664">
        <v>0.76405111174816798</v>
      </c>
    </row>
    <row r="5665" spans="1:37" x14ac:dyDescent="0.2">
      <c r="A5665" t="str">
        <f>"20200111160328254"</f>
        <v>20200111160328254</v>
      </c>
      <c r="B5665" t="str">
        <f>"1578729808248658"</f>
        <v>1578729808248658</v>
      </c>
      <c r="C5665" t="s">
        <v>37</v>
      </c>
      <c r="D5665">
        <v>5.1187100000000001</v>
      </c>
      <c r="E5665">
        <v>0.53554219999999997</v>
      </c>
      <c r="F5665" t="s">
        <v>42</v>
      </c>
      <c r="G5665">
        <v>-225.19069999999999</v>
      </c>
      <c r="H5665">
        <v>1.042494</v>
      </c>
      <c r="I5665">
        <v>-61.91563</v>
      </c>
      <c r="J5665">
        <v>-225.87649999999999</v>
      </c>
      <c r="K5665">
        <v>1.1042909999999999</v>
      </c>
      <c r="L5665">
        <v>-61.891539999999999</v>
      </c>
      <c r="M5665">
        <v>0.99986769999999903</v>
      </c>
      <c r="N5665">
        <v>0</v>
      </c>
      <c r="O5665">
        <v>8.2548559999999997E-3</v>
      </c>
      <c r="P5665">
        <v>0.99791559999999901</v>
      </c>
      <c r="Q5665">
        <v>-1.8657360000000001E-2</v>
      </c>
      <c r="R5665">
        <v>6.1780059999999998E-2</v>
      </c>
      <c r="S5665">
        <v>3.00766</v>
      </c>
      <c r="T5665">
        <v>-0.24104049999999999</v>
      </c>
      <c r="U5665">
        <v>-9.1094969999999997E-2</v>
      </c>
      <c r="V5665">
        <v>-5.3542960000000001E-2</v>
      </c>
      <c r="W5665">
        <v>-4.6186730000000002E-3</v>
      </c>
      <c r="X5665">
        <v>0.99855490000000002</v>
      </c>
      <c r="Y5665">
        <v>3.837525E-2</v>
      </c>
      <c r="Z5665">
        <v>-2.1953599999999999E-3</v>
      </c>
      <c r="AA5665">
        <v>0.99926099999999995</v>
      </c>
      <c r="AB5665">
        <v>17</v>
      </c>
      <c r="AC5665">
        <v>0.68579999999999997</v>
      </c>
      <c r="AD5665">
        <v>-6.1796999999999797E-2</v>
      </c>
      <c r="AE5665">
        <v>-2.4090000000008101E-2</v>
      </c>
      <c r="AF5665">
        <v>2.9511585589212599E-2</v>
      </c>
      <c r="AG5665">
        <v>-6.1796999999999797E-2</v>
      </c>
      <c r="AH5665">
        <v>0.68006265226238505</v>
      </c>
      <c r="AI5665">
        <v>95.187327697831293</v>
      </c>
      <c r="AJ5665">
        <v>87.515186155316002</v>
      </c>
      <c r="AK5665">
        <v>0.68350202186616804</v>
      </c>
    </row>
    <row r="5666" spans="1:37" x14ac:dyDescent="0.2">
      <c r="A5666" t="str">
        <f>"20200111160328265"</f>
        <v>20200111160328265</v>
      </c>
      <c r="B5666" t="str">
        <f>"1578729808258418"</f>
        <v>1578729808258418</v>
      </c>
      <c r="C5666" t="s">
        <v>37</v>
      </c>
      <c r="D5666">
        <v>5.0816499999999998</v>
      </c>
      <c r="E5666">
        <v>0.53546380000000005</v>
      </c>
      <c r="F5666" t="s">
        <v>42</v>
      </c>
      <c r="G5666">
        <v>-225.04069999999999</v>
      </c>
      <c r="H5666">
        <v>1.0358590000000001</v>
      </c>
      <c r="I5666">
        <v>-61.917119999999997</v>
      </c>
      <c r="J5666">
        <v>-225.79</v>
      </c>
      <c r="K5666">
        <v>1.1042889999999901</v>
      </c>
      <c r="L5666">
        <v>-61.891169999999903</v>
      </c>
      <c r="M5666">
        <v>0.99986989999999998</v>
      </c>
      <c r="N5666">
        <v>0</v>
      </c>
      <c r="O5666">
        <v>7.9766619999999903E-3</v>
      </c>
      <c r="P5666">
        <v>0.99795769999999995</v>
      </c>
      <c r="Q5666">
        <v>-1.8481170000000002E-2</v>
      </c>
      <c r="R5666">
        <v>6.114787E-2</v>
      </c>
      <c r="S5666">
        <v>3.0073240000000001</v>
      </c>
      <c r="T5666">
        <v>-0.24614369999999999</v>
      </c>
      <c r="U5666">
        <v>-9.1644290000000003E-2</v>
      </c>
      <c r="V5666">
        <v>-5.3187789999999999E-2</v>
      </c>
      <c r="W5666">
        <v>-4.4446720000000002E-3</v>
      </c>
      <c r="X5666">
        <v>0.99857459999999898</v>
      </c>
      <c r="Y5666">
        <v>3.8277789999999999E-2</v>
      </c>
      <c r="Z5666">
        <v>-2.215219E-3</v>
      </c>
      <c r="AA5666">
        <v>0.99926469999999901</v>
      </c>
      <c r="AB5666">
        <v>17</v>
      </c>
      <c r="AC5666">
        <v>0.74930000000000496</v>
      </c>
      <c r="AD5666">
        <v>-6.8429999999999699E-2</v>
      </c>
      <c r="AE5666">
        <v>-2.59500000000016E-2</v>
      </c>
      <c r="AF5666">
        <v>3.1662912783431897E-2</v>
      </c>
      <c r="AG5666">
        <v>-6.8429999999999699E-2</v>
      </c>
      <c r="AH5666">
        <v>0.742880717460776</v>
      </c>
      <c r="AI5666">
        <v>95.258166536834594</v>
      </c>
      <c r="AJ5666">
        <v>87.559427936435299</v>
      </c>
      <c r="AK5666">
        <v>0.74669737197941699</v>
      </c>
    </row>
    <row r="5667" spans="1:37" x14ac:dyDescent="0.2">
      <c r="A5667" t="str">
        <f>"20200111160328275"</f>
        <v>20200111160328275</v>
      </c>
      <c r="B5667" t="str">
        <f>"1578729808269154"</f>
        <v>1578729808269154</v>
      </c>
      <c r="C5667" t="s">
        <v>37</v>
      </c>
      <c r="D5667">
        <v>5.0176879999999997</v>
      </c>
      <c r="E5667">
        <v>0.53535880000000002</v>
      </c>
      <c r="F5667" t="s">
        <v>42</v>
      </c>
      <c r="G5667">
        <v>-225.03659999999999</v>
      </c>
      <c r="H5667">
        <v>1.0420389999999999</v>
      </c>
      <c r="I5667">
        <v>-61.914519999999897</v>
      </c>
      <c r="J5667">
        <v>-225.7099</v>
      </c>
      <c r="K5667">
        <v>1.1042909999999999</v>
      </c>
      <c r="L5667">
        <v>-61.890839999999997</v>
      </c>
      <c r="M5667">
        <v>0.99987199999999998</v>
      </c>
      <c r="N5667">
        <v>0</v>
      </c>
      <c r="O5667">
        <v>7.7191480000000003E-3</v>
      </c>
      <c r="P5667">
        <v>0.99798449999999905</v>
      </c>
      <c r="Q5667">
        <v>-1.8707330000000001E-2</v>
      </c>
      <c r="R5667">
        <v>6.063988E-2</v>
      </c>
      <c r="S5667">
        <v>3.0072329999999998</v>
      </c>
      <c r="T5667">
        <v>-0.24841869999999999</v>
      </c>
      <c r="U5667">
        <v>-9.2742920000000006E-2</v>
      </c>
      <c r="V5667">
        <v>-5.2936799999999999E-2</v>
      </c>
      <c r="W5667">
        <v>-4.6729880000000003E-3</v>
      </c>
      <c r="X5667">
        <v>0.998587</v>
      </c>
      <c r="Y5667">
        <v>3.8383720000000003E-2</v>
      </c>
      <c r="Z5667">
        <v>-2.2188120000000001E-3</v>
      </c>
      <c r="AA5667">
        <v>0.99926059999999906</v>
      </c>
      <c r="AB5667">
        <v>17</v>
      </c>
      <c r="AC5667">
        <v>0.673300000000011</v>
      </c>
      <c r="AD5667">
        <v>-6.2251999999999898E-2</v>
      </c>
      <c r="AE5667">
        <v>-2.3679999999991701E-2</v>
      </c>
      <c r="AF5667">
        <v>2.8632643683670599E-2</v>
      </c>
      <c r="AG5667">
        <v>-6.2251999999999898E-2</v>
      </c>
      <c r="AH5667">
        <v>0.66739892452971605</v>
      </c>
      <c r="AI5667">
        <v>95.324007398487296</v>
      </c>
      <c r="AJ5667">
        <v>87.543411913023704</v>
      </c>
      <c r="AK5667">
        <v>0.67090719496196904</v>
      </c>
    </row>
    <row r="5668" spans="1:37" x14ac:dyDescent="0.2">
      <c r="A5668" t="str">
        <f>"20200111160328286"</f>
        <v>20200111160328286</v>
      </c>
      <c r="B5668" t="str">
        <f>"1578729808278914"</f>
        <v>1578729808278914</v>
      </c>
      <c r="C5668" t="s">
        <v>37</v>
      </c>
      <c r="D5668">
        <v>5.0648999999999997</v>
      </c>
      <c r="E5668">
        <v>0.53530349999999904</v>
      </c>
      <c r="F5668" t="s">
        <v>42</v>
      </c>
      <c r="G5668">
        <v>-224.88679999999999</v>
      </c>
      <c r="H5668">
        <v>1.035406</v>
      </c>
      <c r="I5668">
        <v>-61.91666</v>
      </c>
      <c r="J5668">
        <v>-225.619</v>
      </c>
      <c r="K5668">
        <v>1.1042940000000001</v>
      </c>
      <c r="L5668">
        <v>-61.890469999999901</v>
      </c>
      <c r="M5668">
        <v>0.99987429999999999</v>
      </c>
      <c r="N5668">
        <v>0</v>
      </c>
      <c r="O5668">
        <v>7.4264719999999999E-3</v>
      </c>
      <c r="P5668">
        <v>0.99803249999999999</v>
      </c>
      <c r="Q5668">
        <v>-1.8861579999999999E-2</v>
      </c>
      <c r="R5668">
        <v>5.9795929999999997E-2</v>
      </c>
      <c r="S5668">
        <v>3.0070039999999998</v>
      </c>
      <c r="T5668">
        <v>-0.2515039</v>
      </c>
      <c r="U5668">
        <v>-9.3383789999999994E-2</v>
      </c>
      <c r="V5668">
        <v>-5.238487E-2</v>
      </c>
      <c r="W5668">
        <v>-4.8296739999999999E-3</v>
      </c>
      <c r="X5668">
        <v>0.99861529999999998</v>
      </c>
      <c r="Y5668">
        <v>3.8303699999999899E-2</v>
      </c>
      <c r="Z5668">
        <v>-2.2186620000000002E-3</v>
      </c>
      <c r="AA5668">
        <v>0.99926369999999898</v>
      </c>
      <c r="AB5668">
        <v>17</v>
      </c>
      <c r="AC5668">
        <v>0.73220000000003405</v>
      </c>
      <c r="AD5668">
        <v>-6.8888000000000005E-2</v>
      </c>
      <c r="AE5668">
        <v>-2.6190000000006802E-2</v>
      </c>
      <c r="AF5668">
        <v>3.13503242986174E-2</v>
      </c>
      <c r="AG5668">
        <v>-6.8888000000000005E-2</v>
      </c>
      <c r="AH5668">
        <v>0.72557094131709099</v>
      </c>
      <c r="AI5668">
        <v>95.418559575101199</v>
      </c>
      <c r="AJ5668">
        <v>87.525914273057396</v>
      </c>
      <c r="AK5668">
        <v>0.72950777258463695</v>
      </c>
    </row>
    <row r="5669" spans="1:37" x14ac:dyDescent="0.2">
      <c r="A5669" t="str">
        <f>"20200111160328298"</f>
        <v>20200111160328298</v>
      </c>
      <c r="B5669" t="str">
        <f>"1578729808288674"</f>
        <v>1578729808288674</v>
      </c>
      <c r="C5669" t="s">
        <v>37</v>
      </c>
      <c r="D5669">
        <v>5.0712080000000004</v>
      </c>
      <c r="E5669">
        <v>0.53527519999999995</v>
      </c>
      <c r="F5669" t="s">
        <v>42</v>
      </c>
      <c r="G5669">
        <v>-224.88249999999999</v>
      </c>
      <c r="H5669">
        <v>1.0420579999999999</v>
      </c>
      <c r="I5669">
        <v>-61.914069999999903</v>
      </c>
      <c r="J5669">
        <v>-225.53819999999999</v>
      </c>
      <c r="K5669">
        <v>1.1042879999999999</v>
      </c>
      <c r="L5669">
        <v>-61.890169999999998</v>
      </c>
      <c r="M5669">
        <v>0.99987610000000005</v>
      </c>
      <c r="N5669">
        <v>0</v>
      </c>
      <c r="O5669">
        <v>7.1669919999999996E-3</v>
      </c>
      <c r="P5669">
        <v>0.99807860000000004</v>
      </c>
      <c r="Q5669">
        <v>-1.8903989999999999E-2</v>
      </c>
      <c r="R5669">
        <v>5.900615E-2</v>
      </c>
      <c r="S5669">
        <v>3.0068049999999999</v>
      </c>
      <c r="T5669">
        <v>-0.25391999999999998</v>
      </c>
      <c r="U5669">
        <v>-9.5336909999999997E-2</v>
      </c>
      <c r="V5669">
        <v>-5.1853919999999998E-2</v>
      </c>
      <c r="W5669">
        <v>-4.8741949999999996E-3</v>
      </c>
      <c r="X5669">
        <v>0.99864279999999905</v>
      </c>
      <c r="Y5669">
        <v>3.8691320000000001E-2</v>
      </c>
      <c r="Z5669">
        <v>-2.2344879999999902E-3</v>
      </c>
      <c r="AA5669">
        <v>0.99924869999999899</v>
      </c>
      <c r="AB5669">
        <v>17</v>
      </c>
      <c r="AC5669">
        <v>0.65569999999999595</v>
      </c>
      <c r="AD5669">
        <v>-6.2230000000000001E-2</v>
      </c>
      <c r="AE5669">
        <v>-2.38999999999975E-2</v>
      </c>
      <c r="AF5669">
        <v>2.83442807659323E-2</v>
      </c>
      <c r="AG5669">
        <v>-6.2230000000000001E-2</v>
      </c>
      <c r="AH5669">
        <v>0.64966793105495302</v>
      </c>
      <c r="AI5669">
        <v>95.4663516541615</v>
      </c>
      <c r="AJ5669">
        <v>87.501833879217997</v>
      </c>
      <c r="AK5669">
        <v>0.65325675793929705</v>
      </c>
    </row>
    <row r="5670" spans="1:37" x14ac:dyDescent="0.2">
      <c r="A5670" t="str">
        <f>"20200111160328310"</f>
        <v>20200111160328310</v>
      </c>
      <c r="B5670" t="str">
        <f>"1578729808298435"</f>
        <v>1578729808298435</v>
      </c>
      <c r="C5670" t="s">
        <v>37</v>
      </c>
      <c r="D5670">
        <v>5.0482490000000002</v>
      </c>
      <c r="E5670">
        <v>0.5352768</v>
      </c>
      <c r="F5670" t="s">
        <v>42</v>
      </c>
      <c r="G5670">
        <v>-224.7329</v>
      </c>
      <c r="H5670">
        <v>1.03555</v>
      </c>
      <c r="I5670">
        <v>-61.916240000000002</v>
      </c>
      <c r="J5670">
        <v>-225.44579999999999</v>
      </c>
      <c r="K5670">
        <v>1.1042879999999999</v>
      </c>
      <c r="L5670">
        <v>-61.889859999999999</v>
      </c>
      <c r="M5670">
        <v>0.9998783</v>
      </c>
      <c r="N5670">
        <v>0</v>
      </c>
      <c r="O5670">
        <v>6.87002599999999E-3</v>
      </c>
      <c r="P5670">
        <v>0.99812839999999903</v>
      </c>
      <c r="Q5670">
        <v>-1.9043319999999999E-2</v>
      </c>
      <c r="R5670">
        <v>5.811293E-2</v>
      </c>
      <c r="S5670">
        <v>3.0066679999999999</v>
      </c>
      <c r="T5670">
        <v>-0.25669259999999999</v>
      </c>
      <c r="U5670">
        <v>-9.732056E-2</v>
      </c>
      <c r="V5670">
        <v>-5.1257209999999997E-2</v>
      </c>
      <c r="W5670">
        <v>-5.0159509999999899E-3</v>
      </c>
      <c r="X5670">
        <v>0.99867289999999997</v>
      </c>
      <c r="Y5670">
        <v>3.9050759999999997E-2</v>
      </c>
      <c r="Z5670">
        <v>-2.2488870000000002E-3</v>
      </c>
      <c r="AA5670">
        <v>0.99923469999999903</v>
      </c>
      <c r="AB5670">
        <v>17</v>
      </c>
      <c r="AC5670">
        <v>0.71289999999998999</v>
      </c>
      <c r="AD5670">
        <v>-6.8737999999999896E-2</v>
      </c>
      <c r="AE5670">
        <v>-2.6380000000003099E-2</v>
      </c>
      <c r="AF5670">
        <v>3.0989785463448299E-2</v>
      </c>
      <c r="AG5670">
        <v>-6.8737999999999896E-2</v>
      </c>
      <c r="AH5670">
        <v>0.70614595685127501</v>
      </c>
      <c r="AI5670">
        <v>95.554483991435106</v>
      </c>
      <c r="AJ5670">
        <v>87.487140852860406</v>
      </c>
      <c r="AK5670">
        <v>0.710160117033105</v>
      </c>
    </row>
    <row r="5671" spans="1:37" x14ac:dyDescent="0.2">
      <c r="A5671" t="str">
        <f>"20200111160328321"</f>
        <v>20200111160328321</v>
      </c>
      <c r="B5671" t="str">
        <f>"1578729808318930"</f>
        <v>1578729808318930</v>
      </c>
      <c r="C5671" t="s">
        <v>37</v>
      </c>
      <c r="D5671">
        <v>5.0267629999999999</v>
      </c>
      <c r="E5671">
        <v>0.53523189999999998</v>
      </c>
      <c r="F5671" t="s">
        <v>42</v>
      </c>
      <c r="G5671">
        <v>-224.5822</v>
      </c>
      <c r="H5671">
        <v>1.0298719999999999</v>
      </c>
      <c r="I5671">
        <v>-61.918750000000003</v>
      </c>
      <c r="J5671">
        <v>-225.35480000000001</v>
      </c>
      <c r="K5671">
        <v>1.1042860000000001</v>
      </c>
      <c r="L5671">
        <v>-61.889589999999998</v>
      </c>
      <c r="M5671">
        <v>0.99988029999999894</v>
      </c>
      <c r="N5671">
        <v>0</v>
      </c>
      <c r="O5671">
        <v>6.57735E-3</v>
      </c>
      <c r="P5671">
        <v>0.9981757</v>
      </c>
      <c r="Q5671">
        <v>-1.905772E-2</v>
      </c>
      <c r="R5671">
        <v>5.7289630000000001E-2</v>
      </c>
      <c r="S5671">
        <v>3.0065</v>
      </c>
      <c r="T5671">
        <v>-0.25897199999999998</v>
      </c>
      <c r="U5671">
        <v>-9.9914550000000005E-2</v>
      </c>
      <c r="V5671">
        <v>-5.072575E-2</v>
      </c>
      <c r="W5671">
        <v>-5.0327130000000003E-3</v>
      </c>
      <c r="X5671">
        <v>0.99870000000000003</v>
      </c>
      <c r="Y5671">
        <v>3.9617279999999998E-2</v>
      </c>
      <c r="Z5671">
        <v>-2.2680650000000001E-3</v>
      </c>
      <c r="AA5671">
        <v>0.99921229999999905</v>
      </c>
      <c r="AB5671">
        <v>17</v>
      </c>
      <c r="AC5671">
        <v>0.77260000000001094</v>
      </c>
      <c r="AD5671">
        <v>-7.4414000000000202E-2</v>
      </c>
      <c r="AE5671">
        <v>-2.91599999999974E-2</v>
      </c>
      <c r="AF5671">
        <v>3.3927238390670397E-2</v>
      </c>
      <c r="AG5671">
        <v>-7.4414000000000202E-2</v>
      </c>
      <c r="AH5671">
        <v>0.76530198806517302</v>
      </c>
      <c r="AI5671">
        <v>95.548270683642301</v>
      </c>
      <c r="AJ5671">
        <v>87.461635207913702</v>
      </c>
      <c r="AK5671">
        <v>0.76965942717368396</v>
      </c>
    </row>
    <row r="5672" spans="1:37" x14ac:dyDescent="0.2">
      <c r="A5672" t="str">
        <f>"20200111160328333"</f>
        <v>20200111160328333</v>
      </c>
      <c r="B5672" t="str">
        <f>"1578729808328690"</f>
        <v>1578729808328690</v>
      </c>
      <c r="C5672" t="s">
        <v>37</v>
      </c>
      <c r="D5672">
        <v>5.0135930000000002</v>
      </c>
      <c r="E5672">
        <v>0.53515789999999996</v>
      </c>
      <c r="F5672" t="s">
        <v>42</v>
      </c>
      <c r="G5672">
        <v>-224.5788</v>
      </c>
      <c r="H5672">
        <v>1.036791</v>
      </c>
      <c r="I5672">
        <v>-61.916069999999998</v>
      </c>
      <c r="J5672">
        <v>-225.2724</v>
      </c>
      <c r="K5672">
        <v>1.1042879999999999</v>
      </c>
      <c r="L5672">
        <v>-61.889339999999997</v>
      </c>
      <c r="M5672">
        <v>0.99988199999999905</v>
      </c>
      <c r="N5672">
        <v>0</v>
      </c>
      <c r="O5672">
        <v>6.3120889999999999E-3</v>
      </c>
      <c r="P5672">
        <v>0.99822310000000003</v>
      </c>
      <c r="Q5672">
        <v>-1.9019499999999901E-2</v>
      </c>
      <c r="R5672">
        <v>5.6468860000000003E-2</v>
      </c>
      <c r="S5672">
        <v>3.0063169999999899</v>
      </c>
      <c r="T5672">
        <v>-0.26137680000000002</v>
      </c>
      <c r="U5672">
        <v>-0.10186770000000001</v>
      </c>
      <c r="V5672">
        <v>-5.0169529999999997E-2</v>
      </c>
      <c r="W5672">
        <v>-4.9966400000000001E-3</v>
      </c>
      <c r="X5672">
        <v>0.99872819999999995</v>
      </c>
      <c r="Y5672">
        <v>3.9999E-2</v>
      </c>
      <c r="Z5672">
        <v>-2.282704E-3</v>
      </c>
      <c r="AA5672">
        <v>0.99919709999999995</v>
      </c>
      <c r="AB5672">
        <v>17</v>
      </c>
      <c r="AC5672">
        <v>0.69360000000000299</v>
      </c>
      <c r="AD5672">
        <v>-6.7496999999999904E-2</v>
      </c>
      <c r="AE5672">
        <v>-2.6729999999993401E-2</v>
      </c>
      <c r="AF5672">
        <v>3.08165611698254E-2</v>
      </c>
      <c r="AG5672">
        <v>-6.7496999999999904E-2</v>
      </c>
      <c r="AH5672">
        <v>0.68692192560758003</v>
      </c>
      <c r="AI5672">
        <v>95.606270180621607</v>
      </c>
      <c r="AJ5672">
        <v>87.431329900033504</v>
      </c>
      <c r="AK5672">
        <v>0.69091767768074897</v>
      </c>
    </row>
    <row r="5673" spans="1:37" x14ac:dyDescent="0.2">
      <c r="A5673" t="str">
        <f>"20200111160328343"</f>
        <v>20200111160328343</v>
      </c>
      <c r="B5673" t="str">
        <f>"1578729808338451"</f>
        <v>1578729808338451</v>
      </c>
      <c r="C5673" t="s">
        <v>37</v>
      </c>
      <c r="D5673">
        <v>5.0608610000000001</v>
      </c>
      <c r="E5673">
        <v>0.53508449999999996</v>
      </c>
      <c r="F5673" t="s">
        <v>42</v>
      </c>
      <c r="G5673">
        <v>-224.42869999999999</v>
      </c>
      <c r="H5673">
        <v>1.030661</v>
      </c>
      <c r="I5673">
        <v>-61.918569999999903</v>
      </c>
      <c r="J5673">
        <v>-225.1874</v>
      </c>
      <c r="K5673">
        <v>1.1042879999999999</v>
      </c>
      <c r="L5673">
        <v>-61.889159999999997</v>
      </c>
      <c r="M5673">
        <v>0.99988369999999904</v>
      </c>
      <c r="N5673">
        <v>0</v>
      </c>
      <c r="O5673">
        <v>6.0384840000000002E-3</v>
      </c>
      <c r="P5673">
        <v>0.99825940000000002</v>
      </c>
      <c r="Q5673">
        <v>-1.8962409999999999E-2</v>
      </c>
      <c r="R5673">
        <v>5.584538E-2</v>
      </c>
      <c r="S5673">
        <v>3.0062099999999998</v>
      </c>
      <c r="T5673">
        <v>-0.2623065</v>
      </c>
      <c r="U5673">
        <v>-0.1036682</v>
      </c>
      <c r="V5673">
        <v>-4.9819509999999997E-2</v>
      </c>
      <c r="W5673">
        <v>-4.9417509999999899E-3</v>
      </c>
      <c r="X5673">
        <v>0.99874599999999902</v>
      </c>
      <c r="Y5673">
        <v>4.0323119999999997E-2</v>
      </c>
      <c r="Z5673">
        <v>-2.2811350000000001E-3</v>
      </c>
      <c r="AA5673">
        <v>0.99918410000000002</v>
      </c>
      <c r="AB5673">
        <v>17</v>
      </c>
      <c r="AC5673">
        <v>0.75870000000000404</v>
      </c>
      <c r="AD5673">
        <v>-7.3626999999999804E-2</v>
      </c>
      <c r="AE5673">
        <v>-2.94099999999986E-2</v>
      </c>
      <c r="AF5673">
        <v>3.3674656723910998E-2</v>
      </c>
      <c r="AG5673">
        <v>-7.3626999999999804E-2</v>
      </c>
      <c r="AH5673">
        <v>0.75144248942177305</v>
      </c>
      <c r="AI5673">
        <v>95.590453956423801</v>
      </c>
      <c r="AJ5673">
        <v>87.434100794588304</v>
      </c>
      <c r="AK5673">
        <v>0.755791461014786</v>
      </c>
    </row>
    <row r="5674" spans="1:37" x14ac:dyDescent="0.2">
      <c r="A5674" t="str">
        <f>"20200111160328355"</f>
        <v>20200111160328355</v>
      </c>
      <c r="B5674" t="str">
        <f>"1578729808349186"</f>
        <v>1578729808349186</v>
      </c>
      <c r="C5674" t="s">
        <v>37</v>
      </c>
      <c r="D5674">
        <v>4.9740129999999896</v>
      </c>
      <c r="E5674">
        <v>0.53502539999999998</v>
      </c>
      <c r="F5674" t="s">
        <v>42</v>
      </c>
      <c r="G5674">
        <v>-224.42519999999999</v>
      </c>
      <c r="H5674">
        <v>1.037593</v>
      </c>
      <c r="I5674">
        <v>-61.915869999999998</v>
      </c>
      <c r="J5674">
        <v>-225.1026</v>
      </c>
      <c r="K5674">
        <v>1.1042889999999901</v>
      </c>
      <c r="L5674">
        <v>-61.888950000000001</v>
      </c>
      <c r="M5674">
        <v>0.99988539999999904</v>
      </c>
      <c r="N5674">
        <v>0</v>
      </c>
      <c r="O5674">
        <v>5.76589099999999E-3</v>
      </c>
      <c r="P5674">
        <v>0.99829519999999905</v>
      </c>
      <c r="Q5674">
        <v>-1.8815209999999999E-2</v>
      </c>
      <c r="R5674">
        <v>5.5252089999999997E-2</v>
      </c>
      <c r="S5674">
        <v>3.0061040000000001</v>
      </c>
      <c r="T5674">
        <v>-0.26302520000000001</v>
      </c>
      <c r="U5674">
        <v>-0.1048279</v>
      </c>
      <c r="V5674">
        <v>-4.9497609999999997E-2</v>
      </c>
      <c r="W5674">
        <v>-4.7967359999999898E-3</v>
      </c>
      <c r="X5674">
        <v>0.9987627</v>
      </c>
      <c r="Y5674">
        <v>4.0436560000000003E-2</v>
      </c>
      <c r="Z5674">
        <v>-2.2685779999999998E-3</v>
      </c>
      <c r="AA5674">
        <v>0.9991795</v>
      </c>
      <c r="AB5674">
        <v>17</v>
      </c>
      <c r="AC5674">
        <v>0.677400000000005</v>
      </c>
      <c r="AD5674">
        <v>-6.6695999999999797E-2</v>
      </c>
      <c r="AE5674">
        <v>-2.6919999999996901E-2</v>
      </c>
      <c r="AF5674">
        <v>3.0530251902109801E-2</v>
      </c>
      <c r="AG5674">
        <v>-6.6695999999999797E-2</v>
      </c>
      <c r="AH5674">
        <v>0.67074149661716498</v>
      </c>
      <c r="AI5674">
        <v>95.672773993973905</v>
      </c>
      <c r="AJ5674">
        <v>87.393857324574896</v>
      </c>
      <c r="AK5674">
        <v>0.67474040043667205</v>
      </c>
    </row>
    <row r="5675" spans="1:37" x14ac:dyDescent="0.2">
      <c r="A5675" t="str">
        <f>"20200111160328366"</f>
        <v>20200111160328366</v>
      </c>
      <c r="B5675" t="str">
        <f>"1578729808358945"</f>
        <v>1578729808358945</v>
      </c>
      <c r="C5675" t="s">
        <v>37</v>
      </c>
      <c r="D5675">
        <v>4.9647329999999998</v>
      </c>
      <c r="E5675">
        <v>0.53495839999999995</v>
      </c>
      <c r="F5675" t="s">
        <v>42</v>
      </c>
      <c r="G5675">
        <v>-224.27529999999999</v>
      </c>
      <c r="H5675">
        <v>1.031704</v>
      </c>
      <c r="I5675">
        <v>-61.918349999999997</v>
      </c>
      <c r="J5675">
        <v>-225.0127</v>
      </c>
      <c r="K5675">
        <v>1.104293</v>
      </c>
      <c r="L5675">
        <v>-61.88879</v>
      </c>
      <c r="M5675">
        <v>0.99988699999999997</v>
      </c>
      <c r="N5675">
        <v>0</v>
      </c>
      <c r="O5675">
        <v>5.4766700000000003E-3</v>
      </c>
      <c r="P5675">
        <v>0.99832749999999904</v>
      </c>
      <c r="Q5675">
        <v>-1.889004E-2</v>
      </c>
      <c r="R5675">
        <v>5.4640889999999998E-2</v>
      </c>
      <c r="S5675">
        <v>3.006027</v>
      </c>
      <c r="T5675">
        <v>-0.26361000000000001</v>
      </c>
      <c r="U5675">
        <v>-0.10617069999999899</v>
      </c>
      <c r="V5675">
        <v>-4.9175169999999997E-2</v>
      </c>
      <c r="W5675">
        <v>-4.8739279999999996E-3</v>
      </c>
      <c r="X5675">
        <v>0.99877830000000001</v>
      </c>
      <c r="Y5675">
        <v>4.0593909999999997E-2</v>
      </c>
      <c r="Z5675">
        <v>-2.2552169999999999E-3</v>
      </c>
      <c r="AA5675">
        <v>0.99917319999999998</v>
      </c>
      <c r="AB5675">
        <v>17</v>
      </c>
      <c r="AC5675">
        <v>0.73740000000000705</v>
      </c>
      <c r="AD5675">
        <v>-7.2588999999999695E-2</v>
      </c>
      <c r="AE5675">
        <v>-2.9559999999996402E-2</v>
      </c>
      <c r="AF5675">
        <v>3.32765082524022E-2</v>
      </c>
      <c r="AG5675">
        <v>-7.2588999999999695E-2</v>
      </c>
      <c r="AH5675">
        <v>0.73016291706755898</v>
      </c>
      <c r="AI5675">
        <v>95.671545275406103</v>
      </c>
      <c r="AJ5675">
        <v>87.390602734925196</v>
      </c>
      <c r="AK5675">
        <v>0.73451642213301105</v>
      </c>
    </row>
    <row r="5676" spans="1:37" x14ac:dyDescent="0.2">
      <c r="A5676" t="str">
        <f>"20200111160328377"</f>
        <v>20200111160328377</v>
      </c>
      <c r="B5676" t="str">
        <f>"1578729808368706"</f>
        <v>1578729808368706</v>
      </c>
      <c r="C5676" t="s">
        <v>37</v>
      </c>
      <c r="D5676">
        <v>4.9846209999999997</v>
      </c>
      <c r="E5676">
        <v>0.53489909999999996</v>
      </c>
      <c r="F5676" t="s">
        <v>42</v>
      </c>
      <c r="G5676">
        <v>-224.27170000000001</v>
      </c>
      <c r="H5676">
        <v>1.0390079999999999</v>
      </c>
      <c r="I5676">
        <v>-61.915459999999896</v>
      </c>
      <c r="J5676">
        <v>-224.93260000000001</v>
      </c>
      <c r="K5676">
        <v>1.104293</v>
      </c>
      <c r="L5676">
        <v>-61.888640000000002</v>
      </c>
      <c r="M5676">
        <v>0.99988840000000001</v>
      </c>
      <c r="N5676">
        <v>0</v>
      </c>
      <c r="O5676">
        <v>5.219095E-3</v>
      </c>
      <c r="P5676">
        <v>0.99836749999999996</v>
      </c>
      <c r="Q5676">
        <v>-1.850837E-2</v>
      </c>
      <c r="R5676">
        <v>5.4037719999999997E-2</v>
      </c>
      <c r="S5676">
        <v>3.00589</v>
      </c>
      <c r="T5676">
        <v>-0.26466040000000002</v>
      </c>
      <c r="U5676">
        <v>-0.1074219</v>
      </c>
      <c r="V5676">
        <v>-4.8828999999999997E-2</v>
      </c>
      <c r="W5676">
        <v>-4.494278E-3</v>
      </c>
      <c r="X5676">
        <v>0.99879709999999999</v>
      </c>
      <c r="Y5676">
        <v>4.0752490000000002E-2</v>
      </c>
      <c r="Z5676">
        <v>-2.24859E-3</v>
      </c>
      <c r="AA5676">
        <v>0.99916669999999996</v>
      </c>
      <c r="AB5676">
        <v>17</v>
      </c>
      <c r="AC5676">
        <v>0.66089999999999705</v>
      </c>
      <c r="AD5676">
        <v>-6.5284999999999996E-2</v>
      </c>
      <c r="AE5676">
        <v>-2.6819999999993599E-2</v>
      </c>
      <c r="AF5676">
        <v>2.9977239259800802E-2</v>
      </c>
      <c r="AG5676">
        <v>-6.5284999999999996E-2</v>
      </c>
      <c r="AH5676">
        <v>0.65437618348010296</v>
      </c>
      <c r="AI5676">
        <v>95.691432578966399</v>
      </c>
      <c r="AJ5676">
        <v>87.377090805273497</v>
      </c>
      <c r="AK5676">
        <v>0.65830764510570905</v>
      </c>
    </row>
    <row r="5677" spans="1:37" x14ac:dyDescent="0.2">
      <c r="A5677" t="str">
        <f>"20200111160328388"</f>
        <v>20200111160328388</v>
      </c>
      <c r="B5677" t="str">
        <f>"1578729808378466"</f>
        <v>1578729808378466</v>
      </c>
      <c r="C5677" t="s">
        <v>37</v>
      </c>
      <c r="D5677">
        <v>4.9712449999999997</v>
      </c>
      <c r="E5677">
        <v>0.53481869999999998</v>
      </c>
      <c r="F5677" t="s">
        <v>42</v>
      </c>
      <c r="G5677">
        <v>-224.12200000000001</v>
      </c>
      <c r="H5677">
        <v>1.0331900000000001</v>
      </c>
      <c r="I5677">
        <v>-61.918129999999998</v>
      </c>
      <c r="J5677">
        <v>-224.84649999999999</v>
      </c>
      <c r="K5677">
        <v>1.104295</v>
      </c>
      <c r="L5677">
        <v>-61.8885199999999</v>
      </c>
      <c r="M5677">
        <v>0.9998899</v>
      </c>
      <c r="N5677">
        <v>0</v>
      </c>
      <c r="O5677">
        <v>4.9418539999999999E-3</v>
      </c>
      <c r="P5677">
        <v>0.99840659999999903</v>
      </c>
      <c r="Q5677">
        <v>-1.8335540000000001E-2</v>
      </c>
      <c r="R5677">
        <v>5.3366740000000003E-2</v>
      </c>
      <c r="S5677">
        <v>3.0059049999999998</v>
      </c>
      <c r="T5677">
        <v>-0.26358150000000002</v>
      </c>
      <c r="U5677">
        <v>-0.1087036</v>
      </c>
      <c r="V5677">
        <v>-4.8434709999999999E-2</v>
      </c>
      <c r="W5677">
        <v>-4.3236659999999899E-3</v>
      </c>
      <c r="X5677">
        <v>0.99881699999999995</v>
      </c>
      <c r="Y5677">
        <v>4.09027E-2</v>
      </c>
      <c r="Z5677">
        <v>-2.2217410000000002E-3</v>
      </c>
      <c r="AA5677">
        <v>0.99916059999999995</v>
      </c>
      <c r="AB5677">
        <v>17</v>
      </c>
      <c r="AC5677">
        <v>0.72449999999997705</v>
      </c>
      <c r="AD5677">
        <v>-7.1104999999999904E-2</v>
      </c>
      <c r="AE5677">
        <v>-2.96100000000123E-2</v>
      </c>
      <c r="AF5677">
        <v>3.2874240310661898E-2</v>
      </c>
      <c r="AG5677">
        <v>-7.1104999999999904E-2</v>
      </c>
      <c r="AH5677">
        <v>0.71744578273261495</v>
      </c>
      <c r="AI5677">
        <v>95.654123141467593</v>
      </c>
      <c r="AJ5677">
        <v>87.376472619375605</v>
      </c>
      <c r="AK5677">
        <v>0.72170983633439401</v>
      </c>
    </row>
    <row r="5678" spans="1:37" x14ac:dyDescent="0.2">
      <c r="A5678" t="str">
        <f>"20200111160328399"</f>
        <v>20200111160328399</v>
      </c>
      <c r="B5678" t="str">
        <f>"1578729808389202"</f>
        <v>1578729808389202</v>
      </c>
      <c r="C5678" t="s">
        <v>37</v>
      </c>
      <c r="D5678">
        <v>4.9690399999999997</v>
      </c>
      <c r="E5678">
        <v>0.53477509999999995</v>
      </c>
      <c r="F5678" t="s">
        <v>42</v>
      </c>
      <c r="G5678">
        <v>-224.1183</v>
      </c>
      <c r="H5678">
        <v>1.0403579999999999</v>
      </c>
      <c r="I5678">
        <v>-61.915329999999997</v>
      </c>
      <c r="J5678">
        <v>-224.76320000000001</v>
      </c>
      <c r="K5678">
        <v>1.1042959999999999</v>
      </c>
      <c r="L5678">
        <v>-61.888459999999903</v>
      </c>
      <c r="M5678">
        <v>0.99989119999999998</v>
      </c>
      <c r="N5678">
        <v>0</v>
      </c>
      <c r="O5678">
        <v>4.67414799999999E-3</v>
      </c>
      <c r="P5678">
        <v>0.99843499999999996</v>
      </c>
      <c r="Q5678">
        <v>-1.8296360000000001E-2</v>
      </c>
      <c r="R5678">
        <v>5.2849699999999902E-2</v>
      </c>
      <c r="S5678">
        <v>3.00584399999999</v>
      </c>
      <c r="T5678">
        <v>-0.26383010000000001</v>
      </c>
      <c r="U5678">
        <v>-0.1099854</v>
      </c>
      <c r="V5678">
        <v>-4.8184669999999999E-2</v>
      </c>
      <c r="W5678">
        <v>-4.2866520000000002E-3</v>
      </c>
      <c r="X5678">
        <v>0.99882919999999997</v>
      </c>
      <c r="Y5678">
        <v>4.1061500000000001E-2</v>
      </c>
      <c r="Z5678">
        <v>-2.2073629999999999E-3</v>
      </c>
      <c r="AA5678">
        <v>0.99915419999999999</v>
      </c>
      <c r="AB5678">
        <v>17</v>
      </c>
      <c r="AC5678">
        <v>0.64490000000000602</v>
      </c>
      <c r="AD5678">
        <v>-6.3937999999999995E-2</v>
      </c>
      <c r="AE5678">
        <v>-2.68700000000094E-2</v>
      </c>
      <c r="AF5678">
        <v>2.95939684473761E-2</v>
      </c>
      <c r="AG5678">
        <v>-6.3937999999999995E-2</v>
      </c>
      <c r="AH5678">
        <v>0.63850204028772695</v>
      </c>
      <c r="AI5678">
        <v>95.712301600150397</v>
      </c>
      <c r="AJ5678">
        <v>87.346293735274003</v>
      </c>
      <c r="AK5678">
        <v>0.64237740173830404</v>
      </c>
    </row>
    <row r="5679" spans="1:37" x14ac:dyDescent="0.2">
      <c r="A5679" t="str">
        <f>"20200111160328412"</f>
        <v>20200111160328412</v>
      </c>
      <c r="B5679" t="str">
        <f>"1578729808408722"</f>
        <v>1578729808408722</v>
      </c>
      <c r="C5679" t="s">
        <v>37</v>
      </c>
      <c r="D5679">
        <v>4.966723</v>
      </c>
      <c r="E5679">
        <v>0.53483210000000003</v>
      </c>
      <c r="F5679" t="s">
        <v>42</v>
      </c>
      <c r="G5679">
        <v>-223.9692</v>
      </c>
      <c r="H5679">
        <v>1.0344340000000001</v>
      </c>
      <c r="I5679">
        <v>-61.918030000000002</v>
      </c>
      <c r="J5679">
        <v>-224.6688</v>
      </c>
      <c r="K5679">
        <v>1.104298</v>
      </c>
      <c r="L5679">
        <v>-61.888339999999999</v>
      </c>
      <c r="M5679">
        <v>0.99989259999999902</v>
      </c>
      <c r="N5679">
        <v>0</v>
      </c>
      <c r="O5679">
        <v>4.3706250000000004E-3</v>
      </c>
      <c r="P5679">
        <v>0.99846229999999903</v>
      </c>
      <c r="Q5679">
        <v>-1.8003020000000002E-2</v>
      </c>
      <c r="R5679">
        <v>5.2432439999999997E-2</v>
      </c>
      <c r="S5679">
        <v>3.0057529999999999</v>
      </c>
      <c r="T5679">
        <v>-0.26435409999999998</v>
      </c>
      <c r="U5679">
        <v>-0.1112366</v>
      </c>
      <c r="V5679">
        <v>-4.8070420000000003E-2</v>
      </c>
      <c r="W5679">
        <v>-3.9957389999999999E-3</v>
      </c>
      <c r="X5679">
        <v>0.99883599999999995</v>
      </c>
      <c r="Y5679">
        <v>4.1174710000000003E-2</v>
      </c>
      <c r="Z5679">
        <v>-2.1901099999999999E-3</v>
      </c>
      <c r="AA5679">
        <v>0.99914959999999997</v>
      </c>
      <c r="AB5679">
        <v>17</v>
      </c>
      <c r="AC5679">
        <v>0.699600000000003</v>
      </c>
      <c r="AD5679">
        <v>-6.9863999999999898E-2</v>
      </c>
      <c r="AE5679">
        <v>-2.9690000000002201E-2</v>
      </c>
      <c r="AF5679">
        <v>3.2424926175573299E-2</v>
      </c>
      <c r="AG5679">
        <v>-6.9863999999999898E-2</v>
      </c>
      <c r="AH5679">
        <v>0.69256925832545202</v>
      </c>
      <c r="AI5679">
        <v>95.754053885122801</v>
      </c>
      <c r="AJ5679">
        <v>87.319465500101899</v>
      </c>
      <c r="AK5679">
        <v>0.69683895694124198</v>
      </c>
    </row>
    <row r="5680" spans="1:37" x14ac:dyDescent="0.2">
      <c r="A5680" t="str">
        <f>"20200111160328425"</f>
        <v>20200111160328425</v>
      </c>
      <c r="B5680" t="str">
        <f>"1578729808418482"</f>
        <v>1578729808418482</v>
      </c>
      <c r="C5680" t="s">
        <v>37</v>
      </c>
      <c r="D5680">
        <v>4.9371470000000004</v>
      </c>
      <c r="E5680">
        <v>0.53469119999999903</v>
      </c>
      <c r="F5680" t="s">
        <v>42</v>
      </c>
      <c r="G5680">
        <v>-223.81970000000001</v>
      </c>
      <c r="H5680">
        <v>1.0295319999999999</v>
      </c>
      <c r="I5680">
        <v>-61.920310000000001</v>
      </c>
      <c r="J5680">
        <v>-224.57</v>
      </c>
      <c r="K5680">
        <v>1.104303</v>
      </c>
      <c r="L5680">
        <v>-61.888309999999997</v>
      </c>
      <c r="M5680">
        <v>0.99989399999999995</v>
      </c>
      <c r="N5680">
        <v>0</v>
      </c>
      <c r="O5680">
        <v>4.0525020000000004E-3</v>
      </c>
      <c r="P5680">
        <v>0.998470999999999</v>
      </c>
      <c r="Q5680">
        <v>-1.807777E-2</v>
      </c>
      <c r="R5680">
        <v>5.2240999999999899E-2</v>
      </c>
      <c r="S5680">
        <v>3.005798</v>
      </c>
      <c r="T5680">
        <v>-0.26463540000000002</v>
      </c>
      <c r="U5680">
        <v>-0.1128845</v>
      </c>
      <c r="V5680">
        <v>-4.8196610000000001E-2</v>
      </c>
      <c r="W5680">
        <v>-4.073101E-3</v>
      </c>
      <c r="X5680">
        <v>0.99882950000000004</v>
      </c>
      <c r="Y5680">
        <v>4.1403269999999999E-2</v>
      </c>
      <c r="Z5680">
        <v>-2.1744659999999999E-3</v>
      </c>
      <c r="AA5680">
        <v>0.99914009999999998</v>
      </c>
      <c r="AB5680">
        <v>17</v>
      </c>
      <c r="AC5680">
        <v>0.75029999999998098</v>
      </c>
      <c r="AD5680">
        <v>-7.4771000000000101E-2</v>
      </c>
      <c r="AE5680">
        <v>-3.2000000000003498E-2</v>
      </c>
      <c r="AF5680">
        <v>3.4696676958182099E-2</v>
      </c>
      <c r="AG5680">
        <v>-7.4771000000000101E-2</v>
      </c>
      <c r="AH5680">
        <v>0.74280072548930598</v>
      </c>
      <c r="AI5680">
        <v>95.741864619115304</v>
      </c>
      <c r="AJ5680">
        <v>87.325622964535796</v>
      </c>
      <c r="AK5680">
        <v>0.74736034121458395</v>
      </c>
    </row>
    <row r="5681" spans="1:37" x14ac:dyDescent="0.2">
      <c r="A5681" t="str">
        <f>"20200111160328437"</f>
        <v>20200111160328437</v>
      </c>
      <c r="B5681" t="str">
        <f>"1578729808429218"</f>
        <v>1578729808429218</v>
      </c>
      <c r="C5681" t="s">
        <v>37</v>
      </c>
      <c r="D5681">
        <v>5.0280809999999896</v>
      </c>
      <c r="E5681">
        <v>0.5345396</v>
      </c>
      <c r="F5681" t="s">
        <v>42</v>
      </c>
      <c r="G5681">
        <v>-223.81569999999999</v>
      </c>
      <c r="H5681">
        <v>1.0375779999999999</v>
      </c>
      <c r="I5681">
        <v>-61.916569999999901</v>
      </c>
      <c r="J5681">
        <v>-224.47799999999901</v>
      </c>
      <c r="K5681">
        <v>1.1043019999999999</v>
      </c>
      <c r="L5681">
        <v>-61.888280000000002</v>
      </c>
      <c r="M5681">
        <v>0.99989519999999998</v>
      </c>
      <c r="N5681">
        <v>0</v>
      </c>
      <c r="O5681">
        <v>3.7567870000000001E-3</v>
      </c>
      <c r="P5681">
        <v>0.99848789999999998</v>
      </c>
      <c r="Q5681">
        <v>-1.7887520000000001E-2</v>
      </c>
      <c r="R5681">
        <v>5.1980999999999902E-2</v>
      </c>
      <c r="S5681">
        <v>3.0056609999999999</v>
      </c>
      <c r="T5681">
        <v>-0.26586779999999999</v>
      </c>
      <c r="U5681">
        <v>-0.11230469999999999</v>
      </c>
      <c r="V5681">
        <v>-4.8231419999999997E-2</v>
      </c>
      <c r="W5681">
        <v>-3.885234E-3</v>
      </c>
      <c r="X5681">
        <v>0.99882859999999996</v>
      </c>
      <c r="Y5681">
        <v>4.0918400000000001E-2</v>
      </c>
      <c r="Z5681">
        <v>-2.137164E-3</v>
      </c>
      <c r="AA5681">
        <v>0.99916019999999905</v>
      </c>
      <c r="AB5681">
        <v>17</v>
      </c>
      <c r="AC5681">
        <v>0.66229999999998701</v>
      </c>
      <c r="AD5681">
        <v>-6.6724000000000006E-2</v>
      </c>
      <c r="AE5681">
        <v>-2.8289999999991201E-2</v>
      </c>
      <c r="AF5681">
        <v>3.0469469805584699E-2</v>
      </c>
      <c r="AG5681">
        <v>-6.6724000000000006E-2</v>
      </c>
      <c r="AH5681">
        <v>0.65554752069858602</v>
      </c>
      <c r="AI5681">
        <v>95.805532577747996</v>
      </c>
      <c r="AJ5681">
        <v>87.338840520294298</v>
      </c>
      <c r="AK5681">
        <v>0.65963856213861205</v>
      </c>
    </row>
    <row r="5682" spans="1:37" x14ac:dyDescent="0.2">
      <c r="A5682" t="str">
        <f>"20200111160328449"</f>
        <v>20200111160328449</v>
      </c>
      <c r="B5682" t="str">
        <f>"1578729808438978"</f>
        <v>1578729808438978</v>
      </c>
      <c r="C5682" t="s">
        <v>37</v>
      </c>
      <c r="D5682">
        <v>4.9818319999999998</v>
      </c>
      <c r="E5682">
        <v>0.5344951</v>
      </c>
      <c r="F5682" t="s">
        <v>42</v>
      </c>
      <c r="G5682">
        <v>-223.66650000000001</v>
      </c>
      <c r="H5682">
        <v>1.0326959999999901</v>
      </c>
      <c r="I5682">
        <v>-61.918669999999999</v>
      </c>
      <c r="J5682">
        <v>-224.3836</v>
      </c>
      <c r="K5682">
        <v>1.104304</v>
      </c>
      <c r="L5682">
        <v>-61.888240000000003</v>
      </c>
      <c r="M5682">
        <v>0.99989649999999997</v>
      </c>
      <c r="N5682">
        <v>0</v>
      </c>
      <c r="O5682">
        <v>3.452728E-3</v>
      </c>
      <c r="P5682">
        <v>0.99850530000000004</v>
      </c>
      <c r="Q5682">
        <v>-1.779389E-2</v>
      </c>
      <c r="R5682">
        <v>5.1679999999999997E-2</v>
      </c>
      <c r="S5682">
        <v>3.0055999999999998</v>
      </c>
      <c r="T5682">
        <v>-0.26514909999999903</v>
      </c>
      <c r="U5682">
        <v>-0.111877399999999</v>
      </c>
      <c r="V5682">
        <v>-4.8234300000000001E-2</v>
      </c>
      <c r="W5682">
        <v>-3.7940579999999999E-3</v>
      </c>
      <c r="X5682">
        <v>0.99882879999999996</v>
      </c>
      <c r="Y5682">
        <v>4.0477319999999997E-2</v>
      </c>
      <c r="Z5682">
        <v>-2.085281E-3</v>
      </c>
      <c r="AA5682">
        <v>0.99917829999999996</v>
      </c>
      <c r="AB5682">
        <v>17</v>
      </c>
      <c r="AC5682">
        <v>0.71709999999998697</v>
      </c>
      <c r="AD5682">
        <v>-7.1608000000000296E-2</v>
      </c>
      <c r="AE5682">
        <v>-3.0429999999995499E-2</v>
      </c>
      <c r="AF5682">
        <v>3.2581704515238299E-2</v>
      </c>
      <c r="AG5682">
        <v>-7.1608000000000296E-2</v>
      </c>
      <c r="AH5682">
        <v>0.70992431083707197</v>
      </c>
      <c r="AI5682">
        <v>95.753761931660407</v>
      </c>
      <c r="AJ5682">
        <v>87.372276033564702</v>
      </c>
      <c r="AK5682">
        <v>0.71427011714799504</v>
      </c>
    </row>
    <row r="5683" spans="1:37" x14ac:dyDescent="0.2">
      <c r="A5683" t="str">
        <f>"20200111160328460"</f>
        <v>20200111160328460</v>
      </c>
      <c r="B5683" t="str">
        <f>"1578729808448738"</f>
        <v>1578729808448738</v>
      </c>
      <c r="C5683" t="s">
        <v>37</v>
      </c>
      <c r="D5683">
        <v>5.0121469999999997</v>
      </c>
      <c r="E5683">
        <v>0.53445959999999904</v>
      </c>
      <c r="F5683" t="s">
        <v>42</v>
      </c>
      <c r="G5683">
        <v>-223.51769999999999</v>
      </c>
      <c r="H5683">
        <v>1.027725</v>
      </c>
      <c r="I5683">
        <v>-61.920609999999897</v>
      </c>
      <c r="J5683">
        <v>-224.29730000000001</v>
      </c>
      <c r="K5683">
        <v>1.104304</v>
      </c>
      <c r="L5683">
        <v>-61.888309999999997</v>
      </c>
      <c r="M5683">
        <v>0.99989740000000005</v>
      </c>
      <c r="N5683">
        <v>0</v>
      </c>
      <c r="O5683">
        <v>3.1750720000000001E-3</v>
      </c>
      <c r="P5683">
        <v>0.99851999999999996</v>
      </c>
      <c r="Q5683">
        <v>-1.779304E-2</v>
      </c>
      <c r="R5683">
        <v>5.1397279999999997E-2</v>
      </c>
      <c r="S5683">
        <v>3.005585</v>
      </c>
      <c r="T5683">
        <v>-0.26578370000000001</v>
      </c>
      <c r="U5683">
        <v>-0.1122131</v>
      </c>
      <c r="V5683">
        <v>-4.8229059999999997E-2</v>
      </c>
      <c r="W5683">
        <v>-3.7954579999999998E-3</v>
      </c>
      <c r="X5683">
        <v>0.99882909999999903</v>
      </c>
      <c r="Y5683">
        <v>4.031241E-2</v>
      </c>
      <c r="Z5683">
        <v>-2.0584839999999902E-3</v>
      </c>
      <c r="AA5683">
        <v>0.99918499999999999</v>
      </c>
      <c r="AB5683">
        <v>17</v>
      </c>
      <c r="AC5683">
        <v>0.77960000000001595</v>
      </c>
      <c r="AD5683">
        <v>-7.6579000000000105E-2</v>
      </c>
      <c r="AE5683">
        <v>-3.2299999999999301E-2</v>
      </c>
      <c r="AF5683">
        <v>3.4443593118187302E-2</v>
      </c>
      <c r="AG5683">
        <v>-7.6579000000000105E-2</v>
      </c>
      <c r="AH5683">
        <v>0.77205680722435399</v>
      </c>
      <c r="AI5683">
        <v>95.658950649539094</v>
      </c>
      <c r="AJ5683">
        <v>87.445570335261607</v>
      </c>
      <c r="AK5683">
        <v>0.77660956595277297</v>
      </c>
    </row>
    <row r="5684" spans="1:37" x14ac:dyDescent="0.2">
      <c r="A5684" t="str">
        <f>"20200111160328476"</f>
        <v>20200111160328476</v>
      </c>
      <c r="B5684" t="str">
        <f>"1578729808469234"</f>
        <v>1578729808469234</v>
      </c>
      <c r="C5684" t="s">
        <v>37</v>
      </c>
      <c r="D5684">
        <v>4.9244729999999999</v>
      </c>
      <c r="E5684">
        <v>0.53435559999999904</v>
      </c>
      <c r="F5684" t="s">
        <v>42</v>
      </c>
      <c r="G5684">
        <v>-223.51419999999999</v>
      </c>
      <c r="H5684">
        <v>1.034805</v>
      </c>
      <c r="I5684">
        <v>-61.917679999999997</v>
      </c>
      <c r="J5684">
        <v>-224.18049999999999</v>
      </c>
      <c r="K5684">
        <v>1.104303</v>
      </c>
      <c r="L5684">
        <v>-61.888369999999902</v>
      </c>
      <c r="M5684">
        <v>0.99989839999999997</v>
      </c>
      <c r="N5684">
        <v>0</v>
      </c>
      <c r="O5684">
        <v>2.7990809999999902E-3</v>
      </c>
      <c r="P5684">
        <v>0.998538699999999</v>
      </c>
      <c r="Q5684">
        <v>-1.8030049999999999E-2</v>
      </c>
      <c r="R5684">
        <v>5.0946909999999998E-2</v>
      </c>
      <c r="S5684">
        <v>3.005493</v>
      </c>
      <c r="T5684">
        <v>-0.26665309999999998</v>
      </c>
      <c r="U5684">
        <v>-0.11257929999999999</v>
      </c>
      <c r="V5684">
        <v>-4.8153750000000002E-2</v>
      </c>
      <c r="W5684">
        <v>-4.0355690000000001E-3</v>
      </c>
      <c r="X5684">
        <v>0.99883180000000005</v>
      </c>
      <c r="Y5684">
        <v>4.0060739999999997E-2</v>
      </c>
      <c r="Z5684">
        <v>-2.020825E-3</v>
      </c>
      <c r="AA5684">
        <v>0.99919519999999995</v>
      </c>
      <c r="AB5684">
        <v>17</v>
      </c>
      <c r="AC5684">
        <v>0.666300000000006</v>
      </c>
      <c r="AD5684">
        <v>-6.9498000000000004E-2</v>
      </c>
      <c r="AE5684">
        <v>-2.9310000000009401E-2</v>
      </c>
      <c r="AF5684">
        <v>3.0840219904369699E-2</v>
      </c>
      <c r="AG5684">
        <v>-6.9498000000000004E-2</v>
      </c>
      <c r="AH5684">
        <v>0.65905902064743505</v>
      </c>
      <c r="AI5684">
        <v>96.013081590503504</v>
      </c>
      <c r="AJ5684">
        <v>87.3208372430407</v>
      </c>
      <c r="AK5684">
        <v>0.66343039112216295</v>
      </c>
    </row>
    <row r="5685" spans="1:37" x14ac:dyDescent="0.2">
      <c r="A5685" t="str">
        <f>"20200111160328487"</f>
        <v>20200111160328487</v>
      </c>
      <c r="B5685" t="str">
        <f>"1578729808478994"</f>
        <v>1578729808478994</v>
      </c>
      <c r="C5685" t="s">
        <v>37</v>
      </c>
      <c r="D5685">
        <v>5.0060570000000002</v>
      </c>
      <c r="E5685">
        <v>0.53432460000000004</v>
      </c>
      <c r="F5685" t="s">
        <v>42</v>
      </c>
      <c r="G5685">
        <v>-223.36490000000001</v>
      </c>
      <c r="H5685">
        <v>1.031377</v>
      </c>
      <c r="I5685">
        <v>-61.919199999999996</v>
      </c>
      <c r="J5685">
        <v>-224.0926</v>
      </c>
      <c r="K5685">
        <v>1.104306</v>
      </c>
      <c r="L5685">
        <v>-61.888489999999997</v>
      </c>
      <c r="M5685">
        <v>0.99989919999999999</v>
      </c>
      <c r="N5685">
        <v>0</v>
      </c>
      <c r="O5685">
        <v>2.5161200000000002E-3</v>
      </c>
      <c r="P5685">
        <v>0.99854080000000001</v>
      </c>
      <c r="Q5685">
        <v>-1.845459E-2</v>
      </c>
      <c r="R5685">
        <v>5.0751230000000001E-2</v>
      </c>
      <c r="S5685">
        <v>3.0052949999999998</v>
      </c>
      <c r="T5685">
        <v>-0.26862770000000002</v>
      </c>
      <c r="U5685">
        <v>-0.112854</v>
      </c>
      <c r="V5685">
        <v>-4.8240829999999998E-2</v>
      </c>
      <c r="W5685">
        <v>-4.4624699999999996E-3</v>
      </c>
      <c r="X5685">
        <v>0.99882579999999999</v>
      </c>
      <c r="Y5685">
        <v>3.9870990000000002E-2</v>
      </c>
      <c r="Z5685">
        <v>-2.0021639999999999E-3</v>
      </c>
      <c r="AA5685">
        <v>0.99920279999999995</v>
      </c>
      <c r="AB5685">
        <v>17</v>
      </c>
      <c r="AC5685">
        <v>0.72769999999999802</v>
      </c>
      <c r="AD5685">
        <v>-7.2928999999999994E-2</v>
      </c>
      <c r="AE5685">
        <v>-3.0709999999992001E-2</v>
      </c>
      <c r="AF5685">
        <v>3.2218047436030899E-2</v>
      </c>
      <c r="AG5685">
        <v>-7.2928999999999994E-2</v>
      </c>
      <c r="AH5685">
        <v>0.72039778853330205</v>
      </c>
      <c r="AI5685">
        <v>95.774873983923996</v>
      </c>
      <c r="AJ5685">
        <v>87.439291263087995</v>
      </c>
      <c r="AK5685">
        <v>0.724796257816817</v>
      </c>
    </row>
    <row r="5686" spans="1:37" x14ac:dyDescent="0.2">
      <c r="A5686" t="str">
        <f>"20200111160328499"</f>
        <v>20200111160328499</v>
      </c>
      <c r="B5686" t="str">
        <f>"1578729808488755"</f>
        <v>1578729808488755</v>
      </c>
      <c r="C5686" t="s">
        <v>37</v>
      </c>
      <c r="D5686">
        <v>4.9359469999999996</v>
      </c>
      <c r="E5686">
        <v>0.53427269999999905</v>
      </c>
      <c r="F5686" t="s">
        <v>42</v>
      </c>
      <c r="G5686">
        <v>-223.3614</v>
      </c>
      <c r="H5686">
        <v>1.038432</v>
      </c>
      <c r="I5686">
        <v>-61.91621</v>
      </c>
      <c r="J5686">
        <v>-224.0104</v>
      </c>
      <c r="K5686">
        <v>1.1043080000000001</v>
      </c>
      <c r="L5686">
        <v>-61.888579999999997</v>
      </c>
      <c r="M5686">
        <v>0.99989989999999995</v>
      </c>
      <c r="N5686">
        <v>0</v>
      </c>
      <c r="O5686">
        <v>2.2516319999999999E-3</v>
      </c>
      <c r="P5686">
        <v>0.99856449999999997</v>
      </c>
      <c r="Q5686">
        <v>-1.8575299999999999E-2</v>
      </c>
      <c r="R5686">
        <v>5.0241059999999997E-2</v>
      </c>
      <c r="S5686">
        <v>3.00514199999999</v>
      </c>
      <c r="T5686">
        <v>-0.27065070000000002</v>
      </c>
      <c r="U5686">
        <v>-0.11309809999999999</v>
      </c>
      <c r="V5686">
        <v>-4.7995040000000003E-2</v>
      </c>
      <c r="W5686">
        <v>-4.5853220000000002E-3</v>
      </c>
      <c r="X5686">
        <v>0.99883709999999903</v>
      </c>
      <c r="Y5686">
        <v>3.9688899999999999E-2</v>
      </c>
      <c r="Z5686">
        <v>-1.9853329999999902E-3</v>
      </c>
      <c r="AA5686">
        <v>0.99921009999999999</v>
      </c>
      <c r="AB5686">
        <v>17</v>
      </c>
      <c r="AC5686">
        <v>0.64900000000000002</v>
      </c>
      <c r="AD5686">
        <v>-6.5876000000000004E-2</v>
      </c>
      <c r="AE5686">
        <v>-2.7629999999994902E-2</v>
      </c>
      <c r="AF5686">
        <v>2.8795240169603602E-2</v>
      </c>
      <c r="AG5686">
        <v>-6.5876000000000004E-2</v>
      </c>
      <c r="AH5686">
        <v>0.64233016083003602</v>
      </c>
      <c r="AI5686">
        <v>95.849824689965402</v>
      </c>
      <c r="AJ5686">
        <v>87.433186314685699</v>
      </c>
      <c r="AK5686">
        <v>0.64634112413211398</v>
      </c>
    </row>
    <row r="5687" spans="1:37" x14ac:dyDescent="0.2">
      <c r="A5687" t="str">
        <f>"20200111160328511"</f>
        <v>20200111160328511</v>
      </c>
      <c r="B5687" t="str">
        <f>"1578729808509251"</f>
        <v>1578729808509251</v>
      </c>
      <c r="C5687" t="s">
        <v>37</v>
      </c>
      <c r="D5687">
        <v>4.9846699999999897</v>
      </c>
      <c r="E5687">
        <v>0.53421319999999906</v>
      </c>
      <c r="F5687" t="s">
        <v>42</v>
      </c>
      <c r="G5687">
        <v>-223.21379999999999</v>
      </c>
      <c r="H5687">
        <v>1.0322739999999999</v>
      </c>
      <c r="I5687">
        <v>-61.91901</v>
      </c>
      <c r="J5687">
        <v>-223.9187</v>
      </c>
      <c r="K5687">
        <v>1.1043080000000001</v>
      </c>
      <c r="L5687">
        <v>-61.8887</v>
      </c>
      <c r="M5687">
        <v>0.99990059999999903</v>
      </c>
      <c r="N5687">
        <v>0</v>
      </c>
      <c r="O5687">
        <v>1.956452E-3</v>
      </c>
      <c r="P5687">
        <v>0.99857989999999996</v>
      </c>
      <c r="Q5687">
        <v>-1.8519460000000001E-2</v>
      </c>
      <c r="R5687">
        <v>4.9956420000000001E-2</v>
      </c>
      <c r="S5687">
        <v>3.0049899999999998</v>
      </c>
      <c r="T5687">
        <v>-0.27167079999999999</v>
      </c>
      <c r="U5687">
        <v>-0.114105199999999</v>
      </c>
      <c r="V5687">
        <v>-4.8005529999999998E-2</v>
      </c>
      <c r="W5687">
        <v>-4.5318629999999997E-3</v>
      </c>
      <c r="X5687">
        <v>0.99883679999999997</v>
      </c>
      <c r="Y5687">
        <v>3.9729960000000002E-2</v>
      </c>
      <c r="Z5687">
        <v>-1.96809999999999E-3</v>
      </c>
      <c r="AA5687">
        <v>0.99920849999999894</v>
      </c>
      <c r="AB5687">
        <v>17</v>
      </c>
      <c r="AC5687">
        <v>0.70490000000000896</v>
      </c>
      <c r="AD5687">
        <v>-7.2034000000000098E-2</v>
      </c>
      <c r="AE5687">
        <v>-3.031E-2</v>
      </c>
      <c r="AF5687">
        <v>3.1362271621655599E-2</v>
      </c>
      <c r="AG5687">
        <v>-7.2034000000000098E-2</v>
      </c>
      <c r="AH5687">
        <v>0.69756817200460897</v>
      </c>
      <c r="AI5687">
        <v>95.889812714786402</v>
      </c>
      <c r="AJ5687">
        <v>87.4257476200562</v>
      </c>
      <c r="AK5687">
        <v>0.70197852091863999</v>
      </c>
    </row>
    <row r="5688" spans="1:37" x14ac:dyDescent="0.2">
      <c r="A5688" t="str">
        <f>"20200111160328523"</f>
        <v>20200111160328523</v>
      </c>
      <c r="B5688" t="str">
        <f>"1578729808519011"</f>
        <v>1578729808519011</v>
      </c>
      <c r="C5688" t="s">
        <v>37</v>
      </c>
      <c r="D5688">
        <v>4.9668199999999896</v>
      </c>
      <c r="E5688">
        <v>0.53417689999999995</v>
      </c>
      <c r="F5688" t="s">
        <v>42</v>
      </c>
      <c r="G5688">
        <v>-223.06610000000001</v>
      </c>
      <c r="H5688">
        <v>1.0269539999999999</v>
      </c>
      <c r="I5688">
        <v>-61.921329999999998</v>
      </c>
      <c r="J5688">
        <v>-223.82429999999999</v>
      </c>
      <c r="K5688">
        <v>1.104311</v>
      </c>
      <c r="L5688">
        <v>-61.888919999999999</v>
      </c>
      <c r="M5688">
        <v>0.99990100000000004</v>
      </c>
      <c r="N5688">
        <v>0</v>
      </c>
      <c r="O5688">
        <v>1.652988E-3</v>
      </c>
      <c r="P5688">
        <v>0.99860439999999995</v>
      </c>
      <c r="Q5688">
        <v>-1.857433E-2</v>
      </c>
      <c r="R5688">
        <v>4.9441409999999998E-2</v>
      </c>
      <c r="S5688">
        <v>3.0049130000000002</v>
      </c>
      <c r="T5688">
        <v>-0.27256579999999903</v>
      </c>
      <c r="U5688">
        <v>-0.11437989999999899</v>
      </c>
      <c r="V5688">
        <v>-4.7793580000000002E-2</v>
      </c>
      <c r="W5688">
        <v>-4.5891739999999997E-3</v>
      </c>
      <c r="X5688">
        <v>0.99884669999999898</v>
      </c>
      <c r="Y5688">
        <v>3.9519850000000002E-2</v>
      </c>
      <c r="Z5688">
        <v>-1.9376339999999999E-3</v>
      </c>
      <c r="AA5688">
        <v>0.99921689999999996</v>
      </c>
      <c r="AB5688">
        <v>17</v>
      </c>
      <c r="AC5688">
        <v>0.758199999999987</v>
      </c>
      <c r="AD5688">
        <v>-7.7356999999999898E-2</v>
      </c>
      <c r="AE5688">
        <v>-3.2410000000005802E-2</v>
      </c>
      <c r="AF5688">
        <v>3.3317189417656698E-2</v>
      </c>
      <c r="AG5688">
        <v>-7.7356999999999898E-2</v>
      </c>
      <c r="AH5688">
        <v>0.75034884257525203</v>
      </c>
      <c r="AI5688">
        <v>95.880344114150105</v>
      </c>
      <c r="AJ5688">
        <v>87.457607467950794</v>
      </c>
      <c r="AK5688">
        <v>0.75506127308564297</v>
      </c>
    </row>
    <row r="5689" spans="1:37" x14ac:dyDescent="0.2">
      <c r="A5689" t="str">
        <f>"20200111160328536"</f>
        <v>20200111160328536</v>
      </c>
      <c r="B5689" t="str">
        <f>"1578729808528770"</f>
        <v>1578729808528770</v>
      </c>
      <c r="C5689" t="s">
        <v>37</v>
      </c>
      <c r="D5689">
        <v>4.9987399999999997</v>
      </c>
      <c r="E5689">
        <v>0.53415159999999995</v>
      </c>
      <c r="F5689" t="s">
        <v>42</v>
      </c>
      <c r="G5689">
        <v>-223.06209999999999</v>
      </c>
      <c r="H5689">
        <v>1.0350649999999999</v>
      </c>
      <c r="I5689">
        <v>-61.918409999999902</v>
      </c>
      <c r="J5689">
        <v>-223.72710000000001</v>
      </c>
      <c r="K5689">
        <v>1.1043099999999999</v>
      </c>
      <c r="L5689">
        <v>-61.889099999999999</v>
      </c>
      <c r="M5689">
        <v>0.9999017</v>
      </c>
      <c r="N5689">
        <v>0</v>
      </c>
      <c r="O5689">
        <v>1.3400479999999999E-3</v>
      </c>
      <c r="P5689">
        <v>0.99863029999999997</v>
      </c>
      <c r="Q5689">
        <v>-1.829395E-2</v>
      </c>
      <c r="R5689">
        <v>4.9022049999999998E-2</v>
      </c>
      <c r="S5689">
        <v>3.00483699999999</v>
      </c>
      <c r="T5689">
        <v>-0.27291120000000002</v>
      </c>
      <c r="U5689">
        <v>-0.1156006</v>
      </c>
      <c r="V5689">
        <v>-4.7685989999999998E-2</v>
      </c>
      <c r="W5689">
        <v>-4.311268E-3</v>
      </c>
      <c r="X5689">
        <v>0.99885309999999905</v>
      </c>
      <c r="Y5689">
        <v>3.9613900000000001E-2</v>
      </c>
      <c r="Z5689">
        <v>-1.9160169999999999E-3</v>
      </c>
      <c r="AA5689">
        <v>0.99921319999999902</v>
      </c>
      <c r="AB5689">
        <v>17</v>
      </c>
      <c r="AC5689">
        <v>0.66500000000002002</v>
      </c>
      <c r="AD5689">
        <v>-6.9245000000000195E-2</v>
      </c>
      <c r="AE5689">
        <v>-2.9309999999995201E-2</v>
      </c>
      <c r="AF5689">
        <v>2.9877866663875301E-2</v>
      </c>
      <c r="AG5689">
        <v>-6.9245000000000195E-2</v>
      </c>
      <c r="AH5689">
        <v>0.65784124019337498</v>
      </c>
      <c r="AI5689">
        <v>96.002738584796106</v>
      </c>
      <c r="AJ5689">
        <v>87.399524496834104</v>
      </c>
      <c r="AK5689">
        <v>0.66215002396778699</v>
      </c>
    </row>
    <row r="5690" spans="1:37" x14ac:dyDescent="0.2">
      <c r="A5690" t="str">
        <f>"20200111160328550"</f>
        <v>20200111160328550</v>
      </c>
      <c r="B5690" t="str">
        <f>"1578729808538530"</f>
        <v>1578729808538530</v>
      </c>
      <c r="C5690" t="s">
        <v>37</v>
      </c>
      <c r="D5690">
        <v>4.9979990000000001</v>
      </c>
      <c r="E5690">
        <v>0.53409399999999996</v>
      </c>
      <c r="F5690" t="s">
        <v>42</v>
      </c>
      <c r="G5690">
        <v>-222.91419999999999</v>
      </c>
      <c r="H5690">
        <v>1.030624</v>
      </c>
      <c r="I5690">
        <v>-61.920650000000002</v>
      </c>
      <c r="J5690">
        <v>-223.6258</v>
      </c>
      <c r="K5690">
        <v>1.104311</v>
      </c>
      <c r="L5690">
        <v>-61.889339999999997</v>
      </c>
      <c r="M5690">
        <v>0.99990199999999996</v>
      </c>
      <c r="N5690">
        <v>0</v>
      </c>
      <c r="O5690">
        <v>1.0140570000000001E-3</v>
      </c>
      <c r="P5690">
        <v>0.99865820000000005</v>
      </c>
      <c r="Q5690">
        <v>-1.842535E-2</v>
      </c>
      <c r="R5690">
        <v>4.8402849999999997E-2</v>
      </c>
      <c r="S5690">
        <v>3.0048520000000001</v>
      </c>
      <c r="T5690">
        <v>-0.27235479999999901</v>
      </c>
      <c r="U5690">
        <v>-0.116577099999999</v>
      </c>
      <c r="V5690">
        <v>-4.7393039999999997E-2</v>
      </c>
      <c r="W5690">
        <v>-4.4453080000000002E-3</v>
      </c>
      <c r="X5690">
        <v>0.99886640000000004</v>
      </c>
      <c r="Y5690">
        <v>3.9614219999999999E-2</v>
      </c>
      <c r="Z5690">
        <v>-1.882641E-3</v>
      </c>
      <c r="AA5690">
        <v>0.99921329999999997</v>
      </c>
      <c r="AB5690">
        <v>17</v>
      </c>
      <c r="AC5690">
        <v>0.71160000000000401</v>
      </c>
      <c r="AD5690">
        <v>-7.3687000000000002E-2</v>
      </c>
      <c r="AE5690">
        <v>-3.1309999999997701E-2</v>
      </c>
      <c r="AF5690">
        <v>3.1692480409186798E-2</v>
      </c>
      <c r="AG5690">
        <v>-7.3687000000000002E-2</v>
      </c>
      <c r="AH5690">
        <v>0.70403323104401305</v>
      </c>
      <c r="AI5690">
        <v>95.969055050227297</v>
      </c>
      <c r="AJ5690">
        <v>87.422535992457995</v>
      </c>
      <c r="AK5690">
        <v>0.70858801690245898</v>
      </c>
    </row>
    <row r="5691" spans="1:37" x14ac:dyDescent="0.2">
      <c r="A5691" t="str">
        <f>"20200111160328565"</f>
        <v>20200111160328565</v>
      </c>
      <c r="B5691" t="str">
        <f>"1578729808559025"</f>
        <v>1578729808559025</v>
      </c>
      <c r="C5691" t="s">
        <v>37</v>
      </c>
      <c r="D5691">
        <v>9.3291210000000007</v>
      </c>
      <c r="E5691">
        <v>0.53401759999999998</v>
      </c>
      <c r="F5691" t="s">
        <v>42</v>
      </c>
      <c r="G5691">
        <v>-222.76679999999999</v>
      </c>
      <c r="H5691">
        <v>1.0260899999999999</v>
      </c>
      <c r="I5691">
        <v>-61.923349999999999</v>
      </c>
      <c r="J5691">
        <v>-223.50409999999999</v>
      </c>
      <c r="K5691">
        <v>1.1043069999999999</v>
      </c>
      <c r="L5691">
        <v>-61.889679999999998</v>
      </c>
      <c r="M5691">
        <v>0.99990239999999997</v>
      </c>
      <c r="N5691">
        <v>0</v>
      </c>
      <c r="O5691">
        <v>6.2233239999999999E-4</v>
      </c>
      <c r="P5691">
        <v>0.9986642</v>
      </c>
      <c r="Q5691">
        <v>-1.820368E-2</v>
      </c>
      <c r="R5691">
        <v>4.8361220000000003E-2</v>
      </c>
      <c r="S5691">
        <v>3.0047000000000001</v>
      </c>
      <c r="T5691">
        <v>-0.27347389999999999</v>
      </c>
      <c r="U5691">
        <v>-0.11788940000000001</v>
      </c>
      <c r="V5691">
        <v>-4.7742689999999997E-2</v>
      </c>
      <c r="W5691">
        <v>-4.2267709999999998E-3</v>
      </c>
      <c r="X5691">
        <v>0.99885069999999998</v>
      </c>
      <c r="Y5691">
        <v>3.9660510000000003E-2</v>
      </c>
      <c r="Z5691">
        <v>-1.8569560000000001E-3</v>
      </c>
      <c r="AA5691">
        <v>0.99921150000000003</v>
      </c>
      <c r="AB5691">
        <v>17</v>
      </c>
      <c r="AC5691">
        <v>0.73730000000000395</v>
      </c>
      <c r="AD5691">
        <v>-7.8216999999999898E-2</v>
      </c>
      <c r="AE5691">
        <v>-3.3669999999993601E-2</v>
      </c>
      <c r="AF5691">
        <v>3.3749847468868499E-2</v>
      </c>
      <c r="AG5691">
        <v>-7.8216999999999898E-2</v>
      </c>
      <c r="AH5691">
        <v>0.72909066007841306</v>
      </c>
      <c r="AI5691">
        <v>96.116783679184394</v>
      </c>
      <c r="AJ5691">
        <v>87.349651412371699</v>
      </c>
      <c r="AK5691">
        <v>0.73405050364858904</v>
      </c>
    </row>
    <row r="5692" spans="1:37" x14ac:dyDescent="0.2">
      <c r="A5692" t="str">
        <f>"20200111160328578"</f>
        <v>20200111160328578</v>
      </c>
      <c r="B5692" t="str">
        <f>"1578729808568786"</f>
        <v>1578729808568786</v>
      </c>
      <c r="C5692" t="s">
        <v>37</v>
      </c>
      <c r="D5692">
        <v>5.1711179999999999</v>
      </c>
      <c r="E5692">
        <v>0.53416039999999998</v>
      </c>
      <c r="F5692" t="s">
        <v>42</v>
      </c>
      <c r="G5692">
        <v>-222.76150000000001</v>
      </c>
      <c r="H5692">
        <v>1.036745</v>
      </c>
      <c r="I5692">
        <v>-61.91901</v>
      </c>
      <c r="J5692">
        <v>-223.4153</v>
      </c>
      <c r="K5692">
        <v>1.1043069999999999</v>
      </c>
      <c r="L5692">
        <v>-61.889949999999999</v>
      </c>
      <c r="M5692">
        <v>0.99990259999999997</v>
      </c>
      <c r="N5692">
        <v>0</v>
      </c>
      <c r="O5692">
        <v>3.3633110000000002E-4</v>
      </c>
      <c r="P5692">
        <v>0.99866469999999896</v>
      </c>
      <c r="Q5692">
        <v>-1.8354800000000001E-2</v>
      </c>
      <c r="R5692">
        <v>4.8294370000000003E-2</v>
      </c>
      <c r="S5692">
        <v>3.004715</v>
      </c>
      <c r="T5692">
        <v>-0.27319189999999999</v>
      </c>
      <c r="U5692">
        <v>-0.1174622</v>
      </c>
      <c r="V5692">
        <v>-4.7961259999999999E-2</v>
      </c>
      <c r="W5692">
        <v>-4.380236E-3</v>
      </c>
      <c r="X5692">
        <v>0.99883960000000005</v>
      </c>
      <c r="Y5692">
        <v>3.9235899999999997E-2</v>
      </c>
      <c r="Z5692">
        <v>-1.8098459999999999E-3</v>
      </c>
      <c r="AA5692">
        <v>0.99922840000000002</v>
      </c>
      <c r="AB5692">
        <v>17</v>
      </c>
      <c r="AC5692">
        <v>0.65379999999998895</v>
      </c>
      <c r="AD5692">
        <v>-6.75619999999999E-2</v>
      </c>
      <c r="AE5692">
        <v>-2.9060000000001199E-2</v>
      </c>
      <c r="AF5692">
        <v>2.8971151095267801E-2</v>
      </c>
      <c r="AG5692">
        <v>-6.75619999999999E-2</v>
      </c>
      <c r="AH5692">
        <v>0.64689585333409905</v>
      </c>
      <c r="AI5692">
        <v>95.956445226853702</v>
      </c>
      <c r="AJ5692">
        <v>87.435729030700202</v>
      </c>
      <c r="AK5692">
        <v>0.65105928800735002</v>
      </c>
    </row>
    <row r="5693" spans="1:37" x14ac:dyDescent="0.2">
      <c r="A5693" t="str">
        <f>"20200111160328592"</f>
        <v>20200111160328592</v>
      </c>
      <c r="B5693" t="str">
        <f>"1578729808589282"</f>
        <v>1578729808589282</v>
      </c>
      <c r="C5693" t="s">
        <v>37</v>
      </c>
      <c r="D5693">
        <v>5.0372019999999997</v>
      </c>
      <c r="E5693">
        <v>0.5342228</v>
      </c>
      <c r="F5693" t="s">
        <v>42</v>
      </c>
      <c r="G5693">
        <v>-222.6147</v>
      </c>
      <c r="H5693">
        <v>1.0314729999999901</v>
      </c>
      <c r="I5693">
        <v>-61.92163</v>
      </c>
      <c r="J5693">
        <v>-223.3142</v>
      </c>
      <c r="K5693">
        <v>1.104309</v>
      </c>
      <c r="L5693">
        <v>-61.890319999999903</v>
      </c>
      <c r="M5693">
        <v>0.99990249999999903</v>
      </c>
      <c r="N5693">
        <v>0</v>
      </c>
      <c r="O5693" s="1">
        <v>1.105577E-5</v>
      </c>
      <c r="P5693">
        <v>0.99867309999999998</v>
      </c>
      <c r="Q5693">
        <v>-1.8457910000000001E-2</v>
      </c>
      <c r="R5693">
        <v>4.8076069999999999E-2</v>
      </c>
      <c r="S5693">
        <v>3.0047299999999999</v>
      </c>
      <c r="T5693">
        <v>-0.2733505</v>
      </c>
      <c r="U5693">
        <v>-0.118866</v>
      </c>
      <c r="V5693">
        <v>-4.8067930000000002E-2</v>
      </c>
      <c r="W5693">
        <v>-4.4859949999999996E-3</v>
      </c>
      <c r="X5693">
        <v>0.998834</v>
      </c>
      <c r="Y5693">
        <v>3.9377349999999998E-2</v>
      </c>
      <c r="Z5693">
        <v>-1.7877639999999901E-3</v>
      </c>
      <c r="AA5693">
        <v>0.99922279999999997</v>
      </c>
      <c r="AB5693">
        <v>17</v>
      </c>
      <c r="AC5693">
        <v>0.69950000000000001</v>
      </c>
      <c r="AD5693">
        <v>-7.2836000000000095E-2</v>
      </c>
      <c r="AE5693">
        <v>-3.1310000000011898E-2</v>
      </c>
      <c r="AF5693">
        <v>3.0982488122261401E-2</v>
      </c>
      <c r="AG5693">
        <v>-7.2836000000000095E-2</v>
      </c>
      <c r="AH5693">
        <v>0.69201173789148296</v>
      </c>
      <c r="AI5693">
        <v>96.002435866321704</v>
      </c>
      <c r="AJ5693">
        <v>87.436486940839998</v>
      </c>
      <c r="AK5693">
        <v>0.69652368433947498</v>
      </c>
    </row>
    <row r="5694" spans="1:37" x14ac:dyDescent="0.2">
      <c r="A5694" t="str">
        <f>"20200111160328603"</f>
        <v>20200111160328603</v>
      </c>
      <c r="B5694" t="str">
        <f>"1578729808599042"</f>
        <v>1578729808599042</v>
      </c>
      <c r="C5694" t="s">
        <v>37</v>
      </c>
      <c r="D5694">
        <v>5.0081369999999996</v>
      </c>
      <c r="E5694">
        <v>0.53426240000000003</v>
      </c>
      <c r="F5694" t="s">
        <v>42</v>
      </c>
      <c r="G5694">
        <v>-222.4676</v>
      </c>
      <c r="H5694">
        <v>1.027325</v>
      </c>
      <c r="I5694">
        <v>-61.924439999999997</v>
      </c>
      <c r="J5694">
        <v>-223.21870000000001</v>
      </c>
      <c r="K5694">
        <v>1.1043080000000001</v>
      </c>
      <c r="L5694">
        <v>-61.890659999999997</v>
      </c>
      <c r="M5694">
        <v>0.99990249999999903</v>
      </c>
      <c r="N5694">
        <v>0</v>
      </c>
      <c r="O5694">
        <v>-2.9622169999999899E-4</v>
      </c>
      <c r="P5694">
        <v>0.99866909999999898</v>
      </c>
      <c r="Q5694">
        <v>-1.872064E-2</v>
      </c>
      <c r="R5694">
        <v>4.8057099999999998E-2</v>
      </c>
      <c r="S5694">
        <v>3.004715</v>
      </c>
      <c r="T5694">
        <v>-0.27309369999999999</v>
      </c>
      <c r="U5694">
        <v>-0.12008669999999901</v>
      </c>
      <c r="V5694">
        <v>-4.835602E-2</v>
      </c>
      <c r="W5694">
        <v>-4.7512279999999997E-3</v>
      </c>
      <c r="X5694">
        <v>0.99881889999999995</v>
      </c>
      <c r="Y5694">
        <v>3.9476940000000002E-2</v>
      </c>
      <c r="Z5694">
        <v>-1.76273799999999E-3</v>
      </c>
      <c r="AA5694">
        <v>0.99921890000000002</v>
      </c>
      <c r="AB5694">
        <v>17</v>
      </c>
      <c r="AC5694">
        <v>0.75110000000000798</v>
      </c>
      <c r="AD5694">
        <v>-7.6982999999999996E-2</v>
      </c>
      <c r="AE5694">
        <v>-3.37800000000072E-2</v>
      </c>
      <c r="AF5694">
        <v>3.3209326486514201E-2</v>
      </c>
      <c r="AG5694">
        <v>-7.6982999999999996E-2</v>
      </c>
      <c r="AH5694">
        <v>0.74331722355223195</v>
      </c>
      <c r="AI5694">
        <v>95.907010428351299</v>
      </c>
      <c r="AJ5694">
        <v>87.441886581601295</v>
      </c>
      <c r="AK5694">
        <v>0.74803057189134103</v>
      </c>
    </row>
    <row r="5695" spans="1:37" x14ac:dyDescent="0.2">
      <c r="A5695" t="str">
        <f>"20200111160328615"</f>
        <v>20200111160328615</v>
      </c>
      <c r="B5695" t="str">
        <f>"1578729808608802"</f>
        <v>1578729808608802</v>
      </c>
      <c r="C5695" t="s">
        <v>37</v>
      </c>
      <c r="D5695">
        <v>5.022983</v>
      </c>
      <c r="E5695">
        <v>0.53429649999999995</v>
      </c>
      <c r="F5695" t="s">
        <v>42</v>
      </c>
      <c r="G5695">
        <v>-222.46350000000001</v>
      </c>
      <c r="H5695">
        <v>1.035647</v>
      </c>
      <c r="I5695">
        <v>-61.921250000000001</v>
      </c>
      <c r="J5695">
        <v>-223.137</v>
      </c>
      <c r="K5695">
        <v>1.1043080000000001</v>
      </c>
      <c r="L5695">
        <v>-61.891019999999997</v>
      </c>
      <c r="M5695">
        <v>0.99990259999999997</v>
      </c>
      <c r="N5695">
        <v>0</v>
      </c>
      <c r="O5695">
        <v>-5.5927929999999998E-4</v>
      </c>
      <c r="P5695">
        <v>0.99866259999999996</v>
      </c>
      <c r="Q5695">
        <v>-1.8926869999999998E-2</v>
      </c>
      <c r="R5695">
        <v>4.8116260000000001E-2</v>
      </c>
      <c r="S5695">
        <v>3.0047000000000001</v>
      </c>
      <c r="T5695">
        <v>-0.27296419999999999</v>
      </c>
      <c r="U5695">
        <v>-0.120575</v>
      </c>
      <c r="V5695">
        <v>-4.8678409999999998E-2</v>
      </c>
      <c r="W5695">
        <v>-4.9595869999999997E-3</v>
      </c>
      <c r="X5695">
        <v>0.99880219999999897</v>
      </c>
      <c r="Y5695">
        <v>3.937802E-2</v>
      </c>
      <c r="Z5695">
        <v>-1.7335860000000001E-3</v>
      </c>
      <c r="AA5695">
        <v>0.99922289999999903</v>
      </c>
      <c r="AB5695">
        <v>17</v>
      </c>
      <c r="AC5695">
        <v>0.67349999999999</v>
      </c>
      <c r="AD5695">
        <v>-6.8661E-2</v>
      </c>
      <c r="AE5695">
        <v>-3.0230000000003001E-2</v>
      </c>
      <c r="AF5695">
        <v>2.9546818454624198E-2</v>
      </c>
      <c r="AG5695">
        <v>-6.8661E-2</v>
      </c>
      <c r="AH5695">
        <v>0.66660266567054405</v>
      </c>
      <c r="AI5695">
        <v>95.875078269035996</v>
      </c>
      <c r="AJ5695">
        <v>87.462055396836803</v>
      </c>
      <c r="AK5695">
        <v>0.670780486657793</v>
      </c>
    </row>
    <row r="5696" spans="1:37" x14ac:dyDescent="0.2">
      <c r="A5696" t="str">
        <f>"20200111160328626"</f>
        <v>20200111160328626</v>
      </c>
      <c r="B5696" t="str">
        <f>"1578729808618562"</f>
        <v>1578729808618562</v>
      </c>
      <c r="C5696" t="s">
        <v>37</v>
      </c>
      <c r="D5696">
        <v>5.012041</v>
      </c>
      <c r="E5696">
        <v>0.53434879999999996</v>
      </c>
      <c r="F5696" t="s">
        <v>42</v>
      </c>
      <c r="G5696">
        <v>-222.3176</v>
      </c>
      <c r="H5696">
        <v>1.029744</v>
      </c>
      <c r="I5696">
        <v>-61.924009999999903</v>
      </c>
      <c r="J5696">
        <v>-223.05250000000001</v>
      </c>
      <c r="K5696">
        <v>1.1043069999999999</v>
      </c>
      <c r="L5696">
        <v>-61.891359999999999</v>
      </c>
      <c r="M5696">
        <v>0.99990230000000002</v>
      </c>
      <c r="N5696">
        <v>0</v>
      </c>
      <c r="O5696">
        <v>-8.3139610000000001E-4</v>
      </c>
      <c r="P5696">
        <v>0.99867459999999997</v>
      </c>
      <c r="Q5696">
        <v>-1.8965579999999999E-2</v>
      </c>
      <c r="R5696">
        <v>4.7847109999999998E-2</v>
      </c>
      <c r="S5696">
        <v>3.0046539999999999</v>
      </c>
      <c r="T5696">
        <v>-0.27341209999999999</v>
      </c>
      <c r="U5696">
        <v>-0.1206665</v>
      </c>
      <c r="V5696">
        <v>-4.8680769999999998E-2</v>
      </c>
      <c r="W5696">
        <v>-5.0004539999999997E-3</v>
      </c>
      <c r="X5696">
        <v>0.99880190000000002</v>
      </c>
      <c r="Y5696">
        <v>3.9138680000000002E-2</v>
      </c>
      <c r="Z5696">
        <v>-1.700879E-3</v>
      </c>
      <c r="AA5696">
        <v>0.99923240000000002</v>
      </c>
      <c r="AB5696">
        <v>17</v>
      </c>
      <c r="AC5696">
        <v>0.73490000000000999</v>
      </c>
      <c r="AD5696">
        <v>-7.4562999999999893E-2</v>
      </c>
      <c r="AE5696">
        <v>-3.2649999999996702E-2</v>
      </c>
      <c r="AF5696">
        <v>3.1713119904811002E-2</v>
      </c>
      <c r="AG5696">
        <v>-7.4562999999999893E-2</v>
      </c>
      <c r="AH5696">
        <v>0.72745313803953504</v>
      </c>
      <c r="AI5696">
        <v>95.846790454559795</v>
      </c>
      <c r="AJ5696">
        <v>87.503786767367103</v>
      </c>
      <c r="AK5696">
        <v>0.73195179553483103</v>
      </c>
    </row>
    <row r="5697" spans="1:37" x14ac:dyDescent="0.2">
      <c r="A5697" t="str">
        <f>"20200111160328638"</f>
        <v>20200111160328638</v>
      </c>
      <c r="B5697" t="str">
        <f>"1578729808629297"</f>
        <v>1578729808629297</v>
      </c>
      <c r="C5697" t="s">
        <v>37</v>
      </c>
      <c r="D5697">
        <v>5.0888859999999996</v>
      </c>
      <c r="E5697">
        <v>0.53434879999999996</v>
      </c>
      <c r="F5697" t="s">
        <v>42</v>
      </c>
      <c r="G5697">
        <v>-222.31389999999999</v>
      </c>
      <c r="H5697">
        <v>1.037153</v>
      </c>
      <c r="I5697">
        <v>-61.921419999999998</v>
      </c>
      <c r="J5697">
        <v>-222.96729999999999</v>
      </c>
      <c r="K5697">
        <v>1.1043080000000001</v>
      </c>
      <c r="L5697">
        <v>-61.891779999999997</v>
      </c>
      <c r="M5697">
        <v>0.99990210000000002</v>
      </c>
      <c r="N5697">
        <v>0</v>
      </c>
      <c r="O5697">
        <v>-1.105897E-3</v>
      </c>
      <c r="P5697">
        <v>0.99866860000000002</v>
      </c>
      <c r="Q5697">
        <v>-1.9246889999999999E-2</v>
      </c>
      <c r="R5697">
        <v>4.7861260000000003E-2</v>
      </c>
      <c r="S5697">
        <v>3.004623</v>
      </c>
      <c r="T5697">
        <v>-0.27314260000000001</v>
      </c>
      <c r="U5697">
        <v>-0.12194819999999899</v>
      </c>
      <c r="V5697">
        <v>-4.8969319999999997E-2</v>
      </c>
      <c r="W5697">
        <v>-5.2839799999999998E-3</v>
      </c>
      <c r="X5697">
        <v>0.99878630000000002</v>
      </c>
      <c r="Y5697">
        <v>3.9291159999999999E-2</v>
      </c>
      <c r="Z5697">
        <v>-1.6812299999999999E-3</v>
      </c>
      <c r="AA5697">
        <v>0.99922639999999996</v>
      </c>
      <c r="AB5697">
        <v>17</v>
      </c>
      <c r="AC5697">
        <v>0.65340000000000398</v>
      </c>
      <c r="AD5697">
        <v>-6.7155000000000006E-2</v>
      </c>
      <c r="AE5697">
        <v>-2.9639999999993401E-2</v>
      </c>
      <c r="AF5697">
        <v>2.86156641691406E-2</v>
      </c>
      <c r="AG5697">
        <v>-6.7155000000000006E-2</v>
      </c>
      <c r="AH5697">
        <v>0.64661602814374297</v>
      </c>
      <c r="AI5697">
        <v>95.923501333218795</v>
      </c>
      <c r="AJ5697">
        <v>87.466057700410701</v>
      </c>
      <c r="AK5697">
        <v>0.65072339600880402</v>
      </c>
    </row>
    <row r="5698" spans="1:37" x14ac:dyDescent="0.2">
      <c r="A5698" t="str">
        <f>"20200111160328651"</f>
        <v>20200111160328651</v>
      </c>
      <c r="B5698" t="str">
        <f>"1578729808648818"</f>
        <v>1578729808648818</v>
      </c>
      <c r="C5698" t="s">
        <v>37</v>
      </c>
      <c r="D5698">
        <v>5.125591</v>
      </c>
      <c r="E5698">
        <v>0.56168430000000003</v>
      </c>
      <c r="F5698" t="s">
        <v>42</v>
      </c>
      <c r="G5698">
        <v>-222.16829999999999</v>
      </c>
      <c r="H5698">
        <v>1.03145</v>
      </c>
      <c r="I5698">
        <v>-61.924309999999998</v>
      </c>
      <c r="J5698">
        <v>-222.8689</v>
      </c>
      <c r="K5698">
        <v>1.104309</v>
      </c>
      <c r="L5698">
        <v>-61.892240000000001</v>
      </c>
      <c r="M5698">
        <v>0.99990190000000001</v>
      </c>
      <c r="N5698">
        <v>0</v>
      </c>
      <c r="O5698">
        <v>-1.4224729999999901E-3</v>
      </c>
      <c r="P5698">
        <v>0.99867939999999999</v>
      </c>
      <c r="Q5698">
        <v>-1.902442E-2</v>
      </c>
      <c r="R5698">
        <v>4.7724839999999998E-2</v>
      </c>
      <c r="S5698">
        <v>3.004578</v>
      </c>
      <c r="T5698">
        <v>-0.27395150000000001</v>
      </c>
      <c r="U5698">
        <v>-0.12194819999999899</v>
      </c>
      <c r="V5698">
        <v>-4.9148450000000003E-2</v>
      </c>
      <c r="W5698">
        <v>-5.0639579999999899E-3</v>
      </c>
      <c r="X5698">
        <v>0.99877859999999996</v>
      </c>
      <c r="Y5698">
        <v>3.8977089999999999E-2</v>
      </c>
      <c r="Z5698">
        <v>-1.6431359999999999E-3</v>
      </c>
      <c r="AA5698">
        <v>0.99923869999999904</v>
      </c>
      <c r="AB5698">
        <v>17</v>
      </c>
      <c r="AC5698">
        <v>0.70060000000000799</v>
      </c>
      <c r="AD5698">
        <v>-7.2858999999999993E-2</v>
      </c>
      <c r="AE5698">
        <v>-3.2069999999997302E-2</v>
      </c>
      <c r="AF5698">
        <v>3.0741512216792399E-2</v>
      </c>
      <c r="AG5698">
        <v>-7.2858999999999993E-2</v>
      </c>
      <c r="AH5698">
        <v>0.69316402687237999</v>
      </c>
      <c r="AI5698">
        <v>95.994520550540003</v>
      </c>
      <c r="AJ5698">
        <v>87.460622012716797</v>
      </c>
      <c r="AK5698">
        <v>0.69766026302514095</v>
      </c>
    </row>
    <row r="5699" spans="1:37" x14ac:dyDescent="0.2">
      <c r="A5699" t="str">
        <f>"20200111160328665"</f>
        <v>20200111160328665</v>
      </c>
      <c r="B5699" t="str">
        <f>"1578729808658580"</f>
        <v>1578729808658580</v>
      </c>
      <c r="C5699" t="s">
        <v>37</v>
      </c>
      <c r="D5699">
        <v>5.2215400000000001</v>
      </c>
      <c r="E5699">
        <v>0.59443369999999995</v>
      </c>
      <c r="F5699" t="s">
        <v>42</v>
      </c>
      <c r="G5699">
        <v>-222.017</v>
      </c>
      <c r="H5699">
        <v>1.038254</v>
      </c>
      <c r="I5699">
        <v>-61.988880000000002</v>
      </c>
      <c r="J5699">
        <v>-222.76009999999999</v>
      </c>
      <c r="K5699">
        <v>1.1043099999999999</v>
      </c>
      <c r="L5699">
        <v>-61.892789999999998</v>
      </c>
      <c r="M5699">
        <v>0.99990140000000005</v>
      </c>
      <c r="N5699">
        <v>0</v>
      </c>
      <c r="O5699">
        <v>-1.773019E-3</v>
      </c>
      <c r="P5699">
        <v>0.99869789999999903</v>
      </c>
      <c r="Q5699">
        <v>-1.883193E-2</v>
      </c>
      <c r="R5699">
        <v>4.7416850000000003E-2</v>
      </c>
      <c r="S5699">
        <v>3.0158390000000002</v>
      </c>
      <c r="T5699">
        <v>-0.2337948</v>
      </c>
      <c r="U5699">
        <v>-0.34170529999999999</v>
      </c>
      <c r="V5699">
        <v>-4.9190890000000001E-2</v>
      </c>
      <c r="W5699">
        <v>-4.8741549999999998E-3</v>
      </c>
      <c r="X5699">
        <v>0.99877749999999998</v>
      </c>
      <c r="Y5699">
        <v>0.1104991</v>
      </c>
      <c r="Z5699">
        <v>-4.1262629999999998E-3</v>
      </c>
      <c r="AA5699">
        <v>0.99386759999999996</v>
      </c>
      <c r="AB5699">
        <v>17</v>
      </c>
      <c r="AC5699">
        <v>0.74309999999999798</v>
      </c>
      <c r="AD5699">
        <v>-6.6056000000000101E-2</v>
      </c>
      <c r="AE5699">
        <v>-9.6089999999996595E-2</v>
      </c>
      <c r="AF5699">
        <v>9.40413092843181E-2</v>
      </c>
      <c r="AG5699">
        <v>-6.6056000000000101E-2</v>
      </c>
      <c r="AH5699">
        <v>0.737537139222606</v>
      </c>
      <c r="AI5699">
        <v>95.077035898859606</v>
      </c>
      <c r="AJ5699">
        <v>82.733584570359497</v>
      </c>
      <c r="AK5699">
        <v>0.74643699983359302</v>
      </c>
    </row>
    <row r="5700" spans="1:37" x14ac:dyDescent="0.2">
      <c r="A5700" t="str">
        <f>"20200111160328677"</f>
        <v>20200111160328677</v>
      </c>
      <c r="B5700" t="str">
        <f>"1578729808669313"</f>
        <v>1578729808669313</v>
      </c>
      <c r="C5700" t="s">
        <v>37</v>
      </c>
      <c r="D5700">
        <v>5.2287989999999898</v>
      </c>
      <c r="E5700">
        <v>0.59561769999999903</v>
      </c>
      <c r="F5700" t="s">
        <v>42</v>
      </c>
      <c r="G5700">
        <v>-222.02350000000001</v>
      </c>
      <c r="H5700">
        <v>1.023663</v>
      </c>
      <c r="I5700">
        <v>-62.038899999999998</v>
      </c>
      <c r="J5700">
        <v>-222.679</v>
      </c>
      <c r="K5700">
        <v>1.104312</v>
      </c>
      <c r="L5700">
        <v>-61.893279999999997</v>
      </c>
      <c r="M5700">
        <v>0.99990089999999998</v>
      </c>
      <c r="N5700">
        <v>0</v>
      </c>
      <c r="O5700">
        <v>-2.0342889999999999E-3</v>
      </c>
      <c r="P5700">
        <v>0.99872709999999998</v>
      </c>
      <c r="Q5700">
        <v>-1.8567630000000002E-2</v>
      </c>
      <c r="R5700">
        <v>4.6898160000000001E-2</v>
      </c>
      <c r="S5700">
        <v>3.026154</v>
      </c>
      <c r="T5700">
        <v>-0.3312947</v>
      </c>
      <c r="U5700">
        <v>-0.599823</v>
      </c>
      <c r="V5700">
        <v>-4.8932820000000002E-2</v>
      </c>
      <c r="W5700">
        <v>-4.6118269999999998E-3</v>
      </c>
      <c r="X5700">
        <v>0.9987914</v>
      </c>
      <c r="Y5700">
        <v>0.19134599999999999</v>
      </c>
      <c r="Z5700">
        <v>-1.0123139999999999E-2</v>
      </c>
      <c r="AA5700">
        <v>0.98147050000000002</v>
      </c>
      <c r="AB5700">
        <v>17</v>
      </c>
      <c r="AC5700">
        <v>0.65549999999998898</v>
      </c>
      <c r="AD5700">
        <v>-8.0649000000000096E-2</v>
      </c>
      <c r="AE5700">
        <v>-0.14561999999999301</v>
      </c>
      <c r="AF5700">
        <v>0.14223428785301301</v>
      </c>
      <c r="AG5700">
        <v>-8.0649000000000096E-2</v>
      </c>
      <c r="AH5700">
        <v>0.646469244062159</v>
      </c>
      <c r="AI5700">
        <v>96.946617597801406</v>
      </c>
      <c r="AJ5700">
        <v>77.591646988504095</v>
      </c>
      <c r="AK5700">
        <v>0.66682631723736996</v>
      </c>
    </row>
    <row r="5701" spans="1:37" x14ac:dyDescent="0.2">
      <c r="A5701" t="str">
        <f>"20200111160328687"</f>
        <v>20200111160328687</v>
      </c>
      <c r="B5701" t="str">
        <f>"1578729808679074"</f>
        <v>1578729808679074</v>
      </c>
      <c r="C5701" t="s">
        <v>37</v>
      </c>
      <c r="D5701">
        <v>5.2270979999999998</v>
      </c>
      <c r="E5701">
        <v>0.59678019999999998</v>
      </c>
      <c r="F5701" t="s">
        <v>42</v>
      </c>
      <c r="G5701">
        <v>-221.88229999999999</v>
      </c>
      <c r="H5701">
        <v>1.0093110000000001</v>
      </c>
      <c r="I5701">
        <v>-62.053819999999902</v>
      </c>
      <c r="J5701">
        <v>-222.59520000000001</v>
      </c>
      <c r="K5701">
        <v>1.104312</v>
      </c>
      <c r="L5701">
        <v>-61.893740000000001</v>
      </c>
      <c r="M5701">
        <v>0.99990029999999996</v>
      </c>
      <c r="N5701">
        <v>0</v>
      </c>
      <c r="O5701">
        <v>-2.3040220000000002E-3</v>
      </c>
      <c r="P5701">
        <v>0.9987355</v>
      </c>
      <c r="Q5701">
        <v>-1.8503769999999999E-2</v>
      </c>
      <c r="R5701">
        <v>4.6745679999999998E-2</v>
      </c>
      <c r="S5701">
        <v>3.0257259999999899</v>
      </c>
      <c r="T5701">
        <v>-0.36077500000000001</v>
      </c>
      <c r="U5701">
        <v>-0.60952759999999995</v>
      </c>
      <c r="V5701">
        <v>-4.9049519999999999E-2</v>
      </c>
      <c r="W5701">
        <v>-4.5500710000000002E-3</v>
      </c>
      <c r="X5701">
        <v>0.99878599999999995</v>
      </c>
      <c r="Y5701">
        <v>0.19391739999999999</v>
      </c>
      <c r="Z5701">
        <v>-1.11357E-2</v>
      </c>
      <c r="AA5701">
        <v>0.98095460000000001</v>
      </c>
      <c r="AB5701">
        <v>17</v>
      </c>
      <c r="AC5701">
        <v>0.71290000000001896</v>
      </c>
      <c r="AD5701">
        <v>-9.5001000000000099E-2</v>
      </c>
      <c r="AE5701">
        <v>-0.16007999999999301</v>
      </c>
      <c r="AF5701">
        <v>0.15580290711716899</v>
      </c>
      <c r="AG5701">
        <v>-9.5001000000000099E-2</v>
      </c>
      <c r="AH5701">
        <v>0.701409096266151</v>
      </c>
      <c r="AI5701">
        <v>97.531981465387602</v>
      </c>
      <c r="AJ5701">
        <v>77.476312952068696</v>
      </c>
      <c r="AK5701">
        <v>0.72475820532923896</v>
      </c>
    </row>
    <row r="5702" spans="1:37" x14ac:dyDescent="0.2">
      <c r="A5702" t="str">
        <f>"20200111160328699"</f>
        <v>20200111160328699</v>
      </c>
      <c r="B5702" t="str">
        <f>"1578729808688835"</f>
        <v>1578729808688835</v>
      </c>
      <c r="C5702" t="s">
        <v>37</v>
      </c>
      <c r="D5702">
        <v>5.1790479999999999</v>
      </c>
      <c r="E5702">
        <v>0.59765740000000001</v>
      </c>
      <c r="F5702" t="s">
        <v>42</v>
      </c>
      <c r="G5702">
        <v>-221.87970000000001</v>
      </c>
      <c r="H5702">
        <v>1.0153749999999999</v>
      </c>
      <c r="I5702">
        <v>-62.040059999999997</v>
      </c>
      <c r="J5702">
        <v>-222.51300000000001</v>
      </c>
      <c r="K5702">
        <v>1.1043129999999901</v>
      </c>
      <c r="L5702">
        <v>-61.894259999999903</v>
      </c>
      <c r="M5702">
        <v>0.999899599999999</v>
      </c>
      <c r="N5702">
        <v>0</v>
      </c>
      <c r="O5702">
        <v>-2.56851E-3</v>
      </c>
      <c r="P5702">
        <v>0.99875890000000001</v>
      </c>
      <c r="Q5702">
        <v>-1.8373069999999998E-2</v>
      </c>
      <c r="R5702">
        <v>4.6299369999999999E-2</v>
      </c>
      <c r="S5702">
        <v>3.0257869999999998</v>
      </c>
      <c r="T5702">
        <v>-0.37605319999999998</v>
      </c>
      <c r="U5702">
        <v>-0.61859129999999996</v>
      </c>
      <c r="V5702">
        <v>-4.8867599999999997E-2</v>
      </c>
      <c r="W5702">
        <v>-4.4214149999999997E-3</v>
      </c>
      <c r="X5702">
        <v>0.9987954</v>
      </c>
      <c r="Y5702">
        <v>0.19634839999999901</v>
      </c>
      <c r="Z5702">
        <v>-1.1716789999999999E-2</v>
      </c>
      <c r="AA5702">
        <v>0.98046420000000001</v>
      </c>
      <c r="AB5702">
        <v>17</v>
      </c>
      <c r="AC5702">
        <v>0.63329999999999098</v>
      </c>
      <c r="AD5702">
        <v>-8.8937999999999906E-2</v>
      </c>
      <c r="AE5702">
        <v>-0.14580000000000101</v>
      </c>
      <c r="AF5702">
        <v>0.14152208469594599</v>
      </c>
      <c r="AG5702">
        <v>-8.8937999999999906E-2</v>
      </c>
      <c r="AH5702">
        <v>0.62202226511750403</v>
      </c>
      <c r="AI5702">
        <v>97.936960653572001</v>
      </c>
      <c r="AJ5702">
        <v>77.182299706048198</v>
      </c>
      <c r="AK5702">
        <v>0.64408863256744198</v>
      </c>
    </row>
    <row r="5703" spans="1:37" x14ac:dyDescent="0.2">
      <c r="A5703" t="str">
        <f>"20200111160328712"</f>
        <v>20200111160328712</v>
      </c>
      <c r="B5703" t="str">
        <f>"1578729808709330"</f>
        <v>1578729808709330</v>
      </c>
      <c r="C5703" t="s">
        <v>37</v>
      </c>
      <c r="D5703">
        <v>5.1847769999999898</v>
      </c>
      <c r="E5703">
        <v>0.59850899999999996</v>
      </c>
      <c r="F5703" t="s">
        <v>42</v>
      </c>
      <c r="G5703">
        <v>-221.73699999999999</v>
      </c>
      <c r="H5703">
        <v>1.0046200000000001</v>
      </c>
      <c r="I5703">
        <v>-62.054919999999903</v>
      </c>
      <c r="J5703">
        <v>-222.4254</v>
      </c>
      <c r="K5703">
        <v>1.1043160000000001</v>
      </c>
      <c r="L5703">
        <v>-61.89481</v>
      </c>
      <c r="M5703">
        <v>0.99989889999999904</v>
      </c>
      <c r="N5703">
        <v>0</v>
      </c>
      <c r="O5703">
        <v>-2.8504009999999998E-3</v>
      </c>
      <c r="P5703">
        <v>0.99878829999999996</v>
      </c>
      <c r="Q5703">
        <v>-1.806791E-2</v>
      </c>
      <c r="R5703">
        <v>4.5779159999999999E-2</v>
      </c>
      <c r="S5703">
        <v>3.0256349999999999</v>
      </c>
      <c r="T5703">
        <v>-0.38873950000000002</v>
      </c>
      <c r="U5703">
        <v>-0.62649540000000004</v>
      </c>
      <c r="V5703">
        <v>-4.8629060000000002E-2</v>
      </c>
      <c r="W5703">
        <v>-4.1184150000000003E-3</v>
      </c>
      <c r="X5703">
        <v>0.99880840000000004</v>
      </c>
      <c r="Y5703">
        <v>0.19842750000000001</v>
      </c>
      <c r="Z5703">
        <v>-1.22024E-2</v>
      </c>
      <c r="AA5703">
        <v>0.98003960000000001</v>
      </c>
      <c r="AB5703">
        <v>17</v>
      </c>
      <c r="AC5703">
        <v>0.68840000000000101</v>
      </c>
      <c r="AD5703">
        <v>-9.9696000000000007E-2</v>
      </c>
      <c r="AE5703">
        <v>-0.16010999999999501</v>
      </c>
      <c r="AF5703">
        <v>0.15506163549712901</v>
      </c>
      <c r="AG5703">
        <v>-9.9696000000000007E-2</v>
      </c>
      <c r="AH5703">
        <v>0.67541469781011199</v>
      </c>
      <c r="AI5703">
        <v>98.1866544533097</v>
      </c>
      <c r="AJ5703">
        <v>77.070098477839693</v>
      </c>
      <c r="AK5703">
        <v>0.70012028769131496</v>
      </c>
    </row>
    <row r="5704" spans="1:37" x14ac:dyDescent="0.2">
      <c r="A5704" t="str">
        <f>"20200111160328722"</f>
        <v>20200111160328722</v>
      </c>
      <c r="B5704" t="str">
        <f>"1578729808719089"</f>
        <v>1578729808719089</v>
      </c>
      <c r="C5704" t="s">
        <v>37</v>
      </c>
      <c r="D5704">
        <v>5.1959739999999996</v>
      </c>
      <c r="E5704">
        <v>0.59877669999999905</v>
      </c>
      <c r="F5704" t="s">
        <v>42</v>
      </c>
      <c r="G5704">
        <v>-221.5943</v>
      </c>
      <c r="H5704">
        <v>0.99458340000000001</v>
      </c>
      <c r="I5704">
        <v>-62.069279999999999</v>
      </c>
      <c r="J5704">
        <v>-222.33779999999999</v>
      </c>
      <c r="K5704">
        <v>1.1043179999999999</v>
      </c>
      <c r="L5704">
        <v>-61.895359999999997</v>
      </c>
      <c r="M5704">
        <v>0.99989799999999995</v>
      </c>
      <c r="N5704">
        <v>0</v>
      </c>
      <c r="O5704">
        <v>-3.1325290000000002E-3</v>
      </c>
      <c r="P5704">
        <v>0.99879709999999999</v>
      </c>
      <c r="Q5704">
        <v>-1.8004099999999999E-2</v>
      </c>
      <c r="R5704">
        <v>4.5610280000000003E-2</v>
      </c>
      <c r="S5704">
        <v>3.0255130000000001</v>
      </c>
      <c r="T5704">
        <v>-0.39936290000000002</v>
      </c>
      <c r="U5704">
        <v>-0.63452149999999996</v>
      </c>
      <c r="V5704">
        <v>-4.8741949999999999E-2</v>
      </c>
      <c r="W5704">
        <v>-4.0568389999999996E-3</v>
      </c>
      <c r="X5704">
        <v>0.99880309999999894</v>
      </c>
      <c r="Y5704">
        <v>0.2005507</v>
      </c>
      <c r="Z5704">
        <v>-1.2631659999999999E-2</v>
      </c>
      <c r="AA5704">
        <v>0.97960190000000003</v>
      </c>
      <c r="AB5704">
        <v>16</v>
      </c>
      <c r="AC5704">
        <v>0.74349999999998295</v>
      </c>
      <c r="AD5704">
        <v>-0.1097346</v>
      </c>
      <c r="AE5704">
        <v>-0.17392000000000901</v>
      </c>
      <c r="AF5704">
        <v>0.16811770716156399</v>
      </c>
      <c r="AG5704">
        <v>-0.1097346</v>
      </c>
      <c r="AH5704">
        <v>0.72898529451205496</v>
      </c>
      <c r="AI5704">
        <v>98.344669332696299</v>
      </c>
      <c r="AJ5704">
        <v>77.013567229615006</v>
      </c>
      <c r="AK5704">
        <v>0.75612486106016197</v>
      </c>
    </row>
    <row r="5705" spans="1:37" x14ac:dyDescent="0.2">
      <c r="A5705" t="str">
        <f>"20200111160328733"</f>
        <v>20200111160328733</v>
      </c>
      <c r="B5705" t="str">
        <f>"1578729808728850"</f>
        <v>1578729808728850</v>
      </c>
      <c r="C5705" t="s">
        <v>37</v>
      </c>
      <c r="D5705">
        <v>5.2199790000000004</v>
      </c>
      <c r="E5705">
        <v>0.59907540000000004</v>
      </c>
      <c r="F5705" t="s">
        <v>42</v>
      </c>
      <c r="G5705">
        <v>-221.5899</v>
      </c>
      <c r="H5705">
        <v>1.0046379999999999</v>
      </c>
      <c r="I5705">
        <v>-62.05301</v>
      </c>
      <c r="J5705">
        <v>-222.26249999999999</v>
      </c>
      <c r="K5705">
        <v>1.1043209999999899</v>
      </c>
      <c r="L5705">
        <v>-61.895869999999903</v>
      </c>
      <c r="M5705">
        <v>0.99989719999999904</v>
      </c>
      <c r="N5705">
        <v>0</v>
      </c>
      <c r="O5705">
        <v>-3.3749659999999901E-3</v>
      </c>
      <c r="P5705">
        <v>0.99881659999999906</v>
      </c>
      <c r="Q5705">
        <v>-1.776873E-2</v>
      </c>
      <c r="R5705">
        <v>4.5274340000000003E-2</v>
      </c>
      <c r="S5705">
        <v>3.0254209999999899</v>
      </c>
      <c r="T5705">
        <v>-0.40312700000000001</v>
      </c>
      <c r="U5705">
        <v>-0.63708500000000001</v>
      </c>
      <c r="V5705">
        <v>-4.864769E-2</v>
      </c>
      <c r="W5705">
        <v>-3.8233469999999999E-3</v>
      </c>
      <c r="X5705">
        <v>0.99880869999999999</v>
      </c>
      <c r="Y5705">
        <v>0.20108099999999901</v>
      </c>
      <c r="Z5705">
        <v>-1.275198E-2</v>
      </c>
      <c r="AA5705">
        <v>0.97949159999999902</v>
      </c>
      <c r="AB5705">
        <v>16</v>
      </c>
      <c r="AC5705">
        <v>0.67259999999998799</v>
      </c>
      <c r="AD5705">
        <v>-9.9682999999999897E-2</v>
      </c>
      <c r="AE5705">
        <v>-0.157140000000005</v>
      </c>
      <c r="AF5705">
        <v>0.151709085355962</v>
      </c>
      <c r="AG5705">
        <v>-9.9682999999999897E-2</v>
      </c>
      <c r="AH5705">
        <v>0.65939273003613197</v>
      </c>
      <c r="AI5705">
        <v>98.380811917549295</v>
      </c>
      <c r="AJ5705">
        <v>77.043211789342195</v>
      </c>
      <c r="AK5705">
        <v>0.68392332866560801</v>
      </c>
    </row>
    <row r="5706" spans="1:37" x14ac:dyDescent="0.2">
      <c r="A5706" t="str">
        <f>"20200111160328745"</f>
        <v>20200111160328745</v>
      </c>
      <c r="B5706" t="str">
        <f>"1578729808738609"</f>
        <v>1578729808738609</v>
      </c>
      <c r="C5706" t="s">
        <v>37</v>
      </c>
      <c r="D5706">
        <v>5.2091839999999996</v>
      </c>
      <c r="E5706">
        <v>0.59928459999999995</v>
      </c>
      <c r="F5706" t="s">
        <v>42</v>
      </c>
      <c r="G5706">
        <v>-221.44710000000001</v>
      </c>
      <c r="H5706">
        <v>0.99528479999999997</v>
      </c>
      <c r="I5706">
        <v>-62.068539999999999</v>
      </c>
      <c r="J5706">
        <v>-222.1763</v>
      </c>
      <c r="K5706">
        <v>1.104322</v>
      </c>
      <c r="L5706">
        <v>-61.896479999999997</v>
      </c>
      <c r="M5706">
        <v>0.99989629999999996</v>
      </c>
      <c r="N5706">
        <v>0</v>
      </c>
      <c r="O5706">
        <v>-3.6529229999999898E-3</v>
      </c>
      <c r="P5706">
        <v>0.998829999999999</v>
      </c>
      <c r="Q5706">
        <v>-1.7723880000000001E-2</v>
      </c>
      <c r="R5706">
        <v>4.499947E-2</v>
      </c>
      <c r="S5706">
        <v>3.0253749999999999</v>
      </c>
      <c r="T5706">
        <v>-0.40453420000000001</v>
      </c>
      <c r="U5706">
        <v>-0.64044190000000001</v>
      </c>
      <c r="V5706">
        <v>-4.865104E-2</v>
      </c>
      <c r="W5706">
        <v>-3.7807399999999999E-3</v>
      </c>
      <c r="X5706">
        <v>0.99880869999999999</v>
      </c>
      <c r="Y5706">
        <v>0.20183689999999899</v>
      </c>
      <c r="Z5706">
        <v>-1.280805E-2</v>
      </c>
      <c r="AA5706">
        <v>0.97933539999999997</v>
      </c>
      <c r="AB5706">
        <v>16</v>
      </c>
      <c r="AC5706">
        <v>0.72919999999999097</v>
      </c>
      <c r="AD5706">
        <v>-0.1090372</v>
      </c>
      <c r="AE5706">
        <v>-0.17206000000000099</v>
      </c>
      <c r="AF5706">
        <v>0.165881515130023</v>
      </c>
      <c r="AG5706">
        <v>-0.1090372</v>
      </c>
      <c r="AH5706">
        <v>0.71468666928633195</v>
      </c>
      <c r="AI5706">
        <v>98.453187293587305</v>
      </c>
      <c r="AJ5706">
        <v>76.932803723351995</v>
      </c>
      <c r="AK5706">
        <v>0.74174309791279103</v>
      </c>
    </row>
    <row r="5707" spans="1:37" x14ac:dyDescent="0.2">
      <c r="A5707" t="str">
        <f>"20200111160328756"</f>
        <v>20200111160328756</v>
      </c>
      <c r="B5707" t="str">
        <f>"1578729808748371"</f>
        <v>1578729808748371</v>
      </c>
      <c r="C5707" t="s">
        <v>37</v>
      </c>
      <c r="D5707">
        <v>5.1807290000000004</v>
      </c>
      <c r="E5707">
        <v>0.59959549999999995</v>
      </c>
      <c r="F5707" t="s">
        <v>42</v>
      </c>
      <c r="G5707">
        <v>-221.4425</v>
      </c>
      <c r="H5707">
        <v>1.005776</v>
      </c>
      <c r="I5707">
        <v>-62.052509999999998</v>
      </c>
      <c r="J5707">
        <v>-222.0943</v>
      </c>
      <c r="K5707">
        <v>1.1043229999999999</v>
      </c>
      <c r="L5707">
        <v>-61.897129999999997</v>
      </c>
      <c r="M5707">
        <v>0.99989539999999999</v>
      </c>
      <c r="N5707">
        <v>0</v>
      </c>
      <c r="O5707">
        <v>-3.9168140000000002E-3</v>
      </c>
      <c r="P5707">
        <v>0.99883750000000004</v>
      </c>
      <c r="Q5707">
        <v>-1.7432630000000001E-2</v>
      </c>
      <c r="R5707">
        <v>4.4945300000000001E-2</v>
      </c>
      <c r="S5707">
        <v>3.02526899999999</v>
      </c>
      <c r="T5707">
        <v>-0.40626790000000002</v>
      </c>
      <c r="U5707">
        <v>-0.64300539999999995</v>
      </c>
      <c r="V5707">
        <v>-4.8860170000000001E-2</v>
      </c>
      <c r="W5707">
        <v>-3.4915800000000002E-3</v>
      </c>
      <c r="X5707">
        <v>0.99879949999999995</v>
      </c>
      <c r="Y5707">
        <v>0.20236319999999999</v>
      </c>
      <c r="Z5707">
        <v>-1.286171E-2</v>
      </c>
      <c r="AA5707">
        <v>0.97922609999999999</v>
      </c>
      <c r="AB5707">
        <v>16</v>
      </c>
      <c r="AC5707">
        <v>0.65180000000000804</v>
      </c>
      <c r="AD5707">
        <v>-9.8546999999999899E-2</v>
      </c>
      <c r="AE5707">
        <v>-0.155379999999993</v>
      </c>
      <c r="AF5707">
        <v>0.14958996996927301</v>
      </c>
      <c r="AG5707">
        <v>-9.8546999999999899E-2</v>
      </c>
      <c r="AH5707">
        <v>0.63859101443204802</v>
      </c>
      <c r="AI5707">
        <v>98.544890521363797</v>
      </c>
      <c r="AJ5707">
        <v>76.8161764030326</v>
      </c>
      <c r="AK5707">
        <v>0.66323989177202003</v>
      </c>
    </row>
    <row r="5708" spans="1:37" x14ac:dyDescent="0.2">
      <c r="A5708" t="str">
        <f>"20200111160328766"</f>
        <v>20200111160328766</v>
      </c>
      <c r="B5708" t="str">
        <f>"1578729808759107"</f>
        <v>1578729808759107</v>
      </c>
      <c r="C5708" t="s">
        <v>37</v>
      </c>
      <c r="D5708">
        <v>5.1829849999999897</v>
      </c>
      <c r="E5708">
        <v>0.59983679999999995</v>
      </c>
      <c r="F5708" t="s">
        <v>42</v>
      </c>
      <c r="G5708">
        <v>-221.29949999999999</v>
      </c>
      <c r="H5708">
        <v>0.99766779999999999</v>
      </c>
      <c r="I5708">
        <v>-62.06691</v>
      </c>
      <c r="J5708">
        <v>-222.0129</v>
      </c>
      <c r="K5708">
        <v>1.1043229999999999</v>
      </c>
      <c r="L5708">
        <v>-61.897739999999999</v>
      </c>
      <c r="M5708">
        <v>0.99989430000000001</v>
      </c>
      <c r="N5708">
        <v>0</v>
      </c>
      <c r="O5708">
        <v>-4.1785599999999996E-3</v>
      </c>
      <c r="P5708">
        <v>0.99882289999999996</v>
      </c>
      <c r="Q5708">
        <v>-1.7116619999999999E-2</v>
      </c>
      <c r="R5708">
        <v>4.5384639999999997E-2</v>
      </c>
      <c r="S5708">
        <v>3.0254819999999998</v>
      </c>
      <c r="T5708">
        <v>-0.40591939999999999</v>
      </c>
      <c r="U5708">
        <v>-0.64584350000000001</v>
      </c>
      <c r="V5708">
        <v>-4.956079E-2</v>
      </c>
      <c r="W5708">
        <v>-3.177689E-3</v>
      </c>
      <c r="X5708">
        <v>0.99876609999999999</v>
      </c>
      <c r="Y5708">
        <v>0.20297209999999999</v>
      </c>
      <c r="Z5708">
        <v>-1.2854310000000001E-2</v>
      </c>
      <c r="AA5708">
        <v>0.97910010000000003</v>
      </c>
      <c r="AB5708">
        <v>16</v>
      </c>
      <c r="AC5708">
        <v>0.71340000000000703</v>
      </c>
      <c r="AD5708">
        <v>-0.10665519999999901</v>
      </c>
      <c r="AE5708">
        <v>-0.16917000000000099</v>
      </c>
      <c r="AF5708">
        <v>0.162743415683026</v>
      </c>
      <c r="AG5708">
        <v>-0.10665519999999901</v>
      </c>
      <c r="AH5708">
        <v>0.69930269622909103</v>
      </c>
      <c r="AI5708">
        <v>98.449324411957605</v>
      </c>
      <c r="AJ5708">
        <v>76.899177633448403</v>
      </c>
      <c r="AK5708">
        <v>0.72586845363915298</v>
      </c>
    </row>
    <row r="5709" spans="1:37" x14ac:dyDescent="0.2">
      <c r="A5709" t="str">
        <f>"20200111160328778"</f>
        <v>20200111160328778</v>
      </c>
      <c r="B5709" t="str">
        <f>"1578729808768866"</f>
        <v>1578729808768866</v>
      </c>
      <c r="C5709" t="s">
        <v>37</v>
      </c>
      <c r="D5709">
        <v>5.1747139999999998</v>
      </c>
      <c r="E5709">
        <v>0.60001490000000002</v>
      </c>
      <c r="F5709" t="s">
        <v>42</v>
      </c>
      <c r="G5709">
        <v>-221.29480000000001</v>
      </c>
      <c r="H5709">
        <v>1.0081009999999999</v>
      </c>
      <c r="I5709">
        <v>-62.051310000000001</v>
      </c>
      <c r="J5709">
        <v>-221.93450000000001</v>
      </c>
      <c r="K5709">
        <v>1.104325</v>
      </c>
      <c r="L5709">
        <v>-61.898380000000003</v>
      </c>
      <c r="M5709">
        <v>0.99989329999999998</v>
      </c>
      <c r="N5709">
        <v>0</v>
      </c>
      <c r="O5709">
        <v>-4.4313679999999998E-3</v>
      </c>
      <c r="P5709">
        <v>0.99880729999999995</v>
      </c>
      <c r="Q5709">
        <v>-1.6734479999999999E-2</v>
      </c>
      <c r="R5709">
        <v>4.5870170000000002E-2</v>
      </c>
      <c r="S5709">
        <v>3.02595499999999</v>
      </c>
      <c r="T5709">
        <v>-0.40537590000000001</v>
      </c>
      <c r="U5709">
        <v>-0.64657589999999998</v>
      </c>
      <c r="V5709">
        <v>-5.029807E-2</v>
      </c>
      <c r="W5709">
        <v>-2.7975650000000001E-3</v>
      </c>
      <c r="X5709">
        <v>0.99873040000000002</v>
      </c>
      <c r="Y5709">
        <v>0.20292779999999999</v>
      </c>
      <c r="Z5709">
        <v>-1.279872E-2</v>
      </c>
      <c r="AA5709">
        <v>0.97911009999999998</v>
      </c>
      <c r="AB5709">
        <v>16</v>
      </c>
      <c r="AC5709">
        <v>0.63970000000000404</v>
      </c>
      <c r="AD5709">
        <v>-9.6224000000000004E-2</v>
      </c>
      <c r="AE5709">
        <v>-0.15292999999999701</v>
      </c>
      <c r="AF5709">
        <v>0.146948328149235</v>
      </c>
      <c r="AG5709">
        <v>-9.6224000000000004E-2</v>
      </c>
      <c r="AH5709">
        <v>0.62695274260393397</v>
      </c>
      <c r="AI5709">
        <v>98.498778218448706</v>
      </c>
      <c r="AJ5709">
        <v>76.808845336466504</v>
      </c>
      <c r="AK5709">
        <v>0.65109339635758101</v>
      </c>
    </row>
    <row r="5710" spans="1:37" x14ac:dyDescent="0.2">
      <c r="A5710" t="str">
        <f>"20200111160328790"</f>
        <v>20200111160328790</v>
      </c>
      <c r="B5710" t="str">
        <f>"1578729808778626"</f>
        <v>1578729808778626</v>
      </c>
      <c r="C5710" t="s">
        <v>37</v>
      </c>
      <c r="D5710">
        <v>5.2090629999999898</v>
      </c>
      <c r="E5710">
        <v>0.60003490000000004</v>
      </c>
      <c r="F5710" t="s">
        <v>42</v>
      </c>
      <c r="G5710">
        <v>-221.15219999999999</v>
      </c>
      <c r="H5710">
        <v>0.99999249999999995</v>
      </c>
      <c r="I5710">
        <v>-62.065769999999901</v>
      </c>
      <c r="J5710">
        <v>-221.8485</v>
      </c>
      <c r="K5710">
        <v>1.104328</v>
      </c>
      <c r="L5710">
        <v>-61.899050000000003</v>
      </c>
      <c r="M5710">
        <v>0.99989209999999995</v>
      </c>
      <c r="N5710">
        <v>0</v>
      </c>
      <c r="O5710">
        <v>-4.7083719999999997E-3</v>
      </c>
      <c r="P5710">
        <v>0.99876399999999999</v>
      </c>
      <c r="Q5710">
        <v>-1.6214909999999999E-2</v>
      </c>
      <c r="R5710">
        <v>4.698397E-2</v>
      </c>
      <c r="S5710">
        <v>3.0265499999999999</v>
      </c>
      <c r="T5710">
        <v>-0.403534</v>
      </c>
      <c r="U5710">
        <v>-0.64685059999999905</v>
      </c>
      <c r="V5710">
        <v>-5.1688209999999998E-2</v>
      </c>
      <c r="W5710">
        <v>-2.2802589999999898E-3</v>
      </c>
      <c r="X5710">
        <v>0.99866069999999996</v>
      </c>
      <c r="Y5710">
        <v>0.2027224</v>
      </c>
      <c r="Z5710">
        <v>-1.2688670000000001E-2</v>
      </c>
      <c r="AA5710">
        <v>0.97915409999999903</v>
      </c>
      <c r="AB5710">
        <v>16</v>
      </c>
      <c r="AC5710">
        <v>0.69630000000000702</v>
      </c>
      <c r="AD5710">
        <v>-0.1043355</v>
      </c>
      <c r="AE5710">
        <v>-0.16671999999998999</v>
      </c>
      <c r="AF5710">
        <v>0.160040860166235</v>
      </c>
      <c r="AG5710">
        <v>-0.1043355</v>
      </c>
      <c r="AH5710">
        <v>0.68258241307495804</v>
      </c>
      <c r="AI5710">
        <v>98.4645364610614</v>
      </c>
      <c r="AJ5710">
        <v>76.804566944005401</v>
      </c>
      <c r="AK5710">
        <v>0.70881430863254402</v>
      </c>
    </row>
    <row r="5711" spans="1:37" x14ac:dyDescent="0.2">
      <c r="A5711" t="str">
        <f>"20200111160328803"</f>
        <v>20200111160328803</v>
      </c>
      <c r="B5711" t="str">
        <f>"1578729808799122"</f>
        <v>1578729808799122</v>
      </c>
      <c r="C5711" t="s">
        <v>37</v>
      </c>
      <c r="D5711">
        <v>5.2143100000000002</v>
      </c>
      <c r="E5711">
        <v>0.59997959999999995</v>
      </c>
      <c r="F5711" t="s">
        <v>42</v>
      </c>
      <c r="G5711">
        <v>-221.0093</v>
      </c>
      <c r="H5711">
        <v>0.992907599999999</v>
      </c>
      <c r="I5711">
        <v>-62.077680000000001</v>
      </c>
      <c r="J5711">
        <v>-221.7569</v>
      </c>
      <c r="K5711">
        <v>1.1043319999999901</v>
      </c>
      <c r="L5711">
        <v>-61.899839999999998</v>
      </c>
      <c r="M5711">
        <v>0.99989059999999896</v>
      </c>
      <c r="N5711">
        <v>0</v>
      </c>
      <c r="O5711">
        <v>-5.003375E-3</v>
      </c>
      <c r="P5711">
        <v>0.99871639999999995</v>
      </c>
      <c r="Q5711">
        <v>-1.5588289999999999E-2</v>
      </c>
      <c r="R5711">
        <v>4.8196879999999998E-2</v>
      </c>
      <c r="S5711">
        <v>3.0274809999999999</v>
      </c>
      <c r="T5711">
        <v>-0.40190890000000001</v>
      </c>
      <c r="U5711">
        <v>-0.6437988</v>
      </c>
      <c r="V5711">
        <v>-5.3194909999999998E-2</v>
      </c>
      <c r="W5711">
        <v>-1.6560779999999901E-3</v>
      </c>
      <c r="X5711">
        <v>0.99858279999999999</v>
      </c>
      <c r="Y5711">
        <v>0.20145479999999999</v>
      </c>
      <c r="Z5711">
        <v>-1.251412E-2</v>
      </c>
      <c r="AA5711">
        <v>0.97941789999999995</v>
      </c>
      <c r="AB5711">
        <v>16</v>
      </c>
      <c r="AC5711">
        <v>0.74760000000000504</v>
      </c>
      <c r="AD5711">
        <v>-0.11142439999999899</v>
      </c>
      <c r="AE5711">
        <v>-0.177840000000003</v>
      </c>
      <c r="AF5711">
        <v>0.17051203295264999</v>
      </c>
      <c r="AG5711">
        <v>-0.11142439999999899</v>
      </c>
      <c r="AH5711">
        <v>0.73306845259727904</v>
      </c>
      <c r="AI5711">
        <v>98.421195726843706</v>
      </c>
      <c r="AJ5711">
        <v>76.905808537311799</v>
      </c>
      <c r="AK5711">
        <v>0.76084105205382802</v>
      </c>
    </row>
    <row r="5712" spans="1:37" x14ac:dyDescent="0.2">
      <c r="A5712" t="str">
        <f>"20200111160328814"</f>
        <v>20200111160328814</v>
      </c>
      <c r="B5712" t="str">
        <f>"1578729808808881"</f>
        <v>1578729808808881</v>
      </c>
      <c r="C5712" t="s">
        <v>37</v>
      </c>
      <c r="D5712">
        <v>5.2151459999999998</v>
      </c>
      <c r="E5712">
        <v>0.6001145</v>
      </c>
      <c r="F5712" t="s">
        <v>42</v>
      </c>
      <c r="G5712">
        <v>-221.00389999999999</v>
      </c>
      <c r="H5712">
        <v>1.0050889999999999</v>
      </c>
      <c r="I5712">
        <v>-62.059139999999999</v>
      </c>
      <c r="J5712">
        <v>-221.67490000000001</v>
      </c>
      <c r="K5712">
        <v>1.1043339999999999</v>
      </c>
      <c r="L5712">
        <v>-61.900539999999999</v>
      </c>
      <c r="M5712">
        <v>0.99988940000000004</v>
      </c>
      <c r="N5712">
        <v>0</v>
      </c>
      <c r="O5712">
        <v>-5.2675059999999999E-3</v>
      </c>
      <c r="P5712">
        <v>0.99865349999999997</v>
      </c>
      <c r="Q5712">
        <v>-1.5105820000000001E-2</v>
      </c>
      <c r="R5712">
        <v>4.9630769999999998E-2</v>
      </c>
      <c r="S5712">
        <v>3.02850299999999</v>
      </c>
      <c r="T5712">
        <v>-0.39910479999999998</v>
      </c>
      <c r="U5712">
        <v>-0.64001459999999999</v>
      </c>
      <c r="V5712">
        <v>-5.48919E-2</v>
      </c>
      <c r="W5712">
        <v>-1.175899E-3</v>
      </c>
      <c r="X5712">
        <v>0.99849159999999904</v>
      </c>
      <c r="Y5712">
        <v>0.19999520000000001</v>
      </c>
      <c r="Z5712">
        <v>-1.2296029999999999E-2</v>
      </c>
      <c r="AA5712">
        <v>0.97971969999999997</v>
      </c>
      <c r="AB5712">
        <v>16</v>
      </c>
      <c r="AC5712">
        <v>0.67100000000002002</v>
      </c>
      <c r="AD5712">
        <v>-9.9245E-2</v>
      </c>
      <c r="AE5712">
        <v>-0.15859999999999899</v>
      </c>
      <c r="AF5712">
        <v>0.15191546837578199</v>
      </c>
      <c r="AG5712">
        <v>-9.9245E-2</v>
      </c>
      <c r="AH5712">
        <v>0.65818936228443903</v>
      </c>
      <c r="AI5712">
        <v>98.358223765438197</v>
      </c>
      <c r="AJ5712">
        <v>77.003266123042494</v>
      </c>
      <c r="AK5712">
        <v>0.68274527913507299</v>
      </c>
    </row>
    <row r="5713" spans="1:37" x14ac:dyDescent="0.2">
      <c r="A5713" t="str">
        <f>"20200111160328826"</f>
        <v>20200111160328826</v>
      </c>
      <c r="B5713" t="str">
        <f>"1578729808818642"</f>
        <v>1578729808818642</v>
      </c>
      <c r="C5713" t="s">
        <v>37</v>
      </c>
      <c r="D5713">
        <v>5.2052059999999898</v>
      </c>
      <c r="E5713">
        <v>0.60022710000000001</v>
      </c>
      <c r="F5713" t="s">
        <v>42</v>
      </c>
      <c r="G5713">
        <v>-220.86160000000001</v>
      </c>
      <c r="H5713">
        <v>0.99772999999999901</v>
      </c>
      <c r="I5713">
        <v>-62.071619999999903</v>
      </c>
      <c r="J5713">
        <v>-221.58269999999999</v>
      </c>
      <c r="K5713">
        <v>1.10433799999999</v>
      </c>
      <c r="L5713">
        <v>-61.901400000000002</v>
      </c>
      <c r="M5713">
        <v>0.99988779999999999</v>
      </c>
      <c r="N5713">
        <v>0</v>
      </c>
      <c r="O5713">
        <v>-5.5646530000000001E-3</v>
      </c>
      <c r="P5713">
        <v>0.99859290000000001</v>
      </c>
      <c r="Q5713">
        <v>-1.482933E-2</v>
      </c>
      <c r="R5713">
        <v>5.0918720000000001E-2</v>
      </c>
      <c r="S5713">
        <v>3.0296939999999899</v>
      </c>
      <c r="T5713">
        <v>-0.39707880000000001</v>
      </c>
      <c r="U5713">
        <v>-0.63699340000000004</v>
      </c>
      <c r="V5713">
        <v>-5.6475890000000001E-2</v>
      </c>
      <c r="W5713">
        <v>-9.0200190000000002E-4</v>
      </c>
      <c r="X5713">
        <v>0.9984035</v>
      </c>
      <c r="Y5713">
        <v>0.1987206</v>
      </c>
      <c r="Z5713">
        <v>-1.2110050000000001E-2</v>
      </c>
      <c r="AA5713">
        <v>0.9799814</v>
      </c>
      <c r="AB5713">
        <v>16</v>
      </c>
      <c r="AC5713">
        <v>0.72109999999997798</v>
      </c>
      <c r="AD5713">
        <v>-0.106607999999999</v>
      </c>
      <c r="AE5713">
        <v>-0.17021999999999299</v>
      </c>
      <c r="AF5713">
        <v>0.162833127190701</v>
      </c>
      <c r="AG5713">
        <v>-0.106607999999999</v>
      </c>
      <c r="AH5713">
        <v>0.707390839898562</v>
      </c>
      <c r="AI5713">
        <v>98.355027333184594</v>
      </c>
      <c r="AJ5713">
        <v>77.036986679623098</v>
      </c>
      <c r="AK5713">
        <v>0.73367683168210795</v>
      </c>
    </row>
    <row r="5714" spans="1:37" x14ac:dyDescent="0.2">
      <c r="A5714" t="str">
        <f>"20200111160328840"</f>
        <v>20200111160328840</v>
      </c>
      <c r="B5714" t="str">
        <f>"1578729808828404"</f>
        <v>1578729808828404</v>
      </c>
      <c r="C5714" t="s">
        <v>37</v>
      </c>
      <c r="D5714">
        <v>5.1651379999999998</v>
      </c>
      <c r="E5714">
        <v>0.60042830000000003</v>
      </c>
      <c r="F5714" t="s">
        <v>42</v>
      </c>
      <c r="G5714">
        <v>-220.8563</v>
      </c>
      <c r="H5714">
        <v>1.0094780000000001</v>
      </c>
      <c r="I5714">
        <v>-62.0535</v>
      </c>
      <c r="J5714">
        <v>-221.49209999999999</v>
      </c>
      <c r="K5714">
        <v>1.1043419999999999</v>
      </c>
      <c r="L5714">
        <v>-61.9022199999999</v>
      </c>
      <c r="M5714">
        <v>0.999886099999999</v>
      </c>
      <c r="N5714">
        <v>0</v>
      </c>
      <c r="O5714">
        <v>-5.8560790000000001E-3</v>
      </c>
      <c r="P5714">
        <v>0.9985366</v>
      </c>
      <c r="Q5714">
        <v>-1.4410920000000001E-2</v>
      </c>
      <c r="R5714">
        <v>5.212729E-2</v>
      </c>
      <c r="S5714">
        <v>3.0306549999999999</v>
      </c>
      <c r="T5714">
        <v>-0.39574999999999999</v>
      </c>
      <c r="U5714">
        <v>-0.6342468</v>
      </c>
      <c r="V5714">
        <v>-5.797501E-2</v>
      </c>
      <c r="W5714">
        <v>-4.8620180000000002E-4</v>
      </c>
      <c r="X5714">
        <v>0.99831789999999998</v>
      </c>
      <c r="Y5714">
        <v>0.19754469999999999</v>
      </c>
      <c r="Z5714">
        <v>-1.195411E-2</v>
      </c>
      <c r="AA5714">
        <v>0.98022099999999901</v>
      </c>
      <c r="AB5714">
        <v>16</v>
      </c>
      <c r="AC5714">
        <v>0.63579999999998904</v>
      </c>
      <c r="AD5714">
        <v>-9.4863999999999796E-2</v>
      </c>
      <c r="AE5714">
        <v>-0.15128000000000599</v>
      </c>
      <c r="AF5714">
        <v>0.14450907700458801</v>
      </c>
      <c r="AG5714">
        <v>-9.4863999999999796E-2</v>
      </c>
      <c r="AH5714">
        <v>0.62353772345737801</v>
      </c>
      <c r="AI5714">
        <v>98.430444313133805</v>
      </c>
      <c r="AJ5714">
        <v>76.951674919239906</v>
      </c>
      <c r="AK5714">
        <v>0.64705590516363198</v>
      </c>
    </row>
    <row r="5715" spans="1:37" x14ac:dyDescent="0.2">
      <c r="A5715" t="str">
        <f>"20200111160328853"</f>
        <v>20200111160328853</v>
      </c>
      <c r="B5715" t="str">
        <f>"1578729808848898"</f>
        <v>1578729808848898</v>
      </c>
      <c r="C5715" t="s">
        <v>37</v>
      </c>
      <c r="D5715">
        <v>5.232278</v>
      </c>
      <c r="E5715">
        <v>0.60085889999999997</v>
      </c>
      <c r="F5715" t="s">
        <v>42</v>
      </c>
      <c r="G5715">
        <v>-220.7139</v>
      </c>
      <c r="H5715">
        <v>1.002899</v>
      </c>
      <c r="I5715">
        <v>-62.064729999999997</v>
      </c>
      <c r="J5715">
        <v>-221.38910000000001</v>
      </c>
      <c r="K5715">
        <v>1.1043449999999999</v>
      </c>
      <c r="L5715">
        <v>-61.903199999999998</v>
      </c>
      <c r="M5715">
        <v>0.99988410000000005</v>
      </c>
      <c r="N5715">
        <v>0</v>
      </c>
      <c r="O5715">
        <v>-6.1882680000000002E-3</v>
      </c>
      <c r="P5715">
        <v>0.99847629999999998</v>
      </c>
      <c r="Q5715">
        <v>-1.413301E-2</v>
      </c>
      <c r="R5715">
        <v>5.3345910000000003E-2</v>
      </c>
      <c r="S5715">
        <v>3.0316930000000002</v>
      </c>
      <c r="T5715">
        <v>-0.3950613</v>
      </c>
      <c r="U5715">
        <v>-0.63220209999999999</v>
      </c>
      <c r="V5715">
        <v>-5.9524920000000002E-2</v>
      </c>
      <c r="W5715">
        <v>-2.113231E-4</v>
      </c>
      <c r="X5715">
        <v>0.99822679999999997</v>
      </c>
      <c r="Y5715">
        <v>0.1965353</v>
      </c>
      <c r="Z5715">
        <v>-1.1822859999999999E-2</v>
      </c>
      <c r="AA5715">
        <v>0.98042549999999995</v>
      </c>
      <c r="AB5715">
        <v>16</v>
      </c>
      <c r="AC5715">
        <v>0.67520000000001701</v>
      </c>
      <c r="AD5715">
        <v>-0.10144599999999999</v>
      </c>
      <c r="AE5715">
        <v>-0.161530000000006</v>
      </c>
      <c r="AF5715">
        <v>0.154058751589045</v>
      </c>
      <c r="AG5715">
        <v>-0.10144599999999999</v>
      </c>
      <c r="AH5715">
        <v>0.66205077913928001</v>
      </c>
      <c r="AI5715">
        <v>98.488316669035697</v>
      </c>
      <c r="AJ5715">
        <v>76.900434357799796</v>
      </c>
      <c r="AK5715">
        <v>0.68726750542718296</v>
      </c>
    </row>
    <row r="5716" spans="1:37" x14ac:dyDescent="0.2">
      <c r="A5716" t="str">
        <f>"20200111160328868"</f>
        <v>20200111160328868</v>
      </c>
      <c r="B5716" t="str">
        <f>"1578729808858658"</f>
        <v>1578729808858658</v>
      </c>
      <c r="C5716" t="s">
        <v>37</v>
      </c>
      <c r="D5716">
        <v>5.2097360000000004</v>
      </c>
      <c r="E5716">
        <v>0.60105750000000002</v>
      </c>
      <c r="F5716" t="s">
        <v>42</v>
      </c>
      <c r="G5716">
        <v>-220.5711</v>
      </c>
      <c r="H5716">
        <v>0.99793449999999995</v>
      </c>
      <c r="I5716">
        <v>-62.073609999999903</v>
      </c>
      <c r="J5716">
        <v>-221.2791</v>
      </c>
      <c r="K5716">
        <v>1.104347</v>
      </c>
      <c r="L5716">
        <v>-61.904299999999999</v>
      </c>
      <c r="M5716">
        <v>0.99988189999999999</v>
      </c>
      <c r="N5716">
        <v>0</v>
      </c>
      <c r="O5716">
        <v>-6.5423859999999999E-3</v>
      </c>
      <c r="P5716">
        <v>0.99834560000000006</v>
      </c>
      <c r="Q5716">
        <v>-1.4029389999999999E-2</v>
      </c>
      <c r="R5716">
        <v>5.5758960000000003E-2</v>
      </c>
      <c r="S5716">
        <v>3.0327449999999998</v>
      </c>
      <c r="T5716">
        <v>-0.3946017</v>
      </c>
      <c r="U5716">
        <v>-0.63183590000000001</v>
      </c>
      <c r="V5716">
        <v>-6.228972E-2</v>
      </c>
      <c r="W5716">
        <v>-1.113286E-4</v>
      </c>
      <c r="X5716">
        <v>0.99805809999999995</v>
      </c>
      <c r="Y5716">
        <v>0.19601830000000001</v>
      </c>
      <c r="Z5716">
        <v>-1.172685E-2</v>
      </c>
      <c r="AA5716">
        <v>0.98053009999999996</v>
      </c>
      <c r="AB5716">
        <v>16</v>
      </c>
      <c r="AC5716">
        <v>0.70799999999999796</v>
      </c>
      <c r="AD5716">
        <v>-0.10641249999999999</v>
      </c>
      <c r="AE5716">
        <v>-0.16930999999999499</v>
      </c>
      <c r="AF5716">
        <v>0.161228758543419</v>
      </c>
      <c r="AG5716">
        <v>-0.10641249999999999</v>
      </c>
      <c r="AH5716">
        <v>0.69425764296366199</v>
      </c>
      <c r="AI5716">
        <v>98.491651666918401</v>
      </c>
      <c r="AJ5716">
        <v>76.925842312204693</v>
      </c>
      <c r="AK5716">
        <v>0.72063306026795804</v>
      </c>
    </row>
    <row r="5717" spans="1:37" x14ac:dyDescent="0.2">
      <c r="A5717" t="str">
        <f>"20200111160328881"</f>
        <v>20200111160328881</v>
      </c>
      <c r="B5717" t="str">
        <f>"1578729808869394"</f>
        <v>1578729808869394</v>
      </c>
      <c r="C5717" t="s">
        <v>37</v>
      </c>
      <c r="D5717">
        <v>5.2422519999999997</v>
      </c>
      <c r="E5717">
        <v>0.60123179999999998</v>
      </c>
      <c r="F5717" t="s">
        <v>42</v>
      </c>
      <c r="G5717">
        <v>-220.565</v>
      </c>
      <c r="H5717">
        <v>1.011412</v>
      </c>
      <c r="I5717">
        <v>-62.0516199999999</v>
      </c>
      <c r="J5717">
        <v>-221.1917</v>
      </c>
      <c r="K5717">
        <v>1.104347</v>
      </c>
      <c r="L5717">
        <v>-61.905209999999997</v>
      </c>
      <c r="M5717">
        <v>0.9998802</v>
      </c>
      <c r="N5717">
        <v>0</v>
      </c>
      <c r="O5717">
        <v>-6.8242759999999998E-3</v>
      </c>
      <c r="P5717">
        <v>0.99829590000000001</v>
      </c>
      <c r="Q5717">
        <v>-1.3690890000000001E-2</v>
      </c>
      <c r="R5717">
        <v>5.6729809999999999E-2</v>
      </c>
      <c r="S5717">
        <v>3.0343629999999999</v>
      </c>
      <c r="T5717">
        <v>-0.39492549999999998</v>
      </c>
      <c r="U5717">
        <v>-0.62597659999999999</v>
      </c>
      <c r="V5717">
        <v>-6.3541790000000001E-2</v>
      </c>
      <c r="W5717">
        <v>2.2489229999999999E-4</v>
      </c>
      <c r="X5717">
        <v>0.99797919999999996</v>
      </c>
      <c r="Y5717">
        <v>0.19383989999999901</v>
      </c>
      <c r="Z5717">
        <v>-1.15567E-2</v>
      </c>
      <c r="AA5717">
        <v>0.98096510000000003</v>
      </c>
      <c r="AB5717">
        <v>16</v>
      </c>
      <c r="AC5717">
        <v>0.62669999999999904</v>
      </c>
      <c r="AD5717">
        <v>-9.2935000000000004E-2</v>
      </c>
      <c r="AE5717">
        <v>-0.14640999999999499</v>
      </c>
      <c r="AF5717">
        <v>0.139226175336952</v>
      </c>
      <c r="AG5717">
        <v>-9.2935000000000004E-2</v>
      </c>
      <c r="AH5717">
        <v>0.61486314558287603</v>
      </c>
      <c r="AI5717">
        <v>98.385889122866899</v>
      </c>
      <c r="AJ5717">
        <v>77.241414951160806</v>
      </c>
      <c r="AK5717">
        <v>0.63724212817423298</v>
      </c>
    </row>
    <row r="5718" spans="1:37" x14ac:dyDescent="0.2">
      <c r="A5718" t="str">
        <f>"20200111160328893"</f>
        <v>20200111160328893</v>
      </c>
      <c r="B5718" t="str">
        <f>"1578729808888914"</f>
        <v>1578729808888914</v>
      </c>
      <c r="C5718" t="s">
        <v>37</v>
      </c>
      <c r="D5718">
        <v>5.1759250000000003</v>
      </c>
      <c r="E5718">
        <v>0.60169659999999903</v>
      </c>
      <c r="F5718" t="s">
        <v>42</v>
      </c>
      <c r="G5718">
        <v>-220.42339999999999</v>
      </c>
      <c r="H5718">
        <v>1.0045170000000001</v>
      </c>
      <c r="I5718">
        <v>-62.063400000000001</v>
      </c>
      <c r="J5718">
        <v>-221.09599999999901</v>
      </c>
      <c r="K5718">
        <v>1.104349</v>
      </c>
      <c r="L5718">
        <v>-61.906219999999998</v>
      </c>
      <c r="M5718">
        <v>0.99987789999999999</v>
      </c>
      <c r="N5718">
        <v>0</v>
      </c>
      <c r="O5718">
        <v>-7.13262599999999E-3</v>
      </c>
      <c r="P5718">
        <v>0.99824880000000005</v>
      </c>
      <c r="Q5718">
        <v>-1.373432E-2</v>
      </c>
      <c r="R5718">
        <v>5.7541120000000001E-2</v>
      </c>
      <c r="S5718">
        <v>3.0352169999999998</v>
      </c>
      <c r="T5718">
        <v>-0.39427180000000001</v>
      </c>
      <c r="U5718">
        <v>-0.62445069999999903</v>
      </c>
      <c r="V5718">
        <v>-6.4660540000000002E-2</v>
      </c>
      <c r="W5718">
        <v>1.7863929999999999E-4</v>
      </c>
      <c r="X5718">
        <v>0.99790730000000005</v>
      </c>
      <c r="Y5718">
        <v>0.19302439999999901</v>
      </c>
      <c r="Z5718">
        <v>-1.1443470000000001E-2</v>
      </c>
      <c r="AA5718">
        <v>0.98112719999999898</v>
      </c>
      <c r="AB5718">
        <v>16</v>
      </c>
      <c r="AC5718">
        <v>0.67259999999998799</v>
      </c>
      <c r="AD5718">
        <v>-9.9831999999999907E-2</v>
      </c>
      <c r="AE5718">
        <v>-0.15718000000000301</v>
      </c>
      <c r="AF5718">
        <v>0.149260124533729</v>
      </c>
      <c r="AG5718">
        <v>-9.9831999999999907E-2</v>
      </c>
      <c r="AH5718">
        <v>0.65991856055815301</v>
      </c>
      <c r="AI5718">
        <v>98.393552259748404</v>
      </c>
      <c r="AJ5718">
        <v>77.255302657713798</v>
      </c>
      <c r="AK5718">
        <v>0.68391338601387897</v>
      </c>
    </row>
    <row r="5719" spans="1:37" x14ac:dyDescent="0.2">
      <c r="A5719" t="str">
        <f>"20200111160328912"</f>
        <v>20200111160328912</v>
      </c>
      <c r="B5719" t="str">
        <f>"1578729808908435"</f>
        <v>1578729808908435</v>
      </c>
      <c r="C5719" t="s">
        <v>37</v>
      </c>
      <c r="D5719">
        <v>5.2022629999999896</v>
      </c>
      <c r="E5719">
        <v>0.60197389999999995</v>
      </c>
      <c r="F5719" t="s">
        <v>42</v>
      </c>
      <c r="G5719">
        <v>-220.2818</v>
      </c>
      <c r="H5719">
        <v>0.99825599999999903</v>
      </c>
      <c r="I5719">
        <v>-62.07405</v>
      </c>
      <c r="J5719">
        <v>-220.9639</v>
      </c>
      <c r="K5719">
        <v>1.104349</v>
      </c>
      <c r="L5719">
        <v>-61.907649999999997</v>
      </c>
      <c r="M5719">
        <v>0.99987479999999995</v>
      </c>
      <c r="N5719">
        <v>0</v>
      </c>
      <c r="O5719">
        <v>-7.5581440000000001E-3</v>
      </c>
      <c r="P5719">
        <v>0.99815339999999997</v>
      </c>
      <c r="Q5719">
        <v>-1.3438200000000001E-2</v>
      </c>
      <c r="R5719">
        <v>5.923813E-2</v>
      </c>
      <c r="S5719">
        <v>3.035873</v>
      </c>
      <c r="T5719">
        <v>-0.39557309999999901</v>
      </c>
      <c r="U5719">
        <v>-0.62570190000000003</v>
      </c>
      <c r="V5719">
        <v>-6.6781190000000004E-2</v>
      </c>
      <c r="W5719">
        <v>4.7046349999999899E-4</v>
      </c>
      <c r="X5719">
        <v>0.99776749999999903</v>
      </c>
      <c r="Y5719">
        <v>0.19294800000000001</v>
      </c>
      <c r="Z5719">
        <v>-1.141853E-2</v>
      </c>
      <c r="AA5719">
        <v>0.98114249999999903</v>
      </c>
      <c r="AB5719">
        <v>16</v>
      </c>
      <c r="AC5719">
        <v>0.68209999999999105</v>
      </c>
      <c r="AD5719">
        <v>-0.10609300000000001</v>
      </c>
      <c r="AE5719">
        <v>-0.16640000000000299</v>
      </c>
      <c r="AF5719">
        <v>0.157639878861418</v>
      </c>
      <c r="AG5719">
        <v>-0.10609300000000001</v>
      </c>
      <c r="AH5719">
        <v>0.668083668699746</v>
      </c>
      <c r="AI5719">
        <v>98.785980768490603</v>
      </c>
      <c r="AJ5719">
        <v>76.723427541204003</v>
      </c>
      <c r="AK5719">
        <v>0.69458033692277499</v>
      </c>
    </row>
    <row r="5720" spans="1:37" x14ac:dyDescent="0.2">
      <c r="A5720" t="str">
        <f>"20200111160328923"</f>
        <v>20200111160328923</v>
      </c>
      <c r="B5720" t="str">
        <f>"1578729808919170"</f>
        <v>1578729808919170</v>
      </c>
      <c r="C5720" t="s">
        <v>37</v>
      </c>
      <c r="D5720">
        <v>5.1822439999999999</v>
      </c>
      <c r="E5720">
        <v>0.60829029999999995</v>
      </c>
      <c r="F5720" t="s">
        <v>42</v>
      </c>
      <c r="G5720">
        <v>-220.13820000000001</v>
      </c>
      <c r="H5720">
        <v>0.9969654</v>
      </c>
      <c r="I5720">
        <v>-62.07714</v>
      </c>
      <c r="J5720">
        <v>-220.8852</v>
      </c>
      <c r="K5720">
        <v>1.1043499999999999</v>
      </c>
      <c r="L5720">
        <v>-61.908540000000002</v>
      </c>
      <c r="M5720">
        <v>0.99987289999999995</v>
      </c>
      <c r="N5720">
        <v>0</v>
      </c>
      <c r="O5720">
        <v>-7.8117880000000001E-3</v>
      </c>
      <c r="P5720">
        <v>0.99813999999999903</v>
      </c>
      <c r="Q5720">
        <v>-1.332211E-2</v>
      </c>
      <c r="R5720">
        <v>5.9493499999999998E-2</v>
      </c>
      <c r="S5720">
        <v>3.0372159999999999</v>
      </c>
      <c r="T5720">
        <v>-0.39490059999999999</v>
      </c>
      <c r="U5720">
        <v>-0.62280269999999904</v>
      </c>
      <c r="V5720">
        <v>-6.7289790000000002E-2</v>
      </c>
      <c r="W5720">
        <v>5.8442740000000002E-4</v>
      </c>
      <c r="X5720">
        <v>0.99773330000000005</v>
      </c>
      <c r="Y5720">
        <v>0.1917326</v>
      </c>
      <c r="Z5720">
        <v>-1.1285069999999999E-2</v>
      </c>
      <c r="AA5720">
        <v>0.98138230000000004</v>
      </c>
      <c r="AB5720">
        <v>16</v>
      </c>
      <c r="AC5720">
        <v>0.74699999999998501</v>
      </c>
      <c r="AD5720">
        <v>-0.107384599999999</v>
      </c>
      <c r="AE5720">
        <v>-0.168599999999997</v>
      </c>
      <c r="AF5720">
        <v>0.159620170004793</v>
      </c>
      <c r="AG5720">
        <v>-0.107384599999999</v>
      </c>
      <c r="AH5720">
        <v>0.733863952887437</v>
      </c>
      <c r="AI5720">
        <v>98.137254314649198</v>
      </c>
      <c r="AJ5720">
        <v>77.728924777550205</v>
      </c>
      <c r="AK5720">
        <v>0.75866089416622295</v>
      </c>
    </row>
    <row r="5721" spans="1:37" x14ac:dyDescent="0.2">
      <c r="A5721" t="str">
        <f>"20200111160328934"</f>
        <v>20200111160328934</v>
      </c>
      <c r="B5721" t="str">
        <f>"1578729808928930"</f>
        <v>1578729808928930</v>
      </c>
      <c r="C5721" t="s">
        <v>37</v>
      </c>
      <c r="D5721">
        <v>8.4253389999999992</v>
      </c>
      <c r="E5721">
        <v>0.60829029999999995</v>
      </c>
      <c r="F5721" t="s">
        <v>42</v>
      </c>
      <c r="G5721">
        <v>-220.1362</v>
      </c>
      <c r="H5721">
        <v>1.0013449999999999</v>
      </c>
      <c r="I5721">
        <v>-62.074179999999998</v>
      </c>
      <c r="J5721">
        <v>-220.80179999999999</v>
      </c>
      <c r="K5721">
        <v>1.104349</v>
      </c>
      <c r="L5721">
        <v>-61.909519999999901</v>
      </c>
      <c r="M5721">
        <v>0.99987079999999995</v>
      </c>
      <c r="N5721">
        <v>0</v>
      </c>
      <c r="O5721">
        <v>-8.0805679999999998E-3</v>
      </c>
      <c r="P5721">
        <v>0.99814219999999898</v>
      </c>
      <c r="Q5721">
        <v>-1.3200369999999999E-2</v>
      </c>
      <c r="R5721">
        <v>5.9482170000000001E-2</v>
      </c>
      <c r="S5721">
        <v>3.0400390000000002</v>
      </c>
      <c r="T5721">
        <v>-0.41796229999999901</v>
      </c>
      <c r="U5721">
        <v>-0.67156979999999999</v>
      </c>
      <c r="V5721">
        <v>-6.7546200000000001E-2</v>
      </c>
      <c r="W5721">
        <v>7.0411360000000001E-4</v>
      </c>
      <c r="X5721">
        <v>0.99771589999999999</v>
      </c>
      <c r="Y5721">
        <v>0.20603440000000001</v>
      </c>
      <c r="Z5721">
        <v>-1.2838840000000001E-2</v>
      </c>
      <c r="AA5721">
        <v>0.97846049999999996</v>
      </c>
      <c r="AB5721">
        <v>16</v>
      </c>
      <c r="AC5721">
        <v>0.66559999999998298</v>
      </c>
      <c r="AD5721">
        <v>-0.103003999999999</v>
      </c>
      <c r="AE5721">
        <v>-0.16466000000001199</v>
      </c>
      <c r="AF5721">
        <v>0.15576054380235099</v>
      </c>
      <c r="AG5721">
        <v>-0.103003999999999</v>
      </c>
      <c r="AH5721">
        <v>0.65219059584789696</v>
      </c>
      <c r="AI5721">
        <v>98.733235589533606</v>
      </c>
      <c r="AJ5721">
        <v>76.567846149783506</v>
      </c>
      <c r="AK5721">
        <v>0.67839792477132399</v>
      </c>
    </row>
    <row r="5722" spans="1:37" x14ac:dyDescent="0.2">
      <c r="A5722" t="str">
        <f>"20200111160328945"</f>
        <v>20200111160328945</v>
      </c>
      <c r="B5722" t="str">
        <f>"1578729808938690"</f>
        <v>1578729808938690</v>
      </c>
      <c r="C5722" t="s">
        <v>37</v>
      </c>
      <c r="D5722">
        <v>5.1749619999999998</v>
      </c>
      <c r="E5722">
        <v>0.60873449999999996</v>
      </c>
      <c r="F5722" t="s">
        <v>42</v>
      </c>
      <c r="G5722">
        <v>-219.9958</v>
      </c>
      <c r="H5722">
        <v>0.99358679999999999</v>
      </c>
      <c r="I5722">
        <v>-62.08764</v>
      </c>
      <c r="J5722">
        <v>-220.71870000000001</v>
      </c>
      <c r="K5722">
        <v>1.1043510000000001</v>
      </c>
      <c r="L5722">
        <v>-61.910490000000003</v>
      </c>
      <c r="M5722">
        <v>0.9998688</v>
      </c>
      <c r="N5722">
        <v>0</v>
      </c>
      <c r="O5722">
        <v>-8.3483959999999992E-3</v>
      </c>
      <c r="P5722">
        <v>0.99814269999999905</v>
      </c>
      <c r="Q5722">
        <v>-1.337111E-2</v>
      </c>
      <c r="R5722">
        <v>5.9436699999999898E-2</v>
      </c>
      <c r="S5722">
        <v>3.0400700000000001</v>
      </c>
      <c r="T5722">
        <v>-0.41777120000000001</v>
      </c>
      <c r="U5722">
        <v>-0.67156979999999999</v>
      </c>
      <c r="V5722">
        <v>-6.7767910000000001E-2</v>
      </c>
      <c r="W5722">
        <v>5.3102189999999999E-4</v>
      </c>
      <c r="X5722">
        <v>0.99770099999999995</v>
      </c>
      <c r="Y5722">
        <v>0.20577680000000001</v>
      </c>
      <c r="Z5722">
        <v>-1.27792999999999E-2</v>
      </c>
      <c r="AA5722">
        <v>0.97851549999999998</v>
      </c>
      <c r="AB5722">
        <v>16</v>
      </c>
      <c r="AC5722">
        <v>0.72290000000000898</v>
      </c>
      <c r="AD5722">
        <v>-0.11076419999999999</v>
      </c>
      <c r="AE5722">
        <v>-0.177149999999997</v>
      </c>
      <c r="AF5722">
        <v>0.16740076038690799</v>
      </c>
      <c r="AG5722">
        <v>-0.11076419999999999</v>
      </c>
      <c r="AH5722">
        <v>0.708659174962053</v>
      </c>
      <c r="AI5722">
        <v>98.649222610779603</v>
      </c>
      <c r="AJ5722">
        <v>76.709125435560694</v>
      </c>
      <c r="AK5722">
        <v>0.73653889838735098</v>
      </c>
    </row>
    <row r="5723" spans="1:37" x14ac:dyDescent="0.2">
      <c r="A5723" t="str">
        <f>"20200111160328956"</f>
        <v>20200111160328956</v>
      </c>
      <c r="B5723" t="str">
        <f>"1578729808948450"</f>
        <v>1578729808948450</v>
      </c>
      <c r="C5723" t="s">
        <v>37</v>
      </c>
      <c r="D5723">
        <v>5.1940309999999998</v>
      </c>
      <c r="E5723">
        <v>0.60892579999999996</v>
      </c>
      <c r="F5723" t="s">
        <v>42</v>
      </c>
      <c r="G5723">
        <v>-219.9905</v>
      </c>
      <c r="H5723">
        <v>1.0051840000000001</v>
      </c>
      <c r="I5723">
        <v>-62.072339999999997</v>
      </c>
      <c r="J5723">
        <v>-220.6439</v>
      </c>
      <c r="K5723">
        <v>1.1043510000000001</v>
      </c>
      <c r="L5723">
        <v>-61.911409999999997</v>
      </c>
      <c r="M5723">
        <v>0.9998667</v>
      </c>
      <c r="N5723">
        <v>0</v>
      </c>
      <c r="O5723">
        <v>-8.5892850000000003E-3</v>
      </c>
      <c r="P5723">
        <v>0.99816469999999902</v>
      </c>
      <c r="Q5723">
        <v>-1.353039E-2</v>
      </c>
      <c r="R5723">
        <v>5.9030640000000002E-2</v>
      </c>
      <c r="S5723">
        <v>3.0402529999999999</v>
      </c>
      <c r="T5723">
        <v>-0.41402840000000002</v>
      </c>
      <c r="U5723">
        <v>-0.67547609999999902</v>
      </c>
      <c r="V5723">
        <v>-6.7602839999999997E-2</v>
      </c>
      <c r="W5723">
        <v>3.7032769999999899E-4</v>
      </c>
      <c r="X5723">
        <v>0.9977123</v>
      </c>
      <c r="Y5723">
        <v>0.20675270000000001</v>
      </c>
      <c r="Z5723">
        <v>-1.269648E-2</v>
      </c>
      <c r="AA5723">
        <v>0.97831080000000004</v>
      </c>
      <c r="AB5723">
        <v>16</v>
      </c>
      <c r="AC5723">
        <v>0.65340000000000398</v>
      </c>
      <c r="AD5723">
        <v>-9.9167000000000005E-2</v>
      </c>
      <c r="AE5723">
        <v>-0.16093000000000701</v>
      </c>
      <c r="AF5723">
        <v>0.15201008472067801</v>
      </c>
      <c r="AG5723">
        <v>-9.9167000000000005E-2</v>
      </c>
      <c r="AH5723">
        <v>0.64084117379247496</v>
      </c>
      <c r="AI5723">
        <v>98.562542089698496</v>
      </c>
      <c r="AJ5723">
        <v>76.655837056708293</v>
      </c>
      <c r="AK5723">
        <v>0.66604697264795498</v>
      </c>
    </row>
    <row r="5724" spans="1:37" x14ac:dyDescent="0.2">
      <c r="A5724" t="str">
        <f>"20200111160328966"</f>
        <v>20200111160328966</v>
      </c>
      <c r="B5724" t="str">
        <f>"1578729808959186"</f>
        <v>1578729808959186</v>
      </c>
      <c r="C5724" t="s">
        <v>37</v>
      </c>
      <c r="D5724">
        <v>5.1974309999999999</v>
      </c>
      <c r="E5724">
        <v>0.60903260000000004</v>
      </c>
      <c r="F5724" t="s">
        <v>42</v>
      </c>
      <c r="G5724">
        <v>-219.8511</v>
      </c>
      <c r="H5724">
        <v>0.99594559999999999</v>
      </c>
      <c r="I5724">
        <v>-62.088450000000002</v>
      </c>
      <c r="J5724">
        <v>-220.56229999999999</v>
      </c>
      <c r="K5724">
        <v>1.1043510000000001</v>
      </c>
      <c r="L5724">
        <v>-61.912409999999902</v>
      </c>
      <c r="M5724">
        <v>0.99986439999999999</v>
      </c>
      <c r="N5724">
        <v>0</v>
      </c>
      <c r="O5724">
        <v>-8.8521069999999997E-3</v>
      </c>
      <c r="P5724">
        <v>0.99820159999999902</v>
      </c>
      <c r="Q5724">
        <v>-1.3570860000000001E-2</v>
      </c>
      <c r="R5724">
        <v>5.8390350000000001E-2</v>
      </c>
      <c r="S5724">
        <v>3.0399929999999999</v>
      </c>
      <c r="T5724">
        <v>-0.41556759999999898</v>
      </c>
      <c r="U5724">
        <v>-0.67813109999999999</v>
      </c>
      <c r="V5724">
        <v>-6.7225099999999996E-2</v>
      </c>
      <c r="W5724">
        <v>3.2741230000000001E-4</v>
      </c>
      <c r="X5724">
        <v>0.99773780000000001</v>
      </c>
      <c r="Y5724">
        <v>0.207312</v>
      </c>
      <c r="Z5724">
        <v>-1.274541E-2</v>
      </c>
      <c r="AA5724">
        <v>0.9781919</v>
      </c>
      <c r="AB5724">
        <v>16</v>
      </c>
      <c r="AC5724">
        <v>0.71119999999999095</v>
      </c>
      <c r="AD5724">
        <v>-0.1084054</v>
      </c>
      <c r="AE5724">
        <v>-0.176040000000007</v>
      </c>
      <c r="AF5724">
        <v>0.16610053986093801</v>
      </c>
      <c r="AG5724">
        <v>-0.1084054</v>
      </c>
      <c r="AH5724">
        <v>0.69746151306287196</v>
      </c>
      <c r="AI5724">
        <v>98.597992677512394</v>
      </c>
      <c r="AJ5724">
        <v>76.604526724433001</v>
      </c>
      <c r="AK5724">
        <v>0.72511632328558595</v>
      </c>
    </row>
    <row r="5725" spans="1:37" x14ac:dyDescent="0.2">
      <c r="A5725" t="str">
        <f>"20200111160328978"</f>
        <v>20200111160328978</v>
      </c>
      <c r="B5725" t="str">
        <f>"1578729808968946"</f>
        <v>1578729808968946</v>
      </c>
      <c r="C5725" t="s">
        <v>37</v>
      </c>
      <c r="D5725">
        <v>5.1513540000000004</v>
      </c>
      <c r="E5725">
        <v>0.60928300000000002</v>
      </c>
      <c r="F5725" t="s">
        <v>42</v>
      </c>
      <c r="G5725">
        <v>-219.84639999999999</v>
      </c>
      <c r="H5725">
        <v>1.0063200000000001</v>
      </c>
      <c r="I5725">
        <v>-62.073009999999996</v>
      </c>
      <c r="J5725">
        <v>-220.48580000000001</v>
      </c>
      <c r="K5725">
        <v>1.1043510000000001</v>
      </c>
      <c r="L5725">
        <v>-61.913359999999997</v>
      </c>
      <c r="M5725">
        <v>0.99986229999999998</v>
      </c>
      <c r="N5725">
        <v>0</v>
      </c>
      <c r="O5725">
        <v>-9.0987159999999997E-3</v>
      </c>
      <c r="P5725">
        <v>0.99823799999999996</v>
      </c>
      <c r="Q5725">
        <v>-1.407945E-2</v>
      </c>
      <c r="R5725">
        <v>5.7645790000000002E-2</v>
      </c>
      <c r="S5725">
        <v>3.03956599999999</v>
      </c>
      <c r="T5725">
        <v>-0.41607329999999998</v>
      </c>
      <c r="U5725">
        <v>-0.68103029999999998</v>
      </c>
      <c r="V5725">
        <v>-6.6726969999999997E-2</v>
      </c>
      <c r="W5725">
        <v>-1.8261929999999999E-4</v>
      </c>
      <c r="X5725">
        <v>0.99777130000000003</v>
      </c>
      <c r="Y5725">
        <v>0.20798049999999901</v>
      </c>
      <c r="Z5725">
        <v>-1.2773039999999999E-2</v>
      </c>
      <c r="AA5725">
        <v>0.97804959999999996</v>
      </c>
      <c r="AB5725">
        <v>16</v>
      </c>
      <c r="AC5725">
        <v>0.63940000000002295</v>
      </c>
      <c r="AD5725">
        <v>-9.8030999999999896E-2</v>
      </c>
      <c r="AE5725">
        <v>-0.15964999999999899</v>
      </c>
      <c r="AF5725">
        <v>0.150495150492895</v>
      </c>
      <c r="AG5725">
        <v>-9.8030999999999896E-2</v>
      </c>
      <c r="AH5725">
        <v>0.62695386036921097</v>
      </c>
      <c r="AI5725">
        <v>98.645143559697004</v>
      </c>
      <c r="AJ5725">
        <v>76.502000716132898</v>
      </c>
      <c r="AK5725">
        <v>0.65217329776274602</v>
      </c>
    </row>
    <row r="5726" spans="1:37" x14ac:dyDescent="0.2">
      <c r="A5726" t="str">
        <f>"20200111160328990"</f>
        <v>20200111160328990</v>
      </c>
      <c r="B5726" t="str">
        <f>"1578729808978705"</f>
        <v>1578729808978705</v>
      </c>
      <c r="C5726" t="s">
        <v>37</v>
      </c>
      <c r="D5726">
        <v>5.1568319999999996</v>
      </c>
      <c r="E5726">
        <v>0.60953169999999901</v>
      </c>
      <c r="F5726" t="s">
        <v>42</v>
      </c>
      <c r="G5726">
        <v>-219.70740000000001</v>
      </c>
      <c r="H5726">
        <v>0.99700069999999996</v>
      </c>
      <c r="I5726">
        <v>-62.088880000000003</v>
      </c>
      <c r="J5726">
        <v>-220.4032</v>
      </c>
      <c r="K5726">
        <v>1.1043499999999999</v>
      </c>
      <c r="L5726">
        <v>-61.914430000000003</v>
      </c>
      <c r="M5726">
        <v>0.99985979999999997</v>
      </c>
      <c r="N5726">
        <v>0</v>
      </c>
      <c r="O5726">
        <v>-9.3646359999999904E-3</v>
      </c>
      <c r="P5726">
        <v>0.99827479999999902</v>
      </c>
      <c r="Q5726">
        <v>-1.4213679999999999E-2</v>
      </c>
      <c r="R5726">
        <v>5.6969199999999998E-2</v>
      </c>
      <c r="S5726">
        <v>3.0389560000000002</v>
      </c>
      <c r="T5726">
        <v>-0.41912899999999997</v>
      </c>
      <c r="U5726">
        <v>-0.68515009999999998</v>
      </c>
      <c r="V5726">
        <v>-6.6316369999999999E-2</v>
      </c>
      <c r="W5726">
        <v>-3.1879569999999999E-4</v>
      </c>
      <c r="X5726">
        <v>0.99779859999999898</v>
      </c>
      <c r="Y5726">
        <v>0.20899179999999901</v>
      </c>
      <c r="Z5726">
        <v>-1.289915E-2</v>
      </c>
      <c r="AA5726">
        <v>0.97783229999999999</v>
      </c>
      <c r="AB5726">
        <v>16</v>
      </c>
      <c r="AC5726">
        <v>0.69579999999999098</v>
      </c>
      <c r="AD5726">
        <v>-0.107349299999999</v>
      </c>
      <c r="AE5726">
        <v>-0.17444999999999999</v>
      </c>
      <c r="AF5726">
        <v>0.164247464071476</v>
      </c>
      <c r="AG5726">
        <v>-0.107349299999999</v>
      </c>
      <c r="AH5726">
        <v>0.68212697931551103</v>
      </c>
      <c r="AI5726">
        <v>98.698877814832699</v>
      </c>
      <c r="AJ5726">
        <v>76.461626078265596</v>
      </c>
      <c r="AK5726">
        <v>0.70978751579222898</v>
      </c>
    </row>
    <row r="5727" spans="1:37" x14ac:dyDescent="0.2">
      <c r="A5727" t="str">
        <f>"20200111160329001"</f>
        <v>20200111160329001</v>
      </c>
      <c r="B5727" t="str">
        <f>"1578729808999202"</f>
        <v>1578729808999202</v>
      </c>
      <c r="C5727" t="s">
        <v>37</v>
      </c>
      <c r="D5727">
        <v>5.1393279999999999</v>
      </c>
      <c r="E5727">
        <v>0.60994179999999998</v>
      </c>
      <c r="F5727" t="s">
        <v>42</v>
      </c>
      <c r="G5727">
        <v>-219.56799999999899</v>
      </c>
      <c r="H5727">
        <v>0.98889660000000001</v>
      </c>
      <c r="I5727">
        <v>-62.104050000000001</v>
      </c>
      <c r="J5727">
        <v>-220.3212</v>
      </c>
      <c r="K5727">
        <v>1.1043510000000001</v>
      </c>
      <c r="L5727">
        <v>-61.915529999999997</v>
      </c>
      <c r="M5727">
        <v>0.99985729999999995</v>
      </c>
      <c r="N5727">
        <v>0</v>
      </c>
      <c r="O5727">
        <v>-9.6290049999999995E-3</v>
      </c>
      <c r="P5727">
        <v>0.99832149999999997</v>
      </c>
      <c r="Q5727">
        <v>-1.45042E-2</v>
      </c>
      <c r="R5727">
        <v>5.607115E-2</v>
      </c>
      <c r="S5727">
        <v>3.0385439999999999</v>
      </c>
      <c r="T5727">
        <v>-0.41992629999999997</v>
      </c>
      <c r="U5727">
        <v>-0.68914790000000004</v>
      </c>
      <c r="V5727">
        <v>-6.5682589999999999E-2</v>
      </c>
      <c r="W5727">
        <v>-6.1120550000000004E-4</v>
      </c>
      <c r="X5727">
        <v>0.99784039999999996</v>
      </c>
      <c r="Y5727">
        <v>0.20997249999999901</v>
      </c>
      <c r="Z5727">
        <v>-1.295405E-2</v>
      </c>
      <c r="AA5727">
        <v>0.97762150000000003</v>
      </c>
      <c r="AB5727">
        <v>16</v>
      </c>
      <c r="AC5727">
        <v>0.75320000000002096</v>
      </c>
      <c r="AD5727">
        <v>-0.1154544</v>
      </c>
      <c r="AE5727">
        <v>-0.188519999999996</v>
      </c>
      <c r="AF5727">
        <v>0.17733686789462799</v>
      </c>
      <c r="AG5727">
        <v>-0.1154544</v>
      </c>
      <c r="AH5727">
        <v>0.73864813661531503</v>
      </c>
      <c r="AI5727">
        <v>98.642026263689004</v>
      </c>
      <c r="AJ5727">
        <v>76.499769719157499</v>
      </c>
      <c r="AK5727">
        <v>0.76836134267629197</v>
      </c>
    </row>
    <row r="5728" spans="1:37" x14ac:dyDescent="0.2">
      <c r="A5728" t="str">
        <f>"20200111160329012"</f>
        <v>20200111160329012</v>
      </c>
      <c r="B5728" t="str">
        <f>"1578729809008962"</f>
        <v>1578729809008962</v>
      </c>
      <c r="C5728" t="s">
        <v>37</v>
      </c>
      <c r="D5728">
        <v>5.0997089999999998</v>
      </c>
      <c r="E5728">
        <v>0.61007230000000001</v>
      </c>
      <c r="F5728" t="s">
        <v>42</v>
      </c>
      <c r="G5728">
        <v>-219.5635</v>
      </c>
      <c r="H5728">
        <v>0.9991546</v>
      </c>
      <c r="I5728">
        <v>-62.089100000000002</v>
      </c>
      <c r="J5728">
        <v>-220.245</v>
      </c>
      <c r="K5728">
        <v>1.104349</v>
      </c>
      <c r="L5728">
        <v>-61.916559999999997</v>
      </c>
      <c r="M5728">
        <v>0.99985499999999905</v>
      </c>
      <c r="N5728">
        <v>0</v>
      </c>
      <c r="O5728">
        <v>-9.874542E-3</v>
      </c>
      <c r="P5728">
        <v>0.99837089999999995</v>
      </c>
      <c r="Q5728">
        <v>-1.4509029999999999E-2</v>
      </c>
      <c r="R5728">
        <v>5.5184520000000001E-2</v>
      </c>
      <c r="S5728">
        <v>3.0379640000000001</v>
      </c>
      <c r="T5728">
        <v>-0.42171979999999998</v>
      </c>
      <c r="U5728">
        <v>-0.69515990000000005</v>
      </c>
      <c r="V5728">
        <v>-6.5041680000000004E-2</v>
      </c>
      <c r="W5728">
        <v>-6.1774789999999996E-4</v>
      </c>
      <c r="X5728">
        <v>0.99788239999999995</v>
      </c>
      <c r="Y5728">
        <v>0.2115842</v>
      </c>
      <c r="Z5728">
        <v>-1.308494E-2</v>
      </c>
      <c r="AA5728">
        <v>0.97727219999999904</v>
      </c>
      <c r="AB5728">
        <v>16</v>
      </c>
      <c r="AC5728">
        <v>0.681499999999999</v>
      </c>
      <c r="AD5728">
        <v>-0.10519439999999999</v>
      </c>
      <c r="AE5728">
        <v>-0.17254000000000499</v>
      </c>
      <c r="AF5728">
        <v>0.162170298096557</v>
      </c>
      <c r="AG5728">
        <v>-0.10519439999999999</v>
      </c>
      <c r="AH5728">
        <v>0.66820888181432803</v>
      </c>
      <c r="AI5728">
        <v>98.698034722678301</v>
      </c>
      <c r="AJ5728">
        <v>76.358407041625995</v>
      </c>
      <c r="AK5728">
        <v>0.695606337745453</v>
      </c>
    </row>
    <row r="5729" spans="1:37" x14ac:dyDescent="0.2">
      <c r="A5729" t="str">
        <f>"20200111160329023"</f>
        <v>20200111160329023</v>
      </c>
      <c r="B5729" t="str">
        <f>"1578729809018722"</f>
        <v>1578729809018722</v>
      </c>
      <c r="C5729" t="s">
        <v>37</v>
      </c>
      <c r="D5729">
        <v>5.1096259999999996</v>
      </c>
      <c r="E5729">
        <v>0.61030479999999998</v>
      </c>
      <c r="F5729" t="s">
        <v>42</v>
      </c>
      <c r="G5729">
        <v>-219.4246</v>
      </c>
      <c r="H5729">
        <v>0.99061999999999995</v>
      </c>
      <c r="I5729">
        <v>-62.105440000000002</v>
      </c>
      <c r="J5729">
        <v>-220.15979999999999</v>
      </c>
      <c r="K5729">
        <v>1.104349</v>
      </c>
      <c r="L5729">
        <v>-61.91769</v>
      </c>
      <c r="M5729">
        <v>0.99985230000000003</v>
      </c>
      <c r="N5729">
        <v>0</v>
      </c>
      <c r="O5729">
        <v>-1.0148809999999999E-2</v>
      </c>
      <c r="P5729">
        <v>0.99842679999999995</v>
      </c>
      <c r="Q5729">
        <v>-1.430157E-2</v>
      </c>
      <c r="R5729">
        <v>5.4218280000000001E-2</v>
      </c>
      <c r="S5729">
        <v>3.0374300000000001</v>
      </c>
      <c r="T5729">
        <v>-0.42100859999999901</v>
      </c>
      <c r="U5729">
        <v>-0.69906619999999997</v>
      </c>
      <c r="V5729">
        <v>-6.4349809999999993E-2</v>
      </c>
      <c r="W5729">
        <v>-4.1218949999999999E-4</v>
      </c>
      <c r="X5729">
        <v>0.99792729999999996</v>
      </c>
      <c r="Y5729">
        <v>0.21254729999999999</v>
      </c>
      <c r="Z5729">
        <v>-1.3091719999999999E-2</v>
      </c>
      <c r="AA5729">
        <v>0.97706309999999996</v>
      </c>
      <c r="AB5729">
        <v>16</v>
      </c>
      <c r="AC5729">
        <v>0.73519999999999097</v>
      </c>
      <c r="AD5729">
        <v>-0.113728999999999</v>
      </c>
      <c r="AE5729">
        <v>-0.187750000000001</v>
      </c>
      <c r="AF5729">
        <v>0.17631734926501499</v>
      </c>
      <c r="AG5729">
        <v>-0.113728999999999</v>
      </c>
      <c r="AH5729">
        <v>0.72087378246300504</v>
      </c>
      <c r="AI5729">
        <v>98.712688011265698</v>
      </c>
      <c r="AJ5729">
        <v>76.255950148778396</v>
      </c>
      <c r="AK5729">
        <v>0.75078698932211196</v>
      </c>
    </row>
    <row r="5730" spans="1:37" x14ac:dyDescent="0.2">
      <c r="A5730" t="str">
        <f>"20200111160329035"</f>
        <v>20200111160329035</v>
      </c>
      <c r="B5730" t="str">
        <f>"1578729809028481"</f>
        <v>1578729809028481</v>
      </c>
      <c r="C5730" t="s">
        <v>37</v>
      </c>
      <c r="D5730">
        <v>5.0966230000000001</v>
      </c>
      <c r="E5730">
        <v>0.61045340000000003</v>
      </c>
      <c r="F5730" t="s">
        <v>42</v>
      </c>
      <c r="G5730">
        <v>-219.4195</v>
      </c>
      <c r="H5730">
        <v>1.0020089999999999</v>
      </c>
      <c r="I5730">
        <v>-62.08934</v>
      </c>
      <c r="J5730">
        <v>-220.0771</v>
      </c>
      <c r="K5730">
        <v>1.1043459999999901</v>
      </c>
      <c r="L5730">
        <v>-61.918880000000001</v>
      </c>
      <c r="M5730">
        <v>0.99984959999999901</v>
      </c>
      <c r="N5730">
        <v>0</v>
      </c>
      <c r="O5730">
        <v>-1.0415560000000001E-2</v>
      </c>
      <c r="P5730">
        <v>0.99846979999999996</v>
      </c>
      <c r="Q5730">
        <v>-1.442361E-2</v>
      </c>
      <c r="R5730">
        <v>5.3388850000000002E-2</v>
      </c>
      <c r="S5730">
        <v>3.0369419999999998</v>
      </c>
      <c r="T5730">
        <v>-0.41976649999999999</v>
      </c>
      <c r="U5730">
        <v>-0.70388790000000001</v>
      </c>
      <c r="V5730">
        <v>-6.3786860000000001E-2</v>
      </c>
      <c r="W5730">
        <v>-5.3617430000000004E-4</v>
      </c>
      <c r="X5730">
        <v>0.99796339999999994</v>
      </c>
      <c r="Y5730">
        <v>0.21379580000000001</v>
      </c>
      <c r="Z5730">
        <v>-1.310177E-2</v>
      </c>
      <c r="AA5730">
        <v>0.97679050000000001</v>
      </c>
      <c r="AB5730">
        <v>16</v>
      </c>
      <c r="AC5730">
        <v>0.65760000000000196</v>
      </c>
      <c r="AD5730">
        <v>-0.102336999999999</v>
      </c>
      <c r="AE5730">
        <v>-0.170459999999998</v>
      </c>
      <c r="AF5730">
        <v>0.15997055044460101</v>
      </c>
      <c r="AG5730">
        <v>-0.102336999999999</v>
      </c>
      <c r="AH5730">
        <v>0.64470930430755702</v>
      </c>
      <c r="AI5730">
        <v>98.758230795477004</v>
      </c>
      <c r="AJ5730">
        <v>76.064739273208303</v>
      </c>
      <c r="AK5730">
        <v>0.67209636633393799</v>
      </c>
    </row>
    <row r="5731" spans="1:37" x14ac:dyDescent="0.2">
      <c r="A5731" t="str">
        <f>"20200111160329047"</f>
        <v>20200111160329047</v>
      </c>
      <c r="B5731" t="str">
        <f>"1578729809039219"</f>
        <v>1578729809039219</v>
      </c>
      <c r="C5731" t="s">
        <v>37</v>
      </c>
      <c r="D5731">
        <v>5.071955</v>
      </c>
      <c r="E5731">
        <v>0.61058789999999996</v>
      </c>
      <c r="F5731" t="s">
        <v>42</v>
      </c>
      <c r="G5731">
        <v>-219.2807</v>
      </c>
      <c r="H5731">
        <v>0.99406700000000003</v>
      </c>
      <c r="I5731">
        <v>-62.104550000000003</v>
      </c>
      <c r="J5731">
        <v>-219.9991</v>
      </c>
      <c r="K5731">
        <v>1.104347</v>
      </c>
      <c r="L5731">
        <v>-61.919980000000002</v>
      </c>
      <c r="M5731">
        <v>0.99984699999999904</v>
      </c>
      <c r="N5731">
        <v>0</v>
      </c>
      <c r="O5731">
        <v>-1.0666699999999999E-2</v>
      </c>
      <c r="P5731">
        <v>0.99852619999999903</v>
      </c>
      <c r="Q5731">
        <v>-1.443142E-2</v>
      </c>
      <c r="R5731">
        <v>5.232088E-2</v>
      </c>
      <c r="S5731">
        <v>3.036346</v>
      </c>
      <c r="T5731">
        <v>-0.42040369999999999</v>
      </c>
      <c r="U5731">
        <v>-0.70736690000000002</v>
      </c>
      <c r="V5731">
        <v>-6.297026E-2</v>
      </c>
      <c r="W5731">
        <v>-5.4574140000000001E-4</v>
      </c>
      <c r="X5731">
        <v>0.99801530000000005</v>
      </c>
      <c r="Y5731">
        <v>0.21464339999999901</v>
      </c>
      <c r="Z5731">
        <v>-1.3145810000000001E-2</v>
      </c>
      <c r="AA5731">
        <v>0.97660400000000003</v>
      </c>
      <c r="AB5731">
        <v>16</v>
      </c>
      <c r="AC5731">
        <v>0.71840000000000204</v>
      </c>
      <c r="AD5731">
        <v>-0.110279999999999</v>
      </c>
      <c r="AE5731">
        <v>-0.18457000000000001</v>
      </c>
      <c r="AF5731">
        <v>0.173070000593222</v>
      </c>
      <c r="AG5731">
        <v>-0.110279999999999</v>
      </c>
      <c r="AH5731">
        <v>0.70474921234384202</v>
      </c>
      <c r="AI5731">
        <v>98.640893060131503</v>
      </c>
      <c r="AJ5731">
        <v>76.202530932884599</v>
      </c>
      <c r="AK5731">
        <v>0.73402067804974203</v>
      </c>
    </row>
    <row r="5732" spans="1:37" x14ac:dyDescent="0.2">
      <c r="A5732" t="str">
        <f>"20200111160329058"</f>
        <v>20200111160329058</v>
      </c>
      <c r="B5732" t="str">
        <f>"1578729809048979"</f>
        <v>1578729809048979</v>
      </c>
      <c r="C5732" t="s">
        <v>37</v>
      </c>
      <c r="D5732">
        <v>5.081442</v>
      </c>
      <c r="E5732">
        <v>0.61062620000000001</v>
      </c>
      <c r="F5732" t="s">
        <v>42</v>
      </c>
      <c r="G5732">
        <v>-219.27619999999999</v>
      </c>
      <c r="H5732">
        <v>1.0040910000000001</v>
      </c>
      <c r="I5732">
        <v>-62.089550000000003</v>
      </c>
      <c r="J5732">
        <v>-219.91399999999999</v>
      </c>
      <c r="K5732">
        <v>1.104347</v>
      </c>
      <c r="L5732">
        <v>-61.921199999999999</v>
      </c>
      <c r="M5732">
        <v>0.99984399999999996</v>
      </c>
      <c r="N5732">
        <v>0</v>
      </c>
      <c r="O5732">
        <v>-1.09412E-2</v>
      </c>
      <c r="P5732">
        <v>0.99858340000000001</v>
      </c>
      <c r="Q5732">
        <v>-1.4511700000000001E-2</v>
      </c>
      <c r="R5732">
        <v>5.1197319999999998E-2</v>
      </c>
      <c r="S5732">
        <v>3.0356290000000001</v>
      </c>
      <c r="T5732">
        <v>-0.42090319999999998</v>
      </c>
      <c r="U5732">
        <v>-0.7114258</v>
      </c>
      <c r="V5732">
        <v>-6.2121240000000001E-2</v>
      </c>
      <c r="W5732">
        <v>-6.2790760000000002E-4</v>
      </c>
      <c r="X5732">
        <v>0.99806839999999997</v>
      </c>
      <c r="Y5732">
        <v>0.21565319999999999</v>
      </c>
      <c r="Z5732">
        <v>-1.3193730000000001E-2</v>
      </c>
      <c r="AA5732">
        <v>0.9763809</v>
      </c>
      <c r="AB5732">
        <v>16</v>
      </c>
      <c r="AC5732">
        <v>0.63780000000002701</v>
      </c>
      <c r="AD5732">
        <v>-0.100255999999999</v>
      </c>
      <c r="AE5732">
        <v>-0.168350000000003</v>
      </c>
      <c r="AF5732">
        <v>0.15771776333073501</v>
      </c>
      <c r="AG5732">
        <v>-0.100255999999999</v>
      </c>
      <c r="AH5732">
        <v>0.62516303782507299</v>
      </c>
      <c r="AI5732">
        <v>98.838466798205303</v>
      </c>
      <c r="AJ5732">
        <v>75.840732007525403</v>
      </c>
      <c r="AK5732">
        <v>0.65249902855768505</v>
      </c>
    </row>
    <row r="5733" spans="1:37" x14ac:dyDescent="0.2">
      <c r="A5733" t="str">
        <f>"20200111160329071"</f>
        <v>20200111160329071</v>
      </c>
      <c r="B5733" t="str">
        <f>"1578729809068498"</f>
        <v>1578729809068498</v>
      </c>
      <c r="C5733" t="s">
        <v>37</v>
      </c>
      <c r="D5733">
        <v>5.0317660000000002</v>
      </c>
      <c r="E5733">
        <v>0.61071119999999901</v>
      </c>
      <c r="F5733" t="s">
        <v>42</v>
      </c>
      <c r="G5733">
        <v>-219.13759999999999</v>
      </c>
      <c r="H5733">
        <v>0.99629279999999998</v>
      </c>
      <c r="I5733">
        <v>-62.104239999999997</v>
      </c>
      <c r="J5733">
        <v>-219.8236</v>
      </c>
      <c r="K5733">
        <v>1.1043510000000001</v>
      </c>
      <c r="L5733">
        <v>-61.922550000000001</v>
      </c>
      <c r="M5733">
        <v>0.99984079999999997</v>
      </c>
      <c r="N5733">
        <v>0</v>
      </c>
      <c r="O5733">
        <v>-1.123239E-2</v>
      </c>
      <c r="P5733">
        <v>0.99864769999999903</v>
      </c>
      <c r="Q5733">
        <v>-1.45463E-2</v>
      </c>
      <c r="R5733">
        <v>4.9914130000000001E-2</v>
      </c>
      <c r="S5733">
        <v>3.0347900000000001</v>
      </c>
      <c r="T5733">
        <v>-0.42231859999999999</v>
      </c>
      <c r="U5733">
        <v>-0.71487429999999996</v>
      </c>
      <c r="V5733">
        <v>-6.1129870000000003E-2</v>
      </c>
      <c r="W5733">
        <v>-6.6449279999999998E-4</v>
      </c>
      <c r="X5733">
        <v>0.99812959999999995</v>
      </c>
      <c r="Y5733">
        <v>0.21646270000000001</v>
      </c>
      <c r="Z5733">
        <v>-1.3255100000000001E-2</v>
      </c>
      <c r="AA5733">
        <v>0.97620090000000004</v>
      </c>
      <c r="AB5733">
        <v>16</v>
      </c>
      <c r="AC5733">
        <v>0.68600000000000705</v>
      </c>
      <c r="AD5733">
        <v>-0.10805819999999999</v>
      </c>
      <c r="AE5733">
        <v>-0.18169000000000299</v>
      </c>
      <c r="AF5733">
        <v>0.17003007959299199</v>
      </c>
      <c r="AG5733">
        <v>-0.10805819999999999</v>
      </c>
      <c r="AH5733">
        <v>0.67240737141429097</v>
      </c>
      <c r="AI5733">
        <v>98.855465152774499</v>
      </c>
      <c r="AJ5733">
        <v>75.809221271283903</v>
      </c>
      <c r="AK5733">
        <v>0.70193908260326598</v>
      </c>
    </row>
    <row r="5734" spans="1:37" x14ac:dyDescent="0.2">
      <c r="A5734" t="str">
        <f>"20200111160329083"</f>
        <v>20200111160329083</v>
      </c>
      <c r="B5734" t="str">
        <f>"1578729809079234"</f>
        <v>1578729809079234</v>
      </c>
      <c r="C5734" t="s">
        <v>37</v>
      </c>
      <c r="D5734">
        <v>5.0547879999999896</v>
      </c>
      <c r="E5734">
        <v>0.61075740000000001</v>
      </c>
      <c r="F5734" t="s">
        <v>42</v>
      </c>
      <c r="G5734">
        <v>-218.99889999999999</v>
      </c>
      <c r="H5734">
        <v>0.98936780000000002</v>
      </c>
      <c r="I5734">
        <v>-62.118189999999998</v>
      </c>
      <c r="J5734">
        <v>-219.73670000000001</v>
      </c>
      <c r="K5734">
        <v>1.104355</v>
      </c>
      <c r="L5734">
        <v>-61.923859999999998</v>
      </c>
      <c r="M5734">
        <v>0.99983750000000005</v>
      </c>
      <c r="N5734">
        <v>0</v>
      </c>
      <c r="O5734">
        <v>-1.151225E-2</v>
      </c>
      <c r="P5734">
        <v>0.99870519999999996</v>
      </c>
      <c r="Q5734">
        <v>-1.48142E-2</v>
      </c>
      <c r="R5734">
        <v>4.8666019999999997E-2</v>
      </c>
      <c r="S5734">
        <v>3.03384399999999</v>
      </c>
      <c r="T5734">
        <v>-0.422958</v>
      </c>
      <c r="U5734">
        <v>-0.71917719999999996</v>
      </c>
      <c r="V5734">
        <v>-6.0161770000000003E-2</v>
      </c>
      <c r="W5734">
        <v>-9.3436810000000002E-4</v>
      </c>
      <c r="X5734">
        <v>0.99818819999999997</v>
      </c>
      <c r="Y5734">
        <v>0.21755529999999901</v>
      </c>
      <c r="Z5734">
        <v>-1.331336E-2</v>
      </c>
      <c r="AA5734">
        <v>0.97595719999999997</v>
      </c>
      <c r="AB5734">
        <v>16</v>
      </c>
      <c r="AC5734">
        <v>0.73780000000002099</v>
      </c>
      <c r="AD5734">
        <v>-0.114987199999999</v>
      </c>
      <c r="AE5734">
        <v>-0.194330000000007</v>
      </c>
      <c r="AF5734">
        <v>0.18169554966142401</v>
      </c>
      <c r="AG5734">
        <v>-0.114987199999999</v>
      </c>
      <c r="AH5734">
        <v>0.72355376108167302</v>
      </c>
      <c r="AI5734">
        <v>98.762303659259302</v>
      </c>
      <c r="AJ5734">
        <v>75.903619615455597</v>
      </c>
      <c r="AK5734">
        <v>0.75482804273956505</v>
      </c>
    </row>
    <row r="5735" spans="1:37" x14ac:dyDescent="0.2">
      <c r="A5735" t="str">
        <f>"20200111160329094"</f>
        <v>20200111160329094</v>
      </c>
      <c r="B5735" t="str">
        <f>"1578729809088994"</f>
        <v>1578729809088994</v>
      </c>
      <c r="C5735" t="s">
        <v>37</v>
      </c>
      <c r="D5735">
        <v>5.0399479999999999</v>
      </c>
      <c r="E5735">
        <v>0.61082369999999997</v>
      </c>
      <c r="F5735" t="s">
        <v>42</v>
      </c>
      <c r="G5735">
        <v>-218.994</v>
      </c>
      <c r="H5735">
        <v>1.0004649999999999</v>
      </c>
      <c r="I5735">
        <v>-62.101100000000002</v>
      </c>
      <c r="J5735">
        <v>-219.6541</v>
      </c>
      <c r="K5735">
        <v>1.1043529999999999</v>
      </c>
      <c r="L5735">
        <v>-61.925139999999999</v>
      </c>
      <c r="M5735">
        <v>0.99983449999999996</v>
      </c>
      <c r="N5735">
        <v>0</v>
      </c>
      <c r="O5735">
        <v>-1.177889E-2</v>
      </c>
      <c r="P5735">
        <v>0.99876409999999904</v>
      </c>
      <c r="Q5735">
        <v>-1.464033E-2</v>
      </c>
      <c r="R5735">
        <v>4.7499180000000002E-2</v>
      </c>
      <c r="S5735">
        <v>3.0328059999999999</v>
      </c>
      <c r="T5735">
        <v>-0.42417379999999999</v>
      </c>
      <c r="U5735">
        <v>-0.72314449999999997</v>
      </c>
      <c r="V5735">
        <v>-5.926215E-2</v>
      </c>
      <c r="W5735">
        <v>-7.623412E-4</v>
      </c>
      <c r="X5735">
        <v>0.99824210000000002</v>
      </c>
      <c r="Y5735">
        <v>0.21856010000000001</v>
      </c>
      <c r="Z5735">
        <v>-1.338611E-2</v>
      </c>
      <c r="AA5735">
        <v>0.97573169999999898</v>
      </c>
      <c r="AB5735">
        <v>16</v>
      </c>
      <c r="AC5735">
        <v>0.66009999999997104</v>
      </c>
      <c r="AD5735">
        <v>-0.10388799999999999</v>
      </c>
      <c r="AE5735">
        <v>-0.175960000000003</v>
      </c>
      <c r="AF5735">
        <v>0.16437058058937001</v>
      </c>
      <c r="AG5735">
        <v>-0.10388799999999999</v>
      </c>
      <c r="AH5735">
        <v>0.64716083460458995</v>
      </c>
      <c r="AI5735">
        <v>98.843675428997301</v>
      </c>
      <c r="AJ5735">
        <v>75.748946533607196</v>
      </c>
      <c r="AK5735">
        <v>0.67574222167435705</v>
      </c>
    </row>
    <row r="5736" spans="1:37" x14ac:dyDescent="0.2">
      <c r="A5736" t="str">
        <f>"20200111160329106"</f>
        <v>20200111160329106</v>
      </c>
      <c r="B5736" t="str">
        <f>"1578729809098754"</f>
        <v>1578729809098754</v>
      </c>
      <c r="C5736" t="s">
        <v>37</v>
      </c>
      <c r="D5736">
        <v>5.0280059999999898</v>
      </c>
      <c r="E5736">
        <v>0.6107958</v>
      </c>
      <c r="F5736" t="s">
        <v>42</v>
      </c>
      <c r="G5736">
        <v>-218.85589999999999</v>
      </c>
      <c r="H5736">
        <v>0.99285349999999895</v>
      </c>
      <c r="I5736">
        <v>-62.116680000000002</v>
      </c>
      <c r="J5736">
        <v>-219.57140000000001</v>
      </c>
      <c r="K5736">
        <v>1.1043479999999899</v>
      </c>
      <c r="L5736">
        <v>-61.926389999999998</v>
      </c>
      <c r="M5736">
        <v>0.99983129999999998</v>
      </c>
      <c r="N5736">
        <v>0</v>
      </c>
      <c r="O5736">
        <v>-1.204528E-2</v>
      </c>
      <c r="P5736">
        <v>0.99881690000000001</v>
      </c>
      <c r="Q5736">
        <v>-1.490416E-2</v>
      </c>
      <c r="R5736">
        <v>4.6293019999999997E-2</v>
      </c>
      <c r="S5736">
        <v>3.032089</v>
      </c>
      <c r="T5736">
        <v>-0.42348029999999998</v>
      </c>
      <c r="U5736">
        <v>-0.72714230000000002</v>
      </c>
      <c r="V5736">
        <v>-5.8322489999999998E-2</v>
      </c>
      <c r="W5736">
        <v>-1.028078E-3</v>
      </c>
      <c r="X5736">
        <v>0.99829729999999905</v>
      </c>
      <c r="Y5736">
        <v>0.219568399999999</v>
      </c>
      <c r="Z5736">
        <v>-1.33981E-2</v>
      </c>
      <c r="AA5736">
        <v>0.97550509999999901</v>
      </c>
      <c r="AB5736">
        <v>16</v>
      </c>
      <c r="AC5736">
        <v>0.71550000000002001</v>
      </c>
      <c r="AD5736">
        <v>-0.111494499999999</v>
      </c>
      <c r="AE5736">
        <v>-0.19028999999999699</v>
      </c>
      <c r="AF5736">
        <v>0.17762868129847101</v>
      </c>
      <c r="AG5736">
        <v>-0.111494499999999</v>
      </c>
      <c r="AH5736">
        <v>0.70182434276750205</v>
      </c>
      <c r="AI5736">
        <v>98.755204994001701</v>
      </c>
      <c r="AJ5736">
        <v>75.796944751882705</v>
      </c>
      <c r="AK5736">
        <v>0.73248916719028601</v>
      </c>
    </row>
    <row r="5737" spans="1:37" x14ac:dyDescent="0.2">
      <c r="A5737" t="str">
        <f>"20200111160329120"</f>
        <v>20200111160329120</v>
      </c>
      <c r="B5737" t="str">
        <f>"1578729809108514"</f>
        <v>1578729809108514</v>
      </c>
      <c r="C5737" t="s">
        <v>37</v>
      </c>
      <c r="D5737">
        <v>5.055396</v>
      </c>
      <c r="E5737">
        <v>0.61081730000000001</v>
      </c>
      <c r="F5737" t="s">
        <v>42</v>
      </c>
      <c r="G5737">
        <v>-218.85120000000001</v>
      </c>
      <c r="H5737">
        <v>1.0034650000000001</v>
      </c>
      <c r="I5737">
        <v>-62.100119999999997</v>
      </c>
      <c r="J5737">
        <v>-219.48339999999999</v>
      </c>
      <c r="K5737">
        <v>1.1043479999999899</v>
      </c>
      <c r="L5737">
        <v>-61.92783</v>
      </c>
      <c r="M5737">
        <v>0.99982800000000005</v>
      </c>
      <c r="N5737">
        <v>0</v>
      </c>
      <c r="O5737">
        <v>-1.23292E-2</v>
      </c>
      <c r="P5737">
        <v>0.99886189999999997</v>
      </c>
      <c r="Q5737">
        <v>-1.5090569999999999E-2</v>
      </c>
      <c r="R5737">
        <v>4.524471E-2</v>
      </c>
      <c r="S5737">
        <v>3.0310969999999999</v>
      </c>
      <c r="T5737">
        <v>-0.42450789999999999</v>
      </c>
      <c r="U5737">
        <v>-0.73059079999999998</v>
      </c>
      <c r="V5737">
        <v>-5.7557959999999998E-2</v>
      </c>
      <c r="W5737">
        <v>-1.2165839999999999E-3</v>
      </c>
      <c r="X5737">
        <v>0.99834140000000005</v>
      </c>
      <c r="Y5737">
        <v>0.22039810000000001</v>
      </c>
      <c r="Z5737">
        <v>-1.345083E-2</v>
      </c>
      <c r="AA5737">
        <v>0.975317199999999</v>
      </c>
      <c r="AB5737">
        <v>16</v>
      </c>
      <c r="AC5737">
        <v>0.632199999999983</v>
      </c>
      <c r="AD5737">
        <v>-0.100882999999999</v>
      </c>
      <c r="AE5737">
        <v>-0.17228999999998901</v>
      </c>
      <c r="AF5737">
        <v>0.160673107928372</v>
      </c>
      <c r="AG5737">
        <v>-0.100882999999999</v>
      </c>
      <c r="AH5737">
        <v>0.61958985115547005</v>
      </c>
      <c r="AI5737">
        <v>98.956653726869405</v>
      </c>
      <c r="AJ5737">
        <v>75.462191453453798</v>
      </c>
      <c r="AK5737">
        <v>0.64798519346912498</v>
      </c>
    </row>
    <row r="5738" spans="1:37" x14ac:dyDescent="0.2">
      <c r="A5738" t="str">
        <f>"20200111160329132"</f>
        <v>20200111160329132</v>
      </c>
      <c r="B5738" t="str">
        <f>"1578729809129010"</f>
        <v>1578729809129010</v>
      </c>
      <c r="C5738" t="s">
        <v>37</v>
      </c>
      <c r="D5738">
        <v>5.0142329999999999</v>
      </c>
      <c r="E5738">
        <v>0.61086450000000003</v>
      </c>
      <c r="F5738" t="s">
        <v>42</v>
      </c>
      <c r="G5738">
        <v>-218.7132</v>
      </c>
      <c r="H5738">
        <v>0.99626119999999996</v>
      </c>
      <c r="I5738">
        <v>-62.114509999999903</v>
      </c>
      <c r="J5738">
        <v>-219.3947</v>
      </c>
      <c r="K5738">
        <v>1.1043449999999999</v>
      </c>
      <c r="L5738">
        <v>-61.929229999999997</v>
      </c>
      <c r="M5738">
        <v>0.99982439999999995</v>
      </c>
      <c r="N5738">
        <v>0</v>
      </c>
      <c r="O5738">
        <v>-1.261467E-2</v>
      </c>
      <c r="P5738">
        <v>0.99890540000000005</v>
      </c>
      <c r="Q5738">
        <v>-1.5279340000000001E-2</v>
      </c>
      <c r="R5738">
        <v>4.4212460000000002E-2</v>
      </c>
      <c r="S5738">
        <v>3.0302119999999899</v>
      </c>
      <c r="T5738">
        <v>-0.425220299999999</v>
      </c>
      <c r="U5738">
        <v>-0.73379519999999998</v>
      </c>
      <c r="V5738">
        <v>-5.6811970000000003E-2</v>
      </c>
      <c r="W5738">
        <v>-1.4074579999999899E-3</v>
      </c>
      <c r="X5738">
        <v>0.99838389999999999</v>
      </c>
      <c r="Y5738">
        <v>0.22114789999999901</v>
      </c>
      <c r="Z5738">
        <v>-1.348769E-2</v>
      </c>
      <c r="AA5738">
        <v>0.97514699999999999</v>
      </c>
      <c r="AB5738">
        <v>16</v>
      </c>
      <c r="AC5738">
        <v>0.681499999999999</v>
      </c>
      <c r="AD5738">
        <v>-0.10808379999999999</v>
      </c>
      <c r="AE5738">
        <v>-0.18527999999999101</v>
      </c>
      <c r="AF5738">
        <v>0.17262436012305299</v>
      </c>
      <c r="AG5738">
        <v>-0.10808379999999999</v>
      </c>
      <c r="AH5738">
        <v>0.66813433255775001</v>
      </c>
      <c r="AI5738">
        <v>98.901704709089501</v>
      </c>
      <c r="AJ5738">
        <v>75.513418219094405</v>
      </c>
      <c r="AK5738">
        <v>0.69848748297498098</v>
      </c>
    </row>
    <row r="5739" spans="1:37" x14ac:dyDescent="0.2">
      <c r="A5739" t="str">
        <f>"20200111160329145"</f>
        <v>20200111160329145</v>
      </c>
      <c r="B5739" t="str">
        <f>"1578729809138769"</f>
        <v>1578729809138769</v>
      </c>
      <c r="C5739" t="s">
        <v>37</v>
      </c>
      <c r="D5739">
        <v>5.1982359999999996</v>
      </c>
      <c r="E5739">
        <v>0.61086450000000003</v>
      </c>
      <c r="F5739" t="s">
        <v>42</v>
      </c>
      <c r="G5739">
        <v>-218.5754</v>
      </c>
      <c r="H5739">
        <v>0.98942649999999999</v>
      </c>
      <c r="I5739">
        <v>-62.128569999999897</v>
      </c>
      <c r="J5739">
        <v>-219.29249999999999</v>
      </c>
      <c r="K5739">
        <v>1.104347</v>
      </c>
      <c r="L5739">
        <v>-61.930909999999997</v>
      </c>
      <c r="M5739">
        <v>0.99982019999999905</v>
      </c>
      <c r="N5739">
        <v>0</v>
      </c>
      <c r="O5739">
        <v>-1.2944600000000001E-2</v>
      </c>
      <c r="P5739">
        <v>0.99898240000000005</v>
      </c>
      <c r="Q5739">
        <v>-1.5830790000000001E-2</v>
      </c>
      <c r="R5739">
        <v>4.223797E-2</v>
      </c>
      <c r="S5739">
        <v>3.029404</v>
      </c>
      <c r="T5739">
        <v>-0.42498549999999902</v>
      </c>
      <c r="U5739">
        <v>-0.73733519999999997</v>
      </c>
      <c r="V5739">
        <v>-5.5168450000000001E-2</v>
      </c>
      <c r="W5739">
        <v>-1.9612309999999999E-3</v>
      </c>
      <c r="X5739">
        <v>0.99847509999999995</v>
      </c>
      <c r="Y5739">
        <v>0.22195909999999999</v>
      </c>
      <c r="Z5739">
        <v>-1.349243E-2</v>
      </c>
      <c r="AA5739">
        <v>0.97496260000000001</v>
      </c>
      <c r="AB5739">
        <v>16</v>
      </c>
      <c r="AC5739">
        <v>0.71709999999998697</v>
      </c>
      <c r="AD5739">
        <v>-0.114920499999999</v>
      </c>
      <c r="AE5739">
        <v>-0.197659999999999</v>
      </c>
      <c r="AF5739">
        <v>0.18396883363934499</v>
      </c>
      <c r="AG5739">
        <v>-0.114920499999999</v>
      </c>
      <c r="AH5739">
        <v>0.70282314849536598</v>
      </c>
      <c r="AI5739">
        <v>98.988760490748504</v>
      </c>
      <c r="AJ5739">
        <v>75.331533285212004</v>
      </c>
      <c r="AK5739">
        <v>0.735534928560031</v>
      </c>
    </row>
    <row r="5740" spans="1:37" x14ac:dyDescent="0.2">
      <c r="A5740" t="str">
        <f>"20200111160329157"</f>
        <v>20200111160329157</v>
      </c>
      <c r="B5740" t="str">
        <f>"1578729809148530"</f>
        <v>1578729809148530</v>
      </c>
      <c r="C5740" t="s">
        <v>37</v>
      </c>
      <c r="D5740">
        <v>5.0293849999999898</v>
      </c>
      <c r="E5740">
        <v>0.61086370000000001</v>
      </c>
      <c r="F5740" t="s">
        <v>42</v>
      </c>
      <c r="G5740">
        <v>-218.56960000000001</v>
      </c>
      <c r="H5740">
        <v>1.002416</v>
      </c>
      <c r="I5740">
        <v>-62.108240000000002</v>
      </c>
      <c r="J5740">
        <v>-219.21870000000001</v>
      </c>
      <c r="K5740">
        <v>1.1043479999999899</v>
      </c>
      <c r="L5740">
        <v>-61.932159999999897</v>
      </c>
      <c r="M5740">
        <v>0.99981710000000001</v>
      </c>
      <c r="N5740">
        <v>0</v>
      </c>
      <c r="O5740">
        <v>-1.318215E-2</v>
      </c>
      <c r="P5740">
        <v>0.99901620000000002</v>
      </c>
      <c r="Q5740">
        <v>-1.6033229999999999E-2</v>
      </c>
      <c r="R5740">
        <v>4.134902E-2</v>
      </c>
      <c r="S5740">
        <v>3.0277099999999999</v>
      </c>
      <c r="T5740">
        <v>-0.42704989999999998</v>
      </c>
      <c r="U5740">
        <v>-0.74310299999999996</v>
      </c>
      <c r="V5740">
        <v>-5.4517110000000001E-2</v>
      </c>
      <c r="W5740">
        <v>-2.1654320000000001E-3</v>
      </c>
      <c r="X5740">
        <v>0.99851049999999997</v>
      </c>
      <c r="Y5740">
        <v>0.22357260000000001</v>
      </c>
      <c r="Z5740">
        <v>-1.364044E-2</v>
      </c>
      <c r="AA5740">
        <v>0.97459189999999996</v>
      </c>
      <c r="AB5740">
        <v>16</v>
      </c>
      <c r="AC5740">
        <v>0.64910000000000401</v>
      </c>
      <c r="AD5740">
        <v>-0.101931999999999</v>
      </c>
      <c r="AE5740">
        <v>-0.17608000000000601</v>
      </c>
      <c r="AF5740">
        <v>0.163746095499989</v>
      </c>
      <c r="AG5740">
        <v>-0.101931999999999</v>
      </c>
      <c r="AH5740">
        <v>0.63673903272180299</v>
      </c>
      <c r="AI5740">
        <v>98.812962975667403</v>
      </c>
      <c r="AJ5740">
        <v>75.578112652481494</v>
      </c>
      <c r="AK5740">
        <v>0.66531159031463505</v>
      </c>
    </row>
    <row r="5741" spans="1:37" x14ac:dyDescent="0.2">
      <c r="A5741" t="str">
        <f>"20200111160329168"</f>
        <v>20200111160329168</v>
      </c>
      <c r="B5741" t="str">
        <f>"1578729809159266"</f>
        <v>1578729809159266</v>
      </c>
      <c r="C5741" t="s">
        <v>37</v>
      </c>
      <c r="D5741">
        <v>4.9870489999999998</v>
      </c>
      <c r="E5741">
        <v>0.61090649999999902</v>
      </c>
      <c r="F5741" t="s">
        <v>42</v>
      </c>
      <c r="G5741">
        <v>-218.4331</v>
      </c>
      <c r="H5741">
        <v>0.99339940000000004</v>
      </c>
      <c r="I5741">
        <v>-62.125900000000001</v>
      </c>
      <c r="J5741">
        <v>-219.13679999999999</v>
      </c>
      <c r="K5741">
        <v>1.1043499999999999</v>
      </c>
      <c r="L5741">
        <v>-61.933529999999998</v>
      </c>
      <c r="M5741">
        <v>0.99981369999999903</v>
      </c>
      <c r="N5741">
        <v>0</v>
      </c>
      <c r="O5741">
        <v>-1.344628E-2</v>
      </c>
      <c r="P5741">
        <v>0.99904819999999905</v>
      </c>
      <c r="Q5741">
        <v>-1.623119E-2</v>
      </c>
      <c r="R5741">
        <v>4.0492460000000001E-2</v>
      </c>
      <c r="S5741">
        <v>3.0269619999999899</v>
      </c>
      <c r="T5741">
        <v>-0.42739129999999997</v>
      </c>
      <c r="U5741">
        <v>-0.74569700000000005</v>
      </c>
      <c r="V5741">
        <v>-5.3925250000000001E-2</v>
      </c>
      <c r="W5741">
        <v>-2.365359E-3</v>
      </c>
      <c r="X5741">
        <v>0.99854219999999905</v>
      </c>
      <c r="Y5741">
        <v>0.22415199999999999</v>
      </c>
      <c r="Z5741">
        <v>-1.3656700000000001E-2</v>
      </c>
      <c r="AA5741">
        <v>0.97445849999999901</v>
      </c>
      <c r="AB5741">
        <v>16</v>
      </c>
      <c r="AC5741">
        <v>0.70369999999999699</v>
      </c>
      <c r="AD5741">
        <v>-0.110950599999999</v>
      </c>
      <c r="AE5741">
        <v>-0.19236999999999599</v>
      </c>
      <c r="AF5741">
        <v>0.178754866157667</v>
      </c>
      <c r="AG5741">
        <v>-0.110950599999999</v>
      </c>
      <c r="AH5741">
        <v>0.69025730057718504</v>
      </c>
      <c r="AI5741">
        <v>98.844575156648702</v>
      </c>
      <c r="AJ5741">
        <v>75.481158522532795</v>
      </c>
      <c r="AK5741">
        <v>0.72160825855550403</v>
      </c>
    </row>
    <row r="5742" spans="1:37" x14ac:dyDescent="0.2">
      <c r="A5742" t="str">
        <f>"20200111160329179"</f>
        <v>20200111160329179</v>
      </c>
      <c r="B5742" t="str">
        <f>"1578729809169026"</f>
        <v>1578729809169026</v>
      </c>
      <c r="C5742" t="s">
        <v>37</v>
      </c>
      <c r="D5742">
        <v>4.9817519999999904</v>
      </c>
      <c r="E5742">
        <v>0.61091739999999894</v>
      </c>
      <c r="F5742" t="s">
        <v>42</v>
      </c>
      <c r="G5742">
        <v>-218.4282</v>
      </c>
      <c r="H5742">
        <v>1.004229</v>
      </c>
      <c r="I5742">
        <v>-62.109009999999998</v>
      </c>
      <c r="J5742">
        <v>-219.0599</v>
      </c>
      <c r="K5742">
        <v>1.1043479999999899</v>
      </c>
      <c r="L5742">
        <v>-61.93488</v>
      </c>
      <c r="M5742">
        <v>0.99981019999999898</v>
      </c>
      <c r="N5742">
        <v>0</v>
      </c>
      <c r="O5742">
        <v>-1.36942E-2</v>
      </c>
      <c r="P5742">
        <v>0.99906459999999997</v>
      </c>
      <c r="Q5742">
        <v>-1.6211590000000001E-2</v>
      </c>
      <c r="R5742">
        <v>4.0092160000000002E-2</v>
      </c>
      <c r="S5742">
        <v>3.02627599999999</v>
      </c>
      <c r="T5742">
        <v>-0.42747550000000001</v>
      </c>
      <c r="U5742">
        <v>-0.74862669999999998</v>
      </c>
      <c r="V5742">
        <v>-5.377241E-2</v>
      </c>
      <c r="W5742">
        <v>-2.347703E-3</v>
      </c>
      <c r="X5742">
        <v>0.99855049999999901</v>
      </c>
      <c r="Y5742">
        <v>0.22484570000000001</v>
      </c>
      <c r="Z5742">
        <v>-1.3674540000000001E-2</v>
      </c>
      <c r="AA5742">
        <v>0.97429840000000001</v>
      </c>
      <c r="AB5742">
        <v>16</v>
      </c>
      <c r="AC5742">
        <v>0.63169999999999504</v>
      </c>
      <c r="AD5742">
        <v>-0.100118999999999</v>
      </c>
      <c r="AE5742">
        <v>-0.17412999999999099</v>
      </c>
      <c r="AF5742">
        <v>0.16168751826663599</v>
      </c>
      <c r="AG5742">
        <v>-0.100118999999999</v>
      </c>
      <c r="AH5742">
        <v>0.61956151336953802</v>
      </c>
      <c r="AI5742">
        <v>98.886796719054701</v>
      </c>
      <c r="AJ5742">
        <v>75.373690681786599</v>
      </c>
      <c r="AK5742">
        <v>0.64809191984854797</v>
      </c>
    </row>
    <row r="5743" spans="1:37" x14ac:dyDescent="0.2">
      <c r="A5743" t="str">
        <f>"20200111160329191"</f>
        <v>20200111160329191</v>
      </c>
      <c r="B5743" t="str">
        <f>"1578729809188546"</f>
        <v>1578729809188546</v>
      </c>
      <c r="C5743" t="s">
        <v>37</v>
      </c>
      <c r="D5743">
        <v>5.0193449999999897</v>
      </c>
      <c r="E5743">
        <v>0.61092139999999995</v>
      </c>
      <c r="F5743" t="s">
        <v>42</v>
      </c>
      <c r="G5743">
        <v>-218.29159999999999</v>
      </c>
      <c r="H5743">
        <v>0.99600880000000003</v>
      </c>
      <c r="I5743">
        <v>-62.125309999999999</v>
      </c>
      <c r="J5743">
        <v>-218.97710000000001</v>
      </c>
      <c r="K5743">
        <v>1.104349</v>
      </c>
      <c r="L5743">
        <v>-61.936309999999999</v>
      </c>
      <c r="M5743">
        <v>0.9998068</v>
      </c>
      <c r="N5743">
        <v>0</v>
      </c>
      <c r="O5743">
        <v>-1.3961309999999999E-2</v>
      </c>
      <c r="P5743">
        <v>0.99908129999999995</v>
      </c>
      <c r="Q5743">
        <v>-1.640693E-2</v>
      </c>
      <c r="R5743">
        <v>3.9594490000000003E-2</v>
      </c>
      <c r="S5743">
        <v>3.0259860000000001</v>
      </c>
      <c r="T5743">
        <v>-0.42669979999999902</v>
      </c>
      <c r="U5743">
        <v>-0.74993900000000002</v>
      </c>
      <c r="V5743">
        <v>-5.3541930000000001E-2</v>
      </c>
      <c r="W5743">
        <v>-2.5451570000000001E-3</v>
      </c>
      <c r="X5743">
        <v>0.99856230000000001</v>
      </c>
      <c r="Y5743">
        <v>0.2250134</v>
      </c>
      <c r="Z5743">
        <v>-1.362522E-2</v>
      </c>
      <c r="AA5743">
        <v>0.97426039999999903</v>
      </c>
      <c r="AB5743">
        <v>16</v>
      </c>
      <c r="AC5743">
        <v>0.68550000000001798</v>
      </c>
      <c r="AD5743">
        <v>-0.1083402</v>
      </c>
      <c r="AE5743">
        <v>-0.189</v>
      </c>
      <c r="AF5743">
        <v>0.175339884790082</v>
      </c>
      <c r="AG5743">
        <v>-0.1083402</v>
      </c>
      <c r="AH5743">
        <v>0.67246175488678295</v>
      </c>
      <c r="AI5743">
        <v>98.860940602424606</v>
      </c>
      <c r="AJ5743">
        <v>75.385900708805394</v>
      </c>
      <c r="AK5743">
        <v>0.70333952392827404</v>
      </c>
    </row>
    <row r="5744" spans="1:37" x14ac:dyDescent="0.2">
      <c r="A5744" t="str">
        <f>"20200111160329202"</f>
        <v>20200111160329202</v>
      </c>
      <c r="B5744" t="str">
        <f>"1578729809199282"</f>
        <v>1578729809199282</v>
      </c>
      <c r="C5744" t="s">
        <v>37</v>
      </c>
      <c r="D5744">
        <v>5.1114249999999997</v>
      </c>
      <c r="E5744">
        <v>0.58899019999999902</v>
      </c>
      <c r="F5744" t="s">
        <v>42</v>
      </c>
      <c r="G5744">
        <v>-218.1551</v>
      </c>
      <c r="H5744">
        <v>0.98831270000000004</v>
      </c>
      <c r="I5744">
        <v>-62.140709999999999</v>
      </c>
      <c r="J5744">
        <v>-218.90350000000001</v>
      </c>
      <c r="K5744">
        <v>1.1043510000000001</v>
      </c>
      <c r="L5744">
        <v>-61.937619999999903</v>
      </c>
      <c r="M5744">
        <v>0.99980340000000001</v>
      </c>
      <c r="N5744">
        <v>0</v>
      </c>
      <c r="O5744">
        <v>-1.4198270000000001E-2</v>
      </c>
      <c r="P5744">
        <v>0.99909669999999895</v>
      </c>
      <c r="Q5744">
        <v>-1.6280019999999999E-2</v>
      </c>
      <c r="R5744">
        <v>3.9258510000000003E-2</v>
      </c>
      <c r="S5744">
        <v>3.0254970000000001</v>
      </c>
      <c r="T5744">
        <v>-0.4270119</v>
      </c>
      <c r="U5744">
        <v>-0.75149540000000004</v>
      </c>
      <c r="V5744">
        <v>-5.3442899999999897E-2</v>
      </c>
      <c r="W5744">
        <v>-2.4200950000000001E-3</v>
      </c>
      <c r="X5744">
        <v>0.99856800000000001</v>
      </c>
      <c r="Y5744">
        <v>0.22528789999999899</v>
      </c>
      <c r="Z5744">
        <v>-1.362262E-2</v>
      </c>
      <c r="AA5744">
        <v>0.97419699999999998</v>
      </c>
      <c r="AB5744">
        <v>16</v>
      </c>
      <c r="AC5744">
        <v>0.74840000000000295</v>
      </c>
      <c r="AD5744">
        <v>-0.1160383</v>
      </c>
      <c r="AE5744">
        <v>-0.20309000000000299</v>
      </c>
      <c r="AF5744">
        <v>0.18822787903912799</v>
      </c>
      <c r="AG5744">
        <v>-0.1160383</v>
      </c>
      <c r="AH5744">
        <v>0.73475629697283895</v>
      </c>
      <c r="AI5744">
        <v>98.698086967772994</v>
      </c>
      <c r="AJ5744">
        <v>75.631130509504104</v>
      </c>
      <c r="AK5744">
        <v>0.76730791567381695</v>
      </c>
    </row>
    <row r="5745" spans="1:37" x14ac:dyDescent="0.2">
      <c r="A5745" t="str">
        <f>"20200111160329213"</f>
        <v>20200111160329213</v>
      </c>
      <c r="B5745" t="str">
        <f>"1578729809209042"</f>
        <v>1578729809209042</v>
      </c>
      <c r="C5745" t="s">
        <v>37</v>
      </c>
      <c r="D5745">
        <v>5.2937000000000003</v>
      </c>
      <c r="E5745">
        <v>0.58066430000000002</v>
      </c>
      <c r="F5745" t="s">
        <v>42</v>
      </c>
      <c r="G5745">
        <v>-218.1455</v>
      </c>
      <c r="H5745">
        <v>1.010159</v>
      </c>
      <c r="I5745">
        <v>-62.083350000000003</v>
      </c>
      <c r="J5745">
        <v>-218.82310000000001</v>
      </c>
      <c r="K5745">
        <v>1.1043510000000001</v>
      </c>
      <c r="L5745">
        <v>-61.93909</v>
      </c>
      <c r="M5745">
        <v>0.99979969999999996</v>
      </c>
      <c r="N5745">
        <v>0</v>
      </c>
      <c r="O5745">
        <v>-1.445775E-2</v>
      </c>
      <c r="P5745">
        <v>0.99910889999999997</v>
      </c>
      <c r="Q5745">
        <v>-1.6341580000000001E-2</v>
      </c>
      <c r="R5745">
        <v>3.8919090000000003E-2</v>
      </c>
      <c r="S5745">
        <v>3.0193939999999899</v>
      </c>
      <c r="T5745">
        <v>-0.37504660000000001</v>
      </c>
      <c r="U5745">
        <v>-0.57946779999999998</v>
      </c>
      <c r="V5745">
        <v>-5.336291E-2</v>
      </c>
      <c r="W5745">
        <v>-2.483744E-3</v>
      </c>
      <c r="X5745">
        <v>0.99857209999999996</v>
      </c>
      <c r="Y5745">
        <v>0.17308099999999901</v>
      </c>
      <c r="Z5745">
        <v>-8.8400470000000002E-3</v>
      </c>
      <c r="AA5745">
        <v>0.98486790000000002</v>
      </c>
      <c r="AB5745">
        <v>16</v>
      </c>
      <c r="AC5745">
        <v>0.67760000000001197</v>
      </c>
      <c r="AD5745">
        <v>-9.4191999999999998E-2</v>
      </c>
      <c r="AE5745">
        <v>-0.144260000000002</v>
      </c>
      <c r="AF5745">
        <v>0.13200719948579701</v>
      </c>
      <c r="AG5745">
        <v>-9.4191999999999998E-2</v>
      </c>
      <c r="AH5745">
        <v>0.66728007917714005</v>
      </c>
      <c r="AI5745">
        <v>97.883864598002802</v>
      </c>
      <c r="AJ5745">
        <v>78.809734749535906</v>
      </c>
      <c r="AK5745">
        <v>0.68670280154280205</v>
      </c>
    </row>
    <row r="5746" spans="1:37" x14ac:dyDescent="0.2">
      <c r="A5746" t="str">
        <f>"20200111160329225"</f>
        <v>20200111160329225</v>
      </c>
      <c r="B5746" t="str">
        <f>"1578729809218802"</f>
        <v>1578729809218802</v>
      </c>
      <c r="C5746" t="s">
        <v>37</v>
      </c>
      <c r="D5746">
        <v>5.0034089999999898</v>
      </c>
      <c r="E5746">
        <v>0.58066430000000002</v>
      </c>
      <c r="F5746" t="s">
        <v>42</v>
      </c>
      <c r="G5746">
        <v>-218.00829999999999</v>
      </c>
      <c r="H5746">
        <v>1.0051159999999999</v>
      </c>
      <c r="I5746">
        <v>-62.077979999999997</v>
      </c>
      <c r="J5746">
        <v>-218.7372</v>
      </c>
      <c r="K5746">
        <v>1.1043510000000001</v>
      </c>
      <c r="L5746">
        <v>-61.940669999999997</v>
      </c>
      <c r="M5746">
        <v>0.99979560000000001</v>
      </c>
      <c r="N5746">
        <v>0</v>
      </c>
      <c r="O5746">
        <v>-1.473464E-2</v>
      </c>
      <c r="P5746">
        <v>0.99912610000000002</v>
      </c>
      <c r="Q5746">
        <v>-1.6255550000000001E-2</v>
      </c>
      <c r="R5746">
        <v>3.8507520000000003E-2</v>
      </c>
      <c r="S5746">
        <v>3.0167079999999999</v>
      </c>
      <c r="T5746">
        <v>-0.3674384</v>
      </c>
      <c r="U5746">
        <v>-0.51428220000000002</v>
      </c>
      <c r="V5746">
        <v>-5.3227679999999999E-2</v>
      </c>
      <c r="W5746">
        <v>-2.3999239999999999E-3</v>
      </c>
      <c r="X5746">
        <v>0.99857949999999995</v>
      </c>
      <c r="Y5746">
        <v>0.15251970000000001</v>
      </c>
      <c r="Z5746">
        <v>-7.4137819999999998E-3</v>
      </c>
      <c r="AA5746">
        <v>0.98827259999999995</v>
      </c>
      <c r="AB5746">
        <v>16</v>
      </c>
      <c r="AC5746">
        <v>0.72890000000000998</v>
      </c>
      <c r="AD5746">
        <v>-9.9235000000000101E-2</v>
      </c>
      <c r="AE5746">
        <v>-0.13731000000000601</v>
      </c>
      <c r="AF5746">
        <v>0.12432852123652301</v>
      </c>
      <c r="AG5746">
        <v>-9.9235000000000101E-2</v>
      </c>
      <c r="AH5746">
        <v>0.71799231246567596</v>
      </c>
      <c r="AI5746">
        <v>97.755124311953793</v>
      </c>
      <c r="AJ5746">
        <v>80.176002569819701</v>
      </c>
      <c r="AK5746">
        <v>0.73540337718674498</v>
      </c>
    </row>
    <row r="5747" spans="1:37" x14ac:dyDescent="0.2">
      <c r="A5747" t="str">
        <f>"20200111160329237"</f>
        <v>20200111160329237</v>
      </c>
      <c r="B5747" t="str">
        <f>"1578729809228562"</f>
        <v>1578729809228562</v>
      </c>
      <c r="C5747" t="s">
        <v>37</v>
      </c>
      <c r="D5747">
        <v>4.8910559999999998</v>
      </c>
      <c r="E5747">
        <v>0.52977819999999998</v>
      </c>
      <c r="F5747" t="s">
        <v>42</v>
      </c>
      <c r="G5747">
        <v>-218.0035</v>
      </c>
      <c r="H5747">
        <v>1.0150379999999899</v>
      </c>
      <c r="I5747">
        <v>-62.066040000000001</v>
      </c>
      <c r="J5747">
        <v>-218.65610000000001</v>
      </c>
      <c r="K5747">
        <v>1.1043510000000001</v>
      </c>
      <c r="L5747">
        <v>-61.942169999999997</v>
      </c>
      <c r="M5747">
        <v>0.99979180000000001</v>
      </c>
      <c r="N5747">
        <v>0</v>
      </c>
      <c r="O5747">
        <v>-1.499614E-2</v>
      </c>
      <c r="P5747">
        <v>0.99912789999999996</v>
      </c>
      <c r="Q5747">
        <v>-1.6439079999999998E-2</v>
      </c>
      <c r="R5747">
        <v>3.8384799999999997E-2</v>
      </c>
      <c r="S5747">
        <v>3.0165099999999998</v>
      </c>
      <c r="T5747">
        <v>-0.3672049</v>
      </c>
      <c r="U5747">
        <v>-0.51547240000000005</v>
      </c>
      <c r="V5747">
        <v>-5.3366699999999899E-2</v>
      </c>
      <c r="W5747">
        <v>-2.5856569999999999E-3</v>
      </c>
      <c r="X5747">
        <v>0.9985716</v>
      </c>
      <c r="Y5747">
        <v>0.15265300000000001</v>
      </c>
      <c r="Z5747">
        <v>-7.3858969999999998E-3</v>
      </c>
      <c r="AA5747">
        <v>0.98825219999999903</v>
      </c>
      <c r="AB5747">
        <v>16</v>
      </c>
      <c r="AC5747">
        <v>0.65260000000000595</v>
      </c>
      <c r="AD5747">
        <v>-8.9313000000000198E-2</v>
      </c>
      <c r="AE5747">
        <v>-0.12387000000000301</v>
      </c>
      <c r="AF5747">
        <v>0.112043073100995</v>
      </c>
      <c r="AG5747">
        <v>-8.9313000000000198E-2</v>
      </c>
      <c r="AH5747">
        <v>0.64276410352915503</v>
      </c>
      <c r="AI5747">
        <v>97.794620464585293</v>
      </c>
      <c r="AJ5747">
        <v>80.111870702460394</v>
      </c>
      <c r="AK5747">
        <v>0.65854092886057802</v>
      </c>
    </row>
    <row r="5748" spans="1:37" x14ac:dyDescent="0.2">
      <c r="A5748" t="str">
        <f>"20200111160329250"</f>
        <v>20200111160329250</v>
      </c>
      <c r="B5748" t="str">
        <f>"1578729809239297"</f>
        <v>1578729809239297</v>
      </c>
      <c r="C5748" t="s">
        <v>37</v>
      </c>
      <c r="D5748">
        <v>4.9635069999999999</v>
      </c>
      <c r="E5748">
        <v>0.52461519999999995</v>
      </c>
      <c r="F5748" t="s">
        <v>42</v>
      </c>
      <c r="G5748">
        <v>-217.85919999999999</v>
      </c>
      <c r="H5748">
        <v>1.021909</v>
      </c>
      <c r="I5748">
        <v>-61.972159999999903</v>
      </c>
      <c r="J5748">
        <v>-218.57069999999999</v>
      </c>
      <c r="K5748">
        <v>1.1043540000000001</v>
      </c>
      <c r="L5748">
        <v>-61.943759999999997</v>
      </c>
      <c r="M5748">
        <v>0.99978769999999995</v>
      </c>
      <c r="N5748">
        <v>0</v>
      </c>
      <c r="O5748">
        <v>-1.527124E-2</v>
      </c>
      <c r="P5748">
        <v>0.9991314</v>
      </c>
      <c r="Q5748">
        <v>-1.6466809999999998E-2</v>
      </c>
      <c r="R5748">
        <v>3.828086E-2</v>
      </c>
      <c r="S5748">
        <v>3.0018310000000001</v>
      </c>
      <c r="T5748">
        <v>-0.31045420000000001</v>
      </c>
      <c r="U5748">
        <v>-0.11215209999999901</v>
      </c>
      <c r="V5748">
        <v>-5.3537149999999999E-2</v>
      </c>
      <c r="W5748">
        <v>-2.6156790000000001E-3</v>
      </c>
      <c r="X5748">
        <v>0.99856250000000002</v>
      </c>
      <c r="Y5748">
        <v>2.2032759999999998E-2</v>
      </c>
      <c r="Z5748">
        <v>4.3871459999999998E-4</v>
      </c>
      <c r="AA5748">
        <v>0.99975720000000001</v>
      </c>
      <c r="AB5748">
        <v>16</v>
      </c>
      <c r="AC5748">
        <v>0.71150000000000002</v>
      </c>
      <c r="AD5748">
        <v>-8.2445000000000102E-2</v>
      </c>
      <c r="AE5748">
        <v>-2.8399999999997701E-2</v>
      </c>
      <c r="AF5748">
        <v>1.72982663744531E-2</v>
      </c>
      <c r="AG5748">
        <v>-8.2445000000000102E-2</v>
      </c>
      <c r="AH5748">
        <v>0.70243418189367002</v>
      </c>
      <c r="AI5748">
        <v>96.692192344660796</v>
      </c>
      <c r="AJ5748">
        <v>88.589309289550201</v>
      </c>
      <c r="AK5748">
        <v>0.70746744655651195</v>
      </c>
    </row>
    <row r="5749" spans="1:37" x14ac:dyDescent="0.2">
      <c r="A5749" t="str">
        <f>"20200111160329262"</f>
        <v>20200111160329262</v>
      </c>
      <c r="B5749" t="str">
        <f>"1578729809258818"</f>
        <v>1578729809258818</v>
      </c>
      <c r="C5749" t="s">
        <v>37</v>
      </c>
      <c r="D5749">
        <v>5.1494929999999997</v>
      </c>
      <c r="E5749">
        <v>0.5194242</v>
      </c>
      <c r="F5749" t="s">
        <v>42</v>
      </c>
      <c r="G5749">
        <v>-217.72309999999999</v>
      </c>
      <c r="H5749">
        <v>1.0148360000000001</v>
      </c>
      <c r="I5749">
        <v>-61.963850000000001</v>
      </c>
      <c r="J5749">
        <v>-218.47989999999999</v>
      </c>
      <c r="K5749">
        <v>1.104355</v>
      </c>
      <c r="L5749">
        <v>-61.945500000000003</v>
      </c>
      <c r="M5749">
        <v>0.99978319999999998</v>
      </c>
      <c r="N5749">
        <v>0</v>
      </c>
      <c r="O5749">
        <v>-1.55640999999999E-2</v>
      </c>
      <c r="P5749">
        <v>0.99913220000000003</v>
      </c>
      <c r="Q5749">
        <v>-1.6350969999999999E-2</v>
      </c>
      <c r="R5749">
        <v>3.8306369999999999E-2</v>
      </c>
      <c r="S5749">
        <v>3.000092</v>
      </c>
      <c r="T5749">
        <v>-0.31686399999999998</v>
      </c>
      <c r="U5749">
        <v>-7.1014399999999894E-2</v>
      </c>
      <c r="V5749">
        <v>-5.3855239999999999E-2</v>
      </c>
      <c r="W5749">
        <v>-2.5022669999999999E-3</v>
      </c>
      <c r="X5749">
        <v>0.99854560000000003</v>
      </c>
      <c r="Y5749">
        <v>8.141288E-3</v>
      </c>
      <c r="Z5749">
        <v>1.2104139999999999E-3</v>
      </c>
      <c r="AA5749">
        <v>0.99996609999999997</v>
      </c>
      <c r="AB5749">
        <v>16</v>
      </c>
      <c r="AC5749">
        <v>0.75679999999999803</v>
      </c>
      <c r="AD5749">
        <v>-8.9518999999999904E-2</v>
      </c>
      <c r="AE5749">
        <v>-1.8349999999998E-2</v>
      </c>
      <c r="AF5749">
        <v>6.4771662715455503E-3</v>
      </c>
      <c r="AG5749">
        <v>-8.9518999999999904E-2</v>
      </c>
      <c r="AH5749">
        <v>0.746554566278672</v>
      </c>
      <c r="AI5749">
        <v>96.837407950892697</v>
      </c>
      <c r="AJ5749">
        <v>89.502909772503898</v>
      </c>
      <c r="AK5749">
        <v>0.75193039935584804</v>
      </c>
    </row>
    <row r="5750" spans="1:37" x14ac:dyDescent="0.2">
      <c r="A5750" t="str">
        <f>"20200111160329274"</f>
        <v>20200111160329274</v>
      </c>
      <c r="B5750" t="str">
        <f>"1578729809268578"</f>
        <v>1578729809268578</v>
      </c>
      <c r="C5750" t="s">
        <v>37</v>
      </c>
      <c r="D5750">
        <v>4.9179180000000002</v>
      </c>
      <c r="E5750">
        <v>0.5186056</v>
      </c>
      <c r="F5750" t="s">
        <v>42</v>
      </c>
      <c r="G5750">
        <v>-217.7191</v>
      </c>
      <c r="H5750">
        <v>1.022141</v>
      </c>
      <c r="I5750">
        <v>-61.952909999999903</v>
      </c>
      <c r="J5750">
        <v>-218.3956</v>
      </c>
      <c r="K5750">
        <v>1.1043529999999999</v>
      </c>
      <c r="L5750">
        <v>-61.947139999999997</v>
      </c>
      <c r="M5750">
        <v>0.99977890000000003</v>
      </c>
      <c r="N5750">
        <v>0</v>
      </c>
      <c r="O5750">
        <v>-1.583586E-2</v>
      </c>
      <c r="P5750">
        <v>0.99913600000000002</v>
      </c>
      <c r="Q5750">
        <v>-1.634948E-2</v>
      </c>
      <c r="R5750">
        <v>3.8215119999999998E-2</v>
      </c>
      <c r="S5750">
        <v>2.9984130000000002</v>
      </c>
      <c r="T5750">
        <v>-0.32404270000000002</v>
      </c>
      <c r="U5750">
        <v>-2.9113770000000001E-2</v>
      </c>
      <c r="V5750">
        <v>-5.4035699999999999E-2</v>
      </c>
      <c r="W5750">
        <v>-2.503014E-3</v>
      </c>
      <c r="X5750">
        <v>0.99853590000000003</v>
      </c>
      <c r="Y5750">
        <v>-6.0014339999999999E-3</v>
      </c>
      <c r="Z5750">
        <v>2.0298149999999999E-3</v>
      </c>
      <c r="AA5750">
        <v>0.99997990000000003</v>
      </c>
      <c r="AB5750">
        <v>16</v>
      </c>
      <c r="AC5750">
        <v>0.67650000000000399</v>
      </c>
      <c r="AD5750">
        <v>-8.2212000000000104E-2</v>
      </c>
      <c r="AE5750">
        <v>-5.7699999999911702E-3</v>
      </c>
      <c r="AF5750">
        <v>-4.8727504884692602E-3</v>
      </c>
      <c r="AG5750">
        <v>-8.2212000000000104E-2</v>
      </c>
      <c r="AH5750">
        <v>0.66666169400668596</v>
      </c>
      <c r="AI5750">
        <v>97.029973935171995</v>
      </c>
      <c r="AJ5750">
        <v>90.418777722625194</v>
      </c>
      <c r="AK5750">
        <v>0.671729388144651</v>
      </c>
    </row>
    <row r="5751" spans="1:37" x14ac:dyDescent="0.2">
      <c r="A5751" t="str">
        <f>"20200111160329286"</f>
        <v>20200111160329286</v>
      </c>
      <c r="B5751" t="str">
        <f>"1578729809279314"</f>
        <v>1578729809279314</v>
      </c>
      <c r="C5751" t="s">
        <v>37</v>
      </c>
      <c r="D5751">
        <v>4.9120599999999897</v>
      </c>
      <c r="E5751">
        <v>0.51814420000000005</v>
      </c>
      <c r="F5751" t="s">
        <v>42</v>
      </c>
      <c r="G5751">
        <v>-217.583</v>
      </c>
      <c r="H5751">
        <v>1.0164329999999999</v>
      </c>
      <c r="I5751">
        <v>-61.953539999999997</v>
      </c>
      <c r="J5751">
        <v>-218.31190000000001</v>
      </c>
      <c r="K5751">
        <v>1.104352</v>
      </c>
      <c r="L5751">
        <v>-61.948790000000002</v>
      </c>
      <c r="M5751">
        <v>0.99977459999999996</v>
      </c>
      <c r="N5751">
        <v>0</v>
      </c>
      <c r="O5751">
        <v>-1.6105830000000002E-2</v>
      </c>
      <c r="P5751">
        <v>0.99914059999999905</v>
      </c>
      <c r="Q5751">
        <v>-1.603255E-2</v>
      </c>
      <c r="R5751">
        <v>3.8224769999999998E-2</v>
      </c>
      <c r="S5751">
        <v>2.998138</v>
      </c>
      <c r="T5751">
        <v>-0.32428779999999902</v>
      </c>
      <c r="U5751">
        <v>-2.2796629999999998E-2</v>
      </c>
      <c r="V5751">
        <v>-5.4314269999999998E-2</v>
      </c>
      <c r="W5751">
        <v>-2.1882970000000001E-3</v>
      </c>
      <c r="X5751">
        <v>0.99852149999999995</v>
      </c>
      <c r="Y5751">
        <v>-8.3618149999999999E-3</v>
      </c>
      <c r="Z5751">
        <v>2.1879460000000001E-3</v>
      </c>
      <c r="AA5751">
        <v>0.99996260000000003</v>
      </c>
      <c r="AB5751">
        <v>16</v>
      </c>
      <c r="AC5751">
        <v>0.72890000000000998</v>
      </c>
      <c r="AD5751">
        <v>-8.7918999999999997E-2</v>
      </c>
      <c r="AE5751">
        <v>-4.7500000000013599E-3</v>
      </c>
      <c r="AF5751">
        <v>-6.8910265990228597E-3</v>
      </c>
      <c r="AG5751">
        <v>-8.7918999999999997E-2</v>
      </c>
      <c r="AH5751">
        <v>0.71843003928915705</v>
      </c>
      <c r="AI5751">
        <v>96.976651816253394</v>
      </c>
      <c r="AJ5751">
        <v>90.549551955493101</v>
      </c>
      <c r="AK5751">
        <v>0.72382246315074295</v>
      </c>
    </row>
    <row r="5752" spans="1:37" x14ac:dyDescent="0.2">
      <c r="A5752" t="str">
        <f>"20200111160329297"</f>
        <v>20200111160329297</v>
      </c>
      <c r="B5752" t="str">
        <f>"1578729809289073"</f>
        <v>1578729809289073</v>
      </c>
      <c r="C5752" t="s">
        <v>37</v>
      </c>
      <c r="D5752">
        <v>4.9341689999999998</v>
      </c>
      <c r="E5752">
        <v>0.51779509999999995</v>
      </c>
      <c r="F5752" t="s">
        <v>42</v>
      </c>
      <c r="G5752">
        <v>-217.5789</v>
      </c>
      <c r="H5752">
        <v>1.024794</v>
      </c>
      <c r="I5752">
        <v>-61.953619999999901</v>
      </c>
      <c r="J5752">
        <v>-218.23220000000001</v>
      </c>
      <c r="K5752">
        <v>1.104352</v>
      </c>
      <c r="L5752">
        <v>-61.950380000000003</v>
      </c>
      <c r="M5752">
        <v>0.99977059999999995</v>
      </c>
      <c r="N5752">
        <v>0</v>
      </c>
      <c r="O5752">
        <v>-1.6362930000000001E-2</v>
      </c>
      <c r="P5752">
        <v>0.99914409999999898</v>
      </c>
      <c r="Q5752">
        <v>-1.6267819999999999E-2</v>
      </c>
      <c r="R5752">
        <v>3.8035300000000001E-2</v>
      </c>
      <c r="S5752">
        <v>2.998062</v>
      </c>
      <c r="T5752">
        <v>-0.32535019999999998</v>
      </c>
      <c r="U5752">
        <v>-1.8859859999999999E-2</v>
      </c>
      <c r="V5752">
        <v>-5.4381850000000002E-2</v>
      </c>
      <c r="W5752">
        <v>-2.4257570000000002E-3</v>
      </c>
      <c r="X5752">
        <v>0.99851730000000005</v>
      </c>
      <c r="Y5752">
        <v>-9.9201429999999993E-3</v>
      </c>
      <c r="Z5752">
        <v>2.3072660000000001E-3</v>
      </c>
      <c r="AA5752">
        <v>0.99994810000000001</v>
      </c>
      <c r="AB5752">
        <v>16</v>
      </c>
      <c r="AC5752">
        <v>0.65330000000000099</v>
      </c>
      <c r="AD5752">
        <v>-7.9558000000000004E-2</v>
      </c>
      <c r="AE5752">
        <v>-3.23999999999102E-3</v>
      </c>
      <c r="AF5752">
        <v>-7.3424705973688604E-3</v>
      </c>
      <c r="AG5752">
        <v>-7.9558000000000004E-2</v>
      </c>
      <c r="AH5752">
        <v>0.64371938820380004</v>
      </c>
      <c r="AI5752">
        <v>97.045067938770501</v>
      </c>
      <c r="AJ5752">
        <v>90.6535057681034</v>
      </c>
      <c r="AK5752">
        <v>0.64865864519633698</v>
      </c>
    </row>
    <row r="5753" spans="1:37" x14ac:dyDescent="0.2">
      <c r="A5753" t="str">
        <f>"20200111160329309"</f>
        <v>20200111160329309</v>
      </c>
      <c r="B5753" t="str">
        <f>"1578729809298835"</f>
        <v>1578729809298835</v>
      </c>
      <c r="C5753" t="s">
        <v>37</v>
      </c>
      <c r="D5753">
        <v>4.882695</v>
      </c>
      <c r="E5753">
        <v>0.51742589999999999</v>
      </c>
      <c r="F5753" t="s">
        <v>42</v>
      </c>
      <c r="G5753">
        <v>-217.4434</v>
      </c>
      <c r="H5753">
        <v>1.0183879999999901</v>
      </c>
      <c r="I5753">
        <v>-61.954729999999998</v>
      </c>
      <c r="J5753">
        <v>-218.15479999999999</v>
      </c>
      <c r="K5753">
        <v>1.104347</v>
      </c>
      <c r="L5753">
        <v>-61.951929999999997</v>
      </c>
      <c r="M5753">
        <v>0.9997665</v>
      </c>
      <c r="N5753">
        <v>0</v>
      </c>
      <c r="O5753">
        <v>-1.661263E-2</v>
      </c>
      <c r="P5753">
        <v>0.99914159999999996</v>
      </c>
      <c r="Q5753">
        <v>-1.6479980000000002E-2</v>
      </c>
      <c r="R5753">
        <v>3.8011530000000002E-2</v>
      </c>
      <c r="S5753">
        <v>2.9978639999999999</v>
      </c>
      <c r="T5753">
        <v>-0.32670529999999998</v>
      </c>
      <c r="U5753">
        <v>-1.6510009999999999E-2</v>
      </c>
      <c r="V5753">
        <v>-5.4607990000000002E-2</v>
      </c>
      <c r="W5753">
        <v>-2.6400679999999902E-3</v>
      </c>
      <c r="X5753">
        <v>0.99850439999999996</v>
      </c>
      <c r="Y5753">
        <v>-1.09444E-2</v>
      </c>
      <c r="Z5753">
        <v>2.399759E-3</v>
      </c>
      <c r="AA5753">
        <v>0.99993719999999997</v>
      </c>
      <c r="AB5753">
        <v>16</v>
      </c>
      <c r="AC5753">
        <v>0.71139999999999703</v>
      </c>
      <c r="AD5753">
        <v>-8.5959000000000105E-2</v>
      </c>
      <c r="AE5753">
        <v>-2.8000000000005798E-3</v>
      </c>
      <c r="AF5753">
        <v>-8.8899481850853203E-3</v>
      </c>
      <c r="AG5753">
        <v>-8.5959000000000105E-2</v>
      </c>
      <c r="AH5753">
        <v>0.70111219861186802</v>
      </c>
      <c r="AI5753">
        <v>96.989238895554706</v>
      </c>
      <c r="AJ5753">
        <v>90.726458927921598</v>
      </c>
      <c r="AK5753">
        <v>0.70641793288541399</v>
      </c>
    </row>
    <row r="5754" spans="1:37" x14ac:dyDescent="0.2">
      <c r="A5754" t="str">
        <f>"20200111160329321"</f>
        <v>20200111160329321</v>
      </c>
      <c r="B5754" t="str">
        <f>"1578729809319331"</f>
        <v>1578729809319331</v>
      </c>
      <c r="C5754" t="s">
        <v>37</v>
      </c>
      <c r="D5754">
        <v>4.924887</v>
      </c>
      <c r="E5754">
        <v>0.51665090000000002</v>
      </c>
      <c r="F5754" t="s">
        <v>42</v>
      </c>
      <c r="G5754">
        <v>-217.30840000000001</v>
      </c>
      <c r="H5754">
        <v>1.0116339999999999</v>
      </c>
      <c r="I5754">
        <v>-61.955930000000002</v>
      </c>
      <c r="J5754">
        <v>-218.0701</v>
      </c>
      <c r="K5754">
        <v>1.1043459999999901</v>
      </c>
      <c r="L5754">
        <v>-61.95364</v>
      </c>
      <c r="M5754">
        <v>0.99976180000000003</v>
      </c>
      <c r="N5754">
        <v>0</v>
      </c>
      <c r="O5754">
        <v>-1.6885580000000001E-2</v>
      </c>
      <c r="P5754">
        <v>0.99914609999999904</v>
      </c>
      <c r="Q5754">
        <v>-1.650826E-2</v>
      </c>
      <c r="R5754">
        <v>3.7874669999999999E-2</v>
      </c>
      <c r="S5754">
        <v>2.997665</v>
      </c>
      <c r="T5754">
        <v>-0.32823400000000003</v>
      </c>
      <c r="U5754">
        <v>-1.364136E-2</v>
      </c>
      <c r="V5754">
        <v>-5.4743670000000001E-2</v>
      </c>
      <c r="W5754">
        <v>-2.6706070000000002E-3</v>
      </c>
      <c r="X5754">
        <v>0.99849690000000002</v>
      </c>
      <c r="Y5754">
        <v>-1.2163439999999999E-2</v>
      </c>
      <c r="Z5754">
        <v>2.507427E-3</v>
      </c>
      <c r="AA5754">
        <v>0.99992289999999995</v>
      </c>
      <c r="AB5754">
        <v>15</v>
      </c>
      <c r="AC5754">
        <v>0.76169999999999005</v>
      </c>
      <c r="AD5754">
        <v>-9.2711999999999906E-2</v>
      </c>
      <c r="AE5754">
        <v>-2.2900000000021202E-3</v>
      </c>
      <c r="AF5754">
        <v>-1.0418946600368101E-2</v>
      </c>
      <c r="AG5754">
        <v>-9.2711999999999906E-2</v>
      </c>
      <c r="AH5754">
        <v>0.75051127044480903</v>
      </c>
      <c r="AI5754">
        <v>97.041501655219903</v>
      </c>
      <c r="AJ5754">
        <v>90.795355573901801</v>
      </c>
      <c r="AK5754">
        <v>0.75628780001857898</v>
      </c>
    </row>
    <row r="5755" spans="1:37" x14ac:dyDescent="0.2">
      <c r="A5755" t="str">
        <f>"20200111160329336"</f>
        <v>20200111160329336</v>
      </c>
      <c r="B5755" t="str">
        <f>"1578729809329089"</f>
        <v>1578729809329089</v>
      </c>
      <c r="C5755" t="s">
        <v>37</v>
      </c>
      <c r="D5755">
        <v>4.9303669999999897</v>
      </c>
      <c r="E5755">
        <v>0.51654339999999999</v>
      </c>
      <c r="F5755" t="s">
        <v>42</v>
      </c>
      <c r="G5755">
        <v>-217.30449999999999</v>
      </c>
      <c r="H5755">
        <v>1.019609</v>
      </c>
      <c r="I5755">
        <v>-61.955769999999902</v>
      </c>
      <c r="J5755">
        <v>-217.96709999999999</v>
      </c>
      <c r="K5755">
        <v>1.1043479999999899</v>
      </c>
      <c r="L5755">
        <v>-61.95581</v>
      </c>
      <c r="M5755">
        <v>0.99975619999999998</v>
      </c>
      <c r="N5755">
        <v>0</v>
      </c>
      <c r="O5755">
        <v>-1.7217779999999999E-2</v>
      </c>
      <c r="P5755">
        <v>0.99912599999999996</v>
      </c>
      <c r="Q5755">
        <v>-1.6681669999999999E-2</v>
      </c>
      <c r="R5755">
        <v>3.8328750000000002E-2</v>
      </c>
      <c r="S5755">
        <v>2.9973909999999999</v>
      </c>
      <c r="T5755">
        <v>-0.33159329999999998</v>
      </c>
      <c r="U5755">
        <v>-7.7514649999999999E-3</v>
      </c>
      <c r="V5755">
        <v>-5.5529240000000001E-2</v>
      </c>
      <c r="W5755">
        <v>-2.8469350000000001E-3</v>
      </c>
      <c r="X5755">
        <v>0.99845300000000003</v>
      </c>
      <c r="Y5755">
        <v>-1.444055E-2</v>
      </c>
      <c r="Z5755">
        <v>2.6953900000000002E-3</v>
      </c>
      <c r="AA5755">
        <v>0.99989209999999995</v>
      </c>
      <c r="AB5755">
        <v>15</v>
      </c>
      <c r="AC5755">
        <v>0.66259999999999697</v>
      </c>
      <c r="AD5755">
        <v>-8.4738999999999898E-2</v>
      </c>
      <c r="AE5755" s="1">
        <v>4.0000000005591098E-5</v>
      </c>
      <c r="AF5755">
        <v>-1.1265335091700799E-2</v>
      </c>
      <c r="AG5755">
        <v>-8.4738999999999898E-2</v>
      </c>
      <c r="AH5755">
        <v>0.65183990360629096</v>
      </c>
      <c r="AI5755">
        <v>97.405802302812205</v>
      </c>
      <c r="AJ5755">
        <v>90.990108003289905</v>
      </c>
      <c r="AK5755">
        <v>0.65742137615777896</v>
      </c>
    </row>
    <row r="5756" spans="1:37" x14ac:dyDescent="0.2">
      <c r="A5756" t="str">
        <f>"20200111160329347"</f>
        <v>20200111160329347</v>
      </c>
      <c r="B5756" t="str">
        <f>"1578729809338850"</f>
        <v>1578729809338850</v>
      </c>
      <c r="C5756" t="s">
        <v>37</v>
      </c>
      <c r="D5756">
        <v>4.9712209999999999</v>
      </c>
      <c r="E5756">
        <v>0.51644970000000001</v>
      </c>
      <c r="F5756" t="s">
        <v>42</v>
      </c>
      <c r="G5756">
        <v>-217.16849999999999</v>
      </c>
      <c r="H5756">
        <v>1.015412</v>
      </c>
      <c r="I5756">
        <v>-61.957359999999902</v>
      </c>
      <c r="J5756">
        <v>-217.8877</v>
      </c>
      <c r="K5756">
        <v>1.104349</v>
      </c>
      <c r="L5756">
        <v>-61.957459999999998</v>
      </c>
      <c r="M5756">
        <v>0.99975179999999997</v>
      </c>
      <c r="N5756">
        <v>0</v>
      </c>
      <c r="O5756">
        <v>-1.7474159999999999E-2</v>
      </c>
      <c r="P5756">
        <v>0.99911269999999996</v>
      </c>
      <c r="Q5756">
        <v>-1.6715009999999999E-2</v>
      </c>
      <c r="R5756">
        <v>3.8659480000000003E-2</v>
      </c>
      <c r="S5756">
        <v>2.99726899999999</v>
      </c>
      <c r="T5756">
        <v>-0.3337077</v>
      </c>
      <c r="U5756">
        <v>-5.5236819999999898E-3</v>
      </c>
      <c r="V5756">
        <v>-5.6115770000000002E-2</v>
      </c>
      <c r="W5756">
        <v>-2.882543E-3</v>
      </c>
      <c r="X5756">
        <v>0.99842009999999903</v>
      </c>
      <c r="Y5756">
        <v>-1.542987E-2</v>
      </c>
      <c r="Z5756">
        <v>2.7959479999999999E-3</v>
      </c>
      <c r="AA5756">
        <v>0.99987700000000002</v>
      </c>
      <c r="AB5756">
        <v>15</v>
      </c>
      <c r="AC5756">
        <v>0.71919999999999995</v>
      </c>
      <c r="AD5756">
        <v>-8.8937000000000002E-2</v>
      </c>
      <c r="AE5756">
        <v>1.0000000000331901E-4</v>
      </c>
      <c r="AF5756">
        <v>-1.2477789977340699E-2</v>
      </c>
      <c r="AG5756">
        <v>-8.8937000000000002E-2</v>
      </c>
      <c r="AH5756">
        <v>0.70825771128338</v>
      </c>
      <c r="AI5756">
        <v>97.156157232377296</v>
      </c>
      <c r="AJ5756">
        <v>91.009308814852801</v>
      </c>
      <c r="AK5756">
        <v>0.71392889758300904</v>
      </c>
    </row>
    <row r="5757" spans="1:37" x14ac:dyDescent="0.2">
      <c r="A5757" t="str">
        <f>"20200111160329360"</f>
        <v>20200111160329360</v>
      </c>
      <c r="B5757" t="str">
        <f>"1578729809348611"</f>
        <v>1578729809348611</v>
      </c>
      <c r="C5757" t="s">
        <v>37</v>
      </c>
      <c r="D5757">
        <v>4.9619619999999998</v>
      </c>
      <c r="E5757">
        <v>0.51637200000000005</v>
      </c>
      <c r="F5757" t="s">
        <v>42</v>
      </c>
      <c r="G5757">
        <v>-217.16460000000001</v>
      </c>
      <c r="H5757">
        <v>1.0233429999999999</v>
      </c>
      <c r="I5757">
        <v>-61.958440000000003</v>
      </c>
      <c r="J5757">
        <v>-217.80449999999999</v>
      </c>
      <c r="K5757">
        <v>1.1043479999999899</v>
      </c>
      <c r="L5757">
        <v>-61.959229999999998</v>
      </c>
      <c r="M5757">
        <v>0.99974719999999995</v>
      </c>
      <c r="N5757">
        <v>0</v>
      </c>
      <c r="O5757">
        <v>-1.7742540000000001E-2</v>
      </c>
      <c r="P5757">
        <v>0.99911119999999898</v>
      </c>
      <c r="Q5757">
        <v>-1.6988530000000002E-2</v>
      </c>
      <c r="R5757">
        <v>3.8574480000000001E-2</v>
      </c>
      <c r="S5757">
        <v>2.9972080000000001</v>
      </c>
      <c r="T5757">
        <v>-0.3357424</v>
      </c>
      <c r="U5757">
        <v>-3.7841799999999998E-3</v>
      </c>
      <c r="V5757">
        <v>-5.6298540000000001E-2</v>
      </c>
      <c r="W5757">
        <v>-3.1650579999999901E-3</v>
      </c>
      <c r="X5757">
        <v>0.99840899999999999</v>
      </c>
      <c r="Y5757">
        <v>-1.626913E-2</v>
      </c>
      <c r="Z5757">
        <v>2.8897789999999999E-3</v>
      </c>
      <c r="AA5757">
        <v>0.99986339999999996</v>
      </c>
      <c r="AB5757">
        <v>15</v>
      </c>
      <c r="AC5757">
        <v>0.63989999999998204</v>
      </c>
      <c r="AD5757">
        <v>-8.1004999999999702E-2</v>
      </c>
      <c r="AE5757">
        <v>7.9000000000206596E-4</v>
      </c>
      <c r="AF5757">
        <v>-1.19528649085733E-2</v>
      </c>
      <c r="AG5757">
        <v>-8.1004999999999702E-2</v>
      </c>
      <c r="AH5757">
        <v>0.62969436614729701</v>
      </c>
      <c r="AI5757">
        <v>97.329065632936903</v>
      </c>
      <c r="AJ5757">
        <v>91.087458476360894</v>
      </c>
      <c r="AK5757">
        <v>0.63499580767290797</v>
      </c>
    </row>
    <row r="5758" spans="1:37" x14ac:dyDescent="0.2">
      <c r="A5758" t="str">
        <f>"20200111160329373"</f>
        <v>20200111160329373</v>
      </c>
      <c r="B5758" t="str">
        <f>"1578729809369105"</f>
        <v>1578729809369105</v>
      </c>
      <c r="C5758" t="s">
        <v>37</v>
      </c>
      <c r="D5758">
        <v>5.0170009999999996</v>
      </c>
      <c r="E5758">
        <v>0.51614799999999905</v>
      </c>
      <c r="F5758" t="s">
        <v>42</v>
      </c>
      <c r="G5758">
        <v>-217.03</v>
      </c>
      <c r="H5758">
        <v>1.016953</v>
      </c>
      <c r="I5758">
        <v>-61.960349999999998</v>
      </c>
      <c r="J5758">
        <v>-217.7183</v>
      </c>
      <c r="K5758">
        <v>1.1043419999999999</v>
      </c>
      <c r="L5758">
        <v>-61.961089999999999</v>
      </c>
      <c r="M5758">
        <v>0.99974240000000003</v>
      </c>
      <c r="N5758">
        <v>0</v>
      </c>
      <c r="O5758">
        <v>-1.802134E-2</v>
      </c>
      <c r="P5758">
        <v>0.99911249999999996</v>
      </c>
      <c r="Q5758">
        <v>-1.6978139999999999E-2</v>
      </c>
      <c r="R5758">
        <v>3.8549529999999999E-2</v>
      </c>
      <c r="S5758">
        <v>2.997055</v>
      </c>
      <c r="T5758">
        <v>-0.33801529999999902</v>
      </c>
      <c r="U5758">
        <v>-3.3569339999999998E-3</v>
      </c>
      <c r="V5758">
        <v>-5.6552280000000003E-2</v>
      </c>
      <c r="W5758">
        <v>-3.1732219999999998E-3</v>
      </c>
      <c r="X5758">
        <v>0.99839460000000002</v>
      </c>
      <c r="Y5758">
        <v>-1.6683119999999999E-2</v>
      </c>
      <c r="Z5758">
        <v>2.9639829999999999E-3</v>
      </c>
      <c r="AA5758">
        <v>0.99985639999999998</v>
      </c>
      <c r="AB5758">
        <v>15</v>
      </c>
      <c r="AC5758">
        <v>0.68829999999999802</v>
      </c>
      <c r="AD5758">
        <v>-8.7388999999999897E-2</v>
      </c>
      <c r="AE5758">
        <v>7.4000000000751199E-4</v>
      </c>
      <c r="AF5758">
        <v>-1.29366143422474E-2</v>
      </c>
      <c r="AG5758">
        <v>-8.7388999999999897E-2</v>
      </c>
      <c r="AH5758">
        <v>0.67725765948010597</v>
      </c>
      <c r="AI5758">
        <v>97.351129198328593</v>
      </c>
      <c r="AJ5758">
        <v>91.094300322034201</v>
      </c>
      <c r="AK5758">
        <v>0.68299497116458496</v>
      </c>
    </row>
    <row r="5759" spans="1:37" x14ac:dyDescent="0.2">
      <c r="A5759" t="str">
        <f>"20200111160329385"</f>
        <v>20200111160329385</v>
      </c>
      <c r="B5759" t="str">
        <f>"1578729809378866"</f>
        <v>1578729809378866</v>
      </c>
      <c r="C5759" t="s">
        <v>37</v>
      </c>
      <c r="D5759">
        <v>4.9532959999999999</v>
      </c>
      <c r="E5759">
        <v>0.51608390000000004</v>
      </c>
      <c r="F5759" t="s">
        <v>42</v>
      </c>
      <c r="G5759">
        <v>-216.89500000000001</v>
      </c>
      <c r="H5759">
        <v>1.011339</v>
      </c>
      <c r="I5759">
        <v>-61.961669999999998</v>
      </c>
      <c r="J5759">
        <v>-217.62729999999999</v>
      </c>
      <c r="K5759">
        <v>1.104331</v>
      </c>
      <c r="L5759">
        <v>-61.963099999999997</v>
      </c>
      <c r="M5759">
        <v>0.99973769999999995</v>
      </c>
      <c r="N5759">
        <v>0</v>
      </c>
      <c r="O5759">
        <v>-1.8317030000000002E-2</v>
      </c>
      <c r="P5759">
        <v>0.99910959999999904</v>
      </c>
      <c r="Q5759">
        <v>-1.71912E-2</v>
      </c>
      <c r="R5759">
        <v>3.8534329999999999E-2</v>
      </c>
      <c r="S5759">
        <v>2.99696399999999</v>
      </c>
      <c r="T5759">
        <v>-0.33847759999999999</v>
      </c>
      <c r="U5759">
        <v>-1.617432E-3</v>
      </c>
      <c r="V5759">
        <v>-5.6832170000000001E-2</v>
      </c>
      <c r="W5759">
        <v>-3.4291729999999898E-3</v>
      </c>
      <c r="X5759">
        <v>0.99837790000000004</v>
      </c>
      <c r="Y5759">
        <v>-1.7551130000000002E-2</v>
      </c>
      <c r="Z5759">
        <v>3.0502529999999902E-3</v>
      </c>
      <c r="AA5759">
        <v>0.99984130000000004</v>
      </c>
      <c r="AB5759">
        <v>15</v>
      </c>
      <c r="AC5759">
        <v>0.73229999999997997</v>
      </c>
      <c r="AD5759">
        <v>-9.2991999999999894E-2</v>
      </c>
      <c r="AE5759">
        <v>1.42999999999915E-3</v>
      </c>
      <c r="AF5759">
        <v>-1.46090123051573E-2</v>
      </c>
      <c r="AG5759">
        <v>-9.2991999999999894E-2</v>
      </c>
      <c r="AH5759">
        <v>0.72053202957403595</v>
      </c>
      <c r="AI5759">
        <v>97.352458917384197</v>
      </c>
      <c r="AJ5759">
        <v>91.161530707132101</v>
      </c>
      <c r="AK5759">
        <v>0.72665489810955797</v>
      </c>
    </row>
    <row r="5760" spans="1:37" x14ac:dyDescent="0.2">
      <c r="A5760" t="str">
        <f>"20200111160329396"</f>
        <v>20200111160329396</v>
      </c>
      <c r="B5760" t="str">
        <f>"1578729809388626"</f>
        <v>1578729809388626</v>
      </c>
      <c r="C5760" t="s">
        <v>37</v>
      </c>
      <c r="D5760">
        <v>4.9858349999999998</v>
      </c>
      <c r="E5760">
        <v>0.51599929999999905</v>
      </c>
      <c r="F5760" t="s">
        <v>42</v>
      </c>
      <c r="G5760">
        <v>-216.8904</v>
      </c>
      <c r="H5760">
        <v>1.0208189999999999</v>
      </c>
      <c r="I5760">
        <v>-61.963500000000003</v>
      </c>
      <c r="J5760">
        <v>-217.55410000000001</v>
      </c>
      <c r="K5760">
        <v>1.1043129999999901</v>
      </c>
      <c r="L5760">
        <v>-61.964689999999997</v>
      </c>
      <c r="M5760">
        <v>0.99973400000000001</v>
      </c>
      <c r="N5760">
        <v>0</v>
      </c>
      <c r="O5760">
        <v>-1.8553969999999999E-2</v>
      </c>
      <c r="P5760">
        <v>0.99909459999999894</v>
      </c>
      <c r="Q5760">
        <v>-1.7387340000000001E-2</v>
      </c>
      <c r="R5760">
        <v>3.8829570000000001E-2</v>
      </c>
      <c r="S5760">
        <v>2.9968870000000001</v>
      </c>
      <c r="T5760">
        <v>-0.33959509999999998</v>
      </c>
      <c r="U5760">
        <v>-1.0681149999999999E-3</v>
      </c>
      <c r="V5760">
        <v>-5.7363869999999997E-2</v>
      </c>
      <c r="W5760">
        <v>-3.6864429999999902E-3</v>
      </c>
      <c r="X5760">
        <v>0.99834650000000003</v>
      </c>
      <c r="Y5760">
        <v>-1.7965640000000001E-2</v>
      </c>
      <c r="Z5760">
        <v>3.1105079999999901E-3</v>
      </c>
      <c r="AA5760">
        <v>0.99983379999999999</v>
      </c>
      <c r="AB5760">
        <v>15</v>
      </c>
      <c r="AC5760">
        <v>0.66370000000000495</v>
      </c>
      <c r="AD5760">
        <v>-8.3493999999999693E-2</v>
      </c>
      <c r="AE5760">
        <v>1.19000000000113E-3</v>
      </c>
      <c r="AF5760">
        <v>-1.32948196596525E-2</v>
      </c>
      <c r="AG5760">
        <v>-8.3493999999999693E-2</v>
      </c>
      <c r="AH5760">
        <v>0.65322583080144103</v>
      </c>
      <c r="AI5760">
        <v>97.282442736479098</v>
      </c>
      <c r="AJ5760">
        <v>91.165954971163501</v>
      </c>
      <c r="AK5760">
        <v>0.65867441599929699</v>
      </c>
    </row>
    <row r="5761" spans="1:37" x14ac:dyDescent="0.2">
      <c r="A5761" t="str">
        <f>"20200111160329407"</f>
        <v>20200111160329407</v>
      </c>
      <c r="B5761" t="str">
        <f>"1578729809399362"</f>
        <v>1578729809399362</v>
      </c>
      <c r="C5761" t="s">
        <v>37</v>
      </c>
      <c r="D5761">
        <v>4.9528720000000002</v>
      </c>
      <c r="E5761">
        <v>0.51600709999999905</v>
      </c>
      <c r="F5761" t="s">
        <v>42</v>
      </c>
      <c r="G5761">
        <v>-216.7561</v>
      </c>
      <c r="H5761">
        <v>1.0137080000000001</v>
      </c>
      <c r="I5761">
        <v>-61.964709999999997</v>
      </c>
      <c r="J5761">
        <v>-217.4752</v>
      </c>
      <c r="K5761">
        <v>1.1042909999999999</v>
      </c>
      <c r="L5761">
        <v>-61.966459999999998</v>
      </c>
      <c r="M5761">
        <v>0.99973049999999997</v>
      </c>
      <c r="N5761">
        <v>0</v>
      </c>
      <c r="O5761">
        <v>-1.8809389999999999E-2</v>
      </c>
      <c r="P5761">
        <v>0.99908750000000002</v>
      </c>
      <c r="Q5761">
        <v>-1.779936E-2</v>
      </c>
      <c r="R5761">
        <v>3.8829389999999998E-2</v>
      </c>
      <c r="S5761">
        <v>2.99677999999999</v>
      </c>
      <c r="T5761">
        <v>-0.34018609999999999</v>
      </c>
      <c r="U5761">
        <v>4.8828130000000002E-4</v>
      </c>
      <c r="V5761">
        <v>-5.761844E-2</v>
      </c>
      <c r="W5761">
        <v>-4.1769440000000001E-3</v>
      </c>
      <c r="X5761">
        <v>0.99832989999999999</v>
      </c>
      <c r="Y5761">
        <v>-1.8732929999999998E-2</v>
      </c>
      <c r="Z5761">
        <v>3.1883100000000002E-3</v>
      </c>
      <c r="AA5761">
        <v>0.99981949999999997</v>
      </c>
      <c r="AB5761">
        <v>15</v>
      </c>
      <c r="AC5761">
        <v>0.71909999999999696</v>
      </c>
      <c r="AD5761">
        <v>-9.0582999999999803E-2</v>
      </c>
      <c r="AE5761">
        <v>1.7500000000012499E-3</v>
      </c>
      <c r="AF5761">
        <v>-1.50381549362046E-2</v>
      </c>
      <c r="AG5761">
        <v>-9.0582999999999803E-2</v>
      </c>
      <c r="AH5761">
        <v>0.70771015175750196</v>
      </c>
      <c r="AI5761">
        <v>97.292257308243293</v>
      </c>
      <c r="AJ5761">
        <v>91.217296603891199</v>
      </c>
      <c r="AK5761">
        <v>0.71364212662476201</v>
      </c>
    </row>
    <row r="5762" spans="1:37" x14ac:dyDescent="0.2">
      <c r="A5762" t="str">
        <f>"20200111160329419"</f>
        <v>20200111160329419</v>
      </c>
      <c r="B5762" t="str">
        <f>"1578729809409123"</f>
        <v>1578729809409123</v>
      </c>
      <c r="C5762" t="s">
        <v>37</v>
      </c>
      <c r="D5762">
        <v>4.9957000000000003</v>
      </c>
      <c r="E5762">
        <v>0.5158992</v>
      </c>
      <c r="F5762" t="s">
        <v>42</v>
      </c>
      <c r="G5762">
        <v>-216.75229999999999</v>
      </c>
      <c r="H5762">
        <v>1.0217860000000001</v>
      </c>
      <c r="I5762">
        <v>-61.966479999999997</v>
      </c>
      <c r="J5762">
        <v>-217.39580000000001</v>
      </c>
      <c r="K5762">
        <v>1.104263</v>
      </c>
      <c r="L5762">
        <v>-61.968290000000003</v>
      </c>
      <c r="M5762">
        <v>0.99972709999999998</v>
      </c>
      <c r="N5762">
        <v>0</v>
      </c>
      <c r="O5762">
        <v>-1.9066920000000001E-2</v>
      </c>
      <c r="P5762">
        <v>0.99908390000000002</v>
      </c>
      <c r="Q5762">
        <v>-1.7990869999999999E-2</v>
      </c>
      <c r="R5762">
        <v>3.8831579999999997E-2</v>
      </c>
      <c r="S5762">
        <v>2.996613</v>
      </c>
      <c r="T5762">
        <v>-0.34189659999999999</v>
      </c>
      <c r="U5762">
        <v>5.4931640000000002E-4</v>
      </c>
      <c r="V5762">
        <v>-5.7878279999999997E-2</v>
      </c>
      <c r="W5762">
        <v>-4.4835409999999997E-3</v>
      </c>
      <c r="X5762">
        <v>0.99831360000000002</v>
      </c>
      <c r="Y5762">
        <v>-1.9004940000000001E-2</v>
      </c>
      <c r="Z5762">
        <v>3.2491669999999999E-3</v>
      </c>
      <c r="AA5762">
        <v>0.99981409999999904</v>
      </c>
      <c r="AB5762">
        <v>15</v>
      </c>
      <c r="AC5762">
        <v>0.64350000000001695</v>
      </c>
      <c r="AD5762">
        <v>-8.2476999999999898E-2</v>
      </c>
      <c r="AE5762">
        <v>1.80999999999897E-3</v>
      </c>
      <c r="AF5762">
        <v>-1.38527883177913E-2</v>
      </c>
      <c r="AG5762">
        <v>-8.2476999999999898E-2</v>
      </c>
      <c r="AH5762">
        <v>0.63295083347916803</v>
      </c>
      <c r="AI5762">
        <v>97.4223690435865</v>
      </c>
      <c r="AJ5762">
        <v>91.253777657605298</v>
      </c>
      <c r="AK5762">
        <v>0.63845212261778195</v>
      </c>
    </row>
    <row r="5763" spans="1:37" x14ac:dyDescent="0.2">
      <c r="A5763" t="str">
        <f>"20200111160329431"</f>
        <v>20200111160329431</v>
      </c>
      <c r="B5763" t="str">
        <f>"1578729809428642"</f>
        <v>1578729809428642</v>
      </c>
      <c r="C5763" t="s">
        <v>37</v>
      </c>
      <c r="D5763">
        <v>4.9912519999999896</v>
      </c>
      <c r="E5763">
        <v>0.51583690000000004</v>
      </c>
      <c r="F5763" t="s">
        <v>42</v>
      </c>
      <c r="G5763">
        <v>-216.61750000000001</v>
      </c>
      <c r="H5763">
        <v>1.0152099999999999</v>
      </c>
      <c r="I5763">
        <v>-61.968059999999902</v>
      </c>
      <c r="J5763">
        <v>-217.31399999999999</v>
      </c>
      <c r="K5763">
        <v>1.104233</v>
      </c>
      <c r="L5763">
        <v>-61.970149999999997</v>
      </c>
      <c r="M5763">
        <v>0.9997239</v>
      </c>
      <c r="N5763">
        <v>0</v>
      </c>
      <c r="O5763">
        <v>-1.9333059999999999E-2</v>
      </c>
      <c r="P5763">
        <v>0.99908159999999901</v>
      </c>
      <c r="Q5763">
        <v>-1.8263910000000001E-2</v>
      </c>
      <c r="R5763">
        <v>3.8762900000000003E-2</v>
      </c>
      <c r="S5763">
        <v>2.9965060000000001</v>
      </c>
      <c r="T5763">
        <v>-0.3427945</v>
      </c>
      <c r="U5763">
        <v>1.525879E-3</v>
      </c>
      <c r="V5763">
        <v>-5.807524E-2</v>
      </c>
      <c r="W5763">
        <v>-4.8853919999999997E-3</v>
      </c>
      <c r="X5763">
        <v>0.99830030000000003</v>
      </c>
      <c r="Y5763">
        <v>-1.959004E-2</v>
      </c>
      <c r="Z5763">
        <v>3.3214609999999999E-3</v>
      </c>
      <c r="AA5763">
        <v>0.99980259999999999</v>
      </c>
      <c r="AB5763">
        <v>15</v>
      </c>
      <c r="AC5763">
        <v>0.696500000000014</v>
      </c>
      <c r="AD5763">
        <v>-8.9023000000000005E-2</v>
      </c>
      <c r="AE5763">
        <v>2.0900000000025898E-3</v>
      </c>
      <c r="AF5763">
        <v>-1.5306236663894499E-2</v>
      </c>
      <c r="AG5763">
        <v>-8.9023000000000005E-2</v>
      </c>
      <c r="AH5763">
        <v>0.68513667371583498</v>
      </c>
      <c r="AI5763">
        <v>97.401404262652605</v>
      </c>
      <c r="AJ5763">
        <v>91.279798526943196</v>
      </c>
      <c r="AK5763">
        <v>0.69106558088231396</v>
      </c>
    </row>
    <row r="5764" spans="1:37" x14ac:dyDescent="0.2">
      <c r="A5764" t="str">
        <f>"20200111160329443"</f>
        <v>20200111160329443</v>
      </c>
      <c r="B5764" t="str">
        <f>"1578729809439379"</f>
        <v>1578729809439379</v>
      </c>
      <c r="C5764" t="s">
        <v>37</v>
      </c>
      <c r="D5764">
        <v>4.9671940000000001</v>
      </c>
      <c r="E5764">
        <v>0.51582589999999995</v>
      </c>
      <c r="F5764" t="s">
        <v>42</v>
      </c>
      <c r="G5764">
        <v>-216.48230000000001</v>
      </c>
      <c r="H5764">
        <v>1.0089379999999999</v>
      </c>
      <c r="I5764">
        <v>-61.969819999999999</v>
      </c>
      <c r="J5764">
        <v>-217.23050000000001</v>
      </c>
      <c r="K5764">
        <v>1.1042000000000001</v>
      </c>
      <c r="L5764">
        <v>-61.972110000000001</v>
      </c>
      <c r="M5764">
        <v>0.99972050000000001</v>
      </c>
      <c r="N5764">
        <v>0</v>
      </c>
      <c r="O5764">
        <v>-1.9606249999999999E-2</v>
      </c>
      <c r="P5764">
        <v>0.99908180000000002</v>
      </c>
      <c r="Q5764">
        <v>-1.843407E-2</v>
      </c>
      <c r="R5764">
        <v>3.8677820000000002E-2</v>
      </c>
      <c r="S5764">
        <v>2.996429</v>
      </c>
      <c r="T5764">
        <v>-0.34324739999999998</v>
      </c>
      <c r="U5764">
        <v>1.8615719999999999E-3</v>
      </c>
      <c r="V5764">
        <v>-5.8263179999999998E-2</v>
      </c>
      <c r="W5764">
        <v>-5.2136800000000001E-3</v>
      </c>
      <c r="X5764">
        <v>0.99828760000000005</v>
      </c>
      <c r="Y5764">
        <v>-1.9970290000000002E-2</v>
      </c>
      <c r="Z5764">
        <v>3.3788020000000002E-3</v>
      </c>
      <c r="AA5764">
        <v>0.99979479999999998</v>
      </c>
      <c r="AB5764">
        <v>15</v>
      </c>
      <c r="AC5764">
        <v>0.74819999999999698</v>
      </c>
      <c r="AD5764">
        <v>-9.5262000000000097E-2</v>
      </c>
      <c r="AE5764">
        <v>2.2900000000021202E-3</v>
      </c>
      <c r="AF5764">
        <v>-1.6689685847857599E-2</v>
      </c>
      <c r="AG5764">
        <v>-9.5262000000000097E-2</v>
      </c>
      <c r="AH5764">
        <v>0.73607894885004799</v>
      </c>
      <c r="AI5764">
        <v>97.372254095084898</v>
      </c>
      <c r="AJ5764">
        <v>91.298888853435599</v>
      </c>
      <c r="AK5764">
        <v>0.74240528904224001</v>
      </c>
    </row>
    <row r="5765" spans="1:37" x14ac:dyDescent="0.2">
      <c r="A5765" t="str">
        <f>"20200111160329454"</f>
        <v>20200111160329454</v>
      </c>
      <c r="B5765" t="str">
        <f>"1578729809449138"</f>
        <v>1578729809449138</v>
      </c>
      <c r="C5765" t="s">
        <v>37</v>
      </c>
      <c r="D5765">
        <v>4.9792899999999998</v>
      </c>
      <c r="E5765">
        <v>0.51578769999999996</v>
      </c>
      <c r="F5765" t="s">
        <v>42</v>
      </c>
      <c r="G5765">
        <v>-216.47810000000001</v>
      </c>
      <c r="H5765">
        <v>1.017868</v>
      </c>
      <c r="I5765">
        <v>-61.971869999999903</v>
      </c>
      <c r="J5765">
        <v>-217.15170000000001</v>
      </c>
      <c r="K5765">
        <v>1.1041700000000001</v>
      </c>
      <c r="L5765">
        <v>-61.973939999999999</v>
      </c>
      <c r="M5765">
        <v>0.99971749999999904</v>
      </c>
      <c r="N5765">
        <v>0</v>
      </c>
      <c r="O5765">
        <v>-1.9864679999999999E-2</v>
      </c>
      <c r="P5765">
        <v>0.99908859999999999</v>
      </c>
      <c r="Q5765">
        <v>-1.8541620000000002E-2</v>
      </c>
      <c r="R5765">
        <v>3.8449659999999997E-2</v>
      </c>
      <c r="S5765">
        <v>2.9963380000000002</v>
      </c>
      <c r="T5765">
        <v>-0.34371040000000003</v>
      </c>
      <c r="U5765">
        <v>1.708984E-3</v>
      </c>
      <c r="V5765">
        <v>-5.8293560000000001E-2</v>
      </c>
      <c r="W5765">
        <v>-5.479149E-3</v>
      </c>
      <c r="X5765">
        <v>0.99828449999999902</v>
      </c>
      <c r="Y5765">
        <v>-2.0174049999999999E-2</v>
      </c>
      <c r="Z5765">
        <v>3.4246200000000002E-3</v>
      </c>
      <c r="AA5765">
        <v>0.99979059999999897</v>
      </c>
      <c r="AB5765">
        <v>15</v>
      </c>
      <c r="AC5765">
        <v>0.67359999999999298</v>
      </c>
      <c r="AD5765">
        <v>-8.6302000000000101E-2</v>
      </c>
      <c r="AE5765">
        <v>2.07000000000334E-3</v>
      </c>
      <c r="AF5765">
        <v>-1.5202042286402101E-2</v>
      </c>
      <c r="AG5765">
        <v>-8.6302000000000101E-2</v>
      </c>
      <c r="AH5765">
        <v>0.66255035949362195</v>
      </c>
      <c r="AI5765">
        <v>97.419476062864405</v>
      </c>
      <c r="AJ5765">
        <v>91.314405837056199</v>
      </c>
      <c r="AK5765">
        <v>0.66832036940288297</v>
      </c>
    </row>
    <row r="5766" spans="1:37" x14ac:dyDescent="0.2">
      <c r="A5766" t="str">
        <f>"20200111160329467"</f>
        <v>20200111160329467</v>
      </c>
      <c r="B5766" t="str">
        <f>"1578729809458898"</f>
        <v>1578729809458898</v>
      </c>
      <c r="C5766" t="s">
        <v>37</v>
      </c>
      <c r="D5766">
        <v>5.0112420000000002</v>
      </c>
      <c r="E5766">
        <v>0.51575530000000003</v>
      </c>
      <c r="F5766" t="s">
        <v>42</v>
      </c>
      <c r="G5766">
        <v>-216.34270000000001</v>
      </c>
      <c r="H5766">
        <v>1.0113650000000001</v>
      </c>
      <c r="I5766">
        <v>-61.973669999999998</v>
      </c>
      <c r="J5766">
        <v>-217.06200000000001</v>
      </c>
      <c r="K5766">
        <v>1.104136</v>
      </c>
      <c r="L5766">
        <v>-61.976069999999901</v>
      </c>
      <c r="M5766">
        <v>0.99971409999999905</v>
      </c>
      <c r="N5766">
        <v>0</v>
      </c>
      <c r="O5766">
        <v>-2.016068E-2</v>
      </c>
      <c r="P5766">
        <v>0.99909550000000003</v>
      </c>
      <c r="Q5766">
        <v>-1.8552849999999999E-2</v>
      </c>
      <c r="R5766">
        <v>3.8267950000000002E-2</v>
      </c>
      <c r="S5766">
        <v>2.9963229999999998</v>
      </c>
      <c r="T5766">
        <v>-0.34364820000000001</v>
      </c>
      <c r="U5766">
        <v>1.373291E-3</v>
      </c>
      <c r="V5766">
        <v>-5.8407260000000003E-2</v>
      </c>
      <c r="W5766">
        <v>-5.6807849999999998E-3</v>
      </c>
      <c r="X5766">
        <v>0.99827670000000002</v>
      </c>
      <c r="Y5766">
        <v>-2.0354980000000002E-2</v>
      </c>
      <c r="Z5766">
        <v>3.4681930000000001E-3</v>
      </c>
      <c r="AA5766">
        <v>0.99978679999999998</v>
      </c>
      <c r="AB5766">
        <v>15</v>
      </c>
      <c r="AC5766">
        <v>0.71930000000000405</v>
      </c>
      <c r="AD5766">
        <v>-9.2770999999999895E-2</v>
      </c>
      <c r="AE5766">
        <v>2.3999999999944001E-3</v>
      </c>
      <c r="AF5766">
        <v>-1.6625733453899599E-2</v>
      </c>
      <c r="AG5766">
        <v>-9.2770999999999895E-2</v>
      </c>
      <c r="AH5766">
        <v>0.70733942994872701</v>
      </c>
      <c r="AI5766">
        <v>97.469931274242199</v>
      </c>
      <c r="AJ5766">
        <v>91.346466706638907</v>
      </c>
      <c r="AK5766">
        <v>0.71359087901546903</v>
      </c>
    </row>
    <row r="5767" spans="1:37" x14ac:dyDescent="0.2">
      <c r="A5767" t="str">
        <f>"20200111160329482"</f>
        <v>20200111160329482</v>
      </c>
      <c r="B5767" t="str">
        <f>"1578729809479395"</f>
        <v>1578729809479395</v>
      </c>
      <c r="C5767" t="s">
        <v>37</v>
      </c>
      <c r="D5767">
        <v>5.0467420000000001</v>
      </c>
      <c r="E5767">
        <v>0.51552429999999905</v>
      </c>
      <c r="F5767" t="s">
        <v>42</v>
      </c>
      <c r="G5767">
        <v>-216.3381</v>
      </c>
      <c r="H5767">
        <v>1.021034</v>
      </c>
      <c r="I5767">
        <v>-61.975909999999999</v>
      </c>
      <c r="J5767">
        <v>-216.9657</v>
      </c>
      <c r="K5767">
        <v>1.104095</v>
      </c>
      <c r="L5767">
        <v>-61.978359999999903</v>
      </c>
      <c r="M5767">
        <v>0.99971030000000005</v>
      </c>
      <c r="N5767">
        <v>0</v>
      </c>
      <c r="O5767">
        <v>-2.0478010000000001E-2</v>
      </c>
      <c r="P5767">
        <v>0.99912440000000002</v>
      </c>
      <c r="Q5767">
        <v>-1.8180970000000001E-2</v>
      </c>
      <c r="R5767">
        <v>3.76856E-2</v>
      </c>
      <c r="S5767">
        <v>2.9963069999999998</v>
      </c>
      <c r="T5767">
        <v>-0.34393550000000001</v>
      </c>
      <c r="U5767">
        <v>1.0986329999999999E-3</v>
      </c>
      <c r="V5767">
        <v>-5.8142640000000002E-2</v>
      </c>
      <c r="W5767">
        <v>-5.5235589999999999E-3</v>
      </c>
      <c r="X5767">
        <v>0.99829299999999999</v>
      </c>
      <c r="Y5767">
        <v>-2.0576649999999998E-2</v>
      </c>
      <c r="Z5767">
        <v>3.5200679999999999E-3</v>
      </c>
      <c r="AA5767">
        <v>0.99978210000000001</v>
      </c>
      <c r="AB5767">
        <v>15</v>
      </c>
      <c r="AC5767">
        <v>0.62760000000000005</v>
      </c>
      <c r="AD5767">
        <v>-8.3060999999999996E-2</v>
      </c>
      <c r="AE5767">
        <v>2.4499999999960599E-3</v>
      </c>
      <c r="AF5767">
        <v>-1.50390964506389E-2</v>
      </c>
      <c r="AG5767">
        <v>-8.3060999999999996E-2</v>
      </c>
      <c r="AH5767">
        <v>0.61661784625632199</v>
      </c>
      <c r="AI5767">
        <v>97.669547490812505</v>
      </c>
      <c r="AJ5767">
        <v>91.397147297708898</v>
      </c>
      <c r="AK5767">
        <v>0.62236875922947499</v>
      </c>
    </row>
    <row r="5768" spans="1:37" x14ac:dyDescent="0.2">
      <c r="A5768" t="str">
        <f>"20200111160329494"</f>
        <v>20200111160329494</v>
      </c>
      <c r="B5768" t="str">
        <f>"1578729809489154"</f>
        <v>1578729809489154</v>
      </c>
      <c r="C5768" t="s">
        <v>37</v>
      </c>
      <c r="D5768">
        <v>4.9625120000000003</v>
      </c>
      <c r="E5768">
        <v>0.5154995</v>
      </c>
      <c r="F5768" t="s">
        <v>42</v>
      </c>
      <c r="G5768">
        <v>-216.20140000000001</v>
      </c>
      <c r="H5768">
        <v>1.016599</v>
      </c>
      <c r="I5768">
        <v>-61.978259999999999</v>
      </c>
      <c r="J5768">
        <v>-216.8794</v>
      </c>
      <c r="K5768">
        <v>1.1040639999999999</v>
      </c>
      <c r="L5768">
        <v>-61.980469999999997</v>
      </c>
      <c r="M5768">
        <v>0.99970700000000001</v>
      </c>
      <c r="N5768">
        <v>0</v>
      </c>
      <c r="O5768">
        <v>-2.0762470000000002E-2</v>
      </c>
      <c r="P5768">
        <v>0.99914999999999998</v>
      </c>
      <c r="Q5768">
        <v>-1.8054460000000001E-2</v>
      </c>
      <c r="R5768">
        <v>3.7064350000000003E-2</v>
      </c>
      <c r="S5768">
        <v>2.9963679999999999</v>
      </c>
      <c r="T5768">
        <v>-0.34290660000000001</v>
      </c>
      <c r="U5768">
        <v>1.2512210000000001E-3</v>
      </c>
      <c r="V5768">
        <v>-5.7806070000000001E-2</v>
      </c>
      <c r="W5768">
        <v>-5.5938369999999999E-3</v>
      </c>
      <c r="X5768">
        <v>0.99831219999999998</v>
      </c>
      <c r="Y5768">
        <v>-2.0909569999999999E-2</v>
      </c>
      <c r="Z5768">
        <v>3.560962E-3</v>
      </c>
      <c r="AA5768">
        <v>0.99977510000000003</v>
      </c>
      <c r="AB5768">
        <v>15</v>
      </c>
      <c r="AC5768">
        <v>0.67799999999999705</v>
      </c>
      <c r="AD5768">
        <v>-8.7464999999999904E-2</v>
      </c>
      <c r="AE5768">
        <v>2.2099999999980399E-3</v>
      </c>
      <c r="AF5768">
        <v>-1.60209480598291E-2</v>
      </c>
      <c r="AG5768">
        <v>-8.7464999999999904E-2</v>
      </c>
      <c r="AH5768">
        <v>0.66671253036890399</v>
      </c>
      <c r="AI5768">
        <v>97.471732334695801</v>
      </c>
      <c r="AJ5768">
        <v>91.3765394325805</v>
      </c>
      <c r="AK5768">
        <v>0.672616083031504</v>
      </c>
    </row>
    <row r="5769" spans="1:37" x14ac:dyDescent="0.2">
      <c r="A5769" t="str">
        <f>"20200111160329505"</f>
        <v>20200111160329505</v>
      </c>
      <c r="B5769" t="str">
        <f>"1578729809498913"</f>
        <v>1578729809498913</v>
      </c>
      <c r="C5769" t="s">
        <v>37</v>
      </c>
      <c r="D5769">
        <v>5.0022039999999999</v>
      </c>
      <c r="E5769">
        <v>0.51540819999999998</v>
      </c>
      <c r="F5769" t="s">
        <v>42</v>
      </c>
      <c r="G5769">
        <v>-216.06469999999999</v>
      </c>
      <c r="H5769">
        <v>1.0110159999999999</v>
      </c>
      <c r="I5769">
        <v>-61.980559999999997</v>
      </c>
      <c r="J5769">
        <v>-216.7961</v>
      </c>
      <c r="K5769">
        <v>1.1040369999999999</v>
      </c>
      <c r="L5769">
        <v>-61.982509999999998</v>
      </c>
      <c r="M5769">
        <v>0.99970349999999997</v>
      </c>
      <c r="N5769">
        <v>0</v>
      </c>
      <c r="O5769">
        <v>-2.103636E-2</v>
      </c>
      <c r="P5769">
        <v>0.99915799999999999</v>
      </c>
      <c r="Q5769">
        <v>-1.7912230000000001E-2</v>
      </c>
      <c r="R5769">
        <v>3.6908089999999998E-2</v>
      </c>
      <c r="S5769">
        <v>2.9963839999999999</v>
      </c>
      <c r="T5769">
        <v>-0.34228649999999999</v>
      </c>
      <c r="U5769">
        <v>-3.6621089999999999E-4</v>
      </c>
      <c r="V5769">
        <v>-5.7923639999999998E-2</v>
      </c>
      <c r="W5769">
        <v>-5.6462229999999997E-3</v>
      </c>
      <c r="X5769">
        <v>0.998304999999999</v>
      </c>
      <c r="Y5769">
        <v>-2.0644679999999999E-2</v>
      </c>
      <c r="Z5769">
        <v>3.5706399999999999E-3</v>
      </c>
      <c r="AA5769">
        <v>0.99978049999999996</v>
      </c>
      <c r="AB5769">
        <v>16</v>
      </c>
      <c r="AC5769">
        <v>0.73140000000000704</v>
      </c>
      <c r="AD5769">
        <v>-9.3021000000000201E-2</v>
      </c>
      <c r="AE5769">
        <v>1.9500000000007801E-3</v>
      </c>
      <c r="AF5769">
        <v>-1.70607583916337E-2</v>
      </c>
      <c r="AG5769">
        <v>-9.3021000000000201E-2</v>
      </c>
      <c r="AH5769">
        <v>0.71955812200199398</v>
      </c>
      <c r="AI5769">
        <v>97.364022066620507</v>
      </c>
      <c r="AJ5769">
        <v>91.358231265379501</v>
      </c>
      <c r="AK5769">
        <v>0.72574642049198801</v>
      </c>
    </row>
    <row r="5770" spans="1:37" x14ac:dyDescent="0.2">
      <c r="A5770" t="str">
        <f>"20200111160329517"</f>
        <v>20200111160329517</v>
      </c>
      <c r="B5770" t="str">
        <f>"1578729809508674"</f>
        <v>1578729809508674</v>
      </c>
      <c r="C5770" t="s">
        <v>37</v>
      </c>
      <c r="D5770">
        <v>4.99559</v>
      </c>
      <c r="E5770">
        <v>0.51533819999999997</v>
      </c>
      <c r="F5770" t="s">
        <v>42</v>
      </c>
      <c r="G5770">
        <v>-216.06039999999999</v>
      </c>
      <c r="H5770">
        <v>1.020176</v>
      </c>
      <c r="I5770">
        <v>-61.98254</v>
      </c>
      <c r="J5770">
        <v>-216.71889999999999</v>
      </c>
      <c r="K5770">
        <v>1.104009</v>
      </c>
      <c r="L5770">
        <v>-61.984409999999997</v>
      </c>
      <c r="M5770">
        <v>0.99970059999999905</v>
      </c>
      <c r="N5770">
        <v>0</v>
      </c>
      <c r="O5770">
        <v>-2.1289720000000002E-2</v>
      </c>
      <c r="P5770">
        <v>0.99917409999999995</v>
      </c>
      <c r="Q5770">
        <v>-1.783324E-2</v>
      </c>
      <c r="R5770">
        <v>3.651778E-2</v>
      </c>
      <c r="S5770">
        <v>2.9964140000000001</v>
      </c>
      <c r="T5770">
        <v>-0.34160699999999999</v>
      </c>
      <c r="U5770">
        <v>-1.5258789999999999E-4</v>
      </c>
      <c r="V5770">
        <v>-5.7786030000000002E-2</v>
      </c>
      <c r="W5770">
        <v>-5.7521250000000003E-3</v>
      </c>
      <c r="X5770">
        <v>0.99831239999999999</v>
      </c>
      <c r="Y5770">
        <v>-2.0966640000000002E-2</v>
      </c>
      <c r="Z5770">
        <v>3.6106369999999999E-3</v>
      </c>
      <c r="AA5770">
        <v>0.99977369999999899</v>
      </c>
      <c r="AB5770">
        <v>16</v>
      </c>
      <c r="AC5770">
        <v>0.65850000000000297</v>
      </c>
      <c r="AD5770">
        <v>-8.3833000000000005E-2</v>
      </c>
      <c r="AE5770">
        <v>1.8699999999967E-3</v>
      </c>
      <c r="AF5770">
        <v>-1.5636449315591699E-2</v>
      </c>
      <c r="AG5770">
        <v>-8.3833000000000005E-2</v>
      </c>
      <c r="AH5770">
        <v>0.64781153398248204</v>
      </c>
      <c r="AI5770">
        <v>97.371518209141001</v>
      </c>
      <c r="AJ5770">
        <v>91.382699409473403</v>
      </c>
      <c r="AK5770">
        <v>0.65340053106569695</v>
      </c>
    </row>
    <row r="5771" spans="1:37" x14ac:dyDescent="0.2">
      <c r="A5771" t="str">
        <f>"20200111160329527"</f>
        <v>20200111160329527</v>
      </c>
      <c r="B5771" t="str">
        <f>"1578729809518435"</f>
        <v>1578729809518435</v>
      </c>
      <c r="C5771" t="s">
        <v>37</v>
      </c>
      <c r="D5771">
        <v>4.986866</v>
      </c>
      <c r="E5771">
        <v>0.51533399999999996</v>
      </c>
      <c r="F5771" t="s">
        <v>42</v>
      </c>
      <c r="G5771">
        <v>-215.9238</v>
      </c>
      <c r="H5771">
        <v>1.013531</v>
      </c>
      <c r="I5771">
        <v>-61.984839999999998</v>
      </c>
      <c r="J5771">
        <v>-216.64279999999999</v>
      </c>
      <c r="K5771">
        <v>1.103982</v>
      </c>
      <c r="L5771">
        <v>-61.9863</v>
      </c>
      <c r="M5771">
        <v>0.99969750000000002</v>
      </c>
      <c r="N5771">
        <v>0</v>
      </c>
      <c r="O5771">
        <v>-2.1538450000000001E-2</v>
      </c>
      <c r="P5771">
        <v>0.99918680000000004</v>
      </c>
      <c r="Q5771">
        <v>-1.7710819999999999E-2</v>
      </c>
      <c r="R5771">
        <v>3.6229520000000001E-2</v>
      </c>
      <c r="S5771">
        <v>2.996445</v>
      </c>
      <c r="T5771">
        <v>-0.34085779999999999</v>
      </c>
      <c r="U5771">
        <v>-8.5449219999999995E-4</v>
      </c>
      <c r="V5771">
        <v>-5.7746970000000002E-2</v>
      </c>
      <c r="W5771">
        <v>-5.8136969999999996E-3</v>
      </c>
      <c r="X5771">
        <v>0.99831429999999999</v>
      </c>
      <c r="Y5771">
        <v>-2.0980660000000002E-2</v>
      </c>
      <c r="Z5771">
        <v>3.631722E-3</v>
      </c>
      <c r="AA5771">
        <v>0.99977329999999998</v>
      </c>
      <c r="AB5771">
        <v>16</v>
      </c>
      <c r="AC5771">
        <v>0.71899999999999398</v>
      </c>
      <c r="AD5771">
        <v>-9.0451000000000004E-2</v>
      </c>
      <c r="AE5771">
        <v>1.4599999999944601E-3</v>
      </c>
      <c r="AF5771">
        <v>-1.6682877927632699E-2</v>
      </c>
      <c r="AG5771">
        <v>-9.0451000000000004E-2</v>
      </c>
      <c r="AH5771">
        <v>0.70760330786051795</v>
      </c>
      <c r="AI5771">
        <v>97.282457020315803</v>
      </c>
      <c r="AJ5771">
        <v>91.3505892882052</v>
      </c>
      <c r="AK5771">
        <v>0.71355598456750002</v>
      </c>
    </row>
    <row r="5772" spans="1:37" x14ac:dyDescent="0.2">
      <c r="A5772" t="str">
        <f>"20200111160329540"</f>
        <v>20200111160329540</v>
      </c>
      <c r="B5772" t="str">
        <f>"1578729809529170"</f>
        <v>1578729809529170</v>
      </c>
      <c r="C5772" t="s">
        <v>37</v>
      </c>
      <c r="D5772">
        <v>4.9546729999999997</v>
      </c>
      <c r="E5772">
        <v>0.51534440000000004</v>
      </c>
      <c r="F5772" t="s">
        <v>42</v>
      </c>
      <c r="G5772">
        <v>-215.91980000000001</v>
      </c>
      <c r="H5772">
        <v>1.021976</v>
      </c>
      <c r="I5772">
        <v>-61.986919999999998</v>
      </c>
      <c r="J5772">
        <v>-216.55969999999999</v>
      </c>
      <c r="K5772">
        <v>1.10395</v>
      </c>
      <c r="L5772">
        <v>-61.988399999999999</v>
      </c>
      <c r="M5772">
        <v>0.99969399999999997</v>
      </c>
      <c r="N5772">
        <v>0</v>
      </c>
      <c r="O5772">
        <v>-2.180936E-2</v>
      </c>
      <c r="P5772">
        <v>0.99920089999999995</v>
      </c>
      <c r="Q5772">
        <v>-1.7526730000000001E-2</v>
      </c>
      <c r="R5772">
        <v>3.592302E-2</v>
      </c>
      <c r="S5772">
        <v>2.996445</v>
      </c>
      <c r="T5772">
        <v>-0.339734599999999</v>
      </c>
      <c r="U5772">
        <v>-1.6784669999999999E-3</v>
      </c>
      <c r="V5772">
        <v>-5.771126E-2</v>
      </c>
      <c r="W5772">
        <v>-5.8391149999999998E-3</v>
      </c>
      <c r="X5772">
        <v>0.99831619999999999</v>
      </c>
      <c r="Y5772">
        <v>-2.0976700000000001E-2</v>
      </c>
      <c r="Z5772">
        <v>3.6502119999999999E-3</v>
      </c>
      <c r="AA5772">
        <v>0.99977329999999998</v>
      </c>
      <c r="AB5772">
        <v>16</v>
      </c>
      <c r="AC5772">
        <v>0.63989999999998204</v>
      </c>
      <c r="AD5772">
        <v>-8.1973999999999894E-2</v>
      </c>
      <c r="AE5772">
        <v>1.4800000000008101E-3</v>
      </c>
      <c r="AF5772">
        <v>-1.51871768851288E-2</v>
      </c>
      <c r="AG5772">
        <v>-8.1973999999999894E-2</v>
      </c>
      <c r="AH5772">
        <v>0.62938685183406096</v>
      </c>
      <c r="AI5772">
        <v>97.418536573381502</v>
      </c>
      <c r="AJ5772">
        <v>91.382285485148799</v>
      </c>
      <c r="AK5772">
        <v>0.63488439599609803</v>
      </c>
    </row>
    <row r="5773" spans="1:37" x14ac:dyDescent="0.2">
      <c r="A5773" t="str">
        <f>"20200111160329553"</f>
        <v>20200111160329553</v>
      </c>
      <c r="B5773" t="str">
        <f>"1578729809548690"</f>
        <v>1578729809548690</v>
      </c>
      <c r="C5773" t="s">
        <v>37</v>
      </c>
      <c r="D5773">
        <v>4.9511010000000004</v>
      </c>
      <c r="E5773">
        <v>0.5153356</v>
      </c>
      <c r="F5773" t="s">
        <v>42</v>
      </c>
      <c r="G5773">
        <v>-215.78219999999999</v>
      </c>
      <c r="H5773">
        <v>1.0160750000000001</v>
      </c>
      <c r="I5773">
        <v>-61.989199999999997</v>
      </c>
      <c r="J5773">
        <v>-216.46459999999999</v>
      </c>
      <c r="K5773">
        <v>1.1039129999999999</v>
      </c>
      <c r="L5773">
        <v>-61.990809999999897</v>
      </c>
      <c r="M5773">
        <v>0.99969010000000003</v>
      </c>
      <c r="N5773">
        <v>0</v>
      </c>
      <c r="O5773">
        <v>-2.2119299999999901E-2</v>
      </c>
      <c r="P5773">
        <v>0.99920789999999904</v>
      </c>
      <c r="Q5773">
        <v>-1.7300260000000001E-2</v>
      </c>
      <c r="R5773">
        <v>3.5838710000000003E-2</v>
      </c>
      <c r="S5773">
        <v>2.99656699999999</v>
      </c>
      <c r="T5773">
        <v>-0.33865200000000001</v>
      </c>
      <c r="U5773">
        <v>-2.7160639999999998E-3</v>
      </c>
      <c r="V5773">
        <v>-5.7936889999999998E-2</v>
      </c>
      <c r="W5773">
        <v>-5.8572900000000002E-3</v>
      </c>
      <c r="X5773">
        <v>0.998303099999999</v>
      </c>
      <c r="Y5773">
        <v>-2.0940469999999999E-2</v>
      </c>
      <c r="Z5773">
        <v>3.6713700000000002E-3</v>
      </c>
      <c r="AA5773">
        <v>0.99977399999999905</v>
      </c>
      <c r="AB5773">
        <v>16</v>
      </c>
      <c r="AC5773">
        <v>0.68240000000000101</v>
      </c>
      <c r="AD5773">
        <v>-8.7837999999999805E-2</v>
      </c>
      <c r="AE5773">
        <v>1.60999999999944E-3</v>
      </c>
      <c r="AF5773">
        <v>-1.64325376362086E-2</v>
      </c>
      <c r="AG5773">
        <v>-8.7837999999999805E-2</v>
      </c>
      <c r="AH5773">
        <v>0.67107860924754703</v>
      </c>
      <c r="AI5773">
        <v>97.454886412193403</v>
      </c>
      <c r="AJ5773">
        <v>91.402707417725793</v>
      </c>
      <c r="AK5773">
        <v>0.67700224691413502</v>
      </c>
    </row>
    <row r="5774" spans="1:37" x14ac:dyDescent="0.2">
      <c r="A5774" t="str">
        <f>"20200111160329565"</f>
        <v>20200111160329565</v>
      </c>
      <c r="B5774" t="str">
        <f>"1578729809558450"</f>
        <v>1578729809558450</v>
      </c>
      <c r="C5774" t="s">
        <v>37</v>
      </c>
      <c r="D5774">
        <v>4.9982530000000001</v>
      </c>
      <c r="E5774">
        <v>0.51524809999999999</v>
      </c>
      <c r="F5774" t="s">
        <v>42</v>
      </c>
      <c r="G5774">
        <v>-215.64340000000001</v>
      </c>
      <c r="H5774">
        <v>1.011368</v>
      </c>
      <c r="I5774">
        <v>-61.991790000000002</v>
      </c>
      <c r="J5774">
        <v>-216.37799999999999</v>
      </c>
      <c r="K5774">
        <v>1.1038790000000001</v>
      </c>
      <c r="L5774">
        <v>-61.993040000000001</v>
      </c>
      <c r="M5774">
        <v>0.99968650000000003</v>
      </c>
      <c r="N5774">
        <v>0</v>
      </c>
      <c r="O5774">
        <v>-2.2401339999999999E-2</v>
      </c>
      <c r="P5774">
        <v>0.99922009999999895</v>
      </c>
      <c r="Q5774">
        <v>-1.6887530000000001E-2</v>
      </c>
      <c r="R5774">
        <v>3.569804E-2</v>
      </c>
      <c r="S5774">
        <v>2.9966430000000002</v>
      </c>
      <c r="T5774">
        <v>-0.33760770000000001</v>
      </c>
      <c r="U5774">
        <v>-3.0212400000000001E-3</v>
      </c>
      <c r="V5774">
        <v>-5.8077860000000002E-2</v>
      </c>
      <c r="W5774">
        <v>-5.6748409999999999E-3</v>
      </c>
      <c r="X5774">
        <v>0.99829590000000001</v>
      </c>
      <c r="Y5774">
        <v>-2.111946E-2</v>
      </c>
      <c r="Z5774">
        <v>3.7017409999999902E-3</v>
      </c>
      <c r="AA5774">
        <v>0.999770099999999</v>
      </c>
      <c r="AB5774">
        <v>16</v>
      </c>
      <c r="AC5774">
        <v>0.73459999999997105</v>
      </c>
      <c r="AD5774">
        <v>-9.2510999999999996E-2</v>
      </c>
      <c r="AE5774">
        <v>1.2499999999988601E-3</v>
      </c>
      <c r="AF5774">
        <v>-1.7430307674396298E-2</v>
      </c>
      <c r="AG5774">
        <v>-9.2510999999999996E-2</v>
      </c>
      <c r="AH5774">
        <v>0.72292259530656899</v>
      </c>
      <c r="AI5774">
        <v>97.290299672614196</v>
      </c>
      <c r="AJ5774">
        <v>91.381184674758202</v>
      </c>
      <c r="AK5774">
        <v>0.72902618577895395</v>
      </c>
    </row>
    <row r="5775" spans="1:37" x14ac:dyDescent="0.2">
      <c r="A5775" t="str">
        <f>"20200111160329576"</f>
        <v>20200111160329576</v>
      </c>
      <c r="B5775" t="str">
        <f>"1578729809569186"</f>
        <v>1578729809569186</v>
      </c>
      <c r="C5775" t="s">
        <v>37</v>
      </c>
      <c r="D5775">
        <v>4.9565630000000001</v>
      </c>
      <c r="E5775">
        <v>0.5153162</v>
      </c>
      <c r="F5775" t="s">
        <v>42</v>
      </c>
      <c r="G5775">
        <v>-215.63890000000001</v>
      </c>
      <c r="H5775">
        <v>1.0209250000000001</v>
      </c>
      <c r="I5775">
        <v>-61.993869999999902</v>
      </c>
      <c r="J5775">
        <v>-216.29949999999999</v>
      </c>
      <c r="K5775">
        <v>1.1038429999999999</v>
      </c>
      <c r="L5775">
        <v>-61.995119999999901</v>
      </c>
      <c r="M5775">
        <v>0.99968310000000005</v>
      </c>
      <c r="N5775">
        <v>0</v>
      </c>
      <c r="O5775">
        <v>-2.2657030000000002E-2</v>
      </c>
      <c r="P5775">
        <v>0.99923209999999996</v>
      </c>
      <c r="Q5775">
        <v>-1.6595120000000001E-2</v>
      </c>
      <c r="R5775">
        <v>3.5501530000000003E-2</v>
      </c>
      <c r="S5775">
        <v>2.9967649999999999</v>
      </c>
      <c r="T5775">
        <v>-0.33625459999999902</v>
      </c>
      <c r="U5775">
        <v>-2.746582E-3</v>
      </c>
      <c r="V5775">
        <v>-5.8136920000000002E-2</v>
      </c>
      <c r="W5775">
        <v>-5.5970940000000004E-3</v>
      </c>
      <c r="X5775">
        <v>0.99829290000000004</v>
      </c>
      <c r="Y5775">
        <v>-2.146524E-2</v>
      </c>
      <c r="Z5775">
        <v>3.7347779999999998E-3</v>
      </c>
      <c r="AA5775">
        <v>0.99976259999999995</v>
      </c>
      <c r="AB5775">
        <v>16</v>
      </c>
      <c r="AC5775">
        <v>0.66059999999998797</v>
      </c>
      <c r="AD5775">
        <v>-8.2918000000000006E-2</v>
      </c>
      <c r="AE5775">
        <v>1.2499999999988601E-3</v>
      </c>
      <c r="AF5775">
        <v>-1.59662650823332E-2</v>
      </c>
      <c r="AG5775">
        <v>-8.2918000000000006E-2</v>
      </c>
      <c r="AH5775">
        <v>0.65015881355789995</v>
      </c>
      <c r="AI5775">
        <v>97.265814193489604</v>
      </c>
      <c r="AJ5775">
        <v>91.4067574801159</v>
      </c>
      <c r="AK5775">
        <v>0.655619401170905</v>
      </c>
    </row>
    <row r="5776" spans="1:37" x14ac:dyDescent="0.2">
      <c r="A5776" t="str">
        <f>"20200111160329587"</f>
        <v>20200111160329587</v>
      </c>
      <c r="B5776" t="str">
        <f>"1578729809578946"</f>
        <v>1578729809578946</v>
      </c>
      <c r="C5776" t="s">
        <v>37</v>
      </c>
      <c r="D5776">
        <v>4.8447009999999997</v>
      </c>
      <c r="E5776">
        <v>0.5153162</v>
      </c>
      <c r="F5776" t="s">
        <v>42</v>
      </c>
      <c r="G5776">
        <v>-215.50030000000001</v>
      </c>
      <c r="H5776">
        <v>1.0141990000000001</v>
      </c>
      <c r="I5776">
        <v>-61.996229999999997</v>
      </c>
      <c r="J5776">
        <v>-216.21449999999999</v>
      </c>
      <c r="K5776">
        <v>1.1038110000000001</v>
      </c>
      <c r="L5776">
        <v>-61.997340000000001</v>
      </c>
      <c r="M5776">
        <v>0.99967929999999905</v>
      </c>
      <c r="N5776">
        <v>0</v>
      </c>
      <c r="O5776">
        <v>-2.2933729999999999E-2</v>
      </c>
      <c r="P5776">
        <v>0.99922819999999901</v>
      </c>
      <c r="Q5776">
        <v>-1.6498970000000002E-2</v>
      </c>
      <c r="R5776">
        <v>3.5651370000000002E-2</v>
      </c>
      <c r="S5776">
        <v>2.9968720000000002</v>
      </c>
      <c r="T5776">
        <v>-0.33608440000000001</v>
      </c>
      <c r="U5776">
        <v>-3.8757319999999998E-3</v>
      </c>
      <c r="V5776">
        <v>-5.8562429999999999E-2</v>
      </c>
      <c r="W5776">
        <v>-5.7363730000000003E-3</v>
      </c>
      <c r="X5776">
        <v>0.99826729999999997</v>
      </c>
      <c r="Y5776">
        <v>-2.1364439999999998E-2</v>
      </c>
      <c r="Z5776">
        <v>3.758052E-3</v>
      </c>
      <c r="AA5776">
        <v>0.99976469999999995</v>
      </c>
      <c r="AB5776">
        <v>16</v>
      </c>
      <c r="AC5776">
        <v>0.71419999999997597</v>
      </c>
      <c r="AD5776">
        <v>-8.9611999999999997E-2</v>
      </c>
      <c r="AE5776">
        <v>1.10999999999705E-3</v>
      </c>
      <c r="AF5776">
        <v>-1.72188438517176E-2</v>
      </c>
      <c r="AG5776">
        <v>-8.9611999999999997E-2</v>
      </c>
      <c r="AH5776">
        <v>0.70292049491022202</v>
      </c>
      <c r="AI5776">
        <v>97.263021724646507</v>
      </c>
      <c r="AJ5776">
        <v>91.403245211097797</v>
      </c>
      <c r="AK5776">
        <v>0.70881875066368105</v>
      </c>
    </row>
    <row r="5777" spans="1:37" x14ac:dyDescent="0.2">
      <c r="A5777" t="str">
        <f>"20200111160329600"</f>
        <v>20200111160329600</v>
      </c>
      <c r="B5777" t="str">
        <f>"1578729809588706"</f>
        <v>1578729809588706</v>
      </c>
      <c r="C5777" t="s">
        <v>37</v>
      </c>
      <c r="D5777">
        <v>4.9922599999999999</v>
      </c>
      <c r="E5777">
        <v>0.54328449999999995</v>
      </c>
      <c r="F5777" t="s">
        <v>42</v>
      </c>
      <c r="G5777">
        <v>-215.49599999999899</v>
      </c>
      <c r="H5777">
        <v>1.0232950000000001</v>
      </c>
      <c r="I5777">
        <v>-61.998249999999999</v>
      </c>
      <c r="J5777">
        <v>-216.1344</v>
      </c>
      <c r="K5777">
        <v>1.103775</v>
      </c>
      <c r="L5777">
        <v>-61.999479999999998</v>
      </c>
      <c r="M5777">
        <v>0.9996758</v>
      </c>
      <c r="N5777">
        <v>0</v>
      </c>
      <c r="O5777">
        <v>-2.3195770000000001E-2</v>
      </c>
      <c r="P5777">
        <v>0.99924460000000004</v>
      </c>
      <c r="Q5777">
        <v>-1.61383999999999E-2</v>
      </c>
      <c r="R5777">
        <v>3.5353999999999997E-2</v>
      </c>
      <c r="S5777">
        <v>2.996918</v>
      </c>
      <c r="T5777">
        <v>-0.33576469999999897</v>
      </c>
      <c r="U5777">
        <v>-3.4484859999999902E-3</v>
      </c>
      <c r="V5777">
        <v>-5.8527719999999998E-2</v>
      </c>
      <c r="W5777">
        <v>-5.6144599999999999E-3</v>
      </c>
      <c r="X5777">
        <v>0.99826999999999999</v>
      </c>
      <c r="Y5777">
        <v>-2.1765380000000001E-2</v>
      </c>
      <c r="Z5777">
        <v>3.8060899999999998E-3</v>
      </c>
      <c r="AA5777">
        <v>0.99975590000000003</v>
      </c>
      <c r="AB5777">
        <v>16</v>
      </c>
      <c r="AC5777">
        <v>0.63840000000001795</v>
      </c>
      <c r="AD5777">
        <v>-8.0479999999999802E-2</v>
      </c>
      <c r="AE5777">
        <v>1.2300000000067201E-3</v>
      </c>
      <c r="AF5777">
        <v>-1.5787760100357501E-2</v>
      </c>
      <c r="AG5777">
        <v>-8.0479999999999802E-2</v>
      </c>
      <c r="AH5777">
        <v>0.628215845679018</v>
      </c>
      <c r="AI5777">
        <v>97.298052073124097</v>
      </c>
      <c r="AJ5777">
        <v>91.439603387551102</v>
      </c>
      <c r="AK5777">
        <v>0.63354670903666599</v>
      </c>
    </row>
    <row r="5778" spans="1:37" x14ac:dyDescent="0.2">
      <c r="A5778" t="str">
        <f>"20200111160329616"</f>
        <v>20200111160329616</v>
      </c>
      <c r="B5778" t="str">
        <f>"1578729809609202"</f>
        <v>1578729809609202</v>
      </c>
      <c r="C5778" t="s">
        <v>37</v>
      </c>
      <c r="D5778">
        <v>4.99437</v>
      </c>
      <c r="E5778">
        <v>0.54625469999999998</v>
      </c>
      <c r="F5778" t="s">
        <v>42</v>
      </c>
      <c r="G5778">
        <v>-215.38849999999999</v>
      </c>
      <c r="H5778">
        <v>0.95532009999999901</v>
      </c>
      <c r="I5778">
        <v>-62.053569999999901</v>
      </c>
      <c r="J5778">
        <v>-216.01949999999999</v>
      </c>
      <c r="K5778">
        <v>1.1037269999999999</v>
      </c>
      <c r="L5778">
        <v>-62.002559999999903</v>
      </c>
      <c r="M5778">
        <v>0.99967070000000002</v>
      </c>
      <c r="N5778">
        <v>0</v>
      </c>
      <c r="O5778">
        <v>-2.3572249999999999E-2</v>
      </c>
      <c r="P5778">
        <v>0.99925200000000003</v>
      </c>
      <c r="Q5778">
        <v>-1.568373E-2</v>
      </c>
      <c r="R5778">
        <v>3.5352330000000001E-2</v>
      </c>
      <c r="S5778">
        <v>3.0002749999999998</v>
      </c>
      <c r="T5778">
        <v>-0.59702119999999903</v>
      </c>
      <c r="U5778">
        <v>-0.21673579999999901</v>
      </c>
      <c r="V5778">
        <v>-5.8901889999999998E-2</v>
      </c>
      <c r="W5778">
        <v>-5.5197659999999997E-3</v>
      </c>
      <c r="X5778">
        <v>0.99824849999999998</v>
      </c>
      <c r="Y5778">
        <v>4.8041590000000002E-2</v>
      </c>
      <c r="Z5778" s="1">
        <v>-8.9341309999999897E-5</v>
      </c>
      <c r="AA5778">
        <v>0.99884530000000005</v>
      </c>
      <c r="AB5778">
        <v>16</v>
      </c>
      <c r="AC5778">
        <v>0.63100000000000001</v>
      </c>
      <c r="AD5778">
        <v>-0.14840690000000001</v>
      </c>
      <c r="AE5778">
        <v>-5.1009999999998001E-2</v>
      </c>
      <c r="AF5778">
        <v>3.42392919930836E-2</v>
      </c>
      <c r="AG5778">
        <v>-0.14840690000000001</v>
      </c>
      <c r="AH5778">
        <v>0.59910244624526199</v>
      </c>
      <c r="AI5778">
        <v>103.891191633023</v>
      </c>
      <c r="AJ5778">
        <v>86.729048179693507</v>
      </c>
      <c r="AK5778">
        <v>0.61815910426107501</v>
      </c>
    </row>
    <row r="5779" spans="1:37" x14ac:dyDescent="0.2">
      <c r="A5779" t="str">
        <f>"20200111160329626"</f>
        <v>20200111160329626</v>
      </c>
      <c r="B5779" t="str">
        <f>"1578729809618962"</f>
        <v>1578729809618962</v>
      </c>
      <c r="C5779" t="s">
        <v>37</v>
      </c>
      <c r="D5779">
        <v>4.8640169999999996</v>
      </c>
      <c r="E5779">
        <v>0.54783870000000001</v>
      </c>
      <c r="F5779" t="s">
        <v>42</v>
      </c>
      <c r="G5779">
        <v>-215.25720000000001</v>
      </c>
      <c r="H5779">
        <v>0.9295504</v>
      </c>
      <c r="I5779">
        <v>-62.062769999999901</v>
      </c>
      <c r="J5779">
        <v>-215.93539999999999</v>
      </c>
      <c r="K5779">
        <v>1.1036840000000001</v>
      </c>
      <c r="L5779">
        <v>-62.00488</v>
      </c>
      <c r="M5779">
        <v>0.99966690000000002</v>
      </c>
      <c r="N5779">
        <v>0</v>
      </c>
      <c r="O5779">
        <v>-2.3848210000000002E-2</v>
      </c>
      <c r="P5779">
        <v>0.99926499999999996</v>
      </c>
      <c r="Q5779">
        <v>-1.504486E-2</v>
      </c>
      <c r="R5779">
        <v>3.5257860000000002E-2</v>
      </c>
      <c r="S5779">
        <v>2.9998469999999999</v>
      </c>
      <c r="T5779">
        <v>-0.68543759999999998</v>
      </c>
      <c r="U5779">
        <v>-0.23654169999999999</v>
      </c>
      <c r="V5779">
        <v>-5.9082879999999997E-2</v>
      </c>
      <c r="W5779">
        <v>-5.1604370000000004E-3</v>
      </c>
      <c r="X5779">
        <v>0.99823980000000001</v>
      </c>
      <c r="Y5779">
        <v>5.4036380000000002E-2</v>
      </c>
      <c r="Z5779">
        <v>-7.1539960000000001E-4</v>
      </c>
      <c r="AA5779">
        <v>0.998538699999999</v>
      </c>
      <c r="AB5779">
        <v>16</v>
      </c>
      <c r="AC5779">
        <v>0.67819999999997505</v>
      </c>
      <c r="AD5779">
        <v>-0.1741336</v>
      </c>
      <c r="AE5779">
        <v>-5.7889999999986202E-2</v>
      </c>
      <c r="AF5779">
        <v>3.9137422278047403E-2</v>
      </c>
      <c r="AG5779">
        <v>-0.1741336</v>
      </c>
      <c r="AH5779">
        <v>0.63765448662511504</v>
      </c>
      <c r="AI5779">
        <v>105.246818649471</v>
      </c>
      <c r="AJ5779">
        <v>86.487753670470994</v>
      </c>
      <c r="AK5779">
        <v>0.66216122869333705</v>
      </c>
    </row>
    <row r="5780" spans="1:37" x14ac:dyDescent="0.2">
      <c r="A5780" t="str">
        <f>"20200111160329639"</f>
        <v>20200111160329639</v>
      </c>
      <c r="B5780" t="str">
        <f>"1578729809628722"</f>
        <v>1578729809628722</v>
      </c>
      <c r="C5780" t="s">
        <v>37</v>
      </c>
      <c r="D5780">
        <v>4.9897640000000001</v>
      </c>
      <c r="E5780">
        <v>0.54778470000000001</v>
      </c>
      <c r="F5780" t="s">
        <v>42</v>
      </c>
      <c r="G5780">
        <v>-215.25030000000001</v>
      </c>
      <c r="H5780">
        <v>0.94413999999999998</v>
      </c>
      <c r="I5780">
        <v>-62.061819999999997</v>
      </c>
      <c r="J5780">
        <v>-215.8537</v>
      </c>
      <c r="K5780">
        <v>1.1036429999999999</v>
      </c>
      <c r="L5780">
        <v>-62.007109999999997</v>
      </c>
      <c r="M5780">
        <v>0.99966319999999997</v>
      </c>
      <c r="N5780">
        <v>0</v>
      </c>
      <c r="O5780">
        <v>-2.4117119999999999E-2</v>
      </c>
      <c r="P5780">
        <v>0.99926700000000002</v>
      </c>
      <c r="Q5780">
        <v>-1.4697139999999999E-2</v>
      </c>
      <c r="R5780">
        <v>3.5349980000000003E-2</v>
      </c>
      <c r="S5780">
        <v>3.0004580000000001</v>
      </c>
      <c r="T5780">
        <v>-0.69869019999999904</v>
      </c>
      <c r="U5780">
        <v>-0.24893189999999901</v>
      </c>
      <c r="V5780">
        <v>-5.9443219999999998E-2</v>
      </c>
      <c r="W5780">
        <v>-5.1049620000000002E-3</v>
      </c>
      <c r="X5780">
        <v>0.99821870000000001</v>
      </c>
      <c r="Y5780">
        <v>5.7728090000000003E-2</v>
      </c>
      <c r="Z5780">
        <v>-1.090501E-3</v>
      </c>
      <c r="AA5780">
        <v>0.99833169999999904</v>
      </c>
      <c r="AB5780">
        <v>16</v>
      </c>
      <c r="AC5780">
        <v>0.60339999999999305</v>
      </c>
      <c r="AD5780">
        <v>-0.15950299999999901</v>
      </c>
      <c r="AE5780">
        <v>-5.4710000000000002E-2</v>
      </c>
      <c r="AF5780">
        <v>3.7539435638707402E-2</v>
      </c>
      <c r="AG5780">
        <v>-0.15950299999999901</v>
      </c>
      <c r="AH5780">
        <v>0.56536102695495205</v>
      </c>
      <c r="AI5780">
        <v>105.72223189401301</v>
      </c>
      <c r="AJ5780">
        <v>86.201190840869103</v>
      </c>
      <c r="AK5780">
        <v>0.588628496622981</v>
      </c>
    </row>
    <row r="5781" spans="1:37" x14ac:dyDescent="0.2">
      <c r="A5781" t="str">
        <f>"20200111160329653"</f>
        <v>20200111160329653</v>
      </c>
      <c r="B5781" t="str">
        <f>"1578729809649218"</f>
        <v>1578729809649218</v>
      </c>
      <c r="C5781" t="s">
        <v>37</v>
      </c>
      <c r="D5781">
        <v>4.8424800000000001</v>
      </c>
      <c r="E5781">
        <v>0.54858339999999906</v>
      </c>
      <c r="F5781" t="s">
        <v>42</v>
      </c>
      <c r="G5781">
        <v>-215.11279999999999</v>
      </c>
      <c r="H5781">
        <v>0.92859879999999995</v>
      </c>
      <c r="I5781">
        <v>-62.06841</v>
      </c>
      <c r="J5781">
        <v>-215.7587</v>
      </c>
      <c r="K5781">
        <v>1.1035919999999999</v>
      </c>
      <c r="L5781">
        <v>-62.009740000000001</v>
      </c>
      <c r="M5781">
        <v>0.99965910000000002</v>
      </c>
      <c r="N5781">
        <v>0</v>
      </c>
      <c r="O5781">
        <v>-2.443027E-2</v>
      </c>
      <c r="P5781">
        <v>0.99927160000000004</v>
      </c>
      <c r="Q5781">
        <v>-1.4218450000000001E-2</v>
      </c>
      <c r="R5781">
        <v>3.5418079999999998E-2</v>
      </c>
      <c r="S5781">
        <v>3.0005189999999899</v>
      </c>
      <c r="T5781">
        <v>-0.70882579999999995</v>
      </c>
      <c r="U5781">
        <v>-0.24774169999999901</v>
      </c>
      <c r="V5781">
        <v>-5.9824049999999997E-2</v>
      </c>
      <c r="W5781">
        <v>-4.9743799999999996E-3</v>
      </c>
      <c r="X5781">
        <v>0.99819650000000004</v>
      </c>
      <c r="Y5781">
        <v>5.702256E-2</v>
      </c>
      <c r="Z5781">
        <v>-9.5103539999999995E-4</v>
      </c>
      <c r="AA5781">
        <v>0.99837240000000005</v>
      </c>
      <c r="AB5781">
        <v>16</v>
      </c>
      <c r="AC5781">
        <v>0.64590000000001102</v>
      </c>
      <c r="AD5781">
        <v>-0.17499319999999899</v>
      </c>
      <c r="AE5781">
        <v>-5.8669999999999299E-2</v>
      </c>
      <c r="AF5781">
        <v>3.996292684128E-2</v>
      </c>
      <c r="AG5781">
        <v>-0.17499319999999899</v>
      </c>
      <c r="AH5781">
        <v>0.60322464570032597</v>
      </c>
      <c r="AI5781">
        <v>106.143706409244</v>
      </c>
      <c r="AJ5781">
        <v>86.209760187898596</v>
      </c>
      <c r="AK5781">
        <v>0.62936446416066805</v>
      </c>
    </row>
    <row r="5782" spans="1:37" x14ac:dyDescent="0.2">
      <c r="A5782" t="str">
        <f>"20200111160329664"</f>
        <v>20200111160329664</v>
      </c>
      <c r="B5782" t="str">
        <f>"1578729809658978"</f>
        <v>1578729809658978</v>
      </c>
      <c r="C5782" t="s">
        <v>37</v>
      </c>
      <c r="D5782">
        <v>4.9085679999999998</v>
      </c>
      <c r="E5782">
        <v>0.54846159999999999</v>
      </c>
      <c r="F5782" t="s">
        <v>42</v>
      </c>
      <c r="G5782">
        <v>-214.97280000000001</v>
      </c>
      <c r="H5782">
        <v>0.91506390000000004</v>
      </c>
      <c r="I5782">
        <v>-62.076309999999999</v>
      </c>
      <c r="J5782">
        <v>-215.66540000000001</v>
      </c>
      <c r="K5782">
        <v>1.1035409999999899</v>
      </c>
      <c r="L5782">
        <v>-62.012360000000001</v>
      </c>
      <c r="M5782">
        <v>0.99965469999999901</v>
      </c>
      <c r="N5782">
        <v>0</v>
      </c>
      <c r="O5782">
        <v>-2.473819E-2</v>
      </c>
      <c r="P5782">
        <v>0.99927940000000004</v>
      </c>
      <c r="Q5782">
        <v>-1.3517349999999999E-2</v>
      </c>
      <c r="R5782">
        <v>3.5471040000000002E-2</v>
      </c>
      <c r="S5782">
        <v>3.000931</v>
      </c>
      <c r="T5782">
        <v>-0.71981490000000004</v>
      </c>
      <c r="U5782">
        <v>-0.25372309999999998</v>
      </c>
      <c r="V5782">
        <v>-6.0184460000000002E-2</v>
      </c>
      <c r="W5782">
        <v>-4.6306940000000003E-3</v>
      </c>
      <c r="X5782">
        <v>0.99817649999999902</v>
      </c>
      <c r="Y5782">
        <v>5.8616759999999997E-2</v>
      </c>
      <c r="Z5782">
        <v>-1.080775E-3</v>
      </c>
      <c r="AA5782">
        <v>0.99827999999999995</v>
      </c>
      <c r="AB5782">
        <v>16</v>
      </c>
      <c r="AC5782">
        <v>0.692599999999998</v>
      </c>
      <c r="AD5782">
        <v>-0.18847709999999901</v>
      </c>
      <c r="AE5782">
        <v>-6.3949999999998397E-2</v>
      </c>
      <c r="AF5782">
        <v>4.3594966377389799E-2</v>
      </c>
      <c r="AG5782">
        <v>-0.18847709999999901</v>
      </c>
      <c r="AH5782">
        <v>0.64649859388659203</v>
      </c>
      <c r="AI5782">
        <v>106.2183733933</v>
      </c>
      <c r="AJ5782">
        <v>86.142246947702304</v>
      </c>
      <c r="AK5782">
        <v>0.67482188036191904</v>
      </c>
    </row>
    <row r="5783" spans="1:37" x14ac:dyDescent="0.2">
      <c r="A5783" t="str">
        <f>"20200111160329677"</f>
        <v>20200111160329677</v>
      </c>
      <c r="B5783" t="str">
        <f>"1578729809668738"</f>
        <v>1578729809668738</v>
      </c>
      <c r="C5783" t="s">
        <v>37</v>
      </c>
      <c r="D5783">
        <v>4.8914739999999997</v>
      </c>
      <c r="E5783">
        <v>0.54849740000000002</v>
      </c>
      <c r="F5783" t="s">
        <v>42</v>
      </c>
      <c r="G5783">
        <v>-214.96360000000001</v>
      </c>
      <c r="H5783">
        <v>0.93468009999999901</v>
      </c>
      <c r="I5783">
        <v>-62.0715</v>
      </c>
      <c r="J5783">
        <v>-215.57249999999999</v>
      </c>
      <c r="K5783">
        <v>1.1034930000000001</v>
      </c>
      <c r="L5783">
        <v>-62.015009999999997</v>
      </c>
      <c r="M5783">
        <v>0.99965009999999999</v>
      </c>
      <c r="N5783">
        <v>0</v>
      </c>
      <c r="O5783">
        <v>-2.50446E-2</v>
      </c>
      <c r="P5783">
        <v>0.99928700000000004</v>
      </c>
      <c r="Q5783">
        <v>-1.2616769999999999E-2</v>
      </c>
      <c r="R5783">
        <v>3.5580519999999997E-2</v>
      </c>
      <c r="S5783">
        <v>3.0013730000000001</v>
      </c>
      <c r="T5783">
        <v>-0.72205850000000005</v>
      </c>
      <c r="U5783">
        <v>-0.25241089999999999</v>
      </c>
      <c r="V5783">
        <v>-6.0599170000000001E-2</v>
      </c>
      <c r="W5783">
        <v>-4.0917319999999998E-3</v>
      </c>
      <c r="X5783">
        <v>0.99815379999999998</v>
      </c>
      <c r="Y5783">
        <v>5.7888750000000003E-2</v>
      </c>
      <c r="Z5783">
        <v>-9.2522800000000005E-4</v>
      </c>
      <c r="AA5783">
        <v>0.99832259999999995</v>
      </c>
      <c r="AB5783">
        <v>16</v>
      </c>
      <c r="AC5783">
        <v>0.60889999999997702</v>
      </c>
      <c r="AD5783">
        <v>-0.16881289999999999</v>
      </c>
      <c r="AE5783">
        <v>-5.6490000000003697E-2</v>
      </c>
      <c r="AF5783">
        <v>3.8303090186240597E-2</v>
      </c>
      <c r="AG5783">
        <v>-0.16881289999999999</v>
      </c>
      <c r="AH5783">
        <v>0.56692027642193499</v>
      </c>
      <c r="AI5783">
        <v>106.546396600994</v>
      </c>
      <c r="AJ5783">
        <v>86.134773633405203</v>
      </c>
      <c r="AK5783">
        <v>0.59275924433326999</v>
      </c>
    </row>
    <row r="5784" spans="1:37" x14ac:dyDescent="0.2">
      <c r="A5784" t="str">
        <f>"20200111160329690"</f>
        <v>20200111160329690</v>
      </c>
      <c r="B5784" t="str">
        <f>"1578729809678498"</f>
        <v>1578729809678498</v>
      </c>
      <c r="C5784" t="s">
        <v>37</v>
      </c>
      <c r="D5784">
        <v>5.0123350000000002</v>
      </c>
      <c r="E5784">
        <v>0.54837139999999995</v>
      </c>
      <c r="F5784" t="s">
        <v>42</v>
      </c>
      <c r="G5784">
        <v>-214.82140000000001</v>
      </c>
      <c r="H5784">
        <v>0.92277319999999996</v>
      </c>
      <c r="I5784">
        <v>-62.078169999999901</v>
      </c>
      <c r="J5784">
        <v>-215.4785</v>
      </c>
      <c r="K5784">
        <v>1.10344</v>
      </c>
      <c r="L5784">
        <v>-62.017699999999998</v>
      </c>
      <c r="M5784">
        <v>0.99964549999999996</v>
      </c>
      <c r="N5784">
        <v>0</v>
      </c>
      <c r="O5784">
        <v>-2.5354850000000002E-2</v>
      </c>
      <c r="P5784">
        <v>0.99930049999999904</v>
      </c>
      <c r="Q5784">
        <v>-1.211009E-2</v>
      </c>
      <c r="R5784">
        <v>3.5380710000000003E-2</v>
      </c>
      <c r="S5784">
        <v>3.0019990000000001</v>
      </c>
      <c r="T5784">
        <v>-0.72230609999999995</v>
      </c>
      <c r="U5784">
        <v>-0.25213619999999998</v>
      </c>
      <c r="V5784">
        <v>-6.0710100000000003E-2</v>
      </c>
      <c r="W5784">
        <v>-3.9537679999999999E-3</v>
      </c>
      <c r="X5784">
        <v>0.99814760000000002</v>
      </c>
      <c r="Y5784">
        <v>5.749075E-2</v>
      </c>
      <c r="Z5784">
        <v>-8.0481819999999996E-4</v>
      </c>
      <c r="AA5784">
        <v>0.9983457</v>
      </c>
      <c r="AB5784">
        <v>16</v>
      </c>
      <c r="AC5784">
        <v>0.65709999999998503</v>
      </c>
      <c r="AD5784">
        <v>-0.18066679999999999</v>
      </c>
      <c r="AE5784">
        <v>-6.0469999999995097E-2</v>
      </c>
      <c r="AF5784">
        <v>4.0735770846408503E-2</v>
      </c>
      <c r="AG5784">
        <v>-0.18066679999999999</v>
      </c>
      <c r="AH5784">
        <v>0.61250819498062803</v>
      </c>
      <c r="AI5784">
        <v>106.399793440325</v>
      </c>
      <c r="AJ5784">
        <v>86.195062036193704</v>
      </c>
      <c r="AK5784">
        <v>0.63989544815314803</v>
      </c>
    </row>
    <row r="5785" spans="1:37" x14ac:dyDescent="0.2">
      <c r="A5785" t="str">
        <f>"20200111160329704"</f>
        <v>20200111160329704</v>
      </c>
      <c r="B5785" t="str">
        <f>"1578729809698993"</f>
        <v>1578729809698993</v>
      </c>
      <c r="C5785" t="s">
        <v>37</v>
      </c>
      <c r="D5785">
        <v>4.8655860000000004</v>
      </c>
      <c r="E5785">
        <v>0.54815639999999999</v>
      </c>
      <c r="F5785" t="s">
        <v>42</v>
      </c>
      <c r="G5785">
        <v>-214.67740000000001</v>
      </c>
      <c r="H5785">
        <v>0.91152670000000002</v>
      </c>
      <c r="I5785">
        <v>-62.08493</v>
      </c>
      <c r="J5785">
        <v>-215.3622</v>
      </c>
      <c r="K5785">
        <v>1.103383</v>
      </c>
      <c r="L5785">
        <v>-62.021090000000001</v>
      </c>
      <c r="M5785">
        <v>0.99963930000000001</v>
      </c>
      <c r="N5785">
        <v>0</v>
      </c>
      <c r="O5785">
        <v>-2.5737909999999999E-2</v>
      </c>
      <c r="P5785">
        <v>0.99931190000000003</v>
      </c>
      <c r="Q5785">
        <v>-1.1978839999999999E-2</v>
      </c>
      <c r="R5785">
        <v>3.5107899999999997E-2</v>
      </c>
      <c r="S5785">
        <v>3.0022739999999999</v>
      </c>
      <c r="T5785">
        <v>-0.71917739999999997</v>
      </c>
      <c r="U5785">
        <v>-0.25146479999999999</v>
      </c>
      <c r="V5785">
        <v>-6.0819959999999999E-2</v>
      </c>
      <c r="W5785">
        <v>-4.2771249999999997E-3</v>
      </c>
      <c r="X5785">
        <v>0.99813960000000002</v>
      </c>
      <c r="Y5785">
        <v>5.6913819999999997E-2</v>
      </c>
      <c r="Z5785">
        <v>-6.4310110000000001E-4</v>
      </c>
      <c r="AA5785">
        <v>0.99837889999999996</v>
      </c>
      <c r="AB5785">
        <v>17</v>
      </c>
      <c r="AC5785">
        <v>0.68479999999999497</v>
      </c>
      <c r="AD5785">
        <v>-0.19185629999999901</v>
      </c>
      <c r="AE5785">
        <v>-6.38400000000061E-2</v>
      </c>
      <c r="AF5785">
        <v>4.2857991319317598E-2</v>
      </c>
      <c r="AG5785">
        <v>-0.19185629999999901</v>
      </c>
      <c r="AH5785">
        <v>0.63667319021991398</v>
      </c>
      <c r="AI5785">
        <v>106.73400700054199</v>
      </c>
      <c r="AJ5785">
        <v>86.1489143066255</v>
      </c>
      <c r="AK5785">
        <v>0.66633204816699299</v>
      </c>
    </row>
    <row r="5786" spans="1:37" x14ac:dyDescent="0.2">
      <c r="A5786" t="str">
        <f>"20200111160329717"</f>
        <v>20200111160329717</v>
      </c>
      <c r="B5786" t="str">
        <f>"1578729809708754"</f>
        <v>1578729809708754</v>
      </c>
      <c r="C5786" t="s">
        <v>37</v>
      </c>
      <c r="D5786">
        <v>4.9247030000000001</v>
      </c>
      <c r="E5786">
        <v>0.54823940000000004</v>
      </c>
      <c r="F5786" t="s">
        <v>42</v>
      </c>
      <c r="G5786">
        <v>-214.66550000000001</v>
      </c>
      <c r="H5786">
        <v>0.93690180000000001</v>
      </c>
      <c r="I5786">
        <v>-62.0792199999999</v>
      </c>
      <c r="J5786">
        <v>-215.27680000000001</v>
      </c>
      <c r="K5786">
        <v>1.1033379999999999</v>
      </c>
      <c r="L5786">
        <v>-62.023559999999897</v>
      </c>
      <c r="M5786">
        <v>0.99963440000000003</v>
      </c>
      <c r="N5786">
        <v>0</v>
      </c>
      <c r="O5786">
        <v>-2.6018079999999999E-2</v>
      </c>
      <c r="P5786">
        <v>0.99932279999999996</v>
      </c>
      <c r="Q5786">
        <v>-1.152717E-2</v>
      </c>
      <c r="R5786">
        <v>3.4944009999999998E-2</v>
      </c>
      <c r="S5786">
        <v>3.002243</v>
      </c>
      <c r="T5786">
        <v>-0.71744110000000005</v>
      </c>
      <c r="U5786">
        <v>-0.24993899999999999</v>
      </c>
      <c r="V5786">
        <v>-6.0936129999999998E-2</v>
      </c>
      <c r="W5786">
        <v>-4.1521830000000003E-3</v>
      </c>
      <c r="X5786">
        <v>0.99813300000000005</v>
      </c>
      <c r="Y5786">
        <v>5.6163890000000001E-2</v>
      </c>
      <c r="Z5786">
        <v>-4.8753529999999998E-4</v>
      </c>
      <c r="AA5786">
        <v>0.99842140000000001</v>
      </c>
      <c r="AB5786">
        <v>17</v>
      </c>
      <c r="AC5786">
        <v>0.61129999999999995</v>
      </c>
      <c r="AD5786">
        <v>-0.16643619999999901</v>
      </c>
      <c r="AE5786">
        <v>-5.5659999999995997E-2</v>
      </c>
      <c r="AF5786">
        <v>3.7014588532491698E-2</v>
      </c>
      <c r="AG5786">
        <v>-0.16643619999999901</v>
      </c>
      <c r="AH5786">
        <v>0.57059176656297905</v>
      </c>
      <c r="AI5786">
        <v>106.22915243392301</v>
      </c>
      <c r="AJ5786">
        <v>86.2883931415288</v>
      </c>
      <c r="AK5786">
        <v>0.59552166417698904</v>
      </c>
    </row>
    <row r="5787" spans="1:37" x14ac:dyDescent="0.2">
      <c r="A5787" t="str">
        <f>"20200111160329728"</f>
        <v>20200111160329728</v>
      </c>
      <c r="B5787" t="str">
        <f>"1578729809718515"</f>
        <v>1578729809718515</v>
      </c>
      <c r="C5787" t="s">
        <v>37</v>
      </c>
      <c r="D5787">
        <v>4.8897890000000004</v>
      </c>
      <c r="E5787">
        <v>0.54822729999999997</v>
      </c>
      <c r="F5787" t="s">
        <v>42</v>
      </c>
      <c r="G5787">
        <v>-214.52109999999999</v>
      </c>
      <c r="H5787">
        <v>0.92348589999999997</v>
      </c>
      <c r="I5787">
        <v>-62.08699</v>
      </c>
      <c r="J5787">
        <v>-215.19130000000001</v>
      </c>
      <c r="K5787">
        <v>1.103294</v>
      </c>
      <c r="L5787">
        <v>-62.026119999999999</v>
      </c>
      <c r="M5787">
        <v>0.99962969999999896</v>
      </c>
      <c r="N5787">
        <v>0</v>
      </c>
      <c r="O5787">
        <v>-2.6299260000000001E-2</v>
      </c>
      <c r="P5787">
        <v>0.99933709999999898</v>
      </c>
      <c r="Q5787">
        <v>-1.137637E-2</v>
      </c>
      <c r="R5787">
        <v>3.4591199999999898E-2</v>
      </c>
      <c r="S5787">
        <v>3.0026090000000001</v>
      </c>
      <c r="T5787">
        <v>-0.71449259999999903</v>
      </c>
      <c r="U5787">
        <v>-0.2511292</v>
      </c>
      <c r="V5787">
        <v>-6.0864689999999999E-2</v>
      </c>
      <c r="W5787">
        <v>-4.3262450000000003E-3</v>
      </c>
      <c r="X5787">
        <v>0.99813660000000004</v>
      </c>
      <c r="Y5787">
        <v>5.6277769999999998E-2</v>
      </c>
      <c r="Z5787">
        <v>-4.3305850000000001E-4</v>
      </c>
      <c r="AA5787">
        <v>0.9984151</v>
      </c>
      <c r="AB5787">
        <v>17</v>
      </c>
      <c r="AC5787">
        <v>0.670200000000022</v>
      </c>
      <c r="AD5787">
        <v>-0.179808099999999</v>
      </c>
      <c r="AE5787">
        <v>-6.0870000000001298E-2</v>
      </c>
      <c r="AF5787">
        <v>4.0342658435376502E-2</v>
      </c>
      <c r="AG5787">
        <v>-0.179808099999999</v>
      </c>
      <c r="AH5787">
        <v>0.62681991362432299</v>
      </c>
      <c r="AI5787">
        <v>105.974584068185</v>
      </c>
      <c r="AJ5787">
        <v>86.317474421339796</v>
      </c>
      <c r="AK5787">
        <v>0.65334652905732005</v>
      </c>
    </row>
    <row r="5788" spans="1:37" x14ac:dyDescent="0.2">
      <c r="A5788" t="str">
        <f>"20200111160329739"</f>
        <v>20200111160329739</v>
      </c>
      <c r="B5788" t="str">
        <f>"1578729809729250"</f>
        <v>1578729809729250</v>
      </c>
      <c r="C5788" t="s">
        <v>37</v>
      </c>
      <c r="D5788">
        <v>4.890288</v>
      </c>
      <c r="E5788">
        <v>0.54818769999999895</v>
      </c>
      <c r="F5788" t="s">
        <v>42</v>
      </c>
      <c r="G5788">
        <v>-214.51240000000001</v>
      </c>
      <c r="H5788">
        <v>0.94213269999999905</v>
      </c>
      <c r="I5788">
        <v>-62.083419999999997</v>
      </c>
      <c r="J5788">
        <v>-215.10400000000001</v>
      </c>
      <c r="K5788">
        <v>1.1032549999999901</v>
      </c>
      <c r="L5788">
        <v>-62.028750000000002</v>
      </c>
      <c r="M5788">
        <v>0.99962410000000002</v>
      </c>
      <c r="N5788">
        <v>0</v>
      </c>
      <c r="O5788">
        <v>-2.6584590000000002E-2</v>
      </c>
      <c r="P5788">
        <v>0.99934859999999903</v>
      </c>
      <c r="Q5788">
        <v>-1.1478540000000001E-2</v>
      </c>
      <c r="R5788">
        <v>3.421573E-2</v>
      </c>
      <c r="S5788">
        <v>3.00259399999999</v>
      </c>
      <c r="T5788">
        <v>-0.71262919999999996</v>
      </c>
      <c r="U5788">
        <v>-0.25234989999999902</v>
      </c>
      <c r="V5788">
        <v>-6.0774620000000001E-2</v>
      </c>
      <c r="W5788">
        <v>-4.7435690000000004E-3</v>
      </c>
      <c r="X5788">
        <v>0.99814020000000003</v>
      </c>
      <c r="Y5788">
        <v>5.640502E-2</v>
      </c>
      <c r="Z5788">
        <v>-3.8021760000000001E-4</v>
      </c>
      <c r="AA5788">
        <v>0.99840790000000001</v>
      </c>
      <c r="AB5788">
        <v>17</v>
      </c>
      <c r="AC5788">
        <v>0.59159999999999902</v>
      </c>
      <c r="AD5788">
        <v>-0.161122299999999</v>
      </c>
      <c r="AE5788">
        <v>-5.4669999999994397E-2</v>
      </c>
      <c r="AF5788">
        <v>3.6256352613692602E-2</v>
      </c>
      <c r="AG5788">
        <v>-0.161122299999999</v>
      </c>
      <c r="AH5788">
        <v>0.55222974926157697</v>
      </c>
      <c r="AI5788">
        <v>106.232389802391</v>
      </c>
      <c r="AJ5788">
        <v>86.243666894671193</v>
      </c>
      <c r="AK5788">
        <v>0.576396230584172</v>
      </c>
    </row>
    <row r="5789" spans="1:37" x14ac:dyDescent="0.2">
      <c r="A5789" t="str">
        <f>"20200111160329752"</f>
        <v>20200111160329752</v>
      </c>
      <c r="B5789" t="str">
        <f>"1578729809748770"</f>
        <v>1578729809748770</v>
      </c>
      <c r="C5789" t="s">
        <v>37</v>
      </c>
      <c r="D5789">
        <v>4.9198379999999897</v>
      </c>
      <c r="E5789">
        <v>0.54889129999999997</v>
      </c>
      <c r="F5789" t="s">
        <v>42</v>
      </c>
      <c r="G5789">
        <v>-214.36660000000001</v>
      </c>
      <c r="H5789">
        <v>0.92842380000000002</v>
      </c>
      <c r="I5789">
        <v>-62.090869999999903</v>
      </c>
      <c r="J5789">
        <v>-215.01130000000001</v>
      </c>
      <c r="K5789">
        <v>1.1032139999999999</v>
      </c>
      <c r="L5789">
        <v>-62.031519999999901</v>
      </c>
      <c r="M5789">
        <v>0.99961819999999901</v>
      </c>
      <c r="N5789">
        <v>0</v>
      </c>
      <c r="O5789">
        <v>-2.6887560000000001E-2</v>
      </c>
      <c r="P5789">
        <v>0.99935309999999899</v>
      </c>
      <c r="Q5789">
        <v>-1.159457E-2</v>
      </c>
      <c r="R5789">
        <v>3.4046E-2</v>
      </c>
      <c r="S5789">
        <v>3.0024410000000001</v>
      </c>
      <c r="T5789">
        <v>-0.71191930000000003</v>
      </c>
      <c r="U5789">
        <v>-0.25332640000000001</v>
      </c>
      <c r="V5789">
        <v>-6.0907749999999997E-2</v>
      </c>
      <c r="W5789">
        <v>-5.1874390000000003E-3</v>
      </c>
      <c r="X5789">
        <v>0.99812990000000001</v>
      </c>
      <c r="Y5789">
        <v>5.6438160000000001E-2</v>
      </c>
      <c r="Z5789">
        <v>-3.130734E-4</v>
      </c>
      <c r="AA5789">
        <v>0.99840609999999996</v>
      </c>
      <c r="AB5789">
        <v>17</v>
      </c>
      <c r="AC5789">
        <v>0.64470000000000005</v>
      </c>
      <c r="AD5789">
        <v>-0.17479019999999901</v>
      </c>
      <c r="AE5789">
        <v>-5.9350000000001998E-2</v>
      </c>
      <c r="AF5789">
        <v>3.91408941106429E-2</v>
      </c>
      <c r="AG5789">
        <v>-0.17479019999999901</v>
      </c>
      <c r="AH5789">
        <v>0.60217184234531396</v>
      </c>
      <c r="AI5789">
        <v>106.153927405782</v>
      </c>
      <c r="AJ5789">
        <v>86.281032143418798</v>
      </c>
      <c r="AK5789">
        <v>0.62824720558182301</v>
      </c>
    </row>
    <row r="5790" spans="1:37" x14ac:dyDescent="0.2">
      <c r="A5790" t="str">
        <f>"20200111160329763"</f>
        <v>20200111160329763</v>
      </c>
      <c r="B5790" t="str">
        <f>"1578729809748770"</f>
        <v>1578729809748770</v>
      </c>
      <c r="C5790" t="s">
        <v>37</v>
      </c>
      <c r="D5790">
        <v>4.9198379999999897</v>
      </c>
      <c r="E5790">
        <v>0.54889129999999997</v>
      </c>
      <c r="F5790" t="s">
        <v>42</v>
      </c>
      <c r="G5790">
        <v>-214.2193</v>
      </c>
      <c r="H5790">
        <v>0.91456879999999996</v>
      </c>
      <c r="I5790">
        <v>-62.099959999999903</v>
      </c>
      <c r="J5790">
        <v>-214.92179999999999</v>
      </c>
      <c r="K5790">
        <v>1.103178</v>
      </c>
      <c r="L5790">
        <v>-62.0342699999999</v>
      </c>
      <c r="M5790">
        <v>0.99961219999999995</v>
      </c>
      <c r="N5790">
        <v>0</v>
      </c>
      <c r="O5790">
        <v>-2.7178520000000001E-2</v>
      </c>
      <c r="P5790">
        <v>0.99936340000000001</v>
      </c>
      <c r="Q5790">
        <v>-1.1718799999999901E-2</v>
      </c>
      <c r="R5790">
        <v>3.3697919999999999E-2</v>
      </c>
      <c r="S5790">
        <v>3.0024869999999999</v>
      </c>
      <c r="T5790">
        <v>-0.71515130000000005</v>
      </c>
      <c r="U5790">
        <v>-0.2593994</v>
      </c>
      <c r="V5790">
        <v>-6.0850979999999999E-2</v>
      </c>
      <c r="W5790">
        <v>-5.6101969999999999E-3</v>
      </c>
      <c r="X5790">
        <v>0.99813109999999905</v>
      </c>
      <c r="Y5790">
        <v>5.8105770000000001E-2</v>
      </c>
      <c r="Z5790">
        <v>-4.4182500000000002E-4</v>
      </c>
      <c r="AA5790">
        <v>0.99831029999999998</v>
      </c>
      <c r="AB5790">
        <v>17</v>
      </c>
      <c r="AC5790">
        <v>0.70249999999998602</v>
      </c>
      <c r="AD5790">
        <v>-0.1886092</v>
      </c>
      <c r="AE5790">
        <v>-6.5690000000003496E-2</v>
      </c>
      <c r="AF5790">
        <v>4.3466437516936303E-2</v>
      </c>
      <c r="AG5790">
        <v>-0.1886092</v>
      </c>
      <c r="AH5790">
        <v>0.65707263632225199</v>
      </c>
      <c r="AI5790">
        <v>105.98270114862</v>
      </c>
      <c r="AJ5790">
        <v>86.215304015325202</v>
      </c>
      <c r="AK5790">
        <v>0.68498701514592897</v>
      </c>
    </row>
    <row r="5791" spans="1:37" x14ac:dyDescent="0.2">
      <c r="A5791" t="str">
        <f>"20200111160329774"</f>
        <v>20200111160329774</v>
      </c>
      <c r="B5791" t="str">
        <f>"1578729809769266"</f>
        <v>1578729809769266</v>
      </c>
      <c r="C5791" t="s">
        <v>37</v>
      </c>
      <c r="D5791">
        <v>4.8658159999999997</v>
      </c>
      <c r="E5791">
        <v>0.57302390000000003</v>
      </c>
      <c r="F5791" t="s">
        <v>42</v>
      </c>
      <c r="G5791">
        <v>-214.21039999999999</v>
      </c>
      <c r="H5791">
        <v>0.93367029999999995</v>
      </c>
      <c r="I5791">
        <v>-62.096040000000002</v>
      </c>
      <c r="J5791">
        <v>-214.84139999999999</v>
      </c>
      <c r="K5791">
        <v>1.103145</v>
      </c>
      <c r="L5791">
        <v>-62.036709999999999</v>
      </c>
      <c r="M5791">
        <v>0.99960649999999995</v>
      </c>
      <c r="N5791">
        <v>0</v>
      </c>
      <c r="O5791">
        <v>-2.743949E-2</v>
      </c>
      <c r="P5791">
        <v>0.99937480000000001</v>
      </c>
      <c r="Q5791">
        <v>-1.1690610000000001E-2</v>
      </c>
      <c r="R5791">
        <v>3.3364779999999997E-2</v>
      </c>
      <c r="S5791">
        <v>3.0023040000000001</v>
      </c>
      <c r="T5791">
        <v>-0.71541679999999996</v>
      </c>
      <c r="U5791">
        <v>-0.26065060000000001</v>
      </c>
      <c r="V5791">
        <v>-6.0779020000000003E-2</v>
      </c>
      <c r="W5791">
        <v>-5.839108E-3</v>
      </c>
      <c r="X5791">
        <v>0.99813419999999897</v>
      </c>
      <c r="Y5791">
        <v>5.8265490000000003E-2</v>
      </c>
      <c r="Z5791">
        <v>-3.9958769999999999E-4</v>
      </c>
      <c r="AA5791">
        <v>0.99830099999999999</v>
      </c>
      <c r="AB5791">
        <v>17</v>
      </c>
      <c r="AC5791">
        <v>0.63100000000000001</v>
      </c>
      <c r="AD5791">
        <v>-0.16947469999999901</v>
      </c>
      <c r="AE5791">
        <v>-5.93300000000027E-2</v>
      </c>
      <c r="AF5791">
        <v>3.91907637495926E-2</v>
      </c>
      <c r="AG5791">
        <v>-0.16947469999999901</v>
      </c>
      <c r="AH5791">
        <v>0.59018967682650103</v>
      </c>
      <c r="AI5791">
        <v>105.988169037216</v>
      </c>
      <c r="AJ5791">
        <v>86.200927040574797</v>
      </c>
      <c r="AK5791">
        <v>0.61528972406171101</v>
      </c>
    </row>
    <row r="5792" spans="1:37" x14ac:dyDescent="0.2">
      <c r="A5792" t="str">
        <f>"20200111160329784"</f>
        <v>20200111160329784</v>
      </c>
      <c r="B5792" t="str">
        <f>"1578729809779026"</f>
        <v>1578729809779026</v>
      </c>
      <c r="C5792" t="s">
        <v>37</v>
      </c>
      <c r="D5792">
        <v>4.842632</v>
      </c>
      <c r="E5792">
        <v>0.57371559999999999</v>
      </c>
      <c r="F5792" t="s">
        <v>42</v>
      </c>
      <c r="G5792">
        <v>-214.07050000000001</v>
      </c>
      <c r="H5792">
        <v>0.90322800000000003</v>
      </c>
      <c r="I5792">
        <v>-62.152459999999998</v>
      </c>
      <c r="J5792">
        <v>-214.75020000000001</v>
      </c>
      <c r="K5792">
        <v>1.103113</v>
      </c>
      <c r="L5792">
        <v>-62.039519999999897</v>
      </c>
      <c r="M5792">
        <v>0.99960000000000004</v>
      </c>
      <c r="N5792">
        <v>0</v>
      </c>
      <c r="O5792">
        <v>-2.7735010000000001E-2</v>
      </c>
      <c r="P5792">
        <v>0.99939389999999995</v>
      </c>
      <c r="Q5792">
        <v>-1.1139039999999999E-2</v>
      </c>
      <c r="R5792">
        <v>3.2981629999999998E-2</v>
      </c>
      <c r="S5792">
        <v>3.0078279999999999</v>
      </c>
      <c r="T5792">
        <v>-0.77998970000000001</v>
      </c>
      <c r="U5792">
        <v>-0.451538099999999</v>
      </c>
      <c r="V5792">
        <v>-6.0691549999999997E-2</v>
      </c>
      <c r="W5792">
        <v>-5.5649239999999997E-3</v>
      </c>
      <c r="X5792">
        <v>0.9981411</v>
      </c>
      <c r="Y5792">
        <v>0.11805259999999999</v>
      </c>
      <c r="Z5792">
        <v>-7.9442269999999999E-3</v>
      </c>
      <c r="AA5792">
        <v>0.99297559999999996</v>
      </c>
      <c r="AB5792">
        <v>17</v>
      </c>
      <c r="AC5792">
        <v>0.67969999999999597</v>
      </c>
      <c r="AD5792">
        <v>-0.19988499999999901</v>
      </c>
      <c r="AE5792">
        <v>-0.112940000000001</v>
      </c>
      <c r="AF5792">
        <v>8.6744495367526098E-2</v>
      </c>
      <c r="AG5792">
        <v>-0.19988499999999901</v>
      </c>
      <c r="AH5792">
        <v>0.62958598259002796</v>
      </c>
      <c r="AI5792">
        <v>107.459152806441</v>
      </c>
      <c r="AJ5792">
        <v>82.155166562399899</v>
      </c>
      <c r="AK5792">
        <v>0.66622603534792701</v>
      </c>
    </row>
    <row r="5793" spans="1:37" x14ac:dyDescent="0.2">
      <c r="A5793" t="str">
        <f>"20200111160329797"</f>
        <v>20200111160329797</v>
      </c>
      <c r="B5793" t="str">
        <f>"1578729809788786"</f>
        <v>1578729809788786</v>
      </c>
      <c r="C5793" t="s">
        <v>37</v>
      </c>
      <c r="D5793">
        <v>4.9125059999999996</v>
      </c>
      <c r="E5793">
        <v>0.57398669999999996</v>
      </c>
      <c r="F5793" t="s">
        <v>42</v>
      </c>
      <c r="G5793">
        <v>-214.06120000000001</v>
      </c>
      <c r="H5793">
        <v>0.92399659999999995</v>
      </c>
      <c r="I5793">
        <v>-62.144379999999998</v>
      </c>
      <c r="J5793">
        <v>-214.6585</v>
      </c>
      <c r="K5793">
        <v>1.103089</v>
      </c>
      <c r="L5793">
        <v>-62.0424199999999</v>
      </c>
      <c r="M5793">
        <v>0.99959310000000001</v>
      </c>
      <c r="N5793">
        <v>0</v>
      </c>
      <c r="O5793">
        <v>-2.803133E-2</v>
      </c>
      <c r="P5793">
        <v>0.99940200000000001</v>
      </c>
      <c r="Q5793">
        <v>-1.107592E-2</v>
      </c>
      <c r="R5793">
        <v>3.2758839999999997E-2</v>
      </c>
      <c r="S5793">
        <v>3.0082089999999999</v>
      </c>
      <c r="T5793">
        <v>-0.78206409999999904</v>
      </c>
      <c r="U5793">
        <v>-0.45779419999999998</v>
      </c>
      <c r="V5793">
        <v>-6.0764770000000003E-2</v>
      </c>
      <c r="W5793">
        <v>-5.760383E-3</v>
      </c>
      <c r="X5793">
        <v>0.99813549999999995</v>
      </c>
      <c r="Y5793">
        <v>0.119701399999999</v>
      </c>
      <c r="Z5793">
        <v>-8.0970039999999997E-3</v>
      </c>
      <c r="AA5793">
        <v>0.99277689999999996</v>
      </c>
      <c r="AB5793">
        <v>17</v>
      </c>
      <c r="AC5793">
        <v>0.59729999999998995</v>
      </c>
      <c r="AD5793">
        <v>-0.17909239999999901</v>
      </c>
      <c r="AE5793">
        <v>-0.101960000000012</v>
      </c>
      <c r="AF5793">
        <v>7.8333633950646395E-2</v>
      </c>
      <c r="AG5793">
        <v>-0.17909239999999901</v>
      </c>
      <c r="AH5793">
        <v>0.55172649748809699</v>
      </c>
      <c r="AI5793">
        <v>107.81639474915799</v>
      </c>
      <c r="AJ5793">
        <v>81.919205438451201</v>
      </c>
      <c r="AK5793">
        <v>0.58533099522932897</v>
      </c>
    </row>
    <row r="5794" spans="1:37" x14ac:dyDescent="0.2">
      <c r="A5794" t="str">
        <f>"20200111160329818"</f>
        <v>20200111160329818</v>
      </c>
      <c r="B5794" t="str">
        <f>"1578729809809281"</f>
        <v>1578729809809281</v>
      </c>
      <c r="C5794" t="s">
        <v>37</v>
      </c>
      <c r="D5794">
        <v>4.8901859999999999</v>
      </c>
      <c r="E5794">
        <v>0.57420689999999996</v>
      </c>
      <c r="F5794" t="s">
        <v>42</v>
      </c>
      <c r="G5794">
        <v>-213.91130000000001</v>
      </c>
      <c r="H5794">
        <v>0.90879009999999905</v>
      </c>
      <c r="I5794">
        <v>-62.1569199999999</v>
      </c>
      <c r="J5794">
        <v>-214.50239999999999</v>
      </c>
      <c r="K5794">
        <v>1.103057</v>
      </c>
      <c r="L5794">
        <v>-62.047359999999998</v>
      </c>
      <c r="M5794">
        <v>0.99958099999999905</v>
      </c>
      <c r="N5794">
        <v>0</v>
      </c>
      <c r="O5794">
        <v>-2.8534469999999999E-2</v>
      </c>
      <c r="P5794">
        <v>0.99940180000000001</v>
      </c>
      <c r="Q5794">
        <v>-1.0413220000000001E-2</v>
      </c>
      <c r="R5794">
        <v>3.2987290000000002E-2</v>
      </c>
      <c r="S5794">
        <v>3.0082089999999999</v>
      </c>
      <c r="T5794">
        <v>-0.78218980000000005</v>
      </c>
      <c r="U5794">
        <v>-0.4604492</v>
      </c>
      <c r="V5794">
        <v>-6.1495899999999999E-2</v>
      </c>
      <c r="W5794">
        <v>-5.5034469999999999E-3</v>
      </c>
      <c r="X5794">
        <v>0.99809219999999899</v>
      </c>
      <c r="Y5794">
        <v>0.1200624</v>
      </c>
      <c r="Z5794">
        <v>-8.0159029999999996E-3</v>
      </c>
      <c r="AA5794">
        <v>0.99273400000000001</v>
      </c>
      <c r="AB5794">
        <v>17</v>
      </c>
      <c r="AC5794">
        <v>0.59109999999998297</v>
      </c>
      <c r="AD5794">
        <v>-0.19426689999999999</v>
      </c>
      <c r="AE5794">
        <v>-0.109559999999994</v>
      </c>
      <c r="AF5794">
        <v>8.3888381097271494E-2</v>
      </c>
      <c r="AG5794">
        <v>-0.19426689999999999</v>
      </c>
      <c r="AH5794">
        <v>0.53782315394775004</v>
      </c>
      <c r="AI5794">
        <v>109.64119130272</v>
      </c>
      <c r="AJ5794">
        <v>81.134575196859899</v>
      </c>
      <c r="AK5794">
        <v>0.57795383365891395</v>
      </c>
    </row>
    <row r="5795" spans="1:37" x14ac:dyDescent="0.2">
      <c r="A5795" t="str">
        <f>"20200111160329832"</f>
        <v>20200111160329832</v>
      </c>
      <c r="B5795" t="str">
        <f>"1578729809828802"</f>
        <v>1578729809828802</v>
      </c>
      <c r="C5795" t="s">
        <v>37</v>
      </c>
      <c r="D5795">
        <v>4.8720910000000002</v>
      </c>
      <c r="E5795">
        <v>0.57428659999999998</v>
      </c>
      <c r="F5795" t="s">
        <v>42</v>
      </c>
      <c r="G5795">
        <v>-213.75319999999999</v>
      </c>
      <c r="H5795">
        <v>0.90803789999999995</v>
      </c>
      <c r="I5795">
        <v>-62.162390000000002</v>
      </c>
      <c r="J5795">
        <v>-214.3837</v>
      </c>
      <c r="K5795">
        <v>1.1030329999999999</v>
      </c>
      <c r="L5795">
        <v>-62.05115</v>
      </c>
      <c r="M5795">
        <v>0.99957129999999905</v>
      </c>
      <c r="N5795">
        <v>0</v>
      </c>
      <c r="O5795">
        <v>-2.8916649999999999E-2</v>
      </c>
      <c r="P5795">
        <v>0.99939959999999906</v>
      </c>
      <c r="Q5795">
        <v>-1.0125830000000001E-2</v>
      </c>
      <c r="R5795">
        <v>3.3130359999999998E-2</v>
      </c>
      <c r="S5795">
        <v>3.0088810000000001</v>
      </c>
      <c r="T5795">
        <v>-0.78315069999999998</v>
      </c>
      <c r="U5795">
        <v>-0.46176149999999999</v>
      </c>
      <c r="V5795">
        <v>-6.2019890000000001E-2</v>
      </c>
      <c r="W5795">
        <v>-5.4959780000000003E-3</v>
      </c>
      <c r="X5795">
        <v>0.99805979999999905</v>
      </c>
      <c r="Y5795">
        <v>0.12007909999999999</v>
      </c>
      <c r="Z5795">
        <v>-7.9284539999999997E-3</v>
      </c>
      <c r="AA5795">
        <v>0.99273259999999997</v>
      </c>
      <c r="AB5795">
        <v>18</v>
      </c>
      <c r="AC5795">
        <v>0.63050000000001205</v>
      </c>
      <c r="AD5795">
        <v>-0.19499509999999901</v>
      </c>
      <c r="AE5795">
        <v>-0.111240000000002</v>
      </c>
      <c r="AF5795">
        <v>8.5070162942670197E-2</v>
      </c>
      <c r="AG5795">
        <v>-0.19499509999999901</v>
      </c>
      <c r="AH5795">
        <v>0.57968133698369195</v>
      </c>
      <c r="AI5795">
        <v>108.40839547628001</v>
      </c>
      <c r="AJ5795">
        <v>81.651247944340696</v>
      </c>
      <c r="AK5795">
        <v>0.61748722585516203</v>
      </c>
    </row>
    <row r="5796" spans="1:37" x14ac:dyDescent="0.2">
      <c r="A5796" t="str">
        <f>"20200111160329847"</f>
        <v>20200111160329847</v>
      </c>
      <c r="B5796" t="str">
        <f>"1578729809838562"</f>
        <v>1578729809838562</v>
      </c>
      <c r="C5796" t="s">
        <v>37</v>
      </c>
      <c r="D5796">
        <v>4.8892660000000001</v>
      </c>
      <c r="E5796">
        <v>0.57426580000000005</v>
      </c>
      <c r="F5796" t="s">
        <v>42</v>
      </c>
      <c r="G5796">
        <v>-213.59739999999999</v>
      </c>
      <c r="H5796">
        <v>0.89796149999999997</v>
      </c>
      <c r="I5796">
        <v>-62.172040000000003</v>
      </c>
      <c r="J5796">
        <v>-214.2653</v>
      </c>
      <c r="K5796">
        <v>1.1030149999999901</v>
      </c>
      <c r="L5796">
        <v>-62.054989999999997</v>
      </c>
      <c r="M5796">
        <v>0.99956139999999905</v>
      </c>
      <c r="N5796">
        <v>0</v>
      </c>
      <c r="O5796">
        <v>-2.9297630000000002E-2</v>
      </c>
      <c r="P5796">
        <v>0.99940039999999997</v>
      </c>
      <c r="Q5796">
        <v>-9.9853519999999994E-3</v>
      </c>
      <c r="R5796">
        <v>3.3156650000000003E-2</v>
      </c>
      <c r="S5796">
        <v>3.0091399999999999</v>
      </c>
      <c r="T5796">
        <v>-0.78468579999999999</v>
      </c>
      <c r="U5796">
        <v>-0.46182250000000002</v>
      </c>
      <c r="V5796">
        <v>-6.2426759999999998E-2</v>
      </c>
      <c r="W5796">
        <v>-5.6072750000000001E-3</v>
      </c>
      <c r="X5796">
        <v>0.99803379999999997</v>
      </c>
      <c r="Y5796">
        <v>0.11972099999999999</v>
      </c>
      <c r="Z5796">
        <v>-7.8001379999999999E-3</v>
      </c>
      <c r="AA5796">
        <v>0.99277689999999996</v>
      </c>
      <c r="AB5796">
        <v>18</v>
      </c>
      <c r="AC5796">
        <v>0.66790000000000205</v>
      </c>
      <c r="AD5796">
        <v>-0.205053499999999</v>
      </c>
      <c r="AE5796">
        <v>-0.117049999999999</v>
      </c>
      <c r="AF5796">
        <v>8.9268285241786594E-2</v>
      </c>
      <c r="AG5796">
        <v>-0.205053499999999</v>
      </c>
      <c r="AH5796">
        <v>0.61481871747156802</v>
      </c>
      <c r="AI5796">
        <v>108.265873013243</v>
      </c>
      <c r="AJ5796">
        <v>81.738699528883501</v>
      </c>
      <c r="AK5796">
        <v>0.654230708516225</v>
      </c>
    </row>
    <row r="5797" spans="1:37" x14ac:dyDescent="0.2">
      <c r="A5797" t="str">
        <f>"20200111160329861"</f>
        <v>20200111160329861</v>
      </c>
      <c r="B5797" t="str">
        <f>"1578729809849298"</f>
        <v>1578729809849298</v>
      </c>
      <c r="C5797" t="s">
        <v>37</v>
      </c>
      <c r="D5797">
        <v>4.8877189999999997</v>
      </c>
      <c r="E5797">
        <v>0.5742389</v>
      </c>
      <c r="F5797" t="s">
        <v>42</v>
      </c>
      <c r="G5797">
        <v>-213.58539999999999</v>
      </c>
      <c r="H5797">
        <v>0.92555949999999998</v>
      </c>
      <c r="I5797">
        <v>-62.159500000000001</v>
      </c>
      <c r="J5797">
        <v>-214.14789999999999</v>
      </c>
      <c r="K5797">
        <v>1.102997</v>
      </c>
      <c r="L5797">
        <v>-62.058869999999999</v>
      </c>
      <c r="M5797">
        <v>0.99955119999999897</v>
      </c>
      <c r="N5797">
        <v>0</v>
      </c>
      <c r="O5797">
        <v>-2.9675130000000001E-2</v>
      </c>
      <c r="P5797">
        <v>0.99937089999999995</v>
      </c>
      <c r="Q5797">
        <v>-9.8317749999999992E-3</v>
      </c>
      <c r="R5797">
        <v>3.4078709999999998E-2</v>
      </c>
      <c r="S5797">
        <v>3.0092620000000001</v>
      </c>
      <c r="T5797">
        <v>-0.78527969999999903</v>
      </c>
      <c r="U5797">
        <v>-0.46154790000000001</v>
      </c>
      <c r="V5797">
        <v>-6.3724450000000002E-2</v>
      </c>
      <c r="W5797">
        <v>-5.6747189999999999E-3</v>
      </c>
      <c r="X5797">
        <v>0.99795140000000004</v>
      </c>
      <c r="Y5797">
        <v>0.119274399999999</v>
      </c>
      <c r="Z5797">
        <v>-7.6523950000000002E-3</v>
      </c>
      <c r="AA5797">
        <v>0.99283180000000004</v>
      </c>
      <c r="AB5797">
        <v>18</v>
      </c>
      <c r="AC5797">
        <v>0.5625</v>
      </c>
      <c r="AD5797">
        <v>-0.1774375</v>
      </c>
      <c r="AE5797">
        <v>-0.100630000000002</v>
      </c>
      <c r="AF5797">
        <v>7.6515687653493605E-2</v>
      </c>
      <c r="AG5797">
        <v>-0.1774375</v>
      </c>
      <c r="AH5797">
        <v>0.51553130730462304</v>
      </c>
      <c r="AI5797">
        <v>108.801361217924</v>
      </c>
      <c r="AJ5797">
        <v>81.557732387592196</v>
      </c>
      <c r="AK5797">
        <v>0.55055539746200899</v>
      </c>
    </row>
    <row r="5798" spans="1:37" x14ac:dyDescent="0.2">
      <c r="A5798" t="str">
        <f>"20200111160329876"</f>
        <v>20200111160329876</v>
      </c>
      <c r="B5798" t="str">
        <f>"1578729809868819"</f>
        <v>1578729809868819</v>
      </c>
      <c r="C5798" t="s">
        <v>37</v>
      </c>
      <c r="D5798">
        <v>4.8810359999999999</v>
      </c>
      <c r="E5798">
        <v>0.57435630000000004</v>
      </c>
      <c r="F5798" t="s">
        <v>42</v>
      </c>
      <c r="G5798">
        <v>-213.42859999999999</v>
      </c>
      <c r="H5798">
        <v>0.91530250000000002</v>
      </c>
      <c r="I5798">
        <v>-62.168519999999901</v>
      </c>
      <c r="J5798">
        <v>-214.02619999999999</v>
      </c>
      <c r="K5798">
        <v>1.102975</v>
      </c>
      <c r="L5798">
        <v>-62.062930000000001</v>
      </c>
      <c r="M5798">
        <v>0.99954030000000005</v>
      </c>
      <c r="N5798">
        <v>0</v>
      </c>
      <c r="O5798">
        <v>-3.0065789999999998E-2</v>
      </c>
      <c r="P5798">
        <v>0.99936669999999905</v>
      </c>
      <c r="Q5798">
        <v>-9.7442309999999904E-3</v>
      </c>
      <c r="R5798">
        <v>3.4225230000000002E-2</v>
      </c>
      <c r="S5798">
        <v>3.009811</v>
      </c>
      <c r="T5798">
        <v>-0.78537419999999902</v>
      </c>
      <c r="U5798">
        <v>-0.45846559999999997</v>
      </c>
      <c r="V5798">
        <v>-6.4261180000000001E-2</v>
      </c>
      <c r="W5798">
        <v>-5.7946059999999999E-3</v>
      </c>
      <c r="X5798">
        <v>0.99791629999999998</v>
      </c>
      <c r="Y5798">
        <v>0.117922499999999</v>
      </c>
      <c r="Z5798">
        <v>-7.3803879999999999E-3</v>
      </c>
      <c r="AA5798">
        <v>0.99299539999999997</v>
      </c>
      <c r="AB5798">
        <v>18</v>
      </c>
      <c r="AC5798">
        <v>0.59759999999999902</v>
      </c>
      <c r="AD5798">
        <v>-0.18767249999999999</v>
      </c>
      <c r="AE5798">
        <v>-0.105589999999992</v>
      </c>
      <c r="AF5798">
        <v>7.9930448711908103E-2</v>
      </c>
      <c r="AG5798">
        <v>-0.18767249999999999</v>
      </c>
      <c r="AH5798">
        <v>0.54808675909226501</v>
      </c>
      <c r="AI5798">
        <v>108.71790684555999</v>
      </c>
      <c r="AJ5798">
        <v>81.702739395439494</v>
      </c>
      <c r="AK5798">
        <v>0.58481530364705703</v>
      </c>
    </row>
    <row r="5799" spans="1:37" x14ac:dyDescent="0.2">
      <c r="A5799" t="str">
        <f>"20200111160329890"</f>
        <v>20200111160329890</v>
      </c>
      <c r="B5799" t="str">
        <f>"1578729809878905"</f>
        <v>1578729809878905</v>
      </c>
      <c r="C5799" t="s">
        <v>37</v>
      </c>
      <c r="D5799">
        <v>4.8426989999999996</v>
      </c>
      <c r="E5799">
        <v>0.57438020000000001</v>
      </c>
      <c r="F5799" t="s">
        <v>42</v>
      </c>
      <c r="G5799">
        <v>-213.27010000000001</v>
      </c>
      <c r="H5799">
        <v>0.90535279999999996</v>
      </c>
      <c r="I5799">
        <v>-62.178429999999999</v>
      </c>
      <c r="J5799">
        <v>-213.91640000000001</v>
      </c>
      <c r="K5799">
        <v>1.102965</v>
      </c>
      <c r="L5799">
        <v>-62.066589999999998</v>
      </c>
      <c r="M5799">
        <v>0.99953029999999998</v>
      </c>
      <c r="N5799">
        <v>0</v>
      </c>
      <c r="O5799">
        <v>-3.0418049999999999E-2</v>
      </c>
      <c r="P5799">
        <v>0.99935640000000003</v>
      </c>
      <c r="Q5799">
        <v>-9.5224490000000005E-3</v>
      </c>
      <c r="R5799">
        <v>3.4591909999999997E-2</v>
      </c>
      <c r="S5799">
        <v>3.0099330000000002</v>
      </c>
      <c r="T5799">
        <v>-0.78661040000000004</v>
      </c>
      <c r="U5799">
        <v>-0.45904539999999999</v>
      </c>
      <c r="V5799">
        <v>-6.4979220000000004E-2</v>
      </c>
      <c r="W5799">
        <v>-5.7425269999999999E-3</v>
      </c>
      <c r="X5799">
        <v>0.99787009999999898</v>
      </c>
      <c r="Y5799">
        <v>0.117761899999999</v>
      </c>
      <c r="Z5799">
        <v>-7.2808150000000004E-3</v>
      </c>
      <c r="AA5799">
        <v>0.99301519999999999</v>
      </c>
      <c r="AB5799">
        <v>18</v>
      </c>
      <c r="AC5799">
        <v>0.64629999999999599</v>
      </c>
      <c r="AD5799">
        <v>-0.19761219999999899</v>
      </c>
      <c r="AE5799">
        <v>-0.11183999999999999</v>
      </c>
      <c r="AF5799">
        <v>8.4462237978471799E-2</v>
      </c>
      <c r="AG5799">
        <v>-0.19761219999999899</v>
      </c>
      <c r="AH5799">
        <v>0.59536159090739504</v>
      </c>
      <c r="AI5799">
        <v>108.19202621744201</v>
      </c>
      <c r="AJ5799">
        <v>81.925494632341497</v>
      </c>
      <c r="AK5799">
        <v>0.63296119562020303</v>
      </c>
    </row>
    <row r="5800" spans="1:37" x14ac:dyDescent="0.2">
      <c r="A5800" t="str">
        <f>"20200111160329907"</f>
        <v>20200111160329907</v>
      </c>
      <c r="B5800" t="str">
        <f>"1578729809898425"</f>
        <v>1578729809898425</v>
      </c>
      <c r="C5800" t="s">
        <v>37</v>
      </c>
      <c r="D5800">
        <v>4.8096829999999997</v>
      </c>
      <c r="E5800">
        <v>0.57439629999999997</v>
      </c>
      <c r="F5800" t="s">
        <v>42</v>
      </c>
      <c r="G5800">
        <v>-213.11089999999999</v>
      </c>
      <c r="H5800">
        <v>0.89276290000000003</v>
      </c>
      <c r="I5800">
        <v>-62.189360000000001</v>
      </c>
      <c r="J5800">
        <v>-213.7731</v>
      </c>
      <c r="K5800">
        <v>1.102959</v>
      </c>
      <c r="L5800">
        <v>-62.071469999999998</v>
      </c>
      <c r="M5800">
        <v>0.99951699999999999</v>
      </c>
      <c r="N5800">
        <v>0</v>
      </c>
      <c r="O5800">
        <v>-3.0877580000000002E-2</v>
      </c>
      <c r="P5800">
        <v>0.99934230000000002</v>
      </c>
      <c r="Q5800">
        <v>-9.2248279999999992E-3</v>
      </c>
      <c r="R5800">
        <v>3.5075090000000003E-2</v>
      </c>
      <c r="S5800">
        <v>3.01032999999999</v>
      </c>
      <c r="T5800">
        <v>-0.78550529999999996</v>
      </c>
      <c r="U5800">
        <v>-0.458374</v>
      </c>
      <c r="V5800">
        <v>-6.5920409999999999E-2</v>
      </c>
      <c r="W5800">
        <v>-5.6298119999999997E-3</v>
      </c>
      <c r="X5800">
        <v>0.99780899999999995</v>
      </c>
      <c r="Y5800">
        <v>0.1171143</v>
      </c>
      <c r="Z5800">
        <v>-7.0703509999999999E-3</v>
      </c>
      <c r="AA5800">
        <v>0.99309329999999996</v>
      </c>
      <c r="AB5800">
        <v>18</v>
      </c>
      <c r="AC5800">
        <v>0.662200000000012</v>
      </c>
      <c r="AD5800">
        <v>-0.210196099999999</v>
      </c>
      <c r="AE5800">
        <v>-0.11789000000000199</v>
      </c>
      <c r="AF5800">
        <v>8.8721880434320194E-2</v>
      </c>
      <c r="AG5800">
        <v>-0.210196099999999</v>
      </c>
      <c r="AH5800">
        <v>0.60631157371745203</v>
      </c>
      <c r="AI5800">
        <v>108.933347559927</v>
      </c>
      <c r="AJ5800">
        <v>81.674964222968498</v>
      </c>
      <c r="AK5800">
        <v>0.64781764173781498</v>
      </c>
    </row>
    <row r="5801" spans="1:37" x14ac:dyDescent="0.2">
      <c r="A5801" t="str">
        <f>"20200111160329918"</f>
        <v>20200111160329918</v>
      </c>
      <c r="B5801" t="str">
        <f>"1578729809909161"</f>
        <v>1578729809909161</v>
      </c>
      <c r="C5801" t="s">
        <v>37</v>
      </c>
      <c r="D5801">
        <v>4.8119449999999997</v>
      </c>
      <c r="E5801">
        <v>0.57445029999999997</v>
      </c>
      <c r="F5801" t="s">
        <v>42</v>
      </c>
      <c r="G5801">
        <v>-213.09630000000001</v>
      </c>
      <c r="H5801">
        <v>0.92645059999999901</v>
      </c>
      <c r="I5801">
        <v>-62.174349999999997</v>
      </c>
      <c r="J5801">
        <v>-213.6788</v>
      </c>
      <c r="K5801">
        <v>1.102956</v>
      </c>
      <c r="L5801">
        <v>-62.074739999999998</v>
      </c>
      <c r="M5801">
        <v>0.9995079</v>
      </c>
      <c r="N5801">
        <v>0</v>
      </c>
      <c r="O5801">
        <v>-3.1179700000000001E-2</v>
      </c>
      <c r="P5801">
        <v>0.99933269999999996</v>
      </c>
      <c r="Q5801">
        <v>-9.2680309999999995E-3</v>
      </c>
      <c r="R5801">
        <v>3.5336659999999999E-2</v>
      </c>
      <c r="S5801">
        <v>3.0107729999999999</v>
      </c>
      <c r="T5801">
        <v>-0.78516330000000001</v>
      </c>
      <c r="U5801">
        <v>-0.45718379999999997</v>
      </c>
      <c r="V5801">
        <v>-6.6483219999999996E-2</v>
      </c>
      <c r="W5801">
        <v>-5.7739610000000002E-3</v>
      </c>
      <c r="X5801">
        <v>0.99777079999999996</v>
      </c>
      <c r="Y5801">
        <v>0.11644359999999999</v>
      </c>
      <c r="Z5801">
        <v>-6.9040569999999999E-3</v>
      </c>
      <c r="AA5801">
        <v>0.99317330000000004</v>
      </c>
      <c r="AB5801">
        <v>18</v>
      </c>
      <c r="AC5801">
        <v>0.58249999999998103</v>
      </c>
      <c r="AD5801">
        <v>-0.17650540000000001</v>
      </c>
      <c r="AE5801">
        <v>-9.9609999999991303E-2</v>
      </c>
      <c r="AF5801">
        <v>7.4732508253881405E-2</v>
      </c>
      <c r="AG5801">
        <v>-0.17650540000000001</v>
      </c>
      <c r="AH5801">
        <v>0.53738341961585401</v>
      </c>
      <c r="AI5801">
        <v>108.0208786725</v>
      </c>
      <c r="AJ5801">
        <v>82.082803874559502</v>
      </c>
      <c r="AK5801">
        <v>0.57054363873160896</v>
      </c>
    </row>
    <row r="5802" spans="1:37" x14ac:dyDescent="0.2">
      <c r="A5802" t="str">
        <f>"20200111160329932"</f>
        <v>20200111160329932</v>
      </c>
      <c r="B5802" t="str">
        <f>"1578729809928682"</f>
        <v>1578729809928682</v>
      </c>
      <c r="C5802" t="s">
        <v>37</v>
      </c>
      <c r="D5802">
        <v>4.684615</v>
      </c>
      <c r="E5802">
        <v>0.57435400000000003</v>
      </c>
      <c r="F5802" t="s">
        <v>42</v>
      </c>
      <c r="G5802">
        <v>-212.93809999999999</v>
      </c>
      <c r="H5802">
        <v>0.90973590000000004</v>
      </c>
      <c r="I5802">
        <v>-62.18721</v>
      </c>
      <c r="J5802">
        <v>-213.56809999999999</v>
      </c>
      <c r="K5802">
        <v>1.102949</v>
      </c>
      <c r="L5802">
        <v>-62.078580000000002</v>
      </c>
      <c r="M5802">
        <v>0.99949719999999997</v>
      </c>
      <c r="N5802">
        <v>0</v>
      </c>
      <c r="O5802">
        <v>-3.1534020000000003E-2</v>
      </c>
      <c r="P5802">
        <v>0.99931749999999997</v>
      </c>
      <c r="Q5802">
        <v>-9.0878720000000003E-3</v>
      </c>
      <c r="R5802">
        <v>3.5809279999999999E-2</v>
      </c>
      <c r="S5802">
        <v>3.0108489999999999</v>
      </c>
      <c r="T5802">
        <v>-0.78541989999999995</v>
      </c>
      <c r="U5802">
        <v>-0.45660400000000001</v>
      </c>
      <c r="V5802">
        <v>-6.7308209999999993E-2</v>
      </c>
      <c r="W5802">
        <v>-5.7019139999999998E-3</v>
      </c>
      <c r="X5802">
        <v>0.99771599999999905</v>
      </c>
      <c r="Y5802">
        <v>0.11592760000000001</v>
      </c>
      <c r="Z5802">
        <v>-6.7500599999999996E-3</v>
      </c>
      <c r="AA5802">
        <v>0.99323479999999997</v>
      </c>
      <c r="AB5802">
        <v>18</v>
      </c>
      <c r="AC5802">
        <v>0.62999999999999501</v>
      </c>
      <c r="AD5802">
        <v>-0.193213099999999</v>
      </c>
      <c r="AE5802">
        <v>-0.10862999999999801</v>
      </c>
      <c r="AF5802">
        <v>8.1284764256054298E-2</v>
      </c>
      <c r="AG5802">
        <v>-0.193213099999999</v>
      </c>
      <c r="AH5802">
        <v>0.58012296027747001</v>
      </c>
      <c r="AI5802">
        <v>108.25428234837899</v>
      </c>
      <c r="AJ5802">
        <v>82.023846408862497</v>
      </c>
      <c r="AK5802">
        <v>0.61683155233245601</v>
      </c>
    </row>
    <row r="5803" spans="1:37" x14ac:dyDescent="0.2">
      <c r="A5803" t="str">
        <f>"20200111160329946"</f>
        <v>20200111160329946</v>
      </c>
      <c r="B5803" t="str">
        <f>"1578729809938442"</f>
        <v>1578729809938442</v>
      </c>
      <c r="C5803" t="s">
        <v>37</v>
      </c>
      <c r="D5803">
        <v>4.8087819999999999</v>
      </c>
      <c r="E5803">
        <v>0.53583210000000003</v>
      </c>
      <c r="F5803" t="s">
        <v>42</v>
      </c>
      <c r="G5803">
        <v>-212.7764</v>
      </c>
      <c r="H5803">
        <v>0.89670309999999898</v>
      </c>
      <c r="I5803">
        <v>-62.198230000000002</v>
      </c>
      <c r="J5803">
        <v>-213.45</v>
      </c>
      <c r="K5803">
        <v>1.1029409999999999</v>
      </c>
      <c r="L5803">
        <v>-62.082729999999998</v>
      </c>
      <c r="M5803">
        <v>0.99948539999999997</v>
      </c>
      <c r="N5803">
        <v>0</v>
      </c>
      <c r="O5803">
        <v>-3.1912700000000002E-2</v>
      </c>
      <c r="P5803">
        <v>0.99930110000000005</v>
      </c>
      <c r="Q5803">
        <v>-9.2560000000000003E-3</v>
      </c>
      <c r="R5803">
        <v>3.6215070000000002E-2</v>
      </c>
      <c r="S5803">
        <v>3.0112299999999999</v>
      </c>
      <c r="T5803">
        <v>-0.78436019999999995</v>
      </c>
      <c r="U5803">
        <v>-0.45495609999999997</v>
      </c>
      <c r="V5803">
        <v>-6.8091639999999995E-2</v>
      </c>
      <c r="W5803">
        <v>-5.9641829999999996E-3</v>
      </c>
      <c r="X5803">
        <v>0.99766119999999903</v>
      </c>
      <c r="Y5803">
        <v>0.11505</v>
      </c>
      <c r="Z5803">
        <v>-6.5325039999999997E-3</v>
      </c>
      <c r="AA5803">
        <v>0.99333819999999995</v>
      </c>
      <c r="AB5803">
        <v>19</v>
      </c>
      <c r="AC5803">
        <v>0.67359999999999298</v>
      </c>
      <c r="AD5803">
        <v>-0.2062379</v>
      </c>
      <c r="AE5803">
        <v>-0.11549999999999699</v>
      </c>
      <c r="AF5803">
        <v>8.61036885097516E-2</v>
      </c>
      <c r="AG5803">
        <v>-0.2062379</v>
      </c>
      <c r="AH5803">
        <v>0.62044264944983196</v>
      </c>
      <c r="AI5803">
        <v>108.224079042768</v>
      </c>
      <c r="AJ5803">
        <v>82.0990798125098</v>
      </c>
      <c r="AK5803">
        <v>0.65946720754539501</v>
      </c>
    </row>
    <row r="5804" spans="1:37" x14ac:dyDescent="0.2">
      <c r="A5804" t="str">
        <f>"20200111160329958"</f>
        <v>20200111160329958</v>
      </c>
      <c r="B5804" t="str">
        <f>"1578729809949177"</f>
        <v>1578729809949177</v>
      </c>
      <c r="C5804" t="s">
        <v>37</v>
      </c>
      <c r="D5804">
        <v>4.7465190000000002</v>
      </c>
      <c r="E5804">
        <v>0.53583210000000003</v>
      </c>
      <c r="F5804" t="s">
        <v>42</v>
      </c>
      <c r="G5804">
        <v>-212.74549999999999</v>
      </c>
      <c r="H5804">
        <v>0.95698809999999901</v>
      </c>
      <c r="I5804">
        <v>-62.118719999999897</v>
      </c>
      <c r="J5804">
        <v>-213.3486</v>
      </c>
      <c r="K5804">
        <v>1.102938</v>
      </c>
      <c r="L5804">
        <v>-62.086300000000001</v>
      </c>
      <c r="M5804">
        <v>0.99947520000000001</v>
      </c>
      <c r="N5804">
        <v>0</v>
      </c>
      <c r="O5804">
        <v>-3.2238139999999998E-2</v>
      </c>
      <c r="P5804">
        <v>0.99927379999999999</v>
      </c>
      <c r="Q5804">
        <v>-9.071618E-3</v>
      </c>
      <c r="R5804">
        <v>3.7008869999999999E-2</v>
      </c>
      <c r="S5804">
        <v>3.0018769999999999</v>
      </c>
      <c r="T5804">
        <v>-0.62184969999999995</v>
      </c>
      <c r="U5804">
        <v>-0.153228799999999</v>
      </c>
      <c r="V5804">
        <v>-6.9209119999999999E-2</v>
      </c>
      <c r="W5804">
        <v>-5.84510699999999E-3</v>
      </c>
      <c r="X5804">
        <v>0.9975851</v>
      </c>
      <c r="Y5804">
        <v>1.903438E-2</v>
      </c>
      <c r="Z5804">
        <v>4.6521749999999997E-3</v>
      </c>
      <c r="AA5804">
        <v>0.99980800000000003</v>
      </c>
      <c r="AB5804">
        <v>19</v>
      </c>
      <c r="AC5804">
        <v>0.60310000000001196</v>
      </c>
      <c r="AD5804">
        <v>-0.14594989999999999</v>
      </c>
      <c r="AE5804">
        <v>-3.2419999999994703E-2</v>
      </c>
      <c r="AF5804">
        <v>1.2245171712238699E-2</v>
      </c>
      <c r="AG5804">
        <v>-0.14594989999999999</v>
      </c>
      <c r="AH5804">
        <v>0.57051636776853598</v>
      </c>
      <c r="AI5804">
        <v>104.346527447136</v>
      </c>
      <c r="AJ5804">
        <v>88.770431503487302</v>
      </c>
      <c r="AK5804">
        <v>0.58901633545435395</v>
      </c>
    </row>
    <row r="5805" spans="1:37" x14ac:dyDescent="0.2">
      <c r="A5805" t="str">
        <f>"20200111160329973"</f>
        <v>20200111160329973</v>
      </c>
      <c r="B5805" t="str">
        <f>"1578729809968697"</f>
        <v>1578729809968697</v>
      </c>
      <c r="C5805" t="s">
        <v>37</v>
      </c>
      <c r="D5805">
        <v>4.6149050000000003</v>
      </c>
      <c r="E5805">
        <v>0.46456729999999902</v>
      </c>
      <c r="F5805" t="s">
        <v>42</v>
      </c>
      <c r="G5805">
        <v>-212.58260000000001</v>
      </c>
      <c r="H5805">
        <v>0.944434199999999</v>
      </c>
      <c r="I5805">
        <v>-62.1250199999999</v>
      </c>
      <c r="J5805">
        <v>-213.22620000000001</v>
      </c>
      <c r="K5805">
        <v>1.10294</v>
      </c>
      <c r="L5805">
        <v>-62.090669999999903</v>
      </c>
      <c r="M5805">
        <v>0.99946259999999998</v>
      </c>
      <c r="N5805">
        <v>0</v>
      </c>
      <c r="O5805">
        <v>-3.263129E-2</v>
      </c>
      <c r="P5805">
        <v>0.99919469999999999</v>
      </c>
      <c r="Q5805">
        <v>-8.9418980000000002E-3</v>
      </c>
      <c r="R5805">
        <v>3.9113559999999999E-2</v>
      </c>
      <c r="S5805">
        <v>3.0021360000000001</v>
      </c>
      <c r="T5805">
        <v>-0.62116400000000005</v>
      </c>
      <c r="U5805">
        <v>-0.15118409999999999</v>
      </c>
      <c r="V5805">
        <v>-7.1702470000000004E-2</v>
      </c>
      <c r="W5805">
        <v>-5.7822819999999997E-3</v>
      </c>
      <c r="X5805">
        <v>0.99740930000000005</v>
      </c>
      <c r="Y5805">
        <v>1.798725E-2</v>
      </c>
      <c r="Z5805">
        <v>4.83436299999999E-3</v>
      </c>
      <c r="AA5805">
        <v>0.99982660000000001</v>
      </c>
      <c r="AB5805">
        <v>19</v>
      </c>
      <c r="AC5805">
        <v>0.64359999999999196</v>
      </c>
      <c r="AD5805">
        <v>-0.1585058</v>
      </c>
      <c r="AE5805">
        <v>-3.43499999999963E-2</v>
      </c>
      <c r="AF5805">
        <v>1.25698620622693E-2</v>
      </c>
      <c r="AG5805">
        <v>-0.1585058</v>
      </c>
      <c r="AH5805">
        <v>0.60762786826981996</v>
      </c>
      <c r="AI5805">
        <v>104.617366977801</v>
      </c>
      <c r="AJ5805">
        <v>88.814904031872302</v>
      </c>
      <c r="AK5805">
        <v>0.62808734771847596</v>
      </c>
    </row>
    <row r="5806" spans="1:37" x14ac:dyDescent="0.2">
      <c r="A5806" t="str">
        <f>"20200111160329984"</f>
        <v>20200111160329984</v>
      </c>
      <c r="B5806" t="str">
        <f>"1578729809978457"</f>
        <v>1578729809978457</v>
      </c>
      <c r="C5806" t="s">
        <v>37</v>
      </c>
      <c r="D5806">
        <v>4.5745659999999999</v>
      </c>
      <c r="E5806">
        <v>0.45399079999999897</v>
      </c>
      <c r="F5806" t="s">
        <v>64</v>
      </c>
      <c r="G5806">
        <v>-204.19759999999999</v>
      </c>
      <c r="H5806" s="1">
        <v>-3.59044699999999E-6</v>
      </c>
      <c r="I5806">
        <v>-60.84084</v>
      </c>
      <c r="J5806">
        <v>-213.12309999999999</v>
      </c>
      <c r="K5806">
        <v>1.102938</v>
      </c>
      <c r="L5806">
        <v>-62.0944199999999</v>
      </c>
      <c r="M5806">
        <v>0.99945189999999995</v>
      </c>
      <c r="N5806">
        <v>0</v>
      </c>
      <c r="O5806">
        <v>-3.2962980000000003E-2</v>
      </c>
      <c r="P5806">
        <v>0.99916139999999998</v>
      </c>
      <c r="Q5806">
        <v>-8.7857739999999997E-3</v>
      </c>
      <c r="R5806">
        <v>3.9994399999999999E-2</v>
      </c>
      <c r="S5806">
        <v>2.9829859999999999</v>
      </c>
      <c r="T5806">
        <v>-0.36440209999999901</v>
      </c>
      <c r="U5806">
        <v>0.412933299999999</v>
      </c>
      <c r="V5806">
        <v>-7.2912859999999996E-2</v>
      </c>
      <c r="W5806">
        <v>-5.6692180000000002E-3</v>
      </c>
      <c r="X5806">
        <v>0.99732219999999905</v>
      </c>
      <c r="Y5806">
        <v>-0.16822989999999999</v>
      </c>
      <c r="Z5806">
        <v>1.418415E-2</v>
      </c>
      <c r="AA5806">
        <v>0.98564569999999996</v>
      </c>
      <c r="AB5806">
        <v>19</v>
      </c>
      <c r="AC5806">
        <v>8.9254999999999995</v>
      </c>
      <c r="AD5806">
        <v>-1.1029415904469999</v>
      </c>
      <c r="AE5806">
        <v>1.2535799999999899</v>
      </c>
      <c r="AF5806">
        <v>-1.5242855871816201</v>
      </c>
      <c r="AG5806">
        <v>-1.1029415904469999</v>
      </c>
      <c r="AH5806">
        <v>8.7483246512009298</v>
      </c>
      <c r="AI5806">
        <v>97.080071031509902</v>
      </c>
      <c r="AJ5806">
        <v>99.883846182791899</v>
      </c>
      <c r="AK5806">
        <v>8.9483580005516892</v>
      </c>
    </row>
    <row r="5807" spans="1:37" x14ac:dyDescent="0.2">
      <c r="A5807" t="str">
        <f>"20200111160329996"</f>
        <v>20200111160329996</v>
      </c>
      <c r="B5807" t="str">
        <f>"1578729809989194"</f>
        <v>1578729809989194</v>
      </c>
      <c r="C5807" t="s">
        <v>37</v>
      </c>
      <c r="D5807">
        <v>4.5870800000000003</v>
      </c>
      <c r="E5807">
        <v>0.45061089999999998</v>
      </c>
      <c r="F5807" t="s">
        <v>64</v>
      </c>
      <c r="G5807">
        <v>-202.2705</v>
      </c>
      <c r="H5807" s="1">
        <v>-4.5681459999999902E-6</v>
      </c>
      <c r="I5807">
        <v>-60.282919999999997</v>
      </c>
      <c r="J5807">
        <v>-213.02670000000001</v>
      </c>
      <c r="K5807">
        <v>1.1029370000000001</v>
      </c>
      <c r="L5807">
        <v>-62.097929999999998</v>
      </c>
      <c r="M5807">
        <v>0.99944169999999999</v>
      </c>
      <c r="N5807">
        <v>0</v>
      </c>
      <c r="O5807">
        <v>-3.3273230000000001E-2</v>
      </c>
      <c r="P5807">
        <v>0.99910859999999901</v>
      </c>
      <c r="Q5807">
        <v>-8.7792210000000002E-3</v>
      </c>
      <c r="R5807">
        <v>4.129538E-2</v>
      </c>
      <c r="S5807">
        <v>2.9799349999999998</v>
      </c>
      <c r="T5807">
        <v>-0.30284859999999902</v>
      </c>
      <c r="U5807">
        <v>0.49740600000000001</v>
      </c>
      <c r="V5807">
        <v>-7.4521089999999998E-2</v>
      </c>
      <c r="W5807">
        <v>-5.6924899999999997E-3</v>
      </c>
      <c r="X5807">
        <v>0.99720319999999996</v>
      </c>
      <c r="Y5807">
        <v>-0.19621710000000001</v>
      </c>
      <c r="Z5807">
        <v>1.3228989999999999E-2</v>
      </c>
      <c r="AA5807">
        <v>0.98047129999999905</v>
      </c>
      <c r="AB5807">
        <v>19</v>
      </c>
      <c r="AC5807">
        <v>10.7562</v>
      </c>
      <c r="AD5807">
        <v>-1.102941568146</v>
      </c>
      <c r="AE5807">
        <v>1.81501</v>
      </c>
      <c r="AF5807">
        <v>-2.1499207257627999</v>
      </c>
      <c r="AG5807">
        <v>-1.102941568146</v>
      </c>
      <c r="AH5807">
        <v>10.581672261141099</v>
      </c>
      <c r="AI5807">
        <v>95.832214929169794</v>
      </c>
      <c r="AJ5807">
        <v>101.484687813706</v>
      </c>
      <c r="AK5807">
        <v>10.854051182485399</v>
      </c>
    </row>
    <row r="5808" spans="1:37" x14ac:dyDescent="0.2">
      <c r="A5808" t="str">
        <f>"20200111160330008"</f>
        <v>20200111160330008</v>
      </c>
      <c r="B5808" t="str">
        <f>"1578729809998953"</f>
        <v>1578729809998953</v>
      </c>
      <c r="C5808" t="s">
        <v>37</v>
      </c>
      <c r="D5808">
        <v>4.5616300000000001</v>
      </c>
      <c r="E5808">
        <v>0.44905020000000001</v>
      </c>
      <c r="F5808" t="s">
        <v>64</v>
      </c>
      <c r="G5808">
        <v>-201.4973</v>
      </c>
      <c r="H5808" s="1">
        <v>-5.0122710000000001E-6</v>
      </c>
      <c r="I5808">
        <v>-60.056800000000003</v>
      </c>
      <c r="J5808">
        <v>-212.91909999999999</v>
      </c>
      <c r="K5808">
        <v>1.102935</v>
      </c>
      <c r="L5808">
        <v>-62.101869999999998</v>
      </c>
      <c r="M5808">
        <v>0.99943009999999999</v>
      </c>
      <c r="N5808">
        <v>0</v>
      </c>
      <c r="O5808">
        <v>-3.3619499999999997E-2</v>
      </c>
      <c r="P5808">
        <v>0.999065599999999</v>
      </c>
      <c r="Q5808">
        <v>-8.8324289999999993E-3</v>
      </c>
      <c r="R5808">
        <v>4.2308610000000003E-2</v>
      </c>
      <c r="S5808">
        <v>2.9784090000000001</v>
      </c>
      <c r="T5808">
        <v>-0.28492279999999998</v>
      </c>
      <c r="U5808">
        <v>0.52728269999999899</v>
      </c>
      <c r="V5808">
        <v>-7.5877609999999998E-2</v>
      </c>
      <c r="W5808">
        <v>-5.7726219999999998E-3</v>
      </c>
      <c r="X5808">
        <v>0.9971004</v>
      </c>
      <c r="Y5808">
        <v>-0.20626720000000001</v>
      </c>
      <c r="Z5808">
        <v>1.295427E-2</v>
      </c>
      <c r="AA5808">
        <v>0.97840990000000005</v>
      </c>
      <c r="AB5808">
        <v>19</v>
      </c>
      <c r="AC5808">
        <v>11.4217999999999</v>
      </c>
      <c r="AD5808">
        <v>-1.102940012271</v>
      </c>
      <c r="AE5808">
        <v>2.0450699999999902</v>
      </c>
      <c r="AF5808">
        <v>-2.4061710338850899</v>
      </c>
      <c r="AG5808">
        <v>-1.102940012271</v>
      </c>
      <c r="AH5808">
        <v>11.2449897350703</v>
      </c>
      <c r="AI5808">
        <v>95.478574640719202</v>
      </c>
      <c r="AJ5808">
        <v>102.077853617861</v>
      </c>
      <c r="AK5808">
        <v>11.5523127492642</v>
      </c>
    </row>
    <row r="5809" spans="1:37" x14ac:dyDescent="0.2">
      <c r="A5809" t="str">
        <f>"20200111160330021"</f>
        <v>20200111160330021</v>
      </c>
      <c r="B5809" t="str">
        <f>"1578729810018473"</f>
        <v>1578729810018473</v>
      </c>
      <c r="C5809" t="s">
        <v>37</v>
      </c>
      <c r="D5809">
        <v>4.4656640000000003</v>
      </c>
      <c r="E5809">
        <v>0.44624639999999999</v>
      </c>
      <c r="F5809" t="s">
        <v>64</v>
      </c>
      <c r="G5809">
        <v>-201.13630000000001</v>
      </c>
      <c r="H5809" s="1">
        <v>-5.2186100000000002E-6</v>
      </c>
      <c r="I5809">
        <v>-59.955619999999897</v>
      </c>
      <c r="J5809">
        <v>-212.8117</v>
      </c>
      <c r="K5809">
        <v>1.102932</v>
      </c>
      <c r="L5809">
        <v>-62.105829999999997</v>
      </c>
      <c r="M5809">
        <v>0.99941859999999905</v>
      </c>
      <c r="N5809">
        <v>0</v>
      </c>
      <c r="O5809">
        <v>-3.3965790000000003E-2</v>
      </c>
      <c r="P5809">
        <v>0.99901119999999899</v>
      </c>
      <c r="Q5809">
        <v>-8.9904269999999901E-3</v>
      </c>
      <c r="R5809">
        <v>4.3547130000000003E-2</v>
      </c>
      <c r="S5809">
        <v>2.9773559999999999</v>
      </c>
      <c r="T5809">
        <v>-0.27869859999999902</v>
      </c>
      <c r="U5809">
        <v>0.54232789999999997</v>
      </c>
      <c r="V5809">
        <v>-7.7458810000000003E-2</v>
      </c>
      <c r="W5809">
        <v>-5.9417630000000001E-3</v>
      </c>
      <c r="X5809">
        <v>0.99697789999999997</v>
      </c>
      <c r="Y5809">
        <v>-0.21147479999999999</v>
      </c>
      <c r="Z5809">
        <v>1.294472E-2</v>
      </c>
      <c r="AA5809">
        <v>0.97729769999999905</v>
      </c>
      <c r="AB5809">
        <v>19</v>
      </c>
      <c r="AC5809">
        <v>11.6753999999999</v>
      </c>
      <c r="AD5809">
        <v>-1.1029372186099999</v>
      </c>
      <c r="AE5809">
        <v>2.15021</v>
      </c>
      <c r="AF5809">
        <v>-2.5237521682400601</v>
      </c>
      <c r="AG5809">
        <v>-1.1029372186099999</v>
      </c>
      <c r="AH5809">
        <v>11.4964012820818</v>
      </c>
      <c r="AI5809">
        <v>95.353340457532099</v>
      </c>
      <c r="AJ5809">
        <v>102.38147910202601</v>
      </c>
      <c r="AK5809">
        <v>11.821718908582801</v>
      </c>
    </row>
    <row r="5810" spans="1:37" x14ac:dyDescent="0.2">
      <c r="A5810" t="str">
        <f>"20200111160330044"</f>
        <v>20200111160330044</v>
      </c>
      <c r="B5810" t="str">
        <f>"1578729810038969"</f>
        <v>1578729810038969</v>
      </c>
      <c r="C5810" t="s">
        <v>37</v>
      </c>
      <c r="D5810">
        <v>4.4921379999999997</v>
      </c>
      <c r="E5810">
        <v>0.445750599999999</v>
      </c>
      <c r="F5810" t="s">
        <v>64</v>
      </c>
      <c r="G5810">
        <v>-200.20160000000001</v>
      </c>
      <c r="H5810" s="1">
        <v>-5.7385519999999999E-6</v>
      </c>
      <c r="I5810">
        <v>-59.701209999999897</v>
      </c>
      <c r="J5810">
        <v>-212.60159999999999</v>
      </c>
      <c r="K5810">
        <v>1.1029279999999999</v>
      </c>
      <c r="L5810">
        <v>-62.11374</v>
      </c>
      <c r="M5810">
        <v>0.99939549999999999</v>
      </c>
      <c r="N5810">
        <v>0</v>
      </c>
      <c r="O5810">
        <v>-3.4640650000000002E-2</v>
      </c>
      <c r="P5810">
        <v>0.99887950000000003</v>
      </c>
      <c r="Q5810">
        <v>-8.9987859999999999E-3</v>
      </c>
      <c r="R5810">
        <v>4.6463009999999999E-2</v>
      </c>
      <c r="S5810">
        <v>2.9758909999999998</v>
      </c>
      <c r="T5810">
        <v>-0.26028499999999999</v>
      </c>
      <c r="U5810">
        <v>0.56747440000000005</v>
      </c>
      <c r="V5810">
        <v>-8.1041820000000001E-2</v>
      </c>
      <c r="W5810">
        <v>-5.9505119999999998E-3</v>
      </c>
      <c r="X5810">
        <v>0.99669300000000005</v>
      </c>
      <c r="Y5810">
        <v>-0.22028989999999901</v>
      </c>
      <c r="Z5810">
        <v>1.252927E-2</v>
      </c>
      <c r="AA5810">
        <v>0.97535400000000005</v>
      </c>
      <c r="AB5810">
        <v>19</v>
      </c>
      <c r="AC5810">
        <v>12.399999999999901</v>
      </c>
      <c r="AD5810">
        <v>-1.1029337385519999</v>
      </c>
      <c r="AE5810">
        <v>2.4125299999999998</v>
      </c>
      <c r="AF5810">
        <v>-2.8191380109337199</v>
      </c>
      <c r="AG5810">
        <v>-1.1029337385519999</v>
      </c>
      <c r="AH5810">
        <v>12.2158657088676</v>
      </c>
      <c r="AI5810">
        <v>95.027635267042498</v>
      </c>
      <c r="AJ5810">
        <v>102.99502682679601</v>
      </c>
      <c r="AK5810">
        <v>12.5853636011605</v>
      </c>
    </row>
    <row r="5811" spans="1:37" x14ac:dyDescent="0.2">
      <c r="A5811" t="str">
        <f>"20200111160330056"</f>
        <v>20200111160330056</v>
      </c>
      <c r="B5811" t="str">
        <f>"1578729810048730"</f>
        <v>1578729810048730</v>
      </c>
      <c r="C5811" t="s">
        <v>37</v>
      </c>
      <c r="D5811">
        <v>4.3999110000000003</v>
      </c>
      <c r="E5811">
        <v>0.44584750000000001</v>
      </c>
      <c r="F5811" t="s">
        <v>64</v>
      </c>
      <c r="G5811">
        <v>-199.63669999999999</v>
      </c>
      <c r="H5811" s="1">
        <v>-7.5299989999999997E-6</v>
      </c>
      <c r="I5811">
        <v>-59.588250000000002</v>
      </c>
      <c r="J5811">
        <v>-212.5025</v>
      </c>
      <c r="K5811">
        <v>1.1029260000000001</v>
      </c>
      <c r="L5811">
        <v>-62.117519999999899</v>
      </c>
      <c r="M5811">
        <v>0.99938439999999995</v>
      </c>
      <c r="N5811">
        <v>0</v>
      </c>
      <c r="O5811">
        <v>-3.4957059999999998E-2</v>
      </c>
      <c r="P5811">
        <v>0.99881189999999997</v>
      </c>
      <c r="Q5811">
        <v>-8.9154549999999992E-3</v>
      </c>
      <c r="R5811">
        <v>4.7912280000000002E-2</v>
      </c>
      <c r="S5811">
        <v>2.9741209999999998</v>
      </c>
      <c r="T5811">
        <v>-0.25301230000000002</v>
      </c>
      <c r="U5811">
        <v>0.57934569999999996</v>
      </c>
      <c r="V5811">
        <v>-8.280353E-2</v>
      </c>
      <c r="W5811">
        <v>-5.8541230000000001E-3</v>
      </c>
      <c r="X5811">
        <v>0.99654869999999995</v>
      </c>
      <c r="Y5811">
        <v>-0.22449269999999999</v>
      </c>
      <c r="Z5811">
        <v>1.238648E-2</v>
      </c>
      <c r="AA5811">
        <v>0.97439709999999902</v>
      </c>
      <c r="AB5811">
        <v>19</v>
      </c>
      <c r="AC5811">
        <v>12.8658</v>
      </c>
      <c r="AD5811">
        <v>-1.102933529999</v>
      </c>
      <c r="AE5811">
        <v>2.5292699999999799</v>
      </c>
      <c r="AF5811">
        <v>-2.9565575418865899</v>
      </c>
      <c r="AG5811">
        <v>-1.102933529999</v>
      </c>
      <c r="AH5811">
        <v>12.679804371725799</v>
      </c>
      <c r="AI5811">
        <v>94.8420312623347</v>
      </c>
      <c r="AJ5811">
        <v>103.12517926019299</v>
      </c>
      <c r="AK5811">
        <v>13.066565492711501</v>
      </c>
    </row>
    <row r="5812" spans="1:37" x14ac:dyDescent="0.2">
      <c r="A5812" t="str">
        <f>"20200111160330068"</f>
        <v>20200111160330068</v>
      </c>
      <c r="B5812" t="str">
        <f>"1578729810058489"</f>
        <v>1578729810058489</v>
      </c>
      <c r="C5812" t="s">
        <v>37</v>
      </c>
      <c r="D5812">
        <v>4.4027810000000001</v>
      </c>
      <c r="E5812">
        <v>0.44545249999999997</v>
      </c>
      <c r="F5812" t="s">
        <v>64</v>
      </c>
      <c r="G5812">
        <v>-199.03790000000001</v>
      </c>
      <c r="H5812" s="1">
        <v>-7.5001030000000003E-6</v>
      </c>
      <c r="I5812">
        <v>-59.481529999999999</v>
      </c>
      <c r="J5812">
        <v>-212.39940000000001</v>
      </c>
      <c r="K5812">
        <v>1.1029279999999999</v>
      </c>
      <c r="L5812">
        <v>-62.121459999999999</v>
      </c>
      <c r="M5812">
        <v>0.99937279999999995</v>
      </c>
      <c r="N5812">
        <v>0</v>
      </c>
      <c r="O5812">
        <v>-3.5285520000000001E-2</v>
      </c>
      <c r="P5812">
        <v>0.9987338</v>
      </c>
      <c r="Q5812">
        <v>-8.6064509999999993E-3</v>
      </c>
      <c r="R5812">
        <v>4.9565640000000001E-2</v>
      </c>
      <c r="S5812">
        <v>2.973465</v>
      </c>
      <c r="T5812">
        <v>-0.24356729999999999</v>
      </c>
      <c r="U5812">
        <v>0.58212280000000005</v>
      </c>
      <c r="V5812">
        <v>-8.4780330000000001E-2</v>
      </c>
      <c r="W5812">
        <v>-5.5272339999999998E-3</v>
      </c>
      <c r="X5812">
        <v>0.9963843</v>
      </c>
      <c r="Y5812">
        <v>-0.2257904</v>
      </c>
      <c r="Z5812">
        <v>1.2006360000000001E-2</v>
      </c>
      <c r="AA5812">
        <v>0.97410189999999997</v>
      </c>
      <c r="AB5812">
        <v>19</v>
      </c>
      <c r="AC5812">
        <v>13.361499999999999</v>
      </c>
      <c r="AD5812">
        <v>-1.1029355001029999</v>
      </c>
      <c r="AE5812">
        <v>2.6399299999999899</v>
      </c>
      <c r="AF5812">
        <v>-3.0894952853728102</v>
      </c>
      <c r="AG5812">
        <v>-1.1029355001029999</v>
      </c>
      <c r="AH5812">
        <v>13.1736374104627</v>
      </c>
      <c r="AI5812">
        <v>94.659954890875895</v>
      </c>
      <c r="AJ5812">
        <v>103.198542799507</v>
      </c>
      <c r="AK5812">
        <v>13.5759408682444</v>
      </c>
    </row>
    <row r="5813" spans="1:37" x14ac:dyDescent="0.2">
      <c r="A5813" t="str">
        <f>"20200111160330081"</f>
        <v>20200111160330081</v>
      </c>
      <c r="B5813" t="str">
        <f>"1578729810078985"</f>
        <v>1578729810078985</v>
      </c>
      <c r="C5813" t="s">
        <v>37</v>
      </c>
      <c r="D5813">
        <v>4.4449069999999997</v>
      </c>
      <c r="E5813">
        <v>0.44554359999999998</v>
      </c>
      <c r="F5813" t="s">
        <v>64</v>
      </c>
      <c r="G5813">
        <v>-199.3528</v>
      </c>
      <c r="H5813" s="1">
        <v>-7.5181190000000004E-6</v>
      </c>
      <c r="I5813">
        <v>-59.531109999999998</v>
      </c>
      <c r="J5813">
        <v>-212.2893</v>
      </c>
      <c r="K5813">
        <v>1.102938</v>
      </c>
      <c r="L5813">
        <v>-62.125729999999997</v>
      </c>
      <c r="M5813">
        <v>0.99936029999999998</v>
      </c>
      <c r="N5813">
        <v>0</v>
      </c>
      <c r="O5813">
        <v>-3.5630929999999998E-2</v>
      </c>
      <c r="P5813">
        <v>0.99866779999999999</v>
      </c>
      <c r="Q5813">
        <v>-8.2647199999999997E-3</v>
      </c>
      <c r="R5813">
        <v>5.0934739999999999E-2</v>
      </c>
      <c r="S5813">
        <v>2.97235099999999</v>
      </c>
      <c r="T5813">
        <v>-0.25127769999999999</v>
      </c>
      <c r="U5813">
        <v>0.59014889999999998</v>
      </c>
      <c r="V5813">
        <v>-8.6490300000000006E-2</v>
      </c>
      <c r="W5813">
        <v>-5.1539530000000002E-3</v>
      </c>
      <c r="X5813">
        <v>0.9962394</v>
      </c>
      <c r="Y5813">
        <v>-0.22866139999999999</v>
      </c>
      <c r="Z5813">
        <v>1.253541E-2</v>
      </c>
      <c r="AA5813">
        <v>0.97342530000000005</v>
      </c>
      <c r="AB5813">
        <v>19</v>
      </c>
      <c r="AC5813">
        <v>12.936499999999899</v>
      </c>
      <c r="AD5813">
        <v>-1.102945518119</v>
      </c>
      <c r="AE5813">
        <v>2.5946199999999999</v>
      </c>
      <c r="AF5813">
        <v>-3.0327217926207801</v>
      </c>
      <c r="AG5813">
        <v>-1.102945518119</v>
      </c>
      <c r="AH5813">
        <v>12.746763222106299</v>
      </c>
      <c r="AI5813">
        <v>94.811688549912006</v>
      </c>
      <c r="AJ5813">
        <v>103.383046191552</v>
      </c>
      <c r="AK5813">
        <v>13.148911092855499</v>
      </c>
    </row>
    <row r="5814" spans="1:37" x14ac:dyDescent="0.2">
      <c r="A5814" t="str">
        <f>"20200111160330096"</f>
        <v>20200111160330096</v>
      </c>
      <c r="B5814" t="str">
        <f>"1578729810088745"</f>
        <v>1578729810088745</v>
      </c>
      <c r="C5814" t="s">
        <v>37</v>
      </c>
      <c r="D5814">
        <v>4.3235029999999997</v>
      </c>
      <c r="E5814">
        <v>0.44554650000000001</v>
      </c>
      <c r="F5814" t="s">
        <v>64</v>
      </c>
      <c r="G5814">
        <v>-198.91820000000001</v>
      </c>
      <c r="H5814" s="1">
        <v>-7.4950859999999996E-6</v>
      </c>
      <c r="I5814">
        <v>-59.457469999999901</v>
      </c>
      <c r="J5814">
        <v>-212.15599999999901</v>
      </c>
      <c r="K5814">
        <v>1.1029530000000001</v>
      </c>
      <c r="L5814">
        <v>-62.130919999999897</v>
      </c>
      <c r="M5814">
        <v>0.9993455</v>
      </c>
      <c r="N5814">
        <v>0</v>
      </c>
      <c r="O5814">
        <v>-3.6044060000000003E-2</v>
      </c>
      <c r="P5814">
        <v>0.99850969999999994</v>
      </c>
      <c r="Q5814">
        <v>-7.6130819999999898E-3</v>
      </c>
      <c r="R5814">
        <v>5.4042630000000001E-2</v>
      </c>
      <c r="S5814">
        <v>2.9717099999999999</v>
      </c>
      <c r="T5814">
        <v>-0.2451284</v>
      </c>
      <c r="U5814">
        <v>0.59301759999999903</v>
      </c>
      <c r="V5814">
        <v>-9.0001590000000006E-2</v>
      </c>
      <c r="W5814">
        <v>-4.455316E-3</v>
      </c>
      <c r="X5814">
        <v>0.99593169999999898</v>
      </c>
      <c r="Y5814">
        <v>-0.23004530000000001</v>
      </c>
      <c r="Z5814">
        <v>1.232128E-2</v>
      </c>
      <c r="AA5814">
        <v>0.97310189999999996</v>
      </c>
      <c r="AB5814">
        <v>20</v>
      </c>
      <c r="AC5814">
        <v>13.237799999999901</v>
      </c>
      <c r="AD5814">
        <v>-1.1029604950859999</v>
      </c>
      <c r="AE5814">
        <v>2.6734499999999999</v>
      </c>
      <c r="AF5814">
        <v>-3.1279953054393999</v>
      </c>
      <c r="AG5814">
        <v>-1.1029604950859999</v>
      </c>
      <c r="AH5814">
        <v>13.0458197658406</v>
      </c>
      <c r="AI5814">
        <v>94.699996191374694</v>
      </c>
      <c r="AJ5814">
        <v>103.483268578422</v>
      </c>
      <c r="AK5814">
        <v>13.4608428356982</v>
      </c>
    </row>
    <row r="5815" spans="1:37" x14ac:dyDescent="0.2">
      <c r="A5815" t="str">
        <f>"20200111160330107"</f>
        <v>20200111160330107</v>
      </c>
      <c r="B5815" t="str">
        <f>"1578729810098505"</f>
        <v>1578729810098505</v>
      </c>
      <c r="C5815" t="s">
        <v>37</v>
      </c>
      <c r="D5815">
        <v>4.3516300000000001</v>
      </c>
      <c r="E5815">
        <v>0.44560559999999899</v>
      </c>
      <c r="F5815" t="s">
        <v>64</v>
      </c>
      <c r="G5815">
        <v>-198.62200000000001</v>
      </c>
      <c r="H5815" s="1">
        <v>-7.4858420000000003E-6</v>
      </c>
      <c r="I5815">
        <v>-59.38888</v>
      </c>
      <c r="J5815">
        <v>-212.053</v>
      </c>
      <c r="K5815">
        <v>1.102965</v>
      </c>
      <c r="L5815">
        <v>-62.134979999999999</v>
      </c>
      <c r="M5815">
        <v>0.99933399999999994</v>
      </c>
      <c r="N5815">
        <v>0</v>
      </c>
      <c r="O5815">
        <v>-3.6358130000000002E-2</v>
      </c>
      <c r="P5815">
        <v>0.99843819999999905</v>
      </c>
      <c r="Q5815">
        <v>-7.0979779999999996E-3</v>
      </c>
      <c r="R5815">
        <v>5.5417540000000001E-2</v>
      </c>
      <c r="S5815">
        <v>2.9700470000000001</v>
      </c>
      <c r="T5815">
        <v>-0.24204600000000001</v>
      </c>
      <c r="U5815">
        <v>0.60174559999999999</v>
      </c>
      <c r="V5815">
        <v>-9.1685649999999994E-2</v>
      </c>
      <c r="W5815">
        <v>-3.8981559999999998E-3</v>
      </c>
      <c r="X5815">
        <v>0.99578029999999995</v>
      </c>
      <c r="Y5815">
        <v>-0.23321309999999901</v>
      </c>
      <c r="Z5815">
        <v>1.2322980000000001E-2</v>
      </c>
      <c r="AA5815">
        <v>0.97234759999999998</v>
      </c>
      <c r="AB5815">
        <v>20</v>
      </c>
      <c r="AC5815">
        <v>13.4309999999999</v>
      </c>
      <c r="AD5815">
        <v>-1.102972485842</v>
      </c>
      <c r="AE5815">
        <v>2.74609999999999</v>
      </c>
      <c r="AF5815">
        <v>-3.2118215956569802</v>
      </c>
      <c r="AG5815">
        <v>-1.102972485842</v>
      </c>
      <c r="AH5815">
        <v>13.236591504746601</v>
      </c>
      <c r="AI5815">
        <v>94.629580713670407</v>
      </c>
      <c r="AJ5815">
        <v>103.639058585585</v>
      </c>
      <c r="AK5815">
        <v>13.665273540269199</v>
      </c>
    </row>
    <row r="5816" spans="1:37" x14ac:dyDescent="0.2">
      <c r="A5816" t="str">
        <f>"20200111160330120"</f>
        <v>20200111160330120</v>
      </c>
      <c r="B5816" t="str">
        <f>"1578729810109242"</f>
        <v>1578729810109242</v>
      </c>
      <c r="C5816" t="s">
        <v>37</v>
      </c>
      <c r="D5816">
        <v>4.6468749999999996</v>
      </c>
      <c r="E5816">
        <v>0.44577050000000001</v>
      </c>
      <c r="F5816" t="s">
        <v>64</v>
      </c>
      <c r="G5816">
        <v>-198.33779999999999</v>
      </c>
      <c r="H5816" s="1">
        <v>-7.4711429999999996E-6</v>
      </c>
      <c r="I5816">
        <v>-59.339689999999997</v>
      </c>
      <c r="J5816">
        <v>-211.94399999999999</v>
      </c>
      <c r="K5816">
        <v>1.102983</v>
      </c>
      <c r="L5816">
        <v>-62.139309999999902</v>
      </c>
      <c r="M5816">
        <v>0.99932209999999999</v>
      </c>
      <c r="N5816">
        <v>0</v>
      </c>
      <c r="O5816">
        <v>-3.668043E-2</v>
      </c>
      <c r="P5816">
        <v>0.99837520000000002</v>
      </c>
      <c r="Q5816">
        <v>-6.5555500000000003E-3</v>
      </c>
      <c r="R5816">
        <v>5.6606650000000001E-2</v>
      </c>
      <c r="S5816">
        <v>2.9694060000000002</v>
      </c>
      <c r="T5816">
        <v>-0.2387987</v>
      </c>
      <c r="U5816">
        <v>0.60519409999999996</v>
      </c>
      <c r="V5816">
        <v>-9.3192369999999997E-2</v>
      </c>
      <c r="W5816">
        <v>-3.3015329999999902E-3</v>
      </c>
      <c r="X5816">
        <v>0.99564269999999999</v>
      </c>
      <c r="Y5816">
        <v>-0.23466899999999999</v>
      </c>
      <c r="Z5816">
        <v>1.2242869999999999E-2</v>
      </c>
      <c r="AA5816">
        <v>0.97199829999999998</v>
      </c>
      <c r="AB5816">
        <v>20</v>
      </c>
      <c r="AC5816">
        <v>13.606199999999999</v>
      </c>
      <c r="AD5816">
        <v>-1.1029904711430001</v>
      </c>
      <c r="AE5816">
        <v>2.7996199999999898</v>
      </c>
      <c r="AF5816">
        <v>-3.2761646060937202</v>
      </c>
      <c r="AG5816">
        <v>-1.1029904711430001</v>
      </c>
      <c r="AH5816">
        <v>13.409807556116499</v>
      </c>
      <c r="AI5816">
        <v>94.568368922839895</v>
      </c>
      <c r="AJ5816">
        <v>103.729057865483</v>
      </c>
      <c r="AK5816">
        <v>13.848204981070101</v>
      </c>
    </row>
    <row r="5817" spans="1:37" x14ac:dyDescent="0.2">
      <c r="A5817" t="str">
        <f>"20200111160330135"</f>
        <v>20200111160330135</v>
      </c>
      <c r="B5817" t="str">
        <f>"1578729810128762"</f>
        <v>1578729810128762</v>
      </c>
      <c r="C5817" t="s">
        <v>37</v>
      </c>
      <c r="D5817">
        <v>4.3348059999999897</v>
      </c>
      <c r="E5817">
        <v>0.4461849</v>
      </c>
      <c r="F5817" t="s">
        <v>64</v>
      </c>
      <c r="G5817">
        <v>-197.8218</v>
      </c>
      <c r="H5817" s="1">
        <v>-7.4443199999999997E-6</v>
      </c>
      <c r="I5817">
        <v>-59.250749999999996</v>
      </c>
      <c r="J5817">
        <v>-211.81139999999999</v>
      </c>
      <c r="K5817">
        <v>1.1030059999999999</v>
      </c>
      <c r="L5817">
        <v>-62.144590000000001</v>
      </c>
      <c r="M5817">
        <v>0.99930779999999997</v>
      </c>
      <c r="N5817">
        <v>0</v>
      </c>
      <c r="O5817">
        <v>-3.7062119999999997E-2</v>
      </c>
      <c r="P5817">
        <v>0.99830629999999998</v>
      </c>
      <c r="Q5817">
        <v>-6.0495480000000001E-3</v>
      </c>
      <c r="R5817">
        <v>5.7863209999999998E-2</v>
      </c>
      <c r="S5817">
        <v>2.9689329999999998</v>
      </c>
      <c r="T5817">
        <v>-0.23188420000000001</v>
      </c>
      <c r="U5817">
        <v>0.60726930000000001</v>
      </c>
      <c r="V5817">
        <v>-9.4825119999999999E-2</v>
      </c>
      <c r="W5817">
        <v>-2.7232100000000002E-3</v>
      </c>
      <c r="X5817">
        <v>0.99549019999999999</v>
      </c>
      <c r="Y5817">
        <v>-0.23576610000000001</v>
      </c>
      <c r="Z5817">
        <v>1.196232E-2</v>
      </c>
      <c r="AA5817">
        <v>0.97173619999999905</v>
      </c>
      <c r="AB5817">
        <v>20</v>
      </c>
      <c r="AC5817">
        <v>13.9895999999999</v>
      </c>
      <c r="AD5817">
        <v>-1.1030134443199999</v>
      </c>
      <c r="AE5817">
        <v>2.89384</v>
      </c>
      <c r="AF5817">
        <v>-3.3901285215705501</v>
      </c>
      <c r="AG5817">
        <v>-1.1030134443199999</v>
      </c>
      <c r="AH5817">
        <v>13.7905241609737</v>
      </c>
      <c r="AI5817">
        <v>94.441299748265294</v>
      </c>
      <c r="AJ5817">
        <v>103.811170232872</v>
      </c>
      <c r="AK5817">
        <v>14.243881728149599</v>
      </c>
    </row>
    <row r="5818" spans="1:37" x14ac:dyDescent="0.2">
      <c r="A5818" t="str">
        <f>"20200111160330147"</f>
        <v>20200111160330147</v>
      </c>
      <c r="B5818" t="str">
        <f>"1578729810138521"</f>
        <v>1578729810138521</v>
      </c>
      <c r="C5818" t="s">
        <v>37</v>
      </c>
      <c r="D5818">
        <v>4.3246010000000004</v>
      </c>
      <c r="E5818">
        <v>0.4463337</v>
      </c>
      <c r="F5818" t="s">
        <v>64</v>
      </c>
      <c r="G5818">
        <v>-197.20359999999999</v>
      </c>
      <c r="H5818" s="1">
        <v>-7.4082660000000002E-6</v>
      </c>
      <c r="I5818">
        <v>-59.155359999999902</v>
      </c>
      <c r="J5818">
        <v>-211.69319999999999</v>
      </c>
      <c r="K5818">
        <v>1.103027</v>
      </c>
      <c r="L5818">
        <v>-62.149319999999904</v>
      </c>
      <c r="M5818">
        <v>0.99929509999999899</v>
      </c>
      <c r="N5818">
        <v>0</v>
      </c>
      <c r="O5818">
        <v>-3.7390979999999997E-2</v>
      </c>
      <c r="P5818">
        <v>0.99821879999999996</v>
      </c>
      <c r="Q5818">
        <v>-5.2948489999999999E-3</v>
      </c>
      <c r="R5818">
        <v>5.9424020000000001E-2</v>
      </c>
      <c r="S5818">
        <v>2.9685060000000001</v>
      </c>
      <c r="T5818">
        <v>-0.2241475</v>
      </c>
      <c r="U5818">
        <v>0.6074524</v>
      </c>
      <c r="V5818">
        <v>-9.6708680000000005E-2</v>
      </c>
      <c r="W5818">
        <v>-1.896596E-3</v>
      </c>
      <c r="X5818">
        <v>0.9953109</v>
      </c>
      <c r="Y5818">
        <v>-0.23622080000000001</v>
      </c>
      <c r="Z5818">
        <v>1.160742E-2</v>
      </c>
      <c r="AA5818">
        <v>0.97163009999999905</v>
      </c>
      <c r="AB5818">
        <v>20</v>
      </c>
      <c r="AC5818">
        <v>14.4895999999999</v>
      </c>
      <c r="AD5818">
        <v>-1.103034408266</v>
      </c>
      <c r="AE5818">
        <v>2.99396</v>
      </c>
      <c r="AF5818">
        <v>-3.5141187258430699</v>
      </c>
      <c r="AG5818">
        <v>-1.103034408266</v>
      </c>
      <c r="AH5818">
        <v>14.2881083991</v>
      </c>
      <c r="AI5818">
        <v>94.287183727823404</v>
      </c>
      <c r="AJ5818">
        <v>103.817481123612</v>
      </c>
      <c r="AK5818">
        <v>14.755194236253599</v>
      </c>
    </row>
    <row r="5819" spans="1:37" x14ac:dyDescent="0.2">
      <c r="A5819" t="str">
        <f>"20200111160330159"</f>
        <v>20200111160330159</v>
      </c>
      <c r="B5819" t="str">
        <f>"1578729810149258"</f>
        <v>1578729810149258</v>
      </c>
      <c r="C5819" t="s">
        <v>37</v>
      </c>
      <c r="D5819">
        <v>4.2974309999999996</v>
      </c>
      <c r="E5819">
        <v>0.44651160000000001</v>
      </c>
      <c r="F5819" t="s">
        <v>64</v>
      </c>
      <c r="G5819">
        <v>-196.8672</v>
      </c>
      <c r="H5819" s="1">
        <v>-7.3905129999999902E-6</v>
      </c>
      <c r="I5819">
        <v>-59.098119999999902</v>
      </c>
      <c r="J5819">
        <v>-211.5908</v>
      </c>
      <c r="K5819">
        <v>1.1030530000000001</v>
      </c>
      <c r="L5819">
        <v>-62.153469999999999</v>
      </c>
      <c r="M5819">
        <v>0.99928499999999998</v>
      </c>
      <c r="N5819">
        <v>0</v>
      </c>
      <c r="O5819">
        <v>-3.7659169999999999E-2</v>
      </c>
      <c r="P5819">
        <v>0.9981411</v>
      </c>
      <c r="Q5819">
        <v>-4.3474259999999997E-3</v>
      </c>
      <c r="R5819">
        <v>6.0793159999999999E-2</v>
      </c>
      <c r="S5819">
        <v>2.967819</v>
      </c>
      <c r="T5819">
        <v>-0.22080149999999901</v>
      </c>
      <c r="U5819">
        <v>0.61077879999999996</v>
      </c>
      <c r="V5819">
        <v>-9.8339880000000005E-2</v>
      </c>
      <c r="W5819">
        <v>-8.8008949999999998E-4</v>
      </c>
      <c r="X5819">
        <v>0.9951525</v>
      </c>
      <c r="Y5819">
        <v>-0.2375882</v>
      </c>
      <c r="Z5819">
        <v>1.1505960000000001E-2</v>
      </c>
      <c r="AA5819">
        <v>0.97129779999999999</v>
      </c>
      <c r="AB5819">
        <v>20</v>
      </c>
      <c r="AC5819">
        <v>14.723599999999999</v>
      </c>
      <c r="AD5819">
        <v>-1.1030603905130001</v>
      </c>
      <c r="AE5819">
        <v>3.0553499999999998</v>
      </c>
      <c r="AF5819">
        <v>-3.5883554919233398</v>
      </c>
      <c r="AG5819">
        <v>-1.1030603905130001</v>
      </c>
      <c r="AH5819">
        <v>14.5199615278434</v>
      </c>
      <c r="AI5819">
        <v>94.217916564755797</v>
      </c>
      <c r="AJ5819">
        <v>103.881512334641</v>
      </c>
      <c r="AK5819">
        <v>14.997410447526899</v>
      </c>
    </row>
    <row r="5820" spans="1:37" x14ac:dyDescent="0.2">
      <c r="A5820" t="str">
        <f>"20200111160330174"</f>
        <v>20200111160330174</v>
      </c>
      <c r="B5820" t="str">
        <f>"1578729810168777"</f>
        <v>1578729810168777</v>
      </c>
      <c r="C5820" t="s">
        <v>37</v>
      </c>
      <c r="D5820">
        <v>4.3204799999999999</v>
      </c>
      <c r="E5820">
        <v>0.447071099999999</v>
      </c>
      <c r="F5820" t="s">
        <v>64</v>
      </c>
      <c r="G5820">
        <v>-196.57149999999999</v>
      </c>
      <c r="H5820" s="1">
        <v>-7.3744579999999902E-6</v>
      </c>
      <c r="I5820">
        <v>-59.049129999999998</v>
      </c>
      <c r="J5820">
        <v>-211.45740000000001</v>
      </c>
      <c r="K5820">
        <v>1.1030899999999999</v>
      </c>
      <c r="L5820">
        <v>-62.158869999999901</v>
      </c>
      <c r="M5820">
        <v>0.99927189999999999</v>
      </c>
      <c r="N5820">
        <v>0</v>
      </c>
      <c r="O5820">
        <v>-3.799437E-2</v>
      </c>
      <c r="P5820">
        <v>0.99791249999999998</v>
      </c>
      <c r="Q5820">
        <v>-2.9681450000000002E-3</v>
      </c>
      <c r="R5820">
        <v>6.4511460000000007E-2</v>
      </c>
      <c r="S5820">
        <v>2.967285</v>
      </c>
      <c r="T5820">
        <v>-0.21792689999999901</v>
      </c>
      <c r="U5820">
        <v>0.61331179999999996</v>
      </c>
      <c r="V5820">
        <v>-0.1023797</v>
      </c>
      <c r="W5820">
        <v>5.9301060000000003E-4</v>
      </c>
      <c r="X5820">
        <v>0.994745199999999</v>
      </c>
      <c r="Y5820">
        <v>-0.23875850000000001</v>
      </c>
      <c r="Z5820">
        <v>1.1424439999999999E-2</v>
      </c>
      <c r="AA5820">
        <v>0.97101179999999998</v>
      </c>
      <c r="AB5820">
        <v>20</v>
      </c>
      <c r="AC5820">
        <v>14.885899999999999</v>
      </c>
      <c r="AD5820">
        <v>-1.1030973744579999</v>
      </c>
      <c r="AE5820">
        <v>3.10973999999998</v>
      </c>
      <c r="AF5820">
        <v>-3.6538529238748398</v>
      </c>
      <c r="AG5820">
        <v>-1.1030973744579999</v>
      </c>
      <c r="AH5820">
        <v>14.6797577184684</v>
      </c>
      <c r="AI5820">
        <v>94.170584362023007</v>
      </c>
      <c r="AJ5820">
        <v>103.977135182206</v>
      </c>
      <c r="AK5820">
        <v>15.167819608624599</v>
      </c>
    </row>
    <row r="5821" spans="1:37" x14ac:dyDescent="0.2">
      <c r="A5821" t="str">
        <f>"20200111160330185"</f>
        <v>20200111160330185</v>
      </c>
      <c r="B5821" t="str">
        <f>"1578729810178537"</f>
        <v>1578729810178537</v>
      </c>
      <c r="C5821" t="s">
        <v>37</v>
      </c>
      <c r="D5821">
        <v>4.3273799999999998</v>
      </c>
      <c r="E5821">
        <v>0.44734689999999999</v>
      </c>
      <c r="F5821" t="s">
        <v>64</v>
      </c>
      <c r="G5821">
        <v>-195.7542</v>
      </c>
      <c r="H5821" s="1">
        <v>-7.3424640000000003E-6</v>
      </c>
      <c r="I5821">
        <v>-58.878349999999998</v>
      </c>
      <c r="J5821">
        <v>-211.352</v>
      </c>
      <c r="K5821">
        <v>1.103116</v>
      </c>
      <c r="L5821">
        <v>-62.163150000000002</v>
      </c>
      <c r="M5821">
        <v>0.99926209999999904</v>
      </c>
      <c r="N5821">
        <v>0</v>
      </c>
      <c r="O5821">
        <v>-3.8242400000000003E-2</v>
      </c>
      <c r="P5821">
        <v>0.99780609999999903</v>
      </c>
      <c r="Q5821">
        <v>-2.6088249999999999E-3</v>
      </c>
      <c r="R5821">
        <v>6.6154030000000003E-2</v>
      </c>
      <c r="S5821">
        <v>2.9656069999999999</v>
      </c>
      <c r="T5821">
        <v>-0.20832289999999901</v>
      </c>
      <c r="U5821">
        <v>0.61953740000000002</v>
      </c>
      <c r="V5821">
        <v>-0.1042635</v>
      </c>
      <c r="W5821">
        <v>1.029316E-3</v>
      </c>
      <c r="X5821">
        <v>0.99454920000000002</v>
      </c>
      <c r="Y5821">
        <v>-0.24111679999999899</v>
      </c>
      <c r="Z5821">
        <v>1.102505E-2</v>
      </c>
      <c r="AA5821">
        <v>0.97043349999999995</v>
      </c>
      <c r="AB5821">
        <v>20</v>
      </c>
      <c r="AC5821">
        <v>15.597799999999999</v>
      </c>
      <c r="AD5821">
        <v>-1.1031233424639999</v>
      </c>
      <c r="AE5821">
        <v>3.2848000000000002</v>
      </c>
      <c r="AF5821">
        <v>-3.8604094225446399</v>
      </c>
      <c r="AG5821">
        <v>-1.1031233424639999</v>
      </c>
      <c r="AH5821">
        <v>15.3870765882358</v>
      </c>
      <c r="AI5821">
        <v>93.977744388668498</v>
      </c>
      <c r="AJ5821">
        <v>104.084037100698</v>
      </c>
      <c r="AK5821">
        <v>15.9022566936455</v>
      </c>
    </row>
    <row r="5822" spans="1:37" x14ac:dyDescent="0.2">
      <c r="A5822" t="str">
        <f>"20200111160330197"</f>
        <v>20200111160330197</v>
      </c>
      <c r="B5822" t="str">
        <f>"1578729810189274"</f>
        <v>1578729810189274</v>
      </c>
      <c r="C5822" t="s">
        <v>37</v>
      </c>
      <c r="D5822">
        <v>4.3780429999999999</v>
      </c>
      <c r="E5822">
        <v>0.4476369</v>
      </c>
      <c r="F5822" t="s">
        <v>64</v>
      </c>
      <c r="G5822">
        <v>-195.3794</v>
      </c>
      <c r="H5822" s="1">
        <v>-7.3235420000000002E-6</v>
      </c>
      <c r="I5822">
        <v>-58.812159999999999</v>
      </c>
      <c r="J5822">
        <v>-211.2527</v>
      </c>
      <c r="K5822">
        <v>1.103145</v>
      </c>
      <c r="L5822">
        <v>-62.167180000000002</v>
      </c>
      <c r="M5822">
        <v>0.99925350000000002</v>
      </c>
      <c r="N5822">
        <v>0</v>
      </c>
      <c r="O5822">
        <v>-3.8457760000000001E-2</v>
      </c>
      <c r="P5822">
        <v>0.99766559999999904</v>
      </c>
      <c r="Q5822">
        <v>-2.729183E-3</v>
      </c>
      <c r="R5822">
        <v>6.8233329999999995E-2</v>
      </c>
      <c r="S5822">
        <v>2.9648279999999998</v>
      </c>
      <c r="T5822">
        <v>-0.20476159999999999</v>
      </c>
      <c r="U5822">
        <v>0.62200929999999999</v>
      </c>
      <c r="V5822">
        <v>-0.10655050000000001</v>
      </c>
      <c r="W5822">
        <v>9.83063399999999E-4</v>
      </c>
      <c r="X5822">
        <v>0.99430680000000005</v>
      </c>
      <c r="Y5822">
        <v>-0.2421712</v>
      </c>
      <c r="Z5822">
        <v>1.0889579999999999E-2</v>
      </c>
      <c r="AA5822">
        <v>0.97017240000000005</v>
      </c>
      <c r="AB5822">
        <v>20</v>
      </c>
      <c r="AC5822">
        <v>15.8733</v>
      </c>
      <c r="AD5822">
        <v>-1.103152323542</v>
      </c>
      <c r="AE5822">
        <v>3.3550200000000001</v>
      </c>
      <c r="AF5822">
        <v>-3.9447557364530002</v>
      </c>
      <c r="AG5822">
        <v>-1.103152323542</v>
      </c>
      <c r="AH5822">
        <v>15.660127705958899</v>
      </c>
      <c r="AI5822">
        <v>93.907775486382107</v>
      </c>
      <c r="AJ5822">
        <v>104.13855120895801</v>
      </c>
      <c r="AK5822">
        <v>16.1869590299153</v>
      </c>
    </row>
    <row r="5823" spans="1:37" x14ac:dyDescent="0.2">
      <c r="A5823" t="str">
        <f>"20200111160330208"</f>
        <v>20200111160330208</v>
      </c>
      <c r="B5823" t="str">
        <f>"1578729810199034"</f>
        <v>1578729810199034</v>
      </c>
      <c r="C5823" t="s">
        <v>37</v>
      </c>
      <c r="D5823">
        <v>4.3372440000000001</v>
      </c>
      <c r="E5823">
        <v>0.44782420000000001</v>
      </c>
      <c r="F5823" t="s">
        <v>64</v>
      </c>
      <c r="G5823">
        <v>-195.2012</v>
      </c>
      <c r="H5823" s="1">
        <v>-7.3153899999999996E-6</v>
      </c>
      <c r="I5823">
        <v>-58.778289999999998</v>
      </c>
      <c r="J5823">
        <v>-211.14089999999999</v>
      </c>
      <c r="K5823">
        <v>1.1031739999999901</v>
      </c>
      <c r="L5823">
        <v>-62.171750000000003</v>
      </c>
      <c r="M5823">
        <v>0.99924419999999903</v>
      </c>
      <c r="N5823">
        <v>0</v>
      </c>
      <c r="O5823">
        <v>-3.8691129999999997E-2</v>
      </c>
      <c r="P5823">
        <v>0.99752339999999995</v>
      </c>
      <c r="Q5823">
        <v>-3.1592819999999998E-3</v>
      </c>
      <c r="R5823">
        <v>7.0265170000000002E-2</v>
      </c>
      <c r="S5823">
        <v>2.963654</v>
      </c>
      <c r="T5823">
        <v>-0.2036791</v>
      </c>
      <c r="U5823">
        <v>0.62570190000000003</v>
      </c>
      <c r="V5823">
        <v>-0.108807999999999</v>
      </c>
      <c r="W5823">
        <v>6.387869E-4</v>
      </c>
      <c r="X5823">
        <v>0.99406260000000002</v>
      </c>
      <c r="Y5823">
        <v>-0.24363489999999999</v>
      </c>
      <c r="Z5823">
        <v>1.090055E-2</v>
      </c>
      <c r="AA5823">
        <v>0.96980580000000005</v>
      </c>
      <c r="AB5823">
        <v>20</v>
      </c>
      <c r="AC5823">
        <v>15.939699999999901</v>
      </c>
      <c r="AD5823">
        <v>-1.1031813153899901</v>
      </c>
      <c r="AE5823">
        <v>3.3934599999999899</v>
      </c>
      <c r="AF5823">
        <v>-3.9893678851774901</v>
      </c>
      <c r="AG5823">
        <v>-1.1031813153899901</v>
      </c>
      <c r="AH5823">
        <v>15.724412903052199</v>
      </c>
      <c r="AI5823">
        <v>93.890284833030506</v>
      </c>
      <c r="AJ5823">
        <v>104.235881938557</v>
      </c>
      <c r="AK5823">
        <v>16.2600500086435</v>
      </c>
    </row>
    <row r="5824" spans="1:37" x14ac:dyDescent="0.2">
      <c r="A5824" t="str">
        <f>"20200111160330220"</f>
        <v>20200111160330220</v>
      </c>
      <c r="B5824" t="str">
        <f>"1578729810208794"</f>
        <v>1578729810208794</v>
      </c>
      <c r="C5824" t="s">
        <v>37</v>
      </c>
      <c r="D5824">
        <v>4.4614240000000001</v>
      </c>
      <c r="E5824">
        <v>0.44785229999999998</v>
      </c>
      <c r="F5824" t="s">
        <v>64</v>
      </c>
      <c r="G5824">
        <v>-195.19730000000001</v>
      </c>
      <c r="H5824" s="1">
        <v>-7.3143259999999999E-6</v>
      </c>
      <c r="I5824">
        <v>-58.780079999999998</v>
      </c>
      <c r="J5824">
        <v>-211.03479999999999</v>
      </c>
      <c r="K5824">
        <v>1.103205</v>
      </c>
      <c r="L5824">
        <v>-62.176090000000002</v>
      </c>
      <c r="M5824">
        <v>0.99923660000000003</v>
      </c>
      <c r="N5824">
        <v>0</v>
      </c>
      <c r="O5824">
        <v>-3.8879900000000002E-2</v>
      </c>
      <c r="P5824">
        <v>0.99734969999999901</v>
      </c>
      <c r="Q5824">
        <v>-3.89617E-3</v>
      </c>
      <c r="R5824">
        <v>7.2652839999999996E-2</v>
      </c>
      <c r="S5824">
        <v>2.9623870000000001</v>
      </c>
      <c r="T5824">
        <v>-0.20497599999999999</v>
      </c>
      <c r="U5824">
        <v>0.63018799999999997</v>
      </c>
      <c r="V5824">
        <v>-0.111375399999999</v>
      </c>
      <c r="W5824" s="1">
        <v>-1.5992320000000001E-5</v>
      </c>
      <c r="X5824">
        <v>0.99377839999999995</v>
      </c>
      <c r="Y5824">
        <v>-0.24529429999999899</v>
      </c>
      <c r="Z5824">
        <v>1.104232E-2</v>
      </c>
      <c r="AA5824">
        <v>0.96938570000000002</v>
      </c>
      <c r="AB5824">
        <v>20</v>
      </c>
      <c r="AC5824">
        <v>15.837499999999901</v>
      </c>
      <c r="AD5824">
        <v>-1.103212314326</v>
      </c>
      <c r="AE5824">
        <v>3.3960099999999902</v>
      </c>
      <c r="AF5824">
        <v>-3.9906943909082</v>
      </c>
      <c r="AG5824">
        <v>-1.103212314326</v>
      </c>
      <c r="AH5824">
        <v>15.621021971354899</v>
      </c>
      <c r="AI5824">
        <v>93.914417074917495</v>
      </c>
      <c r="AJ5824">
        <v>104.330806005429</v>
      </c>
      <c r="AK5824">
        <v>16.1604160392503</v>
      </c>
    </row>
    <row r="5825" spans="1:37" x14ac:dyDescent="0.2">
      <c r="A5825" t="str">
        <f>"20200111160330241"</f>
        <v>20200111160330241</v>
      </c>
      <c r="B5825" t="str">
        <f>"1578729810229289"</f>
        <v>1578729810229289</v>
      </c>
      <c r="C5825" t="s">
        <v>37</v>
      </c>
      <c r="D5825">
        <v>4.333704</v>
      </c>
      <c r="E5825">
        <v>0.44799329999999998</v>
      </c>
      <c r="F5825" t="s">
        <v>64</v>
      </c>
      <c r="G5825">
        <v>-195.27809999999999</v>
      </c>
      <c r="H5825" s="1">
        <v>-7.321344E-6</v>
      </c>
      <c r="I5825">
        <v>-58.785959999999903</v>
      </c>
      <c r="J5825">
        <v>-210.85079999999999</v>
      </c>
      <c r="K5825">
        <v>1.1032549999999901</v>
      </c>
      <c r="L5825">
        <v>-62.18356</v>
      </c>
      <c r="M5825">
        <v>0.99922469999999997</v>
      </c>
      <c r="N5825">
        <v>0</v>
      </c>
      <c r="O5825">
        <v>-3.9167180000000003E-2</v>
      </c>
      <c r="P5825">
        <v>0.99695959999999995</v>
      </c>
      <c r="Q5825">
        <v>-5.4345050000000001E-3</v>
      </c>
      <c r="R5825">
        <v>7.7732289999999996E-2</v>
      </c>
      <c r="S5825">
        <v>2.9607700000000001</v>
      </c>
      <c r="T5825">
        <v>-0.20729980000000001</v>
      </c>
      <c r="U5825">
        <v>0.63702389999999998</v>
      </c>
      <c r="V5825">
        <v>-0.116721699999999</v>
      </c>
      <c r="W5825">
        <v>-1.411678E-3</v>
      </c>
      <c r="X5825">
        <v>0.99316360000000004</v>
      </c>
      <c r="Y5825">
        <v>-0.2477984</v>
      </c>
      <c r="Z5825">
        <v>1.12769999999999E-2</v>
      </c>
      <c r="AA5825">
        <v>0.968745999999999</v>
      </c>
      <c r="AB5825">
        <v>20</v>
      </c>
      <c r="AC5825">
        <v>15.5726999999999</v>
      </c>
      <c r="AD5825">
        <v>-1.10326232134399</v>
      </c>
      <c r="AE5825">
        <v>3.3976000000000002</v>
      </c>
      <c r="AF5825">
        <v>-3.98583999081242</v>
      </c>
      <c r="AG5825">
        <v>-1.10326232134399</v>
      </c>
      <c r="AH5825">
        <v>15.354112119272701</v>
      </c>
      <c r="AI5825">
        <v>93.978474052561893</v>
      </c>
      <c r="AJ5825">
        <v>104.552441018202</v>
      </c>
      <c r="AK5825">
        <v>15.9013479665484</v>
      </c>
    </row>
    <row r="5826" spans="1:37" x14ac:dyDescent="0.2">
      <c r="A5826" t="str">
        <f>"20200111160330252"</f>
        <v>20200111160330252</v>
      </c>
      <c r="B5826" t="str">
        <f>"1578729810248809"</f>
        <v>1578729810248809</v>
      </c>
      <c r="C5826" t="s">
        <v>37</v>
      </c>
      <c r="D5826">
        <v>4.2797599999999996</v>
      </c>
      <c r="E5826">
        <v>0.4484861</v>
      </c>
      <c r="F5826" t="s">
        <v>64</v>
      </c>
      <c r="G5826">
        <v>-195.6439</v>
      </c>
      <c r="H5826" s="1">
        <v>-7.3447789999999996E-6</v>
      </c>
      <c r="I5826">
        <v>-58.83643</v>
      </c>
      <c r="J5826">
        <v>-210.7439</v>
      </c>
      <c r="K5826">
        <v>1.1032839999999999</v>
      </c>
      <c r="L5826">
        <v>-62.187930000000001</v>
      </c>
      <c r="M5826">
        <v>0.99921890000000002</v>
      </c>
      <c r="N5826">
        <v>0</v>
      </c>
      <c r="O5826">
        <v>-3.9307059999999998E-2</v>
      </c>
      <c r="P5826">
        <v>0.99673250000000002</v>
      </c>
      <c r="Q5826">
        <v>-6.6816899999999997E-3</v>
      </c>
      <c r="R5826">
        <v>8.0498180000000003E-2</v>
      </c>
      <c r="S5826">
        <v>2.9572449999999999</v>
      </c>
      <c r="T5826">
        <v>-0.21454879999999901</v>
      </c>
      <c r="U5826">
        <v>0.65090939999999997</v>
      </c>
      <c r="V5826">
        <v>-0.119615899999999</v>
      </c>
      <c r="W5826">
        <v>-2.5767810000000002E-3</v>
      </c>
      <c r="X5826">
        <v>0.9928169</v>
      </c>
      <c r="Y5826">
        <v>-0.25245050000000002</v>
      </c>
      <c r="Z5826">
        <v>1.185483E-2</v>
      </c>
      <c r="AA5826">
        <v>0.96753719999999999</v>
      </c>
      <c r="AB5826">
        <v>21</v>
      </c>
      <c r="AC5826">
        <v>15.0999999999999</v>
      </c>
      <c r="AD5826">
        <v>-1.103291344779</v>
      </c>
      <c r="AE5826">
        <v>3.3514999999999899</v>
      </c>
      <c r="AF5826">
        <v>-3.9224939487299801</v>
      </c>
      <c r="AG5826">
        <v>-1.103291344779</v>
      </c>
      <c r="AH5826">
        <v>14.8808784873146</v>
      </c>
      <c r="AI5826">
        <v>94.1006742895446</v>
      </c>
      <c r="AJ5826">
        <v>104.766870180423</v>
      </c>
      <c r="AK5826">
        <v>15.4286666670685</v>
      </c>
    </row>
    <row r="5827" spans="1:37" x14ac:dyDescent="0.2">
      <c r="A5827" t="str">
        <f>"20200111160330263"</f>
        <v>20200111160330263</v>
      </c>
      <c r="B5827" t="str">
        <f>"1578729810258569"</f>
        <v>1578729810258569</v>
      </c>
      <c r="C5827" t="s">
        <v>37</v>
      </c>
      <c r="D5827">
        <v>4.275633</v>
      </c>
      <c r="E5827">
        <v>0.4484861</v>
      </c>
      <c r="F5827" t="s">
        <v>64</v>
      </c>
      <c r="G5827">
        <v>-195.91839999999999</v>
      </c>
      <c r="H5827" s="1">
        <v>-7.3529250000000004E-6</v>
      </c>
      <c r="I5827">
        <v>-58.90119</v>
      </c>
      <c r="J5827">
        <v>-210.63890000000001</v>
      </c>
      <c r="K5827">
        <v>1.1033120000000001</v>
      </c>
      <c r="L5827">
        <v>-62.192169999999997</v>
      </c>
      <c r="M5827">
        <v>0.9992143</v>
      </c>
      <c r="N5827">
        <v>0</v>
      </c>
      <c r="O5827">
        <v>-3.9415220000000001E-2</v>
      </c>
      <c r="P5827">
        <v>0.99649489999999996</v>
      </c>
      <c r="Q5827">
        <v>-7.5819879999999996E-3</v>
      </c>
      <c r="R5827">
        <v>8.3310250000000002E-2</v>
      </c>
      <c r="S5827">
        <v>2.95546</v>
      </c>
      <c r="T5827">
        <v>-0.21994169999999999</v>
      </c>
      <c r="U5827">
        <v>0.65521240000000003</v>
      </c>
      <c r="V5827">
        <v>-0.1225237</v>
      </c>
      <c r="W5827">
        <v>-3.398178E-3</v>
      </c>
      <c r="X5827">
        <v>0.9924598</v>
      </c>
      <c r="Y5827">
        <v>-0.2539786</v>
      </c>
      <c r="Z5827">
        <v>1.222138E-2</v>
      </c>
      <c r="AA5827">
        <v>0.96713259999999901</v>
      </c>
      <c r="AB5827">
        <v>21</v>
      </c>
      <c r="AC5827">
        <v>14.720499999999999</v>
      </c>
      <c r="AD5827">
        <v>-1.1033193529250001</v>
      </c>
      <c r="AE5827">
        <v>3.29097999999999</v>
      </c>
      <c r="AF5827">
        <v>-3.8480512162070601</v>
      </c>
      <c r="AG5827">
        <v>-1.1033193529250001</v>
      </c>
      <c r="AH5827">
        <v>14.501756606642999</v>
      </c>
      <c r="AI5827">
        <v>94.205783991536904</v>
      </c>
      <c r="AJ5827">
        <v>104.86100038554299</v>
      </c>
      <c r="AK5827">
        <v>15.044126974849901</v>
      </c>
    </row>
    <row r="5828" spans="1:37" x14ac:dyDescent="0.2">
      <c r="A5828" t="str">
        <f>"20200111160330275"</f>
        <v>20200111160330275</v>
      </c>
      <c r="B5828" t="str">
        <f>"1578729810269305"</f>
        <v>1578729810269305</v>
      </c>
      <c r="C5828" t="s">
        <v>37</v>
      </c>
      <c r="D5828">
        <v>4.5291059999999996</v>
      </c>
      <c r="E5828">
        <v>0.44709209999999899</v>
      </c>
      <c r="F5828" t="s">
        <v>64</v>
      </c>
      <c r="G5828">
        <v>-196.0119</v>
      </c>
      <c r="H5828" s="1">
        <v>-7.3615170000000004E-6</v>
      </c>
      <c r="I5828">
        <v>-58.906669999999998</v>
      </c>
      <c r="J5828">
        <v>-210.53399999999999</v>
      </c>
      <c r="K5828">
        <v>1.103342</v>
      </c>
      <c r="L5828">
        <v>-62.19641</v>
      </c>
      <c r="M5828">
        <v>0.9992103</v>
      </c>
      <c r="N5828">
        <v>0</v>
      </c>
      <c r="O5828">
        <v>-3.9502879999999997E-2</v>
      </c>
      <c r="P5828">
        <v>0.99624330000000005</v>
      </c>
      <c r="Q5828">
        <v>-8.843442E-3</v>
      </c>
      <c r="R5828">
        <v>8.6147539999999995E-2</v>
      </c>
      <c r="S5828">
        <v>2.9533999999999998</v>
      </c>
      <c r="T5828">
        <v>-0.22277620000000001</v>
      </c>
      <c r="U5828">
        <v>0.66339110000000001</v>
      </c>
      <c r="V5828">
        <v>-0.1254364</v>
      </c>
      <c r="W5828">
        <v>-4.5825400000000004E-3</v>
      </c>
      <c r="X5828">
        <v>0.9920911</v>
      </c>
      <c r="Y5828">
        <v>-0.25672780000000001</v>
      </c>
      <c r="Z5828">
        <v>1.2492029999999999E-2</v>
      </c>
      <c r="AA5828">
        <v>0.96640300000000001</v>
      </c>
      <c r="AB5828">
        <v>21</v>
      </c>
      <c r="AC5828">
        <v>14.5221</v>
      </c>
      <c r="AD5828">
        <v>-1.103349361517</v>
      </c>
      <c r="AE5828">
        <v>3.2897400000000001</v>
      </c>
      <c r="AF5828">
        <v>-3.8397589494908</v>
      </c>
      <c r="AG5828">
        <v>-1.103349361517</v>
      </c>
      <c r="AH5828">
        <v>14.3022787176516</v>
      </c>
      <c r="AI5828">
        <v>94.261041184162707</v>
      </c>
      <c r="AJ5828">
        <v>105.02793537853999</v>
      </c>
      <c r="AK5828">
        <v>14.849791416755499</v>
      </c>
    </row>
    <row r="5829" spans="1:37" x14ac:dyDescent="0.2">
      <c r="A5829" t="str">
        <f>"20200111160330287"</f>
        <v>20200111160330287</v>
      </c>
      <c r="B5829" t="str">
        <f>"1578729810279065"</f>
        <v>1578729810279065</v>
      </c>
      <c r="C5829" t="s">
        <v>37</v>
      </c>
      <c r="D5829">
        <v>4.4105080000000001</v>
      </c>
      <c r="E5829">
        <v>0.44709209999999899</v>
      </c>
      <c r="F5829" t="s">
        <v>64</v>
      </c>
      <c r="G5829">
        <v>-196.9931</v>
      </c>
      <c r="H5829" s="1">
        <v>-7.4177759999999997E-6</v>
      </c>
      <c r="I5829">
        <v>-59.060809999999996</v>
      </c>
      <c r="J5829">
        <v>-210.40940000000001</v>
      </c>
      <c r="K5829">
        <v>1.103378</v>
      </c>
      <c r="L5829">
        <v>-62.201450000000001</v>
      </c>
      <c r="M5829">
        <v>0.99920689999999901</v>
      </c>
      <c r="N5829">
        <v>0</v>
      </c>
      <c r="O5829">
        <v>-3.9582550000000001E-2</v>
      </c>
      <c r="P5829">
        <v>0.99602990000000002</v>
      </c>
      <c r="Q5829">
        <v>-9.5271390000000004E-3</v>
      </c>
      <c r="R5829">
        <v>8.8509399999999905E-2</v>
      </c>
      <c r="S5829">
        <v>2.95008899999999</v>
      </c>
      <c r="T5829">
        <v>-0.24038089999999901</v>
      </c>
      <c r="U5829">
        <v>0.68313599999999997</v>
      </c>
      <c r="V5829">
        <v>-0.12786620000000001</v>
      </c>
      <c r="W5829">
        <v>-5.1763130000000001E-3</v>
      </c>
      <c r="X5829">
        <v>0.99177789999999999</v>
      </c>
      <c r="Y5829">
        <v>-0.2630267</v>
      </c>
      <c r="Z5829">
        <v>1.374041E-2</v>
      </c>
      <c r="AA5829">
        <v>0.96469069999999901</v>
      </c>
      <c r="AB5829">
        <v>21</v>
      </c>
      <c r="AC5829">
        <v>13.4163</v>
      </c>
      <c r="AD5829">
        <v>-1.1033854177760001</v>
      </c>
      <c r="AE5829">
        <v>3.1406399999999999</v>
      </c>
      <c r="AF5829">
        <v>-3.6458563800361898</v>
      </c>
      <c r="AG5829">
        <v>-1.1033854177760001</v>
      </c>
      <c r="AH5829">
        <v>13.1968465774485</v>
      </c>
      <c r="AI5829">
        <v>94.607556621921603</v>
      </c>
      <c r="AJ5829">
        <v>105.443731970218</v>
      </c>
      <c r="AK5829">
        <v>13.735592004450501</v>
      </c>
    </row>
    <row r="5830" spans="1:37" x14ac:dyDescent="0.2">
      <c r="A5830" t="str">
        <f>"20200111160330300"</f>
        <v>20200111160330300</v>
      </c>
      <c r="B5830" t="str">
        <f>"1578729810288826"</f>
        <v>1578729810288826</v>
      </c>
      <c r="C5830" t="s">
        <v>37</v>
      </c>
      <c r="D5830">
        <v>4.452064</v>
      </c>
      <c r="E5830">
        <v>0.36279260000000002</v>
      </c>
      <c r="F5830" t="s">
        <v>64</v>
      </c>
      <c r="G5830">
        <v>-196.9933</v>
      </c>
      <c r="H5830" s="1">
        <v>-7.4177009999999902E-6</v>
      </c>
      <c r="I5830">
        <v>-59.06109</v>
      </c>
      <c r="J5830">
        <v>-210.29580000000001</v>
      </c>
      <c r="K5830">
        <v>1.1034090000000001</v>
      </c>
      <c r="L5830">
        <v>-62.205959999999997</v>
      </c>
      <c r="M5830">
        <v>0.99920499999999901</v>
      </c>
      <c r="N5830">
        <v>0</v>
      </c>
      <c r="O5830">
        <v>-3.9617520000000003E-2</v>
      </c>
      <c r="P5830">
        <v>0.99564249999999899</v>
      </c>
      <c r="Q5830">
        <v>-1.1070150000000001E-2</v>
      </c>
      <c r="R5830">
        <v>9.2595369999999996E-2</v>
      </c>
      <c r="S5830">
        <v>2.948318</v>
      </c>
      <c r="T5830">
        <v>-0.242479799999999</v>
      </c>
      <c r="U5830">
        <v>0.69012450000000003</v>
      </c>
      <c r="V5830">
        <v>-0.13196839999999899</v>
      </c>
      <c r="W5830">
        <v>-6.6402850000000001E-3</v>
      </c>
      <c r="X5830">
        <v>0.99123169999999905</v>
      </c>
      <c r="Y5830">
        <v>-0.2653314</v>
      </c>
      <c r="Z5830">
        <v>1.396065E-2</v>
      </c>
      <c r="AA5830">
        <v>0.96405620000000003</v>
      </c>
      <c r="AB5830">
        <v>21</v>
      </c>
      <c r="AC5830">
        <v>13.3025</v>
      </c>
      <c r="AD5830">
        <v>-1.103416417701</v>
      </c>
      <c r="AE5830">
        <v>3.1448699999999898</v>
      </c>
      <c r="AF5830">
        <v>-3.6456624407544602</v>
      </c>
      <c r="AG5830">
        <v>-1.103416417701</v>
      </c>
      <c r="AH5830">
        <v>13.082216904870901</v>
      </c>
      <c r="AI5830">
        <v>94.645015630423799</v>
      </c>
      <c r="AJ5830">
        <v>105.571725558433</v>
      </c>
      <c r="AK5830">
        <v>13.625446105316</v>
      </c>
    </row>
    <row r="5831" spans="1:37" x14ac:dyDescent="0.2">
      <c r="A5831" t="str">
        <f>"20200111160330314"</f>
        <v>20200111160330314</v>
      </c>
      <c r="B5831" t="str">
        <f>"1578729810309322"</f>
        <v>1578729810309322</v>
      </c>
      <c r="C5831" t="s">
        <v>37</v>
      </c>
      <c r="D5831">
        <v>4.2325019999999904</v>
      </c>
      <c r="E5831">
        <v>0.36279260000000002</v>
      </c>
      <c r="F5831" t="s">
        <v>42</v>
      </c>
      <c r="G5831">
        <v>-209.46979999999999</v>
      </c>
      <c r="H5831">
        <v>1.059088</v>
      </c>
      <c r="I5831">
        <v>-61.813619999999901</v>
      </c>
      <c r="J5831">
        <v>-210.17089999999999</v>
      </c>
      <c r="K5831">
        <v>1.1034440000000001</v>
      </c>
      <c r="L5831">
        <v>-62.210969999999897</v>
      </c>
      <c r="M5831">
        <v>0.99920390000000003</v>
      </c>
      <c r="N5831">
        <v>0</v>
      </c>
      <c r="O5831">
        <v>-3.9634839999999998E-2</v>
      </c>
      <c r="P5831">
        <v>0.99532969999999898</v>
      </c>
      <c r="Q5831">
        <v>-1.225448E-2</v>
      </c>
      <c r="R5831">
        <v>9.5752459999999998E-2</v>
      </c>
      <c r="S5831">
        <v>2.8840330000000001</v>
      </c>
      <c r="T5831">
        <v>-0.154740299999999</v>
      </c>
      <c r="U5831">
        <v>1.369812</v>
      </c>
      <c r="V5831">
        <v>-0.13512729999999901</v>
      </c>
      <c r="W5831">
        <v>-7.7389440000000002E-3</v>
      </c>
      <c r="X5831">
        <v>0.99079799999999996</v>
      </c>
      <c r="Y5831">
        <v>-0.46390150000000002</v>
      </c>
      <c r="Z5831">
        <v>1.38269E-2</v>
      </c>
      <c r="AA5831">
        <v>0.88577890000000004</v>
      </c>
      <c r="AB5831">
        <v>21</v>
      </c>
      <c r="AC5831">
        <v>0.70109999999999595</v>
      </c>
      <c r="AD5831">
        <v>-4.4356E-2</v>
      </c>
      <c r="AE5831">
        <v>0.39735000000000298</v>
      </c>
      <c r="AF5831">
        <v>-0.42354291041182901</v>
      </c>
      <c r="AG5831">
        <v>-4.4356E-2</v>
      </c>
      <c r="AH5831">
        <v>0.68273167161918702</v>
      </c>
      <c r="AI5831">
        <v>93.159966595420499</v>
      </c>
      <c r="AJ5831">
        <v>121.814021171973</v>
      </c>
      <c r="AK5831">
        <v>0.80466054155031896</v>
      </c>
    </row>
    <row r="5832" spans="1:37" x14ac:dyDescent="0.2">
      <c r="A5832" t="str">
        <f>"20200111160330325"</f>
        <v>20200111160330325</v>
      </c>
      <c r="B5832" t="str">
        <f>"1578729810319081"</f>
        <v>1578729810319081</v>
      </c>
      <c r="C5832" t="s">
        <v>37</v>
      </c>
      <c r="D5832">
        <v>4.235614</v>
      </c>
      <c r="E5832">
        <v>0.3114825</v>
      </c>
      <c r="F5832" t="s">
        <v>42</v>
      </c>
      <c r="G5832">
        <v>-209.2886</v>
      </c>
      <c r="H5832">
        <v>1.054848</v>
      </c>
      <c r="I5832">
        <v>-61.788669999999897</v>
      </c>
      <c r="J5832">
        <v>-210.05</v>
      </c>
      <c r="K5832">
        <v>1.103475</v>
      </c>
      <c r="L5832">
        <v>-62.215759999999896</v>
      </c>
      <c r="M5832">
        <v>0.99920399999999998</v>
      </c>
      <c r="N5832">
        <v>0</v>
      </c>
      <c r="O5832">
        <v>-3.9618779999999999E-2</v>
      </c>
      <c r="P5832">
        <v>0.99497999999999998</v>
      </c>
      <c r="Q5832">
        <v>-1.335125E-2</v>
      </c>
      <c r="R5832">
        <v>9.9178290000000002E-2</v>
      </c>
      <c r="S5832">
        <v>2.8794710000000001</v>
      </c>
      <c r="T5832">
        <v>-0.158611999999999</v>
      </c>
      <c r="U5832">
        <v>1.3788149999999999</v>
      </c>
      <c r="V5832">
        <v>-0.13851939999999999</v>
      </c>
      <c r="W5832">
        <v>-8.7558600000000007E-3</v>
      </c>
      <c r="X5832">
        <v>0.99032099999999901</v>
      </c>
      <c r="Y5832">
        <v>-0.46665010000000001</v>
      </c>
      <c r="Z5832">
        <v>1.4254569999999999E-2</v>
      </c>
      <c r="AA5832">
        <v>0.88432710000000003</v>
      </c>
      <c r="AB5832">
        <v>21</v>
      </c>
      <c r="AC5832">
        <v>0.76140000000000896</v>
      </c>
      <c r="AD5832">
        <v>-4.8626999999999899E-2</v>
      </c>
      <c r="AE5832">
        <v>0.42708999999999903</v>
      </c>
      <c r="AF5832">
        <v>-0.45550749024574799</v>
      </c>
      <c r="AG5832">
        <v>-4.8626999999999899E-2</v>
      </c>
      <c r="AH5832">
        <v>0.74158040858739005</v>
      </c>
      <c r="AI5832">
        <v>93.197996184197194</v>
      </c>
      <c r="AJ5832">
        <v>121.559861910961</v>
      </c>
      <c r="AK5832">
        <v>0.87166115044759296</v>
      </c>
    </row>
    <row r="5833" spans="1:37" x14ac:dyDescent="0.2">
      <c r="A5833" t="str">
        <f>"20200111160330338"</f>
        <v>20200111160330338</v>
      </c>
      <c r="B5833" t="str">
        <f>"1578729810328841"</f>
        <v>1578729810328841</v>
      </c>
      <c r="C5833" t="s">
        <v>37</v>
      </c>
      <c r="D5833">
        <v>4.2034449999999897</v>
      </c>
      <c r="E5833">
        <v>0.31549749999999999</v>
      </c>
      <c r="F5833" t="s">
        <v>49</v>
      </c>
      <c r="G5833">
        <v>-147.2259</v>
      </c>
      <c r="H5833">
        <v>6.536975</v>
      </c>
      <c r="I5833">
        <v>-22.650010000000002</v>
      </c>
      <c r="J5833">
        <v>-209.9367</v>
      </c>
      <c r="K5833">
        <v>1.103504</v>
      </c>
      <c r="L5833">
        <v>-62.220149999999997</v>
      </c>
      <c r="M5833">
        <v>0.99920560000000003</v>
      </c>
      <c r="N5833">
        <v>0</v>
      </c>
      <c r="O5833">
        <v>-3.956718E-2</v>
      </c>
      <c r="P5833">
        <v>0.99465820000000005</v>
      </c>
      <c r="Q5833">
        <v>-1.466867E-2</v>
      </c>
      <c r="R5833">
        <v>0.102176399999999</v>
      </c>
      <c r="S5833">
        <v>2.8401640000000001</v>
      </c>
      <c r="T5833">
        <v>0.24563840000000001</v>
      </c>
      <c r="U5833">
        <v>1.7886959999999901</v>
      </c>
      <c r="V5833">
        <v>-0.14145060000000001</v>
      </c>
      <c r="W5833">
        <v>-1.000125E-2</v>
      </c>
      <c r="X5833">
        <v>0.98989479999999996</v>
      </c>
      <c r="Y5833">
        <v>-0.56434680000000004</v>
      </c>
      <c r="Z5833">
        <v>-2.5479439999999999E-2</v>
      </c>
      <c r="AA5833">
        <v>0.82514460000000001</v>
      </c>
      <c r="AB5833">
        <v>21</v>
      </c>
      <c r="AC5833">
        <v>62.710799999999999</v>
      </c>
      <c r="AD5833">
        <v>5.4334709999999999</v>
      </c>
      <c r="AE5833">
        <v>39.570140000000002</v>
      </c>
      <c r="AF5833">
        <v>-41.796055700418798</v>
      </c>
      <c r="AG5833">
        <v>5.4334709999999999</v>
      </c>
      <c r="AH5833">
        <v>60.7697053858221</v>
      </c>
      <c r="AI5833">
        <v>85.786703511821102</v>
      </c>
      <c r="AJ5833">
        <v>124.519330700046</v>
      </c>
      <c r="AK5833">
        <v>73.9553241619559</v>
      </c>
    </row>
    <row r="5834" spans="1:37" x14ac:dyDescent="0.2">
      <c r="A5834" t="str">
        <f>"20200111160330353"</f>
        <v>20200111160330353</v>
      </c>
      <c r="B5834" t="str">
        <f>"1578729810349338"</f>
        <v>1578729810349338</v>
      </c>
      <c r="C5834" t="s">
        <v>37</v>
      </c>
      <c r="D5834">
        <v>4.3965069999999997</v>
      </c>
      <c r="E5834">
        <v>0.31912399999999902</v>
      </c>
      <c r="F5834" t="s">
        <v>49</v>
      </c>
      <c r="G5834">
        <v>-146.38659999999999</v>
      </c>
      <c r="H5834">
        <v>5.0508290000000002</v>
      </c>
      <c r="I5834">
        <v>-22.65</v>
      </c>
      <c r="J5834">
        <v>-209.8022</v>
      </c>
      <c r="K5834">
        <v>1.10354</v>
      </c>
      <c r="L5834">
        <v>-62.2254</v>
      </c>
      <c r="M5834">
        <v>0.99920889999999996</v>
      </c>
      <c r="N5834">
        <v>0</v>
      </c>
      <c r="O5834">
        <v>-3.9477430000000001E-2</v>
      </c>
      <c r="P5834">
        <v>0.99399219999999899</v>
      </c>
      <c r="Q5834">
        <v>-1.7053450000000001E-2</v>
      </c>
      <c r="R5834">
        <v>0.1081157</v>
      </c>
      <c r="S5834">
        <v>2.837234</v>
      </c>
      <c r="T5834">
        <v>0.17623029999999901</v>
      </c>
      <c r="U5834">
        <v>1.766632</v>
      </c>
      <c r="V5834">
        <v>-0.14726900000000001</v>
      </c>
      <c r="W5834">
        <v>-1.23057999999999E-2</v>
      </c>
      <c r="X5834">
        <v>0.98901989999999995</v>
      </c>
      <c r="Y5834">
        <v>-0.56083099999999997</v>
      </c>
      <c r="Z5834">
        <v>-1.8237960000000001E-2</v>
      </c>
      <c r="AA5834">
        <v>0.82772950000000001</v>
      </c>
      <c r="AB5834">
        <v>21</v>
      </c>
      <c r="AC5834">
        <v>63.415599999999998</v>
      </c>
      <c r="AD5834">
        <v>3.947289</v>
      </c>
      <c r="AE5834">
        <v>39.575400000000002</v>
      </c>
      <c r="AF5834">
        <v>-41.931140267099799</v>
      </c>
      <c r="AG5834">
        <v>3.947289</v>
      </c>
      <c r="AH5834">
        <v>61.631954060179602</v>
      </c>
      <c r="AI5834">
        <v>86.968853427012704</v>
      </c>
      <c r="AJ5834">
        <v>124.229311175116</v>
      </c>
      <c r="AK5834">
        <v>74.647835707572995</v>
      </c>
    </row>
    <row r="5835" spans="1:37" x14ac:dyDescent="0.2">
      <c r="A5835" t="str">
        <f>"20200111160330365"</f>
        <v>20200111160330365</v>
      </c>
      <c r="B5835" t="str">
        <f>"1578729810359098"</f>
        <v>1578729810359098</v>
      </c>
      <c r="C5835" t="s">
        <v>37</v>
      </c>
      <c r="D5835">
        <v>4.3068339999999896</v>
      </c>
      <c r="E5835">
        <v>0.31947759999999997</v>
      </c>
      <c r="F5835" t="s">
        <v>49</v>
      </c>
      <c r="G5835">
        <v>-146.00890000000001</v>
      </c>
      <c r="H5835">
        <v>4.2268239999999997</v>
      </c>
      <c r="I5835">
        <v>-22.65</v>
      </c>
      <c r="J5835">
        <v>-209.6713</v>
      </c>
      <c r="K5835">
        <v>1.1035839999999999</v>
      </c>
      <c r="L5835">
        <v>-62.230440000000002</v>
      </c>
      <c r="M5835">
        <v>0.99921369999999898</v>
      </c>
      <c r="N5835">
        <v>0</v>
      </c>
      <c r="O5835">
        <v>-3.9344150000000001E-2</v>
      </c>
      <c r="P5835">
        <v>0.99364079999999999</v>
      </c>
      <c r="Q5835">
        <v>-1.806876E-2</v>
      </c>
      <c r="R5835">
        <v>0.111138599999999</v>
      </c>
      <c r="S5835">
        <v>2.8295590000000002</v>
      </c>
      <c r="T5835">
        <v>0.13853309999999999</v>
      </c>
      <c r="U5835">
        <v>1.755371</v>
      </c>
      <c r="V5835">
        <v>-0.150142</v>
      </c>
      <c r="W5835">
        <v>-1.324557E-2</v>
      </c>
      <c r="X5835">
        <v>0.98857569999999995</v>
      </c>
      <c r="Y5835">
        <v>-0.55967019999999901</v>
      </c>
      <c r="Z5835">
        <v>-1.435552E-2</v>
      </c>
      <c r="AA5835">
        <v>0.82859099999999997</v>
      </c>
      <c r="AB5835">
        <v>21</v>
      </c>
      <c r="AC5835">
        <v>63.662399999999899</v>
      </c>
      <c r="AD5835">
        <v>3.12324</v>
      </c>
      <c r="AE5835">
        <v>39.580440000000003</v>
      </c>
      <c r="AF5835">
        <v>-41.9816920833469</v>
      </c>
      <c r="AG5835">
        <v>3.12324</v>
      </c>
      <c r="AH5835">
        <v>61.948295847125102</v>
      </c>
      <c r="AI5835">
        <v>87.610098968028694</v>
      </c>
      <c r="AJ5835">
        <v>124.12506999480399</v>
      </c>
      <c r="AK5835">
        <v>74.898654571637607</v>
      </c>
    </row>
    <row r="5836" spans="1:37" x14ac:dyDescent="0.2">
      <c r="A5836" t="str">
        <f>"20200111160330377"</f>
        <v>20200111160330377</v>
      </c>
      <c r="B5836" t="str">
        <f>"1578729810368857"</f>
        <v>1578729810368857</v>
      </c>
      <c r="C5836" t="s">
        <v>37</v>
      </c>
      <c r="D5836">
        <v>4.2908460000000002</v>
      </c>
      <c r="E5836">
        <v>0.32014899999999902</v>
      </c>
      <c r="F5836" t="s">
        <v>49</v>
      </c>
      <c r="G5836">
        <v>-146.19880000000001</v>
      </c>
      <c r="H5836">
        <v>4.0619399999999999</v>
      </c>
      <c r="I5836">
        <v>-22.650010000000002</v>
      </c>
      <c r="J5836">
        <v>-209.56190000000001</v>
      </c>
      <c r="K5836">
        <v>1.103621</v>
      </c>
      <c r="L5836">
        <v>-62.234589999999997</v>
      </c>
      <c r="M5836">
        <v>0.99921909999999903</v>
      </c>
      <c r="N5836">
        <v>0</v>
      </c>
      <c r="O5836">
        <v>-3.9192610000000003E-2</v>
      </c>
      <c r="P5836">
        <v>0.99329690000000004</v>
      </c>
      <c r="Q5836">
        <v>-1.8832979999999999E-2</v>
      </c>
      <c r="R5836">
        <v>0.114046699999999</v>
      </c>
      <c r="S5836">
        <v>2.8246150000000001</v>
      </c>
      <c r="T5836">
        <v>0.13165079999999901</v>
      </c>
      <c r="U5836">
        <v>1.7613829999999999</v>
      </c>
      <c r="V5836">
        <v>-0.152883399999999</v>
      </c>
      <c r="W5836">
        <v>-1.395188E-2</v>
      </c>
      <c r="X5836">
        <v>0.98814579999999996</v>
      </c>
      <c r="Y5836">
        <v>-0.56151200000000001</v>
      </c>
      <c r="Z5836">
        <v>-1.3689079999999999E-2</v>
      </c>
      <c r="AA5836">
        <v>0.82735539999999996</v>
      </c>
      <c r="AB5836">
        <v>21</v>
      </c>
      <c r="AC5836">
        <v>63.363100000000003</v>
      </c>
      <c r="AD5836">
        <v>2.9583189999999999</v>
      </c>
      <c r="AE5836">
        <v>39.584580000000003</v>
      </c>
      <c r="AF5836">
        <v>-41.971754998988899</v>
      </c>
      <c r="AG5836">
        <v>2.9583189999999999</v>
      </c>
      <c r="AH5836">
        <v>61.666287174825797</v>
      </c>
      <c r="AI5836">
        <v>87.728919517645906</v>
      </c>
      <c r="AJ5836">
        <v>124.24026987772901</v>
      </c>
      <c r="AK5836">
        <v>74.653270811994503</v>
      </c>
    </row>
    <row r="5837" spans="1:37" x14ac:dyDescent="0.2">
      <c r="A5837" t="str">
        <f>"20200111160330442"</f>
        <v>20200111160330442</v>
      </c>
      <c r="B5837" t="str">
        <f>"1578729810439129"</f>
        <v>1578729810439129</v>
      </c>
      <c r="C5837" t="s">
        <v>37</v>
      </c>
      <c r="D5837">
        <v>4.3745769999999897</v>
      </c>
      <c r="E5837">
        <v>0.32326670000000002</v>
      </c>
      <c r="F5837" t="s">
        <v>49</v>
      </c>
      <c r="G5837">
        <v>-146.29419999999999</v>
      </c>
      <c r="H5837">
        <v>3.9672559999999999</v>
      </c>
      <c r="I5837">
        <v>-22.65</v>
      </c>
      <c r="J5837">
        <v>-208.9521</v>
      </c>
      <c r="K5837">
        <v>1.103861</v>
      </c>
      <c r="L5837">
        <v>-62.256809999999902</v>
      </c>
      <c r="M5837">
        <v>0.99927069999999996</v>
      </c>
      <c r="N5837">
        <v>0</v>
      </c>
      <c r="O5837">
        <v>-3.7806310000000003E-2</v>
      </c>
      <c r="P5837">
        <v>0.99155910000000003</v>
      </c>
      <c r="Q5837">
        <v>-1.8478830000000002E-2</v>
      </c>
      <c r="R5837">
        <v>0.12833359999999999</v>
      </c>
      <c r="S5837">
        <v>2.820084</v>
      </c>
      <c r="T5837">
        <v>0.127642899999999</v>
      </c>
      <c r="U5837">
        <v>1.76443499999999</v>
      </c>
      <c r="V5837">
        <v>-0.165717</v>
      </c>
      <c r="W5837">
        <v>-1.333498E-2</v>
      </c>
      <c r="X5837">
        <v>0.98608320000000005</v>
      </c>
      <c r="Y5837">
        <v>-0.56163350000000001</v>
      </c>
      <c r="Z5837">
        <v>-1.3231949999999999E-2</v>
      </c>
      <c r="AA5837">
        <v>0.82728029999999997</v>
      </c>
      <c r="AB5837">
        <v>21</v>
      </c>
      <c r="AC5837">
        <v>62.657899999999998</v>
      </c>
      <c r="AD5837">
        <v>2.8633950000000001</v>
      </c>
      <c r="AE5837">
        <v>39.606809999999903</v>
      </c>
      <c r="AF5837">
        <v>-41.884892485641402</v>
      </c>
      <c r="AG5837">
        <v>2.8633950000000001</v>
      </c>
      <c r="AH5837">
        <v>61.024635848961097</v>
      </c>
      <c r="AI5837">
        <v>87.784547345979703</v>
      </c>
      <c r="AJ5837">
        <v>124.464161012792</v>
      </c>
      <c r="AK5837">
        <v>74.071245635253604</v>
      </c>
    </row>
    <row r="5838" spans="1:37" x14ac:dyDescent="0.2">
      <c r="A5838" t="str">
        <f>"20200111160330453"</f>
        <v>20200111160330453</v>
      </c>
      <c r="B5838" t="str">
        <f>"1578729810448889"</f>
        <v>1578729810448889</v>
      </c>
      <c r="C5838" t="s">
        <v>37</v>
      </c>
      <c r="D5838">
        <v>4.407108</v>
      </c>
      <c r="E5838">
        <v>0.3244435</v>
      </c>
      <c r="F5838" t="s">
        <v>49</v>
      </c>
      <c r="G5838">
        <v>-146.7543</v>
      </c>
      <c r="H5838">
        <v>3.2657289999999999</v>
      </c>
      <c r="I5838">
        <v>-22.650010000000002</v>
      </c>
      <c r="J5838">
        <v>-208.83709999999999</v>
      </c>
      <c r="K5838">
        <v>1.103904</v>
      </c>
      <c r="L5838">
        <v>-62.260769999999901</v>
      </c>
      <c r="M5838">
        <v>0.99928059999999996</v>
      </c>
      <c r="N5838">
        <v>0</v>
      </c>
      <c r="O5838">
        <v>-3.753741E-2</v>
      </c>
      <c r="P5838">
        <v>0.99135769999999901</v>
      </c>
      <c r="Q5838">
        <v>-1.7706779999999998E-2</v>
      </c>
      <c r="R5838">
        <v>0.12998769999999901</v>
      </c>
      <c r="S5838">
        <v>2.7968599999999899</v>
      </c>
      <c r="T5838">
        <v>9.721291E-2</v>
      </c>
      <c r="U5838">
        <v>1.7810060000000001</v>
      </c>
      <c r="V5838">
        <v>-0.1670962</v>
      </c>
      <c r="W5838">
        <v>-1.256037E-2</v>
      </c>
      <c r="X5838">
        <v>0.98586059999999998</v>
      </c>
      <c r="Y5838">
        <v>-0.56815300000000002</v>
      </c>
      <c r="Z5838">
        <v>-1.0230329999999999E-2</v>
      </c>
      <c r="AA5838">
        <v>0.82285929999999996</v>
      </c>
      <c r="AB5838">
        <v>21</v>
      </c>
      <c r="AC5838">
        <v>62.082799999999899</v>
      </c>
      <c r="AD5838">
        <v>2.1618249999999999</v>
      </c>
      <c r="AE5838">
        <v>39.6107599999999</v>
      </c>
      <c r="AF5838">
        <v>-41.877216543943497</v>
      </c>
      <c r="AG5838">
        <v>2.1618249999999999</v>
      </c>
      <c r="AH5838">
        <v>60.500001584108297</v>
      </c>
      <c r="AI5838">
        <v>88.317089307132605</v>
      </c>
      <c r="AJ5838">
        <v>124.690415838992</v>
      </c>
      <c r="AK5838">
        <v>73.611309895124606</v>
      </c>
    </row>
    <row r="5839" spans="1:37" x14ac:dyDescent="0.2">
      <c r="A5839" t="str">
        <f>"20200111160330467"</f>
        <v>20200111160330467</v>
      </c>
      <c r="B5839" t="str">
        <f>"1578729810458650"</f>
        <v>1578729810458650</v>
      </c>
      <c r="C5839" t="s">
        <v>37</v>
      </c>
      <c r="D5839">
        <v>4.4574540000000002</v>
      </c>
      <c r="E5839">
        <v>0.32557900000000001</v>
      </c>
      <c r="F5839" t="s">
        <v>49</v>
      </c>
      <c r="G5839">
        <v>-146.52610000000001</v>
      </c>
      <c r="H5839">
        <v>2.9748489999999999</v>
      </c>
      <c r="I5839">
        <v>-22.650010000000002</v>
      </c>
      <c r="J5839">
        <v>-208.6952</v>
      </c>
      <c r="K5839">
        <v>1.103945</v>
      </c>
      <c r="L5839">
        <v>-62.265469999999901</v>
      </c>
      <c r="M5839">
        <v>0.99928760000000005</v>
      </c>
      <c r="N5839">
        <v>0</v>
      </c>
      <c r="O5839">
        <v>-3.7360049999999999E-2</v>
      </c>
      <c r="P5839">
        <v>0.99116789999999999</v>
      </c>
      <c r="Q5839">
        <v>-1.7022550000000001E-2</v>
      </c>
      <c r="R5839">
        <v>0.131516299999999</v>
      </c>
      <c r="S5839">
        <v>2.794708</v>
      </c>
      <c r="T5839">
        <v>8.3913559999999998E-2</v>
      </c>
      <c r="U5839">
        <v>1.776581</v>
      </c>
      <c r="V5839">
        <v>-0.168439899999999</v>
      </c>
      <c r="W5839">
        <v>-1.195673E-2</v>
      </c>
      <c r="X5839">
        <v>0.98563940000000005</v>
      </c>
      <c r="Y5839">
        <v>-0.56743299999999997</v>
      </c>
      <c r="Z5839">
        <v>-8.8256559999999994E-3</v>
      </c>
      <c r="AA5839">
        <v>0.82337229999999995</v>
      </c>
      <c r="AB5839">
        <v>22</v>
      </c>
      <c r="AC5839">
        <v>62.169099999999901</v>
      </c>
      <c r="AD5839">
        <v>1.8709039999999999</v>
      </c>
      <c r="AE5839">
        <v>39.615459999999899</v>
      </c>
      <c r="AF5839">
        <v>-41.883499125428202</v>
      </c>
      <c r="AG5839">
        <v>1.8709039999999999</v>
      </c>
      <c r="AH5839">
        <v>60.606603279356698</v>
      </c>
      <c r="AI5839">
        <v>88.545260036936</v>
      </c>
      <c r="AJ5839">
        <v>124.64724753830301</v>
      </c>
      <c r="AK5839">
        <v>73.694559784479907</v>
      </c>
    </row>
    <row r="5840" spans="1:37" x14ac:dyDescent="0.2">
      <c r="A5840" t="str">
        <f>"20200111160330479"</f>
        <v>20200111160330479</v>
      </c>
      <c r="B5840" t="str">
        <f>"1578729810469385"</f>
        <v>1578729810469385</v>
      </c>
      <c r="C5840" t="s">
        <v>37</v>
      </c>
      <c r="D5840">
        <v>4.4602269999999997</v>
      </c>
      <c r="E5840">
        <v>0.32659270000000001</v>
      </c>
      <c r="F5840" t="s">
        <v>49</v>
      </c>
      <c r="G5840">
        <v>-146.26920000000001</v>
      </c>
      <c r="H5840">
        <v>2.6862400000000002</v>
      </c>
      <c r="I5840">
        <v>-22.65</v>
      </c>
      <c r="J5840">
        <v>-208.589</v>
      </c>
      <c r="K5840">
        <v>1.103928</v>
      </c>
      <c r="L5840">
        <v>-62.268889999999999</v>
      </c>
      <c r="M5840">
        <v>0.99930049999999904</v>
      </c>
      <c r="N5840">
        <v>0</v>
      </c>
      <c r="O5840">
        <v>-3.7002899999999998E-2</v>
      </c>
      <c r="P5840">
        <v>0.99097099999999905</v>
      </c>
      <c r="Q5840">
        <v>-1.6728170000000001E-2</v>
      </c>
      <c r="R5840">
        <v>0.13302829999999999</v>
      </c>
      <c r="S5840">
        <v>2.7928009999999999</v>
      </c>
      <c r="T5840">
        <v>7.0788149999999994E-2</v>
      </c>
      <c r="U5840">
        <v>1.772308</v>
      </c>
      <c r="V5840">
        <v>-0.1695924</v>
      </c>
      <c r="W5840">
        <v>-1.161236E-2</v>
      </c>
      <c r="X5840">
        <v>0.98544589999999999</v>
      </c>
      <c r="Y5840">
        <v>-0.5665519</v>
      </c>
      <c r="Z5840">
        <v>-7.43409E-3</v>
      </c>
      <c r="AA5840">
        <v>0.82399249999999902</v>
      </c>
      <c r="AB5840">
        <v>22</v>
      </c>
      <c r="AC5840">
        <v>62.319800000000001</v>
      </c>
      <c r="AD5840">
        <v>1.5823119999999999</v>
      </c>
      <c r="AE5840">
        <v>39.61889</v>
      </c>
      <c r="AF5840">
        <v>-41.878576808891502</v>
      </c>
      <c r="AG5840">
        <v>1.5823119999999999</v>
      </c>
      <c r="AH5840">
        <v>60.783178142660297</v>
      </c>
      <c r="AI5840">
        <v>88.771957618530095</v>
      </c>
      <c r="AJ5840">
        <v>124.56618151204501</v>
      </c>
      <c r="AK5840">
        <v>73.830303073507395</v>
      </c>
    </row>
    <row r="5841" spans="1:37" x14ac:dyDescent="0.2">
      <c r="A5841" t="str">
        <f>"20200111160330493"</f>
        <v>20200111160330493</v>
      </c>
      <c r="B5841" t="str">
        <f>"1578729810488907"</f>
        <v>1578729810488907</v>
      </c>
      <c r="C5841" t="s">
        <v>37</v>
      </c>
      <c r="D5841">
        <v>4.5286390000000001</v>
      </c>
      <c r="E5841">
        <v>0.328069</v>
      </c>
      <c r="F5841" t="s">
        <v>49</v>
      </c>
      <c r="G5841">
        <v>-146.07040000000001</v>
      </c>
      <c r="H5841">
        <v>2.4514390000000001</v>
      </c>
      <c r="I5841">
        <v>-22.65</v>
      </c>
      <c r="J5841">
        <v>-208.45490000000001</v>
      </c>
      <c r="K5841">
        <v>1.1038889999999999</v>
      </c>
      <c r="L5841">
        <v>-62.273159999999997</v>
      </c>
      <c r="M5841">
        <v>0.99932099999999902</v>
      </c>
      <c r="N5841">
        <v>0</v>
      </c>
      <c r="O5841">
        <v>-3.6430079999999997E-2</v>
      </c>
      <c r="P5841">
        <v>0.99072660000000001</v>
      </c>
      <c r="Q5841">
        <v>-1.635787E-2</v>
      </c>
      <c r="R5841">
        <v>0.13488229999999901</v>
      </c>
      <c r="S5841">
        <v>2.790924</v>
      </c>
      <c r="T5841">
        <v>6.0154560000000003E-2</v>
      </c>
      <c r="U5841">
        <v>1.7686459999999999</v>
      </c>
      <c r="V5841">
        <v>-0.1708722</v>
      </c>
      <c r="W5841">
        <v>-1.113102E-2</v>
      </c>
      <c r="X5841">
        <v>0.9852303</v>
      </c>
      <c r="Y5841">
        <v>-0.56559759999999903</v>
      </c>
      <c r="Z5841">
        <v>-6.3024190000000001E-3</v>
      </c>
      <c r="AA5841">
        <v>0.82465730000000004</v>
      </c>
      <c r="AB5841">
        <v>22</v>
      </c>
      <c r="AC5841">
        <v>62.384500000000003</v>
      </c>
      <c r="AD5841">
        <v>1.34755</v>
      </c>
      <c r="AE5841">
        <v>39.623159999999999</v>
      </c>
      <c r="AF5841">
        <v>-41.855648632329597</v>
      </c>
      <c r="AG5841">
        <v>1.34755</v>
      </c>
      <c r="AH5841">
        <v>60.879350806183297</v>
      </c>
      <c r="AI5841">
        <v>88.955051193845193</v>
      </c>
      <c r="AJ5841">
        <v>124.509222737974</v>
      </c>
      <c r="AK5841">
        <v>73.891857251106302</v>
      </c>
    </row>
    <row r="5842" spans="1:37" x14ac:dyDescent="0.2">
      <c r="A5842" t="str">
        <f>"20200111160330505"</f>
        <v>20200111160330505</v>
      </c>
      <c r="B5842" t="str">
        <f>"1578729810498666"</f>
        <v>1578729810498666</v>
      </c>
      <c r="C5842" t="s">
        <v>37</v>
      </c>
      <c r="D5842">
        <v>4.5723900000000004</v>
      </c>
      <c r="E5842">
        <v>0.32874419999999999</v>
      </c>
      <c r="F5842" t="s">
        <v>49</v>
      </c>
      <c r="G5842">
        <v>-145.7593</v>
      </c>
      <c r="H5842">
        <v>1.988321</v>
      </c>
      <c r="I5842">
        <v>-22.650010000000002</v>
      </c>
      <c r="J5842">
        <v>-208.3289</v>
      </c>
      <c r="K5842">
        <v>1.1038379999999901</v>
      </c>
      <c r="L5842">
        <v>-62.277099999999997</v>
      </c>
      <c r="M5842">
        <v>0.99934799999999901</v>
      </c>
      <c r="N5842">
        <v>0</v>
      </c>
      <c r="O5842">
        <v>-3.5656130000000001E-2</v>
      </c>
      <c r="P5842">
        <v>0.99047989999999997</v>
      </c>
      <c r="Q5842">
        <v>-1.6023160000000002E-2</v>
      </c>
      <c r="R5842">
        <v>0.13672300000000001</v>
      </c>
      <c r="S5842">
        <v>2.7887729999999999</v>
      </c>
      <c r="T5842">
        <v>3.9340380000000001E-2</v>
      </c>
      <c r="U5842">
        <v>1.7624819999999899</v>
      </c>
      <c r="V5842">
        <v>-0.17194189999999901</v>
      </c>
      <c r="W5842">
        <v>-1.060614E-2</v>
      </c>
      <c r="X5842">
        <v>0.98504999999999998</v>
      </c>
      <c r="Y5842">
        <v>-0.56400159999999999</v>
      </c>
      <c r="Z5842">
        <v>-4.1064739999999997E-3</v>
      </c>
      <c r="AA5842">
        <v>0.82576349999999998</v>
      </c>
      <c r="AB5842">
        <v>22</v>
      </c>
      <c r="AC5842">
        <v>62.569600000000001</v>
      </c>
      <c r="AD5842">
        <v>0.88448300000000002</v>
      </c>
      <c r="AE5842">
        <v>39.627090000000003</v>
      </c>
      <c r="AF5842">
        <v>-41.826951387280403</v>
      </c>
      <c r="AG5842">
        <v>0.88448300000000002</v>
      </c>
      <c r="AH5842">
        <v>61.108125138774703</v>
      </c>
      <c r="AI5842">
        <v>89.315687058076904</v>
      </c>
      <c r="AJ5842">
        <v>124.39064400647401</v>
      </c>
      <c r="AK5842">
        <v>74.057269261750093</v>
      </c>
    </row>
    <row r="5843" spans="1:37" x14ac:dyDescent="0.2">
      <c r="A5843" t="str">
        <f>"20200111160330520"</f>
        <v>20200111160330520</v>
      </c>
      <c r="B5843" t="str">
        <f>"1578729810509402"</f>
        <v>1578729810509402</v>
      </c>
      <c r="C5843" t="s">
        <v>37</v>
      </c>
      <c r="D5843">
        <v>4.5692370000000002</v>
      </c>
      <c r="E5843">
        <v>0.32959040000000001</v>
      </c>
      <c r="F5843" t="s">
        <v>49</v>
      </c>
      <c r="G5843">
        <v>-145.68989999999999</v>
      </c>
      <c r="H5843">
        <v>1.824009</v>
      </c>
      <c r="I5843">
        <v>-22.650010000000002</v>
      </c>
      <c r="J5843">
        <v>-208.1918</v>
      </c>
      <c r="K5843">
        <v>1.1038110000000001</v>
      </c>
      <c r="L5843">
        <v>-62.281280000000002</v>
      </c>
      <c r="M5843">
        <v>0.99938039999999995</v>
      </c>
      <c r="N5843">
        <v>0</v>
      </c>
      <c r="O5843">
        <v>-3.4705119999999999E-2</v>
      </c>
      <c r="P5843">
        <v>0.99009809999999998</v>
      </c>
      <c r="Q5843">
        <v>-1.5445250000000001E-2</v>
      </c>
      <c r="R5843">
        <v>0.13952609999999999</v>
      </c>
      <c r="S5843">
        <v>2.7860719999999999</v>
      </c>
      <c r="T5843">
        <v>3.203189E-2</v>
      </c>
      <c r="U5843">
        <v>1.762543</v>
      </c>
      <c r="V5843">
        <v>-0.17379459999999999</v>
      </c>
      <c r="W5843">
        <v>-9.8294709999999993E-3</v>
      </c>
      <c r="X5843">
        <v>0.98473290000000002</v>
      </c>
      <c r="Y5843">
        <v>-0.56360469999999996</v>
      </c>
      <c r="Z5843">
        <v>-3.3342039999999999E-3</v>
      </c>
      <c r="AA5843">
        <v>0.82603789999999999</v>
      </c>
      <c r="AB5843">
        <v>22</v>
      </c>
      <c r="AC5843">
        <v>62.501899999999999</v>
      </c>
      <c r="AD5843">
        <v>0.72019799999999901</v>
      </c>
      <c r="AE5843">
        <v>39.631270000000001</v>
      </c>
      <c r="AF5843">
        <v>-41.772612479626098</v>
      </c>
      <c r="AG5843">
        <v>0.72019799999999901</v>
      </c>
      <c r="AH5843">
        <v>61.0830311057966</v>
      </c>
      <c r="AI5843">
        <v>89.442396322868404</v>
      </c>
      <c r="AJ5843">
        <v>124.36689985020899</v>
      </c>
      <c r="AK5843">
        <v>74.004098046013297</v>
      </c>
    </row>
    <row r="5844" spans="1:37" x14ac:dyDescent="0.2">
      <c r="A5844" t="str">
        <f>"20200111160330534"</f>
        <v>20200111160330534</v>
      </c>
      <c r="B5844" t="str">
        <f>"1578729810528921"</f>
        <v>1578729810528921</v>
      </c>
      <c r="C5844" t="s">
        <v>37</v>
      </c>
      <c r="D5844">
        <v>4.6043820000000002</v>
      </c>
      <c r="E5844">
        <v>0.33074300000000001</v>
      </c>
      <c r="F5844" t="s">
        <v>49</v>
      </c>
      <c r="G5844">
        <v>-145.69200000000001</v>
      </c>
      <c r="H5844">
        <v>1.6142319999999999</v>
      </c>
      <c r="I5844">
        <v>-22.650010000000002</v>
      </c>
      <c r="J5844">
        <v>-208.05709999999999</v>
      </c>
      <c r="K5844">
        <v>1.1038129999999999</v>
      </c>
      <c r="L5844">
        <v>-62.285309999999903</v>
      </c>
      <c r="M5844">
        <v>0.99941089999999999</v>
      </c>
      <c r="N5844">
        <v>0</v>
      </c>
      <c r="O5844">
        <v>-3.378304E-2</v>
      </c>
      <c r="P5844">
        <v>0.98987839999999905</v>
      </c>
      <c r="Q5844">
        <v>-1.507651E-2</v>
      </c>
      <c r="R5844">
        <v>0.14111579999999899</v>
      </c>
      <c r="S5844">
        <v>2.7817989999999999</v>
      </c>
      <c r="T5844">
        <v>2.2718309999999999E-2</v>
      </c>
      <c r="U5844">
        <v>1.7639469999999999</v>
      </c>
      <c r="V5844">
        <v>-0.17446779999999901</v>
      </c>
      <c r="W5844">
        <v>-9.2774659999999998E-3</v>
      </c>
      <c r="X5844">
        <v>0.98461909999999897</v>
      </c>
      <c r="Y5844">
        <v>-0.56372699999999998</v>
      </c>
      <c r="Z5844">
        <v>-2.3610889999999998E-3</v>
      </c>
      <c r="AA5844">
        <v>0.82595779999999996</v>
      </c>
      <c r="AB5844">
        <v>22</v>
      </c>
      <c r="AC5844">
        <v>62.365099999999899</v>
      </c>
      <c r="AD5844">
        <v>0.51041899999999996</v>
      </c>
      <c r="AE5844">
        <v>39.635300000000001</v>
      </c>
      <c r="AF5844">
        <v>-41.717605685277</v>
      </c>
      <c r="AG5844">
        <v>0.51041899999999996</v>
      </c>
      <c r="AH5844">
        <v>60.987564815833601</v>
      </c>
      <c r="AI5844">
        <v>89.6042211957121</v>
      </c>
      <c r="AJ5844">
        <v>124.373479217887</v>
      </c>
      <c r="AK5844">
        <v>73.892504449594298</v>
      </c>
    </row>
    <row r="5845" spans="1:37" x14ac:dyDescent="0.2">
      <c r="A5845" t="str">
        <f>"20200111160330545"</f>
        <v>20200111160330545</v>
      </c>
      <c r="B5845" t="str">
        <f>"1578729810538681"</f>
        <v>1578729810538681</v>
      </c>
      <c r="C5845" t="s">
        <v>37</v>
      </c>
      <c r="D5845">
        <v>4.613664</v>
      </c>
      <c r="E5845">
        <v>0.33129049999999999</v>
      </c>
      <c r="F5845" t="s">
        <v>49</v>
      </c>
      <c r="G5845">
        <v>-145.42439999999999</v>
      </c>
      <c r="H5845">
        <v>1.498291</v>
      </c>
      <c r="I5845">
        <v>-22.650010000000002</v>
      </c>
      <c r="J5845">
        <v>-207.94110000000001</v>
      </c>
      <c r="K5845">
        <v>1.10385</v>
      </c>
      <c r="L5845">
        <v>-62.288669999999897</v>
      </c>
      <c r="M5845">
        <v>0.99943409999999999</v>
      </c>
      <c r="N5845">
        <v>0</v>
      </c>
      <c r="O5845">
        <v>-3.3057120000000002E-2</v>
      </c>
      <c r="P5845">
        <v>0.98967260000000001</v>
      </c>
      <c r="Q5845">
        <v>-1.5092400000000001E-2</v>
      </c>
      <c r="R5845">
        <v>0.14255029999999999</v>
      </c>
      <c r="S5845">
        <v>2.780151</v>
      </c>
      <c r="T5845">
        <v>1.751018E-2</v>
      </c>
      <c r="U5845">
        <v>1.7593380000000001</v>
      </c>
      <c r="V5845">
        <v>-0.17517929999999901</v>
      </c>
      <c r="W5845">
        <v>-9.1558709999999995E-3</v>
      </c>
      <c r="X5845">
        <v>0.98449399999999998</v>
      </c>
      <c r="Y5845">
        <v>-0.56237669999999995</v>
      </c>
      <c r="Z5845">
        <v>-1.8133719999999999E-3</v>
      </c>
      <c r="AA5845">
        <v>0.82687909999999998</v>
      </c>
      <c r="AB5845">
        <v>22</v>
      </c>
      <c r="AC5845">
        <v>62.5167</v>
      </c>
      <c r="AD5845">
        <v>0.39444099999999999</v>
      </c>
      <c r="AE5845">
        <v>39.638659999999902</v>
      </c>
      <c r="AF5845">
        <v>-41.682473750140403</v>
      </c>
      <c r="AG5845">
        <v>0.39444099999999999</v>
      </c>
      <c r="AH5845">
        <v>61.170428913010397</v>
      </c>
      <c r="AI5845">
        <v>89.694690712860805</v>
      </c>
      <c r="AJ5845">
        <v>124.27112093204801</v>
      </c>
      <c r="AK5845">
        <v>74.023007065609605</v>
      </c>
    </row>
    <row r="5846" spans="1:37" x14ac:dyDescent="0.2">
      <c r="A5846" t="str">
        <f>"20200111160330557"</f>
        <v>20200111160330557</v>
      </c>
      <c r="B5846" t="str">
        <f>"1578729810549417"</f>
        <v>1578729810549417</v>
      </c>
      <c r="C5846" t="s">
        <v>37</v>
      </c>
      <c r="D5846">
        <v>4.6562299999999999</v>
      </c>
      <c r="E5846">
        <v>0.33183839999999998</v>
      </c>
      <c r="F5846" t="s">
        <v>49</v>
      </c>
      <c r="G5846">
        <v>-145.34129999999999</v>
      </c>
      <c r="H5846">
        <v>1.4097959999999901</v>
      </c>
      <c r="I5846">
        <v>-22.650010000000002</v>
      </c>
      <c r="J5846">
        <v>-207.82579999999999</v>
      </c>
      <c r="K5846">
        <v>1.103918</v>
      </c>
      <c r="L5846">
        <v>-62.291869999999903</v>
      </c>
      <c r="M5846">
        <v>0.99945280000000003</v>
      </c>
      <c r="N5846">
        <v>0</v>
      </c>
      <c r="O5846">
        <v>-3.2452050000000003E-2</v>
      </c>
      <c r="P5846">
        <v>0.98948559999999997</v>
      </c>
      <c r="Q5846">
        <v>-1.498E-2</v>
      </c>
      <c r="R5846">
        <v>0.14385390000000001</v>
      </c>
      <c r="S5846">
        <v>2.7781220000000002</v>
      </c>
      <c r="T5846">
        <v>1.35777E-2</v>
      </c>
      <c r="U5846">
        <v>1.759125</v>
      </c>
      <c r="V5846">
        <v>-0.17587920000000001</v>
      </c>
      <c r="W5846">
        <v>-8.878904E-3</v>
      </c>
      <c r="X5846">
        <v>0.98437169999999896</v>
      </c>
      <c r="Y5846">
        <v>-0.56210700000000002</v>
      </c>
      <c r="Z5846">
        <v>-1.4036949999999999E-3</v>
      </c>
      <c r="AA5846">
        <v>0.82706329999999995</v>
      </c>
      <c r="AB5846">
        <v>22</v>
      </c>
      <c r="AC5846">
        <v>62.484499999999997</v>
      </c>
      <c r="AD5846">
        <v>0.30587799999999898</v>
      </c>
      <c r="AE5846">
        <v>39.641860000000001</v>
      </c>
      <c r="AF5846">
        <v>-41.648059558598099</v>
      </c>
      <c r="AG5846">
        <v>0.30587799999999898</v>
      </c>
      <c r="AH5846">
        <v>61.164056615033701</v>
      </c>
      <c r="AI5846">
        <v>89.763161426429306</v>
      </c>
      <c r="AJ5846">
        <v>124.251878937238</v>
      </c>
      <c r="AK5846">
        <v>73.997947592852</v>
      </c>
    </row>
    <row r="5847" spans="1:37" x14ac:dyDescent="0.2">
      <c r="A5847" t="str">
        <f>"20200111160330569"</f>
        <v>20200111160330569</v>
      </c>
      <c r="B5847" t="str">
        <f>"1578729810559177"</f>
        <v>1578729810559177</v>
      </c>
      <c r="C5847" t="s">
        <v>37</v>
      </c>
      <c r="D5847">
        <v>4.7799500000000004</v>
      </c>
      <c r="E5847">
        <v>0.33183839999999998</v>
      </c>
      <c r="F5847" t="s">
        <v>49</v>
      </c>
      <c r="G5847">
        <v>-145.2362</v>
      </c>
      <c r="H5847">
        <v>1.318392</v>
      </c>
      <c r="I5847">
        <v>-22.650010000000002</v>
      </c>
      <c r="J5847">
        <v>-207.71019999999999</v>
      </c>
      <c r="K5847">
        <v>1.1040019999999999</v>
      </c>
      <c r="L5847">
        <v>-62.29504</v>
      </c>
      <c r="M5847">
        <v>0.99946950000000001</v>
      </c>
      <c r="N5847">
        <v>0</v>
      </c>
      <c r="O5847">
        <v>-3.1893829999999998E-2</v>
      </c>
      <c r="P5847">
        <v>0.98933950000000004</v>
      </c>
      <c r="Q5847">
        <v>-1.536942E-2</v>
      </c>
      <c r="R5847">
        <v>0.144815</v>
      </c>
      <c r="S5847">
        <v>2.7763819999999999</v>
      </c>
      <c r="T5847">
        <v>9.5136170000000003E-3</v>
      </c>
      <c r="U5847">
        <v>1.7584529999999901</v>
      </c>
      <c r="V5847">
        <v>-0.17628389999999999</v>
      </c>
      <c r="W5847">
        <v>-9.0892990000000003E-3</v>
      </c>
      <c r="X5847">
        <v>0.98429739999999999</v>
      </c>
      <c r="Y5847">
        <v>-0.56173899999999999</v>
      </c>
      <c r="Z5847">
        <v>-9.8178479999999992E-4</v>
      </c>
      <c r="AA5847">
        <v>0.82731399999999999</v>
      </c>
      <c r="AB5847">
        <v>22</v>
      </c>
      <c r="AC5847">
        <v>62.473999999999897</v>
      </c>
      <c r="AD5847">
        <v>0.214389999999999</v>
      </c>
      <c r="AE5847">
        <v>39.645029999999998</v>
      </c>
      <c r="AF5847">
        <v>-41.617089285303699</v>
      </c>
      <c r="AG5847">
        <v>0.214389999999999</v>
      </c>
      <c r="AH5847">
        <v>61.1772427797574</v>
      </c>
      <c r="AI5847">
        <v>89.833984640176297</v>
      </c>
      <c r="AJ5847">
        <v>124.22630887948399</v>
      </c>
      <c r="AK5847">
        <v>73.9911016121968</v>
      </c>
    </row>
    <row r="5848" spans="1:37" x14ac:dyDescent="0.2">
      <c r="A5848" t="str">
        <f>"20200111160330582"</f>
        <v>20200111160330582</v>
      </c>
      <c r="B5848" t="str">
        <f>"1578729810578705"</f>
        <v>1578729810578705</v>
      </c>
      <c r="C5848" t="s">
        <v>37</v>
      </c>
      <c r="D5848">
        <v>3.374997</v>
      </c>
      <c r="E5848">
        <v>0.38776739999999998</v>
      </c>
      <c r="F5848" t="s">
        <v>49</v>
      </c>
      <c r="G5848">
        <v>-145.2517</v>
      </c>
      <c r="H5848">
        <v>1.281469</v>
      </c>
      <c r="I5848">
        <v>-22.65</v>
      </c>
      <c r="J5848">
        <v>-207.5857</v>
      </c>
      <c r="K5848">
        <v>1.1041110000000001</v>
      </c>
      <c r="L5848">
        <v>-62.298219999999901</v>
      </c>
      <c r="M5848">
        <v>0.99948320000000002</v>
      </c>
      <c r="N5848">
        <v>0</v>
      </c>
      <c r="O5848">
        <v>-3.1384710000000003E-2</v>
      </c>
      <c r="P5848">
        <v>0.98917790000000005</v>
      </c>
      <c r="Q5848">
        <v>-1.5866829999999998E-2</v>
      </c>
      <c r="R5848">
        <v>0.14586079999999901</v>
      </c>
      <c r="S5848">
        <v>2.7746729999999999</v>
      </c>
      <c r="T5848">
        <v>7.8837869999999997E-3</v>
      </c>
      <c r="U5848">
        <v>1.7612000000000001</v>
      </c>
      <c r="V5848">
        <v>-0.17682139999999999</v>
      </c>
      <c r="W5848">
        <v>-9.2898479999999999E-3</v>
      </c>
      <c r="X5848">
        <v>0.98419909999999999</v>
      </c>
      <c r="Y5848">
        <v>-0.56213279999999999</v>
      </c>
      <c r="Z5848">
        <v>-8.1299899999999904E-4</v>
      </c>
      <c r="AA5848">
        <v>0.82704659999999997</v>
      </c>
      <c r="AB5848">
        <v>22</v>
      </c>
      <c r="AC5848">
        <v>62.334000000000003</v>
      </c>
      <c r="AD5848">
        <v>0.17735799999999899</v>
      </c>
      <c r="AE5848">
        <v>39.648220000000002</v>
      </c>
      <c r="AF5848">
        <v>-41.584829602948602</v>
      </c>
      <c r="AG5848">
        <v>0.17735799999999899</v>
      </c>
      <c r="AH5848">
        <v>61.058561569084603</v>
      </c>
      <c r="AI5848">
        <v>89.862444532440804</v>
      </c>
      <c r="AJ5848">
        <v>124.25739482077699</v>
      </c>
      <c r="AK5848">
        <v>73.874741622912893</v>
      </c>
    </row>
    <row r="5849" spans="1:37" x14ac:dyDescent="0.2">
      <c r="A5849" t="str">
        <f>"20200111160330594"</f>
        <v>20200111160330594</v>
      </c>
      <c r="B5849" t="str">
        <f>"1578729810589442"</f>
        <v>1578729810589442</v>
      </c>
      <c r="C5849" t="s">
        <v>37</v>
      </c>
      <c r="D5849">
        <v>5.0150319999999997</v>
      </c>
      <c r="E5849">
        <v>0.46695509999999901</v>
      </c>
      <c r="F5849" t="s">
        <v>42</v>
      </c>
      <c r="G5849">
        <v>-206.71209999999999</v>
      </c>
      <c r="H5849">
        <v>1.06456</v>
      </c>
      <c r="I5849">
        <v>-61.890450000000001</v>
      </c>
      <c r="J5849">
        <v>-207.46430000000001</v>
      </c>
      <c r="K5849">
        <v>1.1042130000000001</v>
      </c>
      <c r="L5849">
        <v>-62.301269999999903</v>
      </c>
      <c r="M5849">
        <v>0.99949659999999996</v>
      </c>
      <c r="N5849">
        <v>0</v>
      </c>
      <c r="O5849">
        <v>-3.0875909999999999E-2</v>
      </c>
      <c r="P5849">
        <v>0.98900059999999901</v>
      </c>
      <c r="Q5849">
        <v>-1.670605E-2</v>
      </c>
      <c r="R5849">
        <v>0.14696509999999999</v>
      </c>
      <c r="S5849">
        <v>2.8356319999999999</v>
      </c>
      <c r="T5849">
        <v>-0.1283726</v>
      </c>
      <c r="U5849">
        <v>1.323334</v>
      </c>
      <c r="V5849">
        <v>-0.17741699999999999</v>
      </c>
      <c r="W5849">
        <v>-9.7984760000000004E-3</v>
      </c>
      <c r="X5849">
        <v>0.98408700000000005</v>
      </c>
      <c r="Y5849">
        <v>-0.45026759999999899</v>
      </c>
      <c r="Z5849">
        <v>1.1016730000000001E-2</v>
      </c>
      <c r="AA5849">
        <v>0.89282569999999895</v>
      </c>
      <c r="AB5849">
        <v>22</v>
      </c>
      <c r="AC5849">
        <v>0.75220000000001597</v>
      </c>
      <c r="AD5849">
        <v>-3.9652999999999897E-2</v>
      </c>
      <c r="AE5849">
        <v>0.41081999999999302</v>
      </c>
      <c r="AF5849">
        <v>-0.43292292923918702</v>
      </c>
      <c r="AG5849">
        <v>-3.9652999999999897E-2</v>
      </c>
      <c r="AH5849">
        <v>0.73757779052151395</v>
      </c>
      <c r="AI5849">
        <v>92.654590002481498</v>
      </c>
      <c r="AJ5849">
        <v>120.410898394036</v>
      </c>
      <c r="AK5849">
        <v>0.85616331394228495</v>
      </c>
    </row>
    <row r="5850" spans="1:37" x14ac:dyDescent="0.2">
      <c r="A5850" t="str">
        <f>"20200111160330606"</f>
        <v>20200111160330606</v>
      </c>
      <c r="B5850" t="str">
        <f>"1578729810599200"</f>
        <v>1578729810599200</v>
      </c>
      <c r="C5850" t="s">
        <v>37</v>
      </c>
      <c r="D5850">
        <v>4.758165</v>
      </c>
      <c r="E5850">
        <v>0.48308999999999902</v>
      </c>
      <c r="F5850" t="s">
        <v>64</v>
      </c>
      <c r="G5850">
        <v>-179.98650000000001</v>
      </c>
      <c r="H5850" s="1">
        <v>-1.3485999999999999E-5</v>
      </c>
      <c r="I5850">
        <v>-55.7134</v>
      </c>
      <c r="J5850">
        <v>-207.3468</v>
      </c>
      <c r="K5850">
        <v>1.1043019999999999</v>
      </c>
      <c r="L5850">
        <v>-62.304109999999902</v>
      </c>
      <c r="M5850">
        <v>0.99950930000000004</v>
      </c>
      <c r="N5850">
        <v>0</v>
      </c>
      <c r="O5850">
        <v>-3.036939E-2</v>
      </c>
      <c r="P5850">
        <v>0.98885940000000006</v>
      </c>
      <c r="Q5850">
        <v>-1.7570809999999999E-2</v>
      </c>
      <c r="R5850">
        <v>0.14781320000000001</v>
      </c>
      <c r="S5850">
        <v>2.9271090000000002</v>
      </c>
      <c r="T5850">
        <v>-0.11762930000000001</v>
      </c>
      <c r="U5850">
        <v>0.70178219999999902</v>
      </c>
      <c r="V5850">
        <v>-0.17776049999999999</v>
      </c>
      <c r="W5850">
        <v>-1.029367E-2</v>
      </c>
      <c r="X5850">
        <v>0.98401989999999995</v>
      </c>
      <c r="Y5850">
        <v>-0.26234750000000001</v>
      </c>
      <c r="Z5850">
        <v>6.3996019999999999E-3</v>
      </c>
      <c r="AA5850">
        <v>0.96495219999999904</v>
      </c>
      <c r="AB5850">
        <v>22</v>
      </c>
      <c r="AC5850">
        <v>27.360299999999899</v>
      </c>
      <c r="AD5850">
        <v>-1.104315486</v>
      </c>
      <c r="AE5850">
        <v>6.5907099999999899</v>
      </c>
      <c r="AF5850">
        <v>-7.4072046979202897</v>
      </c>
      <c r="AG5850">
        <v>-1.104315486</v>
      </c>
      <c r="AH5850">
        <v>27.105781472558199</v>
      </c>
      <c r="AI5850">
        <v>92.250564776959095</v>
      </c>
      <c r="AJ5850">
        <v>105.284073228894</v>
      </c>
      <c r="AK5850">
        <v>28.121336799085299</v>
      </c>
    </row>
    <row r="5851" spans="1:37" x14ac:dyDescent="0.2">
      <c r="A5851" t="str">
        <f>"20200111160330620"</f>
        <v>20200111160330620</v>
      </c>
      <c r="B5851" t="str">
        <f>"1578729810608960"</f>
        <v>1578729810608960</v>
      </c>
      <c r="C5851" t="s">
        <v>37</v>
      </c>
      <c r="D5851">
        <v>4.7146410000000003</v>
      </c>
      <c r="E5851">
        <v>0.4954906</v>
      </c>
      <c r="F5851" t="s">
        <v>64</v>
      </c>
      <c r="G5851">
        <v>-190.12700000000001</v>
      </c>
      <c r="H5851" s="1">
        <v>-6.7080239999999998E-6</v>
      </c>
      <c r="I5851">
        <v>-58.928699999999999</v>
      </c>
      <c r="J5851">
        <v>-207.21260000000001</v>
      </c>
      <c r="K5851">
        <v>1.104376</v>
      </c>
      <c r="L5851">
        <v>-62.307310000000001</v>
      </c>
      <c r="M5851">
        <v>0.99952569999999996</v>
      </c>
      <c r="N5851">
        <v>0</v>
      </c>
      <c r="O5851">
        <v>-2.970244E-2</v>
      </c>
      <c r="P5851">
        <v>0.98864619999999903</v>
      </c>
      <c r="Q5851">
        <v>-1.8701550000000001E-2</v>
      </c>
      <c r="R5851">
        <v>0.14909420000000001</v>
      </c>
      <c r="S5851">
        <v>2.9441989999999998</v>
      </c>
      <c r="T5851">
        <v>-0.18881120000000001</v>
      </c>
      <c r="U5851">
        <v>0.57711789999999996</v>
      </c>
      <c r="V5851">
        <v>-0.17837720000000001</v>
      </c>
      <c r="W5851">
        <v>-1.0969390000000001E-2</v>
      </c>
      <c r="X5851">
        <v>0.98390100000000003</v>
      </c>
      <c r="Y5851">
        <v>-0.22092529999999899</v>
      </c>
      <c r="Z5851">
        <v>8.8963830000000008E-3</v>
      </c>
      <c r="AA5851">
        <v>0.97525019999999996</v>
      </c>
      <c r="AB5851">
        <v>22</v>
      </c>
      <c r="AC5851">
        <v>17.085599999999999</v>
      </c>
      <c r="AD5851">
        <v>-1.1043827080239901</v>
      </c>
      <c r="AE5851">
        <v>3.3786100000000001</v>
      </c>
      <c r="AF5851">
        <v>-3.8690630055516699</v>
      </c>
      <c r="AG5851">
        <v>-1.1043827080239901</v>
      </c>
      <c r="AH5851">
        <v>16.909713061797099</v>
      </c>
      <c r="AI5851">
        <v>93.642835738691204</v>
      </c>
      <c r="AJ5851">
        <v>102.88783537137</v>
      </c>
      <c r="AK5851">
        <v>17.381821122627599</v>
      </c>
    </row>
    <row r="5852" spans="1:37" x14ac:dyDescent="0.2">
      <c r="A5852" t="str">
        <f>"20200111160330633"</f>
        <v>20200111160330633</v>
      </c>
      <c r="B5852" t="str">
        <f>"1578729810629456"</f>
        <v>1578729810629456</v>
      </c>
      <c r="C5852" t="s">
        <v>37</v>
      </c>
      <c r="D5852">
        <v>4.766305</v>
      </c>
      <c r="E5852">
        <v>0.51128830000000003</v>
      </c>
      <c r="F5852" t="s">
        <v>64</v>
      </c>
      <c r="G5852">
        <v>-191.41900000000001</v>
      </c>
      <c r="H5852" s="1">
        <v>-6.5565499999999999E-6</v>
      </c>
      <c r="I5852">
        <v>-59.728169999999999</v>
      </c>
      <c r="J5852">
        <v>-207.0891</v>
      </c>
      <c r="K5852">
        <v>1.1044290000000001</v>
      </c>
      <c r="L5852">
        <v>-62.310180000000003</v>
      </c>
      <c r="M5852">
        <v>0.99954149999999997</v>
      </c>
      <c r="N5852">
        <v>0</v>
      </c>
      <c r="O5852">
        <v>-2.9043039999999999E-2</v>
      </c>
      <c r="P5852">
        <v>0.98848179999999997</v>
      </c>
      <c r="Q5852">
        <v>-1.9424770000000001E-2</v>
      </c>
      <c r="R5852">
        <v>0.150089</v>
      </c>
      <c r="S5852">
        <v>2.9577179999999998</v>
      </c>
      <c r="T5852">
        <v>-0.20682039999999899</v>
      </c>
      <c r="U5852">
        <v>0.48300169999999998</v>
      </c>
      <c r="V5852">
        <v>-0.1787176</v>
      </c>
      <c r="W5852">
        <v>-1.1271710000000001E-2</v>
      </c>
      <c r="X5852">
        <v>0.98383580000000004</v>
      </c>
      <c r="Y5852">
        <v>-0.189244</v>
      </c>
      <c r="Z5852">
        <v>8.5812400000000004E-3</v>
      </c>
      <c r="AA5852">
        <v>0.98189259999999901</v>
      </c>
      <c r="AB5852">
        <v>22</v>
      </c>
      <c r="AC5852">
        <v>15.6700999999999</v>
      </c>
      <c r="AD5852">
        <v>-1.1044355565499999</v>
      </c>
      <c r="AE5852">
        <v>2.5820099999999999</v>
      </c>
      <c r="AF5852">
        <v>-3.02143253029949</v>
      </c>
      <c r="AG5852">
        <v>-1.1044355565499999</v>
      </c>
      <c r="AH5852">
        <v>15.513471020948</v>
      </c>
      <c r="AI5852">
        <v>93.997276013678601</v>
      </c>
      <c r="AJ5852">
        <v>101.02106403232401</v>
      </c>
      <c r="AK5852">
        <v>15.8435038912331</v>
      </c>
    </row>
    <row r="5853" spans="1:37" x14ac:dyDescent="0.2">
      <c r="A5853" t="str">
        <f>"20200111160330645"</f>
        <v>20200111160330645</v>
      </c>
      <c r="B5853" t="str">
        <f>"1578729810639216"</f>
        <v>1578729810639216</v>
      </c>
      <c r="C5853" t="s">
        <v>37</v>
      </c>
      <c r="D5853">
        <v>4.73672</v>
      </c>
      <c r="E5853">
        <v>0.51546270000000005</v>
      </c>
      <c r="F5853" t="s">
        <v>64</v>
      </c>
      <c r="G5853">
        <v>-191.6842</v>
      </c>
      <c r="H5853" s="1">
        <v>-9.0973179999999994E-6</v>
      </c>
      <c r="I5853">
        <v>-60.439590000000003</v>
      </c>
      <c r="J5853">
        <v>-206.9804</v>
      </c>
      <c r="K5853">
        <v>1.1044689999999999</v>
      </c>
      <c r="L5853">
        <v>-62.312649999999998</v>
      </c>
      <c r="M5853">
        <v>0.99955640000000001</v>
      </c>
      <c r="N5853">
        <v>0</v>
      </c>
      <c r="O5853">
        <v>-2.841312E-2</v>
      </c>
      <c r="P5853">
        <v>0.98832580000000003</v>
      </c>
      <c r="Q5853">
        <v>-2.019493E-2</v>
      </c>
      <c r="R5853">
        <v>0.15101129999999999</v>
      </c>
      <c r="S5853">
        <v>2.9758909999999998</v>
      </c>
      <c r="T5853">
        <v>-0.21335399999999999</v>
      </c>
      <c r="U5853">
        <v>0.36135859999999997</v>
      </c>
      <c r="V5853">
        <v>-0.1790156</v>
      </c>
      <c r="W5853">
        <v>-1.16805E-2</v>
      </c>
      <c r="X5853">
        <v>0.98377689999999995</v>
      </c>
      <c r="Y5853">
        <v>-0.14825439999999901</v>
      </c>
      <c r="Z5853">
        <v>7.3161019999999997E-3</v>
      </c>
      <c r="AA5853">
        <v>0.98892219999999997</v>
      </c>
      <c r="AB5853">
        <v>22</v>
      </c>
      <c r="AC5853">
        <v>15.296200000000001</v>
      </c>
      <c r="AD5853">
        <v>-1.104478097318</v>
      </c>
      <c r="AE5853">
        <v>1.87305999999999</v>
      </c>
      <c r="AF5853">
        <v>-2.2951443622776</v>
      </c>
      <c r="AG5853">
        <v>-1.104478097318</v>
      </c>
      <c r="AH5853">
        <v>15.158935556606201</v>
      </c>
      <c r="AI5853">
        <v>94.120404472699605</v>
      </c>
      <c r="AJ5853">
        <v>98.609499651954394</v>
      </c>
      <c r="AK5853">
        <v>15.3714308611947</v>
      </c>
    </row>
    <row r="5854" spans="1:37" x14ac:dyDescent="0.2">
      <c r="A5854" t="str">
        <f>"20200111160330672"</f>
        <v>20200111160330672</v>
      </c>
      <c r="B5854" t="str">
        <f>"1578729810669473"</f>
        <v>1578729810669473</v>
      </c>
      <c r="C5854" t="s">
        <v>37</v>
      </c>
      <c r="D5854">
        <v>4.7123879999999998</v>
      </c>
      <c r="E5854">
        <v>0.52304359999999905</v>
      </c>
      <c r="F5854" t="s">
        <v>64</v>
      </c>
      <c r="G5854">
        <v>-191.72299999999899</v>
      </c>
      <c r="H5854" s="1">
        <v>-9.0918389999999999E-6</v>
      </c>
      <c r="I5854">
        <v>-60.617440000000002</v>
      </c>
      <c r="J5854">
        <v>-206.72069999999999</v>
      </c>
      <c r="K5854">
        <v>1.1045639999999901</v>
      </c>
      <c r="L5854">
        <v>-62.318359999999998</v>
      </c>
      <c r="M5854">
        <v>0.99959189999999998</v>
      </c>
      <c r="N5854">
        <v>0</v>
      </c>
      <c r="O5854">
        <v>-2.6866729999999998E-2</v>
      </c>
      <c r="P5854">
        <v>0.98804219999999898</v>
      </c>
      <c r="Q5854">
        <v>-2.1340410000000001E-2</v>
      </c>
      <c r="R5854">
        <v>0.15270149999999999</v>
      </c>
      <c r="S5854">
        <v>2.9804080000000002</v>
      </c>
      <c r="T5854">
        <v>-0.2157511</v>
      </c>
      <c r="U5854">
        <v>0.3311462</v>
      </c>
      <c r="V5854">
        <v>-0.17917569999999999</v>
      </c>
      <c r="W5854">
        <v>-1.2038699999999999E-2</v>
      </c>
      <c r="X5854">
        <v>0.98374340000000005</v>
      </c>
      <c r="Y5854">
        <v>-0.13666900000000001</v>
      </c>
      <c r="Z5854">
        <v>6.8621969999999996E-3</v>
      </c>
      <c r="AA5854">
        <v>0.99059299999999995</v>
      </c>
      <c r="AB5854">
        <v>22</v>
      </c>
      <c r="AC5854">
        <v>14.9977</v>
      </c>
      <c r="AD5854">
        <v>-1.104573091839</v>
      </c>
      <c r="AE5854">
        <v>1.70091999999999</v>
      </c>
      <c r="AF5854">
        <v>-2.0920603403751299</v>
      </c>
      <c r="AG5854">
        <v>-1.104573091839</v>
      </c>
      <c r="AH5854">
        <v>14.866967315345899</v>
      </c>
      <c r="AI5854">
        <v>94.2077997672923</v>
      </c>
      <c r="AJ5854">
        <v>98.009993397460605</v>
      </c>
      <c r="AK5854">
        <v>15.0540199062758</v>
      </c>
    </row>
    <row r="5855" spans="1:37" x14ac:dyDescent="0.2">
      <c r="A5855" t="str">
        <f>"20200111160330685"</f>
        <v>20200111160330685</v>
      </c>
      <c r="B5855" t="str">
        <f>"1578729810679233"</f>
        <v>1578729810679233</v>
      </c>
      <c r="C5855" t="s">
        <v>37</v>
      </c>
      <c r="D5855">
        <v>4.7400029999999997</v>
      </c>
      <c r="E5855">
        <v>0.52463479999999996</v>
      </c>
      <c r="F5855" t="s">
        <v>64</v>
      </c>
      <c r="G5855">
        <v>-191.81630000000001</v>
      </c>
      <c r="H5855" s="1">
        <v>-9.0725379999999904E-6</v>
      </c>
      <c r="I5855">
        <v>-60.939889999999998</v>
      </c>
      <c r="J5855">
        <v>-206.58410000000001</v>
      </c>
      <c r="K5855">
        <v>1.1046260000000001</v>
      </c>
      <c r="L5855">
        <v>-62.321199999999997</v>
      </c>
      <c r="M5855">
        <v>0.99960919999999898</v>
      </c>
      <c r="N5855">
        <v>0</v>
      </c>
      <c r="O5855">
        <v>-2.606934E-2</v>
      </c>
      <c r="P5855">
        <v>0.98788399999999998</v>
      </c>
      <c r="Q5855">
        <v>-2.1813510000000001E-2</v>
      </c>
      <c r="R5855">
        <v>0.15365490000000001</v>
      </c>
      <c r="S5855">
        <v>2.9888150000000002</v>
      </c>
      <c r="T5855">
        <v>-0.221502799999999</v>
      </c>
      <c r="U5855">
        <v>0.27642820000000001</v>
      </c>
      <c r="V5855">
        <v>-0.17933969999999999</v>
      </c>
      <c r="W5855">
        <v>-1.214725E-2</v>
      </c>
      <c r="X5855">
        <v>0.98371219999999904</v>
      </c>
      <c r="Y5855">
        <v>-0.1176321</v>
      </c>
      <c r="Z5855">
        <v>6.26948099999999E-3</v>
      </c>
      <c r="AA5855">
        <v>0.99303750000000002</v>
      </c>
      <c r="AB5855">
        <v>22</v>
      </c>
      <c r="AC5855">
        <v>14.7677999999999</v>
      </c>
      <c r="AD5855">
        <v>-1.1046350725380001</v>
      </c>
      <c r="AE5855">
        <v>1.38130999999999</v>
      </c>
      <c r="AF5855">
        <v>-1.75610656525563</v>
      </c>
      <c r="AG5855">
        <v>-1.1046350725380001</v>
      </c>
      <c r="AH5855">
        <v>14.645536572377299</v>
      </c>
      <c r="AI5855">
        <v>94.282786281640696</v>
      </c>
      <c r="AJ5855">
        <v>96.837536731083205</v>
      </c>
      <c r="AK5855">
        <v>14.791750079177801</v>
      </c>
    </row>
    <row r="5856" spans="1:37" x14ac:dyDescent="0.2">
      <c r="A5856" t="str">
        <f>"20200111160330698"</f>
        <v>20200111160330698</v>
      </c>
      <c r="B5856" t="str">
        <f>"1578729810688992"</f>
        <v>1578729810688992</v>
      </c>
      <c r="C5856" t="s">
        <v>37</v>
      </c>
      <c r="D5856">
        <v>4.6933999999999996</v>
      </c>
      <c r="E5856">
        <v>0.52584909999999996</v>
      </c>
      <c r="F5856" t="s">
        <v>64</v>
      </c>
      <c r="G5856">
        <v>-191.81280000000001</v>
      </c>
      <c r="H5856" s="1">
        <v>-9.0777059999999992E-6</v>
      </c>
      <c r="I5856">
        <v>-61.003830000000001</v>
      </c>
      <c r="J5856">
        <v>-206.46180000000001</v>
      </c>
      <c r="K5856">
        <v>1.1046879999999999</v>
      </c>
      <c r="L5856">
        <v>-62.323639999999997</v>
      </c>
      <c r="M5856">
        <v>0.999623699999999</v>
      </c>
      <c r="N5856">
        <v>0</v>
      </c>
      <c r="O5856">
        <v>-2.5381089999999999E-2</v>
      </c>
      <c r="P5856">
        <v>0.98771109999999895</v>
      </c>
      <c r="Q5856">
        <v>-2.1315440000000001E-2</v>
      </c>
      <c r="R5856">
        <v>0.15483169999999999</v>
      </c>
      <c r="S5856">
        <v>2.9903719999999998</v>
      </c>
      <c r="T5856">
        <v>-0.223627399999999</v>
      </c>
      <c r="U5856">
        <v>0.26669309999999902</v>
      </c>
      <c r="V5856">
        <v>-0.17983479999999999</v>
      </c>
      <c r="W5856">
        <v>-1.134897E-2</v>
      </c>
      <c r="X5856">
        <v>0.98363140000000004</v>
      </c>
      <c r="Y5856">
        <v>-0.11369939999999901</v>
      </c>
      <c r="Z5856">
        <v>6.1292200000000003E-3</v>
      </c>
      <c r="AA5856">
        <v>0.9934963</v>
      </c>
      <c r="AB5856">
        <v>22</v>
      </c>
      <c r="AC5856">
        <v>14.648999999999999</v>
      </c>
      <c r="AD5856">
        <v>-1.1046970777059999</v>
      </c>
      <c r="AE5856">
        <v>1.3198099999999899</v>
      </c>
      <c r="AF5856">
        <v>-1.6817258017558001</v>
      </c>
      <c r="AG5856">
        <v>-1.1046970777059999</v>
      </c>
      <c r="AH5856">
        <v>14.5288225430564</v>
      </c>
      <c r="AI5856">
        <v>94.319380907794795</v>
      </c>
      <c r="AJ5856">
        <v>96.602660518425495</v>
      </c>
      <c r="AK5856">
        <v>14.667489280494101</v>
      </c>
    </row>
    <row r="5857" spans="1:37" x14ac:dyDescent="0.2">
      <c r="A5857" t="str">
        <f>"20200111160330712"</f>
        <v>20200111160330712</v>
      </c>
      <c r="B5857" t="str">
        <f>"1578729810708511"</f>
        <v>1578729810708511</v>
      </c>
      <c r="C5857" t="s">
        <v>37</v>
      </c>
      <c r="D5857">
        <v>4.7225159999999997</v>
      </c>
      <c r="E5857">
        <v>0.52794770000000002</v>
      </c>
      <c r="F5857" t="s">
        <v>64</v>
      </c>
      <c r="G5857">
        <v>-191.6542</v>
      </c>
      <c r="H5857" s="1">
        <v>-9.14406E-6</v>
      </c>
      <c r="I5857">
        <v>-61.0342699999999</v>
      </c>
      <c r="J5857">
        <v>-206.33770000000001</v>
      </c>
      <c r="K5857">
        <v>1.1047530000000001</v>
      </c>
      <c r="L5857">
        <v>-62.3260199999999</v>
      </c>
      <c r="M5857">
        <v>0.99963760000000002</v>
      </c>
      <c r="N5857">
        <v>0</v>
      </c>
      <c r="O5857">
        <v>-2.469147E-2</v>
      </c>
      <c r="P5857">
        <v>0.98758799999999902</v>
      </c>
      <c r="Q5857">
        <v>-2.1136439999999999E-2</v>
      </c>
      <c r="R5857">
        <v>0.15563869999999999</v>
      </c>
      <c r="S5857">
        <v>2.9916689999999999</v>
      </c>
      <c r="T5857">
        <v>-0.2231882</v>
      </c>
      <c r="U5857">
        <v>0.26049800000000001</v>
      </c>
      <c r="V5857">
        <v>-0.1799605</v>
      </c>
      <c r="W5857">
        <v>-1.087843E-2</v>
      </c>
      <c r="X5857">
        <v>0.98361369999999904</v>
      </c>
      <c r="Y5857">
        <v>-0.1109453</v>
      </c>
      <c r="Z5857">
        <v>5.9614339999999998E-3</v>
      </c>
      <c r="AA5857">
        <v>0.99380859999999904</v>
      </c>
      <c r="AB5857">
        <v>22</v>
      </c>
      <c r="AC5857">
        <v>14.6835</v>
      </c>
      <c r="AD5857">
        <v>-1.10476214406</v>
      </c>
      <c r="AE5857">
        <v>1.29175</v>
      </c>
      <c r="AF5857">
        <v>-1.6446953706626799</v>
      </c>
      <c r="AG5857">
        <v>-1.10476214406</v>
      </c>
      <c r="AH5857">
        <v>14.5653075334299</v>
      </c>
      <c r="AI5857">
        <v>94.310227170914402</v>
      </c>
      <c r="AJ5857">
        <v>96.442474685525497</v>
      </c>
      <c r="AK5857">
        <v>14.699445765083</v>
      </c>
    </row>
    <row r="5858" spans="1:37" x14ac:dyDescent="0.2">
      <c r="A5858" t="str">
        <f>"20200111160330724"</f>
        <v>20200111160330724</v>
      </c>
      <c r="B5858" t="str">
        <f>"1578729810719247"</f>
        <v>1578729810719247</v>
      </c>
      <c r="C5858" t="s">
        <v>37</v>
      </c>
      <c r="D5858">
        <v>4.7058530000000003</v>
      </c>
      <c r="E5858">
        <v>0.52892569999999905</v>
      </c>
      <c r="F5858" t="s">
        <v>64</v>
      </c>
      <c r="G5858">
        <v>-191.60220000000001</v>
      </c>
      <c r="H5858" s="1">
        <v>-9.1698229999999994E-6</v>
      </c>
      <c r="I5858">
        <v>-61.113340000000001</v>
      </c>
      <c r="J5858">
        <v>-206.22</v>
      </c>
      <c r="K5858">
        <v>1.1048149999999901</v>
      </c>
      <c r="L5858">
        <v>-62.328130000000002</v>
      </c>
      <c r="M5858">
        <v>0.9996507</v>
      </c>
      <c r="N5858">
        <v>0</v>
      </c>
      <c r="O5858">
        <v>-2.4038999999999901E-2</v>
      </c>
      <c r="P5858">
        <v>0.98741069999999997</v>
      </c>
      <c r="Q5858">
        <v>-2.083836E-2</v>
      </c>
      <c r="R5858">
        <v>0.15680050000000001</v>
      </c>
      <c r="S5858">
        <v>2.994049</v>
      </c>
      <c r="T5858">
        <v>-0.22447210000000001</v>
      </c>
      <c r="U5858">
        <v>0.2463989</v>
      </c>
      <c r="V5858">
        <v>-0.1804761</v>
      </c>
      <c r="W5858">
        <v>-1.032887E-2</v>
      </c>
      <c r="X5858">
        <v>0.98352519999999999</v>
      </c>
      <c r="Y5858">
        <v>-0.1055932</v>
      </c>
      <c r="Z5858">
        <v>5.7432580000000002E-3</v>
      </c>
      <c r="AA5858">
        <v>0.99439279999999997</v>
      </c>
      <c r="AB5858">
        <v>22</v>
      </c>
      <c r="AC5858">
        <v>14.6177999999999</v>
      </c>
      <c r="AD5858">
        <v>-1.1048241698229999</v>
      </c>
      <c r="AE5858">
        <v>1.21479</v>
      </c>
      <c r="AF5858">
        <v>-1.55702398142391</v>
      </c>
      <c r="AG5858">
        <v>-1.1048241698229999</v>
      </c>
      <c r="AH5858">
        <v>14.502096881591401</v>
      </c>
      <c r="AI5858">
        <v>94.331792129132893</v>
      </c>
      <c r="AJ5858">
        <v>96.128111466929596</v>
      </c>
      <c r="AK5858">
        <v>14.627227149669199</v>
      </c>
    </row>
    <row r="5859" spans="1:37" x14ac:dyDescent="0.2">
      <c r="A5859" t="str">
        <f>"20200111160330735"</f>
        <v>20200111160330735</v>
      </c>
      <c r="B5859" t="str">
        <f>"1578729810729008"</f>
        <v>1578729810729008</v>
      </c>
      <c r="C5859" t="s">
        <v>37</v>
      </c>
      <c r="D5859">
        <v>4.7159399999999998</v>
      </c>
      <c r="E5859">
        <v>0.52974889999999997</v>
      </c>
      <c r="F5859" t="s">
        <v>64</v>
      </c>
      <c r="G5859">
        <v>-191.4615</v>
      </c>
      <c r="H5859" s="1">
        <v>-9.2283659999999999E-6</v>
      </c>
      <c r="I5859">
        <v>-61.13503</v>
      </c>
      <c r="J5859">
        <v>-206.10659999999999</v>
      </c>
      <c r="K5859">
        <v>1.1048739999999999</v>
      </c>
      <c r="L5859">
        <v>-62.330109999999998</v>
      </c>
      <c r="M5859">
        <v>0.99966330000000003</v>
      </c>
      <c r="N5859">
        <v>0</v>
      </c>
      <c r="O5859">
        <v>-2.3392650000000001E-2</v>
      </c>
      <c r="P5859">
        <v>0.98725839999999998</v>
      </c>
      <c r="Q5859">
        <v>-2.0158889999999999E-2</v>
      </c>
      <c r="R5859">
        <v>0.1578446</v>
      </c>
      <c r="S5859">
        <v>2.9950709999999998</v>
      </c>
      <c r="T5859">
        <v>-0.2242122</v>
      </c>
      <c r="U5859">
        <v>0.24212649999999999</v>
      </c>
      <c r="V5859">
        <v>-0.1808815</v>
      </c>
      <c r="W5859">
        <v>-9.41997199999999E-3</v>
      </c>
      <c r="X5859">
        <v>0.9834598</v>
      </c>
      <c r="Y5859">
        <v>-0.1035218</v>
      </c>
      <c r="Z5859">
        <v>5.6094539999999998E-3</v>
      </c>
      <c r="AA5859">
        <v>0.99461139999999904</v>
      </c>
      <c r="AB5859">
        <v>22</v>
      </c>
      <c r="AC5859">
        <v>14.6450999999999</v>
      </c>
      <c r="AD5859">
        <v>-1.1048832283659999</v>
      </c>
      <c r="AE5859">
        <v>1.1950799999999899</v>
      </c>
      <c r="AF5859">
        <v>-1.52871865402887</v>
      </c>
      <c r="AG5859">
        <v>-1.1048832283659999</v>
      </c>
      <c r="AH5859">
        <v>14.5309740797196</v>
      </c>
      <c r="AI5859">
        <v>94.324424954416898</v>
      </c>
      <c r="AJ5859">
        <v>96.005661606113406</v>
      </c>
      <c r="AK5859">
        <v>14.6528821525658</v>
      </c>
    </row>
    <row r="5860" spans="1:37" x14ac:dyDescent="0.2">
      <c r="A5860" t="str">
        <f>"20200111160330746"</f>
        <v>20200111160330746</v>
      </c>
      <c r="B5860" t="str">
        <f>"1578729810738768"</f>
        <v>1578729810738768</v>
      </c>
      <c r="C5860" t="s">
        <v>37</v>
      </c>
      <c r="D5860">
        <v>4.7260349999999898</v>
      </c>
      <c r="E5860">
        <v>0.53044969999999902</v>
      </c>
      <c r="F5860" t="s">
        <v>64</v>
      </c>
      <c r="G5860">
        <v>-191.1994</v>
      </c>
      <c r="H5860" s="1">
        <v>-9.3355620000000003E-6</v>
      </c>
      <c r="I5860">
        <v>-61.142229999999998</v>
      </c>
      <c r="J5860">
        <v>-205.99610000000001</v>
      </c>
      <c r="K5860">
        <v>1.1049290000000001</v>
      </c>
      <c r="L5860">
        <v>-62.331940000000003</v>
      </c>
      <c r="M5860">
        <v>0.99967549999999905</v>
      </c>
      <c r="N5860">
        <v>0</v>
      </c>
      <c r="O5860">
        <v>-2.2749599999999998E-2</v>
      </c>
      <c r="P5860">
        <v>0.98706260000000001</v>
      </c>
      <c r="Q5860">
        <v>-1.932153E-2</v>
      </c>
      <c r="R5860">
        <v>0.15916729999999901</v>
      </c>
      <c r="S5860">
        <v>2.9960330000000002</v>
      </c>
      <c r="T5860">
        <v>-0.2220589</v>
      </c>
      <c r="U5860">
        <v>0.23873899999999901</v>
      </c>
      <c r="V5860">
        <v>-0.1815678</v>
      </c>
      <c r="W5860">
        <v>-8.3718549999999992E-3</v>
      </c>
      <c r="X5860">
        <v>0.98334279999999996</v>
      </c>
      <c r="Y5860">
        <v>-0.10175239999999899</v>
      </c>
      <c r="Z5860">
        <v>5.441291E-3</v>
      </c>
      <c r="AA5860">
        <v>0.99479479999999998</v>
      </c>
      <c r="AB5860">
        <v>21</v>
      </c>
      <c r="AC5860">
        <v>14.7967</v>
      </c>
      <c r="AD5860">
        <v>-1.1049383355619999</v>
      </c>
      <c r="AE5860">
        <v>1.1897099999999901</v>
      </c>
      <c r="AF5860">
        <v>-1.5176347396165599</v>
      </c>
      <c r="AG5860">
        <v>-1.1049383355619999</v>
      </c>
      <c r="AH5860">
        <v>14.684443884189401</v>
      </c>
      <c r="AI5860">
        <v>94.280426671645799</v>
      </c>
      <c r="AJ5860">
        <v>95.900560096097394</v>
      </c>
      <c r="AK5860">
        <v>14.803952043835899</v>
      </c>
    </row>
    <row r="5861" spans="1:37" x14ac:dyDescent="0.2">
      <c r="A5861" t="str">
        <f>"20200111160330758"</f>
        <v>20200111160330758</v>
      </c>
      <c r="B5861" t="str">
        <f>"1578729810748528"</f>
        <v>1578729810748528</v>
      </c>
      <c r="C5861" t="s">
        <v>37</v>
      </c>
      <c r="D5861">
        <v>4.7058169999999997</v>
      </c>
      <c r="E5861">
        <v>0.53108849999999996</v>
      </c>
      <c r="F5861" t="s">
        <v>64</v>
      </c>
      <c r="G5861">
        <v>-190.946</v>
      </c>
      <c r="H5861" s="1">
        <v>-9.4387089999999996E-6</v>
      </c>
      <c r="I5861">
        <v>-61.140929999999997</v>
      </c>
      <c r="J5861">
        <v>-205.8861</v>
      </c>
      <c r="K5861">
        <v>1.104981</v>
      </c>
      <c r="L5861">
        <v>-62.333619999999897</v>
      </c>
      <c r="M5861">
        <v>0.99968840000000003</v>
      </c>
      <c r="N5861">
        <v>0</v>
      </c>
      <c r="O5861">
        <v>-2.206582E-2</v>
      </c>
      <c r="P5861">
        <v>0.98683949999999998</v>
      </c>
      <c r="Q5861">
        <v>-1.76364E-2</v>
      </c>
      <c r="R5861">
        <v>0.1607391</v>
      </c>
      <c r="S5861">
        <v>2.9967649999999999</v>
      </c>
      <c r="T5861">
        <v>-0.22001370000000001</v>
      </c>
      <c r="U5861">
        <v>0.2371521</v>
      </c>
      <c r="V5861">
        <v>-0.1824654</v>
      </c>
      <c r="W5861">
        <v>-6.4974069999999898E-3</v>
      </c>
      <c r="X5861">
        <v>0.98319080000000003</v>
      </c>
      <c r="Y5861">
        <v>-0.1005407</v>
      </c>
      <c r="Z5861">
        <v>5.2956909999999999E-3</v>
      </c>
      <c r="AA5861">
        <v>0.99491890000000005</v>
      </c>
      <c r="AB5861">
        <v>21</v>
      </c>
      <c r="AC5861">
        <v>14.940099999999999</v>
      </c>
      <c r="AD5861">
        <v>-1.1049904387089999</v>
      </c>
      <c r="AE5861">
        <v>1.19268999999999</v>
      </c>
      <c r="AF5861">
        <v>-1.5138587769606899</v>
      </c>
      <c r="AG5861">
        <v>-1.1049904387089999</v>
      </c>
      <c r="AH5861">
        <v>14.829534342259199</v>
      </c>
      <c r="AI5861">
        <v>94.239443424676395</v>
      </c>
      <c r="AJ5861">
        <v>95.8287930321044</v>
      </c>
      <c r="AK5861">
        <v>14.947503506420899</v>
      </c>
    </row>
    <row r="5862" spans="1:37" x14ac:dyDescent="0.2">
      <c r="A5862" t="str">
        <f>"20200111160330770"</f>
        <v>20200111160330770</v>
      </c>
      <c r="B5862" t="str">
        <f>"1578729810759265"</f>
        <v>1578729810759265</v>
      </c>
      <c r="C5862" t="s">
        <v>37</v>
      </c>
      <c r="D5862">
        <v>4.6712040000000004</v>
      </c>
      <c r="E5862">
        <v>0.53173079999999995</v>
      </c>
      <c r="F5862" t="s">
        <v>64</v>
      </c>
      <c r="G5862">
        <v>-190.56099999999901</v>
      </c>
      <c r="H5862" s="1">
        <v>-9.59848E-6</v>
      </c>
      <c r="I5862">
        <v>-61.122409999999903</v>
      </c>
      <c r="J5862">
        <v>-205.77350000000001</v>
      </c>
      <c r="K5862">
        <v>1.105027</v>
      </c>
      <c r="L5862">
        <v>-62.335299999999997</v>
      </c>
      <c r="M5862">
        <v>0.99970149999999902</v>
      </c>
      <c r="N5862">
        <v>0</v>
      </c>
      <c r="O5862">
        <v>-2.1349730000000001E-2</v>
      </c>
      <c r="P5862">
        <v>0.98657819999999996</v>
      </c>
      <c r="Q5862">
        <v>-1.5700499999999999E-2</v>
      </c>
      <c r="R5862">
        <v>0.1625326</v>
      </c>
      <c r="S5862">
        <v>2.9975429999999998</v>
      </c>
      <c r="T5862">
        <v>-0.21613199999999999</v>
      </c>
      <c r="U5862">
        <v>0.23690799999999901</v>
      </c>
      <c r="V5862">
        <v>-0.1835523</v>
      </c>
      <c r="W5862">
        <v>-4.3756309999999996E-3</v>
      </c>
      <c r="X5862">
        <v>0.98300019999999999</v>
      </c>
      <c r="Y5862">
        <v>-9.9742709999999998E-2</v>
      </c>
      <c r="Z5862">
        <v>5.1209899999999997E-3</v>
      </c>
      <c r="AA5862">
        <v>0.99500010000000005</v>
      </c>
      <c r="AB5862">
        <v>21</v>
      </c>
      <c r="AC5862">
        <v>15.2125</v>
      </c>
      <c r="AD5862">
        <v>-1.1050365984799999</v>
      </c>
      <c r="AE5862">
        <v>1.21289</v>
      </c>
      <c r="AF5862">
        <v>-1.52940016914091</v>
      </c>
      <c r="AG5862">
        <v>-1.1050365984799999</v>
      </c>
      <c r="AH5862">
        <v>15.103941737902399</v>
      </c>
      <c r="AI5862">
        <v>94.163212715747406</v>
      </c>
      <c r="AJ5862">
        <v>95.781968322366097</v>
      </c>
      <c r="AK5862">
        <v>15.221341162437</v>
      </c>
    </row>
    <row r="5863" spans="1:37" x14ac:dyDescent="0.2">
      <c r="A5863" t="str">
        <f>"20200111160330783"</f>
        <v>20200111160330783</v>
      </c>
      <c r="B5863" t="str">
        <f>"1578729810778784"</f>
        <v>1578729810778784</v>
      </c>
      <c r="C5863" t="s">
        <v>37</v>
      </c>
      <c r="D5863">
        <v>4.8726070000000004</v>
      </c>
      <c r="E5863">
        <v>0.53240609999999999</v>
      </c>
      <c r="F5863" t="s">
        <v>64</v>
      </c>
      <c r="G5863">
        <v>-190.05549999999999</v>
      </c>
      <c r="H5863" s="1">
        <v>-9.8166709999999994E-6</v>
      </c>
      <c r="I5863">
        <v>-61.090800000000002</v>
      </c>
      <c r="J5863">
        <v>-205.64189999999999</v>
      </c>
      <c r="K5863">
        <v>1.1050899999999999</v>
      </c>
      <c r="L5863">
        <v>-62.3371</v>
      </c>
      <c r="M5863">
        <v>0.99971790000000005</v>
      </c>
      <c r="N5863">
        <v>0</v>
      </c>
      <c r="O5863">
        <v>-2.0447739999999999E-2</v>
      </c>
      <c r="P5863">
        <v>0.9861915</v>
      </c>
      <c r="Q5863">
        <v>-1.342865E-2</v>
      </c>
      <c r="R5863">
        <v>0.16506399999999999</v>
      </c>
      <c r="S5863">
        <v>2.9983369999999998</v>
      </c>
      <c r="T5863">
        <v>-0.2107936</v>
      </c>
      <c r="U5863">
        <v>0.2373962</v>
      </c>
      <c r="V5863">
        <v>-0.185193</v>
      </c>
      <c r="W5863">
        <v>-1.9144800000000001E-3</v>
      </c>
      <c r="X5863">
        <v>0.98270029999999997</v>
      </c>
      <c r="Y5863">
        <v>-9.9004789999999995E-2</v>
      </c>
      <c r="Z5863">
        <v>4.9043519999999998E-3</v>
      </c>
      <c r="AA5863">
        <v>0.99507489999999998</v>
      </c>
      <c r="AB5863">
        <v>21</v>
      </c>
      <c r="AC5863">
        <v>15.5863999999999</v>
      </c>
      <c r="AD5863">
        <v>-1.105099816671</v>
      </c>
      <c r="AE5863">
        <v>1.24629999999999</v>
      </c>
      <c r="AF5863">
        <v>-1.5569919962146801</v>
      </c>
      <c r="AG5863">
        <v>-1.105099816671</v>
      </c>
      <c r="AH5863">
        <v>15.480329225726001</v>
      </c>
      <c r="AI5863">
        <v>94.062838317558999</v>
      </c>
      <c r="AJ5863">
        <v>95.743422257394997</v>
      </c>
      <c r="AK5863">
        <v>15.5976300320898</v>
      </c>
    </row>
    <row r="5864" spans="1:37" x14ac:dyDescent="0.2">
      <c r="A5864" t="str">
        <f>"20200111160330795"</f>
        <v>20200111160330795</v>
      </c>
      <c r="B5864" t="str">
        <f>"1578729810788544"</f>
        <v>1578729810788544</v>
      </c>
      <c r="C5864" t="s">
        <v>37</v>
      </c>
      <c r="D5864">
        <v>4.7253829999999999</v>
      </c>
      <c r="E5864">
        <v>0.53293290000000004</v>
      </c>
      <c r="F5864" t="s">
        <v>64</v>
      </c>
      <c r="G5864">
        <v>-189.41980000000001</v>
      </c>
      <c r="H5864" s="1">
        <v>-1.094338E-5</v>
      </c>
      <c r="I5864">
        <v>-61.039479999999998</v>
      </c>
      <c r="J5864">
        <v>-205.53270000000001</v>
      </c>
      <c r="K5864">
        <v>1.105148</v>
      </c>
      <c r="L5864">
        <v>-62.338469999999901</v>
      </c>
      <c r="M5864">
        <v>0.99973140000000005</v>
      </c>
      <c r="N5864">
        <v>0</v>
      </c>
      <c r="O5864">
        <v>-1.9669889999999999E-2</v>
      </c>
      <c r="P5864">
        <v>0.98581799999999997</v>
      </c>
      <c r="Q5864">
        <v>-1.1424760000000001E-2</v>
      </c>
      <c r="R5864">
        <v>0.16742889999999999</v>
      </c>
      <c r="S5864">
        <v>2.999069</v>
      </c>
      <c r="T5864">
        <v>-0.20430670000000001</v>
      </c>
      <c r="U5864">
        <v>0.23989869999999999</v>
      </c>
      <c r="V5864">
        <v>-0.18679009999999999</v>
      </c>
      <c r="W5864">
        <v>2.3204479999999999E-4</v>
      </c>
      <c r="X5864">
        <v>0.98239979999999905</v>
      </c>
      <c r="Y5864">
        <v>-9.9056140000000001E-2</v>
      </c>
      <c r="Z5864">
        <v>4.7013569999999998E-3</v>
      </c>
      <c r="AA5864">
        <v>0.99507080000000003</v>
      </c>
      <c r="AB5864">
        <v>21</v>
      </c>
      <c r="AC5864">
        <v>16.1128999999999</v>
      </c>
      <c r="AD5864">
        <v>-1.10515894338</v>
      </c>
      <c r="AE5864">
        <v>1.2989899999999801</v>
      </c>
      <c r="AF5864">
        <v>-1.6081847706665999</v>
      </c>
      <c r="AG5864">
        <v>-1.10515894338</v>
      </c>
      <c r="AH5864">
        <v>16.009401319766699</v>
      </c>
      <c r="AI5864">
        <v>93.929257734489795</v>
      </c>
      <c r="AJ5864">
        <v>95.736262992237002</v>
      </c>
      <c r="AK5864">
        <v>16.127881608075</v>
      </c>
    </row>
    <row r="5865" spans="1:37" x14ac:dyDescent="0.2">
      <c r="A5865" t="str">
        <f>"20200111160330810"</f>
        <v>20200111160330810</v>
      </c>
      <c r="B5865" t="str">
        <f>"1578729810799280"</f>
        <v>1578729810799280</v>
      </c>
      <c r="C5865" t="s">
        <v>37</v>
      </c>
      <c r="D5865">
        <v>4.9119900000000003</v>
      </c>
      <c r="E5865">
        <v>0.53312040000000005</v>
      </c>
      <c r="F5865" t="s">
        <v>64</v>
      </c>
      <c r="G5865">
        <v>-188.89259999999999</v>
      </c>
      <c r="H5865" s="1">
        <v>-1.090702E-5</v>
      </c>
      <c r="I5865">
        <v>-60.99053</v>
      </c>
      <c r="J5865">
        <v>-205.39449999999999</v>
      </c>
      <c r="K5865">
        <v>1.105235</v>
      </c>
      <c r="L5865">
        <v>-62.340060000000001</v>
      </c>
      <c r="M5865">
        <v>0.99974850000000004</v>
      </c>
      <c r="N5865">
        <v>0</v>
      </c>
      <c r="O5865">
        <v>-1.8649229999999999E-2</v>
      </c>
      <c r="P5865">
        <v>0.98511119999999996</v>
      </c>
      <c r="Q5865">
        <v>-8.8178749999999993E-3</v>
      </c>
      <c r="R5865">
        <v>0.17169229999999899</v>
      </c>
      <c r="S5865">
        <v>2.9995729999999998</v>
      </c>
      <c r="T5865">
        <v>-0.19921710000000001</v>
      </c>
      <c r="U5865">
        <v>0.242981</v>
      </c>
      <c r="V5865">
        <v>-0.1900425</v>
      </c>
      <c r="W5865">
        <v>3.0005570000000001E-3</v>
      </c>
      <c r="X5865">
        <v>0.98177130000000001</v>
      </c>
      <c r="Y5865">
        <v>-9.9058740000000006E-2</v>
      </c>
      <c r="Z5865">
        <v>4.5160130000000001E-3</v>
      </c>
      <c r="AA5865">
        <v>0.99507139999999905</v>
      </c>
      <c r="AB5865">
        <v>21</v>
      </c>
      <c r="AC5865">
        <v>16.501899999999999</v>
      </c>
      <c r="AD5865">
        <v>-1.10524590702</v>
      </c>
      <c r="AE5865">
        <v>1.3495299999999899</v>
      </c>
      <c r="AF5865">
        <v>-1.64971556858585</v>
      </c>
      <c r="AG5865">
        <v>-1.10524590702</v>
      </c>
      <c r="AH5865">
        <v>16.400776510688502</v>
      </c>
      <c r="AI5865">
        <v>93.836025845897595</v>
      </c>
      <c r="AJ5865">
        <v>95.743927698212602</v>
      </c>
      <c r="AK5865">
        <v>16.520550842080599</v>
      </c>
    </row>
    <row r="5866" spans="1:37" x14ac:dyDescent="0.2">
      <c r="A5866" t="str">
        <f>"20200111160330823"</f>
        <v>20200111160330823</v>
      </c>
      <c r="B5866" t="str">
        <f>"1578729810818800"</f>
        <v>1578729810818800</v>
      </c>
      <c r="C5866" t="s">
        <v>37</v>
      </c>
      <c r="D5866">
        <v>4.7876349999999999</v>
      </c>
      <c r="E5866">
        <v>0.53391269999999902</v>
      </c>
      <c r="F5866" t="s">
        <v>64</v>
      </c>
      <c r="G5866">
        <v>-188.4939</v>
      </c>
      <c r="H5866" s="1">
        <v>-1.08976E-5</v>
      </c>
      <c r="I5866">
        <v>-60.906909999999897</v>
      </c>
      <c r="J5866">
        <v>-205.26259999999999</v>
      </c>
      <c r="K5866">
        <v>1.1053120000000001</v>
      </c>
      <c r="L5866">
        <v>-62.341340000000002</v>
      </c>
      <c r="M5866">
        <v>0.99976520000000002</v>
      </c>
      <c r="N5866">
        <v>0</v>
      </c>
      <c r="O5866">
        <v>-1.761163E-2</v>
      </c>
      <c r="P5866">
        <v>0.98464409999999902</v>
      </c>
      <c r="Q5866">
        <v>-7.7389490000000002E-3</v>
      </c>
      <c r="R5866">
        <v>0.17440259999999999</v>
      </c>
      <c r="S5866">
        <v>2.9992519999999998</v>
      </c>
      <c r="T5866">
        <v>-0.19614210000000001</v>
      </c>
      <c r="U5866">
        <v>0.25433349999999999</v>
      </c>
      <c r="V5866">
        <v>-0.1917286</v>
      </c>
      <c r="W5866">
        <v>4.2141000000000001E-3</v>
      </c>
      <c r="X5866">
        <v>0.9814389</v>
      </c>
      <c r="Y5866">
        <v>-0.10177939999999901</v>
      </c>
      <c r="Z5866">
        <v>4.4672710000000001E-3</v>
      </c>
      <c r="AA5866">
        <v>0.99479699999999904</v>
      </c>
      <c r="AB5866">
        <v>21</v>
      </c>
      <c r="AC5866">
        <v>16.7686999999999</v>
      </c>
      <c r="AD5866">
        <v>-1.1053228976</v>
      </c>
      <c r="AE5866">
        <v>1.4344300000000001</v>
      </c>
      <c r="AF5866">
        <v>-1.7221270547219001</v>
      </c>
      <c r="AG5866">
        <v>-1.1053228976</v>
      </c>
      <c r="AH5866">
        <v>16.668935448246</v>
      </c>
      <c r="AI5866">
        <v>93.773721279780901</v>
      </c>
      <c r="AJ5866">
        <v>95.898504058381803</v>
      </c>
      <c r="AK5866">
        <v>16.794072444715599</v>
      </c>
    </row>
    <row r="5867" spans="1:37" x14ac:dyDescent="0.2">
      <c r="A5867" t="str">
        <f>"20200111160330836"</f>
        <v>20200111160330836</v>
      </c>
      <c r="B5867" t="str">
        <f>"1578729810828560"</f>
        <v>1578729810828560</v>
      </c>
      <c r="C5867" t="s">
        <v>37</v>
      </c>
      <c r="D5867">
        <v>4.7854229999999998</v>
      </c>
      <c r="E5867">
        <v>0.53413900000000003</v>
      </c>
      <c r="F5867" t="s">
        <v>64</v>
      </c>
      <c r="G5867">
        <v>-188.22069999999999</v>
      </c>
      <c r="H5867" s="1">
        <v>-1.087851E-5</v>
      </c>
      <c r="I5867">
        <v>-60.884360000000001</v>
      </c>
      <c r="J5867">
        <v>-205.14680000000001</v>
      </c>
      <c r="K5867">
        <v>1.105386</v>
      </c>
      <c r="L5867">
        <v>-62.342319999999901</v>
      </c>
      <c r="M5867">
        <v>0.99977969999999905</v>
      </c>
      <c r="N5867">
        <v>0</v>
      </c>
      <c r="O5867">
        <v>-1.6663210000000001E-2</v>
      </c>
      <c r="P5867">
        <v>0.98423359999999904</v>
      </c>
      <c r="Q5867">
        <v>-6.774604E-3</v>
      </c>
      <c r="R5867">
        <v>0.17674379999999901</v>
      </c>
      <c r="S5867">
        <v>2.9998469999999999</v>
      </c>
      <c r="T5867">
        <v>-0.19456799999999999</v>
      </c>
      <c r="U5867">
        <v>0.25646970000000002</v>
      </c>
      <c r="V5867">
        <v>-0.19313459999999999</v>
      </c>
      <c r="W5867">
        <v>5.28554099999999E-3</v>
      </c>
      <c r="X5867">
        <v>0.98115799999999997</v>
      </c>
      <c r="Y5867">
        <v>-0.1015291</v>
      </c>
      <c r="Z5867">
        <v>4.3610400000000001E-3</v>
      </c>
      <c r="AA5867">
        <v>0.99482299999999901</v>
      </c>
      <c r="AB5867">
        <v>21</v>
      </c>
      <c r="AC5867">
        <v>16.926100000000002</v>
      </c>
      <c r="AD5867">
        <v>-1.1053968785099999</v>
      </c>
      <c r="AE5867">
        <v>1.4579599999999899</v>
      </c>
      <c r="AF5867">
        <v>-1.73248896798605</v>
      </c>
      <c r="AG5867">
        <v>-1.1053968785099999</v>
      </c>
      <c r="AH5867">
        <v>16.828208998927298</v>
      </c>
      <c r="AI5867">
        <v>93.738493207888297</v>
      </c>
      <c r="AJ5867">
        <v>95.877976581907205</v>
      </c>
      <c r="AK5867">
        <v>16.953230913156101</v>
      </c>
    </row>
    <row r="5868" spans="1:37" x14ac:dyDescent="0.2">
      <c r="A5868" t="str">
        <f>"20200111160330849"</f>
        <v>20200111160330849</v>
      </c>
      <c r="B5868" t="str">
        <f>"1578729810839296"</f>
        <v>1578729810839296</v>
      </c>
      <c r="C5868" t="s">
        <v>37</v>
      </c>
      <c r="D5868">
        <v>4.791188</v>
      </c>
      <c r="E5868">
        <v>0.5338079</v>
      </c>
      <c r="F5868" t="s">
        <v>64</v>
      </c>
      <c r="G5868">
        <v>-188.0188</v>
      </c>
      <c r="H5868" s="1">
        <v>-1.0871910000000001E-5</v>
      </c>
      <c r="I5868">
        <v>-60.847050000000003</v>
      </c>
      <c r="J5868">
        <v>-205.02709999999999</v>
      </c>
      <c r="K5868">
        <v>1.105459</v>
      </c>
      <c r="L5868">
        <v>-62.343229999999998</v>
      </c>
      <c r="M5868">
        <v>0.99979419999999897</v>
      </c>
      <c r="N5868">
        <v>0</v>
      </c>
      <c r="O5868">
        <v>-1.5654990000000001E-2</v>
      </c>
      <c r="P5868">
        <v>0.98377420000000004</v>
      </c>
      <c r="Q5868">
        <v>-6.2024250000000001E-3</v>
      </c>
      <c r="R5868">
        <v>0.17930460000000001</v>
      </c>
      <c r="S5868">
        <v>2.999695</v>
      </c>
      <c r="T5868">
        <v>-0.19359270000000001</v>
      </c>
      <c r="U5868">
        <v>0.26187129999999997</v>
      </c>
      <c r="V5868">
        <v>-0.19470090000000001</v>
      </c>
      <c r="W5868">
        <v>5.9583479999999996E-3</v>
      </c>
      <c r="X5868">
        <v>0.98084459999999996</v>
      </c>
      <c r="Y5868">
        <v>-0.10231119999999901</v>
      </c>
      <c r="Z5868">
        <v>4.299382E-3</v>
      </c>
      <c r="AA5868">
        <v>0.99474319999999905</v>
      </c>
      <c r="AB5868">
        <v>21</v>
      </c>
      <c r="AC5868">
        <v>17.008299999999899</v>
      </c>
      <c r="AD5868">
        <v>-1.10546987191</v>
      </c>
      <c r="AE5868">
        <v>1.4961800000000001</v>
      </c>
      <c r="AF5868">
        <v>-1.7549268466414001</v>
      </c>
      <c r="AG5868">
        <v>-1.10546987191</v>
      </c>
      <c r="AH5868">
        <v>16.911895555888101</v>
      </c>
      <c r="AI5868">
        <v>93.719980669384597</v>
      </c>
      <c r="AJ5868">
        <v>95.924309873308701</v>
      </c>
      <c r="AK5868">
        <v>17.038604495909599</v>
      </c>
    </row>
    <row r="5869" spans="1:37" x14ac:dyDescent="0.2">
      <c r="A5869" t="str">
        <f>"20200111160330862"</f>
        <v>20200111160330862</v>
      </c>
      <c r="B5869" t="str">
        <f>"1578729810858816"</f>
        <v>1578729810858816</v>
      </c>
      <c r="C5869" t="s">
        <v>37</v>
      </c>
      <c r="D5869">
        <v>6.2330909999999999</v>
      </c>
      <c r="E5869">
        <v>0.46431339999999999</v>
      </c>
      <c r="F5869" t="s">
        <v>64</v>
      </c>
      <c r="G5869">
        <v>-188.0343</v>
      </c>
      <c r="H5869" s="1">
        <v>-1.08907199999999E-5</v>
      </c>
      <c r="I5869">
        <v>-60.79956</v>
      </c>
      <c r="J5869">
        <v>-204.9068</v>
      </c>
      <c r="K5869">
        <v>1.105539</v>
      </c>
      <c r="L5869">
        <v>-62.34384</v>
      </c>
      <c r="M5869">
        <v>0.99980899999999995</v>
      </c>
      <c r="N5869">
        <v>0</v>
      </c>
      <c r="O5869">
        <v>-1.4558649999999999E-2</v>
      </c>
      <c r="P5869">
        <v>0.98335249999999996</v>
      </c>
      <c r="Q5869">
        <v>-5.7410669999999999E-3</v>
      </c>
      <c r="R5869">
        <v>0.18161739999999901</v>
      </c>
      <c r="S5869">
        <v>2.998596</v>
      </c>
      <c r="T5869">
        <v>-0.1950742</v>
      </c>
      <c r="U5869">
        <v>0.27239989999999997</v>
      </c>
      <c r="V5869">
        <v>-0.19593440000000001</v>
      </c>
      <c r="W5869">
        <v>6.5043159999999996E-3</v>
      </c>
      <c r="X5869">
        <v>0.98059540000000001</v>
      </c>
      <c r="Y5869">
        <v>-0.1047104</v>
      </c>
      <c r="Z5869">
        <v>4.3398009999999999E-3</v>
      </c>
      <c r="AA5869">
        <v>0.99449330000000002</v>
      </c>
      <c r="AB5869">
        <v>21</v>
      </c>
      <c r="AC5869">
        <v>16.872499999999999</v>
      </c>
      <c r="AD5869">
        <v>-1.1055498907200001</v>
      </c>
      <c r="AE5869">
        <v>1.5442800000000001</v>
      </c>
      <c r="AF5869">
        <v>-1.78218998386965</v>
      </c>
      <c r="AG5869">
        <v>-1.1055498907200001</v>
      </c>
      <c r="AH5869">
        <v>16.776796426721098</v>
      </c>
      <c r="AI5869">
        <v>93.7491667327687</v>
      </c>
      <c r="AJ5869">
        <v>96.063758586211804</v>
      </c>
      <c r="AK5869">
        <v>16.907375315025099</v>
      </c>
    </row>
    <row r="5870" spans="1:37" x14ac:dyDescent="0.2">
      <c r="A5870" t="str">
        <f>"20200111160330875"</f>
        <v>20200111160330875</v>
      </c>
      <c r="B5870" t="str">
        <f>"1578729810868576"</f>
        <v>1578729810868576</v>
      </c>
      <c r="C5870" t="s">
        <v>37</v>
      </c>
      <c r="D5870">
        <v>4.8359079999999999</v>
      </c>
      <c r="E5870">
        <v>0.46431339999999999</v>
      </c>
      <c r="F5870" t="s">
        <v>64</v>
      </c>
      <c r="G5870">
        <v>-195.27379999999999</v>
      </c>
      <c r="H5870" s="1">
        <v>-7.0341449999999999E-6</v>
      </c>
      <c r="I5870">
        <v>-59.602809999999998</v>
      </c>
      <c r="J5870">
        <v>-204.77449999999999</v>
      </c>
      <c r="K5870">
        <v>1.105629</v>
      </c>
      <c r="L5870">
        <v>-62.344359999999902</v>
      </c>
      <c r="M5870">
        <v>0.99982510000000002</v>
      </c>
      <c r="N5870">
        <v>0</v>
      </c>
      <c r="O5870">
        <v>-1.3296860000000001E-2</v>
      </c>
      <c r="P5870">
        <v>0.98289669999999896</v>
      </c>
      <c r="Q5870">
        <v>-5.3154830000000002E-3</v>
      </c>
      <c r="R5870">
        <v>0.1840821</v>
      </c>
      <c r="S5870">
        <v>2.8966219999999998</v>
      </c>
      <c r="T5870">
        <v>-0.33243420000000001</v>
      </c>
      <c r="U5870">
        <v>0.82421880000000003</v>
      </c>
      <c r="V5870">
        <v>-0.19715820000000001</v>
      </c>
      <c r="W5870">
        <v>7.0135659999999997E-3</v>
      </c>
      <c r="X5870">
        <v>0.98034659999999996</v>
      </c>
      <c r="Y5870">
        <v>-0.28463579999999999</v>
      </c>
      <c r="Z5870">
        <v>1.745849E-2</v>
      </c>
      <c r="AA5870">
        <v>0.95847669999999996</v>
      </c>
      <c r="AB5870">
        <v>21</v>
      </c>
      <c r="AC5870">
        <v>9.5006999999999895</v>
      </c>
      <c r="AD5870">
        <v>-1.105636034145</v>
      </c>
      <c r="AE5870">
        <v>2.7415499999999899</v>
      </c>
      <c r="AF5870">
        <v>-2.83223953335489</v>
      </c>
      <c r="AG5870">
        <v>-1.105636034145</v>
      </c>
      <c r="AH5870">
        <v>9.3465528290675106</v>
      </c>
      <c r="AI5870">
        <v>96.458948886636705</v>
      </c>
      <c r="AJ5870">
        <v>106.858122514744</v>
      </c>
      <c r="AK5870">
        <v>9.8286347780781895</v>
      </c>
    </row>
    <row r="5871" spans="1:37" x14ac:dyDescent="0.2">
      <c r="A5871" t="str">
        <f>"20200111160330888"</f>
        <v>20200111160330888</v>
      </c>
      <c r="B5871" t="str">
        <f>"1578729810879313"</f>
        <v>1578729810879313</v>
      </c>
      <c r="C5871" t="s">
        <v>37</v>
      </c>
      <c r="D5871">
        <v>5.1743180000000004</v>
      </c>
      <c r="E5871">
        <v>0.46431339999999999</v>
      </c>
      <c r="F5871" t="s">
        <v>64</v>
      </c>
      <c r="G5871">
        <v>-195.108</v>
      </c>
      <c r="H5871" s="1">
        <v>-7.0280359999999996E-6</v>
      </c>
      <c r="I5871">
        <v>-59.567079999999997</v>
      </c>
      <c r="J5871">
        <v>-204.65309999999999</v>
      </c>
      <c r="K5871">
        <v>1.1057159999999999</v>
      </c>
      <c r="L5871">
        <v>-62.344669999999901</v>
      </c>
      <c r="M5871">
        <v>0.99983909999999998</v>
      </c>
      <c r="N5871">
        <v>0</v>
      </c>
      <c r="O5871">
        <v>-1.208412E-2</v>
      </c>
      <c r="P5871">
        <v>0.98220959999999902</v>
      </c>
      <c r="Q5871">
        <v>-4.7460439999999996E-3</v>
      </c>
      <c r="R5871">
        <v>0.1877287</v>
      </c>
      <c r="S5871">
        <v>2.8946529999999999</v>
      </c>
      <c r="T5871">
        <v>-0.33108539999999997</v>
      </c>
      <c r="U5871">
        <v>0.83166499999999999</v>
      </c>
      <c r="V5871">
        <v>-0.19960939999999999</v>
      </c>
      <c r="W5871">
        <v>7.6424969999999998E-3</v>
      </c>
      <c r="X5871">
        <v>0.97984579999999999</v>
      </c>
      <c r="Y5871">
        <v>-0.28593759999999901</v>
      </c>
      <c r="Z5871">
        <v>1.7330499999999999E-2</v>
      </c>
      <c r="AA5871">
        <v>0.95809149999999998</v>
      </c>
      <c r="AB5871">
        <v>21</v>
      </c>
      <c r="AC5871">
        <v>9.5450999999999908</v>
      </c>
      <c r="AD5871">
        <v>-1.105723028036</v>
      </c>
      <c r="AE5871">
        <v>2.77758999999998</v>
      </c>
      <c r="AF5871">
        <v>-2.8573905543628801</v>
      </c>
      <c r="AG5871">
        <v>-1.105723028036</v>
      </c>
      <c r="AH5871">
        <v>9.39460767615493</v>
      </c>
      <c r="AI5871">
        <v>96.424692426325393</v>
      </c>
      <c r="AJ5871">
        <v>106.917253947026</v>
      </c>
      <c r="AK5871">
        <v>9.8815969146570808</v>
      </c>
    </row>
    <row r="5872" spans="1:37" x14ac:dyDescent="0.2">
      <c r="A5872" t="str">
        <f>"20200111160330902"</f>
        <v>20200111160330902</v>
      </c>
      <c r="B5872" t="str">
        <f>"1578729810898832"</f>
        <v>1578729810898832</v>
      </c>
      <c r="C5872" t="s">
        <v>37</v>
      </c>
      <c r="D5872">
        <v>4.8408680000000004</v>
      </c>
      <c r="E5872">
        <v>0.34930070000000002</v>
      </c>
      <c r="F5872" t="s">
        <v>64</v>
      </c>
      <c r="G5872">
        <v>-194.93799999999999</v>
      </c>
      <c r="H5872" s="1">
        <v>-7.0277929999999999E-6</v>
      </c>
      <c r="I5872">
        <v>-59.513309999999997</v>
      </c>
      <c r="J5872">
        <v>-204.523</v>
      </c>
      <c r="K5872">
        <v>1.1058049999999999</v>
      </c>
      <c r="L5872">
        <v>-62.3446</v>
      </c>
      <c r="M5872">
        <v>0.99985360000000001</v>
      </c>
      <c r="N5872">
        <v>0</v>
      </c>
      <c r="O5872">
        <v>-1.0672650000000001E-2</v>
      </c>
      <c r="P5872">
        <v>0.9817302</v>
      </c>
      <c r="Q5872">
        <v>-3.9948520000000001E-3</v>
      </c>
      <c r="R5872">
        <v>0.190236299999999</v>
      </c>
      <c r="S5872">
        <v>2.8916629999999999</v>
      </c>
      <c r="T5872">
        <v>-0.32911459999999998</v>
      </c>
      <c r="U5872">
        <v>0.84274289999999996</v>
      </c>
      <c r="V5872">
        <v>-0.20073260000000001</v>
      </c>
      <c r="W5872">
        <v>8.4507100000000002E-3</v>
      </c>
      <c r="X5872">
        <v>0.97960959999999997</v>
      </c>
      <c r="Y5872">
        <v>-0.28824929999999999</v>
      </c>
      <c r="Z5872">
        <v>1.720752E-2</v>
      </c>
      <c r="AA5872">
        <v>0.95740079999999905</v>
      </c>
      <c r="AB5872">
        <v>21</v>
      </c>
      <c r="AC5872">
        <v>9.5850000000000009</v>
      </c>
      <c r="AD5872">
        <v>-1.1058120277929999</v>
      </c>
      <c r="AE5872">
        <v>2.8312900000000001</v>
      </c>
      <c r="AF5872">
        <v>-2.8979588088648498</v>
      </c>
      <c r="AG5872">
        <v>-1.1058120277929999</v>
      </c>
      <c r="AH5872">
        <v>9.4386868335655993</v>
      </c>
      <c r="AI5872">
        <v>96.390349252748905</v>
      </c>
      <c r="AJ5872">
        <v>107.068050313184</v>
      </c>
      <c r="AK5872">
        <v>9.9352803000626793</v>
      </c>
    </row>
    <row r="5873" spans="1:37" x14ac:dyDescent="0.2">
      <c r="A5873" t="str">
        <f>"20200111160330916"</f>
        <v>20200111160330916</v>
      </c>
      <c r="B5873" t="str">
        <f>"1578729810908592"</f>
        <v>1578729810908592</v>
      </c>
      <c r="C5873" t="s">
        <v>37</v>
      </c>
      <c r="D5873">
        <v>4.7782470000000004</v>
      </c>
      <c r="E5873">
        <v>0.35236020000000001</v>
      </c>
      <c r="F5873" t="s">
        <v>74</v>
      </c>
      <c r="G5873">
        <v>-169.244</v>
      </c>
      <c r="H5873">
        <v>6.7056139999999997</v>
      </c>
      <c r="I5873">
        <v>-39.626939999999998</v>
      </c>
      <c r="J5873">
        <v>-204.392</v>
      </c>
      <c r="K5873">
        <v>1.105899</v>
      </c>
      <c r="L5873">
        <v>-62.344329999999999</v>
      </c>
      <c r="M5873">
        <v>0.99986730000000001</v>
      </c>
      <c r="N5873">
        <v>0</v>
      </c>
      <c r="O5873">
        <v>-9.1846059999999997E-3</v>
      </c>
      <c r="P5873">
        <v>0.98118030000000001</v>
      </c>
      <c r="Q5873">
        <v>-3.6620889999999999E-3</v>
      </c>
      <c r="R5873">
        <v>0.1930596</v>
      </c>
      <c r="S5873">
        <v>2.7183989999999998</v>
      </c>
      <c r="T5873">
        <v>0.4314866</v>
      </c>
      <c r="U5873">
        <v>1.750488</v>
      </c>
      <c r="V5873">
        <v>-0.20209569999999999</v>
      </c>
      <c r="W5873">
        <v>8.8316890000000002E-3</v>
      </c>
      <c r="X5873">
        <v>0.97932600000000003</v>
      </c>
      <c r="Y5873">
        <v>-0.54418889999999998</v>
      </c>
      <c r="Z5873">
        <v>-4.0590229999999998E-2</v>
      </c>
      <c r="AA5873">
        <v>0.83798019999999995</v>
      </c>
      <c r="AB5873">
        <v>21</v>
      </c>
      <c r="AC5873">
        <v>35.147999999999897</v>
      </c>
      <c r="AD5873">
        <v>5.5997149999999998</v>
      </c>
      <c r="AE5873">
        <v>22.717390000000002</v>
      </c>
      <c r="AF5873">
        <v>-22.634058793838001</v>
      </c>
      <c r="AG5873">
        <v>5.5997149999999998</v>
      </c>
      <c r="AH5873">
        <v>34.323349495937499</v>
      </c>
      <c r="AI5873">
        <v>82.244127230228301</v>
      </c>
      <c r="AJ5873">
        <v>123.402303276231</v>
      </c>
      <c r="AK5873">
        <v>41.493972407862003</v>
      </c>
    </row>
    <row r="5874" spans="1:37" x14ac:dyDescent="0.2">
      <c r="A5874" t="str">
        <f>"20200111160330928"</f>
        <v>20200111160330928</v>
      </c>
      <c r="B5874" t="str">
        <f>"1578729810919328"</f>
        <v>1578729810919328</v>
      </c>
      <c r="C5874" t="s">
        <v>37</v>
      </c>
      <c r="D5874">
        <v>4.745088</v>
      </c>
      <c r="E5874">
        <v>0.35408719999999999</v>
      </c>
      <c r="F5874" t="s">
        <v>74</v>
      </c>
      <c r="G5874">
        <v>-168.45060000000001</v>
      </c>
      <c r="H5874">
        <v>5.4238530000000003</v>
      </c>
      <c r="I5874">
        <v>-39.403440000000003</v>
      </c>
      <c r="J5874">
        <v>-204.27799999999999</v>
      </c>
      <c r="K5874">
        <v>1.10598</v>
      </c>
      <c r="L5874">
        <v>-62.34393</v>
      </c>
      <c r="M5874">
        <v>0.99987749999999997</v>
      </c>
      <c r="N5874">
        <v>0</v>
      </c>
      <c r="O5874">
        <v>-7.8372479999999998E-3</v>
      </c>
      <c r="P5874">
        <v>0.98059240000000003</v>
      </c>
      <c r="Q5874">
        <v>-3.136439E-3</v>
      </c>
      <c r="R5874">
        <v>0.1960335</v>
      </c>
      <c r="S5874">
        <v>2.717438</v>
      </c>
      <c r="T5874">
        <v>0.32646700000000001</v>
      </c>
      <c r="U5874">
        <v>1.734497</v>
      </c>
      <c r="V5874">
        <v>-0.20374890000000001</v>
      </c>
      <c r="W5874">
        <v>9.390041E-3</v>
      </c>
      <c r="X5874">
        <v>0.97897819999999902</v>
      </c>
      <c r="Y5874">
        <v>-0.54180280000000003</v>
      </c>
      <c r="Z5874">
        <v>-3.0548740000000001E-2</v>
      </c>
      <c r="AA5874">
        <v>0.83995030000000004</v>
      </c>
      <c r="AB5874">
        <v>21</v>
      </c>
      <c r="AC5874">
        <v>35.827399999999898</v>
      </c>
      <c r="AD5874">
        <v>4.3178729999999996</v>
      </c>
      <c r="AE5874">
        <v>22.94049</v>
      </c>
      <c r="AF5874">
        <v>-22.983835593217201</v>
      </c>
      <c r="AG5874">
        <v>4.3178729999999996</v>
      </c>
      <c r="AH5874">
        <v>35.283031048725903</v>
      </c>
      <c r="AI5874">
        <v>84.145300295229902</v>
      </c>
      <c r="AJ5874">
        <v>123.080755908836</v>
      </c>
      <c r="AK5874">
        <v>42.329576017313499</v>
      </c>
    </row>
    <row r="5875" spans="1:37" x14ac:dyDescent="0.2">
      <c r="A5875" t="str">
        <f>"20200111160330940"</f>
        <v>20200111160330940</v>
      </c>
      <c r="B5875" t="str">
        <f>"1578729810938847"</f>
        <v>1578729810938847</v>
      </c>
      <c r="C5875" t="s">
        <v>37</v>
      </c>
      <c r="D5875">
        <v>4.6917429999999998</v>
      </c>
      <c r="E5875">
        <v>0.35569509999999899</v>
      </c>
      <c r="F5875" t="s">
        <v>74</v>
      </c>
      <c r="G5875">
        <v>-168.45060000000001</v>
      </c>
      <c r="H5875">
        <v>4.6118889999999997</v>
      </c>
      <c r="I5875">
        <v>-39.51737</v>
      </c>
      <c r="J5875">
        <v>-204.1619</v>
      </c>
      <c r="K5875">
        <v>1.1060570000000001</v>
      </c>
      <c r="L5875">
        <v>-62.343169999999901</v>
      </c>
      <c r="M5875">
        <v>0.99988699999999997</v>
      </c>
      <c r="N5875">
        <v>0</v>
      </c>
      <c r="O5875">
        <v>-6.3677990000000004E-3</v>
      </c>
      <c r="P5875">
        <v>0.98002369999999905</v>
      </c>
      <c r="Q5875">
        <v>-2.6036150000000001E-3</v>
      </c>
      <c r="R5875">
        <v>0.1988644</v>
      </c>
      <c r="S5875">
        <v>2.71447799999999</v>
      </c>
      <c r="T5875">
        <v>0.2656249</v>
      </c>
      <c r="U5875">
        <v>1.7294619999999901</v>
      </c>
      <c r="V5875">
        <v>-0.20514099999999999</v>
      </c>
      <c r="W5875">
        <v>9.9498239999999995E-3</v>
      </c>
      <c r="X5875">
        <v>0.97868189999999999</v>
      </c>
      <c r="Y5875">
        <v>-0.54083040000000004</v>
      </c>
      <c r="Z5875">
        <v>-2.4737909999999998E-2</v>
      </c>
      <c r="AA5875">
        <v>0.84076779999999995</v>
      </c>
      <c r="AB5875">
        <v>21</v>
      </c>
      <c r="AC5875">
        <v>35.711299999999902</v>
      </c>
      <c r="AD5875">
        <v>3.5058319999999998</v>
      </c>
      <c r="AE5875">
        <v>22.825799999999902</v>
      </c>
      <c r="AF5875">
        <v>-22.896099405401799</v>
      </c>
      <c r="AG5875">
        <v>3.5058319999999998</v>
      </c>
      <c r="AH5875">
        <v>35.323519347975903</v>
      </c>
      <c r="AI5875">
        <v>85.239167329508007</v>
      </c>
      <c r="AJ5875">
        <v>122.95061514669</v>
      </c>
      <c r="AK5875">
        <v>42.240658672907699</v>
      </c>
    </row>
    <row r="5876" spans="1:37" x14ac:dyDescent="0.2">
      <c r="A5876" t="str">
        <f>"20200111160330954"</f>
        <v>20200111160330954</v>
      </c>
      <c r="B5876" t="str">
        <f>"1578729810948608"</f>
        <v>1578729810948608</v>
      </c>
      <c r="C5876" t="s">
        <v>37</v>
      </c>
      <c r="D5876">
        <v>4.680466</v>
      </c>
      <c r="E5876">
        <v>0.3566066</v>
      </c>
      <c r="F5876" t="s">
        <v>74</v>
      </c>
      <c r="G5876">
        <v>-168.45060000000001</v>
      </c>
      <c r="H5876">
        <v>3.705651</v>
      </c>
      <c r="I5876">
        <v>-39.628340000000001</v>
      </c>
      <c r="J5876">
        <v>-204.0376</v>
      </c>
      <c r="K5876">
        <v>1.106141</v>
      </c>
      <c r="L5876">
        <v>-62.34216</v>
      </c>
      <c r="M5876">
        <v>0.99989509999999904</v>
      </c>
      <c r="N5876">
        <v>0</v>
      </c>
      <c r="O5876">
        <v>-4.744781E-3</v>
      </c>
      <c r="P5876">
        <v>0.97941959999999995</v>
      </c>
      <c r="Q5876">
        <v>-2.6711389999999999E-3</v>
      </c>
      <c r="R5876">
        <v>0.20181789999999999</v>
      </c>
      <c r="S5876">
        <v>2.7117</v>
      </c>
      <c r="T5876">
        <v>0.1973956</v>
      </c>
      <c r="U5876">
        <v>1.724823</v>
      </c>
      <c r="V5876">
        <v>-0.20650450000000001</v>
      </c>
      <c r="W5876">
        <v>9.9083399999999999E-3</v>
      </c>
      <c r="X5876">
        <v>0.97839549999999997</v>
      </c>
      <c r="Y5876">
        <v>-0.53966840000000005</v>
      </c>
      <c r="Z5876">
        <v>-1.827558E-2</v>
      </c>
      <c r="AA5876">
        <v>0.84167930000000002</v>
      </c>
      <c r="AB5876">
        <v>21</v>
      </c>
      <c r="AC5876">
        <v>35.586999999999897</v>
      </c>
      <c r="AD5876">
        <v>2.59951</v>
      </c>
      <c r="AE5876">
        <v>22.713819999999998</v>
      </c>
      <c r="AF5876">
        <v>-22.796005850082601</v>
      </c>
      <c r="AG5876">
        <v>2.59951</v>
      </c>
      <c r="AH5876">
        <v>35.344813946581603</v>
      </c>
      <c r="AI5876">
        <v>86.463214751982505</v>
      </c>
      <c r="AJ5876">
        <v>122.82041431893801</v>
      </c>
      <c r="AK5876">
        <v>42.138713884924897</v>
      </c>
    </row>
    <row r="5877" spans="1:37" x14ac:dyDescent="0.2">
      <c r="A5877" t="str">
        <f>"20200111160330966"</f>
        <v>20200111160330966</v>
      </c>
      <c r="B5877" t="str">
        <f>"1578729810959344"</f>
        <v>1578729810959344</v>
      </c>
      <c r="C5877" t="s">
        <v>37</v>
      </c>
      <c r="D5877">
        <v>4.6587750000000003</v>
      </c>
      <c r="E5877">
        <v>0.35730259999999903</v>
      </c>
      <c r="F5877" t="s">
        <v>74</v>
      </c>
      <c r="G5877">
        <v>-168.45060000000001</v>
      </c>
      <c r="H5877">
        <v>3.4135599999999999</v>
      </c>
      <c r="I5877">
        <v>-39.659709999999997</v>
      </c>
      <c r="J5877">
        <v>-203.92019999999999</v>
      </c>
      <c r="K5877">
        <v>1.1062110000000001</v>
      </c>
      <c r="L5877">
        <v>-62.340910000000001</v>
      </c>
      <c r="M5877">
        <v>0.99990049999999997</v>
      </c>
      <c r="N5877">
        <v>0</v>
      </c>
      <c r="O5877">
        <v>-3.148138E-3</v>
      </c>
      <c r="P5877">
        <v>0.97847870000000003</v>
      </c>
      <c r="Q5877">
        <v>-3.6140120000000002E-3</v>
      </c>
      <c r="R5877">
        <v>0.20631639999999901</v>
      </c>
      <c r="S5877">
        <v>2.7078859999999998</v>
      </c>
      <c r="T5877">
        <v>0.17557439999999999</v>
      </c>
      <c r="U5877">
        <v>1.7259519999999999</v>
      </c>
      <c r="V5877">
        <v>-0.20943529999999999</v>
      </c>
      <c r="W5877">
        <v>8.9737800000000006E-3</v>
      </c>
      <c r="X5877">
        <v>0.97778140000000002</v>
      </c>
      <c r="Y5877">
        <v>-0.53932709999999995</v>
      </c>
      <c r="Z5877">
        <v>-1.617157E-2</v>
      </c>
      <c r="AA5877">
        <v>0.8419411</v>
      </c>
      <c r="AB5877">
        <v>21</v>
      </c>
      <c r="AC5877">
        <v>35.4695999999999</v>
      </c>
      <c r="AD5877">
        <v>2.3073489999999999</v>
      </c>
      <c r="AE5877">
        <v>22.6812</v>
      </c>
      <c r="AF5877">
        <v>-22.724507414889199</v>
      </c>
      <c r="AG5877">
        <v>2.3073489999999999</v>
      </c>
      <c r="AH5877">
        <v>35.2920129970747</v>
      </c>
      <c r="AI5877">
        <v>86.853666045084196</v>
      </c>
      <c r="AJ5877">
        <v>122.77746245487501</v>
      </c>
      <c r="AK5877">
        <v>42.038711660121599</v>
      </c>
    </row>
    <row r="5878" spans="1:37" x14ac:dyDescent="0.2">
      <c r="A5878" t="str">
        <f>"20200111160330979"</f>
        <v>20200111160330979</v>
      </c>
      <c r="B5878" t="str">
        <f>"1578729810969104"</f>
        <v>1578729810969104</v>
      </c>
      <c r="C5878" t="s">
        <v>37</v>
      </c>
      <c r="D5878">
        <v>4.6384660000000002</v>
      </c>
      <c r="E5878">
        <v>0.35795169999999998</v>
      </c>
      <c r="F5878" t="s">
        <v>74</v>
      </c>
      <c r="G5878">
        <v>-168.45060000000001</v>
      </c>
      <c r="H5878">
        <v>3.1508949999999998</v>
      </c>
      <c r="I5878">
        <v>-39.581719999999997</v>
      </c>
      <c r="J5878">
        <v>-203.8038</v>
      </c>
      <c r="K5878">
        <v>1.1062780000000001</v>
      </c>
      <c r="L5878">
        <v>-62.339390000000002</v>
      </c>
      <c r="M5878">
        <v>0.9999034</v>
      </c>
      <c r="N5878">
        <v>0</v>
      </c>
      <c r="O5878">
        <v>-1.4861E-3</v>
      </c>
      <c r="P5878">
        <v>0.97779229999999995</v>
      </c>
      <c r="Q5878">
        <v>-4.5920229999999998E-3</v>
      </c>
      <c r="R5878">
        <v>0.2095263</v>
      </c>
      <c r="S5878">
        <v>2.7011259999999999</v>
      </c>
      <c r="T5878">
        <v>0.1557077</v>
      </c>
      <c r="U5878">
        <v>1.73318499999999</v>
      </c>
      <c r="V5878">
        <v>-0.21101590000000001</v>
      </c>
      <c r="W5878">
        <v>8.0091740000000008E-3</v>
      </c>
      <c r="X5878">
        <v>0.97744979999999904</v>
      </c>
      <c r="Y5878">
        <v>-0.54065260000000004</v>
      </c>
      <c r="Z5878">
        <v>-1.431229E-2</v>
      </c>
      <c r="AA5878">
        <v>0.84112419999999999</v>
      </c>
      <c r="AB5878">
        <v>21</v>
      </c>
      <c r="AC5878">
        <v>35.353199999999902</v>
      </c>
      <c r="AD5878">
        <v>2.0446170000000001</v>
      </c>
      <c r="AE5878">
        <v>22.757670000000001</v>
      </c>
      <c r="AF5878">
        <v>-22.756373240630801</v>
      </c>
      <c r="AG5878">
        <v>2.0446170000000001</v>
      </c>
      <c r="AH5878">
        <v>35.236010254766597</v>
      </c>
      <c r="AI5878">
        <v>87.209351602240503</v>
      </c>
      <c r="AJ5878">
        <v>122.85547327863701</v>
      </c>
      <c r="AK5878">
        <v>41.995349747532799</v>
      </c>
    </row>
    <row r="5879" spans="1:37" x14ac:dyDescent="0.2">
      <c r="A5879" t="str">
        <f>"20200111160330992"</f>
        <v>20200111160330992</v>
      </c>
      <c r="B5879" t="str">
        <f>"1578729810988625"</f>
        <v>1578729810988625</v>
      </c>
      <c r="C5879" t="s">
        <v>37</v>
      </c>
      <c r="D5879">
        <v>4.6316540000000002</v>
      </c>
      <c r="E5879">
        <v>0.3590274</v>
      </c>
      <c r="F5879" t="s">
        <v>74</v>
      </c>
      <c r="G5879">
        <v>-168.45060000000001</v>
      </c>
      <c r="H5879">
        <v>2.91085499999999</v>
      </c>
      <c r="I5879">
        <v>-39.563409999999998</v>
      </c>
      <c r="J5879">
        <v>-203.68719999999999</v>
      </c>
      <c r="K5879">
        <v>1.1063449999999999</v>
      </c>
      <c r="L5879">
        <v>-62.337679999999999</v>
      </c>
      <c r="M5879">
        <v>0.99990369999999995</v>
      </c>
      <c r="N5879">
        <v>0</v>
      </c>
      <c r="O5879">
        <v>2.17877E-4</v>
      </c>
      <c r="P5879">
        <v>0.97708890000000004</v>
      </c>
      <c r="Q5879">
        <v>-5.6518569999999997E-3</v>
      </c>
      <c r="R5879">
        <v>0.2127571</v>
      </c>
      <c r="S5879">
        <v>2.6965330000000001</v>
      </c>
      <c r="T5879">
        <v>0.1376407</v>
      </c>
      <c r="U5879">
        <v>1.7372129999999999</v>
      </c>
      <c r="V5879">
        <v>-0.21257770000000001</v>
      </c>
      <c r="W5879">
        <v>6.9611150000000004E-3</v>
      </c>
      <c r="X5879">
        <v>0.97711939999999997</v>
      </c>
      <c r="Y5879">
        <v>-0.54089900000000002</v>
      </c>
      <c r="Z5879">
        <v>-1.2593139999999999E-2</v>
      </c>
      <c r="AA5879">
        <v>0.84099330000000005</v>
      </c>
      <c r="AB5879">
        <v>21</v>
      </c>
      <c r="AC5879">
        <v>35.236599999999903</v>
      </c>
      <c r="AD5879">
        <v>1.8045099999999901</v>
      </c>
      <c r="AE5879">
        <v>22.774270000000001</v>
      </c>
      <c r="AF5879">
        <v>-22.7245545552904</v>
      </c>
      <c r="AG5879">
        <v>1.8045099999999901</v>
      </c>
      <c r="AH5879">
        <v>35.176490550139803</v>
      </c>
      <c r="AI5879">
        <v>87.532685817203799</v>
      </c>
      <c r="AJ5879">
        <v>122.863082536402</v>
      </c>
      <c r="AK5879">
        <v>41.917145936961703</v>
      </c>
    </row>
    <row r="5880" spans="1:37" x14ac:dyDescent="0.2">
      <c r="A5880" t="str">
        <f>"20200111160331004"</f>
        <v>20200111160331004</v>
      </c>
      <c r="B5880" t="str">
        <f>"1578729810999360"</f>
        <v>1578729810999360</v>
      </c>
      <c r="C5880" t="s">
        <v>37</v>
      </c>
      <c r="D5880">
        <v>4.6427430000000003</v>
      </c>
      <c r="E5880">
        <v>0.35968449999999902</v>
      </c>
      <c r="F5880" t="s">
        <v>74</v>
      </c>
      <c r="G5880">
        <v>-168.45060000000001</v>
      </c>
      <c r="H5880">
        <v>2.5365599999999899</v>
      </c>
      <c r="I5880">
        <v>-39.598179999999999</v>
      </c>
      <c r="J5880">
        <v>-203.57040000000001</v>
      </c>
      <c r="K5880">
        <v>1.1064039999999999</v>
      </c>
      <c r="L5880">
        <v>-62.335659999999997</v>
      </c>
      <c r="M5880">
        <v>0.99990109999999999</v>
      </c>
      <c r="N5880">
        <v>0</v>
      </c>
      <c r="O5880">
        <v>1.9986449999999998E-3</v>
      </c>
      <c r="P5880">
        <v>0.97626569999999901</v>
      </c>
      <c r="Q5880">
        <v>-6.5942780000000003E-3</v>
      </c>
      <c r="R5880">
        <v>0.21647569999999999</v>
      </c>
      <c r="S5880">
        <v>2.692612</v>
      </c>
      <c r="T5880">
        <v>0.1092885</v>
      </c>
      <c r="U5880">
        <v>1.7376400000000001</v>
      </c>
      <c r="V5880">
        <v>-0.2145541</v>
      </c>
      <c r="W5880">
        <v>6.0241499999999998E-3</v>
      </c>
      <c r="X5880">
        <v>0.97669349999999999</v>
      </c>
      <c r="Y5880">
        <v>-0.54023750000000004</v>
      </c>
      <c r="Z5880">
        <v>-9.9345679999999995E-3</v>
      </c>
      <c r="AA5880">
        <v>0.84145400000000004</v>
      </c>
      <c r="AB5880">
        <v>21</v>
      </c>
      <c r="AC5880">
        <v>35.119799999999998</v>
      </c>
      <c r="AD5880">
        <v>1.43015599999999</v>
      </c>
      <c r="AE5880">
        <v>22.737479999999898</v>
      </c>
      <c r="AF5880">
        <v>-22.640779861931598</v>
      </c>
      <c r="AG5880">
        <v>1.43015599999999</v>
      </c>
      <c r="AH5880">
        <v>35.124135612313701</v>
      </c>
      <c r="AI5880">
        <v>88.0399103783963</v>
      </c>
      <c r="AJ5880">
        <v>122.805553945095</v>
      </c>
      <c r="AK5880">
        <v>41.8133371240922</v>
      </c>
    </row>
    <row r="5881" spans="1:37" x14ac:dyDescent="0.2">
      <c r="A5881" t="str">
        <f>"20200111160331015"</f>
        <v>20200111160331015</v>
      </c>
      <c r="B5881" t="str">
        <f>"1578729811009120"</f>
        <v>1578729811009120</v>
      </c>
      <c r="C5881" t="s">
        <v>37</v>
      </c>
      <c r="D5881">
        <v>4.7285120000000003</v>
      </c>
      <c r="E5881">
        <v>0.3602651</v>
      </c>
      <c r="F5881" t="s">
        <v>74</v>
      </c>
      <c r="G5881">
        <v>-168.45060000000001</v>
      </c>
      <c r="H5881">
        <v>2.3616169999999999</v>
      </c>
      <c r="I5881">
        <v>-39.556449999999998</v>
      </c>
      <c r="J5881">
        <v>-203.46090000000001</v>
      </c>
      <c r="K5881">
        <v>1.1064529999999999</v>
      </c>
      <c r="L5881">
        <v>-62.333530000000003</v>
      </c>
      <c r="M5881">
        <v>0.99989550000000005</v>
      </c>
      <c r="N5881">
        <v>0</v>
      </c>
      <c r="O5881">
        <v>3.7167139999999999E-3</v>
      </c>
      <c r="P5881">
        <v>0.97544929999999996</v>
      </c>
      <c r="Q5881">
        <v>-7.5208840000000002E-3</v>
      </c>
      <c r="R5881">
        <v>0.22009600000000001</v>
      </c>
      <c r="S5881">
        <v>2.687103</v>
      </c>
      <c r="T5881">
        <v>9.6037629999999999E-2</v>
      </c>
      <c r="U5881">
        <v>1.7428889999999999</v>
      </c>
      <c r="V5881">
        <v>-0.2164951</v>
      </c>
      <c r="W5881">
        <v>5.1000539999999997E-3</v>
      </c>
      <c r="X5881">
        <v>0.97627039999999998</v>
      </c>
      <c r="Y5881">
        <v>-0.54080640000000002</v>
      </c>
      <c r="Z5881">
        <v>-8.6947329999999996E-3</v>
      </c>
      <c r="AA5881">
        <v>0.84110219999999902</v>
      </c>
      <c r="AB5881">
        <v>21</v>
      </c>
      <c r="AC5881">
        <v>35.010300000000001</v>
      </c>
      <c r="AD5881">
        <v>1.25516399999999</v>
      </c>
      <c r="AE5881">
        <v>22.777080000000002</v>
      </c>
      <c r="AF5881">
        <v>-22.6263532848665</v>
      </c>
      <c r="AG5881">
        <v>1.25516399999999</v>
      </c>
      <c r="AH5881">
        <v>35.063057570753699</v>
      </c>
      <c r="AI5881">
        <v>88.277153142354393</v>
      </c>
      <c r="AJ5881">
        <v>122.834340304878</v>
      </c>
      <c r="AK5881">
        <v>41.748596453635102</v>
      </c>
    </row>
    <row r="5882" spans="1:37" x14ac:dyDescent="0.2">
      <c r="A5882" t="str">
        <f>"20200111160331028"</f>
        <v>20200111160331028</v>
      </c>
      <c r="B5882" t="str">
        <f>"1578729811018880"</f>
        <v>1578729811018880</v>
      </c>
      <c r="C5882" t="s">
        <v>37</v>
      </c>
      <c r="D5882">
        <v>4.6804239999999897</v>
      </c>
      <c r="E5882">
        <v>0.3606528</v>
      </c>
      <c r="F5882" t="s">
        <v>74</v>
      </c>
      <c r="G5882">
        <v>-168.45060000000001</v>
      </c>
      <c r="H5882">
        <v>2.2079409999999999</v>
      </c>
      <c r="I5882">
        <v>-39.507509999999897</v>
      </c>
      <c r="J5882">
        <v>-203.34360000000001</v>
      </c>
      <c r="K5882">
        <v>1.1065049999999901</v>
      </c>
      <c r="L5882">
        <v>-62.331019999999903</v>
      </c>
      <c r="M5882">
        <v>0.99988619999999995</v>
      </c>
      <c r="N5882">
        <v>0</v>
      </c>
      <c r="O5882">
        <v>5.591118E-3</v>
      </c>
      <c r="P5882">
        <v>0.97456339999999997</v>
      </c>
      <c r="Q5882">
        <v>-8.2726259999999999E-3</v>
      </c>
      <c r="R5882">
        <v>0.22395909999999999</v>
      </c>
      <c r="S5882">
        <v>2.6816559999999998</v>
      </c>
      <c r="T5882">
        <v>8.4368109999999996E-2</v>
      </c>
      <c r="U5882">
        <v>1.748383</v>
      </c>
      <c r="V5882">
        <v>-0.21852959999999999</v>
      </c>
      <c r="W5882">
        <v>4.350474E-3</v>
      </c>
      <c r="X5882">
        <v>0.97582060000000004</v>
      </c>
      <c r="Y5882">
        <v>-0.541274699999999</v>
      </c>
      <c r="Z5882">
        <v>-7.6007699999999997E-3</v>
      </c>
      <c r="AA5882">
        <v>0.84081149999999905</v>
      </c>
      <c r="AB5882">
        <v>21</v>
      </c>
      <c r="AC5882">
        <v>34.893000000000001</v>
      </c>
      <c r="AD5882">
        <v>1.1014360000000001</v>
      </c>
      <c r="AE5882">
        <v>22.823509999999999</v>
      </c>
      <c r="AF5882">
        <v>-22.612263251313799</v>
      </c>
      <c r="AG5882">
        <v>1.1014360000000001</v>
      </c>
      <c r="AH5882">
        <v>34.995654348668197</v>
      </c>
      <c r="AI5882">
        <v>88.485725461601803</v>
      </c>
      <c r="AJ5882">
        <v>122.86831695029601</v>
      </c>
      <c r="AK5882">
        <v>41.680012402832503</v>
      </c>
    </row>
    <row r="5883" spans="1:37" x14ac:dyDescent="0.2">
      <c r="A5883" t="str">
        <f>"20200111160331041"</f>
        <v>20200111160331041</v>
      </c>
      <c r="B5883" t="str">
        <f>"1578729811039375"</f>
        <v>1578729811039375</v>
      </c>
      <c r="C5883" t="s">
        <v>37</v>
      </c>
      <c r="D5883">
        <v>4.6446579999999997</v>
      </c>
      <c r="E5883">
        <v>0.36159819999999998</v>
      </c>
      <c r="F5883" t="s">
        <v>74</v>
      </c>
      <c r="G5883">
        <v>-168.45060000000001</v>
      </c>
      <c r="H5883">
        <v>2.0737320000000001</v>
      </c>
      <c r="I5883">
        <v>-39.429600000000001</v>
      </c>
      <c r="J5883">
        <v>-203.23269999999999</v>
      </c>
      <c r="K5883">
        <v>1.1065479999999901</v>
      </c>
      <c r="L5883">
        <v>-62.328249999999997</v>
      </c>
      <c r="M5883">
        <v>0.99987359999999903</v>
      </c>
      <c r="N5883">
        <v>0</v>
      </c>
      <c r="O5883">
        <v>7.4375200000000004E-3</v>
      </c>
      <c r="P5883">
        <v>0.973724699999999</v>
      </c>
      <c r="Q5883">
        <v>-8.7744620000000002E-3</v>
      </c>
      <c r="R5883">
        <v>0.22755929999999999</v>
      </c>
      <c r="S5883">
        <v>2.6753999999999998</v>
      </c>
      <c r="T5883">
        <v>7.4159859999999994E-2</v>
      </c>
      <c r="U5883">
        <v>1.75595099999999</v>
      </c>
      <c r="V5883">
        <v>-0.2203319</v>
      </c>
      <c r="W5883">
        <v>3.8483689999999999E-3</v>
      </c>
      <c r="X5883">
        <v>0.97541739999999999</v>
      </c>
      <c r="Y5883">
        <v>-0.54232740000000002</v>
      </c>
      <c r="Z5883">
        <v>-6.6564689999999999E-3</v>
      </c>
      <c r="AA5883">
        <v>0.84014089999999997</v>
      </c>
      <c r="AB5883">
        <v>21</v>
      </c>
      <c r="AC5883">
        <v>34.7820999999999</v>
      </c>
      <c r="AD5883">
        <v>0.96718400000000004</v>
      </c>
      <c r="AE5883">
        <v>22.89865</v>
      </c>
      <c r="AF5883">
        <v>-22.627092732788501</v>
      </c>
      <c r="AG5883">
        <v>0.96718400000000004</v>
      </c>
      <c r="AH5883">
        <v>34.932620137081997</v>
      </c>
      <c r="AI5883">
        <v>88.6687936609258</v>
      </c>
      <c r="AJ5883">
        <v>122.932556825417</v>
      </c>
      <c r="AK5883">
        <v>41.631823405535997</v>
      </c>
    </row>
    <row r="5884" spans="1:37" x14ac:dyDescent="0.2">
      <c r="A5884" t="str">
        <f>"20200111160331056"</f>
        <v>20200111160331056</v>
      </c>
      <c r="B5884" t="str">
        <f>"1578729811049136"</f>
        <v>1578729811049136</v>
      </c>
      <c r="C5884" t="s">
        <v>37</v>
      </c>
      <c r="D5884">
        <v>4.6514100000000003</v>
      </c>
      <c r="E5884">
        <v>0.36193779999999998</v>
      </c>
      <c r="F5884" t="s">
        <v>74</v>
      </c>
      <c r="G5884">
        <v>-168.45060000000001</v>
      </c>
      <c r="H5884">
        <v>1.8928450000000001</v>
      </c>
      <c r="I5884">
        <v>-39.425629999999998</v>
      </c>
      <c r="J5884">
        <v>-203.08750000000001</v>
      </c>
      <c r="K5884">
        <v>1.1066049999999901</v>
      </c>
      <c r="L5884">
        <v>-62.324369999999902</v>
      </c>
      <c r="M5884">
        <v>0.99985159999999995</v>
      </c>
      <c r="N5884">
        <v>0</v>
      </c>
      <c r="O5884">
        <v>9.9055989999999993E-3</v>
      </c>
      <c r="P5884">
        <v>0.97203700000000004</v>
      </c>
      <c r="Q5884">
        <v>-1.0243759999999999E-2</v>
      </c>
      <c r="R5884">
        <v>0.2346046</v>
      </c>
      <c r="S5884">
        <v>2.6705169999999998</v>
      </c>
      <c r="T5884">
        <v>6.0369010000000001E-2</v>
      </c>
      <c r="U5884">
        <v>1.7584229999999901</v>
      </c>
      <c r="V5884">
        <v>-0.22497829999999999</v>
      </c>
      <c r="W5884">
        <v>2.357306E-3</v>
      </c>
      <c r="X5884">
        <v>0.97436089999999997</v>
      </c>
      <c r="Y5884">
        <v>-0.54154910000000001</v>
      </c>
      <c r="Z5884">
        <v>-5.3671919999999998E-3</v>
      </c>
      <c r="AA5884">
        <v>0.84065199999999995</v>
      </c>
      <c r="AB5884">
        <v>21</v>
      </c>
      <c r="AC5884">
        <v>34.636899999999997</v>
      </c>
      <c r="AD5884">
        <v>0.78624000000000005</v>
      </c>
      <c r="AE5884">
        <v>22.89874</v>
      </c>
      <c r="AF5884">
        <v>-22.546398870309599</v>
      </c>
      <c r="AG5884">
        <v>0.78624000000000005</v>
      </c>
      <c r="AH5884">
        <v>34.849553098044801</v>
      </c>
      <c r="AI5884">
        <v>88.914813366289096</v>
      </c>
      <c r="AJ5884">
        <v>122.901404586635</v>
      </c>
      <c r="AK5884">
        <v>41.5144508152299</v>
      </c>
    </row>
    <row r="5885" spans="1:37" x14ac:dyDescent="0.2">
      <c r="A5885" t="str">
        <f>"20200111160331071"</f>
        <v>20200111160331071</v>
      </c>
      <c r="B5885" t="str">
        <f>"1578729811058897"</f>
        <v>1578729811058897</v>
      </c>
      <c r="C5885" t="s">
        <v>37</v>
      </c>
      <c r="D5885">
        <v>4.9485460000000003</v>
      </c>
      <c r="E5885">
        <v>0.36238520000000002</v>
      </c>
      <c r="F5885" t="s">
        <v>74</v>
      </c>
      <c r="G5885">
        <v>-168.45060000000001</v>
      </c>
      <c r="H5885">
        <v>1.754618</v>
      </c>
      <c r="I5885">
        <v>-39.1965</v>
      </c>
      <c r="J5885">
        <v>-202.96029999999999</v>
      </c>
      <c r="K5885">
        <v>1.106649</v>
      </c>
      <c r="L5885">
        <v>-62.320650000000001</v>
      </c>
      <c r="M5885">
        <v>0.99982669999999996</v>
      </c>
      <c r="N5885">
        <v>0</v>
      </c>
      <c r="O5885">
        <v>1.211919E-2</v>
      </c>
      <c r="P5885">
        <v>0.97090489999999996</v>
      </c>
      <c r="Q5885">
        <v>-1.110042E-2</v>
      </c>
      <c r="R5885">
        <v>0.23920830000000001</v>
      </c>
      <c r="S5885">
        <v>2.658417</v>
      </c>
      <c r="T5885">
        <v>4.9734E-2</v>
      </c>
      <c r="U5885">
        <v>1.77508499999999</v>
      </c>
      <c r="V5885">
        <v>-0.22743339999999901</v>
      </c>
      <c r="W5885">
        <v>1.491371E-3</v>
      </c>
      <c r="X5885">
        <v>0.97379249999999995</v>
      </c>
      <c r="Y5885">
        <v>-0.54512309999999997</v>
      </c>
      <c r="Z5885">
        <v>-4.4244230000000002E-3</v>
      </c>
      <c r="AA5885">
        <v>0.83834430000000004</v>
      </c>
      <c r="AB5885">
        <v>21</v>
      </c>
      <c r="AC5885">
        <v>34.509699999999903</v>
      </c>
      <c r="AD5885">
        <v>0.64796899999999902</v>
      </c>
      <c r="AE5885">
        <v>23.12415</v>
      </c>
      <c r="AF5885">
        <v>-22.698657274327299</v>
      </c>
      <c r="AG5885">
        <v>0.64796899999999902</v>
      </c>
      <c r="AH5885">
        <v>34.778977040373</v>
      </c>
      <c r="AI5885">
        <v>89.106135967680601</v>
      </c>
      <c r="AJ5885">
        <v>123.130658080202</v>
      </c>
      <c r="AK5885">
        <v>41.535841749712098</v>
      </c>
    </row>
    <row r="5886" spans="1:37" x14ac:dyDescent="0.2">
      <c r="A5886" t="str">
        <f>"20200111160331086"</f>
        <v>20200111160331086</v>
      </c>
      <c r="B5886" t="str">
        <f>"1578729811079392"</f>
        <v>1578729811079392</v>
      </c>
      <c r="C5886" t="s">
        <v>37</v>
      </c>
      <c r="D5886">
        <v>4.6560370000000004</v>
      </c>
      <c r="E5886">
        <v>0.36320920000000001</v>
      </c>
      <c r="F5886" t="s">
        <v>74</v>
      </c>
      <c r="G5886">
        <v>-168.45060000000001</v>
      </c>
      <c r="H5886">
        <v>1.703133</v>
      </c>
      <c r="I5886">
        <v>-39.091799999999999</v>
      </c>
      <c r="J5886">
        <v>-202.81970000000001</v>
      </c>
      <c r="K5886">
        <v>1.106706</v>
      </c>
      <c r="L5886">
        <v>-62.316040000000001</v>
      </c>
      <c r="M5886">
        <v>0.99979249999999997</v>
      </c>
      <c r="N5886">
        <v>0</v>
      </c>
      <c r="O5886">
        <v>1.464065E-2</v>
      </c>
      <c r="P5886">
        <v>0.96964669999999897</v>
      </c>
      <c r="Q5886">
        <v>-1.242617E-2</v>
      </c>
      <c r="R5886">
        <v>0.24419489999999999</v>
      </c>
      <c r="S5886">
        <v>2.650833</v>
      </c>
      <c r="T5886">
        <v>4.5816660000000002E-2</v>
      </c>
      <c r="U5886">
        <v>1.7843020000000001</v>
      </c>
      <c r="V5886">
        <v>-0.229975599999999</v>
      </c>
      <c r="W5886">
        <v>1.533665E-4</v>
      </c>
      <c r="X5886">
        <v>0.97319639999999996</v>
      </c>
      <c r="Y5886">
        <v>-0.54613409999999996</v>
      </c>
      <c r="Z5886">
        <v>-4.050555E-3</v>
      </c>
      <c r="AA5886">
        <v>0.83768799999999899</v>
      </c>
      <c r="AB5886">
        <v>21</v>
      </c>
      <c r="AC5886">
        <v>34.369100000000003</v>
      </c>
      <c r="AD5886">
        <v>0.59642700000000004</v>
      </c>
      <c r="AE5886">
        <v>23.224240000000002</v>
      </c>
      <c r="AF5886">
        <v>-22.713817918331699</v>
      </c>
      <c r="AG5886">
        <v>0.59642700000000004</v>
      </c>
      <c r="AH5886">
        <v>34.698293966706601</v>
      </c>
      <c r="AI5886">
        <v>89.176052077164101</v>
      </c>
      <c r="AJ5886">
        <v>123.209121891883</v>
      </c>
      <c r="AK5886">
        <v>41.4758345762137</v>
      </c>
    </row>
    <row r="5887" spans="1:37" x14ac:dyDescent="0.2">
      <c r="A5887" t="str">
        <f>"20200111160331098"</f>
        <v>20200111160331098</v>
      </c>
      <c r="B5887" t="str">
        <f>"1578729811089152"</f>
        <v>1578729811089152</v>
      </c>
      <c r="C5887" t="s">
        <v>37</v>
      </c>
      <c r="D5887">
        <v>4.6645570000000003</v>
      </c>
      <c r="E5887">
        <v>0.36357590000000001</v>
      </c>
      <c r="F5887" t="s">
        <v>74</v>
      </c>
      <c r="G5887">
        <v>-168.45060000000001</v>
      </c>
      <c r="H5887">
        <v>1.6286160000000001</v>
      </c>
      <c r="I5887">
        <v>-39.020710000000001</v>
      </c>
      <c r="J5887">
        <v>-202.69759999999999</v>
      </c>
      <c r="K5887">
        <v>1.1067469999999999</v>
      </c>
      <c r="L5887">
        <v>-62.311680000000003</v>
      </c>
      <c r="M5887">
        <v>0.999756599999999</v>
      </c>
      <c r="N5887">
        <v>0</v>
      </c>
      <c r="O5887">
        <v>1.6880949999999999E-2</v>
      </c>
      <c r="P5887">
        <v>0.96841569999999899</v>
      </c>
      <c r="Q5887">
        <v>-1.3148170000000001E-2</v>
      </c>
      <c r="R5887">
        <v>0.2489942</v>
      </c>
      <c r="S5887">
        <v>2.64321899999999</v>
      </c>
      <c r="T5887">
        <v>4.0136810000000002E-2</v>
      </c>
      <c r="U5887">
        <v>1.7915650000000001</v>
      </c>
      <c r="V5887">
        <v>-0.23260919999999999</v>
      </c>
      <c r="W5887">
        <v>-5.8446780000000003E-4</v>
      </c>
      <c r="X5887">
        <v>0.97257009999999899</v>
      </c>
      <c r="Y5887">
        <v>-0.54696540000000005</v>
      </c>
      <c r="Z5887">
        <v>-3.5294329999999998E-3</v>
      </c>
      <c r="AA5887">
        <v>0.8371478</v>
      </c>
      <c r="AB5887">
        <v>21</v>
      </c>
      <c r="AC5887">
        <v>34.2469999999999</v>
      </c>
      <c r="AD5887">
        <v>0.52186900000000003</v>
      </c>
      <c r="AE5887">
        <v>23.290970000000002</v>
      </c>
      <c r="AF5887">
        <v>-22.705865217331802</v>
      </c>
      <c r="AG5887">
        <v>0.52186900000000003</v>
      </c>
      <c r="AH5887">
        <v>34.629834138550599</v>
      </c>
      <c r="AI5887">
        <v>89.277967547022698</v>
      </c>
      <c r="AJ5887">
        <v>123.251794754866</v>
      </c>
      <c r="AK5887">
        <v>41.413211358023503</v>
      </c>
    </row>
    <row r="5888" spans="1:37" x14ac:dyDescent="0.2">
      <c r="A5888" t="str">
        <f>"20200111160331112"</f>
        <v>20200111160331112</v>
      </c>
      <c r="B5888" t="str">
        <f>"1578729811108672"</f>
        <v>1578729811108672</v>
      </c>
      <c r="C5888" t="s">
        <v>37</v>
      </c>
      <c r="D5888">
        <v>4.6944530000000002</v>
      </c>
      <c r="E5888">
        <v>0.36430209999999902</v>
      </c>
      <c r="F5888" t="s">
        <v>74</v>
      </c>
      <c r="G5888">
        <v>-168.45060000000001</v>
      </c>
      <c r="H5888">
        <v>1.5309139999999899</v>
      </c>
      <c r="I5888">
        <v>-38.893169999999998</v>
      </c>
      <c r="J5888">
        <v>-202.57599999999999</v>
      </c>
      <c r="K5888">
        <v>1.1067879999999899</v>
      </c>
      <c r="L5888">
        <v>-62.307069999999896</v>
      </c>
      <c r="M5888">
        <v>0.99971549999999998</v>
      </c>
      <c r="N5888">
        <v>0</v>
      </c>
      <c r="O5888">
        <v>1.9143960000000002E-2</v>
      </c>
      <c r="P5888">
        <v>0.96631529999999999</v>
      </c>
      <c r="Q5888">
        <v>-1.432308E-2</v>
      </c>
      <c r="R5888">
        <v>0.25696170000000002</v>
      </c>
      <c r="S5888">
        <v>2.6350099999999999</v>
      </c>
      <c r="T5888">
        <v>3.2634379999999998E-2</v>
      </c>
      <c r="U5888">
        <v>1.801849</v>
      </c>
      <c r="V5888">
        <v>-0.23840720000000001</v>
      </c>
      <c r="W5888">
        <v>-1.8055089999999901E-3</v>
      </c>
      <c r="X5888">
        <v>0.97116360000000002</v>
      </c>
      <c r="Y5888">
        <v>-0.54852419999999902</v>
      </c>
      <c r="Z5888">
        <v>-2.857737E-3</v>
      </c>
      <c r="AA5888">
        <v>0.83612980000000003</v>
      </c>
      <c r="AB5888">
        <v>21</v>
      </c>
      <c r="AC5888">
        <v>34.1253999999999</v>
      </c>
      <c r="AD5888">
        <v>0.424126</v>
      </c>
      <c r="AE5888">
        <v>23.413900000000002</v>
      </c>
      <c r="AF5888">
        <v>-22.753857082587601</v>
      </c>
      <c r="AG5888">
        <v>0.424126</v>
      </c>
      <c r="AH5888">
        <v>34.563794889687202</v>
      </c>
      <c r="AI5888">
        <v>89.412780481264093</v>
      </c>
      <c r="AJ5888">
        <v>123.35750084166401</v>
      </c>
      <c r="AK5888">
        <v>41.383255214821602</v>
      </c>
    </row>
    <row r="5889" spans="1:37" x14ac:dyDescent="0.2">
      <c r="A5889" t="str">
        <f>"20200111160331128"</f>
        <v>20200111160331128</v>
      </c>
      <c r="B5889" t="str">
        <f>"1578729811119409"</f>
        <v>1578729811119409</v>
      </c>
      <c r="C5889" t="s">
        <v>37</v>
      </c>
      <c r="D5889">
        <v>4.7012710000000002</v>
      </c>
      <c r="E5889">
        <v>0.36468319999999999</v>
      </c>
      <c r="F5889" t="s">
        <v>74</v>
      </c>
      <c r="G5889">
        <v>-168.45060000000001</v>
      </c>
      <c r="H5889">
        <v>1.3730290000000001</v>
      </c>
      <c r="I5889">
        <v>-38.641719999999999</v>
      </c>
      <c r="J5889">
        <v>-202.43010000000001</v>
      </c>
      <c r="K5889">
        <v>1.1068420000000001</v>
      </c>
      <c r="L5889">
        <v>-62.301119999999997</v>
      </c>
      <c r="M5889">
        <v>0.99965800000000005</v>
      </c>
      <c r="N5889">
        <v>0</v>
      </c>
      <c r="O5889">
        <v>2.1924860000000001E-2</v>
      </c>
      <c r="P5889">
        <v>0.96473609999999899</v>
      </c>
      <c r="Q5889">
        <v>-1.469928E-2</v>
      </c>
      <c r="R5889">
        <v>0.26280809999999999</v>
      </c>
      <c r="S5889">
        <v>2.6214599999999999</v>
      </c>
      <c r="T5889">
        <v>2.0450590000000001E-2</v>
      </c>
      <c r="U5889">
        <v>1.8179319999999899</v>
      </c>
      <c r="V5889">
        <v>-0.24158249999999901</v>
      </c>
      <c r="W5889">
        <v>-2.207615E-3</v>
      </c>
      <c r="X5889">
        <v>0.97037779999999996</v>
      </c>
      <c r="Y5889">
        <v>-0.55169519999999905</v>
      </c>
      <c r="Z5889">
        <v>-1.787311E-3</v>
      </c>
      <c r="AA5889">
        <v>0.83404389999999995</v>
      </c>
      <c r="AB5889">
        <v>21</v>
      </c>
      <c r="AC5889">
        <v>33.979500000000002</v>
      </c>
      <c r="AD5889">
        <v>0.26618699999999901</v>
      </c>
      <c r="AE5889">
        <v>23.659400000000002</v>
      </c>
      <c r="AF5889">
        <v>-22.907693371404299</v>
      </c>
      <c r="AG5889">
        <v>0.26618699999999901</v>
      </c>
      <c r="AH5889">
        <v>34.488686706784399</v>
      </c>
      <c r="AI5889">
        <v>89.631643192053502</v>
      </c>
      <c r="AJ5889">
        <v>123.592467194357</v>
      </c>
      <c r="AK5889">
        <v>41.404139670762099</v>
      </c>
    </row>
    <row r="5890" spans="1:37" x14ac:dyDescent="0.2">
      <c r="A5890" t="str">
        <f>"20200111160331140"</f>
        <v>20200111160331140</v>
      </c>
      <c r="B5890" t="str">
        <f>"1578729811138928"</f>
        <v>1578729811138928</v>
      </c>
      <c r="C5890" t="s">
        <v>37</v>
      </c>
      <c r="D5890">
        <v>4.6702449999999898</v>
      </c>
      <c r="E5890">
        <v>0.3654482</v>
      </c>
      <c r="F5890" t="s">
        <v>74</v>
      </c>
      <c r="G5890">
        <v>-168.45060000000001</v>
      </c>
      <c r="H5890">
        <v>1.314576</v>
      </c>
      <c r="I5890">
        <v>-38.473979999999997</v>
      </c>
      <c r="J5890">
        <v>-202.31559999999999</v>
      </c>
      <c r="K5890">
        <v>1.1068789999999999</v>
      </c>
      <c r="L5890">
        <v>-62.295990000000003</v>
      </c>
      <c r="M5890">
        <v>0.99960590000000005</v>
      </c>
      <c r="N5890">
        <v>0</v>
      </c>
      <c r="O5890">
        <v>2.41719E-2</v>
      </c>
      <c r="P5890">
        <v>0.96332059999999997</v>
      </c>
      <c r="Q5890">
        <v>-1.480915E-2</v>
      </c>
      <c r="R5890">
        <v>0.26794479999999998</v>
      </c>
      <c r="S5890">
        <v>2.6111149999999999</v>
      </c>
      <c r="T5890">
        <v>1.5961530000000002E-2</v>
      </c>
      <c r="U5890">
        <v>1.8309629999999999</v>
      </c>
      <c r="V5890">
        <v>-0.2445695</v>
      </c>
      <c r="W5890">
        <v>-2.345064E-3</v>
      </c>
      <c r="X5890">
        <v>0.96962890000000002</v>
      </c>
      <c r="Y5890">
        <v>-0.55416460000000001</v>
      </c>
      <c r="Z5890">
        <v>-1.392201E-3</v>
      </c>
      <c r="AA5890">
        <v>0.83240599999999998</v>
      </c>
      <c r="AB5890">
        <v>21</v>
      </c>
      <c r="AC5890">
        <v>33.864999999999903</v>
      </c>
      <c r="AD5890">
        <v>0.20769699999999899</v>
      </c>
      <c r="AE5890">
        <v>23.822009999999999</v>
      </c>
      <c r="AF5890">
        <v>-22.995804739056201</v>
      </c>
      <c r="AG5890">
        <v>0.20769699999999899</v>
      </c>
      <c r="AH5890">
        <v>34.430118748154896</v>
      </c>
      <c r="AI5890">
        <v>89.712582381556004</v>
      </c>
      <c r="AJ5890">
        <v>123.73887909916201</v>
      </c>
      <c r="AK5890">
        <v>41.403903809334899</v>
      </c>
    </row>
    <row r="5891" spans="1:37" x14ac:dyDescent="0.2">
      <c r="A5891" t="str">
        <f>"20200111160331153"</f>
        <v>20200111160331153</v>
      </c>
      <c r="B5891" t="str">
        <f>"1578729811148688"</f>
        <v>1578729811148688</v>
      </c>
      <c r="C5891" t="s">
        <v>37</v>
      </c>
      <c r="D5891">
        <v>4.6736149999999999</v>
      </c>
      <c r="E5891">
        <v>0.36586679999999999</v>
      </c>
      <c r="F5891" t="s">
        <v>74</v>
      </c>
      <c r="G5891">
        <v>-168.45060000000001</v>
      </c>
      <c r="H5891">
        <v>1.236694</v>
      </c>
      <c r="I5891">
        <v>-38.373329999999903</v>
      </c>
      <c r="J5891">
        <v>-202.2012</v>
      </c>
      <c r="K5891">
        <v>1.106922</v>
      </c>
      <c r="L5891">
        <v>-62.290680000000002</v>
      </c>
      <c r="M5891">
        <v>0.99954809999999905</v>
      </c>
      <c r="N5891">
        <v>0</v>
      </c>
      <c r="O5891">
        <v>2.6446130000000002E-2</v>
      </c>
      <c r="P5891">
        <v>0.9618911</v>
      </c>
      <c r="Q5891">
        <v>-1.4990750000000001E-2</v>
      </c>
      <c r="R5891">
        <v>0.27302189999999998</v>
      </c>
      <c r="S5891">
        <v>2.6029360000000001</v>
      </c>
      <c r="T5891">
        <v>9.9762679999999999E-3</v>
      </c>
      <c r="U5891">
        <v>1.8387450000000001</v>
      </c>
      <c r="V5891">
        <v>-0.2474751</v>
      </c>
      <c r="W5891">
        <v>-2.5559340000000002E-3</v>
      </c>
      <c r="X5891">
        <v>0.9688909</v>
      </c>
      <c r="Y5891">
        <v>-0.55516509999999997</v>
      </c>
      <c r="Z5891">
        <v>-8.6563789999999905E-4</v>
      </c>
      <c r="AA5891">
        <v>0.83173969999999897</v>
      </c>
      <c r="AB5891">
        <v>21</v>
      </c>
      <c r="AC5891">
        <v>33.750599999999899</v>
      </c>
      <c r="AD5891">
        <v>0.129772</v>
      </c>
      <c r="AE5891">
        <v>23.917349999999999</v>
      </c>
      <c r="AF5891">
        <v>-23.016092536996801</v>
      </c>
      <c r="AG5891">
        <v>0.129772</v>
      </c>
      <c r="AH5891">
        <v>34.371040639819903</v>
      </c>
      <c r="AI5891">
        <v>89.820252286736903</v>
      </c>
      <c r="AJ5891">
        <v>123.807695986401</v>
      </c>
      <c r="AK5891">
        <v>41.365756261764801</v>
      </c>
    </row>
    <row r="5892" spans="1:37" x14ac:dyDescent="0.2">
      <c r="A5892" t="str">
        <f>"20200111160331165"</f>
        <v>20200111160331165</v>
      </c>
      <c r="B5892" t="str">
        <f>"1578729811159424"</f>
        <v>1578729811159424</v>
      </c>
      <c r="C5892" t="s">
        <v>37</v>
      </c>
      <c r="D5892">
        <v>4.7025239999999897</v>
      </c>
      <c r="E5892">
        <v>0.3662183</v>
      </c>
      <c r="F5892" t="s">
        <v>74</v>
      </c>
      <c r="G5892">
        <v>-168.45060000000001</v>
      </c>
      <c r="H5892">
        <v>1.1954910000000001</v>
      </c>
      <c r="I5892">
        <v>-38.230370000000001</v>
      </c>
      <c r="J5892">
        <v>-202.0829</v>
      </c>
      <c r="K5892">
        <v>1.106968</v>
      </c>
      <c r="L5892">
        <v>-62.284819999999897</v>
      </c>
      <c r="M5892">
        <v>0.99948130000000002</v>
      </c>
      <c r="N5892">
        <v>0</v>
      </c>
      <c r="O5892">
        <v>2.8849030000000001E-2</v>
      </c>
      <c r="P5892">
        <v>0.96038319999999999</v>
      </c>
      <c r="Q5892">
        <v>-1.50621E-2</v>
      </c>
      <c r="R5892">
        <v>0.27827609999999903</v>
      </c>
      <c r="S5892">
        <v>2.5940699999999999</v>
      </c>
      <c r="T5892">
        <v>6.8057780000000002E-3</v>
      </c>
      <c r="U5892">
        <v>1.8492740000000001</v>
      </c>
      <c r="V5892">
        <v>-0.25043989999999999</v>
      </c>
      <c r="W5892">
        <v>-2.6610409999999998E-3</v>
      </c>
      <c r="X5892">
        <v>0.96812849999999995</v>
      </c>
      <c r="Y5892">
        <v>-0.55674639999999997</v>
      </c>
      <c r="Z5892">
        <v>-5.8778819999999996E-4</v>
      </c>
      <c r="AA5892">
        <v>0.83068229999999998</v>
      </c>
      <c r="AB5892">
        <v>21</v>
      </c>
      <c r="AC5892">
        <v>33.632299999999901</v>
      </c>
      <c r="AD5892">
        <v>8.8523000000000102E-2</v>
      </c>
      <c r="AE5892">
        <v>24.054449999999999</v>
      </c>
      <c r="AF5892">
        <v>-23.073971619523402</v>
      </c>
      <c r="AG5892">
        <v>8.8523000000000102E-2</v>
      </c>
      <c r="AH5892">
        <v>34.312160078587503</v>
      </c>
      <c r="AI5892">
        <v>89.877336879323394</v>
      </c>
      <c r="AJ5892">
        <v>123.91973250418999</v>
      </c>
      <c r="AK5892">
        <v>41.349006419486201</v>
      </c>
    </row>
    <row r="5893" spans="1:37" x14ac:dyDescent="0.2">
      <c r="A5893" t="str">
        <f>"20200111160331179"</f>
        <v>20200111160331179</v>
      </c>
      <c r="B5893" t="str">
        <f>"1578729811169183"</f>
        <v>1578729811169183</v>
      </c>
      <c r="C5893" t="s">
        <v>37</v>
      </c>
      <c r="D5893">
        <v>4.7103159999999997</v>
      </c>
      <c r="E5893">
        <v>0.36665809999999999</v>
      </c>
      <c r="F5893" t="s">
        <v>74</v>
      </c>
      <c r="G5893">
        <v>-168.45060000000001</v>
      </c>
      <c r="H5893">
        <v>1.164199</v>
      </c>
      <c r="I5893">
        <v>-38.072159999999997</v>
      </c>
      <c r="J5893">
        <v>-201.9615</v>
      </c>
      <c r="K5893">
        <v>1.1070199999999999</v>
      </c>
      <c r="L5893">
        <v>-62.278350000000003</v>
      </c>
      <c r="M5893">
        <v>0.99940469999999904</v>
      </c>
      <c r="N5893">
        <v>0</v>
      </c>
      <c r="O5893">
        <v>3.138022E-2</v>
      </c>
      <c r="P5893">
        <v>0.95778169999999996</v>
      </c>
      <c r="Q5893">
        <v>-1.6268339999999999E-2</v>
      </c>
      <c r="R5893">
        <v>0.28703609999999902</v>
      </c>
      <c r="S5893">
        <v>2.5846559999999998</v>
      </c>
      <c r="T5893">
        <v>4.3966769999999999E-3</v>
      </c>
      <c r="U5893">
        <v>1.8607479999999901</v>
      </c>
      <c r="V5893">
        <v>-0.25681729999999903</v>
      </c>
      <c r="W5893">
        <v>-3.9380389999999999E-3</v>
      </c>
      <c r="X5893">
        <v>0.96645190000000003</v>
      </c>
      <c r="Y5893">
        <v>-0.55850469999999997</v>
      </c>
      <c r="Z5893">
        <v>-3.7790970000000003E-4</v>
      </c>
      <c r="AA5893">
        <v>0.8295013</v>
      </c>
      <c r="AB5893">
        <v>21</v>
      </c>
      <c r="AC5893">
        <v>33.5108999999999</v>
      </c>
      <c r="AD5893">
        <v>5.7178999999999799E-2</v>
      </c>
      <c r="AE5893">
        <v>24.206189999999999</v>
      </c>
      <c r="AF5893">
        <v>-23.142534704692402</v>
      </c>
      <c r="AG5893">
        <v>5.7178999999999799E-2</v>
      </c>
      <c r="AH5893">
        <v>34.254001251107603</v>
      </c>
      <c r="AI5893">
        <v>89.920750073324001</v>
      </c>
      <c r="AJ5893">
        <v>124.043570761635</v>
      </c>
      <c r="AK5893">
        <v>41.339046719860598</v>
      </c>
    </row>
    <row r="5894" spans="1:37" x14ac:dyDescent="0.2">
      <c r="A5894" t="str">
        <f>"20200111160331192"</f>
        <v>20200111160331192</v>
      </c>
      <c r="B5894" t="str">
        <f>"1578729811188704"</f>
        <v>1578729811188704</v>
      </c>
      <c r="C5894" t="s">
        <v>37</v>
      </c>
      <c r="D5894">
        <v>4.7157799999999996</v>
      </c>
      <c r="E5894">
        <v>0.38107360000000001</v>
      </c>
      <c r="F5894" t="s">
        <v>74</v>
      </c>
      <c r="G5894">
        <v>-168.45060000000001</v>
      </c>
      <c r="H5894">
        <v>1.069769</v>
      </c>
      <c r="I5894">
        <v>-37.738520000000001</v>
      </c>
      <c r="J5894">
        <v>-201.85249999999999</v>
      </c>
      <c r="K5894">
        <v>1.1070629999999999</v>
      </c>
      <c r="L5894">
        <v>-62.272369999999903</v>
      </c>
      <c r="M5894">
        <v>0.99932960000000004</v>
      </c>
      <c r="N5894">
        <v>0</v>
      </c>
      <c r="O5894">
        <v>3.3684730000000003E-2</v>
      </c>
      <c r="P5894">
        <v>0.95618459999999905</v>
      </c>
      <c r="Q5894">
        <v>-1.719774E-2</v>
      </c>
      <c r="R5894">
        <v>0.2922592</v>
      </c>
      <c r="S5894">
        <v>2.5684969999999998</v>
      </c>
      <c r="T5894">
        <v>-2.8567309999999999E-3</v>
      </c>
      <c r="U5894">
        <v>1.88089</v>
      </c>
      <c r="V5894">
        <v>-0.25985599999999998</v>
      </c>
      <c r="W5894">
        <v>-4.9076759999999997E-3</v>
      </c>
      <c r="X5894">
        <v>0.96563489999999996</v>
      </c>
      <c r="Y5894">
        <v>-0.56330190000000002</v>
      </c>
      <c r="Z5894">
        <v>2.4639630000000001E-4</v>
      </c>
      <c r="AA5894">
        <v>0.82625110000000002</v>
      </c>
      <c r="AB5894">
        <v>21</v>
      </c>
      <c r="AC5894">
        <v>33.401899999999898</v>
      </c>
      <c r="AD5894">
        <v>-3.7293999999999897E-2</v>
      </c>
      <c r="AE5894">
        <v>24.533849999999902</v>
      </c>
      <c r="AF5894">
        <v>-23.394655723437399</v>
      </c>
      <c r="AG5894">
        <v>-3.7293999999999897E-2</v>
      </c>
      <c r="AH5894">
        <v>34.209414220837402</v>
      </c>
      <c r="AI5894">
        <v>90.051558613792693</v>
      </c>
      <c r="AJ5894">
        <v>124.366897605773</v>
      </c>
      <c r="AK5894">
        <v>41.443881678643898</v>
      </c>
    </row>
    <row r="5895" spans="1:37" x14ac:dyDescent="0.2">
      <c r="A5895" t="str">
        <f>"20200111160331203"</f>
        <v>20200111160331203</v>
      </c>
      <c r="B5895" t="str">
        <f>"1578729811199440"</f>
        <v>1578729811199440</v>
      </c>
      <c r="C5895" t="s">
        <v>37</v>
      </c>
      <c r="D5895">
        <v>4.7365219999999999</v>
      </c>
      <c r="E5895">
        <v>0.38169229999999998</v>
      </c>
      <c r="F5895" t="s">
        <v>74</v>
      </c>
      <c r="G5895">
        <v>-168.45060000000001</v>
      </c>
      <c r="H5895">
        <v>8.9114189999999996E-2</v>
      </c>
      <c r="I5895">
        <v>-39.283239999999999</v>
      </c>
      <c r="J5895">
        <v>-201.7415</v>
      </c>
      <c r="K5895">
        <v>1.107113</v>
      </c>
      <c r="L5895">
        <v>-62.265839999999997</v>
      </c>
      <c r="M5895">
        <v>0.99924489999999999</v>
      </c>
      <c r="N5895">
        <v>0</v>
      </c>
      <c r="O5895">
        <v>3.6097230000000001E-2</v>
      </c>
      <c r="P5895">
        <v>0.95450659999999898</v>
      </c>
      <c r="Q5895">
        <v>-1.8706359999999998E-2</v>
      </c>
      <c r="R5895">
        <v>0.2976027</v>
      </c>
      <c r="S5895">
        <v>2.5909879999999998</v>
      </c>
      <c r="T5895">
        <v>-7.8963759999999994E-2</v>
      </c>
      <c r="U5895">
        <v>1.783264</v>
      </c>
      <c r="V5895">
        <v>-0.26291529999999902</v>
      </c>
      <c r="W5895">
        <v>-6.4612280000000003E-3</v>
      </c>
      <c r="X5895">
        <v>0.96479729999999997</v>
      </c>
      <c r="Y5895">
        <v>-0.53668729999999998</v>
      </c>
      <c r="Z5895">
        <v>6.3957140000000003E-3</v>
      </c>
      <c r="AA5895">
        <v>0.84375699999999998</v>
      </c>
      <c r="AB5895">
        <v>21</v>
      </c>
      <c r="AC5895">
        <v>33.290899999999901</v>
      </c>
      <c r="AD5895">
        <v>-1.0179988099999999</v>
      </c>
      <c r="AE5895">
        <v>22.982600000000001</v>
      </c>
      <c r="AF5895">
        <v>-21.7520106002004</v>
      </c>
      <c r="AG5895">
        <v>-1.0179988099999999</v>
      </c>
      <c r="AH5895">
        <v>34.077313338785601</v>
      </c>
      <c r="AI5895">
        <v>91.442438151731295</v>
      </c>
      <c r="AJ5895">
        <v>122.550641419573</v>
      </c>
      <c r="AK5895">
        <v>40.440692020762597</v>
      </c>
    </row>
    <row r="5896" spans="1:37" x14ac:dyDescent="0.2">
      <c r="A5896" t="str">
        <f>"20200111160331217"</f>
        <v>20200111160331217</v>
      </c>
      <c r="B5896" t="str">
        <f>"1578729811209201"</f>
        <v>1578729811209201</v>
      </c>
      <c r="C5896" t="s">
        <v>37</v>
      </c>
      <c r="D5896">
        <v>4.8668110000000002</v>
      </c>
      <c r="E5896">
        <v>0.3809805</v>
      </c>
      <c r="F5896" t="s">
        <v>39</v>
      </c>
      <c r="G5896">
        <v>-166.93049999999999</v>
      </c>
      <c r="H5896">
        <v>-0.05</v>
      </c>
      <c r="I5896">
        <v>-38.09581</v>
      </c>
      <c r="J5896">
        <v>-201.62710000000001</v>
      </c>
      <c r="K5896">
        <v>1.1071599999999999</v>
      </c>
      <c r="L5896">
        <v>-62.258819999999901</v>
      </c>
      <c r="M5896">
        <v>0.99914999999999998</v>
      </c>
      <c r="N5896">
        <v>0</v>
      </c>
      <c r="O5896">
        <v>3.8632420000000001E-2</v>
      </c>
      <c r="P5896">
        <v>0.95270999999999995</v>
      </c>
      <c r="Q5896">
        <v>-2.0149139999999999E-2</v>
      </c>
      <c r="R5896">
        <v>0.3032125</v>
      </c>
      <c r="S5896">
        <v>2.5822910000000001</v>
      </c>
      <c r="T5896">
        <v>-8.5834980000000005E-2</v>
      </c>
      <c r="U5896">
        <v>1.7929379999999999</v>
      </c>
      <c r="V5896">
        <v>-0.2661327</v>
      </c>
      <c r="W5896">
        <v>-7.9535809999999995E-3</v>
      </c>
      <c r="X5896">
        <v>0.96390359999999997</v>
      </c>
      <c r="Y5896">
        <v>-0.53798000000000001</v>
      </c>
      <c r="Z5896">
        <v>6.9084749999999999E-3</v>
      </c>
      <c r="AA5896">
        <v>0.84292929999999999</v>
      </c>
      <c r="AB5896">
        <v>21</v>
      </c>
      <c r="AC5896">
        <v>34.696599999999997</v>
      </c>
      <c r="AD5896">
        <v>-1.15716</v>
      </c>
      <c r="AE5896">
        <v>24.16301</v>
      </c>
      <c r="AF5896">
        <v>-22.7873479892679</v>
      </c>
      <c r="AG5896">
        <v>-1.15716</v>
      </c>
      <c r="AH5896">
        <v>35.577617159421401</v>
      </c>
      <c r="AI5896">
        <v>91.568861908140804</v>
      </c>
      <c r="AJ5896">
        <v>122.639429634254</v>
      </c>
      <c r="AK5896">
        <v>42.265459779729703</v>
      </c>
    </row>
    <row r="5897" spans="1:37" x14ac:dyDescent="0.2">
      <c r="A5897" t="str">
        <f>"20200111160331227"</f>
        <v>20200111160331227</v>
      </c>
      <c r="B5897" t="str">
        <f>"1578729811218959"</f>
        <v>1578729811218959</v>
      </c>
      <c r="C5897" t="s">
        <v>37</v>
      </c>
      <c r="D5897">
        <v>4.7384129999999898</v>
      </c>
      <c r="E5897">
        <v>0.38193649999999901</v>
      </c>
      <c r="F5897" t="s">
        <v>39</v>
      </c>
      <c r="G5897">
        <v>-166.4374</v>
      </c>
      <c r="H5897">
        <v>-0.05</v>
      </c>
      <c r="I5897">
        <v>-37.42445</v>
      </c>
      <c r="J5897">
        <v>-201.52119999999999</v>
      </c>
      <c r="K5897">
        <v>1.107205</v>
      </c>
      <c r="L5897">
        <v>-62.252109999999902</v>
      </c>
      <c r="M5897">
        <v>0.99905489999999997</v>
      </c>
      <c r="N5897">
        <v>0</v>
      </c>
      <c r="O5897">
        <v>4.1010699999999997E-2</v>
      </c>
      <c r="P5897">
        <v>0.9509917</v>
      </c>
      <c r="Q5897">
        <v>-2.1492279999999999E-2</v>
      </c>
      <c r="R5897">
        <v>0.30846829999999997</v>
      </c>
      <c r="S5897">
        <v>2.5699160000000001</v>
      </c>
      <c r="T5897">
        <v>-8.4507700000000005E-2</v>
      </c>
      <c r="U5897">
        <v>1.8136599999999901</v>
      </c>
      <c r="V5897">
        <v>-0.26914969999999999</v>
      </c>
      <c r="W5897">
        <v>-9.3451269999999999E-3</v>
      </c>
      <c r="X5897">
        <v>0.96305300000000005</v>
      </c>
      <c r="Y5897">
        <v>-0.54242349999999995</v>
      </c>
      <c r="Z5897">
        <v>6.8102329999999997E-3</v>
      </c>
      <c r="AA5897">
        <v>0.84007759999999998</v>
      </c>
      <c r="AB5897">
        <v>20</v>
      </c>
      <c r="AC5897">
        <v>35.083799999999997</v>
      </c>
      <c r="AD5897">
        <v>-1.15720499999999</v>
      </c>
      <c r="AE5897">
        <v>24.827659999999899</v>
      </c>
      <c r="AF5897">
        <v>-23.3508805094264</v>
      </c>
      <c r="AG5897">
        <v>-1.15720499999999</v>
      </c>
      <c r="AH5897">
        <v>36.046452884603703</v>
      </c>
      <c r="AI5897">
        <v>91.543389523159306</v>
      </c>
      <c r="AJ5897">
        <v>122.93515329044899</v>
      </c>
      <c r="AK5897">
        <v>42.964514538622304</v>
      </c>
    </row>
    <row r="5898" spans="1:37" x14ac:dyDescent="0.2">
      <c r="A5898" t="str">
        <f>"20200111160331239"</f>
        <v>20200111160331239</v>
      </c>
      <c r="B5898" t="str">
        <f>"1578729811228719"</f>
        <v>1578729811228719</v>
      </c>
      <c r="C5898" t="s">
        <v>37</v>
      </c>
      <c r="D5898">
        <v>4.7567209999999998</v>
      </c>
      <c r="E5898">
        <v>0.38276070000000001</v>
      </c>
      <c r="F5898" t="s">
        <v>39</v>
      </c>
      <c r="G5898">
        <v>-167.00030000000001</v>
      </c>
      <c r="H5898">
        <v>-0.05</v>
      </c>
      <c r="I5898">
        <v>-37.721040000000002</v>
      </c>
      <c r="J5898">
        <v>-201.41810000000001</v>
      </c>
      <c r="K5898">
        <v>1.1072519999999999</v>
      </c>
      <c r="L5898">
        <v>-62.245089999999998</v>
      </c>
      <c r="M5898">
        <v>0.9989536</v>
      </c>
      <c r="N5898">
        <v>0</v>
      </c>
      <c r="O5898">
        <v>4.3407370000000001E-2</v>
      </c>
      <c r="P5898">
        <v>0.94918519999999895</v>
      </c>
      <c r="Q5898">
        <v>-2.3057069999999999E-2</v>
      </c>
      <c r="R5898">
        <v>0.3138724</v>
      </c>
      <c r="S5898">
        <v>2.562119</v>
      </c>
      <c r="T5898">
        <v>-8.5886959999999998E-2</v>
      </c>
      <c r="U5898">
        <v>1.8206789999999999</v>
      </c>
      <c r="V5898">
        <v>-0.27230500000000002</v>
      </c>
      <c r="W5898">
        <v>-1.0962950000000001E-2</v>
      </c>
      <c r="X5898">
        <v>0.96214849999999996</v>
      </c>
      <c r="Y5898">
        <v>-0.54313669999999903</v>
      </c>
      <c r="Z5898">
        <v>6.8727249999999997E-3</v>
      </c>
      <c r="AA5898">
        <v>0.83961620000000003</v>
      </c>
      <c r="AB5898">
        <v>20</v>
      </c>
      <c r="AC5898">
        <v>34.4178</v>
      </c>
      <c r="AD5898">
        <v>-1.1572519999999999</v>
      </c>
      <c r="AE5898">
        <v>24.524049999999999</v>
      </c>
      <c r="AF5898">
        <v>-22.989550413225899</v>
      </c>
      <c r="AG5898">
        <v>-1.1572519999999999</v>
      </c>
      <c r="AH5898">
        <v>35.423425897200097</v>
      </c>
      <c r="AI5898">
        <v>91.569730140923397</v>
      </c>
      <c r="AJ5898">
        <v>122.98328299016499</v>
      </c>
      <c r="AK5898">
        <v>42.245446650357302</v>
      </c>
    </row>
    <row r="5899" spans="1:37" x14ac:dyDescent="0.2">
      <c r="A5899" t="str">
        <f>"20200111160331252"</f>
        <v>20200111160331252</v>
      </c>
      <c r="B5899" t="str">
        <f>"1578729811249216"</f>
        <v>1578729811249216</v>
      </c>
      <c r="C5899" t="s">
        <v>37</v>
      </c>
      <c r="D5899">
        <v>4.7798910000000001</v>
      </c>
      <c r="E5899">
        <v>0.38421309999999997</v>
      </c>
      <c r="F5899" t="s">
        <v>39</v>
      </c>
      <c r="G5899">
        <v>-168.59229999999999</v>
      </c>
      <c r="H5899">
        <v>-0.05</v>
      </c>
      <c r="I5899">
        <v>-38.735610000000001</v>
      </c>
      <c r="J5899">
        <v>-201.31010000000001</v>
      </c>
      <c r="K5899">
        <v>1.1073010000000001</v>
      </c>
      <c r="L5899">
        <v>-62.237549999999999</v>
      </c>
      <c r="M5899">
        <v>0.99883980000000006</v>
      </c>
      <c r="N5899">
        <v>0</v>
      </c>
      <c r="O5899">
        <v>4.5944249999999999E-2</v>
      </c>
      <c r="P5899">
        <v>0.947273699999999</v>
      </c>
      <c r="Q5899">
        <v>-2.4125540000000001E-2</v>
      </c>
      <c r="R5899">
        <v>0.31951580000000002</v>
      </c>
      <c r="S5899">
        <v>2.5536349999999999</v>
      </c>
      <c r="T5899">
        <v>-9.002686E-2</v>
      </c>
      <c r="U5899">
        <v>1.8288880000000001</v>
      </c>
      <c r="V5899">
        <v>-0.27557799999999999</v>
      </c>
      <c r="W5899">
        <v>-1.208876E-2</v>
      </c>
      <c r="X5899">
        <v>0.96120269999999997</v>
      </c>
      <c r="Y5899">
        <v>-0.54408849999999997</v>
      </c>
      <c r="Z5899">
        <v>7.15279E-3</v>
      </c>
      <c r="AA5899">
        <v>0.8389974</v>
      </c>
      <c r="AB5899">
        <v>20</v>
      </c>
      <c r="AC5899">
        <v>32.717799999999997</v>
      </c>
      <c r="AD5899">
        <v>-1.1573009999999999</v>
      </c>
      <c r="AE5899">
        <v>23.501940000000001</v>
      </c>
      <c r="AF5899">
        <v>-21.9556449305651</v>
      </c>
      <c r="AG5899">
        <v>-1.1573009999999999</v>
      </c>
      <c r="AH5899">
        <v>33.735291574955603</v>
      </c>
      <c r="AI5899">
        <v>91.646932133384595</v>
      </c>
      <c r="AJ5899">
        <v>123.056933994768</v>
      </c>
      <c r="AK5899">
        <v>40.2673513850728</v>
      </c>
    </row>
    <row r="5900" spans="1:37" x14ac:dyDescent="0.2">
      <c r="A5900" t="str">
        <f>"20200111160331263"</f>
        <v>20200111160331263</v>
      </c>
      <c r="B5900" t="str">
        <f>"1578729811258976"</f>
        <v>1578729811258976</v>
      </c>
      <c r="C5900" t="s">
        <v>37</v>
      </c>
      <c r="D5900">
        <v>4.7856670000000001</v>
      </c>
      <c r="E5900">
        <v>0.38492189999999998</v>
      </c>
      <c r="F5900" t="s">
        <v>39</v>
      </c>
      <c r="G5900">
        <v>-171.28039999999999</v>
      </c>
      <c r="H5900">
        <v>-0.05</v>
      </c>
      <c r="I5900">
        <v>-40.619199999999999</v>
      </c>
      <c r="J5900">
        <v>-201.20310000000001</v>
      </c>
      <c r="K5900">
        <v>1.107356</v>
      </c>
      <c r="L5900">
        <v>-62.229640000000003</v>
      </c>
      <c r="M5900">
        <v>0.99871710000000002</v>
      </c>
      <c r="N5900">
        <v>0</v>
      </c>
      <c r="O5900">
        <v>4.8538030000000003E-2</v>
      </c>
      <c r="P5900">
        <v>0.94533469999999997</v>
      </c>
      <c r="Q5900">
        <v>-2.5398049999999998E-2</v>
      </c>
      <c r="R5900">
        <v>0.32511129999999999</v>
      </c>
      <c r="S5900">
        <v>2.5462039999999999</v>
      </c>
      <c r="T5900">
        <v>-9.8126889999999994E-2</v>
      </c>
      <c r="U5900">
        <v>1.833008</v>
      </c>
      <c r="V5900">
        <v>-0.2787539</v>
      </c>
      <c r="W5900">
        <v>-1.342169E-2</v>
      </c>
      <c r="X5900">
        <v>0.96026880000000003</v>
      </c>
      <c r="Y5900">
        <v>-0.5439252</v>
      </c>
      <c r="Z5900">
        <v>7.7195980000000003E-3</v>
      </c>
      <c r="AA5900">
        <v>0.83909820000000002</v>
      </c>
      <c r="AB5900">
        <v>20</v>
      </c>
      <c r="AC5900">
        <v>29.922699999999999</v>
      </c>
      <c r="AD5900">
        <v>-1.1573560000000001</v>
      </c>
      <c r="AE5900">
        <v>21.610440000000001</v>
      </c>
      <c r="AF5900">
        <v>-20.1126486023932</v>
      </c>
      <c r="AG5900">
        <v>-1.1573560000000001</v>
      </c>
      <c r="AH5900">
        <v>30.906074780558502</v>
      </c>
      <c r="AI5900">
        <v>91.797731580021704</v>
      </c>
      <c r="AJ5900">
        <v>123.05474366501799</v>
      </c>
      <c r="AK5900">
        <v>36.892323931348599</v>
      </c>
    </row>
    <row r="5901" spans="1:37" x14ac:dyDescent="0.2">
      <c r="A5901" t="str">
        <f>"20200111160331277"</f>
        <v>20200111160331277</v>
      </c>
      <c r="B5901" t="str">
        <f>"1578729811268736"</f>
        <v>1578729811268736</v>
      </c>
      <c r="C5901" t="s">
        <v>37</v>
      </c>
      <c r="D5901">
        <v>4.7526669999999998</v>
      </c>
      <c r="E5901">
        <v>0.3855208</v>
      </c>
      <c r="F5901" t="s">
        <v>64</v>
      </c>
      <c r="G5901">
        <v>-175.7697</v>
      </c>
      <c r="H5901">
        <v>7.9986810000000005E-2</v>
      </c>
      <c r="I5901">
        <v>-43.7577</v>
      </c>
      <c r="J5901">
        <v>-201.08199999999999</v>
      </c>
      <c r="K5901">
        <v>1.107418</v>
      </c>
      <c r="L5901">
        <v>-62.220309999999998</v>
      </c>
      <c r="M5901">
        <v>0.99856639999999997</v>
      </c>
      <c r="N5901">
        <v>0</v>
      </c>
      <c r="O5901">
        <v>5.1538550000000002E-2</v>
      </c>
      <c r="P5901">
        <v>0.94320499999999996</v>
      </c>
      <c r="Q5901">
        <v>-2.6611300000000001E-2</v>
      </c>
      <c r="R5901">
        <v>0.33114369999999999</v>
      </c>
      <c r="S5901">
        <v>2.537048</v>
      </c>
      <c r="T5901">
        <v>-0.10248259999999999</v>
      </c>
      <c r="U5901">
        <v>1.8426209999999901</v>
      </c>
      <c r="V5901">
        <v>-0.28199190000000002</v>
      </c>
      <c r="W5901">
        <v>-1.47015999999999E-2</v>
      </c>
      <c r="X5901">
        <v>0.95930419999999905</v>
      </c>
      <c r="Y5901">
        <v>-0.54490179999999999</v>
      </c>
      <c r="Z5901">
        <v>7.9878669999999992E-3</v>
      </c>
      <c r="AA5901">
        <v>0.83846180000000003</v>
      </c>
      <c r="AB5901">
        <v>20</v>
      </c>
      <c r="AC5901">
        <v>25.3123</v>
      </c>
      <c r="AD5901">
        <v>-1.0274311899999999</v>
      </c>
      <c r="AE5901">
        <v>18.462610000000002</v>
      </c>
      <c r="AF5901">
        <v>-17.114966791999802</v>
      </c>
      <c r="AG5901">
        <v>-1.0274311899999999</v>
      </c>
      <c r="AH5901">
        <v>26.202110261065201</v>
      </c>
      <c r="AI5901">
        <v>91.880283222544406</v>
      </c>
      <c r="AJ5901">
        <v>123.152183798436</v>
      </c>
      <c r="AK5901">
        <v>31.313388275216401</v>
      </c>
    </row>
    <row r="5902" spans="1:37" x14ac:dyDescent="0.2">
      <c r="A5902" t="str">
        <f>"20200111160331291"</f>
        <v>20200111160331291</v>
      </c>
      <c r="B5902" t="str">
        <f>"1578729811278640"</f>
        <v>1578729811278640</v>
      </c>
      <c r="C5902" t="s">
        <v>37</v>
      </c>
      <c r="D5902">
        <v>4.7271159999999997</v>
      </c>
      <c r="E5902">
        <v>0.386185099999999</v>
      </c>
      <c r="F5902" t="s">
        <v>64</v>
      </c>
      <c r="G5902">
        <v>-176.6909</v>
      </c>
      <c r="H5902">
        <v>7.9986719999999997E-2</v>
      </c>
      <c r="I5902">
        <v>-44.319519999999997</v>
      </c>
      <c r="J5902">
        <v>-200.9599</v>
      </c>
      <c r="K5902">
        <v>1.107478</v>
      </c>
      <c r="L5902">
        <v>-62.210540000000002</v>
      </c>
      <c r="M5902">
        <v>0.99840239999999902</v>
      </c>
      <c r="N5902">
        <v>0</v>
      </c>
      <c r="O5902">
        <v>5.462376E-2</v>
      </c>
      <c r="P5902">
        <v>0.94000239999999902</v>
      </c>
      <c r="Q5902">
        <v>-2.9404099999999999E-2</v>
      </c>
      <c r="R5902">
        <v>0.3398986</v>
      </c>
      <c r="S5902">
        <v>2.526627</v>
      </c>
      <c r="T5902">
        <v>-0.1064297</v>
      </c>
      <c r="U5902">
        <v>1.854309</v>
      </c>
      <c r="V5902">
        <v>-0.28792190000000001</v>
      </c>
      <c r="W5902">
        <v>-1.759496E-2</v>
      </c>
      <c r="X5902">
        <v>0.95749219999999902</v>
      </c>
      <c r="Y5902">
        <v>-0.54645869999999996</v>
      </c>
      <c r="Z5902">
        <v>8.2272890000000005E-3</v>
      </c>
      <c r="AA5902">
        <v>0.83744569999999996</v>
      </c>
      <c r="AB5902">
        <v>20</v>
      </c>
      <c r="AC5902">
        <v>24.268999999999998</v>
      </c>
      <c r="AD5902">
        <v>-1.02749128</v>
      </c>
      <c r="AE5902">
        <v>17.891019999999902</v>
      </c>
      <c r="AF5902">
        <v>-16.519316287991</v>
      </c>
      <c r="AG5902">
        <v>-1.02749128</v>
      </c>
      <c r="AH5902">
        <v>25.1808924160255</v>
      </c>
      <c r="AI5902">
        <v>91.954056200690005</v>
      </c>
      <c r="AJ5902">
        <v>123.265910117017</v>
      </c>
      <c r="AK5902">
        <v>30.133385004353698</v>
      </c>
    </row>
    <row r="5903" spans="1:37" x14ac:dyDescent="0.2">
      <c r="A5903" t="str">
        <f>"20200111160331303"</f>
        <v>20200111160331303</v>
      </c>
      <c r="B5903" t="str">
        <f>"1578729811299124"</f>
        <v>1578729811299124</v>
      </c>
      <c r="C5903" t="s">
        <v>37</v>
      </c>
      <c r="D5903">
        <v>4.7602479999999998</v>
      </c>
      <c r="E5903">
        <v>0.38677620000000001</v>
      </c>
      <c r="F5903" t="s">
        <v>42</v>
      </c>
      <c r="G5903">
        <v>-200.13339999999999</v>
      </c>
      <c r="H5903">
        <v>1.0699270000000001</v>
      </c>
      <c r="I5903">
        <v>-61.594180000000001</v>
      </c>
      <c r="J5903">
        <v>-200.84559999999999</v>
      </c>
      <c r="K5903">
        <v>1.1075360000000001</v>
      </c>
      <c r="L5903">
        <v>-62.200809999999997</v>
      </c>
      <c r="M5903">
        <v>0.99823399999999995</v>
      </c>
      <c r="N5903">
        <v>0</v>
      </c>
      <c r="O5903">
        <v>5.7612169999999997E-2</v>
      </c>
      <c r="P5903">
        <v>0.93792679999999995</v>
      </c>
      <c r="Q5903">
        <v>-3.0835479999999998E-2</v>
      </c>
      <c r="R5903">
        <v>0.34545979999999998</v>
      </c>
      <c r="S5903">
        <v>2.5107729999999999</v>
      </c>
      <c r="T5903">
        <v>-0.1140655</v>
      </c>
      <c r="U5903">
        <v>1.8726499999999999</v>
      </c>
      <c r="V5903">
        <v>-0.29071370000000002</v>
      </c>
      <c r="W5903">
        <v>-1.9091810000000001E-2</v>
      </c>
      <c r="X5903">
        <v>0.95661960000000001</v>
      </c>
      <c r="Y5903">
        <v>-0.55036399999999996</v>
      </c>
      <c r="Z5903">
        <v>8.8042709999999903E-3</v>
      </c>
      <c r="AA5903">
        <v>0.83487840000000002</v>
      </c>
      <c r="AB5903">
        <v>20</v>
      </c>
      <c r="AC5903">
        <v>0.71219999999999495</v>
      </c>
      <c r="AD5903">
        <v>-3.7608999999999997E-2</v>
      </c>
      <c r="AE5903">
        <v>0.60662999999999501</v>
      </c>
      <c r="AF5903">
        <v>-0.56367556638199301</v>
      </c>
      <c r="AG5903">
        <v>-3.7608999999999997E-2</v>
      </c>
      <c r="AH5903">
        <v>0.74476615240684196</v>
      </c>
      <c r="AI5903">
        <v>92.305793245898897</v>
      </c>
      <c r="AJ5903">
        <v>127.12022351450899</v>
      </c>
      <c r="AK5903">
        <v>0.93478404072168098</v>
      </c>
    </row>
    <row r="5904" spans="1:37" x14ac:dyDescent="0.2">
      <c r="A5904" t="str">
        <f>"20200111160331316"</f>
        <v>20200111160331316</v>
      </c>
      <c r="B5904" t="str">
        <f>"1578729811308882"</f>
        <v>1578729811308882</v>
      </c>
      <c r="C5904" t="s">
        <v>37</v>
      </c>
      <c r="D5904">
        <v>4.7231519999999998</v>
      </c>
      <c r="E5904">
        <v>0.3969529</v>
      </c>
      <c r="F5904" t="s">
        <v>42</v>
      </c>
      <c r="G5904">
        <v>-200.0498</v>
      </c>
      <c r="H5904">
        <v>1.069901</v>
      </c>
      <c r="I5904">
        <v>-61.601719999999901</v>
      </c>
      <c r="J5904">
        <v>-200.73509999999999</v>
      </c>
      <c r="K5904">
        <v>1.1075950000000001</v>
      </c>
      <c r="L5904">
        <v>-62.191099999999999</v>
      </c>
      <c r="M5904">
        <v>0.99805959999999905</v>
      </c>
      <c r="N5904">
        <v>0</v>
      </c>
      <c r="O5904">
        <v>6.05587E-2</v>
      </c>
      <c r="P5904">
        <v>0.93584920000000005</v>
      </c>
      <c r="Q5904">
        <v>-3.2108940000000002E-2</v>
      </c>
      <c r="R5904">
        <v>0.350935099999999</v>
      </c>
      <c r="S5904">
        <v>2.5010219999999999</v>
      </c>
      <c r="T5904">
        <v>-0.11827699999999999</v>
      </c>
      <c r="U5904">
        <v>1.8831789999999999</v>
      </c>
      <c r="V5904">
        <v>-0.29346800000000001</v>
      </c>
      <c r="W5904">
        <v>-2.043033E-2</v>
      </c>
      <c r="X5904">
        <v>0.95575059999999901</v>
      </c>
      <c r="Y5904">
        <v>-0.55168030000000001</v>
      </c>
      <c r="Z5904">
        <v>9.0526519999999996E-3</v>
      </c>
      <c r="AA5904">
        <v>0.83400659999999904</v>
      </c>
      <c r="AB5904">
        <v>20</v>
      </c>
      <c r="AC5904">
        <v>0.68529999999998303</v>
      </c>
      <c r="AD5904">
        <v>-3.7694000000000102E-2</v>
      </c>
      <c r="AE5904">
        <v>0.58938000000000501</v>
      </c>
      <c r="AF5904">
        <v>-0.54584355220893899</v>
      </c>
      <c r="AG5904">
        <v>-3.7694000000000102E-2</v>
      </c>
      <c r="AH5904">
        <v>0.71848828198069703</v>
      </c>
      <c r="AI5904">
        <v>92.392129620747298</v>
      </c>
      <c r="AJ5904">
        <v>127.224341633759</v>
      </c>
      <c r="AK5904">
        <v>0.90310100900599599</v>
      </c>
    </row>
    <row r="5905" spans="1:37" x14ac:dyDescent="0.2">
      <c r="A5905" t="str">
        <f>"20200111160331327"</f>
        <v>20200111160331327</v>
      </c>
      <c r="B5905" t="str">
        <f>"1578729811318642"</f>
        <v>1578729811318642</v>
      </c>
      <c r="C5905" t="s">
        <v>37</v>
      </c>
      <c r="D5905">
        <v>4.7292120000000004</v>
      </c>
      <c r="E5905">
        <v>0.39776630000000002</v>
      </c>
      <c r="F5905" t="s">
        <v>42</v>
      </c>
      <c r="G5905">
        <v>-199.94640000000001</v>
      </c>
      <c r="H5905">
        <v>1.066168</v>
      </c>
      <c r="I5905">
        <v>-61.620640000000002</v>
      </c>
      <c r="J5905">
        <v>-200.62690000000001</v>
      </c>
      <c r="K5905">
        <v>1.1076549999999901</v>
      </c>
      <c r="L5905">
        <v>-62.181269999999998</v>
      </c>
      <c r="M5905">
        <v>0.99787700000000001</v>
      </c>
      <c r="N5905">
        <v>0</v>
      </c>
      <c r="O5905">
        <v>6.3491809999999996E-2</v>
      </c>
      <c r="P5905">
        <v>0.93384259999999997</v>
      </c>
      <c r="Q5905">
        <v>-3.3655579999999997E-2</v>
      </c>
      <c r="R5905">
        <v>0.35609780000000002</v>
      </c>
      <c r="S5905">
        <v>2.5181269999999998</v>
      </c>
      <c r="T5905">
        <v>-0.132264299999999</v>
      </c>
      <c r="U5905">
        <v>1.82135</v>
      </c>
      <c r="V5905">
        <v>-0.29592390000000002</v>
      </c>
      <c r="W5905">
        <v>-2.2039079999999999E-2</v>
      </c>
      <c r="X5905">
        <v>0.95495719999999995</v>
      </c>
      <c r="Y5905">
        <v>-0.53300819999999904</v>
      </c>
      <c r="Z5905">
        <v>9.5571819999999991E-3</v>
      </c>
      <c r="AA5905">
        <v>0.84605609999999998</v>
      </c>
      <c r="AB5905">
        <v>20</v>
      </c>
      <c r="AC5905">
        <v>0.680499999999994</v>
      </c>
      <c r="AD5905">
        <v>-4.1486999999999802E-2</v>
      </c>
      <c r="AE5905">
        <v>0.56062999999999596</v>
      </c>
      <c r="AF5905">
        <v>-0.51514733054204698</v>
      </c>
      <c r="AG5905">
        <v>-4.1486999999999802E-2</v>
      </c>
      <c r="AH5905">
        <v>0.71314692105705801</v>
      </c>
      <c r="AI5905">
        <v>92.699946111521598</v>
      </c>
      <c r="AJ5905">
        <v>125.842762513111</v>
      </c>
      <c r="AK5905">
        <v>0.88072497088861901</v>
      </c>
    </row>
    <row r="5906" spans="1:37" x14ac:dyDescent="0.2">
      <c r="A5906" t="str">
        <f>"20200111160331340"</f>
        <v>20200111160331340</v>
      </c>
      <c r="B5906" t="str">
        <f>"1578729811329378"</f>
        <v>1578729811329378</v>
      </c>
      <c r="C5906" t="s">
        <v>37</v>
      </c>
      <c r="D5906">
        <v>4.738461</v>
      </c>
      <c r="E5906">
        <v>0.39843489999999998</v>
      </c>
      <c r="F5906" t="s">
        <v>42</v>
      </c>
      <c r="G5906">
        <v>-199.93039999999999</v>
      </c>
      <c r="H5906">
        <v>1.0701099999999999</v>
      </c>
      <c r="I5906">
        <v>-61.673749999999998</v>
      </c>
      <c r="J5906">
        <v>-200.52449999999999</v>
      </c>
      <c r="K5906">
        <v>1.107712</v>
      </c>
      <c r="L5906">
        <v>-62.171419999999998</v>
      </c>
      <c r="M5906">
        <v>0.99768959999999995</v>
      </c>
      <c r="N5906">
        <v>0</v>
      </c>
      <c r="O5906">
        <v>6.6367860000000001E-2</v>
      </c>
      <c r="P5906">
        <v>0.93186369999999896</v>
      </c>
      <c r="Q5906">
        <v>-3.4941069999999998E-2</v>
      </c>
      <c r="R5906">
        <v>0.36112240000000001</v>
      </c>
      <c r="S5906">
        <v>2.5101779999999998</v>
      </c>
      <c r="T5906">
        <v>-0.1353055</v>
      </c>
      <c r="U5906">
        <v>1.8290709999999999</v>
      </c>
      <c r="V5906">
        <v>-0.29830309999999999</v>
      </c>
      <c r="W5906">
        <v>-2.3386259999999999E-2</v>
      </c>
      <c r="X5906">
        <v>0.9541847</v>
      </c>
      <c r="Y5906">
        <v>-0.53352489999999997</v>
      </c>
      <c r="Z5906">
        <v>9.6695059999999996E-3</v>
      </c>
      <c r="AA5906">
        <v>0.84572909999999901</v>
      </c>
      <c r="AB5906">
        <v>20</v>
      </c>
      <c r="AC5906">
        <v>0.59409999999999696</v>
      </c>
      <c r="AD5906">
        <v>-3.7601999999999899E-2</v>
      </c>
      <c r="AE5906">
        <v>0.497669999999999</v>
      </c>
      <c r="AF5906">
        <v>-0.45606561675278701</v>
      </c>
      <c r="AG5906">
        <v>-3.7601999999999899E-2</v>
      </c>
      <c r="AH5906">
        <v>0.62435288522090004</v>
      </c>
      <c r="AI5906">
        <v>92.784255519776096</v>
      </c>
      <c r="AJ5906">
        <v>126.146682333161</v>
      </c>
      <c r="AK5906">
        <v>0.77409707561245999</v>
      </c>
    </row>
    <row r="5907" spans="1:37" x14ac:dyDescent="0.2">
      <c r="A5907" t="str">
        <f>"20200111160331351"</f>
        <v>20200111160331351</v>
      </c>
      <c r="B5907" t="str">
        <f>"1578729811348898"</f>
        <v>1578729811348898</v>
      </c>
      <c r="C5907" t="s">
        <v>37</v>
      </c>
      <c r="D5907">
        <v>4.7504119999999999</v>
      </c>
      <c r="E5907">
        <v>0.40230719999999998</v>
      </c>
      <c r="F5907" t="s">
        <v>42</v>
      </c>
      <c r="G5907">
        <v>-199.76730000000001</v>
      </c>
      <c r="H5907">
        <v>1.06556299999999</v>
      </c>
      <c r="I5907">
        <v>-61.615310000000001</v>
      </c>
      <c r="J5907">
        <v>-200.4195</v>
      </c>
      <c r="K5907">
        <v>1.107772</v>
      </c>
      <c r="L5907">
        <v>-62.161099999999998</v>
      </c>
      <c r="M5907">
        <v>0.99748669999999995</v>
      </c>
      <c r="N5907">
        <v>0</v>
      </c>
      <c r="O5907">
        <v>6.9349129999999995E-2</v>
      </c>
      <c r="P5907">
        <v>0.92977919999999903</v>
      </c>
      <c r="Q5907">
        <v>-3.6144320000000001E-2</v>
      </c>
      <c r="R5907">
        <v>0.36633899999999903</v>
      </c>
      <c r="S5907">
        <v>2.5020449999999999</v>
      </c>
      <c r="T5907">
        <v>-0.13927590000000001</v>
      </c>
      <c r="U5907">
        <v>1.8375549999999901</v>
      </c>
      <c r="V5907">
        <v>-0.30078670000000002</v>
      </c>
      <c r="W5907">
        <v>-2.465519E-2</v>
      </c>
      <c r="X5907">
        <v>0.95337269999999896</v>
      </c>
      <c r="Y5907">
        <v>-0.53414609999999996</v>
      </c>
      <c r="Z5907">
        <v>9.8394729999999996E-3</v>
      </c>
      <c r="AA5907">
        <v>0.8453349</v>
      </c>
      <c r="AB5907">
        <v>20</v>
      </c>
      <c r="AC5907">
        <v>0.65219999999999301</v>
      </c>
      <c r="AD5907">
        <v>-4.2209000000000101E-2</v>
      </c>
      <c r="AE5907">
        <v>0.545789999999996</v>
      </c>
      <c r="AF5907">
        <v>-0.498014662307255</v>
      </c>
      <c r="AG5907">
        <v>-4.2209000000000101E-2</v>
      </c>
      <c r="AH5907">
        <v>0.68679173240718205</v>
      </c>
      <c r="AI5907">
        <v>92.848351079647102</v>
      </c>
      <c r="AJ5907">
        <v>125.947068890366</v>
      </c>
      <c r="AK5907">
        <v>0.84940160540045395</v>
      </c>
    </row>
    <row r="5908" spans="1:37" x14ac:dyDescent="0.2">
      <c r="A5908" t="str">
        <f>"20200111160331364"</f>
        <v>20200111160331364</v>
      </c>
      <c r="B5908" t="str">
        <f>"1578729811358658"</f>
        <v>1578729811358658</v>
      </c>
      <c r="C5908" t="s">
        <v>37</v>
      </c>
      <c r="D5908">
        <v>4.7676470000000002</v>
      </c>
      <c r="E5908">
        <v>0.40306310000000001</v>
      </c>
      <c r="F5908" t="s">
        <v>74</v>
      </c>
      <c r="G5908">
        <v>-168.45060000000001</v>
      </c>
      <c r="H5908">
        <v>0.60825629999999997</v>
      </c>
      <c r="I5908">
        <v>-38.847839999999998</v>
      </c>
      <c r="J5908">
        <v>-200.30240000000001</v>
      </c>
      <c r="K5908">
        <v>1.1078459999999899</v>
      </c>
      <c r="L5908">
        <v>-62.149019999999901</v>
      </c>
      <c r="M5908">
        <v>0.99724179999999996</v>
      </c>
      <c r="N5908">
        <v>0</v>
      </c>
      <c r="O5908">
        <v>7.2783230000000004E-2</v>
      </c>
      <c r="P5908">
        <v>0.92767520000000003</v>
      </c>
      <c r="Q5908">
        <v>-3.7314109999999998E-2</v>
      </c>
      <c r="R5908">
        <v>0.3715193</v>
      </c>
      <c r="S5908">
        <v>2.5052340000000002</v>
      </c>
      <c r="T5908">
        <v>-3.9145949999999999E-2</v>
      </c>
      <c r="U5908">
        <v>1.82693499999999</v>
      </c>
      <c r="V5908">
        <v>-0.30280949999999901</v>
      </c>
      <c r="W5908">
        <v>-2.5892809999999999E-2</v>
      </c>
      <c r="X5908">
        <v>0.95269930000000003</v>
      </c>
      <c r="Y5908">
        <v>-0.52880240000000001</v>
      </c>
      <c r="Z5908">
        <v>2.6825590000000002E-3</v>
      </c>
      <c r="AA5908">
        <v>0.84874079999999996</v>
      </c>
      <c r="AB5908">
        <v>20</v>
      </c>
      <c r="AC5908">
        <v>31.851800000000001</v>
      </c>
      <c r="AD5908">
        <v>-0.49958969999999903</v>
      </c>
      <c r="AE5908">
        <v>23.301179999999899</v>
      </c>
      <c r="AF5908">
        <v>-20.917493111676102</v>
      </c>
      <c r="AG5908">
        <v>-0.49958969999999903</v>
      </c>
      <c r="AH5908">
        <v>33.458056948737998</v>
      </c>
      <c r="AI5908">
        <v>90.7253889830356</v>
      </c>
      <c r="AJ5908">
        <v>122.013026733369</v>
      </c>
      <c r="AK5908">
        <v>39.461787627150898</v>
      </c>
    </row>
    <row r="5909" spans="1:37" x14ac:dyDescent="0.2">
      <c r="A5909" t="str">
        <f>"20200111160331377"</f>
        <v>20200111160331377</v>
      </c>
      <c r="B5909" t="str">
        <f>"1578729811369394"</f>
        <v>1578729811369394</v>
      </c>
      <c r="C5909" t="s">
        <v>37</v>
      </c>
      <c r="D5909">
        <v>4.6957829999999996</v>
      </c>
      <c r="E5909">
        <v>0.4038542</v>
      </c>
      <c r="F5909" t="s">
        <v>74</v>
      </c>
      <c r="G5909">
        <v>-168.45060000000001</v>
      </c>
      <c r="H5909">
        <v>0.46903610000000001</v>
      </c>
      <c r="I5909">
        <v>-38.740650000000002</v>
      </c>
      <c r="J5909">
        <v>-200.19399999999999</v>
      </c>
      <c r="K5909">
        <v>1.1079209999999999</v>
      </c>
      <c r="L5909">
        <v>-62.137390000000003</v>
      </c>
      <c r="M5909">
        <v>0.99699850000000001</v>
      </c>
      <c r="N5909">
        <v>0</v>
      </c>
      <c r="O5909">
        <v>7.6041629999999999E-2</v>
      </c>
      <c r="P5909">
        <v>0.92562649999999902</v>
      </c>
      <c r="Q5909">
        <v>-3.8071649999999999E-2</v>
      </c>
      <c r="R5909">
        <v>0.37651859999999998</v>
      </c>
      <c r="S5909">
        <v>2.49696399999999</v>
      </c>
      <c r="T5909">
        <v>-5.0079819999999997E-2</v>
      </c>
      <c r="U5909">
        <v>1.8350519999999999</v>
      </c>
      <c r="V5909">
        <v>-0.30482609999999999</v>
      </c>
      <c r="W5909">
        <v>-2.6716050000000002E-2</v>
      </c>
      <c r="X5909">
        <v>0.95203329999999997</v>
      </c>
      <c r="Y5909">
        <v>-0.52913750000000004</v>
      </c>
      <c r="Z5909">
        <v>3.3834939999999999E-3</v>
      </c>
      <c r="AA5909">
        <v>0.84852929999999904</v>
      </c>
      <c r="AB5909">
        <v>20</v>
      </c>
      <c r="AC5909">
        <v>31.743400000000001</v>
      </c>
      <c r="AD5909">
        <v>-0.63888489999999898</v>
      </c>
      <c r="AE5909">
        <v>23.396740000000001</v>
      </c>
      <c r="AF5909">
        <v>-20.9094200042898</v>
      </c>
      <c r="AG5909">
        <v>-0.63888489999999898</v>
      </c>
      <c r="AH5909">
        <v>33.422013924121899</v>
      </c>
      <c r="AI5909">
        <v>90.928429474820007</v>
      </c>
      <c r="AJ5909">
        <v>122.030846642968</v>
      </c>
      <c r="AK5909">
        <v>39.428961862765803</v>
      </c>
    </row>
    <row r="5910" spans="1:37" x14ac:dyDescent="0.2">
      <c r="A5910" t="str">
        <f>"20200111160331391"</f>
        <v>20200111160331391</v>
      </c>
      <c r="B5910" t="str">
        <f>"1578729811388915"</f>
        <v>1578729811388915</v>
      </c>
      <c r="C5910" t="s">
        <v>37</v>
      </c>
      <c r="D5910">
        <v>4.750813</v>
      </c>
      <c r="E5910">
        <v>0.40514929999999999</v>
      </c>
      <c r="F5910" t="s">
        <v>74</v>
      </c>
      <c r="G5910">
        <v>-168.45060000000001</v>
      </c>
      <c r="H5910">
        <v>0.43203350000000001</v>
      </c>
      <c r="I5910">
        <v>-38.63926</v>
      </c>
      <c r="J5910">
        <v>-200.0685</v>
      </c>
      <c r="K5910">
        <v>1.1080049999999999</v>
      </c>
      <c r="L5910">
        <v>-62.123469999999998</v>
      </c>
      <c r="M5910">
        <v>0.99669779999999997</v>
      </c>
      <c r="N5910">
        <v>0</v>
      </c>
      <c r="O5910">
        <v>7.9882850000000005E-2</v>
      </c>
      <c r="P5910">
        <v>0.92255569999999898</v>
      </c>
      <c r="Q5910">
        <v>-3.9087999999999998E-2</v>
      </c>
      <c r="R5910">
        <v>0.38387929999999998</v>
      </c>
      <c r="S5910">
        <v>2.4893040000000002</v>
      </c>
      <c r="T5910">
        <v>-5.3004499999999899E-2</v>
      </c>
      <c r="U5910">
        <v>1.8427119999999999</v>
      </c>
      <c r="V5910">
        <v>-0.3087259</v>
      </c>
      <c r="W5910">
        <v>-2.7830609999999999E-2</v>
      </c>
      <c r="X5910">
        <v>0.95074380000000003</v>
      </c>
      <c r="Y5910">
        <v>-0.52879509999999996</v>
      </c>
      <c r="Z5910">
        <v>3.5120020000000002E-3</v>
      </c>
      <c r="AA5910">
        <v>0.848742199999999</v>
      </c>
      <c r="AB5910">
        <v>20</v>
      </c>
      <c r="AC5910">
        <v>31.617899999999899</v>
      </c>
      <c r="AD5910">
        <v>-0.67597149999999995</v>
      </c>
      <c r="AE5910">
        <v>23.484210000000001</v>
      </c>
      <c r="AF5910">
        <v>-20.876998822072299</v>
      </c>
      <c r="AG5910">
        <v>-0.67597149999999995</v>
      </c>
      <c r="AH5910">
        <v>33.383186915299703</v>
      </c>
      <c r="AI5910">
        <v>90.9835635091368</v>
      </c>
      <c r="AJ5910">
        <v>122.020816722223</v>
      </c>
      <c r="AK5910">
        <v>39.379476709416203</v>
      </c>
    </row>
    <row r="5911" spans="1:37" x14ac:dyDescent="0.2">
      <c r="A5911" t="str">
        <f>"20200111160331403"</f>
        <v>20200111160331403</v>
      </c>
      <c r="B5911" t="str">
        <f>"1578729811398674"</f>
        <v>1578729811398674</v>
      </c>
      <c r="C5911" t="s">
        <v>37</v>
      </c>
      <c r="D5911">
        <v>4.7409480000000004</v>
      </c>
      <c r="E5911">
        <v>0.40568070000000001</v>
      </c>
      <c r="F5911" t="s">
        <v>74</v>
      </c>
      <c r="G5911">
        <v>-168.45060000000001</v>
      </c>
      <c r="H5911">
        <v>0.107459999999999</v>
      </c>
      <c r="I5911">
        <v>-38.492049999999999</v>
      </c>
      <c r="J5911">
        <v>-199.96209999999999</v>
      </c>
      <c r="K5911">
        <v>1.108082</v>
      </c>
      <c r="L5911">
        <v>-62.111080000000001</v>
      </c>
      <c r="M5911">
        <v>0.996422699999999</v>
      </c>
      <c r="N5911">
        <v>0</v>
      </c>
      <c r="O5911">
        <v>8.3241850000000006E-2</v>
      </c>
      <c r="P5911">
        <v>0.92049939999999997</v>
      </c>
      <c r="Q5911">
        <v>-3.9564830000000002E-2</v>
      </c>
      <c r="R5911">
        <v>0.38873579999999902</v>
      </c>
      <c r="S5911">
        <v>2.4778899999999999</v>
      </c>
      <c r="T5911">
        <v>-7.8414079999999997E-2</v>
      </c>
      <c r="U5911">
        <v>1.85199</v>
      </c>
      <c r="V5911">
        <v>-0.31052259999999998</v>
      </c>
      <c r="W5911">
        <v>-2.8372399999999999E-2</v>
      </c>
      <c r="X5911">
        <v>0.95014240000000005</v>
      </c>
      <c r="Y5911">
        <v>-0.52976639999999997</v>
      </c>
      <c r="Z5911">
        <v>5.12984599999999E-3</v>
      </c>
      <c r="AA5911">
        <v>0.84812809999999905</v>
      </c>
      <c r="AB5911">
        <v>20</v>
      </c>
      <c r="AC5911">
        <v>31.511499999999899</v>
      </c>
      <c r="AD5911">
        <v>-1.0006219999999999</v>
      </c>
      <c r="AE5911">
        <v>23.619029999999999</v>
      </c>
      <c r="AF5911">
        <v>-20.900191782243201</v>
      </c>
      <c r="AG5911">
        <v>-1.0006219999999999</v>
      </c>
      <c r="AH5911">
        <v>33.346883552679301</v>
      </c>
      <c r="AI5911">
        <v>91.456454338566601</v>
      </c>
      <c r="AJ5911">
        <v>122.077469169973</v>
      </c>
      <c r="AK5911">
        <v>39.367929887122401</v>
      </c>
    </row>
    <row r="5912" spans="1:37" x14ac:dyDescent="0.2">
      <c r="A5912" t="str">
        <f>"20200111160331415"</f>
        <v>20200111160331415</v>
      </c>
      <c r="B5912" t="str">
        <f>"1578729811409410"</f>
        <v>1578729811409410</v>
      </c>
      <c r="C5912" t="s">
        <v>37</v>
      </c>
      <c r="D5912">
        <v>4.7333769999999999</v>
      </c>
      <c r="E5912">
        <v>0.40568070000000001</v>
      </c>
      <c r="F5912" t="s">
        <v>39</v>
      </c>
      <c r="G5912">
        <v>-166.25470000000001</v>
      </c>
      <c r="H5912">
        <v>-0.05</v>
      </c>
      <c r="I5912">
        <v>-36.70975</v>
      </c>
      <c r="J5912">
        <v>-199.86330000000001</v>
      </c>
      <c r="K5912">
        <v>1.108147</v>
      </c>
      <c r="L5912">
        <v>-62.099240000000002</v>
      </c>
      <c r="M5912">
        <v>0.99615229999999999</v>
      </c>
      <c r="N5912">
        <v>0</v>
      </c>
      <c r="O5912">
        <v>8.6415370000000005E-2</v>
      </c>
      <c r="P5912">
        <v>0.91847659999999998</v>
      </c>
      <c r="Q5912">
        <v>-4.0211799999999999E-2</v>
      </c>
      <c r="R5912">
        <v>0.39342579999999999</v>
      </c>
      <c r="S5912">
        <v>2.4695279999999999</v>
      </c>
      <c r="T5912">
        <v>-8.4845190000000001E-2</v>
      </c>
      <c r="U5912">
        <v>1.86099199999999</v>
      </c>
      <c r="V5912">
        <v>-0.31233349999999999</v>
      </c>
      <c r="W5912">
        <v>-2.908146E-2</v>
      </c>
      <c r="X5912">
        <v>0.94952729999999996</v>
      </c>
      <c r="Y5912">
        <v>-0.53039219999999998</v>
      </c>
      <c r="Z5912">
        <v>5.474474E-3</v>
      </c>
      <c r="AA5912">
        <v>0.84773469999999995</v>
      </c>
      <c r="AB5912">
        <v>20</v>
      </c>
      <c r="AC5912">
        <v>33.608600000000003</v>
      </c>
      <c r="AD5912">
        <v>-1.158147</v>
      </c>
      <c r="AE5912">
        <v>25.389489999999999</v>
      </c>
      <c r="AF5912">
        <v>-22.372969246962199</v>
      </c>
      <c r="AG5912">
        <v>-1.158147</v>
      </c>
      <c r="AH5912">
        <v>35.650173542980703</v>
      </c>
      <c r="AI5912">
        <v>91.576188121680403</v>
      </c>
      <c r="AJ5912">
        <v>122.111136954598</v>
      </c>
      <c r="AK5912">
        <v>42.104939508848297</v>
      </c>
    </row>
    <row r="5913" spans="1:37" x14ac:dyDescent="0.2">
      <c r="A5913" t="str">
        <f>"20200111160331426"</f>
        <v>20200111160331426</v>
      </c>
      <c r="B5913" t="str">
        <f>"1578729811419170"</f>
        <v>1578729811419170</v>
      </c>
      <c r="C5913" t="s">
        <v>37</v>
      </c>
      <c r="D5913">
        <v>4.7157739999999997</v>
      </c>
      <c r="E5913">
        <v>0.41081699999999999</v>
      </c>
      <c r="F5913" t="s">
        <v>39</v>
      </c>
      <c r="G5913">
        <v>-167.01179999999999</v>
      </c>
      <c r="H5913">
        <v>-0.05</v>
      </c>
      <c r="I5913">
        <v>-37.078400000000002</v>
      </c>
      <c r="J5913">
        <v>-199.7543</v>
      </c>
      <c r="K5913">
        <v>1.1082179999999999</v>
      </c>
      <c r="L5913">
        <v>-62.08578</v>
      </c>
      <c r="M5913">
        <v>0.99583670000000002</v>
      </c>
      <c r="N5913">
        <v>0</v>
      </c>
      <c r="O5913">
        <v>8.9978550000000004E-2</v>
      </c>
      <c r="P5913">
        <v>0.91644389999999998</v>
      </c>
      <c r="Q5913">
        <v>-4.0421930000000002E-2</v>
      </c>
      <c r="R5913">
        <v>0.39811629999999998</v>
      </c>
      <c r="S5913">
        <v>2.4599299999999999</v>
      </c>
      <c r="T5913">
        <v>-8.6722250000000001E-2</v>
      </c>
      <c r="U5913">
        <v>1.8735660000000001</v>
      </c>
      <c r="V5913">
        <v>-0.31378349999999999</v>
      </c>
      <c r="W5913">
        <v>-2.93519E-2</v>
      </c>
      <c r="X5913">
        <v>0.94904080000000002</v>
      </c>
      <c r="Y5913">
        <v>-0.53168879999999996</v>
      </c>
      <c r="Z5913">
        <v>5.5163199999999999E-3</v>
      </c>
      <c r="AA5913">
        <v>0.84692179999999995</v>
      </c>
      <c r="AB5913">
        <v>20</v>
      </c>
      <c r="AC5913">
        <v>32.7425</v>
      </c>
      <c r="AD5913">
        <v>-1.158218</v>
      </c>
      <c r="AE5913">
        <v>25.007380000000001</v>
      </c>
      <c r="AF5913">
        <v>-21.942143669751701</v>
      </c>
      <c r="AG5913">
        <v>-1.158218</v>
      </c>
      <c r="AH5913">
        <v>34.832498203788496</v>
      </c>
      <c r="AI5913">
        <v>91.611551598698099</v>
      </c>
      <c r="AJ5913">
        <v>122.208183757596</v>
      </c>
      <c r="AK5913">
        <v>41.183759771012603</v>
      </c>
    </row>
    <row r="5914" spans="1:37" x14ac:dyDescent="0.2">
      <c r="A5914" t="str">
        <f>"20200111160331438"</f>
        <v>20200111160331438</v>
      </c>
      <c r="B5914" t="str">
        <f>"1578729811428930"</f>
        <v>1578729811428930</v>
      </c>
      <c r="C5914" t="s">
        <v>37</v>
      </c>
      <c r="D5914">
        <v>4.7565929999999996</v>
      </c>
      <c r="E5914">
        <v>0.41104809999999897</v>
      </c>
      <c r="F5914" t="s">
        <v>42</v>
      </c>
      <c r="G5914">
        <v>-199.06</v>
      </c>
      <c r="H5914">
        <v>1.068614</v>
      </c>
      <c r="I5914">
        <v>-61.565840000000001</v>
      </c>
      <c r="J5914">
        <v>-199.65559999999999</v>
      </c>
      <c r="K5914">
        <v>1.1082860000000001</v>
      </c>
      <c r="L5914">
        <v>-62.073</v>
      </c>
      <c r="M5914">
        <v>0.99553099999999894</v>
      </c>
      <c r="N5914">
        <v>0</v>
      </c>
      <c r="O5914">
        <v>9.3298899999999907E-2</v>
      </c>
      <c r="P5914">
        <v>0.91436580000000001</v>
      </c>
      <c r="Q5914">
        <v>-4.082653E-2</v>
      </c>
      <c r="R5914">
        <v>0.40282560000000001</v>
      </c>
      <c r="S5914">
        <v>2.4653320000000001</v>
      </c>
      <c r="T5914">
        <v>-0.14061560000000001</v>
      </c>
      <c r="U5914">
        <v>1.8461609999999999</v>
      </c>
      <c r="V5914">
        <v>-0.31549290000000002</v>
      </c>
      <c r="W5914">
        <v>-2.981698E-2</v>
      </c>
      <c r="X5914">
        <v>0.94845939999999995</v>
      </c>
      <c r="Y5914">
        <v>-0.52166769999999996</v>
      </c>
      <c r="Z5914">
        <v>8.5324809999999997E-3</v>
      </c>
      <c r="AA5914">
        <v>0.85310609999999998</v>
      </c>
      <c r="AB5914">
        <v>20</v>
      </c>
      <c r="AC5914">
        <v>0.59559999999999003</v>
      </c>
      <c r="AD5914">
        <v>-3.9672000000000103E-2</v>
      </c>
      <c r="AE5914">
        <v>0.50715999999999894</v>
      </c>
      <c r="AF5914">
        <v>-0.44821984440493001</v>
      </c>
      <c r="AG5914">
        <v>-3.9672000000000103E-2</v>
      </c>
      <c r="AH5914">
        <v>0.63868142561974195</v>
      </c>
      <c r="AI5914">
        <v>92.910651710018101</v>
      </c>
      <c r="AJ5914">
        <v>125.06077053451401</v>
      </c>
      <c r="AK5914">
        <v>0.78127386999313198</v>
      </c>
    </row>
    <row r="5915" spans="1:37" x14ac:dyDescent="0.2">
      <c r="A5915" t="str">
        <f>"20200111160331450"</f>
        <v>20200111160331450</v>
      </c>
      <c r="B5915" t="str">
        <f>"1578729811438691"</f>
        <v>1578729811438691</v>
      </c>
      <c r="C5915" t="s">
        <v>37</v>
      </c>
      <c r="D5915">
        <v>4.7227569999999996</v>
      </c>
      <c r="E5915">
        <v>0.410977499999999</v>
      </c>
      <c r="F5915" t="s">
        <v>42</v>
      </c>
      <c r="G5915">
        <v>-198.90099999999899</v>
      </c>
      <c r="H5915">
        <v>1.0668029999999999</v>
      </c>
      <c r="I5915">
        <v>-61.50264</v>
      </c>
      <c r="J5915">
        <v>-199.548</v>
      </c>
      <c r="K5915">
        <v>1.108358</v>
      </c>
      <c r="L5915">
        <v>-62.058810000000001</v>
      </c>
      <c r="M5915">
        <v>0.99518069999999903</v>
      </c>
      <c r="N5915">
        <v>0</v>
      </c>
      <c r="O5915">
        <v>9.6960459999999998E-2</v>
      </c>
      <c r="P5915">
        <v>0.91224139999999998</v>
      </c>
      <c r="Q5915">
        <v>-4.1004819999999997E-2</v>
      </c>
      <c r="R5915">
        <v>0.40759570000000001</v>
      </c>
      <c r="S5915">
        <v>2.4566650000000001</v>
      </c>
      <c r="T5915">
        <v>-0.13505790000000001</v>
      </c>
      <c r="U5915">
        <v>1.8574219999999999</v>
      </c>
      <c r="V5915">
        <v>-0.31695099999999998</v>
      </c>
      <c r="W5915">
        <v>-3.0056349999999999E-2</v>
      </c>
      <c r="X5915">
        <v>0.94796559999999896</v>
      </c>
      <c r="Y5915">
        <v>-0.52250180000000002</v>
      </c>
      <c r="Z5915">
        <v>8.054093E-3</v>
      </c>
      <c r="AA5915">
        <v>0.85260009999999997</v>
      </c>
      <c r="AB5915">
        <v>20</v>
      </c>
      <c r="AC5915">
        <v>0.647000000000019</v>
      </c>
      <c r="AD5915">
        <v>-4.1554999999999703E-2</v>
      </c>
      <c r="AE5915">
        <v>0.55617000000000105</v>
      </c>
      <c r="AF5915">
        <v>-0.489647212587901</v>
      </c>
      <c r="AG5915">
        <v>-4.1554999999999703E-2</v>
      </c>
      <c r="AH5915">
        <v>0.69623149200837098</v>
      </c>
      <c r="AI5915">
        <v>92.7950155478688</v>
      </c>
      <c r="AJ5915">
        <v>125.118037743614</v>
      </c>
      <c r="AK5915">
        <v>0.85218513322182698</v>
      </c>
    </row>
    <row r="5916" spans="1:37" x14ac:dyDescent="0.2">
      <c r="A5916" t="str">
        <f>"20200111160331462"</f>
        <v>20200111160331462</v>
      </c>
      <c r="B5916" t="str">
        <f>"1578729811459187"</f>
        <v>1578729811459187</v>
      </c>
      <c r="C5916" t="s">
        <v>37</v>
      </c>
      <c r="D5916">
        <v>4.7783819999999997</v>
      </c>
      <c r="E5916">
        <v>0.4120122</v>
      </c>
      <c r="F5916" t="s">
        <v>42</v>
      </c>
      <c r="G5916">
        <v>-198.74109999999999</v>
      </c>
      <c r="H5916">
        <v>1.0633509999999999</v>
      </c>
      <c r="I5916">
        <v>-61.441919999999897</v>
      </c>
      <c r="J5916">
        <v>-199.44759999999999</v>
      </c>
      <c r="K5916">
        <v>1.108428</v>
      </c>
      <c r="L5916">
        <v>-62.044919999999998</v>
      </c>
      <c r="M5916">
        <v>0.99483069999999896</v>
      </c>
      <c r="N5916">
        <v>0</v>
      </c>
      <c r="O5916">
        <v>0.1004863</v>
      </c>
      <c r="P5916">
        <v>0.91017219999999999</v>
      </c>
      <c r="Q5916">
        <v>-4.116007E-2</v>
      </c>
      <c r="R5916">
        <v>0.412180199999999</v>
      </c>
      <c r="S5916">
        <v>2.446609</v>
      </c>
      <c r="T5916">
        <v>-0.13646539999999999</v>
      </c>
      <c r="U5916">
        <v>1.8707279999999999</v>
      </c>
      <c r="V5916">
        <v>-0.31835439999999998</v>
      </c>
      <c r="W5916">
        <v>-3.0270180000000001E-2</v>
      </c>
      <c r="X5916">
        <v>0.94748840000000001</v>
      </c>
      <c r="Y5916">
        <v>-0.5240901</v>
      </c>
      <c r="Z5916">
        <v>8.0216260000000005E-3</v>
      </c>
      <c r="AA5916">
        <v>0.85162510000000002</v>
      </c>
      <c r="AB5916">
        <v>20</v>
      </c>
      <c r="AC5916">
        <v>0.70650000000000501</v>
      </c>
      <c r="AD5916">
        <v>-4.5076999999999999E-2</v>
      </c>
      <c r="AE5916">
        <v>0.60300000000000098</v>
      </c>
      <c r="AF5916">
        <v>-0.52770320548830996</v>
      </c>
      <c r="AG5916">
        <v>-4.5076999999999999E-2</v>
      </c>
      <c r="AH5916">
        <v>0.76172896547450197</v>
      </c>
      <c r="AI5916">
        <v>92.784929937847807</v>
      </c>
      <c r="AJ5916">
        <v>124.713067428077</v>
      </c>
      <c r="AK5916">
        <v>0.92775730978230098</v>
      </c>
    </row>
    <row r="5917" spans="1:37" x14ac:dyDescent="0.2">
      <c r="A5917" t="str">
        <f>"20200111160331473"</f>
        <v>20200111160331473</v>
      </c>
      <c r="B5917" t="str">
        <f>"1578729811468946"</f>
        <v>1578729811468946</v>
      </c>
      <c r="C5917" t="s">
        <v>37</v>
      </c>
      <c r="D5917">
        <v>4.7854219999999996</v>
      </c>
      <c r="E5917">
        <v>0.41237879999999899</v>
      </c>
      <c r="F5917" t="s">
        <v>42</v>
      </c>
      <c r="G5917">
        <v>-198.72540000000001</v>
      </c>
      <c r="H5917">
        <v>1.067876</v>
      </c>
      <c r="I5917">
        <v>-61.490109999999902</v>
      </c>
      <c r="J5917">
        <v>-199.3442</v>
      </c>
      <c r="K5917">
        <v>1.1084969999999901</v>
      </c>
      <c r="L5917">
        <v>-62.030329999999999</v>
      </c>
      <c r="M5917">
        <v>0.99445190000000006</v>
      </c>
      <c r="N5917">
        <v>0</v>
      </c>
      <c r="O5917">
        <v>0.10416499999999999</v>
      </c>
      <c r="P5917">
        <v>0.907968</v>
      </c>
      <c r="Q5917">
        <v>-4.0850490000000003E-2</v>
      </c>
      <c r="R5917">
        <v>0.41704350000000001</v>
      </c>
      <c r="S5917">
        <v>2.440582</v>
      </c>
      <c r="T5917">
        <v>-0.1370545</v>
      </c>
      <c r="U5917">
        <v>1.8754580000000001</v>
      </c>
      <c r="V5917">
        <v>-0.31991459999999999</v>
      </c>
      <c r="W5917">
        <v>-3.0022090000000001E-2</v>
      </c>
      <c r="X5917">
        <v>0.9469706</v>
      </c>
      <c r="Y5917">
        <v>-0.52299359999999995</v>
      </c>
      <c r="Z5917">
        <v>7.8619090000000003E-3</v>
      </c>
      <c r="AA5917">
        <v>0.85230030000000001</v>
      </c>
      <c r="AB5917">
        <v>20</v>
      </c>
      <c r="AC5917">
        <v>0.61879999999999302</v>
      </c>
      <c r="AD5917">
        <v>-4.0620999999999803E-2</v>
      </c>
      <c r="AE5917">
        <v>0.54022000000001202</v>
      </c>
      <c r="AF5917">
        <v>-0.47166292575979701</v>
      </c>
      <c r="AG5917">
        <v>-4.0620999999999803E-2</v>
      </c>
      <c r="AH5917">
        <v>0.67007246448267799</v>
      </c>
      <c r="AI5917">
        <v>92.837963612317097</v>
      </c>
      <c r="AJ5917">
        <v>125.14165253925199</v>
      </c>
      <c r="AK5917">
        <v>0.82043469504597499</v>
      </c>
    </row>
    <row r="5918" spans="1:37" x14ac:dyDescent="0.2">
      <c r="A5918" t="str">
        <f>"20200111160331484"</f>
        <v>20200111160331484</v>
      </c>
      <c r="B5918" t="str">
        <f>"1578729811478706"</f>
        <v>1578729811478706</v>
      </c>
      <c r="C5918" t="s">
        <v>37</v>
      </c>
      <c r="D5918">
        <v>4.8995430000000004</v>
      </c>
      <c r="E5918">
        <v>0.4117441</v>
      </c>
      <c r="F5918" t="s">
        <v>42</v>
      </c>
      <c r="G5918">
        <v>-198.56659999999999</v>
      </c>
      <c r="H5918">
        <v>1.0658319999999999</v>
      </c>
      <c r="I5918">
        <v>-61.427399999999999</v>
      </c>
      <c r="J5918">
        <v>-199.24639999999999</v>
      </c>
      <c r="K5918">
        <v>1.108563</v>
      </c>
      <c r="L5918">
        <v>-62.016080000000002</v>
      </c>
      <c r="M5918">
        <v>0.99407389999999995</v>
      </c>
      <c r="N5918">
        <v>0</v>
      </c>
      <c r="O5918">
        <v>0.10771310000000001</v>
      </c>
      <c r="P5918">
        <v>0.90577070000000004</v>
      </c>
      <c r="Q5918">
        <v>-3.9718549999999998E-2</v>
      </c>
      <c r="R5918">
        <v>0.42190290000000003</v>
      </c>
      <c r="S5918">
        <v>2.431854</v>
      </c>
      <c r="T5918">
        <v>-0.13342909999999999</v>
      </c>
      <c r="U5918">
        <v>1.8858950000000001</v>
      </c>
      <c r="V5918">
        <v>-0.32160859999999902</v>
      </c>
      <c r="W5918">
        <v>-2.8950409999999999E-2</v>
      </c>
      <c r="X5918">
        <v>0.94642999999999899</v>
      </c>
      <c r="Y5918">
        <v>-0.5237406</v>
      </c>
      <c r="Z5918">
        <v>7.5173799999999997E-3</v>
      </c>
      <c r="AA5918">
        <v>0.85184459999999995</v>
      </c>
      <c r="AB5918">
        <v>20</v>
      </c>
      <c r="AC5918">
        <v>0.67979999999999996</v>
      </c>
      <c r="AD5918">
        <v>-4.2730999999999998E-2</v>
      </c>
      <c r="AE5918">
        <v>0.58868000000000298</v>
      </c>
      <c r="AF5918">
        <v>-0.51086957960947699</v>
      </c>
      <c r="AG5918">
        <v>-4.2730999999999998E-2</v>
      </c>
      <c r="AH5918">
        <v>0.73759400064524805</v>
      </c>
      <c r="AI5918">
        <v>92.726659567809406</v>
      </c>
      <c r="AJ5918">
        <v>124.707102260887</v>
      </c>
      <c r="AK5918">
        <v>0.89825306875024102</v>
      </c>
    </row>
    <row r="5919" spans="1:37" x14ac:dyDescent="0.2">
      <c r="A5919" t="str">
        <f>"20200111160331497"</f>
        <v>20200111160331497</v>
      </c>
      <c r="B5919" t="str">
        <f>"1578729811489443"</f>
        <v>1578729811489443</v>
      </c>
      <c r="C5919" t="s">
        <v>37</v>
      </c>
      <c r="D5919">
        <v>5.1240699999999997</v>
      </c>
      <c r="E5919">
        <v>0.4117441</v>
      </c>
      <c r="F5919" t="s">
        <v>42</v>
      </c>
      <c r="G5919">
        <v>-198.5515</v>
      </c>
      <c r="H5919">
        <v>1.0720019999999999</v>
      </c>
      <c r="I5919">
        <v>-61.469559999999902</v>
      </c>
      <c r="J5919">
        <v>-199.14709999999999</v>
      </c>
      <c r="K5919">
        <v>1.1086339999999999</v>
      </c>
      <c r="L5919">
        <v>-62.001069999999999</v>
      </c>
      <c r="M5919">
        <v>0.99366790000000005</v>
      </c>
      <c r="N5919">
        <v>0</v>
      </c>
      <c r="O5919">
        <v>0.11139349999999899</v>
      </c>
      <c r="P5919">
        <v>0.90356899999999996</v>
      </c>
      <c r="Q5919">
        <v>-3.7983280000000001E-2</v>
      </c>
      <c r="R5919">
        <v>0.42675559999999901</v>
      </c>
      <c r="S5919">
        <v>2.4198300000000001</v>
      </c>
      <c r="T5919">
        <v>-0.1273147</v>
      </c>
      <c r="U5919">
        <v>1.9035340000000001</v>
      </c>
      <c r="V5919">
        <v>-0.32318439999999998</v>
      </c>
      <c r="W5919">
        <v>-2.7273140000000001E-2</v>
      </c>
      <c r="X5919">
        <v>0.94594290000000003</v>
      </c>
      <c r="Y5919">
        <v>-0.52651389999999998</v>
      </c>
      <c r="Z5919">
        <v>7.0853460000000002E-3</v>
      </c>
      <c r="AA5919">
        <v>0.85013700000000003</v>
      </c>
      <c r="AB5919">
        <v>20</v>
      </c>
      <c r="AC5919">
        <v>0.59559999999999003</v>
      </c>
      <c r="AD5919">
        <v>-3.6631999999999998E-2</v>
      </c>
      <c r="AE5919">
        <v>0.53151000000000403</v>
      </c>
      <c r="AF5919">
        <v>-0.460877729766349</v>
      </c>
      <c r="AG5919">
        <v>-3.6631999999999998E-2</v>
      </c>
      <c r="AH5919">
        <v>0.64973733542902401</v>
      </c>
      <c r="AI5919">
        <v>92.632926341142706</v>
      </c>
      <c r="AJ5919">
        <v>125.34919476127899</v>
      </c>
      <c r="AK5919">
        <v>0.79743889437937099</v>
      </c>
    </row>
    <row r="5920" spans="1:37" x14ac:dyDescent="0.2">
      <c r="A5920" t="str">
        <f>"20200111160331509"</f>
        <v>20200111160331509</v>
      </c>
      <c r="B5920" t="str">
        <f>"1578729811499203"</f>
        <v>1578729811499203</v>
      </c>
      <c r="C5920" t="s">
        <v>37</v>
      </c>
      <c r="D5920">
        <v>5.006748</v>
      </c>
      <c r="E5920">
        <v>0.40439219999999998</v>
      </c>
      <c r="F5920" t="s">
        <v>42</v>
      </c>
      <c r="G5920">
        <v>-198.3946</v>
      </c>
      <c r="H5920">
        <v>1.0710040000000001</v>
      </c>
      <c r="I5920">
        <v>-61.402630000000002</v>
      </c>
      <c r="J5920">
        <v>-199.0393</v>
      </c>
      <c r="K5920">
        <v>1.1087119999999999</v>
      </c>
      <c r="L5920">
        <v>-61.984529999999999</v>
      </c>
      <c r="M5920">
        <v>0.9932069</v>
      </c>
      <c r="N5920">
        <v>0</v>
      </c>
      <c r="O5920">
        <v>0.11542999999999901</v>
      </c>
      <c r="P5920">
        <v>0.90116309999999999</v>
      </c>
      <c r="Q5920">
        <v>-3.512767E-2</v>
      </c>
      <c r="R5920">
        <v>0.43205470000000001</v>
      </c>
      <c r="S5920">
        <v>2.409897</v>
      </c>
      <c r="T5920">
        <v>-0.12050660000000001</v>
      </c>
      <c r="U5920">
        <v>1.9166259999999999</v>
      </c>
      <c r="V5920">
        <v>-0.32490520000000001</v>
      </c>
      <c r="W5920">
        <v>-2.4480370000000001E-2</v>
      </c>
      <c r="X5920">
        <v>0.94542969999999904</v>
      </c>
      <c r="Y5920">
        <v>-0.5276343</v>
      </c>
      <c r="Z5920">
        <v>6.5705909999999998E-3</v>
      </c>
      <c r="AA5920">
        <v>0.84944619999999904</v>
      </c>
      <c r="AB5920">
        <v>20</v>
      </c>
      <c r="AC5920">
        <v>0.64470000000000005</v>
      </c>
      <c r="AD5920">
        <v>-3.7707999999999998E-2</v>
      </c>
      <c r="AE5920">
        <v>0.58190000000000397</v>
      </c>
      <c r="AF5920">
        <v>-0.50263619365745504</v>
      </c>
      <c r="AG5920">
        <v>-3.7707999999999998E-2</v>
      </c>
      <c r="AH5920">
        <v>0.70623423290769904</v>
      </c>
      <c r="AI5920">
        <v>92.490829210938998</v>
      </c>
      <c r="AJ5920">
        <v>125.439958387231</v>
      </c>
      <c r="AK5920">
        <v>0.86765882014140805</v>
      </c>
    </row>
    <row r="5921" spans="1:37" x14ac:dyDescent="0.2">
      <c r="A5921" t="str">
        <f>"20200111160331522"</f>
        <v>20200111160331522</v>
      </c>
      <c r="B5921" t="str">
        <f>"1578729811518722"</f>
        <v>1578729811518722</v>
      </c>
      <c r="C5921" t="s">
        <v>37</v>
      </c>
      <c r="D5921">
        <v>4.8386139999999997</v>
      </c>
      <c r="E5921">
        <v>0.40439219999999998</v>
      </c>
      <c r="F5921" t="s">
        <v>42</v>
      </c>
      <c r="G5921">
        <v>-198.2047</v>
      </c>
      <c r="H5921">
        <v>1.073499</v>
      </c>
      <c r="I5921">
        <v>-61.28716</v>
      </c>
      <c r="J5921">
        <v>-198.92670000000001</v>
      </c>
      <c r="K5921">
        <v>1.1087940000000001</v>
      </c>
      <c r="L5921">
        <v>-61.96631</v>
      </c>
      <c r="M5921">
        <v>0.99269189999999996</v>
      </c>
      <c r="N5921">
        <v>0</v>
      </c>
      <c r="O5921">
        <v>0.1197767</v>
      </c>
      <c r="P5921">
        <v>0.89873549999999902</v>
      </c>
      <c r="Q5921">
        <v>-3.2871089999999999E-2</v>
      </c>
      <c r="R5921">
        <v>0.43725749999999902</v>
      </c>
      <c r="S5921">
        <v>2.3738860000000002</v>
      </c>
      <c r="T5921">
        <v>-0.1001507</v>
      </c>
      <c r="U5921">
        <v>1.9840089999999999</v>
      </c>
      <c r="V5921">
        <v>-0.32624029999999998</v>
      </c>
      <c r="W5921">
        <v>-2.228262E-2</v>
      </c>
      <c r="X5921">
        <v>0.94502419999999998</v>
      </c>
      <c r="Y5921">
        <v>-0.54453419999999997</v>
      </c>
      <c r="Z5921">
        <v>5.6387169999999997E-3</v>
      </c>
      <c r="AA5921">
        <v>0.83871969999999996</v>
      </c>
      <c r="AB5921">
        <v>20</v>
      </c>
      <c r="AC5921">
        <v>0.72200000000000797</v>
      </c>
      <c r="AD5921">
        <v>-3.5295E-2</v>
      </c>
      <c r="AE5921">
        <v>0.67914999999999903</v>
      </c>
      <c r="AF5921">
        <v>-0.58702722219119596</v>
      </c>
      <c r="AG5921">
        <v>-3.5295E-2</v>
      </c>
      <c r="AH5921">
        <v>0.797145544569133</v>
      </c>
      <c r="AI5921">
        <v>92.041876962562796</v>
      </c>
      <c r="AJ5921">
        <v>126.36836186621299</v>
      </c>
      <c r="AK5921">
        <v>0.99059967486615397</v>
      </c>
    </row>
    <row r="5922" spans="1:37" x14ac:dyDescent="0.2">
      <c r="A5922" t="str">
        <f>"20200111160331694"</f>
        <v>20200111160331694</v>
      </c>
      <c r="B5922" t="str">
        <f>"1578729811689130"</f>
        <v>1578729811689130</v>
      </c>
      <c r="C5922" t="s">
        <v>37</v>
      </c>
      <c r="D5922">
        <v>4.9567269999999999</v>
      </c>
      <c r="E5922">
        <v>0.32375399999999999</v>
      </c>
      <c r="F5922" t="s">
        <v>39</v>
      </c>
      <c r="G5922">
        <v>-169.0566</v>
      </c>
      <c r="H5922">
        <v>-0.05</v>
      </c>
      <c r="I5922">
        <v>-36.710819999999998</v>
      </c>
      <c r="J5922">
        <v>-197.4837</v>
      </c>
      <c r="K5922">
        <v>1.1097840000000001</v>
      </c>
      <c r="L5922">
        <v>-61.676909999999999</v>
      </c>
      <c r="M5922">
        <v>0.98294389999999998</v>
      </c>
      <c r="N5922">
        <v>0</v>
      </c>
      <c r="O5922">
        <v>0.18329779999999901</v>
      </c>
      <c r="P5922">
        <v>0.86949219999999905</v>
      </c>
      <c r="Q5922">
        <v>-4.2110500000000002E-2</v>
      </c>
      <c r="R5922">
        <v>0.49214829999999998</v>
      </c>
      <c r="S5922">
        <v>2.3627319999999998</v>
      </c>
      <c r="T5922">
        <v>-9.1660740000000004E-2</v>
      </c>
      <c r="U5922">
        <v>1.997711</v>
      </c>
      <c r="V5922">
        <v>-0.32403769999999998</v>
      </c>
      <c r="W5922">
        <v>-3.2057420000000003E-2</v>
      </c>
      <c r="X5922">
        <v>0.94550089999999998</v>
      </c>
      <c r="Y5922">
        <v>-0.49459419999999998</v>
      </c>
      <c r="Z5922">
        <v>2.2750370000000002E-3</v>
      </c>
      <c r="AA5922">
        <v>0.86912099999999903</v>
      </c>
      <c r="AB5922">
        <v>19</v>
      </c>
      <c r="AC5922">
        <v>28.427099999999999</v>
      </c>
      <c r="AD5922">
        <v>-1.1597839999999999</v>
      </c>
      <c r="AE5922">
        <v>24.966090000000001</v>
      </c>
      <c r="AF5922">
        <v>-19.313649457615998</v>
      </c>
      <c r="AG5922">
        <v>-1.1597839999999999</v>
      </c>
      <c r="AH5922">
        <v>32.4915711887828</v>
      </c>
      <c r="AI5922">
        <v>91.757478659969905</v>
      </c>
      <c r="AJ5922">
        <v>120.728109159418</v>
      </c>
      <c r="AK5922">
        <v>37.816191672537101</v>
      </c>
    </row>
    <row r="5923" spans="1:37" x14ac:dyDescent="0.2">
      <c r="A5923" t="str">
        <f>"20200111160331705"</f>
        <v>20200111160331705</v>
      </c>
      <c r="B5923" t="str">
        <f>"1578729811698889"</f>
        <v>1578729811698889</v>
      </c>
      <c r="C5923" t="s">
        <v>37</v>
      </c>
      <c r="D5923">
        <v>4.916569</v>
      </c>
      <c r="E5923">
        <v>0.32309860000000001</v>
      </c>
      <c r="F5923" t="s">
        <v>64</v>
      </c>
      <c r="G5923">
        <v>-185.26060000000001</v>
      </c>
      <c r="H5923" s="1">
        <v>-5.6539589999999999E-6</v>
      </c>
      <c r="I5923">
        <v>-44.438740000000003</v>
      </c>
      <c r="J5923">
        <v>-197.3819</v>
      </c>
      <c r="K5923">
        <v>1.1098969999999999</v>
      </c>
      <c r="L5923">
        <v>-61.651819999999901</v>
      </c>
      <c r="M5923">
        <v>0.98195900000000003</v>
      </c>
      <c r="N5923">
        <v>0</v>
      </c>
      <c r="O5923">
        <v>0.18850039999999901</v>
      </c>
      <c r="P5923">
        <v>0.86676419999999998</v>
      </c>
      <c r="Q5923">
        <v>-4.146644E-2</v>
      </c>
      <c r="R5923">
        <v>0.49699140000000003</v>
      </c>
      <c r="S5923">
        <v>1.9140169999999901</v>
      </c>
      <c r="T5923">
        <v>-0.17378099999999999</v>
      </c>
      <c r="U5923">
        <v>2.6993099999999899</v>
      </c>
      <c r="V5923">
        <v>-0.3242988</v>
      </c>
      <c r="W5923">
        <v>-3.1478539999999999E-2</v>
      </c>
      <c r="X5923">
        <v>0.94543080000000002</v>
      </c>
      <c r="Y5923">
        <v>-0.69141030000000003</v>
      </c>
      <c r="Z5923">
        <v>1.0797940000000001E-2</v>
      </c>
      <c r="AA5923">
        <v>0.72238169999999902</v>
      </c>
      <c r="AB5923">
        <v>19</v>
      </c>
      <c r="AC5923">
        <v>12.1212999999999</v>
      </c>
      <c r="AD5923">
        <v>-1.109902653959</v>
      </c>
      <c r="AE5923">
        <v>17.213079999999898</v>
      </c>
      <c r="AF5923">
        <v>-14.5787866837503</v>
      </c>
      <c r="AG5923">
        <v>-1.109902653959</v>
      </c>
      <c r="AH5923">
        <v>15.107001080318501</v>
      </c>
      <c r="AI5923">
        <v>93.026224124462701</v>
      </c>
      <c r="AJ5923">
        <v>133.98061447961399</v>
      </c>
      <c r="AK5923">
        <v>21.0236625427709</v>
      </c>
    </row>
    <row r="5924" spans="1:37" x14ac:dyDescent="0.2">
      <c r="A5924" t="str">
        <f>"20200111160331717"</f>
        <v>20200111160331717</v>
      </c>
      <c r="B5924" t="str">
        <f>"1578729811708649"</f>
        <v>1578729811708649</v>
      </c>
      <c r="C5924" t="s">
        <v>37</v>
      </c>
      <c r="D5924">
        <v>4.9661650000000002</v>
      </c>
      <c r="E5924">
        <v>0.32247550000000003</v>
      </c>
      <c r="F5924" t="s">
        <v>64</v>
      </c>
      <c r="G5924">
        <v>-185.49160000000001</v>
      </c>
      <c r="H5924" s="1">
        <v>-5.605189E-6</v>
      </c>
      <c r="I5924">
        <v>-44.631720000000001</v>
      </c>
      <c r="J5924">
        <v>-197.28720000000001</v>
      </c>
      <c r="K5924">
        <v>1.1100019999999999</v>
      </c>
      <c r="L5924">
        <v>-61.627749999999999</v>
      </c>
      <c r="M5924">
        <v>0.98099289999999995</v>
      </c>
      <c r="N5924">
        <v>0</v>
      </c>
      <c r="O5924">
        <v>0.19346379999999999</v>
      </c>
      <c r="P5924">
        <v>0.86406830000000001</v>
      </c>
      <c r="Q5924">
        <v>-4.0870599999999903E-2</v>
      </c>
      <c r="R5924">
        <v>0.50171279999999996</v>
      </c>
      <c r="S5924">
        <v>1.8962859999999999</v>
      </c>
      <c r="T5924">
        <v>-0.17700859999999999</v>
      </c>
      <c r="U5924">
        <v>2.7143860000000002</v>
      </c>
      <c r="V5924">
        <v>-0.32467030000000002</v>
      </c>
      <c r="W5924">
        <v>-3.0944820000000001E-2</v>
      </c>
      <c r="X5924">
        <v>0.94532090000000002</v>
      </c>
      <c r="Y5924">
        <v>-0.6927951</v>
      </c>
      <c r="Z5924">
        <v>1.0763699999999999E-2</v>
      </c>
      <c r="AA5924">
        <v>0.72105419999999998</v>
      </c>
      <c r="AB5924">
        <v>19</v>
      </c>
      <c r="AC5924">
        <v>11.7956</v>
      </c>
      <c r="AD5924">
        <v>-1.110007605189</v>
      </c>
      <c r="AE5924">
        <v>16.996029999999902</v>
      </c>
      <c r="AF5924">
        <v>-14.3512661827921</v>
      </c>
      <c r="AG5924">
        <v>-1.110007605189</v>
      </c>
      <c r="AH5924">
        <v>14.818526935865</v>
      </c>
      <c r="AI5924">
        <v>93.080036767684007</v>
      </c>
      <c r="AJ5924">
        <v>134.082277359751</v>
      </c>
      <c r="AK5924">
        <v>20.658647063200601</v>
      </c>
    </row>
    <row r="5925" spans="1:37" x14ac:dyDescent="0.2">
      <c r="A5925" t="str">
        <f>"20200111160331731"</f>
        <v>20200111160331731</v>
      </c>
      <c r="B5925" t="str">
        <f>"1578729811719385"</f>
        <v>1578729811719385</v>
      </c>
      <c r="C5925" t="s">
        <v>37</v>
      </c>
      <c r="D5925">
        <v>4.9096659999999996</v>
      </c>
      <c r="E5925">
        <v>0.321918599999999</v>
      </c>
      <c r="F5925" t="s">
        <v>64</v>
      </c>
      <c r="G5925">
        <v>-185.24039999999999</v>
      </c>
      <c r="H5925" s="1">
        <v>-5.7924190000000001E-6</v>
      </c>
      <c r="I5925">
        <v>-44.133780000000002</v>
      </c>
      <c r="J5925">
        <v>-197.179</v>
      </c>
      <c r="K5925">
        <v>1.1101239999999899</v>
      </c>
      <c r="L5925">
        <v>-61.599669999999897</v>
      </c>
      <c r="M5925">
        <v>0.97983989999999999</v>
      </c>
      <c r="N5925">
        <v>0</v>
      </c>
      <c r="O5925">
        <v>0.1992186</v>
      </c>
      <c r="P5925">
        <v>0.86042510000000005</v>
      </c>
      <c r="Q5925">
        <v>-4.0444870000000001E-2</v>
      </c>
      <c r="R5925">
        <v>0.50796940000000002</v>
      </c>
      <c r="S5925">
        <v>1.879227</v>
      </c>
      <c r="T5925">
        <v>-0.1731539</v>
      </c>
      <c r="U5925">
        <v>2.7289430000000001</v>
      </c>
      <c r="V5925">
        <v>-0.32597290000000001</v>
      </c>
      <c r="W5925">
        <v>-3.0606999999999999E-2</v>
      </c>
      <c r="X5925">
        <v>0.94488349999999899</v>
      </c>
      <c r="Y5925">
        <v>-0.69345699999999999</v>
      </c>
      <c r="Z5925">
        <v>1.0224759999999999E-2</v>
      </c>
      <c r="AA5925">
        <v>0.72042550000000005</v>
      </c>
      <c r="AB5925">
        <v>19</v>
      </c>
      <c r="AC5925">
        <v>11.938599999999999</v>
      </c>
      <c r="AD5925">
        <v>-1.1101297924189999</v>
      </c>
      <c r="AE5925">
        <v>17.465889999999899</v>
      </c>
      <c r="AF5925">
        <v>-14.696582452846901</v>
      </c>
      <c r="AG5925">
        <v>-1.1101297924189999</v>
      </c>
      <c r="AH5925">
        <v>15.137480433744299</v>
      </c>
      <c r="AI5925">
        <v>93.011974245128798</v>
      </c>
      <c r="AJ5925">
        <v>134.15332501646199</v>
      </c>
      <c r="AK5925">
        <v>21.127357568596601</v>
      </c>
    </row>
    <row r="5926" spans="1:37" x14ac:dyDescent="0.2">
      <c r="A5926" t="str">
        <f>"20200111160331743"</f>
        <v>20200111160331743</v>
      </c>
      <c r="B5926" t="str">
        <f>"1578729811738906"</f>
        <v>1578729811738906</v>
      </c>
      <c r="C5926" t="s">
        <v>37</v>
      </c>
      <c r="D5926">
        <v>4.9398839999999904</v>
      </c>
      <c r="E5926">
        <v>0.32152439999999999</v>
      </c>
      <c r="F5926" t="s">
        <v>64</v>
      </c>
      <c r="G5926">
        <v>-185.31620000000001</v>
      </c>
      <c r="H5926" s="1">
        <v>-5.8430909999999902E-6</v>
      </c>
      <c r="I5926">
        <v>-44.05397</v>
      </c>
      <c r="J5926">
        <v>-197.07499999999999</v>
      </c>
      <c r="K5926">
        <v>1.1102379999999901</v>
      </c>
      <c r="L5926">
        <v>-61.571619999999903</v>
      </c>
      <c r="M5926">
        <v>0.97865899999999995</v>
      </c>
      <c r="N5926">
        <v>0</v>
      </c>
      <c r="O5926">
        <v>0.20493890000000001</v>
      </c>
      <c r="P5926">
        <v>0.85679620000000001</v>
      </c>
      <c r="Q5926">
        <v>-4.0456140000000002E-2</v>
      </c>
      <c r="R5926">
        <v>0.51406569999999996</v>
      </c>
      <c r="S5926">
        <v>1.8569639999999901</v>
      </c>
      <c r="T5926">
        <v>-0.1737765</v>
      </c>
      <c r="U5926">
        <v>2.7465519999999999</v>
      </c>
      <c r="V5926">
        <v>-0.32715300000000003</v>
      </c>
      <c r="W5926">
        <v>-3.07014E-2</v>
      </c>
      <c r="X5926">
        <v>0.94447250000000005</v>
      </c>
      <c r="Y5926">
        <v>-0.69540159999999995</v>
      </c>
      <c r="Z5926">
        <v>1.0011219999999999E-2</v>
      </c>
      <c r="AA5926">
        <v>0.71855159999999996</v>
      </c>
      <c r="AB5926">
        <v>19</v>
      </c>
      <c r="AC5926">
        <v>11.7587999999999</v>
      </c>
      <c r="AD5926">
        <v>-1.11024384309099</v>
      </c>
      <c r="AE5926">
        <v>17.5176499999999</v>
      </c>
      <c r="AF5926">
        <v>-14.694947849425301</v>
      </c>
      <c r="AG5926">
        <v>-1.11024384309099</v>
      </c>
      <c r="AH5926">
        <v>15.0579170611769</v>
      </c>
      <c r="AI5926">
        <v>93.020593536080796</v>
      </c>
      <c r="AJ5926">
        <v>134.30105647366</v>
      </c>
      <c r="AK5926">
        <v>21.0692904462807</v>
      </c>
    </row>
    <row r="5927" spans="1:37" x14ac:dyDescent="0.2">
      <c r="A5927" t="str">
        <f>"20200111160331756"</f>
        <v>20200111160331756</v>
      </c>
      <c r="B5927" t="str">
        <f>"1578729811748665"</f>
        <v>1578729811748665</v>
      </c>
      <c r="C5927" t="s">
        <v>37</v>
      </c>
      <c r="D5927">
        <v>4.9744609999999998</v>
      </c>
      <c r="E5927">
        <v>0.32167509999999999</v>
      </c>
      <c r="F5927" t="s">
        <v>64</v>
      </c>
      <c r="G5927">
        <v>-185.4991</v>
      </c>
      <c r="H5927" s="1">
        <v>-5.82874E-6</v>
      </c>
      <c r="I5927">
        <v>-44.154690000000002</v>
      </c>
      <c r="J5927">
        <v>-196.97130000000001</v>
      </c>
      <c r="K5927">
        <v>1.1103499999999999</v>
      </c>
      <c r="L5927">
        <v>-61.542999999999999</v>
      </c>
      <c r="M5927">
        <v>0.97742340000000005</v>
      </c>
      <c r="N5927">
        <v>0</v>
      </c>
      <c r="O5927">
        <v>0.21075070000000001</v>
      </c>
      <c r="P5927">
        <v>0.85279959999999899</v>
      </c>
      <c r="Q5927">
        <v>-4.0901519999999997E-2</v>
      </c>
      <c r="R5927">
        <v>0.52063429999999999</v>
      </c>
      <c r="S5927">
        <v>1.835831</v>
      </c>
      <c r="T5927">
        <v>-0.17607519999999999</v>
      </c>
      <c r="U5927">
        <v>2.7621769999999999</v>
      </c>
      <c r="V5927">
        <v>-0.32878679999999999</v>
      </c>
      <c r="W5927">
        <v>-3.123681E-2</v>
      </c>
      <c r="X5927">
        <v>0.94388739999999904</v>
      </c>
      <c r="Y5927">
        <v>-0.69680920000000002</v>
      </c>
      <c r="Z5927">
        <v>9.8640289999999999E-3</v>
      </c>
      <c r="AA5927">
        <v>0.71718879999999996</v>
      </c>
      <c r="AB5927">
        <v>19</v>
      </c>
      <c r="AC5927">
        <v>11.472200000000001</v>
      </c>
      <c r="AD5927">
        <v>-1.1103558287399999</v>
      </c>
      <c r="AE5927">
        <v>17.388309999999901</v>
      </c>
      <c r="AF5927">
        <v>-14.5383231901315</v>
      </c>
      <c r="AG5927">
        <v>-1.1103558287399999</v>
      </c>
      <c r="AH5927">
        <v>14.8373361628921</v>
      </c>
      <c r="AI5927">
        <v>93.059684041317993</v>
      </c>
      <c r="AJ5927">
        <v>134.41681003660099</v>
      </c>
      <c r="AK5927">
        <v>20.802458404183898</v>
      </c>
    </row>
    <row r="5928" spans="1:37" x14ac:dyDescent="0.2">
      <c r="A5928" t="str">
        <f>"20200111160331767"</f>
        <v>20200111160331767</v>
      </c>
      <c r="B5928" t="str">
        <f>"1578729811759401"</f>
        <v>1578729811759401</v>
      </c>
      <c r="C5928" t="s">
        <v>37</v>
      </c>
      <c r="D5928">
        <v>4.9399809999999897</v>
      </c>
      <c r="E5928">
        <v>0.32168590000000002</v>
      </c>
      <c r="F5928" t="s">
        <v>64</v>
      </c>
      <c r="G5928">
        <v>-185.70359999999999</v>
      </c>
      <c r="H5928" s="1">
        <v>-5.7911910000000001E-6</v>
      </c>
      <c r="I5928">
        <v>-44.313450000000003</v>
      </c>
      <c r="J5928">
        <v>-196.87289999999999</v>
      </c>
      <c r="K5928">
        <v>1.1104529999999999</v>
      </c>
      <c r="L5928">
        <v>-61.515230000000003</v>
      </c>
      <c r="M5928">
        <v>0.97619650000000002</v>
      </c>
      <c r="N5928">
        <v>0</v>
      </c>
      <c r="O5928">
        <v>0.21636030000000001</v>
      </c>
      <c r="P5928">
        <v>0.84851589999999999</v>
      </c>
      <c r="Q5928">
        <v>-4.227848E-2</v>
      </c>
      <c r="R5928">
        <v>0.52747819999999901</v>
      </c>
      <c r="S5928">
        <v>1.8149569999999999</v>
      </c>
      <c r="T5928">
        <v>-0.17885179999999901</v>
      </c>
      <c r="U5928">
        <v>2.77526899999999</v>
      </c>
      <c r="V5928">
        <v>-0.33094519999999999</v>
      </c>
      <c r="W5928">
        <v>-3.2710789999999997E-2</v>
      </c>
      <c r="X5928">
        <v>0.94308289999999995</v>
      </c>
      <c r="Y5928">
        <v>-0.69800249999999997</v>
      </c>
      <c r="Z5928">
        <v>9.7428649999999999E-3</v>
      </c>
      <c r="AA5928">
        <v>0.71602900000000003</v>
      </c>
      <c r="AB5928">
        <v>19</v>
      </c>
      <c r="AC5928">
        <v>11.1692999999999</v>
      </c>
      <c r="AD5928">
        <v>-1.110458791191</v>
      </c>
      <c r="AE5928">
        <v>17.201779999999999</v>
      </c>
      <c r="AF5928">
        <v>-14.335344815252</v>
      </c>
      <c r="AG5928">
        <v>-1.110458791191</v>
      </c>
      <c r="AH5928">
        <v>14.5841335498692</v>
      </c>
      <c r="AI5928">
        <v>93.108187694067794</v>
      </c>
      <c r="AJ5928">
        <v>134.50710753949201</v>
      </c>
      <c r="AK5928">
        <v>20.480043483829</v>
      </c>
    </row>
    <row r="5929" spans="1:37" x14ac:dyDescent="0.2">
      <c r="A5929" t="str">
        <f>"20200111160331783"</f>
        <v>20200111160331783</v>
      </c>
      <c r="B5929" t="str">
        <f>"1578729811778921"</f>
        <v>1578729811778921</v>
      </c>
      <c r="C5929" t="s">
        <v>37</v>
      </c>
      <c r="D5929">
        <v>4.9495849999999999</v>
      </c>
      <c r="E5929">
        <v>0.3219301</v>
      </c>
      <c r="F5929" t="s">
        <v>64</v>
      </c>
      <c r="G5929">
        <v>-185.7534</v>
      </c>
      <c r="H5929" s="1">
        <v>-5.8493199999999998E-6</v>
      </c>
      <c r="I5929">
        <v>-44.207709999999999</v>
      </c>
      <c r="J5929">
        <v>-196.75280000000001</v>
      </c>
      <c r="K5929">
        <v>1.1105750000000001</v>
      </c>
      <c r="L5929">
        <v>-61.479889999999997</v>
      </c>
      <c r="M5929">
        <v>0.97460000000000002</v>
      </c>
      <c r="N5929">
        <v>0</v>
      </c>
      <c r="O5929">
        <v>0.22343930000000001</v>
      </c>
      <c r="P5929">
        <v>0.84169419999999995</v>
      </c>
      <c r="Q5929">
        <v>-4.5853619999999998E-2</v>
      </c>
      <c r="R5929">
        <v>0.53800409999999999</v>
      </c>
      <c r="S5929">
        <v>1.7923579999999999</v>
      </c>
      <c r="T5929">
        <v>-0.1789965</v>
      </c>
      <c r="U5929">
        <v>2.789825</v>
      </c>
      <c r="V5929">
        <v>-0.33581869999999903</v>
      </c>
      <c r="W5929">
        <v>-3.644646E-2</v>
      </c>
      <c r="X5929">
        <v>0.94122119999999998</v>
      </c>
      <c r="Y5929">
        <v>-0.69861879999999998</v>
      </c>
      <c r="Z5929">
        <v>9.3602589999999992E-3</v>
      </c>
      <c r="AA5929">
        <v>0.71543290000000004</v>
      </c>
      <c r="AB5929">
        <v>19</v>
      </c>
      <c r="AC5929">
        <v>10.9994</v>
      </c>
      <c r="AD5929">
        <v>-1.11058084932</v>
      </c>
      <c r="AE5929">
        <v>17.272179999999999</v>
      </c>
      <c r="AF5929">
        <v>-14.335253586261899</v>
      </c>
      <c r="AG5929">
        <v>-1.11058084932</v>
      </c>
      <c r="AH5929">
        <v>14.538210638890099</v>
      </c>
      <c r="AI5929">
        <v>93.113511044643303</v>
      </c>
      <c r="AJ5929">
        <v>134.59726373904499</v>
      </c>
      <c r="AK5929">
        <v>20.447309206495799</v>
      </c>
    </row>
    <row r="5930" spans="1:37" x14ac:dyDescent="0.2">
      <c r="A5930" t="str">
        <f>"20200111160331795"</f>
        <v>20200111160331795</v>
      </c>
      <c r="B5930" t="str">
        <f>"1578729811788681"</f>
        <v>1578729811788681</v>
      </c>
      <c r="C5930" t="s">
        <v>37</v>
      </c>
      <c r="D5930">
        <v>4.960375</v>
      </c>
      <c r="E5930">
        <v>0.32227600000000001</v>
      </c>
      <c r="F5930" t="s">
        <v>64</v>
      </c>
      <c r="G5930">
        <v>-186.18530000000001</v>
      </c>
      <c r="H5930" s="1">
        <v>-5.7500419999999999E-6</v>
      </c>
      <c r="I5930">
        <v>-44.585879999999896</v>
      </c>
      <c r="J5930">
        <v>-196.65289999999999</v>
      </c>
      <c r="K5930">
        <v>1.1106819999999999</v>
      </c>
      <c r="L5930">
        <v>-61.449769999999901</v>
      </c>
      <c r="M5930">
        <v>0.97320329999999999</v>
      </c>
      <c r="N5930">
        <v>0</v>
      </c>
      <c r="O5930">
        <v>0.2294437</v>
      </c>
      <c r="P5930">
        <v>0.83630349999999998</v>
      </c>
      <c r="Q5930">
        <v>-4.692114E-2</v>
      </c>
      <c r="R5930">
        <v>0.54625519999999905</v>
      </c>
      <c r="S5930">
        <v>1.7578739999999999</v>
      </c>
      <c r="T5930">
        <v>-0.18474209999999999</v>
      </c>
      <c r="U5930">
        <v>2.8102719999999999</v>
      </c>
      <c r="V5930">
        <v>-0.33925549999999999</v>
      </c>
      <c r="W5930">
        <v>-3.7634960000000002E-2</v>
      </c>
      <c r="X5930">
        <v>0.93994109999999997</v>
      </c>
      <c r="Y5930">
        <v>-0.70280129999999996</v>
      </c>
      <c r="Z5930">
        <v>9.4832389999999992E-3</v>
      </c>
      <c r="AA5930">
        <v>0.71132289999999998</v>
      </c>
      <c r="AB5930">
        <v>19</v>
      </c>
      <c r="AC5930">
        <v>10.4675999999999</v>
      </c>
      <c r="AD5930">
        <v>-1.110687750042</v>
      </c>
      <c r="AE5930">
        <v>16.863889999999898</v>
      </c>
      <c r="AF5930">
        <v>-13.9681474468454</v>
      </c>
      <c r="AG5930">
        <v>-1.110687750042</v>
      </c>
      <c r="AH5930">
        <v>14.014156362889301</v>
      </c>
      <c r="AI5930">
        <v>93.212846879121898</v>
      </c>
      <c r="AJ5930">
        <v>134.90579352037301</v>
      </c>
      <c r="AK5930">
        <v>19.817652457806801</v>
      </c>
    </row>
    <row r="5931" spans="1:37" x14ac:dyDescent="0.2">
      <c r="A5931" t="str">
        <f>"20200111160331807"</f>
        <v>20200111160331807</v>
      </c>
      <c r="B5931" t="str">
        <f>"1578729811799417"</f>
        <v>1578729811799417</v>
      </c>
      <c r="C5931" t="s">
        <v>37</v>
      </c>
      <c r="D5931">
        <v>4.9845829999999998</v>
      </c>
      <c r="E5931">
        <v>0.32257199999999903</v>
      </c>
      <c r="F5931" t="s">
        <v>64</v>
      </c>
      <c r="G5931">
        <v>-186.50599999999901</v>
      </c>
      <c r="H5931" s="1">
        <v>-5.664034E-6</v>
      </c>
      <c r="I5931">
        <v>-44.893059999999998</v>
      </c>
      <c r="J5931">
        <v>-196.55779999999999</v>
      </c>
      <c r="K5931">
        <v>1.110787</v>
      </c>
      <c r="L5931">
        <v>-61.420439999999999</v>
      </c>
      <c r="M5931">
        <v>0.97181309999999999</v>
      </c>
      <c r="N5931">
        <v>0</v>
      </c>
      <c r="O5931">
        <v>0.23526050000000001</v>
      </c>
      <c r="P5931">
        <v>0.831098</v>
      </c>
      <c r="Q5931">
        <v>-4.7096730000000003E-2</v>
      </c>
      <c r="R5931">
        <v>0.55412830000000002</v>
      </c>
      <c r="S5931">
        <v>1.731339</v>
      </c>
      <c r="T5931">
        <v>-0.1895126</v>
      </c>
      <c r="U5931">
        <v>2.8250120000000001</v>
      </c>
      <c r="V5931">
        <v>-0.34249649999999998</v>
      </c>
      <c r="W5931">
        <v>-3.7925420000000001E-2</v>
      </c>
      <c r="X5931">
        <v>0.93875330000000001</v>
      </c>
      <c r="Y5931">
        <v>-0.70501990000000003</v>
      </c>
      <c r="Z5931">
        <v>9.4683389999999992E-3</v>
      </c>
      <c r="AA5931">
        <v>0.70912430000000004</v>
      </c>
      <c r="AB5931">
        <v>19</v>
      </c>
      <c r="AC5931">
        <v>10.0518</v>
      </c>
      <c r="AD5931">
        <v>-1.110792664034</v>
      </c>
      <c r="AE5931">
        <v>16.527379999999901</v>
      </c>
      <c r="AF5931">
        <v>-13.653300335038301</v>
      </c>
      <c r="AG5931">
        <v>-1.110792664034</v>
      </c>
      <c r="AH5931">
        <v>13.6134049486901</v>
      </c>
      <c r="AI5931">
        <v>93.297294169122694</v>
      </c>
      <c r="AJ5931">
        <v>135.08383248378601</v>
      </c>
      <c r="AK5931">
        <v>19.312463972218801</v>
      </c>
    </row>
    <row r="5932" spans="1:37" x14ac:dyDescent="0.2">
      <c r="A5932" t="str">
        <f>"20200111160331819"</f>
        <v>20200111160331819</v>
      </c>
      <c r="B5932" t="str">
        <f>"1578729811809176"</f>
        <v>1578729811809176</v>
      </c>
      <c r="C5932" t="s">
        <v>37</v>
      </c>
      <c r="D5932">
        <v>4.9522000000000004</v>
      </c>
      <c r="E5932">
        <v>0.32277840000000002</v>
      </c>
      <c r="F5932" t="s">
        <v>64</v>
      </c>
      <c r="G5932">
        <v>-186.76830000000001</v>
      </c>
      <c r="H5932" s="1">
        <v>-5.6033040000000003E-6</v>
      </c>
      <c r="I5932">
        <v>-45.12368</v>
      </c>
      <c r="J5932">
        <v>-196.46299999999999</v>
      </c>
      <c r="K5932">
        <v>1.110895</v>
      </c>
      <c r="L5932">
        <v>-61.390169999999998</v>
      </c>
      <c r="M5932">
        <v>0.97035090000000002</v>
      </c>
      <c r="N5932">
        <v>0</v>
      </c>
      <c r="O5932">
        <v>0.24121819999999999</v>
      </c>
      <c r="P5932">
        <v>0.82576779999999905</v>
      </c>
      <c r="Q5932">
        <v>-4.6663019999999999E-2</v>
      </c>
      <c r="R5932">
        <v>0.56207659999999904</v>
      </c>
      <c r="S5932">
        <v>1.7055819999999999</v>
      </c>
      <c r="T5932">
        <v>-0.19352929999999999</v>
      </c>
      <c r="U5932">
        <v>2.8393250000000001</v>
      </c>
      <c r="V5932">
        <v>-0.34573140000000002</v>
      </c>
      <c r="W5932">
        <v>-3.7603240000000003E-2</v>
      </c>
      <c r="X5932">
        <v>0.93757979999999996</v>
      </c>
      <c r="Y5932">
        <v>-0.70694460000000003</v>
      </c>
      <c r="Z5932">
        <v>9.3790499999999999E-3</v>
      </c>
      <c r="AA5932">
        <v>0.70720669999999897</v>
      </c>
      <c r="AB5932">
        <v>19</v>
      </c>
      <c r="AC5932">
        <v>9.6946999999999797</v>
      </c>
      <c r="AD5932">
        <v>-1.1109006033040001</v>
      </c>
      <c r="AE5932">
        <v>16.266489999999902</v>
      </c>
      <c r="AF5932">
        <v>-13.401110300960999</v>
      </c>
      <c r="AG5932">
        <v>-1.1109006033040001</v>
      </c>
      <c r="AH5932">
        <v>13.286859333026101</v>
      </c>
      <c r="AI5932">
        <v>93.368933325795794</v>
      </c>
      <c r="AJ5932">
        <v>135.24528123976</v>
      </c>
      <c r="AK5932">
        <v>18.904086552504101</v>
      </c>
    </row>
    <row r="5933" spans="1:37" x14ac:dyDescent="0.2">
      <c r="A5933" t="str">
        <f>"20200111160331834"</f>
        <v>20200111160331834</v>
      </c>
      <c r="B5933" t="str">
        <f>"1578729811828698"</f>
        <v>1578729811828698</v>
      </c>
      <c r="C5933" t="s">
        <v>37</v>
      </c>
      <c r="D5933">
        <v>5.0791079999999997</v>
      </c>
      <c r="E5933">
        <v>0.32371559999999999</v>
      </c>
      <c r="F5933" t="s">
        <v>64</v>
      </c>
      <c r="G5933">
        <v>-186.8751</v>
      </c>
      <c r="H5933" s="1">
        <v>-5.6360749999999899E-6</v>
      </c>
      <c r="I5933">
        <v>-45.094159999999903</v>
      </c>
      <c r="J5933">
        <v>-196.3502</v>
      </c>
      <c r="K5933">
        <v>1.1110229999999901</v>
      </c>
      <c r="L5933">
        <v>-61.353389999999997</v>
      </c>
      <c r="M5933">
        <v>0.96853529999999999</v>
      </c>
      <c r="N5933">
        <v>0</v>
      </c>
      <c r="O5933">
        <v>0.2484054</v>
      </c>
      <c r="P5933">
        <v>0.81977160000000004</v>
      </c>
      <c r="Q5933">
        <v>-4.4442210000000003E-2</v>
      </c>
      <c r="R5933">
        <v>0.57096369999999996</v>
      </c>
      <c r="S5933">
        <v>1.6792450000000001</v>
      </c>
      <c r="T5933">
        <v>-0.19456609999999999</v>
      </c>
      <c r="U5933">
        <v>2.8541259999999999</v>
      </c>
      <c r="V5933">
        <v>-0.34889789999999998</v>
      </c>
      <c r="W5933">
        <v>-3.5499759999999998E-2</v>
      </c>
      <c r="X5933">
        <v>0.93648819999999999</v>
      </c>
      <c r="Y5933">
        <v>-0.70815189999999995</v>
      </c>
      <c r="Z5933">
        <v>9.0219559999999994E-3</v>
      </c>
      <c r="AA5933">
        <v>0.70600249999999998</v>
      </c>
      <c r="AB5933">
        <v>19</v>
      </c>
      <c r="AC5933">
        <v>9.4750999999999905</v>
      </c>
      <c r="AD5933">
        <v>-1.1110286360749999</v>
      </c>
      <c r="AE5933">
        <v>16.259229999999999</v>
      </c>
      <c r="AF5933">
        <v>-13.3490113538291</v>
      </c>
      <c r="AG5933">
        <v>-1.1110286360749999</v>
      </c>
      <c r="AH5933">
        <v>13.1714864286719</v>
      </c>
      <c r="AI5933">
        <v>93.390503051067697</v>
      </c>
      <c r="AJ5933">
        <v>135.38352511845699</v>
      </c>
      <c r="AK5933">
        <v>18.786126356849799</v>
      </c>
    </row>
    <row r="5934" spans="1:37" x14ac:dyDescent="0.2">
      <c r="A5934" t="str">
        <f>"20200111160331846"</f>
        <v>20200111160331846</v>
      </c>
      <c r="B5934" t="str">
        <f>"1578729811828698"</f>
        <v>1578729811828698</v>
      </c>
      <c r="C5934" t="s">
        <v>37</v>
      </c>
      <c r="D5934">
        <v>5.0791079999999997</v>
      </c>
      <c r="E5934">
        <v>0.32371559999999999</v>
      </c>
      <c r="F5934" t="s">
        <v>64</v>
      </c>
      <c r="G5934">
        <v>-186.85079999999999</v>
      </c>
      <c r="H5934" s="1">
        <v>-5.7284869999999997E-6</v>
      </c>
      <c r="I5934">
        <v>-44.886479999999999</v>
      </c>
      <c r="J5934">
        <v>-196.24359999999999</v>
      </c>
      <c r="K5934">
        <v>1.1111420000000001</v>
      </c>
      <c r="L5934">
        <v>-61.317689999999999</v>
      </c>
      <c r="M5934">
        <v>0.96673030000000004</v>
      </c>
      <c r="N5934">
        <v>0</v>
      </c>
      <c r="O5934">
        <v>0.2553375</v>
      </c>
      <c r="P5934">
        <v>0.8139033</v>
      </c>
      <c r="Q5934">
        <v>-4.1393920000000001E-2</v>
      </c>
      <c r="R5934">
        <v>0.57952399999999904</v>
      </c>
      <c r="S5934">
        <v>1.653152</v>
      </c>
      <c r="T5934">
        <v>-0.1933492</v>
      </c>
      <c r="U5934">
        <v>2.8656919999999899</v>
      </c>
      <c r="V5934">
        <v>-0.35199819999999998</v>
      </c>
      <c r="W5934">
        <v>-3.2562439999999998E-2</v>
      </c>
      <c r="X5934">
        <v>0.93543410000000005</v>
      </c>
      <c r="Y5934">
        <v>-0.70916190000000001</v>
      </c>
      <c r="Z5934">
        <v>8.5727059999999994E-3</v>
      </c>
      <c r="AA5934">
        <v>0.70499350000000005</v>
      </c>
      <c r="AB5934">
        <v>19</v>
      </c>
      <c r="AC5934">
        <v>9.3927999999999905</v>
      </c>
      <c r="AD5934">
        <v>-1.1111477284869999</v>
      </c>
      <c r="AE5934">
        <v>16.43121</v>
      </c>
      <c r="AF5934">
        <v>-13.441472292153801</v>
      </c>
      <c r="AG5934">
        <v>-1.1111477284869999</v>
      </c>
      <c r="AH5934">
        <v>13.2317642832289</v>
      </c>
      <c r="AI5934">
        <v>93.371464863105999</v>
      </c>
      <c r="AJ5934">
        <v>135.45045663087899</v>
      </c>
      <c r="AK5934">
        <v>18.8941105295326</v>
      </c>
    </row>
    <row r="5935" spans="1:37" x14ac:dyDescent="0.2">
      <c r="A5935" t="str">
        <f>"20200111160331862"</f>
        <v>20200111160331862</v>
      </c>
      <c r="B5935" t="str">
        <f>"1578729811858953"</f>
        <v>1578729811858953</v>
      </c>
      <c r="C5935" t="s">
        <v>37</v>
      </c>
      <c r="D5935">
        <v>5.0229929999999996</v>
      </c>
      <c r="E5935">
        <v>0.32441920000000002</v>
      </c>
      <c r="F5935" t="s">
        <v>64</v>
      </c>
      <c r="G5935">
        <v>-186.59450000000001</v>
      </c>
      <c r="H5935" s="1">
        <v>-6.0095519999999902E-6</v>
      </c>
      <c r="I5935">
        <v>-44.185169999999999</v>
      </c>
      <c r="J5935">
        <v>-196.1233</v>
      </c>
      <c r="K5935">
        <v>1.111272</v>
      </c>
      <c r="L5935">
        <v>-61.275759999999998</v>
      </c>
      <c r="M5935">
        <v>0.96457649999999995</v>
      </c>
      <c r="N5935">
        <v>0</v>
      </c>
      <c r="O5935">
        <v>0.26335459999999999</v>
      </c>
      <c r="P5935">
        <v>0.80556340000000004</v>
      </c>
      <c r="Q5935">
        <v>-3.5584089999999999E-2</v>
      </c>
      <c r="R5935">
        <v>0.59144010000000002</v>
      </c>
      <c r="S5935">
        <v>1.623672</v>
      </c>
      <c r="T5935">
        <v>-0.186975799999999</v>
      </c>
      <c r="U5935">
        <v>2.8829349999999998</v>
      </c>
      <c r="V5935">
        <v>-0.35800009999999999</v>
      </c>
      <c r="W5935">
        <v>-2.6923900000000001E-2</v>
      </c>
      <c r="X5935">
        <v>0.93333330000000003</v>
      </c>
      <c r="Y5935">
        <v>-0.71064099999999997</v>
      </c>
      <c r="Z5935">
        <v>7.8530619999999992E-3</v>
      </c>
      <c r="AA5935">
        <v>0.703511</v>
      </c>
      <c r="AB5935">
        <v>19</v>
      </c>
      <c r="AC5935">
        <v>9.5287999999999897</v>
      </c>
      <c r="AD5935">
        <v>-1.1112780095520001</v>
      </c>
      <c r="AE5935">
        <v>17.090589999999999</v>
      </c>
      <c r="AF5935">
        <v>-13.9324444252977</v>
      </c>
      <c r="AG5935">
        <v>-1.1112780095520001</v>
      </c>
      <c r="AH5935">
        <v>13.649736583900999</v>
      </c>
      <c r="AI5935">
        <v>93.260916379205597</v>
      </c>
      <c r="AJ5935">
        <v>135.587241413198</v>
      </c>
      <c r="AK5935">
        <v>19.5362037071793</v>
      </c>
    </row>
    <row r="5936" spans="1:37" x14ac:dyDescent="0.2">
      <c r="A5936" t="str">
        <f>"20200111160331890"</f>
        <v>20200111160331890</v>
      </c>
      <c r="B5936" t="str">
        <f>"1578729811879450"</f>
        <v>1578729811879450</v>
      </c>
      <c r="C5936" t="s">
        <v>37</v>
      </c>
      <c r="D5936">
        <v>4.8850800000000003</v>
      </c>
      <c r="E5936">
        <v>0.32450859999999998</v>
      </c>
      <c r="F5936" t="s">
        <v>64</v>
      </c>
      <c r="G5936">
        <v>-186.1874</v>
      </c>
      <c r="H5936" s="1">
        <v>-6.3936949999999999E-6</v>
      </c>
      <c r="I5936">
        <v>-43.09</v>
      </c>
      <c r="J5936">
        <v>-195.90729999999999</v>
      </c>
      <c r="K5936">
        <v>1.111462</v>
      </c>
      <c r="L5936">
        <v>-61.197719999999997</v>
      </c>
      <c r="M5936">
        <v>0.96043319999999999</v>
      </c>
      <c r="N5936">
        <v>0</v>
      </c>
      <c r="O5936">
        <v>0.27808080000000002</v>
      </c>
      <c r="P5936">
        <v>0.79288259999999999</v>
      </c>
      <c r="Q5936">
        <v>-3.059301E-2</v>
      </c>
      <c r="R5936">
        <v>0.60860590000000003</v>
      </c>
      <c r="S5936">
        <v>1.5855709999999901</v>
      </c>
      <c r="T5936">
        <v>-0.17733879999999999</v>
      </c>
      <c r="U5936">
        <v>2.9020999999999999</v>
      </c>
      <c r="V5936">
        <v>-0.36377140000000002</v>
      </c>
      <c r="W5936">
        <v>-2.212853E-2</v>
      </c>
      <c r="X5936">
        <v>0.93122539999999998</v>
      </c>
      <c r="Y5936">
        <v>-0.70902940000000003</v>
      </c>
      <c r="Z5936">
        <v>6.5012289999999999E-3</v>
      </c>
      <c r="AA5936">
        <v>0.70514900000000003</v>
      </c>
      <c r="AB5936">
        <v>19</v>
      </c>
      <c r="AC5936">
        <v>9.7198999999999902</v>
      </c>
      <c r="AD5936">
        <v>-1.1114683936950001</v>
      </c>
      <c r="AE5936">
        <v>18.10772</v>
      </c>
      <c r="AF5936">
        <v>-14.647253286900501</v>
      </c>
      <c r="AG5936">
        <v>-1.1114683936950001</v>
      </c>
      <c r="AH5936">
        <v>14.330527709976501</v>
      </c>
      <c r="AI5936">
        <v>93.104690598192903</v>
      </c>
      <c r="AJ5936">
        <v>135.62621483121001</v>
      </c>
      <c r="AK5936">
        <v>20.5217303190351</v>
      </c>
    </row>
    <row r="5937" spans="1:37" x14ac:dyDescent="0.2">
      <c r="A5937" t="str">
        <f>"20200111160331939"</f>
        <v>20200111160331939</v>
      </c>
      <c r="B5937" t="str">
        <f>"1578729811929225"</f>
        <v>1578729811929225</v>
      </c>
      <c r="C5937" t="s">
        <v>37</v>
      </c>
      <c r="D5937">
        <v>5.0282179999999999</v>
      </c>
      <c r="E5937">
        <v>0.3253549</v>
      </c>
      <c r="F5937" t="s">
        <v>64</v>
      </c>
      <c r="G5937">
        <v>-185.5564</v>
      </c>
      <c r="H5937" s="1">
        <v>-6.9310409999999999E-6</v>
      </c>
      <c r="I5937">
        <v>-41.272729999999903</v>
      </c>
      <c r="J5937">
        <v>-195.5292</v>
      </c>
      <c r="K5937">
        <v>1.11168</v>
      </c>
      <c r="L5937">
        <v>-61.049840000000003</v>
      </c>
      <c r="M5937">
        <v>0.95220579999999999</v>
      </c>
      <c r="N5937">
        <v>0</v>
      </c>
      <c r="O5937">
        <v>0.30505929999999998</v>
      </c>
      <c r="P5937">
        <v>0.76631949999999904</v>
      </c>
      <c r="Q5937">
        <v>-2.5992609999999999E-2</v>
      </c>
      <c r="R5937">
        <v>0.64193369999999905</v>
      </c>
      <c r="S5937">
        <v>1.5246280000000001</v>
      </c>
      <c r="T5937">
        <v>-0.16371340000000001</v>
      </c>
      <c r="U5937">
        <v>2.9348450000000001</v>
      </c>
      <c r="V5937">
        <v>-0.37727859999999902</v>
      </c>
      <c r="W5937">
        <v>-1.7902629999999999E-2</v>
      </c>
      <c r="X5937">
        <v>0.92592669999999999</v>
      </c>
      <c r="Y5937">
        <v>-0.70399679999999998</v>
      </c>
      <c r="Z5937">
        <v>4.3009290000000002E-3</v>
      </c>
      <c r="AA5937">
        <v>0.71019019999999899</v>
      </c>
      <c r="AB5937">
        <v>19</v>
      </c>
      <c r="AC5937">
        <v>9.9727999999999994</v>
      </c>
      <c r="AD5937">
        <v>-1.111686931041</v>
      </c>
      <c r="AE5937">
        <v>19.77711</v>
      </c>
      <c r="AF5937">
        <v>-15.7518213269739</v>
      </c>
      <c r="AG5937">
        <v>-1.111686931041</v>
      </c>
      <c r="AH5937">
        <v>15.4922095717445</v>
      </c>
      <c r="AI5937">
        <v>92.880527094396697</v>
      </c>
      <c r="AJ5937">
        <v>135.47606903291901</v>
      </c>
      <c r="AK5937">
        <v>22.121579517846602</v>
      </c>
    </row>
    <row r="5938" spans="1:37" x14ac:dyDescent="0.2">
      <c r="A5938" t="str">
        <f>"20200111160331965"</f>
        <v>20200111160331965</v>
      </c>
      <c r="B5938" t="str">
        <f>"1578729811959482"</f>
        <v>1578729811959482</v>
      </c>
      <c r="C5938" t="s">
        <v>37</v>
      </c>
      <c r="D5938">
        <v>4.9815610000000001</v>
      </c>
      <c r="E5938">
        <v>0.32510749999999999</v>
      </c>
      <c r="F5938" t="s">
        <v>64</v>
      </c>
      <c r="G5938">
        <v>-186.45140000000001</v>
      </c>
      <c r="H5938" s="1">
        <v>-6.8880669999999999E-6</v>
      </c>
      <c r="I5938">
        <v>-41.701839999999997</v>
      </c>
      <c r="J5938">
        <v>-195.3314</v>
      </c>
      <c r="K5938">
        <v>1.1117520000000001</v>
      </c>
      <c r="L5938">
        <v>-60.967039999999997</v>
      </c>
      <c r="M5938">
        <v>0.94739819999999997</v>
      </c>
      <c r="N5938">
        <v>0</v>
      </c>
      <c r="O5938">
        <v>0.31967459999999998</v>
      </c>
      <c r="P5938">
        <v>0.75134330000000005</v>
      </c>
      <c r="Q5938">
        <v>-2.5677289999999998E-2</v>
      </c>
      <c r="R5938">
        <v>0.659412</v>
      </c>
      <c r="S5938">
        <v>1.403397</v>
      </c>
      <c r="T5938">
        <v>-0.17186209999999999</v>
      </c>
      <c r="U5938">
        <v>2.9911189999999999</v>
      </c>
      <c r="V5938">
        <v>-0.38434109999999899</v>
      </c>
      <c r="W5938">
        <v>-1.776987E-2</v>
      </c>
      <c r="X5938">
        <v>0.92302009999999901</v>
      </c>
      <c r="Y5938">
        <v>-0.72149830000000004</v>
      </c>
      <c r="Z5938">
        <v>4.378982E-3</v>
      </c>
      <c r="AA5938">
        <v>0.69240239999999997</v>
      </c>
      <c r="AB5938">
        <v>19</v>
      </c>
      <c r="AC5938">
        <v>8.8799999999999901</v>
      </c>
      <c r="AD5938">
        <v>-1.111758888067</v>
      </c>
      <c r="AE5938">
        <v>19.2652</v>
      </c>
      <c r="AF5938">
        <v>-15.3727683519684</v>
      </c>
      <c r="AG5938">
        <v>-1.111758888067</v>
      </c>
      <c r="AH5938">
        <v>14.5333566711695</v>
      </c>
      <c r="AI5938">
        <v>93.008276550467698</v>
      </c>
      <c r="AJ5938">
        <v>136.60776838968701</v>
      </c>
      <c r="AK5938">
        <v>21.184344945263401</v>
      </c>
    </row>
    <row r="5939" spans="1:37" x14ac:dyDescent="0.2">
      <c r="A5939" t="str">
        <f>"20200111160331990"</f>
        <v>20200111160331990</v>
      </c>
      <c r="B5939" t="str">
        <f>"1578729811979000"</f>
        <v>1578729811979000</v>
      </c>
      <c r="C5939" t="s">
        <v>37</v>
      </c>
      <c r="D5939">
        <v>5.0347080000000002</v>
      </c>
      <c r="E5939">
        <v>0.26445930000000001</v>
      </c>
      <c r="F5939" t="s">
        <v>64</v>
      </c>
      <c r="G5939">
        <v>-187.21109999999999</v>
      </c>
      <c r="H5939" s="1">
        <v>-6.6885999999999998E-6</v>
      </c>
      <c r="I5939">
        <v>-42.552999999999997</v>
      </c>
      <c r="J5939">
        <v>-195.1491</v>
      </c>
      <c r="K5939">
        <v>1.1117969999999999</v>
      </c>
      <c r="L5939">
        <v>-60.887119999999904</v>
      </c>
      <c r="M5939">
        <v>0.94264219999999899</v>
      </c>
      <c r="N5939">
        <v>0</v>
      </c>
      <c r="O5939">
        <v>0.3334355</v>
      </c>
      <c r="P5939">
        <v>0.73555669999999995</v>
      </c>
      <c r="Q5939">
        <v>-2.715271E-2</v>
      </c>
      <c r="R5939">
        <v>0.67691889999999999</v>
      </c>
      <c r="S5939">
        <v>1.333237</v>
      </c>
      <c r="T5939">
        <v>-0.18253440000000001</v>
      </c>
      <c r="U5939">
        <v>3.0233150000000002</v>
      </c>
      <c r="V5939">
        <v>-0.39260440000000002</v>
      </c>
      <c r="W5939">
        <v>-1.944922E-2</v>
      </c>
      <c r="X5939">
        <v>0.91950180000000004</v>
      </c>
      <c r="Y5939">
        <v>-0.72751129999999997</v>
      </c>
      <c r="Z5939">
        <v>4.0472299999999998E-3</v>
      </c>
      <c r="AA5939">
        <v>0.68608380000000002</v>
      </c>
      <c r="AB5939">
        <v>19</v>
      </c>
      <c r="AC5939">
        <v>7.9380000000000104</v>
      </c>
      <c r="AD5939">
        <v>-1.1118036886</v>
      </c>
      <c r="AE5939">
        <v>18.334119999999899</v>
      </c>
      <c r="AF5939">
        <v>-14.592318024150901</v>
      </c>
      <c r="AG5939">
        <v>-1.1118036886</v>
      </c>
      <c r="AH5939">
        <v>13.555636348041901</v>
      </c>
      <c r="AI5939">
        <v>93.195023605935503</v>
      </c>
      <c r="AJ5939">
        <v>137.10923499545501</v>
      </c>
      <c r="AK5939">
        <v>19.948110927110399</v>
      </c>
    </row>
    <row r="5940" spans="1:37" x14ac:dyDescent="0.2">
      <c r="A5940" t="str">
        <f>"20200111160332007"</f>
        <v>20200111160332007</v>
      </c>
      <c r="B5940" t="str">
        <f>"1578729811998520"</f>
        <v>1578729811998520</v>
      </c>
      <c r="C5940" t="s">
        <v>37</v>
      </c>
      <c r="D5940">
        <v>4.9909480000000004</v>
      </c>
      <c r="E5940">
        <v>0.26015139999999998</v>
      </c>
      <c r="F5940" t="s">
        <v>100</v>
      </c>
      <c r="G5940">
        <v>-168.50120000000001</v>
      </c>
      <c r="H5940">
        <v>3.5793029999999999</v>
      </c>
      <c r="I5940">
        <v>36.578710000000001</v>
      </c>
      <c r="J5940">
        <v>-195.02099999999999</v>
      </c>
      <c r="K5940">
        <v>1.111818</v>
      </c>
      <c r="L5940">
        <v>-60.828769999999999</v>
      </c>
      <c r="M5940">
        <v>0.93910659999999901</v>
      </c>
      <c r="N5940">
        <v>0</v>
      </c>
      <c r="O5940">
        <v>0.3432654</v>
      </c>
      <c r="P5940">
        <v>0.72200690000000001</v>
      </c>
      <c r="Q5940">
        <v>-3.1343570000000001E-2</v>
      </c>
      <c r="R5940">
        <v>0.691175599999999</v>
      </c>
      <c r="S5940">
        <v>0.93489069999999996</v>
      </c>
      <c r="T5940">
        <v>8.6567759999999994E-2</v>
      </c>
      <c r="U5940">
        <v>3.419403</v>
      </c>
      <c r="V5940">
        <v>-0.40094609999999897</v>
      </c>
      <c r="W5940">
        <v>-2.3845729999999999E-2</v>
      </c>
      <c r="X5940">
        <v>0.91579129999999997</v>
      </c>
      <c r="Y5940">
        <v>-0.81531039999999999</v>
      </c>
      <c r="Z5940">
        <v>-3.4588879999999998E-3</v>
      </c>
      <c r="AA5940">
        <v>0.57901380000000002</v>
      </c>
      <c r="AB5940">
        <v>19</v>
      </c>
      <c r="AC5940">
        <v>26.519799999999901</v>
      </c>
      <c r="AD5940">
        <v>2.4674849999999999</v>
      </c>
      <c r="AE5940">
        <v>97.407480000000007</v>
      </c>
      <c r="AF5940">
        <v>-82.333692951253795</v>
      </c>
      <c r="AG5940">
        <v>2.4674849999999999</v>
      </c>
      <c r="AH5940">
        <v>58.313925401799096</v>
      </c>
      <c r="AI5940">
        <v>88.599024480082093</v>
      </c>
      <c r="AJ5940">
        <v>144.69146218637201</v>
      </c>
      <c r="AK5940">
        <v>100.92293779405701</v>
      </c>
    </row>
    <row r="5941" spans="1:37" x14ac:dyDescent="0.2">
      <c r="A5941" t="str">
        <f>"20200111160332020"</f>
        <v>20200111160332020</v>
      </c>
      <c r="B5941" t="str">
        <f>"1578729812019017"</f>
        <v>1578729812019017</v>
      </c>
      <c r="C5941" t="s">
        <v>37</v>
      </c>
      <c r="D5941">
        <v>4.9546159999999997</v>
      </c>
      <c r="E5941">
        <v>0.2608781</v>
      </c>
      <c r="F5941" t="s">
        <v>100</v>
      </c>
      <c r="G5941">
        <v>-168.5017</v>
      </c>
      <c r="H5941">
        <v>4.7147480000000002</v>
      </c>
      <c r="I5941">
        <v>48.063870000000001</v>
      </c>
      <c r="J5941">
        <v>-194.9265</v>
      </c>
      <c r="K5941">
        <v>1.1118299999999901</v>
      </c>
      <c r="L5941">
        <v>-60.78436</v>
      </c>
      <c r="M5941">
        <v>0.93638969999999899</v>
      </c>
      <c r="N5941">
        <v>0</v>
      </c>
      <c r="O5941">
        <v>0.35060839999999999</v>
      </c>
      <c r="P5941">
        <v>0.71327669999999999</v>
      </c>
      <c r="Q5941">
        <v>-3.3536370000000003E-2</v>
      </c>
      <c r="R5941">
        <v>0.70007969999999997</v>
      </c>
      <c r="S5941">
        <v>0.84368899999999902</v>
      </c>
      <c r="T5941">
        <v>0.11462409999999899</v>
      </c>
      <c r="U5941">
        <v>3.4643250000000001</v>
      </c>
      <c r="V5941">
        <v>-0.40512559999999997</v>
      </c>
      <c r="W5941">
        <v>-2.6140940000000001E-2</v>
      </c>
      <c r="X5941">
        <v>0.91388729999999996</v>
      </c>
      <c r="Y5941">
        <v>-0.82672979999999996</v>
      </c>
      <c r="Z5941">
        <v>-4.6553810000000001E-3</v>
      </c>
      <c r="AA5941">
        <v>0.56257979999999996</v>
      </c>
      <c r="AB5941">
        <v>19</v>
      </c>
      <c r="AC5941">
        <v>26.424800000000001</v>
      </c>
      <c r="AD5941">
        <v>3.6029179999999998</v>
      </c>
      <c r="AE5941">
        <v>108.84823</v>
      </c>
      <c r="AF5941">
        <v>-92.575316526875994</v>
      </c>
      <c r="AG5941">
        <v>3.6029179999999998</v>
      </c>
      <c r="AH5941">
        <v>62.8497907719103</v>
      </c>
      <c r="AI5941">
        <v>88.155749665582405</v>
      </c>
      <c r="AJ5941">
        <v>145.82724411286301</v>
      </c>
      <c r="AK5941">
        <v>111.952072103373</v>
      </c>
    </row>
    <row r="5942" spans="1:37" x14ac:dyDescent="0.2">
      <c r="A5942" t="str">
        <f>"20200111160332035"</f>
        <v>20200111160332035</v>
      </c>
      <c r="B5942" t="str">
        <f>"1578729812028777"</f>
        <v>1578729812028777</v>
      </c>
      <c r="C5942" t="s">
        <v>37</v>
      </c>
      <c r="D5942">
        <v>4.9715150000000001</v>
      </c>
      <c r="E5942">
        <v>0.26149729999999999</v>
      </c>
      <c r="F5942" t="s">
        <v>100</v>
      </c>
      <c r="G5942">
        <v>-169.08349999999999</v>
      </c>
      <c r="H5942">
        <v>4.6004459999999998</v>
      </c>
      <c r="I5942">
        <v>50.675139999999999</v>
      </c>
      <c r="J5942">
        <v>-194.82249999999999</v>
      </c>
      <c r="K5942">
        <v>1.1118440000000001</v>
      </c>
      <c r="L5942">
        <v>-60.734650000000002</v>
      </c>
      <c r="M5942">
        <v>0.93330429999999998</v>
      </c>
      <c r="N5942">
        <v>0</v>
      </c>
      <c r="O5942">
        <v>0.35873949999999999</v>
      </c>
      <c r="P5942">
        <v>0.70378019999999997</v>
      </c>
      <c r="Q5942">
        <v>-3.5804030000000001E-2</v>
      </c>
      <c r="R5942">
        <v>0.70951489999999995</v>
      </c>
      <c r="S5942">
        <v>0.8046875</v>
      </c>
      <c r="T5942">
        <v>0.10862709999999901</v>
      </c>
      <c r="U5942">
        <v>3.4705809999999899</v>
      </c>
      <c r="V5942">
        <v>-0.40933779999999997</v>
      </c>
      <c r="W5942">
        <v>-2.8512220000000001E-2</v>
      </c>
      <c r="X5942">
        <v>0.91193729999999995</v>
      </c>
      <c r="Y5942">
        <v>-0.82807580000000003</v>
      </c>
      <c r="Z5942">
        <v>-4.1614520000000004E-3</v>
      </c>
      <c r="AA5942">
        <v>0.56060059999999901</v>
      </c>
      <c r="AB5942">
        <v>19</v>
      </c>
      <c r="AC5942">
        <v>25.739000000000001</v>
      </c>
      <c r="AD5942">
        <v>3.48860199999999</v>
      </c>
      <c r="AE5942">
        <v>111.40979</v>
      </c>
      <c r="AF5942">
        <v>-94.6693190928939</v>
      </c>
      <c r="AG5942">
        <v>3.48860199999999</v>
      </c>
      <c r="AH5942">
        <v>63.937865988446902</v>
      </c>
      <c r="AI5942">
        <v>88.250844778570595</v>
      </c>
      <c r="AJ5942">
        <v>145.96565313771401</v>
      </c>
      <c r="AK5942">
        <v>114.291299006456</v>
      </c>
    </row>
    <row r="5943" spans="1:37" x14ac:dyDescent="0.2">
      <c r="A5943" t="str">
        <f>"20200111160332052"</f>
        <v>20200111160332052</v>
      </c>
      <c r="B5943" t="str">
        <f>"1578729812049273"</f>
        <v>1578729812049273</v>
      </c>
      <c r="C5943" t="s">
        <v>37</v>
      </c>
      <c r="D5943">
        <v>4.9687269999999897</v>
      </c>
      <c r="E5943">
        <v>0.26388080000000003</v>
      </c>
      <c r="F5943" t="s">
        <v>68</v>
      </c>
      <c r="G5943">
        <v>-166.34710000000001</v>
      </c>
      <c r="H5943">
        <v>5.6309509999999996</v>
      </c>
      <c r="I5943">
        <v>69.301850000000002</v>
      </c>
      <c r="J5943">
        <v>-194.70009999999999</v>
      </c>
      <c r="K5943">
        <v>1.111842</v>
      </c>
      <c r="L5943">
        <v>-60.67465</v>
      </c>
      <c r="M5943">
        <v>0.9295331</v>
      </c>
      <c r="N5943">
        <v>0</v>
      </c>
      <c r="O5943">
        <v>0.3683997</v>
      </c>
      <c r="P5943">
        <v>0.6898166</v>
      </c>
      <c r="Q5943">
        <v>-4.1027580000000001E-2</v>
      </c>
      <c r="R5943">
        <v>0.72282080000000004</v>
      </c>
      <c r="S5943">
        <v>0.76176449999999996</v>
      </c>
      <c r="T5943">
        <v>0.1208941</v>
      </c>
      <c r="U5943">
        <v>3.47869899999999</v>
      </c>
      <c r="V5943">
        <v>-0.41728270000000001</v>
      </c>
      <c r="W5943">
        <v>-3.3933650000000003E-2</v>
      </c>
      <c r="X5943">
        <v>0.90814300000000003</v>
      </c>
      <c r="Y5943">
        <v>-0.82909179999999905</v>
      </c>
      <c r="Z5943">
        <v>-4.2740720000000003E-3</v>
      </c>
      <c r="AA5943">
        <v>0.55909619999999904</v>
      </c>
      <c r="AB5943">
        <v>19</v>
      </c>
      <c r="AC5943">
        <v>28.352999999999899</v>
      </c>
      <c r="AD5943">
        <v>4.5191089999999896</v>
      </c>
      <c r="AE5943">
        <v>129.97649999999999</v>
      </c>
      <c r="AF5943">
        <v>-110.258781551078</v>
      </c>
      <c r="AG5943">
        <v>4.5191089999999896</v>
      </c>
      <c r="AH5943">
        <v>74.162053303929696</v>
      </c>
      <c r="AI5943">
        <v>88.052176837838203</v>
      </c>
      <c r="AJ5943">
        <v>146.07450866322799</v>
      </c>
      <c r="AK5943">
        <v>132.956501930282</v>
      </c>
    </row>
    <row r="5944" spans="1:37" x14ac:dyDescent="0.2">
      <c r="A5944" t="str">
        <f>"20200111160332065"</f>
        <v>20200111160332065</v>
      </c>
      <c r="B5944" t="str">
        <f>"1578729812059033"</f>
        <v>1578729812059033</v>
      </c>
      <c r="C5944" t="s">
        <v>37</v>
      </c>
      <c r="D5944">
        <v>5.0009899999999998</v>
      </c>
      <c r="E5944">
        <v>0.26545289999999999</v>
      </c>
      <c r="F5944" t="s">
        <v>68</v>
      </c>
      <c r="G5944">
        <v>-168.34350000000001</v>
      </c>
      <c r="H5944">
        <v>5.3812499999999996</v>
      </c>
      <c r="I5944">
        <v>68.720119999999994</v>
      </c>
      <c r="J5944">
        <v>-194.59399999999999</v>
      </c>
      <c r="K5944">
        <v>1.111847</v>
      </c>
      <c r="L5944">
        <v>-60.621219999999902</v>
      </c>
      <c r="M5944">
        <v>0.92613630000000002</v>
      </c>
      <c r="N5944">
        <v>0</v>
      </c>
      <c r="O5944">
        <v>0.37685669999999999</v>
      </c>
      <c r="P5944">
        <v>0.6801914</v>
      </c>
      <c r="Q5944">
        <v>-4.3275279999999999E-2</v>
      </c>
      <c r="R5944">
        <v>0.73175610000000002</v>
      </c>
      <c r="S5944">
        <v>0.70892330000000003</v>
      </c>
      <c r="T5944">
        <v>0.11483599999999999</v>
      </c>
      <c r="U5944">
        <v>3.4803769999999998</v>
      </c>
      <c r="V5944">
        <v>-0.42085640000000002</v>
      </c>
      <c r="W5944">
        <v>-3.6268790000000002E-2</v>
      </c>
      <c r="X5944">
        <v>0.90640189999999998</v>
      </c>
      <c r="Y5944">
        <v>-0.83218769999999997</v>
      </c>
      <c r="Z5944">
        <v>-3.845659E-3</v>
      </c>
      <c r="AA5944">
        <v>0.55448069999999905</v>
      </c>
      <c r="AB5944">
        <v>19</v>
      </c>
      <c r="AC5944">
        <v>26.250499999999999</v>
      </c>
      <c r="AD5944">
        <v>4.2694029999999996</v>
      </c>
      <c r="AE5944">
        <v>129.34134</v>
      </c>
      <c r="AF5944">
        <v>-109.79390799386501</v>
      </c>
      <c r="AG5944">
        <v>4.2694029999999996</v>
      </c>
      <c r="AH5944">
        <v>72.987466676518395</v>
      </c>
      <c r="AI5944">
        <v>88.145231285223701</v>
      </c>
      <c r="AJ5944">
        <v>146.38531518637799</v>
      </c>
      <c r="AK5944">
        <v>131.90943986841</v>
      </c>
    </row>
    <row r="5945" spans="1:37" x14ac:dyDescent="0.2">
      <c r="A5945" t="str">
        <f>"20200111160332079"</f>
        <v>20200111160332079</v>
      </c>
      <c r="B5945" t="str">
        <f>"1578729812068793"</f>
        <v>1578729812068793</v>
      </c>
      <c r="C5945" t="s">
        <v>37</v>
      </c>
      <c r="D5945">
        <v>5.0530989999999996</v>
      </c>
      <c r="E5945">
        <v>0.26667069999999998</v>
      </c>
      <c r="F5945" t="s">
        <v>68</v>
      </c>
      <c r="G5945">
        <v>-169.6063</v>
      </c>
      <c r="H5945">
        <v>4.9868980000000001</v>
      </c>
      <c r="I5945">
        <v>68.72</v>
      </c>
      <c r="J5945">
        <v>-194.5035</v>
      </c>
      <c r="K5945">
        <v>1.1118440000000001</v>
      </c>
      <c r="L5945">
        <v>-60.574399999999997</v>
      </c>
      <c r="M5945">
        <v>0.92313769999999995</v>
      </c>
      <c r="N5945">
        <v>0</v>
      </c>
      <c r="O5945">
        <v>0.3841427</v>
      </c>
      <c r="P5945">
        <v>0.67176219999999998</v>
      </c>
      <c r="Q5945">
        <v>-4.5707940000000002E-2</v>
      </c>
      <c r="R5945">
        <v>0.73935530000000005</v>
      </c>
      <c r="S5945">
        <v>0.67247009999999996</v>
      </c>
      <c r="T5945">
        <v>0.1042857</v>
      </c>
      <c r="U5945">
        <v>3.4808349999999999</v>
      </c>
      <c r="V5945">
        <v>-0.42391599999999902</v>
      </c>
      <c r="W5945">
        <v>-3.877502E-2</v>
      </c>
      <c r="X5945">
        <v>0.90487119999999999</v>
      </c>
      <c r="Y5945">
        <v>-0.83345400000000003</v>
      </c>
      <c r="Z5945">
        <v>-3.2773899999999998E-3</v>
      </c>
      <c r="AA5945">
        <v>0.55257909999999999</v>
      </c>
      <c r="AB5945">
        <v>19</v>
      </c>
      <c r="AC5945">
        <v>24.897200000000002</v>
      </c>
      <c r="AD5945">
        <v>3.875054</v>
      </c>
      <c r="AE5945">
        <v>129.2944</v>
      </c>
      <c r="AF5945">
        <v>-109.711224118598</v>
      </c>
      <c r="AG5945">
        <v>3.875054</v>
      </c>
      <c r="AH5945">
        <v>72.597290770253295</v>
      </c>
      <c r="AI5945">
        <v>88.312806276050694</v>
      </c>
      <c r="AJ5945">
        <v>146.506894704247</v>
      </c>
      <c r="AK5945">
        <v>131.61282372278501</v>
      </c>
    </row>
    <row r="5946" spans="1:37" x14ac:dyDescent="0.2">
      <c r="A5946" t="str">
        <f>"20200111160332099"</f>
        <v>20200111160332099</v>
      </c>
      <c r="B5946" t="str">
        <f>"1578729812089288"</f>
        <v>1578729812089288</v>
      </c>
      <c r="C5946" t="s">
        <v>37</v>
      </c>
      <c r="D5946">
        <v>5.1995779999999998</v>
      </c>
      <c r="E5946">
        <v>0.26927600000000002</v>
      </c>
      <c r="F5946" t="s">
        <v>68</v>
      </c>
      <c r="G5946">
        <v>-168.86</v>
      </c>
      <c r="H5946">
        <v>5.2192129999999999</v>
      </c>
      <c r="I5946">
        <v>78.937219999999996</v>
      </c>
      <c r="J5946">
        <v>-194.37010000000001</v>
      </c>
      <c r="K5946">
        <v>1.1118319999999999</v>
      </c>
      <c r="L5946">
        <v>-60.50385</v>
      </c>
      <c r="M5946">
        <v>0.91856309999999997</v>
      </c>
      <c r="N5946">
        <v>0</v>
      </c>
      <c r="O5946">
        <v>0.39495570000000002</v>
      </c>
      <c r="P5946">
        <v>0.65800519999999996</v>
      </c>
      <c r="Q5946">
        <v>-5.0467070000000003E-2</v>
      </c>
      <c r="R5946">
        <v>0.75132030000000005</v>
      </c>
      <c r="S5946">
        <v>0.64009090000000002</v>
      </c>
      <c r="T5946">
        <v>0.10252459999999999</v>
      </c>
      <c r="U5946">
        <v>3.482361</v>
      </c>
      <c r="V5946">
        <v>-0.4296085</v>
      </c>
      <c r="W5946">
        <v>-4.3673690000000001E-2</v>
      </c>
      <c r="X5946">
        <v>0.901958499999999</v>
      </c>
      <c r="Y5946">
        <v>-0.83197949999999998</v>
      </c>
      <c r="Z5946">
        <v>-2.796317E-3</v>
      </c>
      <c r="AA5946">
        <v>0.5547993</v>
      </c>
      <c r="AB5946">
        <v>19</v>
      </c>
      <c r="AC5946">
        <v>25.510099999999898</v>
      </c>
      <c r="AD5946">
        <v>4.1073810000000002</v>
      </c>
      <c r="AE5946">
        <v>139.44107</v>
      </c>
      <c r="AF5946">
        <v>-117.925918213137</v>
      </c>
      <c r="AG5946">
        <v>4.1073810000000002</v>
      </c>
      <c r="AH5946">
        <v>78.449705576225597</v>
      </c>
      <c r="AI5946">
        <v>88.338918466609599</v>
      </c>
      <c r="AJ5946">
        <v>146.366335441639</v>
      </c>
      <c r="AK5946">
        <v>141.695974078614</v>
      </c>
    </row>
    <row r="5947" spans="1:37" x14ac:dyDescent="0.2">
      <c r="A5947" t="str">
        <f>"20200111160332113"</f>
        <v>20200111160332113</v>
      </c>
      <c r="B5947" t="str">
        <f>"1578729812108809"</f>
        <v>1578729812108809</v>
      </c>
      <c r="C5947" t="s">
        <v>37</v>
      </c>
      <c r="D5947">
        <v>5.1081969999999997</v>
      </c>
      <c r="E5947">
        <v>0.2726809</v>
      </c>
      <c r="F5947" t="s">
        <v>68</v>
      </c>
      <c r="G5947">
        <v>-168.85980000000001</v>
      </c>
      <c r="H5947">
        <v>4.8147060000000002</v>
      </c>
      <c r="I5947">
        <v>89.237849999999995</v>
      </c>
      <c r="J5947">
        <v>-194.2714</v>
      </c>
      <c r="K5947">
        <v>1.111826</v>
      </c>
      <c r="L5947">
        <v>-60.450409999999998</v>
      </c>
      <c r="M5947">
        <v>0.91505499999999995</v>
      </c>
      <c r="N5947">
        <v>0</v>
      </c>
      <c r="O5947">
        <v>0.40301609999999899</v>
      </c>
      <c r="P5947">
        <v>0.64935919999999903</v>
      </c>
      <c r="Q5947">
        <v>-5.2476399999999999E-2</v>
      </c>
      <c r="R5947">
        <v>0.75866909999999999</v>
      </c>
      <c r="S5947">
        <v>0.59278869999999995</v>
      </c>
      <c r="T5947">
        <v>8.6044670000000004E-2</v>
      </c>
      <c r="U5947">
        <v>3.4795839999999898</v>
      </c>
      <c r="V5947">
        <v>-0.43184209999999901</v>
      </c>
      <c r="W5947">
        <v>-4.5735900000000003E-2</v>
      </c>
      <c r="X5947">
        <v>0.9007889</v>
      </c>
      <c r="Y5947">
        <v>-0.834373699999999</v>
      </c>
      <c r="Z5947">
        <v>-2.1741249999999998E-3</v>
      </c>
      <c r="AA5947">
        <v>0.55119499999999999</v>
      </c>
      <c r="AB5947">
        <v>18</v>
      </c>
      <c r="AC5947">
        <v>25.4116</v>
      </c>
      <c r="AD5947">
        <v>3.7028799999999999</v>
      </c>
      <c r="AE5947">
        <v>149.68826000000001</v>
      </c>
      <c r="AF5947">
        <v>-126.672357896375</v>
      </c>
      <c r="AG5947">
        <v>3.7028799999999999</v>
      </c>
      <c r="AH5947">
        <v>83.540649671292101</v>
      </c>
      <c r="AI5947">
        <v>88.602097247551399</v>
      </c>
      <c r="AJ5947">
        <v>146.595076361808</v>
      </c>
      <c r="AK5947">
        <v>151.78484022728799</v>
      </c>
    </row>
    <row r="5948" spans="1:37" x14ac:dyDescent="0.2">
      <c r="A5948" t="str">
        <f>"20200111160332133"</f>
        <v>20200111160332133</v>
      </c>
      <c r="B5948" t="str">
        <f>"1578729812129305"</f>
        <v>1578729812129305</v>
      </c>
      <c r="C5948" t="s">
        <v>37</v>
      </c>
      <c r="D5948">
        <v>5.0941799999999997</v>
      </c>
      <c r="E5948">
        <v>0.27562569999999997</v>
      </c>
      <c r="F5948" t="s">
        <v>68</v>
      </c>
      <c r="G5948">
        <v>-169.04220000000001</v>
      </c>
      <c r="H5948">
        <v>4.0699059999999996</v>
      </c>
      <c r="I5948">
        <v>91.966040000000007</v>
      </c>
      <c r="J5948">
        <v>-194.13140000000001</v>
      </c>
      <c r="K5948">
        <v>1.11181</v>
      </c>
      <c r="L5948">
        <v>-60.37238</v>
      </c>
      <c r="M5948">
        <v>0.90988080000000005</v>
      </c>
      <c r="N5948">
        <v>0</v>
      </c>
      <c r="O5948">
        <v>0.41456470000000001</v>
      </c>
      <c r="P5948">
        <v>0.63662890000000005</v>
      </c>
      <c r="Q5948">
        <v>-5.6158039999999999E-2</v>
      </c>
      <c r="R5948">
        <v>0.76912290000000005</v>
      </c>
      <c r="S5948">
        <v>0.57398990000000005</v>
      </c>
      <c r="T5948">
        <v>6.7299369999999997E-2</v>
      </c>
      <c r="U5948">
        <v>3.4676209999999998</v>
      </c>
      <c r="V5948">
        <v>-0.43514039999999998</v>
      </c>
      <c r="W5948">
        <v>-4.9497149999999997E-2</v>
      </c>
      <c r="X5948">
        <v>0.8990011</v>
      </c>
      <c r="Y5948">
        <v>-0.83000669999999899</v>
      </c>
      <c r="Z5948">
        <v>-1.3450249999999999E-3</v>
      </c>
      <c r="AA5948">
        <v>0.55775180000000002</v>
      </c>
      <c r="AB5948">
        <v>18</v>
      </c>
      <c r="AC5948">
        <v>25.089200000000002</v>
      </c>
      <c r="AD5948">
        <v>2.9580959999999901</v>
      </c>
      <c r="AE5948">
        <v>152.33842000000001</v>
      </c>
      <c r="AF5948">
        <v>-128.17787686974199</v>
      </c>
      <c r="AG5948">
        <v>2.9580959999999901</v>
      </c>
      <c r="AH5948">
        <v>85.961636873668198</v>
      </c>
      <c r="AI5948">
        <v>88.901954784276896</v>
      </c>
      <c r="AJ5948">
        <v>146.15248269795299</v>
      </c>
      <c r="AK5948">
        <v>154.36230584174399</v>
      </c>
    </row>
    <row r="5949" spans="1:37" x14ac:dyDescent="0.2">
      <c r="A5949" t="str">
        <f>"20200111160332154"</f>
        <v>20200111160332154</v>
      </c>
      <c r="B5949" t="str">
        <f>"1578729812148825"</f>
        <v>1578729812148825</v>
      </c>
      <c r="C5949" t="s">
        <v>37</v>
      </c>
      <c r="D5949">
        <v>5.1448679999999998</v>
      </c>
      <c r="E5949">
        <v>0.27708059999999901</v>
      </c>
      <c r="F5949" t="s">
        <v>68</v>
      </c>
      <c r="G5949">
        <v>-168.8595</v>
      </c>
      <c r="H5949">
        <v>3.8002349999999998</v>
      </c>
      <c r="I5949">
        <v>102.8997</v>
      </c>
      <c r="J5949">
        <v>-193.9829</v>
      </c>
      <c r="K5949">
        <v>1.111802</v>
      </c>
      <c r="L5949">
        <v>-60.286769999999997</v>
      </c>
      <c r="M5949">
        <v>0.90413659999999996</v>
      </c>
      <c r="N5949">
        <v>0</v>
      </c>
      <c r="O5949">
        <v>0.4269463</v>
      </c>
      <c r="P5949">
        <v>0.62416470000000002</v>
      </c>
      <c r="Q5949">
        <v>-5.8982550000000002E-2</v>
      </c>
      <c r="R5949">
        <v>0.77906319999999996</v>
      </c>
      <c r="S5949">
        <v>0.53575130000000004</v>
      </c>
      <c r="T5949">
        <v>5.6993130000000003E-2</v>
      </c>
      <c r="U5949">
        <v>3.4612729999999998</v>
      </c>
      <c r="V5949">
        <v>-0.4370986</v>
      </c>
      <c r="W5949">
        <v>-5.236466E-2</v>
      </c>
      <c r="X5949">
        <v>0.89788789999999996</v>
      </c>
      <c r="Y5949">
        <v>-0.82825079999999995</v>
      </c>
      <c r="Z5949">
        <v>-8.6212300000000001E-4</v>
      </c>
      <c r="AA5949">
        <v>0.56035709999999905</v>
      </c>
      <c r="AB5949">
        <v>18</v>
      </c>
      <c r="AC5949">
        <v>25.1234</v>
      </c>
      <c r="AD5949">
        <v>2.6884329999999999</v>
      </c>
      <c r="AE5949">
        <v>163.18646999999899</v>
      </c>
      <c r="AF5949">
        <v>-136.797618324555</v>
      </c>
      <c r="AG5949">
        <v>2.6884329999999999</v>
      </c>
      <c r="AH5949">
        <v>92.374083173336302</v>
      </c>
      <c r="AI5949">
        <v>89.066901230718699</v>
      </c>
      <c r="AJ5949">
        <v>145.97038171415701</v>
      </c>
      <c r="AK5949">
        <v>165.08721117452001</v>
      </c>
    </row>
    <row r="5950" spans="1:37" x14ac:dyDescent="0.2">
      <c r="A5950" t="str">
        <f>"20200111160332177"</f>
        <v>20200111160332177</v>
      </c>
      <c r="B5950" t="str">
        <f>"1578729812169321"</f>
        <v>1578729812169321</v>
      </c>
      <c r="C5950" t="s">
        <v>37</v>
      </c>
      <c r="D5950">
        <v>5.1758239999999898</v>
      </c>
      <c r="E5950">
        <v>0.3022203</v>
      </c>
      <c r="F5950" t="s">
        <v>67</v>
      </c>
      <c r="G5950">
        <v>-161.892</v>
      </c>
      <c r="H5950">
        <v>4.5634449999999998</v>
      </c>
      <c r="I5950">
        <v>166.4323</v>
      </c>
      <c r="J5950">
        <v>-193.82380000000001</v>
      </c>
      <c r="K5950">
        <v>1.1117999999999999</v>
      </c>
      <c r="L5950">
        <v>-60.191830000000003</v>
      </c>
      <c r="M5950">
        <v>0.89768740000000002</v>
      </c>
      <c r="N5950">
        <v>0</v>
      </c>
      <c r="O5950">
        <v>0.44034409999999902</v>
      </c>
      <c r="P5950">
        <v>0.61216930000000003</v>
      </c>
      <c r="Q5950">
        <v>-6.0783669999999998E-2</v>
      </c>
      <c r="R5950">
        <v>0.78838710000000001</v>
      </c>
      <c r="S5950">
        <v>0.49005129999999902</v>
      </c>
      <c r="T5950">
        <v>5.270946E-2</v>
      </c>
      <c r="U5950">
        <v>3.4621580000000001</v>
      </c>
      <c r="V5950">
        <v>-0.437332</v>
      </c>
      <c r="W5950">
        <v>-5.415814E-2</v>
      </c>
      <c r="X5950">
        <v>0.89766789999999996</v>
      </c>
      <c r="Y5950">
        <v>-0.82718309999999995</v>
      </c>
      <c r="Z5950">
        <v>-5.285763E-4</v>
      </c>
      <c r="AA5950">
        <v>0.56193219999999899</v>
      </c>
      <c r="AB5950">
        <v>18</v>
      </c>
      <c r="AC5950">
        <v>31.931799999999999</v>
      </c>
      <c r="AD5950">
        <v>3.4516450000000001</v>
      </c>
      <c r="AE5950">
        <v>226.62413000000001</v>
      </c>
      <c r="AF5950">
        <v>-189.35766911511999</v>
      </c>
      <c r="AG5950">
        <v>3.4516450000000001</v>
      </c>
      <c r="AH5950">
        <v>128.44450053478499</v>
      </c>
      <c r="AI5950">
        <v>89.135749642839897</v>
      </c>
      <c r="AJ5950">
        <v>145.85029349534099</v>
      </c>
      <c r="AK5950">
        <v>228.83668941747101</v>
      </c>
    </row>
    <row r="5951" spans="1:37" x14ac:dyDescent="0.2">
      <c r="A5951" t="str">
        <f>"20200111160332199"</f>
        <v>20200111160332199</v>
      </c>
      <c r="B5951" t="str">
        <f>"1578729812188840"</f>
        <v>1578729812188840</v>
      </c>
      <c r="C5951" t="s">
        <v>37</v>
      </c>
      <c r="D5951">
        <v>5.0508350000000002</v>
      </c>
      <c r="E5951">
        <v>0.30113309999999999</v>
      </c>
      <c r="F5951" t="s">
        <v>68</v>
      </c>
      <c r="G5951">
        <v>-168.8595</v>
      </c>
      <c r="H5951">
        <v>3.7976209999999999</v>
      </c>
      <c r="I5951">
        <v>79.897880000000001</v>
      </c>
      <c r="J5951">
        <v>-193.67619999999999</v>
      </c>
      <c r="K5951">
        <v>1.111783</v>
      </c>
      <c r="L5951">
        <v>-60.1008</v>
      </c>
      <c r="M5951">
        <v>0.89143739999999905</v>
      </c>
      <c r="N5951">
        <v>0</v>
      </c>
      <c r="O5951">
        <v>0.4528626</v>
      </c>
      <c r="P5951">
        <v>0.60175940000000006</v>
      </c>
      <c r="Q5951">
        <v>-6.1292099999999898E-2</v>
      </c>
      <c r="R5951">
        <v>0.79632219999999998</v>
      </c>
      <c r="S5951">
        <v>0.59645079999999995</v>
      </c>
      <c r="T5951">
        <v>6.4170240000000003E-2</v>
      </c>
      <c r="U5951">
        <v>3.34704599999999</v>
      </c>
      <c r="V5951">
        <v>-0.436521099999999</v>
      </c>
      <c r="W5951">
        <v>-5.4626189999999998E-2</v>
      </c>
      <c r="X5951">
        <v>0.89803419999999901</v>
      </c>
      <c r="Y5951">
        <v>-0.79821160000000002</v>
      </c>
      <c r="Z5951">
        <v>1.6611259999999901E-4</v>
      </c>
      <c r="AA5951">
        <v>0.6023773</v>
      </c>
      <c r="AB5951">
        <v>18</v>
      </c>
      <c r="AC5951">
        <v>24.816700000000001</v>
      </c>
      <c r="AD5951">
        <v>2.6858379999999999</v>
      </c>
      <c r="AE5951">
        <v>139.99868000000001</v>
      </c>
      <c r="AF5951">
        <v>-113.535461928294</v>
      </c>
      <c r="AG5951">
        <v>2.6858379999999999</v>
      </c>
      <c r="AH5951">
        <v>85.503088556090702</v>
      </c>
      <c r="AI5951">
        <v>88.917411341179601</v>
      </c>
      <c r="AJ5951">
        <v>143.01674721955999</v>
      </c>
      <c r="AK5951">
        <v>142.15587569166499</v>
      </c>
    </row>
    <row r="5952" spans="1:37" x14ac:dyDescent="0.2">
      <c r="A5952" t="str">
        <f>"20200111160332222"</f>
        <v>20200111160332222</v>
      </c>
      <c r="B5952" t="str">
        <f>"1578729812219096"</f>
        <v>1578729812219096</v>
      </c>
      <c r="C5952" t="s">
        <v>37</v>
      </c>
      <c r="D5952">
        <v>5.0931839999999999</v>
      </c>
      <c r="E5952">
        <v>0.30282769999999998</v>
      </c>
      <c r="F5952" t="s">
        <v>68</v>
      </c>
      <c r="G5952">
        <v>-169.94200000000001</v>
      </c>
      <c r="H5952">
        <v>6.9591759999999896</v>
      </c>
      <c r="I5952">
        <v>85.728700000000003</v>
      </c>
      <c r="J5952">
        <v>-193.52940000000001</v>
      </c>
      <c r="K5952">
        <v>1.1117669999999999</v>
      </c>
      <c r="L5952">
        <v>-60.007289999999998</v>
      </c>
      <c r="M5952">
        <v>0.8849458</v>
      </c>
      <c r="N5952">
        <v>0</v>
      </c>
      <c r="O5952">
        <v>0.46541959999999999</v>
      </c>
      <c r="P5952">
        <v>0.59200889999999995</v>
      </c>
      <c r="Q5952">
        <v>-6.1374650000000003E-2</v>
      </c>
      <c r="R5952">
        <v>0.8035911</v>
      </c>
      <c r="S5952">
        <v>0.547500599999999</v>
      </c>
      <c r="T5952">
        <v>0.13488729999999999</v>
      </c>
      <c r="U5952">
        <v>3.3639830000000002</v>
      </c>
      <c r="V5952">
        <v>-0.43476779999999998</v>
      </c>
      <c r="W5952">
        <v>-5.4637900000000003E-2</v>
      </c>
      <c r="X5952">
        <v>0.89888359999999901</v>
      </c>
      <c r="Y5952">
        <v>-0.79856769999999999</v>
      </c>
      <c r="Z5952">
        <v>9.6012089999999897E-4</v>
      </c>
      <c r="AA5952">
        <v>0.6019042</v>
      </c>
      <c r="AB5952">
        <v>18</v>
      </c>
      <c r="AC5952">
        <v>23.587399999999999</v>
      </c>
      <c r="AD5952">
        <v>5.8474089999999901</v>
      </c>
      <c r="AE5952">
        <v>145.73598999999999</v>
      </c>
      <c r="AF5952">
        <v>-117.820656557668</v>
      </c>
      <c r="AG5952">
        <v>5.8474089999999901</v>
      </c>
      <c r="AH5952">
        <v>88.574337755957302</v>
      </c>
      <c r="AI5952">
        <v>87.728266638653807</v>
      </c>
      <c r="AJ5952">
        <v>143.06515874636901</v>
      </c>
      <c r="AK5952">
        <v>147.51716040040799</v>
      </c>
    </row>
    <row r="5953" spans="1:37" x14ac:dyDescent="0.2">
      <c r="A5953" t="str">
        <f>"20200111160332244"</f>
        <v>20200111160332244</v>
      </c>
      <c r="B5953" t="str">
        <f>"1578729812238617"</f>
        <v>1578729812238617</v>
      </c>
      <c r="C5953" t="s">
        <v>37</v>
      </c>
      <c r="D5953">
        <v>5.1006279999999897</v>
      </c>
      <c r="E5953">
        <v>0.30418479999999998</v>
      </c>
      <c r="F5953" t="s">
        <v>68</v>
      </c>
      <c r="G5953">
        <v>-168.8612</v>
      </c>
      <c r="H5953">
        <v>8.9190140000000007</v>
      </c>
      <c r="I5953">
        <v>100.24630000000001</v>
      </c>
      <c r="J5953">
        <v>-193.3785</v>
      </c>
      <c r="K5953">
        <v>1.111734</v>
      </c>
      <c r="L5953">
        <v>-59.908050000000003</v>
      </c>
      <c r="M5953">
        <v>0.87799550000000004</v>
      </c>
      <c r="N5953">
        <v>0</v>
      </c>
      <c r="O5953">
        <v>0.47840169999999999</v>
      </c>
      <c r="P5953">
        <v>0.58145009999999997</v>
      </c>
      <c r="Q5953">
        <v>-6.2204410000000002E-2</v>
      </c>
      <c r="R5953">
        <v>0.81120059999999905</v>
      </c>
      <c r="S5953">
        <v>0.51786799999999999</v>
      </c>
      <c r="T5953">
        <v>0.1639004</v>
      </c>
      <c r="U5953">
        <v>3.364258</v>
      </c>
      <c r="V5953">
        <v>-0.43321890000000002</v>
      </c>
      <c r="W5953">
        <v>-5.5394680000000002E-2</v>
      </c>
      <c r="X5953">
        <v>0.89958479999999996</v>
      </c>
      <c r="Y5953">
        <v>-0.79477730000000002</v>
      </c>
      <c r="Z5953">
        <v>2.1247660000000002E-3</v>
      </c>
      <c r="AA5953">
        <v>0.60689749999999998</v>
      </c>
      <c r="AB5953">
        <v>18</v>
      </c>
      <c r="AC5953">
        <v>24.517299999999999</v>
      </c>
      <c r="AD5953">
        <v>7.8072800000000004</v>
      </c>
      <c r="AE5953">
        <v>160.15434999999999</v>
      </c>
      <c r="AF5953">
        <v>-128.60354571498601</v>
      </c>
      <c r="AG5953">
        <v>7.8072800000000004</v>
      </c>
      <c r="AH5953">
        <v>97.929351587806494</v>
      </c>
      <c r="AI5953">
        <v>87.234820176249102</v>
      </c>
      <c r="AJ5953">
        <v>142.71136196373899</v>
      </c>
      <c r="AK5953">
        <v>161.833196513796</v>
      </c>
    </row>
    <row r="5954" spans="1:37" x14ac:dyDescent="0.2">
      <c r="A5954" t="str">
        <f>"20200111160332266"</f>
        <v>20200111160332266</v>
      </c>
      <c r="B5954" t="str">
        <f>"1578729812259113"</f>
        <v>1578729812259113</v>
      </c>
      <c r="C5954" t="s">
        <v>37</v>
      </c>
      <c r="D5954">
        <v>5.0540409999999998</v>
      </c>
      <c r="E5954">
        <v>0.30462240000000002</v>
      </c>
      <c r="F5954" t="s">
        <v>68</v>
      </c>
      <c r="G5954">
        <v>-169.67429999999999</v>
      </c>
      <c r="H5954">
        <v>8.9990220000000001</v>
      </c>
      <c r="I5954">
        <v>105.8019</v>
      </c>
      <c r="J5954">
        <v>-193.2328</v>
      </c>
      <c r="K5954">
        <v>1.111696</v>
      </c>
      <c r="L5954">
        <v>-59.809139999999999</v>
      </c>
      <c r="M5954">
        <v>0.871017499999999</v>
      </c>
      <c r="N5954">
        <v>0</v>
      </c>
      <c r="O5954">
        <v>0.49099149999999903</v>
      </c>
      <c r="P5954">
        <v>0.57098110000000002</v>
      </c>
      <c r="Q5954">
        <v>-6.4734899999999998E-2</v>
      </c>
      <c r="R5954">
        <v>0.818407</v>
      </c>
      <c r="S5954">
        <v>0.48141479999999998</v>
      </c>
      <c r="T5954">
        <v>0.1601852</v>
      </c>
      <c r="U5954">
        <v>3.3654480000000002</v>
      </c>
      <c r="V5954">
        <v>-0.431616</v>
      </c>
      <c r="W5954">
        <v>-5.7846149999999999E-2</v>
      </c>
      <c r="X5954">
        <v>0.90020080000000002</v>
      </c>
      <c r="Y5954">
        <v>-0.79252559999999905</v>
      </c>
      <c r="Z5954">
        <v>2.9291029999999902E-3</v>
      </c>
      <c r="AA5954">
        <v>0.60983160000000003</v>
      </c>
      <c r="AB5954">
        <v>18</v>
      </c>
      <c r="AC5954">
        <v>23.558499999999999</v>
      </c>
      <c r="AD5954">
        <v>7.8873259999999998</v>
      </c>
      <c r="AE5954">
        <v>165.61104</v>
      </c>
      <c r="AF5954">
        <v>-132.405702583974</v>
      </c>
      <c r="AG5954">
        <v>7.8873259999999998</v>
      </c>
      <c r="AH5954">
        <v>101.620584937915</v>
      </c>
      <c r="AI5954">
        <v>87.294457316566593</v>
      </c>
      <c r="AJ5954">
        <v>142.49397689460801</v>
      </c>
      <c r="AK5954">
        <v>167.09345669807101</v>
      </c>
    </row>
    <row r="5955" spans="1:37" x14ac:dyDescent="0.2">
      <c r="A5955" t="str">
        <f>"20200111160332290"</f>
        <v>20200111160332290</v>
      </c>
      <c r="B5955" t="str">
        <f>"1578729812278635"</f>
        <v>1578729812278635</v>
      </c>
      <c r="C5955" t="s">
        <v>37</v>
      </c>
      <c r="D5955">
        <v>5.0036209999999999</v>
      </c>
      <c r="E5955">
        <v>0.30543789999999998</v>
      </c>
      <c r="F5955" t="s">
        <v>67</v>
      </c>
      <c r="G5955">
        <v>-163.48599999999999</v>
      </c>
      <c r="H5955">
        <v>11.177530000000001</v>
      </c>
      <c r="I5955">
        <v>168.02029999999999</v>
      </c>
      <c r="J5955">
        <v>-193.08619999999999</v>
      </c>
      <c r="K5955">
        <v>1.111642</v>
      </c>
      <c r="L5955">
        <v>-59.706419999999902</v>
      </c>
      <c r="M5955">
        <v>0.86372450000000001</v>
      </c>
      <c r="N5955">
        <v>0</v>
      </c>
      <c r="O5955">
        <v>0.5037104</v>
      </c>
      <c r="P5955">
        <v>0.5605793</v>
      </c>
      <c r="Q5955">
        <v>-6.7488649999999997E-2</v>
      </c>
      <c r="R5955">
        <v>0.82534609999999997</v>
      </c>
      <c r="S5955">
        <v>0.4400635</v>
      </c>
      <c r="T5955">
        <v>0.1489106</v>
      </c>
      <c r="U5955">
        <v>3.370422</v>
      </c>
      <c r="V5955">
        <v>-0.42957689999999998</v>
      </c>
      <c r="W5955">
        <v>-6.0503380000000002E-2</v>
      </c>
      <c r="X5955">
        <v>0.90100119999999895</v>
      </c>
      <c r="Y5955">
        <v>-0.79110159999999996</v>
      </c>
      <c r="Z5955">
        <v>3.4926459999999999E-3</v>
      </c>
      <c r="AA5955">
        <v>0.61167490000000002</v>
      </c>
      <c r="AB5955">
        <v>18</v>
      </c>
      <c r="AC5955">
        <v>29.600200000000001</v>
      </c>
      <c r="AD5955">
        <v>10.065887999999999</v>
      </c>
      <c r="AE5955">
        <v>227.72672</v>
      </c>
      <c r="AF5955">
        <v>-181.45783639207301</v>
      </c>
      <c r="AG5955">
        <v>10.065887999999999</v>
      </c>
      <c r="AH5955">
        <v>140.023650773414</v>
      </c>
      <c r="AI5955">
        <v>87.485351452695596</v>
      </c>
      <c r="AJ5955">
        <v>142.34408785270799</v>
      </c>
      <c r="AK5955">
        <v>229.422952786411</v>
      </c>
    </row>
    <row r="5956" spans="1:37" x14ac:dyDescent="0.2">
      <c r="A5956" t="str">
        <f>"20200111160332310"</f>
        <v>20200111160332310</v>
      </c>
      <c r="B5956" t="str">
        <f>"1578729812299128"</f>
        <v>1578729812299128</v>
      </c>
      <c r="C5956" t="s">
        <v>37</v>
      </c>
      <c r="D5956">
        <v>4.925548</v>
      </c>
      <c r="E5956">
        <v>0.30586770000000002</v>
      </c>
      <c r="F5956" t="s">
        <v>67</v>
      </c>
      <c r="G5956">
        <v>-165.60720000000001</v>
      </c>
      <c r="H5956">
        <v>11.8695</v>
      </c>
      <c r="I5956">
        <v>170.1387</v>
      </c>
      <c r="J5956">
        <v>-192.9556</v>
      </c>
      <c r="K5956">
        <v>1.111585</v>
      </c>
      <c r="L5956">
        <v>-59.611999999999902</v>
      </c>
      <c r="M5956">
        <v>0.85699369999999997</v>
      </c>
      <c r="N5956">
        <v>0</v>
      </c>
      <c r="O5956">
        <v>0.51507860000000005</v>
      </c>
      <c r="P5956">
        <v>0.55171300000000001</v>
      </c>
      <c r="Q5956">
        <v>-7.0647399999999999E-2</v>
      </c>
      <c r="R5956">
        <v>0.83103649999999996</v>
      </c>
      <c r="S5956">
        <v>0.40335079999999901</v>
      </c>
      <c r="T5956">
        <v>0.15790960000000001</v>
      </c>
      <c r="U5956">
        <v>3.3737789999999999</v>
      </c>
      <c r="V5956">
        <v>-0.42704560000000003</v>
      </c>
      <c r="W5956">
        <v>-6.3556169999999995E-2</v>
      </c>
      <c r="X5956">
        <v>0.90199370000000001</v>
      </c>
      <c r="Y5956">
        <v>-0.78962889999999997</v>
      </c>
      <c r="Z5956">
        <v>4.445732E-3</v>
      </c>
      <c r="AA5956">
        <v>0.61356860000000002</v>
      </c>
      <c r="AB5956">
        <v>18</v>
      </c>
      <c r="AC5956">
        <v>27.348400000000002</v>
      </c>
      <c r="AD5956">
        <v>10.757915000000001</v>
      </c>
      <c r="AE5956">
        <v>229.75069999999999</v>
      </c>
      <c r="AF5956">
        <v>-182.43730767880399</v>
      </c>
      <c r="AG5956">
        <v>10.757915000000001</v>
      </c>
      <c r="AH5956">
        <v>141.48933130641001</v>
      </c>
      <c r="AI5956">
        <v>87.332143218009904</v>
      </c>
      <c r="AJ5956">
        <v>142.20461803665</v>
      </c>
      <c r="AK5956">
        <v>231.12406807118299</v>
      </c>
    </row>
    <row r="5957" spans="1:37" x14ac:dyDescent="0.2">
      <c r="A5957" t="str">
        <f>"20200111160332424"</f>
        <v>20200111160332424</v>
      </c>
      <c r="B5957" t="str">
        <f>"1578729812419178"</f>
        <v>1578729812419178</v>
      </c>
      <c r="C5957" t="s">
        <v>37</v>
      </c>
      <c r="D5957">
        <v>5.0252999999999997</v>
      </c>
      <c r="E5957">
        <v>0.31547389999999997</v>
      </c>
      <c r="F5957" t="s">
        <v>67</v>
      </c>
      <c r="G5957">
        <v>-167.6482</v>
      </c>
      <c r="H5957">
        <v>13.308920000000001</v>
      </c>
      <c r="I5957">
        <v>170.24289999999999</v>
      </c>
      <c r="J5957">
        <v>-192.26849999999999</v>
      </c>
      <c r="K5957">
        <v>1.111418</v>
      </c>
      <c r="L5957">
        <v>-59.069429999999997</v>
      </c>
      <c r="M5957">
        <v>0.81780989999999998</v>
      </c>
      <c r="N5957">
        <v>0</v>
      </c>
      <c r="O5957">
        <v>0.57526759999999999</v>
      </c>
      <c r="P5957">
        <v>0.5015792</v>
      </c>
      <c r="Q5957">
        <v>-7.097241E-2</v>
      </c>
      <c r="R5957">
        <v>0.86219559999999995</v>
      </c>
      <c r="S5957">
        <v>0.37194820000000001</v>
      </c>
      <c r="T5957">
        <v>0.17926779999999901</v>
      </c>
      <c r="U5957">
        <v>3.3782349999999899</v>
      </c>
      <c r="V5957">
        <v>-0.41562510000000003</v>
      </c>
      <c r="W5957">
        <v>-6.343712E-2</v>
      </c>
      <c r="X5957">
        <v>0.90732109999999899</v>
      </c>
      <c r="Y5957">
        <v>-0.74978080000000003</v>
      </c>
      <c r="Z5957">
        <v>1.087199E-2</v>
      </c>
      <c r="AA5957">
        <v>0.66159699999999999</v>
      </c>
      <c r="AB5957">
        <v>18</v>
      </c>
      <c r="AC5957">
        <v>24.620299999999901</v>
      </c>
      <c r="AD5957">
        <v>12.197502</v>
      </c>
      <c r="AE5957">
        <v>229.31233</v>
      </c>
      <c r="AF5957">
        <v>-172.90902324312</v>
      </c>
      <c r="AG5957">
        <v>12.197502</v>
      </c>
      <c r="AH5957">
        <v>151.645834914137</v>
      </c>
      <c r="AI5957">
        <v>86.964126495261596</v>
      </c>
      <c r="AJ5957">
        <v>138.74837209495101</v>
      </c>
      <c r="AK5957">
        <v>230.310157441515</v>
      </c>
    </row>
    <row r="5958" spans="1:37" x14ac:dyDescent="0.2">
      <c r="A5958" t="str">
        <f>"20200111160332446"</f>
        <v>20200111160332446</v>
      </c>
      <c r="B5958" t="str">
        <f>"1578729812438697"</f>
        <v>1578729812438697</v>
      </c>
      <c r="C5958" t="s">
        <v>37</v>
      </c>
      <c r="D5958">
        <v>4.9043229999999998</v>
      </c>
      <c r="E5958">
        <v>0.31870179999999998</v>
      </c>
      <c r="F5958" t="s">
        <v>51</v>
      </c>
      <c r="G5958">
        <v>-164.95330000000001</v>
      </c>
      <c r="H5958">
        <v>42.587519999999998</v>
      </c>
      <c r="I5958">
        <v>315.18990000000002</v>
      </c>
      <c r="J5958">
        <v>-192.13220000000001</v>
      </c>
      <c r="K5958">
        <v>1.1114440000000001</v>
      </c>
      <c r="L5958">
        <v>-58.951809999999902</v>
      </c>
      <c r="M5958">
        <v>0.80915990000000004</v>
      </c>
      <c r="N5958">
        <v>0</v>
      </c>
      <c r="O5958">
        <v>0.58737249999999996</v>
      </c>
      <c r="P5958">
        <v>0.49165169999999903</v>
      </c>
      <c r="Q5958">
        <v>-6.7448850000000005E-2</v>
      </c>
      <c r="R5958">
        <v>0.8681759</v>
      </c>
      <c r="S5958">
        <v>0.24575810000000001</v>
      </c>
      <c r="T5958">
        <v>0.37316470000000002</v>
      </c>
      <c r="U5958">
        <v>3.3672489999999899</v>
      </c>
      <c r="V5958">
        <v>-0.41282459999999999</v>
      </c>
      <c r="W5958">
        <v>-5.9846450000000002E-2</v>
      </c>
      <c r="X5958">
        <v>0.90884229999999999</v>
      </c>
      <c r="Y5958">
        <v>-0.76322500000000004</v>
      </c>
      <c r="Z5958">
        <v>2.3373669999999999E-2</v>
      </c>
      <c r="AA5958">
        <v>0.64570989999999995</v>
      </c>
      <c r="AB5958">
        <v>18</v>
      </c>
      <c r="AC5958">
        <v>27.178899999999999</v>
      </c>
      <c r="AD5958">
        <v>41.476075999999999</v>
      </c>
      <c r="AE5958">
        <v>374.14170999999999</v>
      </c>
      <c r="AF5958">
        <v>-283.348881594864</v>
      </c>
      <c r="AG5958">
        <v>41.476075999999999</v>
      </c>
      <c r="AH5958">
        <v>238.86328621561901</v>
      </c>
      <c r="AI5958">
        <v>83.614208515532098</v>
      </c>
      <c r="AJ5958">
        <v>139.869090123917</v>
      </c>
      <c r="AK5958">
        <v>372.91087820435501</v>
      </c>
    </row>
    <row r="5959" spans="1:37" x14ac:dyDescent="0.2">
      <c r="A5959" t="str">
        <f>"20200111160332492"</f>
        <v>20200111160332492</v>
      </c>
      <c r="B5959" t="str">
        <f>"1578729812489449"</f>
        <v>1578729812489449</v>
      </c>
      <c r="C5959" t="s">
        <v>37</v>
      </c>
      <c r="D5959">
        <v>5.3319400000000003</v>
      </c>
      <c r="E5959">
        <v>0.32884720000000001</v>
      </c>
      <c r="F5959" t="s">
        <v>51</v>
      </c>
      <c r="G5959">
        <v>-166.69900000000001</v>
      </c>
      <c r="H5959">
        <v>40.132559999999998</v>
      </c>
      <c r="I5959">
        <v>314.49709999999999</v>
      </c>
      <c r="J5959">
        <v>-191.87610000000001</v>
      </c>
      <c r="K5959">
        <v>1.1115649999999999</v>
      </c>
      <c r="L5959">
        <v>-58.720399999999998</v>
      </c>
      <c r="M5959">
        <v>0.79192419999999997</v>
      </c>
      <c r="N5959">
        <v>0</v>
      </c>
      <c r="O5959">
        <v>0.61041140000000005</v>
      </c>
      <c r="P5959">
        <v>0.46998899999999999</v>
      </c>
      <c r="Q5959">
        <v>-4.8918740000000002E-2</v>
      </c>
      <c r="R5959">
        <v>0.88131559999999898</v>
      </c>
      <c r="S5959">
        <v>0.22837829999999901</v>
      </c>
      <c r="T5959">
        <v>0.35039109999999901</v>
      </c>
      <c r="U5959">
        <v>3.3533940000000002</v>
      </c>
      <c r="V5959">
        <v>-0.4104679</v>
      </c>
      <c r="W5959">
        <v>-4.1272900000000001E-2</v>
      </c>
      <c r="X5959">
        <v>0.91094050000000004</v>
      </c>
      <c r="Y5959">
        <v>-0.74781129999999996</v>
      </c>
      <c r="Z5959">
        <v>2.6443850000000001E-2</v>
      </c>
      <c r="AA5959">
        <v>0.66338450000000004</v>
      </c>
      <c r="AB5959">
        <v>18</v>
      </c>
      <c r="AC5959">
        <v>25.177099999999999</v>
      </c>
      <c r="AD5959">
        <v>39.020994999999999</v>
      </c>
      <c r="AE5959">
        <v>373.21749999999997</v>
      </c>
      <c r="AF5959">
        <v>-277.210619371093</v>
      </c>
      <c r="AG5959">
        <v>39.020994999999999</v>
      </c>
      <c r="AH5959">
        <v>245.11870734171501</v>
      </c>
      <c r="AI5959">
        <v>83.980348754356299</v>
      </c>
      <c r="AJ5959">
        <v>138.51583299868801</v>
      </c>
      <c r="AK5959">
        <v>372.09077687006499</v>
      </c>
    </row>
    <row r="5960" spans="1:37" x14ac:dyDescent="0.2">
      <c r="A5960" t="str">
        <f>"20200111160332512"</f>
        <v>20200111160332512</v>
      </c>
      <c r="B5960" t="str">
        <f>"1578729812508969"</f>
        <v>1578729812508969</v>
      </c>
      <c r="C5960" t="s">
        <v>37</v>
      </c>
      <c r="D5960">
        <v>5.2746779999999998</v>
      </c>
      <c r="E5960">
        <v>0.33041419999999999</v>
      </c>
      <c r="F5960" t="s">
        <v>38</v>
      </c>
      <c r="G5960">
        <v>-189.5403</v>
      </c>
      <c r="H5960" s="1">
        <v>-3.882848E-6</v>
      </c>
      <c r="I5960">
        <v>-21.506270000000001</v>
      </c>
      <c r="J5960">
        <v>-191.75970000000001</v>
      </c>
      <c r="K5960">
        <v>1.1116539999999999</v>
      </c>
      <c r="L5960">
        <v>-58.610439999999997</v>
      </c>
      <c r="M5960">
        <v>0.78361610000000004</v>
      </c>
      <c r="N5960">
        <v>0</v>
      </c>
      <c r="O5960">
        <v>0.62104079999999995</v>
      </c>
      <c r="P5960">
        <v>0.461530199999999</v>
      </c>
      <c r="Q5960">
        <v>-3.259484E-2</v>
      </c>
      <c r="R5960">
        <v>0.88652549999999997</v>
      </c>
      <c r="S5960">
        <v>0.20640559999999999</v>
      </c>
      <c r="T5960">
        <v>-9.8225469999999995E-2</v>
      </c>
      <c r="U5960">
        <v>3.2884829999999998</v>
      </c>
      <c r="V5960">
        <v>-0.40775840000000002</v>
      </c>
      <c r="W5960">
        <v>-2.48886E-2</v>
      </c>
      <c r="X5960">
        <v>0.91275049999999902</v>
      </c>
      <c r="Y5960">
        <v>-0.74319659999999999</v>
      </c>
      <c r="Z5960">
        <v>-8.1107319999999903E-3</v>
      </c>
      <c r="AA5960">
        <v>0.6690239</v>
      </c>
      <c r="AB5960">
        <v>18</v>
      </c>
      <c r="AC5960">
        <v>2.2193999999999998</v>
      </c>
      <c r="AD5960">
        <v>-1.1116578828479999</v>
      </c>
      <c r="AE5960">
        <v>37.104170000000003</v>
      </c>
      <c r="AF5960">
        <v>-27.675852993946901</v>
      </c>
      <c r="AG5960">
        <v>-1.1116578828479999</v>
      </c>
      <c r="AH5960">
        <v>24.763361531094102</v>
      </c>
      <c r="AI5960">
        <v>91.714565701625901</v>
      </c>
      <c r="AJ5960">
        <v>138.17896064278301</v>
      </c>
      <c r="AK5960">
        <v>37.153905535094601</v>
      </c>
    </row>
    <row r="5961" spans="1:37" x14ac:dyDescent="0.2">
      <c r="A5961" t="str">
        <f>"20200111160332537"</f>
        <v>20200111160332537</v>
      </c>
      <c r="B5961" t="str">
        <f>"1578729812529466"</f>
        <v>1578729812529466</v>
      </c>
      <c r="C5961" t="s">
        <v>37</v>
      </c>
      <c r="D5961">
        <v>5.2767770000000001</v>
      </c>
      <c r="E5961">
        <v>0.33044420000000002</v>
      </c>
      <c r="F5961" t="s">
        <v>38</v>
      </c>
      <c r="G5961">
        <v>-189.59</v>
      </c>
      <c r="H5961" s="1">
        <v>-1.9101350000000001E-7</v>
      </c>
      <c r="I5961">
        <v>-20.1112</v>
      </c>
      <c r="J5961">
        <v>-191.6275</v>
      </c>
      <c r="K5961">
        <v>1.111718</v>
      </c>
      <c r="L5961">
        <v>-58.481479999999998</v>
      </c>
      <c r="M5961">
        <v>0.77378369999999996</v>
      </c>
      <c r="N5961">
        <v>0</v>
      </c>
      <c r="O5961">
        <v>0.63324899999999995</v>
      </c>
      <c r="P5961">
        <v>0.45014999999999999</v>
      </c>
      <c r="Q5961">
        <v>-2.5280049999999998E-2</v>
      </c>
      <c r="R5961">
        <v>0.89259509999999898</v>
      </c>
      <c r="S5961">
        <v>0.18508910000000001</v>
      </c>
      <c r="T5961">
        <v>-9.4828839999999998E-2</v>
      </c>
      <c r="U5961">
        <v>3.28414899999999</v>
      </c>
      <c r="V5961">
        <v>-0.40543279999999998</v>
      </c>
      <c r="W5961">
        <v>-1.7526480000000001E-2</v>
      </c>
      <c r="X5961">
        <v>0.91395680000000001</v>
      </c>
      <c r="Y5961">
        <v>-0.7369561</v>
      </c>
      <c r="Z5961">
        <v>-8.4455099999999998E-3</v>
      </c>
      <c r="AA5961">
        <v>0.67588780000000004</v>
      </c>
      <c r="AB5961">
        <v>18</v>
      </c>
      <c r="AC5961">
        <v>2.0374999999999899</v>
      </c>
      <c r="AD5961">
        <v>-1.1117181910134999</v>
      </c>
      <c r="AE5961">
        <v>38.370280000000001</v>
      </c>
      <c r="AF5961">
        <v>-28.379910056585899</v>
      </c>
      <c r="AG5961">
        <v>-1.1117181910134999</v>
      </c>
      <c r="AH5961">
        <v>25.856174588084802</v>
      </c>
      <c r="AI5961">
        <v>91.658643297809704</v>
      </c>
      <c r="AJ5961">
        <v>137.66418864776699</v>
      </c>
      <c r="AK5961">
        <v>38.408293069149302</v>
      </c>
    </row>
    <row r="5962" spans="1:37" x14ac:dyDescent="0.2">
      <c r="A5962" t="str">
        <f>"20200111160332558"</f>
        <v>20200111160332558</v>
      </c>
      <c r="B5962" t="str">
        <f>"1578729812539225"</f>
        <v>1578729812539225</v>
      </c>
      <c r="C5962" t="s">
        <v>37</v>
      </c>
      <c r="D5962">
        <v>5.2541070000000003</v>
      </c>
      <c r="E5962">
        <v>0.33086789999999999</v>
      </c>
      <c r="F5962" t="s">
        <v>38</v>
      </c>
      <c r="G5962">
        <v>-190.05350000000001</v>
      </c>
      <c r="H5962" s="1">
        <v>-3.5147629999999998E-6</v>
      </c>
      <c r="I5962">
        <v>-22.251089999999898</v>
      </c>
      <c r="J5962">
        <v>-191.51349999999999</v>
      </c>
      <c r="K5962">
        <v>1.111764</v>
      </c>
      <c r="L5962">
        <v>-58.366909999999997</v>
      </c>
      <c r="M5962">
        <v>0.76496319999999995</v>
      </c>
      <c r="N5962">
        <v>0</v>
      </c>
      <c r="O5962">
        <v>0.64387620000000001</v>
      </c>
      <c r="P5962">
        <v>0.44145209999999901</v>
      </c>
      <c r="Q5962">
        <v>-1.8284559999999998E-2</v>
      </c>
      <c r="R5962">
        <v>0.89709850000000002</v>
      </c>
      <c r="S5962">
        <v>0.1427612</v>
      </c>
      <c r="T5962">
        <v>-0.1008352</v>
      </c>
      <c r="U5962">
        <v>3.28616299999999</v>
      </c>
      <c r="V5962">
        <v>-0.40193909999999899</v>
      </c>
      <c r="W5962">
        <v>-1.044868E-2</v>
      </c>
      <c r="X5962">
        <v>0.91560680000000005</v>
      </c>
      <c r="Y5962">
        <v>-0.73632069999999905</v>
      </c>
      <c r="Z5962">
        <v>-9.4380739999999994E-3</v>
      </c>
      <c r="AA5962">
        <v>0.67656680000000002</v>
      </c>
      <c r="AB5962">
        <v>18</v>
      </c>
      <c r="AC5962">
        <v>1.45999999999997</v>
      </c>
      <c r="AD5962">
        <v>-1.111767514763</v>
      </c>
      <c r="AE5962">
        <v>36.115819999999999</v>
      </c>
      <c r="AF5962">
        <v>-26.665386453196199</v>
      </c>
      <c r="AG5962">
        <v>-1.111767514763</v>
      </c>
      <c r="AH5962">
        <v>24.3510301475972</v>
      </c>
      <c r="AI5962">
        <v>91.7634293882615</v>
      </c>
      <c r="AJ5962">
        <v>137.597438335416</v>
      </c>
      <c r="AK5962">
        <v>36.128264986771399</v>
      </c>
    </row>
    <row r="5963" spans="1:37" x14ac:dyDescent="0.2">
      <c r="A5963" t="str">
        <f>"20200111160332603"</f>
        <v>20200111160332603</v>
      </c>
      <c r="B5963" t="str">
        <f>"1578729812598760"</f>
        <v>1578729812598760</v>
      </c>
      <c r="C5963" t="s">
        <v>37</v>
      </c>
      <c r="D5963">
        <v>4.9901150000000003</v>
      </c>
      <c r="E5963">
        <v>0.3277583</v>
      </c>
      <c r="F5963" t="s">
        <v>38</v>
      </c>
      <c r="G5963">
        <v>-190.0847</v>
      </c>
      <c r="H5963" s="1">
        <v>-1.4304539999999999E-6</v>
      </c>
      <c r="I5963">
        <v>-17.128989999999899</v>
      </c>
      <c r="J5963">
        <v>-191.2792</v>
      </c>
      <c r="K5963">
        <v>1.111829</v>
      </c>
      <c r="L5963">
        <v>-58.120730000000002</v>
      </c>
      <c r="M5963">
        <v>0.74573089999999997</v>
      </c>
      <c r="N5963">
        <v>0</v>
      </c>
      <c r="O5963">
        <v>0.66605550000000002</v>
      </c>
      <c r="P5963">
        <v>0.42561969999999999</v>
      </c>
      <c r="Q5963">
        <v>-1.058722E-2</v>
      </c>
      <c r="R5963">
        <v>0.90484019999999998</v>
      </c>
      <c r="S5963">
        <v>0.11386110000000001</v>
      </c>
      <c r="T5963">
        <v>-8.8597540000000002E-2</v>
      </c>
      <c r="U5963">
        <v>3.2862849999999999</v>
      </c>
      <c r="V5963">
        <v>-0.39134469999999999</v>
      </c>
      <c r="W5963">
        <v>-2.498236E-3</v>
      </c>
      <c r="X5963">
        <v>0.92024079999999997</v>
      </c>
      <c r="Y5963">
        <v>-0.72226380000000001</v>
      </c>
      <c r="Z5963">
        <v>-9.3658430000000004E-3</v>
      </c>
      <c r="AA5963">
        <v>0.69155429999999996</v>
      </c>
      <c r="AB5963">
        <v>17</v>
      </c>
      <c r="AC5963">
        <v>1.1944999999999999</v>
      </c>
      <c r="AD5963">
        <v>-1.1118304304540001</v>
      </c>
      <c r="AE5963">
        <v>40.99174</v>
      </c>
      <c r="AF5963">
        <v>-29.7551366019235</v>
      </c>
      <c r="AG5963">
        <v>-1.1118304304540001</v>
      </c>
      <c r="AH5963">
        <v>28.176440756840499</v>
      </c>
      <c r="AI5963">
        <v>91.554150610961699</v>
      </c>
      <c r="AJ5963">
        <v>136.56098336235499</v>
      </c>
      <c r="AK5963">
        <v>40.994098780543403</v>
      </c>
    </row>
    <row r="5964" spans="1:37" x14ac:dyDescent="0.2">
      <c r="A5964" t="str">
        <f>"20200111160332627"</f>
        <v>20200111160332627</v>
      </c>
      <c r="B5964" t="str">
        <f>"1578729812619257"</f>
        <v>1578729812619257</v>
      </c>
      <c r="C5964" t="s">
        <v>37</v>
      </c>
      <c r="D5964">
        <v>4.9965070000000003</v>
      </c>
      <c r="E5964">
        <v>0.32561899999999999</v>
      </c>
      <c r="F5964" t="s">
        <v>38</v>
      </c>
      <c r="G5964">
        <v>-190.03</v>
      </c>
      <c r="H5964" s="1">
        <v>-1.4443830000000001E-6</v>
      </c>
      <c r="I5964">
        <v>62.937369999999902</v>
      </c>
      <c r="J5964">
        <v>-191.1636</v>
      </c>
      <c r="K5964">
        <v>1.1118649999999899</v>
      </c>
      <c r="L5964">
        <v>-57.993559999999903</v>
      </c>
      <c r="M5964">
        <v>0.73564430000000003</v>
      </c>
      <c r="N5964">
        <v>0</v>
      </c>
      <c r="O5964">
        <v>0.67717919999999998</v>
      </c>
      <c r="P5964">
        <v>0.41795109999999902</v>
      </c>
      <c r="Q5964">
        <v>-9.9008240000000008E-3</v>
      </c>
      <c r="R5964">
        <v>0.90841559999999899</v>
      </c>
      <c r="S5964">
        <v>3.4042360000000001E-2</v>
      </c>
      <c r="T5964">
        <v>-3.030014E-2</v>
      </c>
      <c r="U5964">
        <v>3.2991329999999999</v>
      </c>
      <c r="V5964">
        <v>-0.38531919999999997</v>
      </c>
      <c r="W5964">
        <v>-1.6735789999999999E-3</v>
      </c>
      <c r="X5964">
        <v>0.92278179999999999</v>
      </c>
      <c r="Y5964">
        <v>-0.72870550000000001</v>
      </c>
      <c r="Z5964">
        <v>-3.2973490000000002E-3</v>
      </c>
      <c r="AA5964">
        <v>0.68481930000000002</v>
      </c>
      <c r="AB5964">
        <v>17</v>
      </c>
      <c r="AC5964">
        <v>1.1335999999999999</v>
      </c>
      <c r="AD5964">
        <v>-1.111866444383</v>
      </c>
      <c r="AE5964">
        <v>120.93093</v>
      </c>
      <c r="AF5964">
        <v>-88.198325940168004</v>
      </c>
      <c r="AG5964">
        <v>-1.111866444383</v>
      </c>
      <c r="AH5964">
        <v>82.729426448197003</v>
      </c>
      <c r="AI5964">
        <v>90.526796951285405</v>
      </c>
      <c r="AJ5964">
        <v>136.832575439121</v>
      </c>
      <c r="AK5964">
        <v>120.93113307203301</v>
      </c>
    </row>
    <row r="5965" spans="1:37" x14ac:dyDescent="0.2">
      <c r="A5965" t="str">
        <f>"20200111160332649"</f>
        <v>20200111160332649</v>
      </c>
      <c r="B5965" t="str">
        <f>"1578729812638777"</f>
        <v>1578729812638777</v>
      </c>
      <c r="C5965" t="s">
        <v>37</v>
      </c>
      <c r="D5965">
        <v>5.0184009999999999</v>
      </c>
      <c r="E5965">
        <v>0.32446849999999999</v>
      </c>
      <c r="F5965" t="s">
        <v>101</v>
      </c>
      <c r="G5965">
        <v>-192.46729999999999</v>
      </c>
      <c r="H5965">
        <v>0.65142440000000001</v>
      </c>
      <c r="I5965">
        <v>391.87</v>
      </c>
      <c r="J5965">
        <v>-191.0497</v>
      </c>
      <c r="K5965">
        <v>1.1119030000000001</v>
      </c>
      <c r="L5965">
        <v>-57.864199999999997</v>
      </c>
      <c r="M5965">
        <v>0.72526630000000003</v>
      </c>
      <c r="N5965">
        <v>0</v>
      </c>
      <c r="O5965">
        <v>0.68828219999999996</v>
      </c>
      <c r="P5965">
        <v>0.41143269999999998</v>
      </c>
      <c r="Q5965">
        <v>-9.6559300000000001E-3</v>
      </c>
      <c r="R5965">
        <v>0.91138899999999901</v>
      </c>
      <c r="S5965">
        <v>-9.5825200000000006E-3</v>
      </c>
      <c r="T5965">
        <v>-3.3845899999999998E-3</v>
      </c>
      <c r="U5965">
        <v>3.30682399999999</v>
      </c>
      <c r="V5965">
        <v>-0.37789990000000001</v>
      </c>
      <c r="W5965">
        <v>-1.264055E-3</v>
      </c>
      <c r="X5965">
        <v>0.92584560000000005</v>
      </c>
      <c r="Y5965">
        <v>-0.72735099999999997</v>
      </c>
      <c r="Z5965">
        <v>-3.8432389999999998E-4</v>
      </c>
      <c r="AA5965">
        <v>0.68626560000000003</v>
      </c>
      <c r="AB5965">
        <v>17</v>
      </c>
      <c r="AC5965">
        <v>-1.41759999999999</v>
      </c>
      <c r="AD5965">
        <v>-0.46047860000000002</v>
      </c>
      <c r="AE5965">
        <v>449.73419999999999</v>
      </c>
      <c r="AF5965">
        <v>-327.19437529056398</v>
      </c>
      <c r="AG5965">
        <v>-0.46047860000000002</v>
      </c>
      <c r="AH5965">
        <v>308.55514407833402</v>
      </c>
      <c r="AI5965">
        <v>90.058664357097797</v>
      </c>
      <c r="AJ5965">
        <v>136.67934605179801</v>
      </c>
      <c r="AK5965">
        <v>449.73619845363299</v>
      </c>
    </row>
    <row r="5966" spans="1:37" x14ac:dyDescent="0.2">
      <c r="A5966" t="str">
        <f>"20200111160332670"</f>
        <v>20200111160332670</v>
      </c>
      <c r="B5966" t="str">
        <f>"1578729812659272"</f>
        <v>1578729812659272</v>
      </c>
      <c r="C5966" t="s">
        <v>37</v>
      </c>
      <c r="D5966">
        <v>5.2118659999999997</v>
      </c>
      <c r="E5966">
        <v>0.32505689999999998</v>
      </c>
      <c r="F5966" t="s">
        <v>101</v>
      </c>
      <c r="G5966">
        <v>-196.6755</v>
      </c>
      <c r="H5966">
        <v>2.7904610000000001</v>
      </c>
      <c r="I5966">
        <v>391.87</v>
      </c>
      <c r="J5966">
        <v>-190.9451</v>
      </c>
      <c r="K5966">
        <v>1.1119429999999999</v>
      </c>
      <c r="L5966">
        <v>-57.741419999999998</v>
      </c>
      <c r="M5966">
        <v>0.71531389999999995</v>
      </c>
      <c r="N5966">
        <v>0</v>
      </c>
      <c r="O5966">
        <v>0.69861949999999995</v>
      </c>
      <c r="P5966">
        <v>0.40575250000000002</v>
      </c>
      <c r="Q5966">
        <v>-1.063363E-2</v>
      </c>
      <c r="R5966">
        <v>0.91392109999999904</v>
      </c>
      <c r="S5966">
        <v>-4.1412350000000001E-2</v>
      </c>
      <c r="T5966">
        <v>1.2355919999999999E-2</v>
      </c>
      <c r="U5966">
        <v>3.3105159999999998</v>
      </c>
      <c r="V5966">
        <v>-0.3703399</v>
      </c>
      <c r="W5966">
        <v>-2.0790919999999998E-3</v>
      </c>
      <c r="X5966">
        <v>0.928894</v>
      </c>
      <c r="Y5966">
        <v>-0.72408859999999997</v>
      </c>
      <c r="Z5966">
        <v>1.4634610000000001E-3</v>
      </c>
      <c r="AA5966">
        <v>0.68970540000000002</v>
      </c>
      <c r="AB5966">
        <v>17</v>
      </c>
      <c r="AC5966">
        <v>-5.7304000000000004</v>
      </c>
      <c r="AD5966">
        <v>1.678518</v>
      </c>
      <c r="AE5966">
        <v>449.61142000000001</v>
      </c>
      <c r="AF5966">
        <v>-325.65394979936298</v>
      </c>
      <c r="AG5966">
        <v>1.678518</v>
      </c>
      <c r="AH5966">
        <v>310.04376583165998</v>
      </c>
      <c r="AI5966">
        <v>89.786115129351998</v>
      </c>
      <c r="AJ5966">
        <v>136.406671644293</v>
      </c>
      <c r="AK5966">
        <v>449.64480334335002</v>
      </c>
    </row>
    <row r="5967" spans="1:37" x14ac:dyDescent="0.2">
      <c r="A5967" t="str">
        <f>"20200111160332693"</f>
        <v>20200111160332693</v>
      </c>
      <c r="B5967" t="str">
        <f>"1578729812688553"</f>
        <v>1578729812688553</v>
      </c>
      <c r="C5967" t="s">
        <v>37</v>
      </c>
      <c r="D5967">
        <v>5.2216259999999997</v>
      </c>
      <c r="E5967">
        <v>0.32664890000000002</v>
      </c>
      <c r="F5967" t="s">
        <v>101</v>
      </c>
      <c r="G5967">
        <v>-198.79230000000001</v>
      </c>
      <c r="H5967">
        <v>1.4486270000000001</v>
      </c>
      <c r="I5967">
        <v>391.87</v>
      </c>
      <c r="J5967">
        <v>-190.83959999999999</v>
      </c>
      <c r="K5967">
        <v>1.1119699999999999</v>
      </c>
      <c r="L5967">
        <v>-57.613459999999897</v>
      </c>
      <c r="M5967">
        <v>0.70483899999999999</v>
      </c>
      <c r="N5967">
        <v>0</v>
      </c>
      <c r="O5967">
        <v>0.70918579999999998</v>
      </c>
      <c r="P5967">
        <v>0.40035909999999902</v>
      </c>
      <c r="Q5967">
        <v>-1.234385E-2</v>
      </c>
      <c r="R5967">
        <v>0.91627519999999996</v>
      </c>
      <c r="S5967">
        <v>-5.7739260000000001E-2</v>
      </c>
      <c r="T5967">
        <v>2.4772879999999998E-3</v>
      </c>
      <c r="U5967">
        <v>3.30822799999999</v>
      </c>
      <c r="V5967">
        <v>-0.36193599999999998</v>
      </c>
      <c r="W5967">
        <v>-3.6043490000000002E-3</v>
      </c>
      <c r="X5967">
        <v>0.93219599999999903</v>
      </c>
      <c r="Y5967">
        <v>-0.71719980000000005</v>
      </c>
      <c r="Z5967">
        <v>3.079685E-4</v>
      </c>
      <c r="AA5967">
        <v>0.69686759999999903</v>
      </c>
      <c r="AB5967">
        <v>17</v>
      </c>
      <c r="AC5967">
        <v>-7.9527000000000196</v>
      </c>
      <c r="AD5967">
        <v>0.33665699999999998</v>
      </c>
      <c r="AE5967">
        <v>449.48345999999998</v>
      </c>
      <c r="AF5967">
        <v>-322.494755020524</v>
      </c>
      <c r="AG5967">
        <v>0.33665699999999998</v>
      </c>
      <c r="AH5967">
        <v>313.20206346611502</v>
      </c>
      <c r="AI5967">
        <v>89.957092939457695</v>
      </c>
      <c r="AJ5967">
        <v>135.83749685500899</v>
      </c>
      <c r="AK5967">
        <v>449.55368190363703</v>
      </c>
    </row>
    <row r="5968" spans="1:37" x14ac:dyDescent="0.2">
      <c r="A5968" t="str">
        <f>"20200111160332715"</f>
        <v>20200111160332715</v>
      </c>
      <c r="B5968" t="str">
        <f>"1578729812709049"</f>
        <v>1578729812709049</v>
      </c>
      <c r="C5968" t="s">
        <v>37</v>
      </c>
      <c r="D5968">
        <v>5.2276989999999897</v>
      </c>
      <c r="E5968">
        <v>0.3272736</v>
      </c>
      <c r="F5968" t="s">
        <v>38</v>
      </c>
      <c r="G5968">
        <v>-194.0471</v>
      </c>
      <c r="H5968" s="1">
        <v>-2.89607899999999E-6</v>
      </c>
      <c r="I5968">
        <v>103.82980000000001</v>
      </c>
      <c r="J5968">
        <v>-190.73750000000001</v>
      </c>
      <c r="K5968">
        <v>1.1119840000000001</v>
      </c>
      <c r="L5968">
        <v>-57.48563</v>
      </c>
      <c r="M5968">
        <v>0.69426449999999995</v>
      </c>
      <c r="N5968">
        <v>0</v>
      </c>
      <c r="O5968">
        <v>0.71954069999999903</v>
      </c>
      <c r="P5968">
        <v>0.39469749999999998</v>
      </c>
      <c r="Q5968">
        <v>-1.414413E-2</v>
      </c>
      <c r="R5968">
        <v>0.91870219999999903</v>
      </c>
      <c r="S5968">
        <v>-6.5612790000000004E-2</v>
      </c>
      <c r="T5968">
        <v>-2.2746559999999999E-2</v>
      </c>
      <c r="U5968">
        <v>3.3024900000000001</v>
      </c>
      <c r="V5968">
        <v>-0.35382950000000002</v>
      </c>
      <c r="W5968">
        <v>-5.2239189999999996E-3</v>
      </c>
      <c r="X5968">
        <v>0.93529530000000005</v>
      </c>
      <c r="Y5968">
        <v>-0.70850880000000005</v>
      </c>
      <c r="Z5968">
        <v>-2.9694399999999998E-3</v>
      </c>
      <c r="AA5968">
        <v>0.70569569999999904</v>
      </c>
      <c r="AB5968">
        <v>17</v>
      </c>
      <c r="AC5968">
        <v>-3.3095999999999801</v>
      </c>
      <c r="AD5968">
        <v>-1.111986896079</v>
      </c>
      <c r="AE5968">
        <v>161.31542999999999</v>
      </c>
      <c r="AF5968">
        <v>-114.38629189522599</v>
      </c>
      <c r="AG5968">
        <v>-1.111986896079</v>
      </c>
      <c r="AH5968">
        <v>113.78455422934699</v>
      </c>
      <c r="AI5968">
        <v>90.394883293432102</v>
      </c>
      <c r="AJ5968">
        <v>135.15110146316201</v>
      </c>
      <c r="AK5968">
        <v>161.34554555229701</v>
      </c>
    </row>
    <row r="5969" spans="1:37" x14ac:dyDescent="0.2">
      <c r="A5969" t="str">
        <f>"20200111160332739"</f>
        <v>20200111160332739</v>
      </c>
      <c r="B5969" t="str">
        <f>"1578729812729545"</f>
        <v>1578729812729545</v>
      </c>
      <c r="C5969" t="s">
        <v>37</v>
      </c>
      <c r="D5969">
        <v>5.2306290000000004</v>
      </c>
      <c r="E5969">
        <v>0.32778459999999998</v>
      </c>
      <c r="F5969" t="s">
        <v>38</v>
      </c>
      <c r="G5969">
        <v>-193.4136</v>
      </c>
      <c r="H5969" s="1">
        <v>-1.536792E-6</v>
      </c>
      <c r="I5969">
        <v>51.054189999999998</v>
      </c>
      <c r="J5969">
        <v>-190.63059999999999</v>
      </c>
      <c r="K5969">
        <v>1.1120099999999999</v>
      </c>
      <c r="L5969">
        <v>-57.347079999999998</v>
      </c>
      <c r="M5969">
        <v>0.682666</v>
      </c>
      <c r="N5969">
        <v>0</v>
      </c>
      <c r="O5969">
        <v>0.73055340000000002</v>
      </c>
      <c r="P5969">
        <v>0.38830209999999998</v>
      </c>
      <c r="Q5969">
        <v>-1.6087199999999999E-2</v>
      </c>
      <c r="R5969">
        <v>0.92139169999999904</v>
      </c>
      <c r="S5969">
        <v>-8.1359860000000006E-2</v>
      </c>
      <c r="T5969">
        <v>-3.3807280000000002E-2</v>
      </c>
      <c r="U5969">
        <v>3.2998959999999999</v>
      </c>
      <c r="V5969">
        <v>-0.34530319999999998</v>
      </c>
      <c r="W5969">
        <v>-6.976543E-3</v>
      </c>
      <c r="X5969">
        <v>0.9384652</v>
      </c>
      <c r="Y5969">
        <v>-0.70054969999999905</v>
      </c>
      <c r="Z5969">
        <v>-4.6242729999999999E-3</v>
      </c>
      <c r="AA5969">
        <v>0.71358869999999996</v>
      </c>
      <c r="AB5969">
        <v>17</v>
      </c>
      <c r="AC5969">
        <v>-2.7830000000000101</v>
      </c>
      <c r="AD5969">
        <v>-1.112011536792</v>
      </c>
      <c r="AE5969">
        <v>108.40127</v>
      </c>
      <c r="AF5969">
        <v>-76.036838425996905</v>
      </c>
      <c r="AG5969">
        <v>-1.112011536792</v>
      </c>
      <c r="AH5969">
        <v>77.294934371832397</v>
      </c>
      <c r="AI5969">
        <v>90.587604240558903</v>
      </c>
      <c r="AJ5969">
        <v>134.529895408876</v>
      </c>
      <c r="AK5969">
        <v>108.431288136888</v>
      </c>
    </row>
    <row r="5970" spans="1:37" x14ac:dyDescent="0.2">
      <c r="A5970" t="str">
        <f>"20200111160332761"</f>
        <v>20200111160332761</v>
      </c>
      <c r="B5970" t="str">
        <f>"1578729812758825"</f>
        <v>1578729812758825</v>
      </c>
      <c r="C5970" t="s">
        <v>37</v>
      </c>
      <c r="D5970">
        <v>5.2497210000000001</v>
      </c>
      <c r="E5970">
        <v>0.32855209999999901</v>
      </c>
      <c r="F5970" t="s">
        <v>38</v>
      </c>
      <c r="G5970">
        <v>-193.20670000000001</v>
      </c>
      <c r="H5970" s="1">
        <v>-3.996048E-6</v>
      </c>
      <c r="I5970">
        <v>27.057849999999998</v>
      </c>
      <c r="J5970">
        <v>-190.53210000000001</v>
      </c>
      <c r="K5970">
        <v>1.1120459999999901</v>
      </c>
      <c r="L5970">
        <v>-57.215089999999996</v>
      </c>
      <c r="M5970">
        <v>0.67146859999999997</v>
      </c>
      <c r="N5970">
        <v>0</v>
      </c>
      <c r="O5970">
        <v>0.74085780000000001</v>
      </c>
      <c r="P5970">
        <v>0.38225049999999999</v>
      </c>
      <c r="Q5970">
        <v>-1.6427520000000001E-2</v>
      </c>
      <c r="R5970">
        <v>0.92391270000000003</v>
      </c>
      <c r="S5970">
        <v>-0.100647</v>
      </c>
      <c r="T5970">
        <v>-4.3444749999999997E-2</v>
      </c>
      <c r="U5970">
        <v>3.2975769999999902</v>
      </c>
      <c r="V5970">
        <v>-0.33715539999999999</v>
      </c>
      <c r="W5970">
        <v>-7.1361000000000003E-3</v>
      </c>
      <c r="X5970">
        <v>0.94142199999999998</v>
      </c>
      <c r="Y5970">
        <v>-0.69383779999999995</v>
      </c>
      <c r="Z5970">
        <v>-6.1897840000000003E-3</v>
      </c>
      <c r="AA5970">
        <v>0.72010479999999999</v>
      </c>
      <c r="AB5970">
        <v>17</v>
      </c>
      <c r="AC5970">
        <v>-2.6745999999999901</v>
      </c>
      <c r="AD5970">
        <v>-1.1120499960479999</v>
      </c>
      <c r="AE5970">
        <v>84.272940000000006</v>
      </c>
      <c r="AF5970">
        <v>-58.565548361956502</v>
      </c>
      <c r="AG5970">
        <v>-1.1120499960479999</v>
      </c>
      <c r="AH5970">
        <v>60.635680760540801</v>
      </c>
      <c r="AI5970">
        <v>90.755771547426605</v>
      </c>
      <c r="AJ5970">
        <v>134.00506120478201</v>
      </c>
      <c r="AK5970">
        <v>84.308041677082102</v>
      </c>
    </row>
    <row r="5971" spans="1:37" x14ac:dyDescent="0.2">
      <c r="A5971" t="str">
        <f>"20200111160332783"</f>
        <v>20200111160332783</v>
      </c>
      <c r="B5971" t="str">
        <f>"1578729812779321"</f>
        <v>1578729812779321</v>
      </c>
      <c r="C5971" t="s">
        <v>37</v>
      </c>
      <c r="D5971">
        <v>5.3755040000000003</v>
      </c>
      <c r="E5971">
        <v>0.328731099999999</v>
      </c>
      <c r="F5971" t="s">
        <v>38</v>
      </c>
      <c r="G5971">
        <v>-193.13919999999999</v>
      </c>
      <c r="H5971" s="1">
        <v>-3.705854E-6</v>
      </c>
      <c r="I5971">
        <v>16.280519999999999</v>
      </c>
      <c r="J5971">
        <v>-190.4417</v>
      </c>
      <c r="K5971">
        <v>1.1120829999999999</v>
      </c>
      <c r="L5971">
        <v>-57.0899</v>
      </c>
      <c r="M5971">
        <v>0.66070909999999905</v>
      </c>
      <c r="N5971">
        <v>0</v>
      </c>
      <c r="O5971">
        <v>0.75046859999999904</v>
      </c>
      <c r="P5971">
        <v>0.37816129999999998</v>
      </c>
      <c r="Q5971">
        <v>-1.5939849999999998E-2</v>
      </c>
      <c r="R5971">
        <v>0.92560249999999999</v>
      </c>
      <c r="S5971">
        <v>-0.1168671</v>
      </c>
      <c r="T5971">
        <v>-4.9848910000000003E-2</v>
      </c>
      <c r="U5971">
        <v>3.2945250000000001</v>
      </c>
      <c r="V5971">
        <v>-0.32773619999999998</v>
      </c>
      <c r="W5971">
        <v>-6.4393489999999996E-3</v>
      </c>
      <c r="X5971">
        <v>0.94474729999999996</v>
      </c>
      <c r="Y5971">
        <v>-0.68697519999999901</v>
      </c>
      <c r="Z5971">
        <v>-7.3734300000000003E-3</v>
      </c>
      <c r="AA5971">
        <v>0.7266435</v>
      </c>
      <c r="AB5971">
        <v>17</v>
      </c>
      <c r="AC5971">
        <v>-2.69749999999999</v>
      </c>
      <c r="AD5971">
        <v>-1.1120867058539901</v>
      </c>
      <c r="AE5971">
        <v>73.370419999999996</v>
      </c>
      <c r="AF5971">
        <v>-50.495883615828298</v>
      </c>
      <c r="AG5971">
        <v>-1.1120867058539901</v>
      </c>
      <c r="AH5971">
        <v>53.274648308277698</v>
      </c>
      <c r="AI5971">
        <v>90.867987277262799</v>
      </c>
      <c r="AJ5971">
        <v>133.46610162034099</v>
      </c>
      <c r="AK5971">
        <v>73.411573688045195</v>
      </c>
    </row>
    <row r="5972" spans="1:37" x14ac:dyDescent="0.2">
      <c r="A5972" t="str">
        <f>"20200111160332805"</f>
        <v>20200111160332805</v>
      </c>
      <c r="B5972" t="str">
        <f>"1578729812798841"</f>
        <v>1578729812798841</v>
      </c>
      <c r="C5972" t="s">
        <v>37</v>
      </c>
      <c r="D5972">
        <v>5.2732859999999997</v>
      </c>
      <c r="E5972">
        <v>0.32927299999999998</v>
      </c>
      <c r="F5972" t="s">
        <v>38</v>
      </c>
      <c r="G5972">
        <v>-193.5163</v>
      </c>
      <c r="H5972" s="1">
        <v>-1.342896E-6</v>
      </c>
      <c r="I5972">
        <v>20.538529999999898</v>
      </c>
      <c r="J5972">
        <v>-190.34729999999999</v>
      </c>
      <c r="K5972">
        <v>1.1121540000000001</v>
      </c>
      <c r="L5972">
        <v>-56.954500000000003</v>
      </c>
      <c r="M5972">
        <v>0.64891980000000005</v>
      </c>
      <c r="N5972">
        <v>0</v>
      </c>
      <c r="O5972">
        <v>0.76068499999999994</v>
      </c>
      <c r="P5972">
        <v>0.37308909999999901</v>
      </c>
      <c r="Q5972">
        <v>-1.521902E-2</v>
      </c>
      <c r="R5972">
        <v>0.92767069999999996</v>
      </c>
      <c r="S5972">
        <v>-0.13044739999999999</v>
      </c>
      <c r="T5972">
        <v>-4.7183389999999999E-2</v>
      </c>
      <c r="U5972">
        <v>3.2936099999999899</v>
      </c>
      <c r="V5972">
        <v>-0.31817459999999997</v>
      </c>
      <c r="W5972">
        <v>-5.5080229999999999E-3</v>
      </c>
      <c r="X5972">
        <v>0.94801610000000003</v>
      </c>
      <c r="Y5972">
        <v>-0.67859320000000001</v>
      </c>
      <c r="Z5972">
        <v>-7.2550569999999997E-3</v>
      </c>
      <c r="AA5972">
        <v>0.73447850000000003</v>
      </c>
      <c r="AB5972">
        <v>17</v>
      </c>
      <c r="AC5972">
        <v>-3.1690000000000098</v>
      </c>
      <c r="AD5972">
        <v>-1.112155342896</v>
      </c>
      <c r="AE5972">
        <v>77.493030000000005</v>
      </c>
      <c r="AF5972">
        <v>-52.693426635795099</v>
      </c>
      <c r="AG5972">
        <v>-1.112155342896</v>
      </c>
      <c r="AH5972">
        <v>56.887099001000799</v>
      </c>
      <c r="AI5972">
        <v>90.821716717914498</v>
      </c>
      <c r="AJ5972">
        <v>132.808346662524</v>
      </c>
      <c r="AK5972">
        <v>77.5498299990292</v>
      </c>
    </row>
    <row r="5973" spans="1:37" x14ac:dyDescent="0.2">
      <c r="A5973" t="str">
        <f>"20200111160332829"</f>
        <v>20200111160332829</v>
      </c>
      <c r="B5973" t="str">
        <f>"1578729812819337"</f>
        <v>1578729812819337</v>
      </c>
      <c r="C5973" t="s">
        <v>37</v>
      </c>
      <c r="D5973">
        <v>5.3061769999999999</v>
      </c>
      <c r="E5973">
        <v>0.32963520000000002</v>
      </c>
      <c r="F5973" t="s">
        <v>38</v>
      </c>
      <c r="G5973">
        <v>-193.9151</v>
      </c>
      <c r="H5973" s="1">
        <v>-3.0746920000000002E-6</v>
      </c>
      <c r="I5973">
        <v>24.328019999999999</v>
      </c>
      <c r="J5973">
        <v>-190.2518</v>
      </c>
      <c r="K5973">
        <v>1.112225</v>
      </c>
      <c r="L5973">
        <v>-56.812619999999903</v>
      </c>
      <c r="M5973">
        <v>0.6363993</v>
      </c>
      <c r="N5973">
        <v>0</v>
      </c>
      <c r="O5973">
        <v>0.77118959999999903</v>
      </c>
      <c r="P5973">
        <v>0.36707790000000001</v>
      </c>
      <c r="Q5973">
        <v>-1.3998119999999999E-2</v>
      </c>
      <c r="R5973">
        <v>0.93008489999999999</v>
      </c>
      <c r="S5973">
        <v>-0.14447019999999999</v>
      </c>
      <c r="T5973">
        <v>-4.5033450000000003E-2</v>
      </c>
      <c r="U5973">
        <v>3.29129</v>
      </c>
      <c r="V5973">
        <v>-0.30883569999999999</v>
      </c>
      <c r="W5973">
        <v>-4.0805670000000002E-3</v>
      </c>
      <c r="X5973">
        <v>0.95110669999999897</v>
      </c>
      <c r="Y5973">
        <v>-0.66968369999999999</v>
      </c>
      <c r="Z5973">
        <v>-7.19908599999999E-3</v>
      </c>
      <c r="AA5973">
        <v>0.74261160000000004</v>
      </c>
      <c r="AB5973">
        <v>17</v>
      </c>
      <c r="AC5973">
        <v>-3.6632999999999898</v>
      </c>
      <c r="AD5973">
        <v>-1.1122280746919999</v>
      </c>
      <c r="AE5973">
        <v>81.140639999999905</v>
      </c>
      <c r="AF5973">
        <v>-54.459884072957102</v>
      </c>
      <c r="AG5973">
        <v>-1.1122280746919999</v>
      </c>
      <c r="AH5973">
        <v>60.240109946673201</v>
      </c>
      <c r="AI5973">
        <v>90.784675640185995</v>
      </c>
      <c r="AJ5973">
        <v>132.11505984821801</v>
      </c>
      <c r="AK5973">
        <v>81.2156811885324</v>
      </c>
    </row>
    <row r="5974" spans="1:37" x14ac:dyDescent="0.2">
      <c r="A5974" t="str">
        <f>"20200111160332851"</f>
        <v>20200111160332851</v>
      </c>
      <c r="B5974" t="str">
        <f>"1578729812839833"</f>
        <v>1578729812839833</v>
      </c>
      <c r="C5974" t="s">
        <v>37</v>
      </c>
      <c r="D5974">
        <v>5.2816510000000001</v>
      </c>
      <c r="E5974">
        <v>0.33012190000000002</v>
      </c>
      <c r="F5974" t="s">
        <v>38</v>
      </c>
      <c r="G5974">
        <v>-194.37899999999999</v>
      </c>
      <c r="H5974" s="1">
        <v>-3.9580250000000001E-6</v>
      </c>
      <c r="I5974">
        <v>26.335079999999898</v>
      </c>
      <c r="J5974">
        <v>-190.16229999999999</v>
      </c>
      <c r="K5974">
        <v>1.1122829999999999</v>
      </c>
      <c r="L5974">
        <v>-56.67398</v>
      </c>
      <c r="M5974">
        <v>0.62399939999999998</v>
      </c>
      <c r="N5974">
        <v>0</v>
      </c>
      <c r="O5974">
        <v>0.78125610000000001</v>
      </c>
      <c r="P5974">
        <v>0.36020590000000002</v>
      </c>
      <c r="Q5974">
        <v>-1.2004269999999999E-2</v>
      </c>
      <c r="R5974">
        <v>0.93279559999999995</v>
      </c>
      <c r="S5974">
        <v>-0.163269</v>
      </c>
      <c r="T5974">
        <v>-4.3999549999999998E-2</v>
      </c>
      <c r="U5974">
        <v>3.289307</v>
      </c>
      <c r="V5974">
        <v>-0.30070479999999999</v>
      </c>
      <c r="W5974">
        <v>-1.901884E-3</v>
      </c>
      <c r="X5974">
        <v>0.95371539999999999</v>
      </c>
      <c r="Y5974">
        <v>-0.66204110000000005</v>
      </c>
      <c r="Z5974">
        <v>-7.28326199999999E-3</v>
      </c>
      <c r="AA5974">
        <v>0.74943219999999899</v>
      </c>
      <c r="AB5974">
        <v>17</v>
      </c>
      <c r="AC5974">
        <v>-4.2167000000000296</v>
      </c>
      <c r="AD5974">
        <v>-1.1122869580249899</v>
      </c>
      <c r="AE5974">
        <v>83.009059999999906</v>
      </c>
      <c r="AF5974">
        <v>-55.089324530712403</v>
      </c>
      <c r="AG5974">
        <v>-1.1122869580249899</v>
      </c>
      <c r="AH5974">
        <v>62.217177882797401</v>
      </c>
      <c r="AI5974">
        <v>90.766842551657106</v>
      </c>
      <c r="AJ5974">
        <v>131.52283203878201</v>
      </c>
      <c r="AK5974">
        <v>83.108652276563802</v>
      </c>
    </row>
    <row r="5975" spans="1:37" x14ac:dyDescent="0.2">
      <c r="A5975" t="str">
        <f>"20200111160332874"</f>
        <v>20200111160332874</v>
      </c>
      <c r="B5975" t="str">
        <f>"1578729812869113"</f>
        <v>1578729812869113</v>
      </c>
      <c r="C5975" t="s">
        <v>37</v>
      </c>
      <c r="D5975">
        <v>5.3389939999999996</v>
      </c>
      <c r="E5975">
        <v>0.3314802</v>
      </c>
      <c r="F5975" t="s">
        <v>38</v>
      </c>
      <c r="G5975">
        <v>-195.09399999999999</v>
      </c>
      <c r="H5975" s="1">
        <v>-2.1146090000000001E-6</v>
      </c>
      <c r="I5975">
        <v>31.358840000000001</v>
      </c>
      <c r="J5975">
        <v>-190.0727</v>
      </c>
      <c r="K5975">
        <v>1.112331</v>
      </c>
      <c r="L5975">
        <v>-56.52966</v>
      </c>
      <c r="M5975">
        <v>0.61093169999999897</v>
      </c>
      <c r="N5975">
        <v>0</v>
      </c>
      <c r="O5975">
        <v>0.79151609999999994</v>
      </c>
      <c r="P5975">
        <v>0.35231449999999997</v>
      </c>
      <c r="Q5975">
        <v>-1.059481E-2</v>
      </c>
      <c r="R5975">
        <v>0.93582169999999898</v>
      </c>
      <c r="S5975">
        <v>-0.18412779999999901</v>
      </c>
      <c r="T5975">
        <v>-4.1527269999999998E-2</v>
      </c>
      <c r="U5975">
        <v>3.28671299999999</v>
      </c>
      <c r="V5975">
        <v>-0.29294120000000001</v>
      </c>
      <c r="W5975">
        <v>-3.0750689999999899E-4</v>
      </c>
      <c r="X5975">
        <v>0.95613040000000005</v>
      </c>
      <c r="Y5975">
        <v>-0.65432639999999997</v>
      </c>
      <c r="Z5975">
        <v>-7.1140739999999997E-3</v>
      </c>
      <c r="AA5975">
        <v>0.75617869999999998</v>
      </c>
      <c r="AB5975">
        <v>17</v>
      </c>
      <c r="AC5975">
        <v>-5.0213000000000196</v>
      </c>
      <c r="AD5975">
        <v>-1.1123331146089901</v>
      </c>
      <c r="AE5975">
        <v>87.888499999999993</v>
      </c>
      <c r="AF5975">
        <v>-57.666738092655699</v>
      </c>
      <c r="AG5975">
        <v>-1.1123331146089901</v>
      </c>
      <c r="AH5975">
        <v>66.495678252635798</v>
      </c>
      <c r="AI5975">
        <v>90.724042429738503</v>
      </c>
      <c r="AJ5975">
        <v>130.93265822241699</v>
      </c>
      <c r="AK5975">
        <v>88.024798741507297</v>
      </c>
    </row>
    <row r="5976" spans="1:37" x14ac:dyDescent="0.2">
      <c r="A5976" t="str">
        <f>"20200111160332895"</f>
        <v>20200111160332895</v>
      </c>
      <c r="B5976" t="str">
        <f>"1578729812888633"</f>
        <v>1578729812888633</v>
      </c>
      <c r="C5976" t="s">
        <v>37</v>
      </c>
      <c r="D5976">
        <v>5.3477839999999999</v>
      </c>
      <c r="E5976">
        <v>0.33312359999999902</v>
      </c>
      <c r="F5976" t="s">
        <v>38</v>
      </c>
      <c r="G5976">
        <v>-195.94739999999999</v>
      </c>
      <c r="H5976" s="1">
        <v>-5.1385739999999999E-6</v>
      </c>
      <c r="I5976">
        <v>38.986649999999997</v>
      </c>
      <c r="J5976">
        <v>-189.99520000000001</v>
      </c>
      <c r="K5976">
        <v>1.1123529999999999</v>
      </c>
      <c r="L5976">
        <v>-56.400089999999999</v>
      </c>
      <c r="M5976">
        <v>0.59907449999999995</v>
      </c>
      <c r="N5976">
        <v>0</v>
      </c>
      <c r="O5976">
        <v>0.8005274</v>
      </c>
      <c r="P5976">
        <v>0.34591079999999902</v>
      </c>
      <c r="Q5976">
        <v>-1.1095829999999999E-2</v>
      </c>
      <c r="R5976">
        <v>0.93820179999999997</v>
      </c>
      <c r="S5976">
        <v>-0.20181270000000001</v>
      </c>
      <c r="T5976">
        <v>-3.8212179999999998E-2</v>
      </c>
      <c r="U5976">
        <v>3.2812809999999999</v>
      </c>
      <c r="V5976">
        <v>-0.28521479999999999</v>
      </c>
      <c r="W5976">
        <v>-6.1597370000000004E-4</v>
      </c>
      <c r="X5976">
        <v>0.95846339999999997</v>
      </c>
      <c r="Y5976">
        <v>-0.64716669999999998</v>
      </c>
      <c r="Z5976">
        <v>-6.7483919999999998E-3</v>
      </c>
      <c r="AA5976">
        <v>0.76231870000000002</v>
      </c>
      <c r="AB5976">
        <v>17</v>
      </c>
      <c r="AC5976">
        <v>-5.9521999999999702</v>
      </c>
      <c r="AD5976">
        <v>-1.112358138574</v>
      </c>
      <c r="AE5976">
        <v>95.386740000000003</v>
      </c>
      <c r="AF5976">
        <v>-61.908500250887101</v>
      </c>
      <c r="AG5976">
        <v>-1.112358138574</v>
      </c>
      <c r="AH5976">
        <v>72.793696642312</v>
      </c>
      <c r="AI5976">
        <v>90.666921286346096</v>
      </c>
      <c r="AJ5976">
        <v>130.38000451718599</v>
      </c>
      <c r="AK5976">
        <v>95.565799399133795</v>
      </c>
    </row>
    <row r="5977" spans="1:37" x14ac:dyDescent="0.2">
      <c r="A5977" t="str">
        <f>"20200111160332917"</f>
        <v>20200111160332917</v>
      </c>
      <c r="B5977" t="str">
        <f>"1578729812909130"</f>
        <v>1578729812909130</v>
      </c>
      <c r="C5977" t="s">
        <v>37</v>
      </c>
      <c r="D5977">
        <v>5.314381</v>
      </c>
      <c r="E5977">
        <v>0.33460240000000002</v>
      </c>
      <c r="F5977" t="s">
        <v>38</v>
      </c>
      <c r="G5977">
        <v>-194.73750000000001</v>
      </c>
      <c r="H5977" s="1">
        <v>-4.1659640000000003E-6</v>
      </c>
      <c r="I5977">
        <v>16.759239999999998</v>
      </c>
      <c r="J5977">
        <v>-189.91569999999999</v>
      </c>
      <c r="K5977">
        <v>1.112355</v>
      </c>
      <c r="L5977">
        <v>-56.262119999999904</v>
      </c>
      <c r="M5977">
        <v>0.58633710000000006</v>
      </c>
      <c r="N5977">
        <v>0</v>
      </c>
      <c r="O5977">
        <v>0.80990260000000003</v>
      </c>
      <c r="P5977">
        <v>0.33840989999999999</v>
      </c>
      <c r="Q5977">
        <v>-1.031031E-2</v>
      </c>
      <c r="R5977">
        <v>0.94094230000000001</v>
      </c>
      <c r="S5977">
        <v>-0.21231079999999899</v>
      </c>
      <c r="T5977">
        <v>-4.979956E-2</v>
      </c>
      <c r="U5977">
        <v>3.275299</v>
      </c>
      <c r="V5977">
        <v>-0.2777192</v>
      </c>
      <c r="W5977">
        <v>3.6603610000000001E-4</v>
      </c>
      <c r="X5977">
        <v>0.96066219999999902</v>
      </c>
      <c r="Y5977">
        <v>-0.63757189999999997</v>
      </c>
      <c r="Z5977">
        <v>-9.0848950000000008E-3</v>
      </c>
      <c r="AA5977">
        <v>0.7703373</v>
      </c>
      <c r="AB5977">
        <v>17</v>
      </c>
      <c r="AC5977">
        <v>-4.8218000000000201</v>
      </c>
      <c r="AD5977">
        <v>-1.112359165964</v>
      </c>
      <c r="AE5977">
        <v>73.021359999999902</v>
      </c>
      <c r="AF5977">
        <v>-46.715755955753202</v>
      </c>
      <c r="AG5977">
        <v>-1.112359165964</v>
      </c>
      <c r="AH5977">
        <v>56.307486966952901</v>
      </c>
      <c r="AI5977">
        <v>90.871043512780702</v>
      </c>
      <c r="AJ5977">
        <v>129.68094769931699</v>
      </c>
      <c r="AK5977">
        <v>73.171936464502394</v>
      </c>
    </row>
    <row r="5978" spans="1:37" x14ac:dyDescent="0.2">
      <c r="A5978" t="str">
        <f>"20200111160332941"</f>
        <v>20200111160332941</v>
      </c>
      <c r="B5978" t="str">
        <f>"1578729812939384"</f>
        <v>1578729812939384</v>
      </c>
      <c r="C5978" t="s">
        <v>37</v>
      </c>
      <c r="D5978">
        <v>5.5862660000000002</v>
      </c>
      <c r="E5978">
        <v>0.33687129999999998</v>
      </c>
      <c r="F5978" t="s">
        <v>38</v>
      </c>
      <c r="G5978">
        <v>-194.535</v>
      </c>
      <c r="H5978" s="1">
        <v>-1.407099E-6</v>
      </c>
      <c r="I5978">
        <v>10.05635</v>
      </c>
      <c r="J5978">
        <v>-189.8339</v>
      </c>
      <c r="K5978">
        <v>1.112347</v>
      </c>
      <c r="L5978">
        <v>-56.114379999999997</v>
      </c>
      <c r="M5978">
        <v>0.57257269999999905</v>
      </c>
      <c r="N5978">
        <v>0</v>
      </c>
      <c r="O5978">
        <v>0.8196909</v>
      </c>
      <c r="P5978">
        <v>0.32941479999999901</v>
      </c>
      <c r="Q5978">
        <v>-9.2117429999999997E-3</v>
      </c>
      <c r="R5978">
        <v>0.94414039999999999</v>
      </c>
      <c r="S5978">
        <v>-0.22773739999999901</v>
      </c>
      <c r="T5978">
        <v>-5.4840680000000003E-2</v>
      </c>
      <c r="U5978">
        <v>3.2695919999999998</v>
      </c>
      <c r="V5978">
        <v>-0.2706808</v>
      </c>
      <c r="W5978">
        <v>1.65588E-3</v>
      </c>
      <c r="X5978">
        <v>0.96266770000000002</v>
      </c>
      <c r="Y5978">
        <v>-0.62821479999999996</v>
      </c>
      <c r="Z5978">
        <v>-1.0330529999999999E-2</v>
      </c>
      <c r="AA5978">
        <v>0.77797130000000003</v>
      </c>
      <c r="AB5978">
        <v>17</v>
      </c>
      <c r="AC5978">
        <v>-4.7010999999999896</v>
      </c>
      <c r="AD5978">
        <v>-1.112348407099</v>
      </c>
      <c r="AE5978">
        <v>66.170730000000006</v>
      </c>
      <c r="AF5978">
        <v>-41.734848458603501</v>
      </c>
      <c r="AG5978">
        <v>-1.112348407099</v>
      </c>
      <c r="AH5978">
        <v>51.540223897542901</v>
      </c>
      <c r="AI5978">
        <v>90.960916484998705</v>
      </c>
      <c r="AJ5978">
        <v>128.998924453488</v>
      </c>
      <c r="AK5978">
        <v>66.328195921871995</v>
      </c>
    </row>
    <row r="5979" spans="1:37" x14ac:dyDescent="0.2">
      <c r="A5979" t="str">
        <f>"20200111160332965"</f>
        <v>20200111160332965</v>
      </c>
      <c r="B5979" t="str">
        <f>"1578729812958905"</f>
        <v>1578729812958905</v>
      </c>
      <c r="C5979" t="s">
        <v>37</v>
      </c>
      <c r="D5979">
        <v>5.2441370000000003</v>
      </c>
      <c r="E5979">
        <v>0.33816020000000002</v>
      </c>
      <c r="F5979" t="s">
        <v>38</v>
      </c>
      <c r="G5979">
        <v>-194.22299999999899</v>
      </c>
      <c r="H5979" s="1">
        <v>-2.5766200000000002E-6</v>
      </c>
      <c r="I5979">
        <v>2.9760680000000002</v>
      </c>
      <c r="J5979">
        <v>-189.7533</v>
      </c>
      <c r="K5979">
        <v>1.1123289999999999</v>
      </c>
      <c r="L5979">
        <v>-55.962649999999996</v>
      </c>
      <c r="M5979">
        <v>0.55831489999999995</v>
      </c>
      <c r="N5979">
        <v>0</v>
      </c>
      <c r="O5979">
        <v>0.82946769999999903</v>
      </c>
      <c r="P5979">
        <v>0.31964959999999998</v>
      </c>
      <c r="Q5979">
        <v>-8.4048839999999996E-3</v>
      </c>
      <c r="R5979">
        <v>0.94749859999999897</v>
      </c>
      <c r="S5979">
        <v>-0.24224850000000001</v>
      </c>
      <c r="T5979">
        <v>-6.1394570000000002E-2</v>
      </c>
      <c r="U5979">
        <v>3.2614139999999998</v>
      </c>
      <c r="V5979">
        <v>-0.26398890000000003</v>
      </c>
      <c r="W5979">
        <v>2.6472219999999999E-3</v>
      </c>
      <c r="X5979">
        <v>0.96452209999999905</v>
      </c>
      <c r="Y5979">
        <v>-0.6182877</v>
      </c>
      <c r="Z5979">
        <v>-1.1942650000000001E-2</v>
      </c>
      <c r="AA5979">
        <v>0.78586109999999998</v>
      </c>
      <c r="AB5979">
        <v>17</v>
      </c>
      <c r="AC5979">
        <v>-4.46969999999998</v>
      </c>
      <c r="AD5979">
        <v>-1.1123315766199999</v>
      </c>
      <c r="AE5979">
        <v>58.938718000000001</v>
      </c>
      <c r="AF5979">
        <v>-36.605776314004402</v>
      </c>
      <c r="AG5979">
        <v>-1.1123315766199999</v>
      </c>
      <c r="AH5979">
        <v>46.382050287229397</v>
      </c>
      <c r="AI5979">
        <v>91.078483291735097</v>
      </c>
      <c r="AJ5979">
        <v>128.281310355579</v>
      </c>
      <c r="AK5979">
        <v>59.097501892502599</v>
      </c>
    </row>
    <row r="5980" spans="1:37" x14ac:dyDescent="0.2">
      <c r="A5980" t="str">
        <f>"20200111160332984"</f>
        <v>20200111160332984</v>
      </c>
      <c r="B5980" t="str">
        <f>"1578729812979401"</f>
        <v>1578729812979401</v>
      </c>
      <c r="C5980" t="s">
        <v>37</v>
      </c>
      <c r="D5980">
        <v>5.2025559999999897</v>
      </c>
      <c r="E5980">
        <v>0.33933839999999998</v>
      </c>
      <c r="F5980" t="s">
        <v>38</v>
      </c>
      <c r="G5980">
        <v>-194.32589999999999</v>
      </c>
      <c r="H5980" s="1">
        <v>-1.288574E-6</v>
      </c>
      <c r="I5980">
        <v>-9.0241760000000004E-2</v>
      </c>
      <c r="J5980">
        <v>-189.69239999999999</v>
      </c>
      <c r="K5980">
        <v>1.1123080000000001</v>
      </c>
      <c r="L5980">
        <v>-55.843319999999999</v>
      </c>
      <c r="M5980">
        <v>0.5470294</v>
      </c>
      <c r="N5980">
        <v>0</v>
      </c>
      <c r="O5980">
        <v>0.83695319999999995</v>
      </c>
      <c r="P5980">
        <v>0.31231540000000002</v>
      </c>
      <c r="Q5980">
        <v>-8.1480259999999992E-3</v>
      </c>
      <c r="R5980">
        <v>0.94994349999999905</v>
      </c>
      <c r="S5980">
        <v>-0.2664337</v>
      </c>
      <c r="T5980">
        <v>-6.4812300000000003E-2</v>
      </c>
      <c r="U5980">
        <v>3.2555239999999999</v>
      </c>
      <c r="V5980">
        <v>-0.25838420000000001</v>
      </c>
      <c r="W5980">
        <v>3.0539629999999998E-3</v>
      </c>
      <c r="X5980">
        <v>0.96603739999999905</v>
      </c>
      <c r="Y5980">
        <v>-0.61353729999999995</v>
      </c>
      <c r="Z5980">
        <v>-1.2885270000000001E-2</v>
      </c>
      <c r="AA5980">
        <v>0.78956059999999995</v>
      </c>
      <c r="AB5980">
        <v>17</v>
      </c>
      <c r="AC5980">
        <v>-4.63349999999999</v>
      </c>
      <c r="AD5980">
        <v>-1.112309288574</v>
      </c>
      <c r="AE5980">
        <v>55.753078240000001</v>
      </c>
      <c r="AF5980">
        <v>-34.367620579282502</v>
      </c>
      <c r="AG5980">
        <v>-1.112309288574</v>
      </c>
      <c r="AH5980">
        <v>44.116535604560902</v>
      </c>
      <c r="AI5980">
        <v>91.139459980914097</v>
      </c>
      <c r="AJ5980">
        <v>127.91926915070501</v>
      </c>
      <c r="AK5980">
        <v>55.934240765236702</v>
      </c>
    </row>
    <row r="5981" spans="1:37" x14ac:dyDescent="0.2">
      <c r="A5981" t="str">
        <f>"20200111160333008"</f>
        <v>20200111160333008</v>
      </c>
      <c r="B5981" t="str">
        <f>"1578729812998921"</f>
        <v>1578729812998921</v>
      </c>
      <c r="C5981" t="s">
        <v>37</v>
      </c>
      <c r="D5981">
        <v>5.1784669999999897</v>
      </c>
      <c r="E5981">
        <v>0.34048349999999999</v>
      </c>
      <c r="F5981" t="s">
        <v>38</v>
      </c>
      <c r="G5981">
        <v>-194.143</v>
      </c>
      <c r="H5981" s="1">
        <v>-3.5343239999999898E-6</v>
      </c>
      <c r="I5981">
        <v>-4.7418629999999897</v>
      </c>
      <c r="J5981">
        <v>-189.61590000000001</v>
      </c>
      <c r="K5981">
        <v>1.112276</v>
      </c>
      <c r="L5981">
        <v>-55.687469999999998</v>
      </c>
      <c r="M5981">
        <v>0.53219559999999999</v>
      </c>
      <c r="N5981">
        <v>0</v>
      </c>
      <c r="O5981">
        <v>0.84646279999999996</v>
      </c>
      <c r="P5981">
        <v>0.30090479999999997</v>
      </c>
      <c r="Q5981">
        <v>-8.1849920000000003E-3</v>
      </c>
      <c r="R5981">
        <v>0.95361909999999905</v>
      </c>
      <c r="S5981">
        <v>-0.28309629999999902</v>
      </c>
      <c r="T5981">
        <v>-7.075381E-2</v>
      </c>
      <c r="U5981">
        <v>3.2505489999999999</v>
      </c>
      <c r="V5981">
        <v>-0.25293759999999998</v>
      </c>
      <c r="W5981">
        <v>3.166973E-3</v>
      </c>
      <c r="X5981">
        <v>0.96747739999999904</v>
      </c>
      <c r="Y5981">
        <v>-0.60368769999999905</v>
      </c>
      <c r="Z5981">
        <v>-1.447765E-2</v>
      </c>
      <c r="AA5981">
        <v>0.79708950000000001</v>
      </c>
      <c r="AB5981">
        <v>17</v>
      </c>
      <c r="AC5981">
        <v>-4.5270999999999901</v>
      </c>
      <c r="AD5981">
        <v>-1.112279534324</v>
      </c>
      <c r="AE5981">
        <v>50.945607000000003</v>
      </c>
      <c r="AF5981">
        <v>-30.934575998565201</v>
      </c>
      <c r="AG5981">
        <v>-1.112279534324</v>
      </c>
      <c r="AH5981">
        <v>40.700478344258698</v>
      </c>
      <c r="AI5981">
        <v>91.246403697868502</v>
      </c>
      <c r="AJ5981">
        <v>127.236808174871</v>
      </c>
      <c r="AK5981">
        <v>51.134275153021903</v>
      </c>
    </row>
    <row r="5982" spans="1:37" x14ac:dyDescent="0.2">
      <c r="A5982" t="str">
        <f>"20200111160333031"</f>
        <v>20200111160333031</v>
      </c>
      <c r="B5982" t="str">
        <f>"1578729813019417"</f>
        <v>1578729813019417</v>
      </c>
      <c r="C5982" t="s">
        <v>37</v>
      </c>
      <c r="D5982">
        <v>5.1730510000000001</v>
      </c>
      <c r="E5982">
        <v>0.34161639999999999</v>
      </c>
      <c r="F5982" t="s">
        <v>38</v>
      </c>
      <c r="G5982">
        <v>-194.1694</v>
      </c>
      <c r="H5982" s="1">
        <v>-1.905176E-6</v>
      </c>
      <c r="I5982">
        <v>-8.5558490000000003</v>
      </c>
      <c r="J5982">
        <v>-189.54839999999999</v>
      </c>
      <c r="K5982">
        <v>1.1122399999999999</v>
      </c>
      <c r="L5982">
        <v>-55.543579999999999</v>
      </c>
      <c r="M5982">
        <v>0.51842959999999905</v>
      </c>
      <c r="N5982">
        <v>0</v>
      </c>
      <c r="O5982">
        <v>0.85496309999999998</v>
      </c>
      <c r="P5982">
        <v>0.29019450000000002</v>
      </c>
      <c r="Q5982">
        <v>-7.6128139999999999E-3</v>
      </c>
      <c r="R5982">
        <v>0.95693739999999905</v>
      </c>
      <c r="S5982">
        <v>-0.31343080000000001</v>
      </c>
      <c r="T5982">
        <v>-7.6560500000000004E-2</v>
      </c>
      <c r="U5982">
        <v>3.2441709999999899</v>
      </c>
      <c r="V5982">
        <v>-0.248140099999999</v>
      </c>
      <c r="W5982">
        <v>3.8688720000000002E-3</v>
      </c>
      <c r="X5982">
        <v>0.96871640000000003</v>
      </c>
      <c r="Y5982">
        <v>-0.5982963</v>
      </c>
      <c r="Z5982">
        <v>-1.60363E-2</v>
      </c>
      <c r="AA5982">
        <v>0.80111449999999995</v>
      </c>
      <c r="AB5982">
        <v>17</v>
      </c>
      <c r="AC5982">
        <v>-4.6210000000000004</v>
      </c>
      <c r="AD5982">
        <v>-1.112241905176</v>
      </c>
      <c r="AE5982">
        <v>46.987730999999997</v>
      </c>
      <c r="AF5982">
        <v>-28.298717247557502</v>
      </c>
      <c r="AG5982">
        <v>-1.112241905176</v>
      </c>
      <c r="AH5982">
        <v>37.761236759034396</v>
      </c>
      <c r="AI5982">
        <v>91.350230319218298</v>
      </c>
      <c r="AJ5982">
        <v>126.848323487843</v>
      </c>
      <c r="AK5982">
        <v>47.201329234299003</v>
      </c>
    </row>
    <row r="5983" spans="1:37" x14ac:dyDescent="0.2">
      <c r="A5983" t="str">
        <f>"20200111160333053"</f>
        <v>20200111160333053</v>
      </c>
      <c r="B5983" t="str">
        <f>"1578729813048696"</f>
        <v>1578729813048696</v>
      </c>
      <c r="C5983" t="s">
        <v>37</v>
      </c>
      <c r="D5983">
        <v>5.1364369999999999</v>
      </c>
      <c r="E5983">
        <v>0.34332420000000002</v>
      </c>
      <c r="F5983" t="s">
        <v>38</v>
      </c>
      <c r="G5983">
        <v>-194.14510000000001</v>
      </c>
      <c r="H5983" s="1">
        <v>-4.4923009999999902E-6</v>
      </c>
      <c r="I5983">
        <v>-11.97302</v>
      </c>
      <c r="J5983">
        <v>-189.4838</v>
      </c>
      <c r="K5983">
        <v>1.112195</v>
      </c>
      <c r="L5983">
        <v>-55.3992</v>
      </c>
      <c r="M5983">
        <v>0.5045539</v>
      </c>
      <c r="N5983">
        <v>0</v>
      </c>
      <c r="O5983">
        <v>0.86322449999999995</v>
      </c>
      <c r="P5983">
        <v>0.27811059999999999</v>
      </c>
      <c r="Q5983">
        <v>-9.2919279999999996E-3</v>
      </c>
      <c r="R5983">
        <v>0.96050409999999997</v>
      </c>
      <c r="S5983">
        <v>-0.34159850000000003</v>
      </c>
      <c r="T5983">
        <v>-8.2655670000000001E-2</v>
      </c>
      <c r="U5983">
        <v>3.2379150000000001</v>
      </c>
      <c r="V5983">
        <v>-0.24466570000000001</v>
      </c>
      <c r="W5983">
        <v>2.287688E-3</v>
      </c>
      <c r="X5983">
        <v>0.96960480000000004</v>
      </c>
      <c r="Y5983">
        <v>-0.59238069999999998</v>
      </c>
      <c r="Z5983">
        <v>-1.7709200000000001E-2</v>
      </c>
      <c r="AA5983">
        <v>0.80546359999999995</v>
      </c>
      <c r="AB5983">
        <v>16</v>
      </c>
      <c r="AC5983">
        <v>-4.6613000000000104</v>
      </c>
      <c r="AD5983">
        <v>-1.1121994923009999</v>
      </c>
      <c r="AE5983">
        <v>43.426180000000002</v>
      </c>
      <c r="AF5983">
        <v>-25.921274418082799</v>
      </c>
      <c r="AG5983">
        <v>-1.1121994923009999</v>
      </c>
      <c r="AH5983">
        <v>35.116616986217799</v>
      </c>
      <c r="AI5983">
        <v>91.459666667239901</v>
      </c>
      <c r="AJ5983">
        <v>126.43282959920499</v>
      </c>
      <c r="AK5983">
        <v>43.661496123300097</v>
      </c>
    </row>
    <row r="5984" spans="1:37" x14ac:dyDescent="0.2">
      <c r="A5984" t="str">
        <f>"20200111160333077"</f>
        <v>20200111160333077</v>
      </c>
      <c r="B5984" t="str">
        <f>"1578729813069193"</f>
        <v>1578729813069193</v>
      </c>
      <c r="C5984" t="s">
        <v>37</v>
      </c>
      <c r="D5984">
        <v>5.1152850000000001</v>
      </c>
      <c r="E5984">
        <v>0.34435070000000001</v>
      </c>
      <c r="F5984" t="s">
        <v>42</v>
      </c>
      <c r="G5984">
        <v>-189.6019</v>
      </c>
      <c r="H5984">
        <v>1.0802579999999999</v>
      </c>
      <c r="I5984">
        <v>-54.366540000000001</v>
      </c>
      <c r="J5984">
        <v>-189.4179</v>
      </c>
      <c r="K5984">
        <v>1.112133</v>
      </c>
      <c r="L5984">
        <v>-55.245179999999998</v>
      </c>
      <c r="M5984">
        <v>0.48968699999999998</v>
      </c>
      <c r="N5984">
        <v>0</v>
      </c>
      <c r="O5984">
        <v>0.87174419999999897</v>
      </c>
      <c r="P5984">
        <v>0.26479989999999998</v>
      </c>
      <c r="Q5984">
        <v>-1.309362E-2</v>
      </c>
      <c r="R5984">
        <v>0.96421449999999997</v>
      </c>
      <c r="S5984">
        <v>-0.36946109999999999</v>
      </c>
      <c r="T5984">
        <v>-9.9876759999999995E-2</v>
      </c>
      <c r="U5984">
        <v>3.2293699999999999</v>
      </c>
      <c r="V5984">
        <v>-0.24137049999999999</v>
      </c>
      <c r="W5984">
        <v>-1.4209159999999999E-3</v>
      </c>
      <c r="X5984">
        <v>0.97043199999999996</v>
      </c>
      <c r="Y5984">
        <v>-0.58562519999999996</v>
      </c>
      <c r="Z5984">
        <v>-2.191278E-2</v>
      </c>
      <c r="AA5984">
        <v>0.8102857</v>
      </c>
      <c r="AB5984">
        <v>16</v>
      </c>
      <c r="AC5984">
        <v>-0.183999999999997</v>
      </c>
      <c r="AD5984">
        <v>-3.1875000000000098E-2</v>
      </c>
      <c r="AE5984">
        <v>0.87864000000000397</v>
      </c>
      <c r="AF5984">
        <v>-0.58999503461241298</v>
      </c>
      <c r="AG5984">
        <v>-3.1875000000000098E-2</v>
      </c>
      <c r="AH5984">
        <v>0.67508659736520904</v>
      </c>
      <c r="AI5984">
        <v>92.036133307612801</v>
      </c>
      <c r="AJ5984">
        <v>131.15198349349399</v>
      </c>
      <c r="AK5984">
        <v>0.89713548053481795</v>
      </c>
    </row>
    <row r="5985" spans="1:37" x14ac:dyDescent="0.2">
      <c r="A5985" t="str">
        <f>"20200111160333323"</f>
        <v>20200111160333323</v>
      </c>
      <c r="B5985" t="str">
        <f>"1578729813318690"</f>
        <v>1578729813318690</v>
      </c>
      <c r="C5985" t="s">
        <v>37</v>
      </c>
      <c r="D5985">
        <v>5.0651729999999997</v>
      </c>
      <c r="E5985">
        <v>0.47856359999999998</v>
      </c>
      <c r="F5985" t="s">
        <v>38</v>
      </c>
      <c r="G5985">
        <v>-186.6283</v>
      </c>
      <c r="H5985" s="1">
        <v>-2.4868679999999998E-6</v>
      </c>
      <c r="I5985">
        <v>-15.964410000000001</v>
      </c>
      <c r="J5985">
        <v>-188.9008</v>
      </c>
      <c r="K5985">
        <v>1.1115619999999999</v>
      </c>
      <c r="L5985">
        <v>-53.62256</v>
      </c>
      <c r="M5985">
        <v>0.33042719999999998</v>
      </c>
      <c r="N5985">
        <v>0</v>
      </c>
      <c r="O5985">
        <v>0.94369179999999997</v>
      </c>
      <c r="P5985">
        <v>0.15491150000000001</v>
      </c>
      <c r="Q5985">
        <v>-1.9086079999999998E-2</v>
      </c>
      <c r="R5985">
        <v>0.98774399999999996</v>
      </c>
      <c r="S5985">
        <v>0.18357850000000001</v>
      </c>
      <c r="T5985">
        <v>-8.85098E-2</v>
      </c>
      <c r="U5985">
        <v>3.009735</v>
      </c>
      <c r="V5985">
        <v>-0.18013770000000001</v>
      </c>
      <c r="W5985">
        <v>-6.055571E-3</v>
      </c>
      <c r="X5985">
        <v>0.98362280000000002</v>
      </c>
      <c r="Y5985">
        <v>-0.2724163</v>
      </c>
      <c r="Z5985">
        <v>-2.6346419999999999E-2</v>
      </c>
      <c r="AA5985">
        <v>0.96181870000000003</v>
      </c>
      <c r="AB5985">
        <v>16</v>
      </c>
      <c r="AC5985">
        <v>2.2725</v>
      </c>
      <c r="AD5985">
        <v>-1.1115644868679999</v>
      </c>
      <c r="AE5985">
        <v>37.658149999999999</v>
      </c>
      <c r="AF5985">
        <v>-10.291161538364101</v>
      </c>
      <c r="AG5985">
        <v>-1.1115644868679999</v>
      </c>
      <c r="AH5985">
        <v>36.2618887367695</v>
      </c>
      <c r="AI5985">
        <v>91.689118038506905</v>
      </c>
      <c r="AJ5985">
        <v>105.84399684367099</v>
      </c>
      <c r="AK5985">
        <v>37.710318961459599</v>
      </c>
    </row>
    <row r="5986" spans="1:37" x14ac:dyDescent="0.2">
      <c r="A5986" t="str">
        <f>"20200111160333346"</f>
        <v>20200111160333346</v>
      </c>
      <c r="B5986" t="str">
        <f>"1578729813339186"</f>
        <v>1578729813339186</v>
      </c>
      <c r="C5986" t="s">
        <v>37</v>
      </c>
      <c r="D5986">
        <v>5.1184089999999998</v>
      </c>
      <c r="E5986">
        <v>0.4823305</v>
      </c>
      <c r="F5986" t="s">
        <v>38</v>
      </c>
      <c r="G5986">
        <v>-187.41900000000001</v>
      </c>
      <c r="H5986" s="1">
        <v>-1.439258E-6</v>
      </c>
      <c r="I5986">
        <v>-38.140590000000003</v>
      </c>
      <c r="J5986">
        <v>-188.86660000000001</v>
      </c>
      <c r="K5986">
        <v>1.1115029999999999</v>
      </c>
      <c r="L5986">
        <v>-53.464449999999999</v>
      </c>
      <c r="M5986">
        <v>0.31471399999999999</v>
      </c>
      <c r="N5986">
        <v>0</v>
      </c>
      <c r="O5986">
        <v>0.949048</v>
      </c>
      <c r="P5986">
        <v>0.1448759</v>
      </c>
      <c r="Q5986">
        <v>-2.3621619999999999E-2</v>
      </c>
      <c r="R5986">
        <v>0.98916780000000004</v>
      </c>
      <c r="S5986">
        <v>0.28601070000000001</v>
      </c>
      <c r="T5986">
        <v>-0.21454609999999999</v>
      </c>
      <c r="U5986">
        <v>2.9882200000000001</v>
      </c>
      <c r="V5986">
        <v>-0.17368629999999999</v>
      </c>
      <c r="W5986">
        <v>-1.046949E-2</v>
      </c>
      <c r="X5986">
        <v>0.98474539999999999</v>
      </c>
      <c r="Y5986">
        <v>-0.2230916</v>
      </c>
      <c r="Z5986">
        <v>-6.5136189999999997E-2</v>
      </c>
      <c r="AA5986">
        <v>0.97261889999999995</v>
      </c>
      <c r="AB5986">
        <v>16</v>
      </c>
      <c r="AC5986">
        <v>1.44759999999999</v>
      </c>
      <c r="AD5986">
        <v>-1.111504439258</v>
      </c>
      <c r="AE5986">
        <v>15.3238599999999</v>
      </c>
      <c r="AF5986">
        <v>-3.43135158541424</v>
      </c>
      <c r="AG5986">
        <v>-1.111504439258</v>
      </c>
      <c r="AH5986">
        <v>14.9228136392592</v>
      </c>
      <c r="AI5986">
        <v>94.151778625305795</v>
      </c>
      <c r="AJ5986">
        <v>102.949498777134</v>
      </c>
      <c r="AK5986">
        <v>15.352523660078701</v>
      </c>
    </row>
    <row r="5987" spans="1:37" x14ac:dyDescent="0.2">
      <c r="A5987" t="str">
        <f>"20200111160333370"</f>
        <v>20200111160333370</v>
      </c>
      <c r="B5987" t="str">
        <f>"1578729813358707"</f>
        <v>1578729813358707</v>
      </c>
      <c r="C5987" t="s">
        <v>37</v>
      </c>
      <c r="D5987">
        <v>5.2082379999999997</v>
      </c>
      <c r="E5987">
        <v>0.4840392</v>
      </c>
      <c r="F5987" t="s">
        <v>38</v>
      </c>
      <c r="G5987">
        <v>-187.59360000000001</v>
      </c>
      <c r="H5987" s="1">
        <v>-7.2536519999999899E-7</v>
      </c>
      <c r="I5987">
        <v>-40.10192</v>
      </c>
      <c r="J5987">
        <v>-188.83609999999999</v>
      </c>
      <c r="K5987">
        <v>1.111462</v>
      </c>
      <c r="L5987">
        <v>-53.311459999999997</v>
      </c>
      <c r="M5987">
        <v>0.299485099999999</v>
      </c>
      <c r="N5987">
        <v>0</v>
      </c>
      <c r="O5987">
        <v>0.95396349999999996</v>
      </c>
      <c r="P5987">
        <v>0.1364505</v>
      </c>
      <c r="Q5987">
        <v>-2.4823830000000002E-2</v>
      </c>
      <c r="R5987">
        <v>0.99033579999999999</v>
      </c>
      <c r="S5987">
        <v>0.28440859999999901</v>
      </c>
      <c r="T5987">
        <v>-0.24831599999999901</v>
      </c>
      <c r="U5987">
        <v>2.9852599999999998</v>
      </c>
      <c r="V5987">
        <v>-0.1662797</v>
      </c>
      <c r="W5987">
        <v>-1.1532809999999999E-2</v>
      </c>
      <c r="X5987">
        <v>0.98601119999999898</v>
      </c>
      <c r="Y5987">
        <v>-0.20796410000000001</v>
      </c>
      <c r="Z5987">
        <v>-7.6143959999999997E-2</v>
      </c>
      <c r="AA5987">
        <v>0.97516819999999904</v>
      </c>
      <c r="AB5987">
        <v>16</v>
      </c>
      <c r="AC5987">
        <v>1.24249999999997</v>
      </c>
      <c r="AD5987">
        <v>-1.1114627253652001</v>
      </c>
      <c r="AE5987">
        <v>13.209539999999899</v>
      </c>
      <c r="AF5987">
        <v>-2.7518130999372801</v>
      </c>
      <c r="AG5987">
        <v>-1.1114627253652001</v>
      </c>
      <c r="AH5987">
        <v>12.884810650377601</v>
      </c>
      <c r="AI5987">
        <v>94.821998921721104</v>
      </c>
      <c r="AJ5987">
        <v>102.055561641598</v>
      </c>
      <c r="AK5987">
        <v>13.222184774951</v>
      </c>
    </row>
    <row r="5988" spans="1:37" x14ac:dyDescent="0.2">
      <c r="A5988" t="str">
        <f>"20200111160333389"</f>
        <v>20200111160333389</v>
      </c>
      <c r="B5988" t="str">
        <f>"1578729813379203"</f>
        <v>1578729813379203</v>
      </c>
      <c r="C5988" t="s">
        <v>37</v>
      </c>
      <c r="D5988">
        <v>5.0930080000000002</v>
      </c>
      <c r="E5988">
        <v>0.48551179999999899</v>
      </c>
      <c r="F5988" t="s">
        <v>64</v>
      </c>
      <c r="G5988">
        <v>-187.68969999999999</v>
      </c>
      <c r="H5988" s="1">
        <v>-7.360503E-6</v>
      </c>
      <c r="I5988">
        <v>-40.706609999999998</v>
      </c>
      <c r="J5988">
        <v>-188.81120000000001</v>
      </c>
      <c r="K5988">
        <v>1.111445</v>
      </c>
      <c r="L5988">
        <v>-53.175690000000003</v>
      </c>
      <c r="M5988">
        <v>0.28596329999999998</v>
      </c>
      <c r="N5988">
        <v>0</v>
      </c>
      <c r="O5988">
        <v>0.95810399999999996</v>
      </c>
      <c r="P5988">
        <v>0.13315150000000001</v>
      </c>
      <c r="Q5988">
        <v>-2.3199250000000001E-2</v>
      </c>
      <c r="R5988">
        <v>0.99082420000000004</v>
      </c>
      <c r="S5988">
        <v>0.27149959999999901</v>
      </c>
      <c r="T5988">
        <v>-0.26323669999999999</v>
      </c>
      <c r="U5988">
        <v>2.9852910000000001</v>
      </c>
      <c r="V5988">
        <v>-0.15565129999999999</v>
      </c>
      <c r="W5988">
        <v>-9.7102109999999998E-3</v>
      </c>
      <c r="X5988">
        <v>0.98776439999999999</v>
      </c>
      <c r="Y5988">
        <v>-0.1983384</v>
      </c>
      <c r="Z5988">
        <v>-8.1327549999999998E-2</v>
      </c>
      <c r="AA5988">
        <v>0.97675369999999995</v>
      </c>
      <c r="AB5988">
        <v>16</v>
      </c>
      <c r="AC5988">
        <v>1.1215000000000199</v>
      </c>
      <c r="AD5988">
        <v>-1.111452360503</v>
      </c>
      <c r="AE5988">
        <v>12.46908</v>
      </c>
      <c r="AF5988">
        <v>-2.47202817712154</v>
      </c>
      <c r="AG5988">
        <v>-1.111452360503</v>
      </c>
      <c r="AH5988">
        <v>12.173045934896001</v>
      </c>
      <c r="AI5988">
        <v>95.113096340585898</v>
      </c>
      <c r="AJ5988">
        <v>101.479180721075</v>
      </c>
      <c r="AK5988">
        <v>12.471138560341601</v>
      </c>
    </row>
    <row r="5989" spans="1:37" x14ac:dyDescent="0.2">
      <c r="A5989" t="str">
        <f>"20200111160333411"</f>
        <v>20200111160333411</v>
      </c>
      <c r="B5989" t="str">
        <f>"1578729813409458"</f>
        <v>1578729813409458</v>
      </c>
      <c r="C5989" t="s">
        <v>37</v>
      </c>
      <c r="D5989">
        <v>5.2034079999999996</v>
      </c>
      <c r="E5989">
        <v>0.48668509999999998</v>
      </c>
      <c r="F5989" t="s">
        <v>64</v>
      </c>
      <c r="G5989">
        <v>-187.6773</v>
      </c>
      <c r="H5989" s="1">
        <v>-7.3652859999999996E-6</v>
      </c>
      <c r="I5989">
        <v>-40.688159999999897</v>
      </c>
      <c r="J5989">
        <v>-188.78710000000001</v>
      </c>
      <c r="K5989">
        <v>1.1114280000000001</v>
      </c>
      <c r="L5989">
        <v>-53.032200000000003</v>
      </c>
      <c r="M5989">
        <v>0.2716614</v>
      </c>
      <c r="N5989">
        <v>0</v>
      </c>
      <c r="O5989">
        <v>0.96225720000000003</v>
      </c>
      <c r="P5989">
        <v>0.13041920000000001</v>
      </c>
      <c r="Q5989">
        <v>-2.176815E-2</v>
      </c>
      <c r="R5989">
        <v>0.99121990000000004</v>
      </c>
      <c r="S5989">
        <v>0.2710571</v>
      </c>
      <c r="T5989">
        <v>-0.26569209999999999</v>
      </c>
      <c r="U5989">
        <v>2.9851380000000001</v>
      </c>
      <c r="V5989">
        <v>-0.14368819999999999</v>
      </c>
      <c r="W5989">
        <v>-8.0612710000000001E-3</v>
      </c>
      <c r="X5989">
        <v>0.98959019999999998</v>
      </c>
      <c r="Y5989">
        <v>-0.18386830000000001</v>
      </c>
      <c r="Z5989">
        <v>-8.2756590000000005E-2</v>
      </c>
      <c r="AA5989">
        <v>0.97946100000000003</v>
      </c>
      <c r="AB5989">
        <v>16</v>
      </c>
      <c r="AC5989">
        <v>1.1097999999999999</v>
      </c>
      <c r="AD5989">
        <v>-1.1114353652860001</v>
      </c>
      <c r="AE5989">
        <v>12.34404</v>
      </c>
      <c r="AF5989">
        <v>-2.2675492957065</v>
      </c>
      <c r="AG5989">
        <v>-1.1114353652860001</v>
      </c>
      <c r="AH5989">
        <v>12.0840435433857</v>
      </c>
      <c r="AI5989">
        <v>95.165366379740504</v>
      </c>
      <c r="AJ5989">
        <v>100.62785917332199</v>
      </c>
      <c r="AK5989">
        <v>12.345087149879101</v>
      </c>
    </row>
    <row r="5990" spans="1:37" x14ac:dyDescent="0.2">
      <c r="A5990" t="str">
        <f>"20200111160333434"</f>
        <v>20200111160333434</v>
      </c>
      <c r="B5990" t="str">
        <f>"1578729813428979"</f>
        <v>1578729813428979</v>
      </c>
      <c r="C5990" t="s">
        <v>37</v>
      </c>
      <c r="D5990">
        <v>6.0977519999999998</v>
      </c>
      <c r="E5990">
        <v>0.48723030000000001</v>
      </c>
      <c r="F5990" t="s">
        <v>64</v>
      </c>
      <c r="G5990">
        <v>-187.6893</v>
      </c>
      <c r="H5990" s="1">
        <v>-7.3107019999999998E-6</v>
      </c>
      <c r="I5990">
        <v>-40.855229999999999</v>
      </c>
      <c r="J5990">
        <v>-188.7637</v>
      </c>
      <c r="K5990">
        <v>1.1113899999999901</v>
      </c>
      <c r="L5990">
        <v>-52.878140000000002</v>
      </c>
      <c r="M5990">
        <v>0.2563127</v>
      </c>
      <c r="N5990">
        <v>0</v>
      </c>
      <c r="O5990">
        <v>0.96645919999999896</v>
      </c>
      <c r="P5990">
        <v>0.12908169999999999</v>
      </c>
      <c r="Q5990">
        <v>-1.999252E-2</v>
      </c>
      <c r="R5990">
        <v>0.99143239999999999</v>
      </c>
      <c r="S5990">
        <v>0.2691345</v>
      </c>
      <c r="T5990">
        <v>-0.27246700000000001</v>
      </c>
      <c r="U5990">
        <v>2.9851679999999998</v>
      </c>
      <c r="V5990">
        <v>-0.12930220000000001</v>
      </c>
      <c r="W5990">
        <v>-6.0300479999999997E-3</v>
      </c>
      <c r="X5990">
        <v>0.99158690000000005</v>
      </c>
      <c r="Y5990">
        <v>-0.16885069999999999</v>
      </c>
      <c r="Z5990">
        <v>-8.5541039999999999E-2</v>
      </c>
      <c r="AA5990">
        <v>0.98192269999999904</v>
      </c>
      <c r="AB5990">
        <v>16</v>
      </c>
      <c r="AC5990">
        <v>1.07439999999999</v>
      </c>
      <c r="AD5990">
        <v>-1.1113973107019901</v>
      </c>
      <c r="AE5990">
        <v>12.02291</v>
      </c>
      <c r="AF5990">
        <v>-2.0263485945486401</v>
      </c>
      <c r="AG5990">
        <v>-1.1113973107019901</v>
      </c>
      <c r="AH5990">
        <v>11.796578589203699</v>
      </c>
      <c r="AI5990">
        <v>95.304908412266698</v>
      </c>
      <c r="AJ5990">
        <v>99.746818661982005</v>
      </c>
      <c r="AK5990">
        <v>12.0208385323206</v>
      </c>
    </row>
    <row r="5991" spans="1:37" x14ac:dyDescent="0.2">
      <c r="A5991" t="str">
        <f>"20200111160333456"</f>
        <v>20200111160333456</v>
      </c>
      <c r="B5991" t="str">
        <f>"1578729813449474"</f>
        <v>1578729813449474</v>
      </c>
      <c r="C5991" t="s">
        <v>37</v>
      </c>
      <c r="D5991">
        <v>5.1685169999999996</v>
      </c>
      <c r="E5991">
        <v>0.4881547</v>
      </c>
      <c r="F5991" t="s">
        <v>64</v>
      </c>
      <c r="G5991">
        <v>-187.6506</v>
      </c>
      <c r="H5991" s="1">
        <v>-7.4415909999999996E-6</v>
      </c>
      <c r="I5991">
        <v>-40.451219999999999</v>
      </c>
      <c r="J5991">
        <v>-188.74350000000001</v>
      </c>
      <c r="K5991">
        <v>1.1113360000000001</v>
      </c>
      <c r="L5991">
        <v>-52.7307699999999</v>
      </c>
      <c r="M5991">
        <v>0.2416642</v>
      </c>
      <c r="N5991">
        <v>0</v>
      </c>
      <c r="O5991">
        <v>0.97022619999999904</v>
      </c>
      <c r="P5991">
        <v>0.12914539999999999</v>
      </c>
      <c r="Q5991">
        <v>-1.8866790000000001E-2</v>
      </c>
      <c r="R5991">
        <v>0.991446099999999</v>
      </c>
      <c r="S5991">
        <v>0.26744079999999998</v>
      </c>
      <c r="T5991">
        <v>-0.2670265</v>
      </c>
      <c r="U5991">
        <v>2.9857179999999999</v>
      </c>
      <c r="V5991">
        <v>-0.1142529</v>
      </c>
      <c r="W5991">
        <v>-4.644479E-3</v>
      </c>
      <c r="X5991">
        <v>0.99344089999999996</v>
      </c>
      <c r="Y5991">
        <v>-0.15448319999999999</v>
      </c>
      <c r="Z5991">
        <v>-8.4436490000000003E-2</v>
      </c>
      <c r="AA5991">
        <v>0.984380699999999</v>
      </c>
      <c r="AB5991">
        <v>16</v>
      </c>
      <c r="AC5991">
        <v>1.09290000000001</v>
      </c>
      <c r="AD5991">
        <v>-1.111343441591</v>
      </c>
      <c r="AE5991">
        <v>12.279549999999899</v>
      </c>
      <c r="AF5991">
        <v>-1.8920392392472201</v>
      </c>
      <c r="AG5991">
        <v>-1.111343441591</v>
      </c>
      <c r="AH5991">
        <v>12.0814562657437</v>
      </c>
      <c r="AI5991">
        <v>95.192766913037801</v>
      </c>
      <c r="AJ5991">
        <v>98.900618779490301</v>
      </c>
      <c r="AK5991">
        <v>12.279107550188501</v>
      </c>
    </row>
    <row r="5992" spans="1:37" x14ac:dyDescent="0.2">
      <c r="A5992" t="str">
        <f>"20200111160333523"</f>
        <v>20200111160333523</v>
      </c>
      <c r="B5992" t="str">
        <f>"1578729813518770"</f>
        <v>1578729813518770</v>
      </c>
      <c r="C5992" t="s">
        <v>37</v>
      </c>
      <c r="D5992">
        <v>5.201873</v>
      </c>
      <c r="E5992">
        <v>0.48866709999999902</v>
      </c>
      <c r="F5992" t="s">
        <v>64</v>
      </c>
      <c r="G5992">
        <v>-187.61750000000001</v>
      </c>
      <c r="H5992" s="1">
        <v>-7.4468030000000003E-6</v>
      </c>
      <c r="I5992">
        <v>-40.424529999999997</v>
      </c>
      <c r="J5992">
        <v>-188.6953</v>
      </c>
      <c r="K5992">
        <v>1.1109309999999999</v>
      </c>
      <c r="L5992">
        <v>-52.287480000000002</v>
      </c>
      <c r="M5992">
        <v>0.19841619999999999</v>
      </c>
      <c r="N5992">
        <v>0</v>
      </c>
      <c r="O5992">
        <v>0.97998779999999996</v>
      </c>
      <c r="P5992">
        <v>0.134065299999999</v>
      </c>
      <c r="Q5992">
        <v>-9.8323549999999992E-3</v>
      </c>
      <c r="R5992">
        <v>0.99092369999999996</v>
      </c>
      <c r="S5992">
        <v>0.27314759999999999</v>
      </c>
      <c r="T5992">
        <v>-0.2695825</v>
      </c>
      <c r="U5992">
        <v>2.9851679999999998</v>
      </c>
      <c r="V5992">
        <v>-6.5322969999999994E-2</v>
      </c>
      <c r="W5992">
        <v>5.1501209999999997E-3</v>
      </c>
      <c r="X5992">
        <v>0.99785089999999999</v>
      </c>
      <c r="Y5992">
        <v>-0.1086559</v>
      </c>
      <c r="Z5992">
        <v>-8.6825369999999999E-2</v>
      </c>
      <c r="AA5992">
        <v>0.99028039999999995</v>
      </c>
      <c r="AB5992">
        <v>16</v>
      </c>
      <c r="AC5992">
        <v>1.0777999999999901</v>
      </c>
      <c r="AD5992">
        <v>-1.1109384468029999</v>
      </c>
      <c r="AE5992">
        <v>11.86295</v>
      </c>
      <c r="AF5992">
        <v>-1.2865455287929299</v>
      </c>
      <c r="AG5992">
        <v>-1.1109384468029999</v>
      </c>
      <c r="AH5992">
        <v>11.7388033195794</v>
      </c>
      <c r="AI5992">
        <v>95.374273383468307</v>
      </c>
      <c r="AJ5992">
        <v>96.254521451541805</v>
      </c>
      <c r="AK5992">
        <v>11.861234632449101</v>
      </c>
    </row>
    <row r="5993" spans="1:37" x14ac:dyDescent="0.2">
      <c r="A5993" t="str">
        <f>"20200111160333545"</f>
        <v>20200111160333545</v>
      </c>
      <c r="B5993" t="str">
        <f>"1578729813539266"</f>
        <v>1578729813539266</v>
      </c>
      <c r="C5993" t="s">
        <v>37</v>
      </c>
      <c r="D5993">
        <v>5.217873</v>
      </c>
      <c r="E5993">
        <v>0.48923159999999999</v>
      </c>
      <c r="F5993" t="s">
        <v>38</v>
      </c>
      <c r="G5993">
        <v>-187.34819999999999</v>
      </c>
      <c r="H5993" s="1">
        <v>-1.3166790000000001E-6</v>
      </c>
      <c r="I5993">
        <v>-38.556139999999999</v>
      </c>
      <c r="J5993">
        <v>-188.68289999999999</v>
      </c>
      <c r="K5993">
        <v>1.1106929999999999</v>
      </c>
      <c r="L5993">
        <v>-52.138370000000002</v>
      </c>
      <c r="M5993">
        <v>0.18436440000000001</v>
      </c>
      <c r="N5993">
        <v>0</v>
      </c>
      <c r="O5993">
        <v>0.98272959999999998</v>
      </c>
      <c r="P5993">
        <v>0.1320924</v>
      </c>
      <c r="Q5993">
        <v>-6.2177300000000003E-3</v>
      </c>
      <c r="R5993">
        <v>0.99121789999999999</v>
      </c>
      <c r="S5993">
        <v>0.2928772</v>
      </c>
      <c r="T5993">
        <v>-0.2415369</v>
      </c>
      <c r="U5993">
        <v>2.9854430000000001</v>
      </c>
      <c r="V5993">
        <v>-5.30705E-2</v>
      </c>
      <c r="W5993">
        <v>8.9065489999999997E-3</v>
      </c>
      <c r="X5993">
        <v>0.99855110000000002</v>
      </c>
      <c r="Y5993">
        <v>-8.7851070000000003E-2</v>
      </c>
      <c r="Z5993">
        <v>-7.8234460000000006E-2</v>
      </c>
      <c r="AA5993">
        <v>0.99305669999999902</v>
      </c>
      <c r="AB5993">
        <v>16</v>
      </c>
      <c r="AC5993">
        <v>1.33469999999999</v>
      </c>
      <c r="AD5993">
        <v>-1.110694316679</v>
      </c>
      <c r="AE5993">
        <v>13.582229999999999</v>
      </c>
      <c r="AF5993">
        <v>-1.1847341138096601</v>
      </c>
      <c r="AG5993">
        <v>-1.110694316679</v>
      </c>
      <c r="AH5993">
        <v>13.5059918108572</v>
      </c>
      <c r="AI5993">
        <v>94.683359287872307</v>
      </c>
      <c r="AJ5993">
        <v>95.013105293437803</v>
      </c>
      <c r="AK5993">
        <v>13.603273561186199</v>
      </c>
    </row>
    <row r="5994" spans="1:37" x14ac:dyDescent="0.2">
      <c r="A5994" t="str">
        <f>"20200111160333568"</f>
        <v>20200111160333568</v>
      </c>
      <c r="B5994" t="str">
        <f>"1578729813558786"</f>
        <v>1578729813558786</v>
      </c>
      <c r="C5994" t="s">
        <v>37</v>
      </c>
      <c r="D5994">
        <v>5.1999240000000002</v>
      </c>
      <c r="E5994">
        <v>0.48951670000000003</v>
      </c>
      <c r="F5994" t="s">
        <v>38</v>
      </c>
      <c r="G5994">
        <v>-187.30590000000001</v>
      </c>
      <c r="H5994" s="1">
        <v>-1.49057E-6</v>
      </c>
      <c r="I5994">
        <v>-38.078270000000003</v>
      </c>
      <c r="J5994">
        <v>-188.67150000000001</v>
      </c>
      <c r="K5994">
        <v>1.1103639999999999</v>
      </c>
      <c r="L5994">
        <v>-51.981629999999903</v>
      </c>
      <c r="M5994">
        <v>0.17002110000000001</v>
      </c>
      <c r="N5994">
        <v>0</v>
      </c>
      <c r="O5994">
        <v>0.98531399999999902</v>
      </c>
      <c r="P5994">
        <v>0.1275299</v>
      </c>
      <c r="Q5994">
        <v>-4.2521779999999997E-3</v>
      </c>
      <c r="R5994">
        <v>0.99182559999999997</v>
      </c>
      <c r="S5994">
        <v>0.29244999999999999</v>
      </c>
      <c r="T5994">
        <v>-0.23589179999999901</v>
      </c>
      <c r="U5994">
        <v>2.9861149999999999</v>
      </c>
      <c r="V5994">
        <v>-4.3128560000000003E-2</v>
      </c>
      <c r="W5994">
        <v>1.094826E-2</v>
      </c>
      <c r="X5994">
        <v>0.999009499999999</v>
      </c>
      <c r="Y5994">
        <v>-7.3472910000000002E-2</v>
      </c>
      <c r="Z5994">
        <v>-7.6749209999999998E-2</v>
      </c>
      <c r="AA5994">
        <v>0.99433959999999999</v>
      </c>
      <c r="AB5994">
        <v>15</v>
      </c>
      <c r="AC5994">
        <v>1.3655999999999999</v>
      </c>
      <c r="AD5994">
        <v>-1.11036549057</v>
      </c>
      <c r="AE5994">
        <v>13.9033599999999</v>
      </c>
      <c r="AF5994">
        <v>-1.01205332735433</v>
      </c>
      <c r="AG5994">
        <v>-1.11036549057</v>
      </c>
      <c r="AH5994">
        <v>13.845626672149701</v>
      </c>
      <c r="AI5994">
        <v>94.5729380038036</v>
      </c>
      <c r="AJ5994">
        <v>94.180629926728599</v>
      </c>
      <c r="AK5994">
        <v>13.926899920822301</v>
      </c>
    </row>
    <row r="5995" spans="1:37" x14ac:dyDescent="0.2">
      <c r="A5995" t="str">
        <f>"20200111160333591"</f>
        <v>20200111160333591</v>
      </c>
      <c r="B5995" t="str">
        <f>"1578729813579282"</f>
        <v>1578729813579282</v>
      </c>
      <c r="C5995" t="s">
        <v>37</v>
      </c>
      <c r="D5995">
        <v>5.2454080000000003</v>
      </c>
      <c r="E5995">
        <v>0.48974399999999901</v>
      </c>
      <c r="F5995" t="s">
        <v>38</v>
      </c>
      <c r="G5995">
        <v>-187.32859999999999</v>
      </c>
      <c r="H5995" s="1">
        <v>-1.589447E-6</v>
      </c>
      <c r="I5995">
        <v>-37.769970000000001</v>
      </c>
      <c r="J5995">
        <v>-188.66249999999999</v>
      </c>
      <c r="K5995">
        <v>1.109982</v>
      </c>
      <c r="L5995">
        <v>-51.836030000000001</v>
      </c>
      <c r="M5995">
        <v>0.1572846</v>
      </c>
      <c r="N5995">
        <v>0</v>
      </c>
      <c r="O5995">
        <v>0.98742909999999995</v>
      </c>
      <c r="P5995">
        <v>0.1234106</v>
      </c>
      <c r="Q5995">
        <v>-4.4396610000000001E-3</v>
      </c>
      <c r="R5995">
        <v>0.99234579999999994</v>
      </c>
      <c r="S5995">
        <v>0.28230290000000002</v>
      </c>
      <c r="T5995">
        <v>-0.23340939999999999</v>
      </c>
      <c r="U5995">
        <v>2.9874269999999998</v>
      </c>
      <c r="V5995">
        <v>-3.436148E-2</v>
      </c>
      <c r="W5995">
        <v>1.079044E-2</v>
      </c>
      <c r="X5995">
        <v>0.999351199999999</v>
      </c>
      <c r="Y5995">
        <v>-6.3976110000000003E-2</v>
      </c>
      <c r="Z5995">
        <v>-7.6196009999999995E-2</v>
      </c>
      <c r="AA5995">
        <v>0.99503829999999904</v>
      </c>
      <c r="AB5995">
        <v>15</v>
      </c>
      <c r="AC5995">
        <v>1.3339000000000001</v>
      </c>
      <c r="AD5995">
        <v>-1.109983589447</v>
      </c>
      <c r="AE5995">
        <v>14.06606</v>
      </c>
      <c r="AF5995">
        <v>-0.88986088370303196</v>
      </c>
      <c r="AG5995">
        <v>-1.109983589447</v>
      </c>
      <c r="AH5995">
        <v>14.014277678826399</v>
      </c>
      <c r="AI5995">
        <v>94.519523747049703</v>
      </c>
      <c r="AJ5995">
        <v>93.633217353849304</v>
      </c>
      <c r="AK5995">
        <v>14.0863016729175</v>
      </c>
    </row>
    <row r="5996" spans="1:37" x14ac:dyDescent="0.2">
      <c r="A5996" t="str">
        <f>"20200111160333615"</f>
        <v>20200111160333615</v>
      </c>
      <c r="B5996" t="str">
        <f>"1578729813609539"</f>
        <v>1578729813609539</v>
      </c>
      <c r="C5996" t="s">
        <v>37</v>
      </c>
      <c r="D5996">
        <v>5.3180559999999897</v>
      </c>
      <c r="E5996">
        <v>0.46538239999999997</v>
      </c>
      <c r="F5996" t="s">
        <v>38</v>
      </c>
      <c r="G5996">
        <v>-187.39429999999999</v>
      </c>
      <c r="H5996" s="1">
        <v>-1.525277E-6</v>
      </c>
      <c r="I5996">
        <v>-37.907170000000001</v>
      </c>
      <c r="J5996">
        <v>-188.65389999999999</v>
      </c>
      <c r="K5996">
        <v>1.109488</v>
      </c>
      <c r="L5996">
        <v>-51.677279999999897</v>
      </c>
      <c r="M5996">
        <v>0.1441472</v>
      </c>
      <c r="N5996">
        <v>0</v>
      </c>
      <c r="O5996">
        <v>0.98943479999999995</v>
      </c>
      <c r="P5996">
        <v>0.118842499999999</v>
      </c>
      <c r="Q5996">
        <v>-4.948259E-3</v>
      </c>
      <c r="R5996">
        <v>0.99290080000000003</v>
      </c>
      <c r="S5996">
        <v>0.27207949999999997</v>
      </c>
      <c r="T5996">
        <v>-0.23813229999999999</v>
      </c>
      <c r="U5996">
        <v>2.988251</v>
      </c>
      <c r="V5996">
        <v>-2.565665E-2</v>
      </c>
      <c r="W5996">
        <v>1.026547E-2</v>
      </c>
      <c r="X5996">
        <v>0.99961809999999995</v>
      </c>
      <c r="Y5996">
        <v>-5.4121919999999997E-2</v>
      </c>
      <c r="Z5996">
        <v>-7.7979320000000005E-2</v>
      </c>
      <c r="AA5996">
        <v>0.99548479999999995</v>
      </c>
      <c r="AB5996">
        <v>15</v>
      </c>
      <c r="AC5996">
        <v>1.2596000000000001</v>
      </c>
      <c r="AD5996">
        <v>-1.1094895252770001</v>
      </c>
      <c r="AE5996">
        <v>13.770109999999899</v>
      </c>
      <c r="AF5996">
        <v>-0.73399403775883199</v>
      </c>
      <c r="AG5996">
        <v>-1.1094895252770001</v>
      </c>
      <c r="AH5996">
        <v>13.7195266992805</v>
      </c>
      <c r="AI5996">
        <v>94.616838542477595</v>
      </c>
      <c r="AJ5996">
        <v>93.062401973617199</v>
      </c>
      <c r="AK5996">
        <v>13.7838719925294</v>
      </c>
    </row>
    <row r="5997" spans="1:37" x14ac:dyDescent="0.2">
      <c r="A5997" t="str">
        <f>"20200111160333641"</f>
        <v>20200111160333641</v>
      </c>
      <c r="B5997" t="str">
        <f>"1578729813629058"</f>
        <v>1578729813629058</v>
      </c>
      <c r="C5997" t="s">
        <v>37</v>
      </c>
      <c r="D5997">
        <v>5.399133</v>
      </c>
      <c r="E5997">
        <v>0.46236490000000002</v>
      </c>
      <c r="F5997" t="s">
        <v>38</v>
      </c>
      <c r="G5997">
        <v>-188.26589999999999</v>
      </c>
      <c r="H5997" s="1">
        <v>-2.8200499999999998E-6</v>
      </c>
      <c r="I5997">
        <v>-34.510649999999998</v>
      </c>
      <c r="J5997">
        <v>-188.6454</v>
      </c>
      <c r="K5997">
        <v>1.10893</v>
      </c>
      <c r="L5997">
        <v>-51.498109999999997</v>
      </c>
      <c r="M5997">
        <v>0.13017970000000001</v>
      </c>
      <c r="N5997">
        <v>0</v>
      </c>
      <c r="O5997">
        <v>0.99137209999999998</v>
      </c>
      <c r="P5997">
        <v>0.1123372</v>
      </c>
      <c r="Q5997">
        <v>-5.5739119999999899E-3</v>
      </c>
      <c r="R5997">
        <v>0.9936545</v>
      </c>
      <c r="S5997">
        <v>6.8084720000000001E-2</v>
      </c>
      <c r="T5997">
        <v>-0.194689</v>
      </c>
      <c r="U5997">
        <v>3.0123289999999998</v>
      </c>
      <c r="V5997">
        <v>-1.8083970000000001E-2</v>
      </c>
      <c r="W5997">
        <v>9.5616959999999997E-3</v>
      </c>
      <c r="X5997">
        <v>0.99979069999999903</v>
      </c>
      <c r="Y5997">
        <v>-0.107803</v>
      </c>
      <c r="Z5997">
        <v>-6.3477770000000003E-2</v>
      </c>
      <c r="AA5997">
        <v>0.99214369999999996</v>
      </c>
      <c r="AB5997">
        <v>15</v>
      </c>
      <c r="AC5997">
        <v>0.379500000000007</v>
      </c>
      <c r="AD5997">
        <v>-1.1089328200499999</v>
      </c>
      <c r="AE5997">
        <v>16.987459999999999</v>
      </c>
      <c r="AF5997">
        <v>-1.8276276552947299</v>
      </c>
      <c r="AG5997">
        <v>-1.1089328200499999</v>
      </c>
      <c r="AH5997">
        <v>16.820634804793201</v>
      </c>
      <c r="AI5997">
        <v>93.749870146267298</v>
      </c>
      <c r="AJ5997">
        <v>96.201083881578299</v>
      </c>
      <c r="AK5997">
        <v>16.955934361809799</v>
      </c>
    </row>
    <row r="5998" spans="1:37" x14ac:dyDescent="0.2">
      <c r="A5998" t="str">
        <f>"20200111160333679"</f>
        <v>20200111160333679</v>
      </c>
      <c r="B5998" t="str">
        <f>"1578729813669074"</f>
        <v>1578729813669074</v>
      </c>
      <c r="C5998" t="s">
        <v>37</v>
      </c>
      <c r="D5998">
        <v>5.185638</v>
      </c>
      <c r="E5998">
        <v>0.461043599999999</v>
      </c>
      <c r="F5998" t="s">
        <v>101</v>
      </c>
      <c r="G5998">
        <v>-181.20519999999999</v>
      </c>
      <c r="H5998">
        <v>23.341379999999901</v>
      </c>
      <c r="I5998">
        <v>391.87</v>
      </c>
      <c r="J5998">
        <v>-188.6352</v>
      </c>
      <c r="K5998">
        <v>1.1081379999999901</v>
      </c>
      <c r="L5998">
        <v>-51.245329999999903</v>
      </c>
      <c r="M5998">
        <v>0.1123772</v>
      </c>
      <c r="N5998">
        <v>0</v>
      </c>
      <c r="O5998">
        <v>0.99355179999999998</v>
      </c>
      <c r="P5998">
        <v>0.1110858</v>
      </c>
      <c r="Q5998">
        <v>-7.7091769999999898E-3</v>
      </c>
      <c r="R5998">
        <v>0.99378089999999997</v>
      </c>
      <c r="S5998">
        <v>5.0582889999999998E-2</v>
      </c>
      <c r="T5998">
        <v>0.15114949999999999</v>
      </c>
      <c r="U5998">
        <v>3.0142820000000001</v>
      </c>
      <c r="V5998">
        <v>-1.3687879999999999E-3</v>
      </c>
      <c r="W5998">
        <v>7.3215950000000002E-3</v>
      </c>
      <c r="X5998">
        <v>0.99997230000000004</v>
      </c>
      <c r="Y5998">
        <v>-9.572203E-2</v>
      </c>
      <c r="Z5998">
        <v>4.948748E-2</v>
      </c>
      <c r="AA5998">
        <v>0.99417719999999898</v>
      </c>
      <c r="AB5998">
        <v>15</v>
      </c>
      <c r="AC5998">
        <v>7.43</v>
      </c>
      <c r="AD5998">
        <v>22.233242000000001</v>
      </c>
      <c r="AE5998">
        <v>443.11532999999997</v>
      </c>
      <c r="AF5998">
        <v>-42.312275875750501</v>
      </c>
      <c r="AG5998">
        <v>22.233242000000001</v>
      </c>
      <c r="AH5998">
        <v>440.03540494871498</v>
      </c>
      <c r="AI5998">
        <v>87.120789013449993</v>
      </c>
      <c r="AJ5998">
        <v>95.492476696803905</v>
      </c>
      <c r="AK5998">
        <v>442.62377178366302</v>
      </c>
    </row>
    <row r="5999" spans="1:37" x14ac:dyDescent="0.2">
      <c r="A5999" t="str">
        <f>"20200111160333701"</f>
        <v>20200111160333701</v>
      </c>
      <c r="B5999" t="str">
        <f>"1578729813698797"</f>
        <v>1578729813698797</v>
      </c>
      <c r="C5999" t="s">
        <v>37</v>
      </c>
      <c r="D5999">
        <v>5.1786599999999998</v>
      </c>
      <c r="E5999">
        <v>0.46272159999999901</v>
      </c>
      <c r="F5999" t="s">
        <v>101</v>
      </c>
      <c r="G5999">
        <v>-184.0616</v>
      </c>
      <c r="H5999">
        <v>12.051039999999899</v>
      </c>
      <c r="I5999">
        <v>391.87</v>
      </c>
      <c r="J5999">
        <v>-188.62979999999999</v>
      </c>
      <c r="K5999">
        <v>1.1076409999999901</v>
      </c>
      <c r="L5999">
        <v>-51.094999999999999</v>
      </c>
      <c r="M5999">
        <v>0.10302790000000001</v>
      </c>
      <c r="N5999">
        <v>0</v>
      </c>
      <c r="O5999">
        <v>0.99456730000000004</v>
      </c>
      <c r="P5999">
        <v>0.11246099999999901</v>
      </c>
      <c r="Q5999">
        <v>-6.3777139999999996E-3</v>
      </c>
      <c r="R5999">
        <v>0.99363570000000001</v>
      </c>
      <c r="S5999">
        <v>3.1127930000000002E-2</v>
      </c>
      <c r="T5999">
        <v>7.4478030000000001E-2</v>
      </c>
      <c r="U5999">
        <v>3.0158689999999999</v>
      </c>
      <c r="V5999">
        <v>9.4191259999999999E-3</v>
      </c>
      <c r="W5999">
        <v>8.5608549999999992E-3</v>
      </c>
      <c r="X5999">
        <v>0.999919</v>
      </c>
      <c r="Y5999">
        <v>-9.2770939999999996E-2</v>
      </c>
      <c r="Z5999">
        <v>2.4436920000000001E-2</v>
      </c>
      <c r="AA5999">
        <v>0.99538760000000004</v>
      </c>
      <c r="AB5999">
        <v>15</v>
      </c>
      <c r="AC5999">
        <v>4.5681999999999903</v>
      </c>
      <c r="AD5999">
        <v>10.943398999999999</v>
      </c>
      <c r="AE5999">
        <v>442.96499999999997</v>
      </c>
      <c r="AF5999">
        <v>-41.073849902192997</v>
      </c>
      <c r="AG5999">
        <v>10.943398999999999</v>
      </c>
      <c r="AH5999">
        <v>440.80891737991601</v>
      </c>
      <c r="AI5999">
        <v>88.584014240847395</v>
      </c>
      <c r="AJ5999">
        <v>95.323355848659304</v>
      </c>
      <c r="AK5999">
        <v>442.85361099251998</v>
      </c>
    </row>
    <row r="6000" spans="1:37" x14ac:dyDescent="0.2">
      <c r="A6000" t="str">
        <f>"20200111160333725"</f>
        <v>20200111160333725</v>
      </c>
      <c r="B6000" t="str">
        <f>"1578729813719293"</f>
        <v>1578729813719293</v>
      </c>
      <c r="C6000" t="s">
        <v>37</v>
      </c>
      <c r="D6000">
        <v>5.3139129999999897</v>
      </c>
      <c r="E6000">
        <v>0.46333039999999998</v>
      </c>
      <c r="F6000" t="s">
        <v>101</v>
      </c>
      <c r="G6000">
        <v>-182.1181</v>
      </c>
      <c r="H6000">
        <v>4.5443059999999997</v>
      </c>
      <c r="I6000">
        <v>391.87</v>
      </c>
      <c r="J6000">
        <v>-188.62450000000001</v>
      </c>
      <c r="K6000">
        <v>1.107105</v>
      </c>
      <c r="L6000">
        <v>-50.938389999999998</v>
      </c>
      <c r="M6000">
        <v>9.4270510000000002E-2</v>
      </c>
      <c r="N6000">
        <v>0</v>
      </c>
      <c r="O6000">
        <v>0.99543809999999999</v>
      </c>
      <c r="P6000">
        <v>0.1120472</v>
      </c>
      <c r="Q6000">
        <v>-4.0268880000000002E-3</v>
      </c>
      <c r="R6000">
        <v>0.99369470000000004</v>
      </c>
      <c r="S6000">
        <v>4.431152E-2</v>
      </c>
      <c r="T6000">
        <v>2.3386239999999999E-2</v>
      </c>
      <c r="U6000">
        <v>3.0143430000000002</v>
      </c>
      <c r="V6000">
        <v>1.779971E-2</v>
      </c>
      <c r="W6000">
        <v>1.0774229999999999E-2</v>
      </c>
      <c r="X6000">
        <v>0.99978349999999905</v>
      </c>
      <c r="Y6000">
        <v>-7.9637780000000005E-2</v>
      </c>
      <c r="Z6000">
        <v>7.6935290000000002E-3</v>
      </c>
      <c r="AA6000">
        <v>0.99679419999999996</v>
      </c>
      <c r="AB6000">
        <v>15</v>
      </c>
      <c r="AC6000">
        <v>6.50640000000001</v>
      </c>
      <c r="AD6000">
        <v>3.437201</v>
      </c>
      <c r="AE6000">
        <v>442.80838999999997</v>
      </c>
      <c r="AF6000">
        <v>-35.268740235054402</v>
      </c>
      <c r="AG6000">
        <v>3.437201</v>
      </c>
      <c r="AH6000">
        <v>441.42280513252899</v>
      </c>
      <c r="AI6000">
        <v>89.555284482266899</v>
      </c>
      <c r="AJ6000">
        <v>94.568106592278596</v>
      </c>
      <c r="AK6000">
        <v>442.84285167489497</v>
      </c>
    </row>
    <row r="6001" spans="1:37" x14ac:dyDescent="0.2">
      <c r="A6001" t="str">
        <f>"20200111160333747"</f>
        <v>20200111160333747</v>
      </c>
      <c r="B6001" t="str">
        <f>"1578729813738813"</f>
        <v>1578729813738813</v>
      </c>
      <c r="C6001" t="s">
        <v>37</v>
      </c>
      <c r="D6001">
        <v>5.2592480000000004</v>
      </c>
      <c r="E6001">
        <v>0.46431600000000001</v>
      </c>
      <c r="F6001" t="s">
        <v>54</v>
      </c>
      <c r="G6001">
        <v>-183.41200000000001</v>
      </c>
      <c r="H6001" s="1">
        <v>4.6523090000000003E-7</v>
      </c>
      <c r="I6001">
        <v>298.30029999999999</v>
      </c>
      <c r="J6001">
        <v>-188.61930000000001</v>
      </c>
      <c r="K6001">
        <v>1.1065370000000001</v>
      </c>
      <c r="L6001">
        <v>-50.785919999999997</v>
      </c>
      <c r="M6001">
        <v>8.6841630000000003E-2</v>
      </c>
      <c r="N6001">
        <v>0</v>
      </c>
      <c r="O6001">
        <v>0.99611609999999995</v>
      </c>
      <c r="P6001">
        <v>0.110157399999999</v>
      </c>
      <c r="Q6001">
        <v>-3.7463759999999901E-3</v>
      </c>
      <c r="R6001">
        <v>0.99390710000000004</v>
      </c>
      <c r="S6001">
        <v>4.4982910000000001E-2</v>
      </c>
      <c r="T6001">
        <v>-9.554267E-3</v>
      </c>
      <c r="U6001">
        <v>3.013916</v>
      </c>
      <c r="V6001">
        <v>2.33709E-2</v>
      </c>
      <c r="W6001">
        <v>1.089057E-2</v>
      </c>
      <c r="X6001">
        <v>0.99966749999999904</v>
      </c>
      <c r="Y6001">
        <v>-7.1974200000000002E-2</v>
      </c>
      <c r="Z6001">
        <v>-3.1477850000000002E-3</v>
      </c>
      <c r="AA6001">
        <v>0.99740149999999905</v>
      </c>
      <c r="AB6001">
        <v>15</v>
      </c>
      <c r="AC6001">
        <v>5.2073</v>
      </c>
      <c r="AD6001">
        <v>-1.1065365347691001</v>
      </c>
      <c r="AE6001">
        <v>349.08622000000003</v>
      </c>
      <c r="AF6001">
        <v>-25.1305430781482</v>
      </c>
      <c r="AG6001">
        <v>-1.1065365347691001</v>
      </c>
      <c r="AH6001">
        <v>348.21589849182499</v>
      </c>
      <c r="AI6001">
        <v>90.181597673237803</v>
      </c>
      <c r="AJ6001">
        <v>94.127847173175496</v>
      </c>
      <c r="AK6001">
        <v>349.12330283293102</v>
      </c>
    </row>
    <row r="6002" spans="1:37" x14ac:dyDescent="0.2">
      <c r="A6002" t="str">
        <f>"20200111160333771"</f>
        <v>20200111160333771</v>
      </c>
      <c r="B6002" t="str">
        <f>"1578729813769068"</f>
        <v>1578729813769068</v>
      </c>
      <c r="C6002" t="s">
        <v>37</v>
      </c>
      <c r="D6002">
        <v>5.2382299999999997</v>
      </c>
      <c r="E6002">
        <v>0.4650185</v>
      </c>
      <c r="F6002" t="s">
        <v>38</v>
      </c>
      <c r="G6002">
        <v>-187.28790000000001</v>
      </c>
      <c r="H6002" s="1">
        <v>-4.2053880000000001E-6</v>
      </c>
      <c r="I6002">
        <v>38.314209999999903</v>
      </c>
      <c r="J6002">
        <v>-188.6138</v>
      </c>
      <c r="K6002">
        <v>1.1059079999999999</v>
      </c>
      <c r="L6002">
        <v>-50.629489999999997</v>
      </c>
      <c r="M6002">
        <v>8.0478250000000001E-2</v>
      </c>
      <c r="N6002">
        <v>0</v>
      </c>
      <c r="O6002">
        <v>0.99665269999999995</v>
      </c>
      <c r="P6002">
        <v>0.1068472</v>
      </c>
      <c r="Q6002">
        <v>-8.0811140000000004E-3</v>
      </c>
      <c r="R6002">
        <v>0.99424259999999998</v>
      </c>
      <c r="S6002">
        <v>4.5028690000000003E-2</v>
      </c>
      <c r="T6002">
        <v>-3.7421699999999898E-2</v>
      </c>
      <c r="U6002">
        <v>3.013245</v>
      </c>
      <c r="V6002">
        <v>2.6458410000000002E-2</v>
      </c>
      <c r="W6002">
        <v>6.3722340000000001E-3</v>
      </c>
      <c r="X6002">
        <v>0.99962960000000001</v>
      </c>
      <c r="Y6002">
        <v>-6.5585299999999999E-2</v>
      </c>
      <c r="Z6002">
        <v>-1.2343639999999999E-2</v>
      </c>
      <c r="AA6002">
        <v>0.99777059999999995</v>
      </c>
      <c r="AB6002">
        <v>15</v>
      </c>
      <c r="AC6002">
        <v>1.3258999999999901</v>
      </c>
      <c r="AD6002">
        <v>-1.1059122053879999</v>
      </c>
      <c r="AE6002">
        <v>88.943700000000007</v>
      </c>
      <c r="AF6002">
        <v>-5.8362725674206599</v>
      </c>
      <c r="AG6002">
        <v>-1.1059122053879999</v>
      </c>
      <c r="AH6002">
        <v>88.748139058869796</v>
      </c>
      <c r="AI6002">
        <v>90.712401102041397</v>
      </c>
      <c r="AJ6002">
        <v>93.7624787348295</v>
      </c>
      <c r="AK6002">
        <v>88.946710482736506</v>
      </c>
    </row>
    <row r="6003" spans="1:37" x14ac:dyDescent="0.2">
      <c r="A6003" t="str">
        <f>"20200111160333814"</f>
        <v>20200111160333814</v>
      </c>
      <c r="B6003" t="str">
        <f>"1578729813809084"</f>
        <v>1578729813809084</v>
      </c>
      <c r="C6003" t="s">
        <v>37</v>
      </c>
      <c r="D6003">
        <v>5.0541839999999896</v>
      </c>
      <c r="E6003">
        <v>0.46537829999999902</v>
      </c>
      <c r="F6003" t="s">
        <v>38</v>
      </c>
      <c r="G6003">
        <v>-188.0849</v>
      </c>
      <c r="H6003" s="1">
        <v>-8.2768669999999996E-7</v>
      </c>
      <c r="I6003">
        <v>-9.4171239999999994</v>
      </c>
      <c r="J6003">
        <v>-188.6019</v>
      </c>
      <c r="K6003">
        <v>1.104787</v>
      </c>
      <c r="L6003">
        <v>-50.33661</v>
      </c>
      <c r="M6003">
        <v>7.1784990000000007E-2</v>
      </c>
      <c r="N6003">
        <v>0</v>
      </c>
      <c r="O6003">
        <v>0.99731990000000004</v>
      </c>
      <c r="P6003">
        <v>9.7703750000000006E-2</v>
      </c>
      <c r="Q6003">
        <v>-2.476283E-2</v>
      </c>
      <c r="R6003">
        <v>0.9949074</v>
      </c>
      <c r="S6003">
        <v>3.8665770000000002E-2</v>
      </c>
      <c r="T6003">
        <v>-8.0839750000000002E-2</v>
      </c>
      <c r="U6003">
        <v>3.012543</v>
      </c>
      <c r="V6003">
        <v>2.6028969999999998E-2</v>
      </c>
      <c r="W6003">
        <v>-1.0620320000000001E-2</v>
      </c>
      <c r="X6003">
        <v>0.99960479999999996</v>
      </c>
      <c r="Y6003">
        <v>-5.8990069999999999E-2</v>
      </c>
      <c r="Z6003">
        <v>-2.6696480000000002E-2</v>
      </c>
      <c r="AA6003">
        <v>0.99790159999999895</v>
      </c>
      <c r="AB6003">
        <v>15</v>
      </c>
      <c r="AC6003">
        <v>0.51699999999999502</v>
      </c>
      <c r="AD6003">
        <v>-1.1047878276867</v>
      </c>
      <c r="AE6003">
        <v>40.919485999999999</v>
      </c>
      <c r="AF6003">
        <v>-2.4202686664025101</v>
      </c>
      <c r="AG6003">
        <v>-1.1047878276867</v>
      </c>
      <c r="AH6003">
        <v>40.821262559509002</v>
      </c>
      <c r="AI6003">
        <v>91.547559891115498</v>
      </c>
      <c r="AJ6003">
        <v>93.393061012911105</v>
      </c>
      <c r="AK6003">
        <v>40.907868845909697</v>
      </c>
    </row>
    <row r="6004" spans="1:37" x14ac:dyDescent="0.2">
      <c r="A6004" t="str">
        <f>"20200111160333837"</f>
        <v>20200111160333837</v>
      </c>
      <c r="B6004" t="str">
        <f>"1578729813828605"</f>
        <v>1578729813828605</v>
      </c>
      <c r="C6004" t="s">
        <v>37</v>
      </c>
      <c r="D6004">
        <v>5.1190769999999999</v>
      </c>
      <c r="E6004">
        <v>0.4657345</v>
      </c>
      <c r="F6004" t="s">
        <v>38</v>
      </c>
      <c r="G6004">
        <v>-188.47120000000001</v>
      </c>
      <c r="H6004" s="1">
        <v>-3.2512079999999899E-6</v>
      </c>
      <c r="I6004">
        <v>-23.42069</v>
      </c>
      <c r="J6004">
        <v>-188.59479999999999</v>
      </c>
      <c r="K6004">
        <v>1.104392</v>
      </c>
      <c r="L6004">
        <v>-50.181820000000002</v>
      </c>
      <c r="M6004">
        <v>6.8569889999999994E-2</v>
      </c>
      <c r="N6004">
        <v>0</v>
      </c>
      <c r="O6004">
        <v>0.99754739999999997</v>
      </c>
      <c r="P6004">
        <v>9.1930520000000002E-2</v>
      </c>
      <c r="Q6004">
        <v>-3.2586280000000002E-2</v>
      </c>
      <c r="R6004">
        <v>0.99523209999999995</v>
      </c>
      <c r="S6004">
        <v>1.461792E-2</v>
      </c>
      <c r="T6004">
        <v>-0.12358379999999999</v>
      </c>
      <c r="U6004">
        <v>3.01086399999999</v>
      </c>
      <c r="V6004">
        <v>2.3453740000000001E-2</v>
      </c>
      <c r="W6004">
        <v>-1.8562780000000001E-2</v>
      </c>
      <c r="X6004">
        <v>0.99955249999999995</v>
      </c>
      <c r="Y6004">
        <v>-6.3736290000000001E-2</v>
      </c>
      <c r="Z6004">
        <v>-4.0824720000000002E-2</v>
      </c>
      <c r="AA6004">
        <v>0.9971314</v>
      </c>
      <c r="AB6004">
        <v>15</v>
      </c>
      <c r="AC6004">
        <v>0.123599999999981</v>
      </c>
      <c r="AD6004">
        <v>-1.104395251208</v>
      </c>
      <c r="AE6004">
        <v>26.761130000000001</v>
      </c>
      <c r="AF6004">
        <v>-1.7089693303467</v>
      </c>
      <c r="AG6004">
        <v>-1.104395251208</v>
      </c>
      <c r="AH6004">
        <v>26.6612006373737</v>
      </c>
      <c r="AI6004">
        <v>92.367172375189099</v>
      </c>
      <c r="AJ6004">
        <v>93.667612571925005</v>
      </c>
      <c r="AK6004">
        <v>26.738733785825701</v>
      </c>
    </row>
    <row r="6005" spans="1:37" x14ac:dyDescent="0.2">
      <c r="A6005" t="str">
        <f>"20200111160333859"</f>
        <v>20200111160333859</v>
      </c>
      <c r="B6005" t="str">
        <f>"1578729813849101"</f>
        <v>1578729813849101</v>
      </c>
      <c r="C6005" t="s">
        <v>37</v>
      </c>
      <c r="D6005">
        <v>5.1528799999999997</v>
      </c>
      <c r="E6005">
        <v>0.46595500000000001</v>
      </c>
      <c r="F6005" t="s">
        <v>38</v>
      </c>
      <c r="G6005">
        <v>-188.59370000000001</v>
      </c>
      <c r="H6005" s="1">
        <v>-1.6846879999999901E-6</v>
      </c>
      <c r="I6005">
        <v>-27.021650000000001</v>
      </c>
      <c r="J6005">
        <v>-188.58750000000001</v>
      </c>
      <c r="K6005">
        <v>1.1041479999999999</v>
      </c>
      <c r="L6005">
        <v>-50.035679999999999</v>
      </c>
      <c r="M6005">
        <v>6.6291240000000001E-2</v>
      </c>
      <c r="N6005">
        <v>0</v>
      </c>
      <c r="O6005">
        <v>0.99770249999999905</v>
      </c>
      <c r="P6005">
        <v>8.4974380000000002E-2</v>
      </c>
      <c r="Q6005">
        <v>-3.7620399999999998E-2</v>
      </c>
      <c r="R6005">
        <v>0.99567260000000002</v>
      </c>
      <c r="S6005">
        <v>1.3732910000000001E-4</v>
      </c>
      <c r="T6005">
        <v>-0.14351639999999999</v>
      </c>
      <c r="U6005">
        <v>3.009674</v>
      </c>
      <c r="V6005">
        <v>1.8749370000000001E-2</v>
      </c>
      <c r="W6005">
        <v>-2.368025E-2</v>
      </c>
      <c r="X6005">
        <v>0.99954370000000003</v>
      </c>
      <c r="Y6005">
        <v>-6.6252130000000006E-2</v>
      </c>
      <c r="Z6005">
        <v>-4.7421440000000002E-2</v>
      </c>
      <c r="AA6005">
        <v>0.99667539999999999</v>
      </c>
      <c r="AB6005">
        <v>15</v>
      </c>
      <c r="AC6005">
        <v>-6.2000000000068597E-3</v>
      </c>
      <c r="AD6005">
        <v>-1.1041496846879999</v>
      </c>
      <c r="AE6005">
        <v>23.014029999999899</v>
      </c>
      <c r="AF6005">
        <v>-1.52844566316758</v>
      </c>
      <c r="AG6005">
        <v>-1.1041496846879999</v>
      </c>
      <c r="AH6005">
        <v>22.9102503057231</v>
      </c>
      <c r="AI6005">
        <v>92.753100015137704</v>
      </c>
      <c r="AJ6005">
        <v>93.816802772205506</v>
      </c>
      <c r="AK6005">
        <v>22.987711102724798</v>
      </c>
    </row>
    <row r="6006" spans="1:37" x14ac:dyDescent="0.2">
      <c r="A6006" t="str">
        <f>"20200111160333882"</f>
        <v>20200111160333882</v>
      </c>
      <c r="B6006" t="str">
        <f>"1578729813879356"</f>
        <v>1578729813879356</v>
      </c>
      <c r="C6006" t="s">
        <v>37</v>
      </c>
      <c r="D6006">
        <v>8.7462099999999996</v>
      </c>
      <c r="E6006">
        <v>0.46647650000000002</v>
      </c>
      <c r="F6006" t="s">
        <v>38</v>
      </c>
      <c r="G6006">
        <v>-188.72229999999999</v>
      </c>
      <c r="H6006" s="1">
        <v>-9.5059830000000003E-7</v>
      </c>
      <c r="I6006">
        <v>-28.679670000000002</v>
      </c>
      <c r="J6006">
        <v>-188.57929999999999</v>
      </c>
      <c r="K6006">
        <v>1.1039479999999999</v>
      </c>
      <c r="L6006">
        <v>-49.879519999999999</v>
      </c>
      <c r="M6006">
        <v>6.4735580000000001E-2</v>
      </c>
      <c r="N6006">
        <v>0</v>
      </c>
      <c r="O6006">
        <v>0.99780550000000001</v>
      </c>
      <c r="P6006">
        <v>7.5956469999999998E-2</v>
      </c>
      <c r="Q6006">
        <v>-3.8842380000000003E-2</v>
      </c>
      <c r="R6006">
        <v>0.99635429999999903</v>
      </c>
      <c r="S6006">
        <v>-1.8981930000000001E-2</v>
      </c>
      <c r="T6006">
        <v>-0.15556049999999999</v>
      </c>
      <c r="U6006">
        <v>3.0087890000000002</v>
      </c>
      <c r="V6006">
        <v>1.124969E-2</v>
      </c>
      <c r="W6006">
        <v>-2.4963329999999999E-2</v>
      </c>
      <c r="X6006">
        <v>0.99962510000000004</v>
      </c>
      <c r="Y6006">
        <v>-7.1027549999999995E-2</v>
      </c>
      <c r="Z6006">
        <v>-5.140492E-2</v>
      </c>
      <c r="AA6006">
        <v>0.9961489</v>
      </c>
      <c r="AB6006">
        <v>15</v>
      </c>
      <c r="AC6006">
        <v>-0.14299999999999999</v>
      </c>
      <c r="AD6006">
        <v>-1.1039489505983</v>
      </c>
      <c r="AE6006">
        <v>21.199850000000001</v>
      </c>
      <c r="AF6006">
        <v>-1.51111993772192</v>
      </c>
      <c r="AG6006">
        <v>-1.1039489505983</v>
      </c>
      <c r="AH6006">
        <v>21.0889325684421</v>
      </c>
      <c r="AI6006">
        <v>92.988895703855803</v>
      </c>
      <c r="AJ6006">
        <v>94.098503777489796</v>
      </c>
      <c r="AK6006">
        <v>21.1718035043783</v>
      </c>
    </row>
    <row r="6007" spans="1:37" x14ac:dyDescent="0.2">
      <c r="A6007" t="str">
        <f>"20200111160333904"</f>
        <v>20200111160333904</v>
      </c>
      <c r="B6007" t="str">
        <f>"1578729813898877"</f>
        <v>1578729813898877</v>
      </c>
      <c r="C6007" t="s">
        <v>37</v>
      </c>
      <c r="D6007">
        <v>5.1581440000000001</v>
      </c>
      <c r="E6007">
        <v>0.46667199999999998</v>
      </c>
      <c r="F6007" t="s">
        <v>38</v>
      </c>
      <c r="G6007">
        <v>-188.85910000000001</v>
      </c>
      <c r="H6007" s="1">
        <v>-3.6839420000000002E-7</v>
      </c>
      <c r="I6007">
        <v>-30.161390000000001</v>
      </c>
      <c r="J6007">
        <v>-188.57069999999999</v>
      </c>
      <c r="K6007">
        <v>1.1037440000000001</v>
      </c>
      <c r="L6007">
        <v>-49.727020000000003</v>
      </c>
      <c r="M6007">
        <v>6.4035750000000002E-2</v>
      </c>
      <c r="N6007">
        <v>0</v>
      </c>
      <c r="O6007">
        <v>0.99785140000000006</v>
      </c>
      <c r="P6007">
        <v>6.764067E-2</v>
      </c>
      <c r="Q6007">
        <v>-3.889024E-2</v>
      </c>
      <c r="R6007">
        <v>0.99695149999999999</v>
      </c>
      <c r="S6007">
        <v>-4.2678830000000001E-2</v>
      </c>
      <c r="T6007">
        <v>-0.16838819999999999</v>
      </c>
      <c r="U6007">
        <v>3.00766</v>
      </c>
      <c r="V6007">
        <v>3.5996890000000001E-3</v>
      </c>
      <c r="W6007">
        <v>-2.5045439999999999E-2</v>
      </c>
      <c r="X6007">
        <v>0.99967980000000001</v>
      </c>
      <c r="Y6007">
        <v>-7.8172770000000003E-2</v>
      </c>
      <c r="Z6007">
        <v>-5.56385E-2</v>
      </c>
      <c r="AA6007">
        <v>0.99538609999999905</v>
      </c>
      <c r="AB6007">
        <v>15</v>
      </c>
      <c r="AC6007">
        <v>-0.28840000000002403</v>
      </c>
      <c r="AD6007">
        <v>-1.1037443683942001</v>
      </c>
      <c r="AE6007">
        <v>19.565629999999999</v>
      </c>
      <c r="AF6007">
        <v>-1.5359412100994001</v>
      </c>
      <c r="AG6007">
        <v>-1.1037443683942001</v>
      </c>
      <c r="AH6007">
        <v>19.445128240263202</v>
      </c>
      <c r="AI6007">
        <v>93.238670922777104</v>
      </c>
      <c r="AJ6007">
        <v>94.516329634877295</v>
      </c>
      <c r="AK6007">
        <v>19.536897893778399</v>
      </c>
    </row>
    <row r="6008" spans="1:37" x14ac:dyDescent="0.2">
      <c r="A6008" t="str">
        <f>"20200111160333947"</f>
        <v>20200111160333947</v>
      </c>
      <c r="B6008" t="str">
        <f>"1578729813938893"</f>
        <v>1578729813938893</v>
      </c>
      <c r="C6008" t="s">
        <v>37</v>
      </c>
      <c r="D6008">
        <v>5.189184</v>
      </c>
      <c r="E6008">
        <v>0.46831400000000001</v>
      </c>
      <c r="F6008" t="s">
        <v>38</v>
      </c>
      <c r="G6008">
        <v>-188.98929999999999</v>
      </c>
      <c r="H6008" s="1">
        <v>-4.3233139999999997E-6</v>
      </c>
      <c r="I6008">
        <v>-30.707370000000001</v>
      </c>
      <c r="J6008">
        <v>-188.55240000000001</v>
      </c>
      <c r="K6008">
        <v>1.1033219999999999</v>
      </c>
      <c r="L6008">
        <v>-49.438929999999999</v>
      </c>
      <c r="M6008">
        <v>6.4406899999999906E-2</v>
      </c>
      <c r="N6008">
        <v>0</v>
      </c>
      <c r="O6008">
        <v>0.99782800000000005</v>
      </c>
      <c r="P6008">
        <v>5.6179189999999997E-2</v>
      </c>
      <c r="Q6008">
        <v>-3.521204E-2</v>
      </c>
      <c r="R6008">
        <v>0.99779959999999901</v>
      </c>
      <c r="S6008">
        <v>-6.6177369999999999E-2</v>
      </c>
      <c r="T6008">
        <v>-0.17449439999999999</v>
      </c>
      <c r="U6008">
        <v>3.006866</v>
      </c>
      <c r="V6008">
        <v>-8.2800240000000004E-3</v>
      </c>
      <c r="W6008">
        <v>-2.1370779999999999E-2</v>
      </c>
      <c r="X6008">
        <v>0.99973729999999905</v>
      </c>
      <c r="Y6008">
        <v>-8.6318329999999999E-2</v>
      </c>
      <c r="Z6008">
        <v>-5.7638990000000001E-2</v>
      </c>
      <c r="AA6008">
        <v>0.99459889999999995</v>
      </c>
      <c r="AB6008">
        <v>15</v>
      </c>
      <c r="AC6008">
        <v>-0.43689999999998003</v>
      </c>
      <c r="AD6008">
        <v>-1.1033263233139901</v>
      </c>
      <c r="AE6008">
        <v>18.731560000000002</v>
      </c>
      <c r="AF6008">
        <v>-1.6368737073848201</v>
      </c>
      <c r="AG6008">
        <v>-1.1033263233139901</v>
      </c>
      <c r="AH6008">
        <v>18.6000218640384</v>
      </c>
      <c r="AI6008">
        <v>93.381685347772603</v>
      </c>
      <c r="AJ6008">
        <v>95.029293004977703</v>
      </c>
      <c r="AK6008">
        <v>18.704478016035399</v>
      </c>
    </row>
    <row r="6009" spans="1:37" x14ac:dyDescent="0.2">
      <c r="A6009" t="str">
        <f>"20200111160333971"</f>
        <v>20200111160333971</v>
      </c>
      <c r="B6009" t="str">
        <f>"1578729813959388"</f>
        <v>1578729813959388</v>
      </c>
      <c r="C6009" t="s">
        <v>37</v>
      </c>
      <c r="D6009">
        <v>5.1155759999999999</v>
      </c>
      <c r="E6009">
        <v>0.46891629999999901</v>
      </c>
      <c r="F6009" t="s">
        <v>38</v>
      </c>
      <c r="G6009">
        <v>-189.1292</v>
      </c>
      <c r="H6009" s="1">
        <v>-4.2251579999999901E-7</v>
      </c>
      <c r="I6009">
        <v>-29.79119</v>
      </c>
      <c r="J6009">
        <v>-188.54169999999999</v>
      </c>
      <c r="K6009">
        <v>1.1031690000000001</v>
      </c>
      <c r="L6009">
        <v>-49.288730000000001</v>
      </c>
      <c r="M6009">
        <v>6.5232470000000001E-2</v>
      </c>
      <c r="N6009">
        <v>0</v>
      </c>
      <c r="O6009">
        <v>0.99777450000000001</v>
      </c>
      <c r="P6009">
        <v>5.5494160000000001E-2</v>
      </c>
      <c r="Q6009">
        <v>-3.3651929999999997E-2</v>
      </c>
      <c r="R6009">
        <v>0.99789169999999905</v>
      </c>
      <c r="S6009">
        <v>-8.824158E-2</v>
      </c>
      <c r="T6009">
        <v>-0.1687826</v>
      </c>
      <c r="U6009">
        <v>3.005646</v>
      </c>
      <c r="V6009">
        <v>-9.7996109999999997E-3</v>
      </c>
      <c r="W6009">
        <v>-1.9810669999999999E-2</v>
      </c>
      <c r="X6009">
        <v>0.99975569999999903</v>
      </c>
      <c r="Y6009">
        <v>-9.4448089999999998E-2</v>
      </c>
      <c r="Z6009">
        <v>-5.5750399999999999E-2</v>
      </c>
      <c r="AA6009">
        <v>0.993967499999999</v>
      </c>
      <c r="AB6009">
        <v>15</v>
      </c>
      <c r="AC6009">
        <v>-0.58750000000000502</v>
      </c>
      <c r="AD6009">
        <v>-1.1031694225158</v>
      </c>
      <c r="AE6009">
        <v>19.497540000000001</v>
      </c>
      <c r="AF6009">
        <v>-1.85231804552077</v>
      </c>
      <c r="AG6009">
        <v>-1.1031694225158</v>
      </c>
      <c r="AH6009">
        <v>19.3557692212805</v>
      </c>
      <c r="AI6009">
        <v>93.247203107960701</v>
      </c>
      <c r="AJ6009">
        <v>95.466472922585595</v>
      </c>
      <c r="AK6009">
        <v>19.475468340042699</v>
      </c>
    </row>
    <row r="6010" spans="1:37" x14ac:dyDescent="0.2">
      <c r="A6010" t="str">
        <f>"20200111160333993"</f>
        <v>20200111160333993</v>
      </c>
      <c r="B6010" t="str">
        <f>"1578729813988669"</f>
        <v>1578729813988669</v>
      </c>
      <c r="C6010" t="s">
        <v>37</v>
      </c>
      <c r="D6010">
        <v>5.1242320000000001</v>
      </c>
      <c r="E6010">
        <v>0.47008149999999999</v>
      </c>
      <c r="F6010" t="s">
        <v>38</v>
      </c>
      <c r="G6010">
        <v>-189.10849999999999</v>
      </c>
      <c r="H6010" s="1">
        <v>-4.9938730000000003E-7</v>
      </c>
      <c r="I6010">
        <v>-29.581499999999998</v>
      </c>
      <c r="J6010">
        <v>-188.53</v>
      </c>
      <c r="K6010">
        <v>1.1030949999999999</v>
      </c>
      <c r="L6010">
        <v>-49.135350000000003</v>
      </c>
      <c r="M6010">
        <v>6.649331E-2</v>
      </c>
      <c r="N6010">
        <v>0</v>
      </c>
      <c r="O6010">
        <v>0.99769140000000001</v>
      </c>
      <c r="P6010">
        <v>5.5640290000000002E-2</v>
      </c>
      <c r="Q6010">
        <v>-3.4443559999999998E-2</v>
      </c>
      <c r="R6010">
        <v>0.99785659999999898</v>
      </c>
      <c r="S6010">
        <v>-8.6441039999999997E-2</v>
      </c>
      <c r="T6010">
        <v>-0.16823969999999999</v>
      </c>
      <c r="U6010">
        <v>3.0054630000000002</v>
      </c>
      <c r="V6010">
        <v>-1.09202E-2</v>
      </c>
      <c r="W6010">
        <v>-2.0604709999999998E-2</v>
      </c>
      <c r="X6010">
        <v>0.99972809999999901</v>
      </c>
      <c r="Y6010">
        <v>-9.5113199999999995E-2</v>
      </c>
      <c r="Z6010">
        <v>-5.5566730000000002E-2</v>
      </c>
      <c r="AA6010">
        <v>0.99391439999999998</v>
      </c>
      <c r="AB6010">
        <v>15</v>
      </c>
      <c r="AC6010">
        <v>-0.57849999999999102</v>
      </c>
      <c r="AD6010">
        <v>-1.1030954993872999</v>
      </c>
      <c r="AE6010">
        <v>19.553850000000001</v>
      </c>
      <c r="AF6010">
        <v>-1.87159249682214</v>
      </c>
      <c r="AG6010">
        <v>-1.1030954993872999</v>
      </c>
      <c r="AH6010">
        <v>19.410377957887501</v>
      </c>
      <c r="AI6010">
        <v>93.2376478711641</v>
      </c>
      <c r="AJ6010">
        <v>95.507562223896997</v>
      </c>
      <c r="AK6010">
        <v>19.5315757332319</v>
      </c>
    </row>
    <row r="6011" spans="1:37" x14ac:dyDescent="0.2">
      <c r="A6011" t="str">
        <f>"20200111160334015"</f>
        <v>20200111160334015</v>
      </c>
      <c r="B6011" t="str">
        <f>"1578729814009165"</f>
        <v>1578729814009165</v>
      </c>
      <c r="C6011" t="s">
        <v>37</v>
      </c>
      <c r="D6011">
        <v>5.117534</v>
      </c>
      <c r="E6011">
        <v>0.470867599999999</v>
      </c>
      <c r="F6011" t="s">
        <v>38</v>
      </c>
      <c r="G6011">
        <v>-189.0196</v>
      </c>
      <c r="H6011" s="1">
        <v>-3.4729669999999999E-7</v>
      </c>
      <c r="I6011">
        <v>-30.097919999999998</v>
      </c>
      <c r="J6011">
        <v>-188.51830000000001</v>
      </c>
      <c r="K6011">
        <v>1.1030899999999999</v>
      </c>
      <c r="L6011">
        <v>-48.987850000000002</v>
      </c>
      <c r="M6011">
        <v>6.8004159999999994E-2</v>
      </c>
      <c r="N6011">
        <v>0</v>
      </c>
      <c r="O6011">
        <v>0.99758959999999997</v>
      </c>
      <c r="P6011">
        <v>5.740812E-2</v>
      </c>
      <c r="Q6011">
        <v>-3.7673280000000003E-2</v>
      </c>
      <c r="R6011">
        <v>0.99763969999999902</v>
      </c>
      <c r="S6011">
        <v>-7.7270510000000001E-2</v>
      </c>
      <c r="T6011">
        <v>-0.1741046</v>
      </c>
      <c r="U6011">
        <v>3.0047299999999999</v>
      </c>
      <c r="V6011">
        <v>-1.06663E-2</v>
      </c>
      <c r="W6011">
        <v>-2.3843380000000001E-2</v>
      </c>
      <c r="X6011">
        <v>0.99965879999999996</v>
      </c>
      <c r="Y6011">
        <v>-9.3593529999999994E-2</v>
      </c>
      <c r="Z6011">
        <v>-5.750914E-2</v>
      </c>
      <c r="AA6011">
        <v>0.99394819999999995</v>
      </c>
      <c r="AB6011">
        <v>15</v>
      </c>
      <c r="AC6011">
        <v>-0.50129999999998598</v>
      </c>
      <c r="AD6011">
        <v>-1.1030903472967</v>
      </c>
      <c r="AE6011">
        <v>18.88993</v>
      </c>
      <c r="AF6011">
        <v>-1.7787939190872</v>
      </c>
      <c r="AG6011">
        <v>-1.1030903472967</v>
      </c>
      <c r="AH6011">
        <v>18.748211001915301</v>
      </c>
      <c r="AI6011">
        <v>93.352215762874096</v>
      </c>
      <c r="AJ6011">
        <v>95.419888355423396</v>
      </c>
      <c r="AK6011">
        <v>18.864684781178301</v>
      </c>
    </row>
    <row r="6012" spans="1:37" x14ac:dyDescent="0.2">
      <c r="A6012" t="str">
        <f>"20200111160334038"</f>
        <v>20200111160334038</v>
      </c>
      <c r="B6012" t="str">
        <f>"1578729814028684"</f>
        <v>1578729814028684</v>
      </c>
      <c r="C6012" t="s">
        <v>37</v>
      </c>
      <c r="D6012">
        <v>6.5061660000000003</v>
      </c>
      <c r="E6012">
        <v>0.47143869999999999</v>
      </c>
      <c r="F6012" t="s">
        <v>38</v>
      </c>
      <c r="G6012">
        <v>-188.90889999999999</v>
      </c>
      <c r="H6012" s="1">
        <v>-4.1297779999999996E-6</v>
      </c>
      <c r="I6012">
        <v>-31.191749999999999</v>
      </c>
      <c r="J6012">
        <v>-188.50569999999999</v>
      </c>
      <c r="K6012">
        <v>1.1031469999999901</v>
      </c>
      <c r="L6012">
        <v>-48.83426</v>
      </c>
      <c r="M6012">
        <v>6.9778380000000001E-2</v>
      </c>
      <c r="N6012">
        <v>0</v>
      </c>
      <c r="O6012">
        <v>0.997467199999999</v>
      </c>
      <c r="P6012">
        <v>6.042844E-2</v>
      </c>
      <c r="Q6012">
        <v>-4.3327730000000002E-2</v>
      </c>
      <c r="R6012">
        <v>0.99723169999999905</v>
      </c>
      <c r="S6012">
        <v>-6.5933229999999995E-2</v>
      </c>
      <c r="T6012">
        <v>-0.18619369999999999</v>
      </c>
      <c r="U6012">
        <v>3.0038450000000001</v>
      </c>
      <c r="V6012">
        <v>-9.4178860000000003E-3</v>
      </c>
      <c r="W6012">
        <v>-2.9510189999999999E-2</v>
      </c>
      <c r="X6012">
        <v>0.99952009999999902</v>
      </c>
      <c r="Y6012">
        <v>-9.1617119999999996E-2</v>
      </c>
      <c r="Z6012">
        <v>-6.1502719999999997E-2</v>
      </c>
      <c r="AA6012">
        <v>0.99389319999999903</v>
      </c>
      <c r="AB6012">
        <v>15</v>
      </c>
      <c r="AC6012">
        <v>-0.403199999999998</v>
      </c>
      <c r="AD6012">
        <v>-1.1031511297779999</v>
      </c>
      <c r="AE6012">
        <v>17.642510000000001</v>
      </c>
      <c r="AF6012">
        <v>-1.6270418447589501</v>
      </c>
      <c r="AG6012">
        <v>-1.1031511297779999</v>
      </c>
      <c r="AH6012">
        <v>17.502964656164899</v>
      </c>
      <c r="AI6012">
        <v>93.590943068007206</v>
      </c>
      <c r="AJ6012">
        <v>95.310842918213496</v>
      </c>
      <c r="AK6012">
        <v>17.613005971005801</v>
      </c>
    </row>
    <row r="6013" spans="1:37" x14ac:dyDescent="0.2">
      <c r="A6013" t="str">
        <f>"20200111160334060"</f>
        <v>20200111160334060</v>
      </c>
      <c r="B6013" t="str">
        <f>"1578729814049182"</f>
        <v>1578729814049182</v>
      </c>
      <c r="C6013" t="s">
        <v>37</v>
      </c>
      <c r="D6013">
        <v>5.1202709999999998</v>
      </c>
      <c r="E6013">
        <v>0.47215109999999899</v>
      </c>
      <c r="F6013" t="s">
        <v>38</v>
      </c>
      <c r="G6013">
        <v>-188.78489999999999</v>
      </c>
      <c r="H6013" s="1">
        <v>-3.453583E-6</v>
      </c>
      <c r="I6013">
        <v>-32.819249999999997</v>
      </c>
      <c r="J6013">
        <v>-188.4931</v>
      </c>
      <c r="K6013">
        <v>1.1032299999999999</v>
      </c>
      <c r="L6013">
        <v>-48.686309999999999</v>
      </c>
      <c r="M6013">
        <v>7.1558709999999998E-2</v>
      </c>
      <c r="N6013">
        <v>0</v>
      </c>
      <c r="O6013">
        <v>0.99734100000000003</v>
      </c>
      <c r="P6013">
        <v>6.4221150000000005E-2</v>
      </c>
      <c r="Q6013">
        <v>-4.815581E-2</v>
      </c>
      <c r="R6013">
        <v>0.99677309999999997</v>
      </c>
      <c r="S6013">
        <v>-5.2352910000000002E-2</v>
      </c>
      <c r="T6013">
        <v>-0.20681929999999901</v>
      </c>
      <c r="U6013">
        <v>3.0025019999999998</v>
      </c>
      <c r="V6013">
        <v>-7.3935190000000003E-3</v>
      </c>
      <c r="W6013">
        <v>-3.4351029999999998E-2</v>
      </c>
      <c r="X6013">
        <v>0.99938249999999995</v>
      </c>
      <c r="Y6013">
        <v>-8.8902540000000002E-2</v>
      </c>
      <c r="Z6013">
        <v>-6.8314050000000001E-2</v>
      </c>
      <c r="AA6013">
        <v>0.99369490000000005</v>
      </c>
      <c r="AB6013">
        <v>15</v>
      </c>
      <c r="AC6013">
        <v>-0.29179999999999401</v>
      </c>
      <c r="AD6013">
        <v>-1.103233453583</v>
      </c>
      <c r="AE6013">
        <v>15.86706</v>
      </c>
      <c r="AF6013">
        <v>-1.4197249937488099</v>
      </c>
      <c r="AG6013">
        <v>-1.103233453583</v>
      </c>
      <c r="AH6013">
        <v>15.7294757158212</v>
      </c>
      <c r="AI6013">
        <v>93.9958487932944</v>
      </c>
      <c r="AJ6013">
        <v>95.157478248429896</v>
      </c>
      <c r="AK6013">
        <v>15.831902899070201</v>
      </c>
    </row>
    <row r="6014" spans="1:37" x14ac:dyDescent="0.2">
      <c r="A6014" t="str">
        <f>"20200111160334083"</f>
        <v>20200111160334083</v>
      </c>
      <c r="B6014" t="str">
        <f>"1578729814079437"</f>
        <v>1578729814079437</v>
      </c>
      <c r="C6014" t="s">
        <v>37</v>
      </c>
      <c r="D6014">
        <v>5.0773349999999997</v>
      </c>
      <c r="E6014">
        <v>0.47298309999999999</v>
      </c>
      <c r="F6014" t="s">
        <v>38</v>
      </c>
      <c r="G6014">
        <v>-188.66569999999999</v>
      </c>
      <c r="H6014" s="1">
        <v>-2.992687E-6</v>
      </c>
      <c r="I6014">
        <v>-33.942920000000001</v>
      </c>
      <c r="J6014">
        <v>-188.48009999999999</v>
      </c>
      <c r="K6014">
        <v>1.1033329999999999</v>
      </c>
      <c r="L6014">
        <v>-48.536009999999997</v>
      </c>
      <c r="M6014">
        <v>7.3348739999999996E-2</v>
      </c>
      <c r="N6014">
        <v>0</v>
      </c>
      <c r="O6014">
        <v>0.99721099999999996</v>
      </c>
      <c r="P6014">
        <v>6.7285520000000001E-2</v>
      </c>
      <c r="Q6014">
        <v>-5.0449300000000002E-2</v>
      </c>
      <c r="R6014">
        <v>0.9964575</v>
      </c>
      <c r="S6014">
        <v>-3.5125730000000001E-2</v>
      </c>
      <c r="T6014">
        <v>-0.22457150000000001</v>
      </c>
      <c r="U6014">
        <v>3.0011290000000002</v>
      </c>
      <c r="V6014">
        <v>-6.1025380000000002E-3</v>
      </c>
      <c r="W6014">
        <v>-3.665359E-2</v>
      </c>
      <c r="X6014">
        <v>0.99930940000000001</v>
      </c>
      <c r="Y6014">
        <v>-8.4989830000000002E-2</v>
      </c>
      <c r="Z6014">
        <v>-7.4181479999999994E-2</v>
      </c>
      <c r="AA6014">
        <v>0.99361650000000001</v>
      </c>
      <c r="AB6014">
        <v>15</v>
      </c>
      <c r="AC6014">
        <v>-0.18559999999999299</v>
      </c>
      <c r="AD6014">
        <v>-1.1033359926869999</v>
      </c>
      <c r="AE6014">
        <v>14.593089999999901</v>
      </c>
      <c r="AF6014">
        <v>-1.24845106180854</v>
      </c>
      <c r="AG6014">
        <v>-1.1033359926869999</v>
      </c>
      <c r="AH6014">
        <v>14.457527714799401</v>
      </c>
      <c r="AI6014">
        <v>94.347988297743996</v>
      </c>
      <c r="AJ6014">
        <v>94.935419875463097</v>
      </c>
      <c r="AK6014">
        <v>14.553215726796701</v>
      </c>
    </row>
    <row r="6015" spans="1:37" x14ac:dyDescent="0.2">
      <c r="A6015" t="str">
        <f>"20200111160334104"</f>
        <v>20200111160334104</v>
      </c>
      <c r="B6015" t="str">
        <f>"1578729814098957"</f>
        <v>1578729814098957</v>
      </c>
      <c r="C6015" t="s">
        <v>37</v>
      </c>
      <c r="D6015">
        <v>5.088711</v>
      </c>
      <c r="E6015">
        <v>0.473247999999999</v>
      </c>
      <c r="F6015" t="s">
        <v>38</v>
      </c>
      <c r="G6015">
        <v>-188.57210000000001</v>
      </c>
      <c r="H6015" s="1">
        <v>-2.80369899999999E-6</v>
      </c>
      <c r="I6015">
        <v>-34.422139999999999</v>
      </c>
      <c r="J6015">
        <v>-188.46719999999999</v>
      </c>
      <c r="K6015">
        <v>1.1034489999999999</v>
      </c>
      <c r="L6015">
        <v>-48.390140000000002</v>
      </c>
      <c r="M6015">
        <v>7.5023160000000005E-2</v>
      </c>
      <c r="N6015">
        <v>0</v>
      </c>
      <c r="O6015">
        <v>0.99708649999999999</v>
      </c>
      <c r="P6015">
        <v>7.0122859999999995E-2</v>
      </c>
      <c r="Q6015">
        <v>-5.0911110000000002E-2</v>
      </c>
      <c r="R6015">
        <v>0.99623839999999997</v>
      </c>
      <c r="S6015">
        <v>-1.9561769999999999E-2</v>
      </c>
      <c r="T6015">
        <v>-0.2345312</v>
      </c>
      <c r="U6015">
        <v>3.0001220000000002</v>
      </c>
      <c r="V6015">
        <v>-4.9235670000000002E-3</v>
      </c>
      <c r="W6015">
        <v>-3.71241E-2</v>
      </c>
      <c r="X6015">
        <v>0.99929849999999998</v>
      </c>
      <c r="Y6015">
        <v>-8.1510470000000002E-2</v>
      </c>
      <c r="Z6015">
        <v>-7.7476370000000003E-2</v>
      </c>
      <c r="AA6015">
        <v>0.993656599999999</v>
      </c>
      <c r="AB6015">
        <v>15</v>
      </c>
      <c r="AC6015">
        <v>-0.104900000000014</v>
      </c>
      <c r="AD6015">
        <v>-1.103451803699</v>
      </c>
      <c r="AE6015">
        <v>13.968</v>
      </c>
      <c r="AF6015">
        <v>-1.1454791284588699</v>
      </c>
      <c r="AG6015">
        <v>-1.103451803699</v>
      </c>
      <c r="AH6015">
        <v>13.834424481173899</v>
      </c>
      <c r="AI6015">
        <v>94.544845015455493</v>
      </c>
      <c r="AJ6015">
        <v>94.733247202266995</v>
      </c>
      <c r="AK6015">
        <v>13.9255530964528</v>
      </c>
    </row>
    <row r="6016" spans="1:37" x14ac:dyDescent="0.2">
      <c r="A6016" t="str">
        <f>"20200111160334131"</f>
        <v>20200111160334131</v>
      </c>
      <c r="B6016" t="str">
        <f>"1578729814119453"</f>
        <v>1578729814119453</v>
      </c>
      <c r="C6016" t="s">
        <v>37</v>
      </c>
      <c r="D6016">
        <v>5.2620440000000004</v>
      </c>
      <c r="E6016">
        <v>0.47335090000000002</v>
      </c>
      <c r="F6016" t="s">
        <v>38</v>
      </c>
      <c r="G6016">
        <v>-188.50819999999999</v>
      </c>
      <c r="H6016" s="1">
        <v>-2.8047329999999999E-6</v>
      </c>
      <c r="I6016">
        <v>-34.446159999999999</v>
      </c>
      <c r="J6016">
        <v>-188.4521</v>
      </c>
      <c r="K6016">
        <v>1.1036090000000001</v>
      </c>
      <c r="L6016">
        <v>-48.22128</v>
      </c>
      <c r="M6016">
        <v>7.6861769999999996E-2</v>
      </c>
      <c r="N6016">
        <v>0</v>
      </c>
      <c r="O6016">
        <v>0.99694649999999996</v>
      </c>
      <c r="P6016">
        <v>7.1552370000000004E-2</v>
      </c>
      <c r="Q6016">
        <v>-4.8205129999999999E-2</v>
      </c>
      <c r="R6016">
        <v>0.99627129999999997</v>
      </c>
      <c r="S6016">
        <v>-8.8195800000000005E-3</v>
      </c>
      <c r="T6016">
        <v>-0.237389399999999</v>
      </c>
      <c r="U6016">
        <v>2.99981699999999</v>
      </c>
      <c r="V6016">
        <v>-5.3214849999999999E-3</v>
      </c>
      <c r="W6016">
        <v>-3.4423049999999997E-2</v>
      </c>
      <c r="X6016">
        <v>0.99939319999999898</v>
      </c>
      <c r="Y6016">
        <v>-7.9790600000000003E-2</v>
      </c>
      <c r="Z6016">
        <v>-7.8412309999999999E-2</v>
      </c>
      <c r="AA6016">
        <v>0.99372280000000002</v>
      </c>
      <c r="AB6016">
        <v>15</v>
      </c>
      <c r="AC6016">
        <v>-5.6099999999986397E-2</v>
      </c>
      <c r="AD6016">
        <v>-1.1036118047329999</v>
      </c>
      <c r="AE6016">
        <v>13.775119999999999</v>
      </c>
      <c r="AF6016">
        <v>-1.1077048628771</v>
      </c>
      <c r="AG6016">
        <v>-1.1036118047329999</v>
      </c>
      <c r="AH6016">
        <v>13.6424852388737</v>
      </c>
      <c r="AI6016">
        <v>94.609778894503194</v>
      </c>
      <c r="AJ6016">
        <v>94.641961470698206</v>
      </c>
      <c r="AK6016">
        <v>13.731801504961901</v>
      </c>
    </row>
    <row r="6017" spans="1:37" x14ac:dyDescent="0.2">
      <c r="A6017" t="str">
        <f>"20200111160334152"</f>
        <v>20200111160334152</v>
      </c>
      <c r="B6017" t="str">
        <f>"1578729814148733"</f>
        <v>1578729814148733</v>
      </c>
      <c r="C6017" t="s">
        <v>37</v>
      </c>
      <c r="D6017">
        <v>6.6055919999999997</v>
      </c>
      <c r="E6017">
        <v>0.472526</v>
      </c>
      <c r="F6017" t="s">
        <v>38</v>
      </c>
      <c r="G6017">
        <v>-188.47059999999999</v>
      </c>
      <c r="H6017" s="1">
        <v>-3.09744599999999E-6</v>
      </c>
      <c r="I6017">
        <v>-33.779359999999997</v>
      </c>
      <c r="J6017">
        <v>-188.4391</v>
      </c>
      <c r="K6017">
        <v>1.1037520000000001</v>
      </c>
      <c r="L6017">
        <v>-48.078279999999999</v>
      </c>
      <c r="M6017">
        <v>7.8316479999999994E-2</v>
      </c>
      <c r="N6017">
        <v>0</v>
      </c>
      <c r="O6017">
        <v>0.99683339999999998</v>
      </c>
      <c r="P6017">
        <v>7.0142339999999997E-2</v>
      </c>
      <c r="Q6017">
        <v>-4.5537809999999998E-2</v>
      </c>
      <c r="R6017">
        <v>0.99649699999999997</v>
      </c>
      <c r="S6017">
        <v>-3.860474E-3</v>
      </c>
      <c r="T6017">
        <v>-0.22928209999999999</v>
      </c>
      <c r="U6017">
        <v>3.000397</v>
      </c>
      <c r="V6017">
        <v>-8.1867119999999901E-3</v>
      </c>
      <c r="W6017">
        <v>-3.1755770000000003E-2</v>
      </c>
      <c r="X6017">
        <v>0.99946209999999902</v>
      </c>
      <c r="Y6017">
        <v>-7.9602480000000003E-2</v>
      </c>
      <c r="Z6017">
        <v>-7.5723399999999996E-2</v>
      </c>
      <c r="AA6017">
        <v>0.99394640000000001</v>
      </c>
      <c r="AB6017">
        <v>15</v>
      </c>
      <c r="AC6017">
        <v>-3.1499999999993998E-2</v>
      </c>
      <c r="AD6017">
        <v>-1.103755097446</v>
      </c>
      <c r="AE6017">
        <v>14.298920000000001</v>
      </c>
      <c r="AF6017">
        <v>-1.1445308601226001</v>
      </c>
      <c r="AG6017">
        <v>-1.103755097446</v>
      </c>
      <c r="AH6017">
        <v>14.168105358129701</v>
      </c>
      <c r="AI6017">
        <v>94.440179321781798</v>
      </c>
      <c r="AJ6017">
        <v>94.618450798033294</v>
      </c>
      <c r="AK6017">
        <v>14.257048630203</v>
      </c>
    </row>
    <row r="6018" spans="1:37" x14ac:dyDescent="0.2">
      <c r="A6018" t="str">
        <f>"20200111160334194"</f>
        <v>20200111160334194</v>
      </c>
      <c r="B6018" t="str">
        <f>"1578729814188748"</f>
        <v>1578729814188748</v>
      </c>
      <c r="C6018" t="s">
        <v>37</v>
      </c>
      <c r="D6018">
        <v>5.195233</v>
      </c>
      <c r="E6018">
        <v>0.47835709999999998</v>
      </c>
      <c r="F6018" t="s">
        <v>38</v>
      </c>
      <c r="G6018">
        <v>-188.51070000000001</v>
      </c>
      <c r="H6018" s="1">
        <v>-1.7757570000000001E-6</v>
      </c>
      <c r="I6018">
        <v>-26.843669999999999</v>
      </c>
      <c r="J6018">
        <v>-188.41399999999999</v>
      </c>
      <c r="K6018">
        <v>1.1040459999999901</v>
      </c>
      <c r="L6018">
        <v>-47.802729999999997</v>
      </c>
      <c r="M6018">
        <v>8.0869339999999998E-2</v>
      </c>
      <c r="N6018">
        <v>0</v>
      </c>
      <c r="O6018">
        <v>0.99662969999999895</v>
      </c>
      <c r="P6018">
        <v>5.541008E-2</v>
      </c>
      <c r="Q6018">
        <v>-3.1865919999999999E-2</v>
      </c>
      <c r="R6018">
        <v>0.99795499999999904</v>
      </c>
      <c r="S6018">
        <v>-1.013184E-2</v>
      </c>
      <c r="T6018">
        <v>-0.15615119999999999</v>
      </c>
      <c r="U6018">
        <v>3.0041199999999999</v>
      </c>
      <c r="V6018">
        <v>-2.5509879999999999E-2</v>
      </c>
      <c r="W6018">
        <v>-1.8070969999999999E-2</v>
      </c>
      <c r="X6018">
        <v>0.99951119999999904</v>
      </c>
      <c r="Y6018">
        <v>-8.4233450000000001E-2</v>
      </c>
      <c r="Z6018">
        <v>-5.1561580000000003E-2</v>
      </c>
      <c r="AA6018">
        <v>0.99511109999999903</v>
      </c>
      <c r="AB6018">
        <v>15</v>
      </c>
      <c r="AC6018">
        <v>-9.6699999999998398E-2</v>
      </c>
      <c r="AD6018">
        <v>-1.104047775757</v>
      </c>
      <c r="AE6018">
        <v>20.959060000000001</v>
      </c>
      <c r="AF6018">
        <v>-1.78653192676658</v>
      </c>
      <c r="AG6018">
        <v>-1.104047775757</v>
      </c>
      <c r="AH6018">
        <v>20.824795721478601</v>
      </c>
      <c r="AI6018">
        <v>93.023667510610693</v>
      </c>
      <c r="AJ6018">
        <v>94.903324338255103</v>
      </c>
      <c r="AK6018">
        <v>20.930426050556701</v>
      </c>
    </row>
    <row r="6019" spans="1:37" x14ac:dyDescent="0.2">
      <c r="A6019" t="str">
        <f>"20200111160334216"</f>
        <v>20200111160334216</v>
      </c>
      <c r="B6019" t="str">
        <f>"1578729814209245"</f>
        <v>1578729814209245</v>
      </c>
      <c r="C6019" t="s">
        <v>37</v>
      </c>
      <c r="D6019">
        <v>5.0289419999999998</v>
      </c>
      <c r="E6019">
        <v>0.47813339999999999</v>
      </c>
      <c r="F6019" t="s">
        <v>38</v>
      </c>
      <c r="G6019">
        <v>-188.4889</v>
      </c>
      <c r="H6019" s="1">
        <v>-3.7866479999999999E-6</v>
      </c>
      <c r="I6019">
        <v>-22.16525</v>
      </c>
      <c r="J6019">
        <v>-188.4006</v>
      </c>
      <c r="K6019">
        <v>1.1041879999999999</v>
      </c>
      <c r="L6019">
        <v>-47.657530000000001</v>
      </c>
      <c r="M6019">
        <v>8.2068959999999996E-2</v>
      </c>
      <c r="N6019">
        <v>0</v>
      </c>
      <c r="O6019">
        <v>0.99653169999999902</v>
      </c>
      <c r="P6019">
        <v>4.2906220000000002E-2</v>
      </c>
      <c r="Q6019">
        <v>-2.0926719999999999E-2</v>
      </c>
      <c r="R6019">
        <v>0.99885990000000002</v>
      </c>
      <c r="S6019">
        <v>-8.7738039999999996E-3</v>
      </c>
      <c r="T6019">
        <v>-0.12929939999999901</v>
      </c>
      <c r="U6019">
        <v>3.0025019999999998</v>
      </c>
      <c r="V6019">
        <v>-3.9230550000000003E-2</v>
      </c>
      <c r="W6019">
        <v>-7.1294629999999999E-3</v>
      </c>
      <c r="X6019">
        <v>0.9992048</v>
      </c>
      <c r="Y6019">
        <v>-8.4985840000000007E-2</v>
      </c>
      <c r="Z6019">
        <v>-4.27284E-2</v>
      </c>
      <c r="AA6019">
        <v>0.99546559999999995</v>
      </c>
      <c r="AB6019">
        <v>15</v>
      </c>
      <c r="AC6019">
        <v>-8.8300000000003806E-2</v>
      </c>
      <c r="AD6019">
        <v>-1.104191786648</v>
      </c>
      <c r="AE6019">
        <v>25.492280000000001</v>
      </c>
      <c r="AF6019">
        <v>-2.17624204092649</v>
      </c>
      <c r="AG6019">
        <v>-1.104191786648</v>
      </c>
      <c r="AH6019">
        <v>25.351458998430399</v>
      </c>
      <c r="AI6019">
        <v>92.484834669757504</v>
      </c>
      <c r="AJ6019">
        <v>94.906406071820598</v>
      </c>
      <c r="AK6019">
        <v>25.468642332709699</v>
      </c>
    </row>
    <row r="6020" spans="1:37" x14ac:dyDescent="0.2">
      <c r="A6020" t="str">
        <f>"20200111160334237"</f>
        <v>20200111160334237</v>
      </c>
      <c r="B6020" t="str">
        <f>"1578729814228765"</f>
        <v>1578729814228765</v>
      </c>
      <c r="C6020" t="s">
        <v>37</v>
      </c>
      <c r="D6020">
        <v>5.272494</v>
      </c>
      <c r="E6020">
        <v>0.47731879999999999</v>
      </c>
      <c r="F6020" t="s">
        <v>38</v>
      </c>
      <c r="G6020">
        <v>-188.8681</v>
      </c>
      <c r="H6020" s="1">
        <v>-6.8947090000000003E-7</v>
      </c>
      <c r="I6020">
        <v>-19.228079999999999</v>
      </c>
      <c r="J6020">
        <v>-188.3879</v>
      </c>
      <c r="K6020">
        <v>1.104282</v>
      </c>
      <c r="L6020">
        <v>-47.51932</v>
      </c>
      <c r="M6020">
        <v>8.3137340000000004E-2</v>
      </c>
      <c r="N6020">
        <v>0</v>
      </c>
      <c r="O6020">
        <v>0.99644330000000003</v>
      </c>
      <c r="P6020">
        <v>2.9474090000000001E-2</v>
      </c>
      <c r="Q6020">
        <v>-1.243731E-2</v>
      </c>
      <c r="R6020">
        <v>0.99948819999999905</v>
      </c>
      <c r="S6020">
        <v>-4.9377440000000002E-2</v>
      </c>
      <c r="T6020">
        <v>-0.1166397</v>
      </c>
      <c r="U6020">
        <v>3.0031129999999999</v>
      </c>
      <c r="V6020">
        <v>-5.3729180000000001E-2</v>
      </c>
      <c r="W6020">
        <v>1.350228E-3</v>
      </c>
      <c r="X6020">
        <v>0.99855459999999996</v>
      </c>
      <c r="Y6020">
        <v>-9.9504519999999999E-2</v>
      </c>
      <c r="Z6020">
        <v>-3.850986E-2</v>
      </c>
      <c r="AA6020">
        <v>0.99429159999999905</v>
      </c>
      <c r="AB6020">
        <v>15</v>
      </c>
      <c r="AC6020">
        <v>-0.48019999999999602</v>
      </c>
      <c r="AD6020">
        <v>-1.1042826894708999</v>
      </c>
      <c r="AE6020">
        <v>28.291239999999998</v>
      </c>
      <c r="AF6020">
        <v>-2.82651284917858</v>
      </c>
      <c r="AG6020">
        <v>-1.1042826894708999</v>
      </c>
      <c r="AH6020">
        <v>28.110538203806499</v>
      </c>
      <c r="AI6020">
        <v>92.238351667948393</v>
      </c>
      <c r="AJ6020">
        <v>95.741788541535598</v>
      </c>
      <c r="AK6020">
        <v>28.273856709909602</v>
      </c>
    </row>
    <row r="6021" spans="1:37" x14ac:dyDescent="0.2">
      <c r="A6021" t="str">
        <f>"20200111160334260"</f>
        <v>20200111160334260</v>
      </c>
      <c r="B6021" t="str">
        <f>"1578729814249261"</f>
        <v>1578729814249261</v>
      </c>
      <c r="C6021" t="s">
        <v>37</v>
      </c>
      <c r="D6021">
        <v>5.0909969999999998</v>
      </c>
      <c r="E6021">
        <v>0.47791279999999903</v>
      </c>
      <c r="F6021" t="s">
        <v>38</v>
      </c>
      <c r="G6021">
        <v>-189.50219999999999</v>
      </c>
      <c r="H6021" s="1">
        <v>-3.324818E-6</v>
      </c>
      <c r="I6021">
        <v>-12.82282</v>
      </c>
      <c r="J6021">
        <v>-188.37379999999999</v>
      </c>
      <c r="K6021">
        <v>1.1043289999999999</v>
      </c>
      <c r="L6021">
        <v>-47.367429999999999</v>
      </c>
      <c r="M6021">
        <v>8.4259819999999999E-2</v>
      </c>
      <c r="N6021">
        <v>0</v>
      </c>
      <c r="O6021">
        <v>0.99634959999999995</v>
      </c>
      <c r="P6021">
        <v>1.8893799999999999E-2</v>
      </c>
      <c r="Q6021">
        <v>-9.588605E-3</v>
      </c>
      <c r="R6021">
        <v>0.99977549999999904</v>
      </c>
      <c r="S6021">
        <v>-9.6450809999999998E-2</v>
      </c>
      <c r="T6021">
        <v>-9.5582959999999995E-2</v>
      </c>
      <c r="U6021">
        <v>3.0032040000000002</v>
      </c>
      <c r="V6021">
        <v>-6.5418439999999994E-2</v>
      </c>
      <c r="W6021">
        <v>4.1492500000000002E-3</v>
      </c>
      <c r="X6021">
        <v>0.99784930000000005</v>
      </c>
      <c r="Y6021">
        <v>-0.1161934</v>
      </c>
      <c r="Z6021">
        <v>-3.1525249999999998E-2</v>
      </c>
      <c r="AA6021">
        <v>0.99272609999999994</v>
      </c>
      <c r="AB6021">
        <v>15</v>
      </c>
      <c r="AC6021">
        <v>-1.1283999999999901</v>
      </c>
      <c r="AD6021">
        <v>-1.1043323248179999</v>
      </c>
      <c r="AE6021">
        <v>34.544609999999999</v>
      </c>
      <c r="AF6021">
        <v>-4.0312669127095599</v>
      </c>
      <c r="AG6021">
        <v>-1.1043323248179999</v>
      </c>
      <c r="AH6021">
        <v>34.291644520171097</v>
      </c>
      <c r="AI6021">
        <v>91.831916452759998</v>
      </c>
      <c r="AJ6021">
        <v>96.704819817713698</v>
      </c>
      <c r="AK6021">
        <v>34.545441764477701</v>
      </c>
    </row>
    <row r="6022" spans="1:37" x14ac:dyDescent="0.2">
      <c r="A6022" t="str">
        <f>"20200111160334288"</f>
        <v>20200111160334288</v>
      </c>
      <c r="B6022" t="str">
        <f>"1578729814279518"</f>
        <v>1578729814279518</v>
      </c>
      <c r="C6022" t="s">
        <v>37</v>
      </c>
      <c r="D6022">
        <v>5.0869260000000001</v>
      </c>
      <c r="E6022">
        <v>0.4797361</v>
      </c>
      <c r="F6022" t="s">
        <v>38</v>
      </c>
      <c r="G6022">
        <v>-189.79169999999999</v>
      </c>
      <c r="H6022" s="1">
        <v>-3.1278130000000001E-6</v>
      </c>
      <c r="I6022">
        <v>-13.162319999999999</v>
      </c>
      <c r="J6022">
        <v>-188.3569</v>
      </c>
      <c r="K6022">
        <v>1.1042920000000001</v>
      </c>
      <c r="L6022">
        <v>-47.186859999999903</v>
      </c>
      <c r="M6022">
        <v>8.5580009999999998E-2</v>
      </c>
      <c r="N6022">
        <v>0</v>
      </c>
      <c r="O6022">
        <v>0.99623909999999904</v>
      </c>
      <c r="P6022">
        <v>1.160862E-2</v>
      </c>
      <c r="Q6022">
        <v>-1.3283659999999999E-2</v>
      </c>
      <c r="R6022">
        <v>0.99984439999999997</v>
      </c>
      <c r="S6022">
        <v>-0.1244507</v>
      </c>
      <c r="T6022">
        <v>-9.6924780000000002E-2</v>
      </c>
      <c r="U6022">
        <v>3.0021059999999999</v>
      </c>
      <c r="V6022">
        <v>-7.4008279999999996E-2</v>
      </c>
      <c r="W6022">
        <v>2.9975569999999999E-4</v>
      </c>
      <c r="X6022">
        <v>0.99725759999999997</v>
      </c>
      <c r="Y6022">
        <v>-0.12675989999999901</v>
      </c>
      <c r="Z6022">
        <v>-3.1947240000000002E-2</v>
      </c>
      <c r="AA6022">
        <v>0.99141880000000004</v>
      </c>
      <c r="AB6022">
        <v>15</v>
      </c>
      <c r="AC6022">
        <v>-1.4347999999999901</v>
      </c>
      <c r="AD6022">
        <v>-1.104295127813</v>
      </c>
      <c r="AE6022">
        <v>34.024539999999902</v>
      </c>
      <c r="AF6022">
        <v>-4.3370626956607801</v>
      </c>
      <c r="AG6022">
        <v>-1.104295127813</v>
      </c>
      <c r="AH6022">
        <v>33.741410261501898</v>
      </c>
      <c r="AI6022">
        <v>91.859232384303198</v>
      </c>
      <c r="AJ6022">
        <v>97.324538023926607</v>
      </c>
      <c r="AK6022">
        <v>34.0369262271197</v>
      </c>
    </row>
    <row r="6023" spans="1:37" x14ac:dyDescent="0.2">
      <c r="A6023" t="str">
        <f>"20200111160334309"</f>
        <v>20200111160334309</v>
      </c>
      <c r="B6023" t="str">
        <f>"1578729814299036"</f>
        <v>1578729814299036</v>
      </c>
      <c r="C6023" t="s">
        <v>37</v>
      </c>
      <c r="D6023">
        <v>5.0662769999999897</v>
      </c>
      <c r="E6023">
        <v>0.48083869999999901</v>
      </c>
      <c r="F6023" t="s">
        <v>38</v>
      </c>
      <c r="G6023">
        <v>-189.5419</v>
      </c>
      <c r="H6023" s="1">
        <v>-4.2941239999999999E-6</v>
      </c>
      <c r="I6023">
        <v>-20.54691</v>
      </c>
      <c r="J6023">
        <v>-188.34389999999999</v>
      </c>
      <c r="K6023">
        <v>1.1041840000000001</v>
      </c>
      <c r="L6023">
        <v>-47.050289999999997</v>
      </c>
      <c r="M6023">
        <v>8.6607900000000002E-2</v>
      </c>
      <c r="N6023">
        <v>0</v>
      </c>
      <c r="O6023">
        <v>0.99615319999999996</v>
      </c>
      <c r="P6023">
        <v>6.3620069999999898E-3</v>
      </c>
      <c r="Q6023">
        <v>-1.758403E-2</v>
      </c>
      <c r="R6023">
        <v>0.99982510000000002</v>
      </c>
      <c r="S6023">
        <v>-0.13346859999999999</v>
      </c>
      <c r="T6023">
        <v>-0.1243731</v>
      </c>
      <c r="U6023">
        <v>3.0003660000000001</v>
      </c>
      <c r="V6023">
        <v>-8.0266889999999994E-2</v>
      </c>
      <c r="W6023">
        <v>-4.210129E-3</v>
      </c>
      <c r="X6023">
        <v>0.99676450000000005</v>
      </c>
      <c r="Y6023">
        <v>-0.1307654</v>
      </c>
      <c r="Z6023">
        <v>-4.0985420000000002E-2</v>
      </c>
      <c r="AA6023">
        <v>0.99056580000000005</v>
      </c>
      <c r="AB6023">
        <v>15</v>
      </c>
      <c r="AC6023">
        <v>-1.198</v>
      </c>
      <c r="AD6023">
        <v>-1.104188294124</v>
      </c>
      <c r="AE6023">
        <v>26.50338</v>
      </c>
      <c r="AF6023">
        <v>-3.4830705774467798</v>
      </c>
      <c r="AG6023">
        <v>-1.104188294124</v>
      </c>
      <c r="AH6023">
        <v>26.2545316554457</v>
      </c>
      <c r="AI6023">
        <v>92.387379587926901</v>
      </c>
      <c r="AJ6023">
        <v>97.557044437828594</v>
      </c>
      <c r="AK6023">
        <v>26.507573349576099</v>
      </c>
    </row>
    <row r="6024" spans="1:37" x14ac:dyDescent="0.2">
      <c r="A6024" t="str">
        <f>"20200111160334350"</f>
        <v>20200111160334350</v>
      </c>
      <c r="B6024" t="str">
        <f>"1578729814339052"</f>
        <v>1578729814339052</v>
      </c>
      <c r="C6024" t="s">
        <v>37</v>
      </c>
      <c r="D6024">
        <v>5.1144629999999998</v>
      </c>
      <c r="E6024">
        <v>0.48233749999999997</v>
      </c>
      <c r="F6024" t="s">
        <v>38</v>
      </c>
      <c r="G6024">
        <v>-189.38570000000001</v>
      </c>
      <c r="H6024" s="1">
        <v>-2.355972E-6</v>
      </c>
      <c r="I6024">
        <v>-25.129379999999902</v>
      </c>
      <c r="J6024">
        <v>-188.31829999999999</v>
      </c>
      <c r="K6024">
        <v>1.1039410000000001</v>
      </c>
      <c r="L6024">
        <v>-46.784849999999999</v>
      </c>
      <c r="M6024">
        <v>8.8765510000000006E-2</v>
      </c>
      <c r="N6024">
        <v>0</v>
      </c>
      <c r="O6024">
        <v>0.99597069999999999</v>
      </c>
      <c r="P6024">
        <v>4.4227110000000002E-3</v>
      </c>
      <c r="Q6024">
        <v>-2.2425560000000001E-2</v>
      </c>
      <c r="R6024">
        <v>0.99973880000000004</v>
      </c>
      <c r="S6024">
        <v>-0.14251710000000001</v>
      </c>
      <c r="T6024">
        <v>-0.15105270000000001</v>
      </c>
      <c r="U6024">
        <v>2.9987789999999999</v>
      </c>
      <c r="V6024">
        <v>-8.4355819999999998E-2</v>
      </c>
      <c r="W6024">
        <v>-9.6018159999999905E-3</v>
      </c>
      <c r="X6024">
        <v>0.99638939999999998</v>
      </c>
      <c r="Y6024">
        <v>-0.1358972</v>
      </c>
      <c r="Z6024">
        <v>-4.974816E-2</v>
      </c>
      <c r="AA6024">
        <v>0.98947309999999999</v>
      </c>
      <c r="AB6024">
        <v>15</v>
      </c>
      <c r="AC6024">
        <v>-1.0674000000000201</v>
      </c>
      <c r="AD6024">
        <v>-1.103943355972</v>
      </c>
      <c r="AE6024">
        <v>21.655470000000001</v>
      </c>
      <c r="AF6024">
        <v>-2.9778814692900299</v>
      </c>
      <c r="AG6024">
        <v>-1.103943355972</v>
      </c>
      <c r="AH6024">
        <v>21.4196874200202</v>
      </c>
      <c r="AI6024">
        <v>92.922284452731304</v>
      </c>
      <c r="AJ6024">
        <v>97.914838299326902</v>
      </c>
      <c r="AK6024">
        <v>21.653855964924801</v>
      </c>
    </row>
    <row r="6025" spans="1:37" x14ac:dyDescent="0.2">
      <c r="A6025" t="str">
        <f>"20200111160334373"</f>
        <v>20200111160334373</v>
      </c>
      <c r="B6025" t="str">
        <f>"1578729814369309"</f>
        <v>1578729814369309</v>
      </c>
      <c r="C6025" t="s">
        <v>37</v>
      </c>
      <c r="D6025">
        <v>5.1025609999999997</v>
      </c>
      <c r="E6025">
        <v>0.48395459999999901</v>
      </c>
      <c r="F6025" t="s">
        <v>38</v>
      </c>
      <c r="G6025">
        <v>-189.18860000000001</v>
      </c>
      <c r="H6025" s="1">
        <v>-1.198698E-6</v>
      </c>
      <c r="I6025">
        <v>-27.908539999999999</v>
      </c>
      <c r="J6025">
        <v>-188.30340000000001</v>
      </c>
      <c r="K6025">
        <v>1.1038209999999999</v>
      </c>
      <c r="L6025">
        <v>-46.635469999999998</v>
      </c>
      <c r="M6025">
        <v>9.007764E-2</v>
      </c>
      <c r="N6025">
        <v>0</v>
      </c>
      <c r="O6025">
        <v>0.99585729999999995</v>
      </c>
      <c r="P6025">
        <v>7.6454599999999998E-3</v>
      </c>
      <c r="Q6025">
        <v>-2.4095120000000001E-2</v>
      </c>
      <c r="R6025">
        <v>0.99968049999999997</v>
      </c>
      <c r="S6025">
        <v>-0.13819890000000001</v>
      </c>
      <c r="T6025">
        <v>-0.1753007</v>
      </c>
      <c r="U6025">
        <v>2.9974669999999999</v>
      </c>
      <c r="V6025">
        <v>-8.2457249999999996E-2</v>
      </c>
      <c r="W6025">
        <v>-1.161009E-2</v>
      </c>
      <c r="X6025">
        <v>0.99652700000000005</v>
      </c>
      <c r="Y6025">
        <v>-0.13578019999999999</v>
      </c>
      <c r="Z6025">
        <v>-5.7726060000000003E-2</v>
      </c>
      <c r="AA6025">
        <v>0.98905580000000004</v>
      </c>
      <c r="AB6025">
        <v>15</v>
      </c>
      <c r="AC6025">
        <v>-0.88519999999999699</v>
      </c>
      <c r="AD6025">
        <v>-1.1038221986979999</v>
      </c>
      <c r="AE6025">
        <v>18.726929999999999</v>
      </c>
      <c r="AF6025">
        <v>-2.5597352451470399</v>
      </c>
      <c r="AG6025">
        <v>-1.1038221986979999</v>
      </c>
      <c r="AH6025">
        <v>18.506890815629799</v>
      </c>
      <c r="AI6025">
        <v>93.381184491306399</v>
      </c>
      <c r="AJ6025">
        <v>97.874763266274798</v>
      </c>
      <c r="AK6025">
        <v>18.7156532248604</v>
      </c>
    </row>
    <row r="6026" spans="1:37" x14ac:dyDescent="0.2">
      <c r="A6026" t="str">
        <f>"20200111160334396"</f>
        <v>20200111160334396</v>
      </c>
      <c r="B6026" t="str">
        <f>"1578729814388829"</f>
        <v>1578729814388829</v>
      </c>
      <c r="C6026" t="s">
        <v>37</v>
      </c>
      <c r="D6026">
        <v>5.0737420000000002</v>
      </c>
      <c r="E6026">
        <v>0.48479509999999998</v>
      </c>
      <c r="F6026" t="s">
        <v>38</v>
      </c>
      <c r="G6026">
        <v>-188.9777</v>
      </c>
      <c r="H6026" s="1">
        <v>-6.3833040000000005E-7</v>
      </c>
      <c r="I6026">
        <v>-29.301959999999902</v>
      </c>
      <c r="J6026">
        <v>-188.28749999999999</v>
      </c>
      <c r="K6026">
        <v>1.1037110000000001</v>
      </c>
      <c r="L6026">
        <v>-46.47833</v>
      </c>
      <c r="M6026">
        <v>9.1523590000000002E-2</v>
      </c>
      <c r="N6026">
        <v>0</v>
      </c>
      <c r="O6026">
        <v>0.995729999999999</v>
      </c>
      <c r="P6026">
        <v>1.063249E-2</v>
      </c>
      <c r="Q6026">
        <v>-2.6400599999999899E-2</v>
      </c>
      <c r="R6026">
        <v>0.99959489999999995</v>
      </c>
      <c r="S6026">
        <v>-0.1165924</v>
      </c>
      <c r="T6026">
        <v>-0.19086919999999999</v>
      </c>
      <c r="U6026">
        <v>2.99725299999999</v>
      </c>
      <c r="V6026">
        <v>-8.0926189999999995E-2</v>
      </c>
      <c r="W6026">
        <v>-1.427989E-2</v>
      </c>
      <c r="X6026">
        <v>0.9966178</v>
      </c>
      <c r="Y6026">
        <v>-0.13009029999999999</v>
      </c>
      <c r="Z6026">
        <v>-6.2858689999999995E-2</v>
      </c>
      <c r="AA6026">
        <v>0.98950759999999904</v>
      </c>
      <c r="AB6026">
        <v>15</v>
      </c>
      <c r="AC6026">
        <v>-0.69020000000000403</v>
      </c>
      <c r="AD6026">
        <v>-1.1037116383304</v>
      </c>
      <c r="AE6026">
        <v>17.176369999999999</v>
      </c>
      <c r="AF6026">
        <v>-2.2501838260289602</v>
      </c>
      <c r="AG6026">
        <v>-1.1037116383304</v>
      </c>
      <c r="AH6026">
        <v>16.9711331209581</v>
      </c>
      <c r="AI6026">
        <v>93.688778243713202</v>
      </c>
      <c r="AJ6026">
        <v>97.552731275742801</v>
      </c>
      <c r="AK6026">
        <v>17.155199387963599</v>
      </c>
    </row>
    <row r="6027" spans="1:37" x14ac:dyDescent="0.2">
      <c r="A6027" t="str">
        <f>"20200111160334417"</f>
        <v>20200111160334417</v>
      </c>
      <c r="B6027" t="str">
        <f>"1578729814409325"</f>
        <v>1578729814409325</v>
      </c>
      <c r="C6027" t="s">
        <v>37</v>
      </c>
      <c r="D6027">
        <v>5.1887019999999904</v>
      </c>
      <c r="E6027">
        <v>0.48539300000000002</v>
      </c>
      <c r="F6027" t="s">
        <v>38</v>
      </c>
      <c r="G6027">
        <v>-188.8349</v>
      </c>
      <c r="H6027" s="1">
        <v>-3.3821259999999901E-7</v>
      </c>
      <c r="I6027">
        <v>-30.268989999999999</v>
      </c>
      <c r="J6027">
        <v>-188.27340000000001</v>
      </c>
      <c r="K6027">
        <v>1.1036269999999999</v>
      </c>
      <c r="L6027">
        <v>-46.340479999999999</v>
      </c>
      <c r="M6027">
        <v>9.2838299999999999E-2</v>
      </c>
      <c r="N6027">
        <v>0</v>
      </c>
      <c r="O6027">
        <v>0.99561239999999995</v>
      </c>
      <c r="P6027">
        <v>1.397023E-2</v>
      </c>
      <c r="Q6027">
        <v>-2.7605419999999999E-2</v>
      </c>
      <c r="R6027">
        <v>0.99952129999999995</v>
      </c>
      <c r="S6027">
        <v>-0.1012115</v>
      </c>
      <c r="T6027">
        <v>-0.2040612</v>
      </c>
      <c r="U6027">
        <v>2.9968870000000001</v>
      </c>
      <c r="V6027">
        <v>-7.8914460000000006E-2</v>
      </c>
      <c r="W6027">
        <v>-1.5824189999999998E-2</v>
      </c>
      <c r="X6027">
        <v>0.99675579999999997</v>
      </c>
      <c r="Y6027">
        <v>-0.1263214</v>
      </c>
      <c r="Z6027">
        <v>-6.7202419999999999E-2</v>
      </c>
      <c r="AA6027">
        <v>0.98971049999999905</v>
      </c>
      <c r="AB6027">
        <v>15</v>
      </c>
      <c r="AC6027">
        <v>-0.561499999999995</v>
      </c>
      <c r="AD6027">
        <v>-1.1036273382126001</v>
      </c>
      <c r="AE6027">
        <v>16.071489999999901</v>
      </c>
      <c r="AF6027">
        <v>-2.0416110976665398</v>
      </c>
      <c r="AG6027">
        <v>-1.1036273382126001</v>
      </c>
      <c r="AH6027">
        <v>15.875169689886301</v>
      </c>
      <c r="AI6027">
        <v>93.944371803932299</v>
      </c>
      <c r="AJ6027">
        <v>97.328245261257806</v>
      </c>
      <c r="AK6027">
        <v>16.043914168881901</v>
      </c>
    </row>
    <row r="6028" spans="1:37" x14ac:dyDescent="0.2">
      <c r="A6028" t="str">
        <f>"20200111160334439"</f>
        <v>20200111160334439</v>
      </c>
      <c r="B6028" t="str">
        <f>"1578729814428844"</f>
        <v>1578729814428844</v>
      </c>
      <c r="C6028" t="s">
        <v>37</v>
      </c>
      <c r="D6028">
        <v>5.2993769999999998</v>
      </c>
      <c r="E6028">
        <v>0.48609960000000002</v>
      </c>
      <c r="F6028" t="s">
        <v>38</v>
      </c>
      <c r="G6028">
        <v>-188.71899999999999</v>
      </c>
      <c r="H6028" s="1">
        <v>-4.3390009999999997E-6</v>
      </c>
      <c r="I6028">
        <v>-30.782550000000001</v>
      </c>
      <c r="J6028">
        <v>-188.25829999999999</v>
      </c>
      <c r="K6028">
        <v>1.1035629999999901</v>
      </c>
      <c r="L6028">
        <v>-46.196109999999997</v>
      </c>
      <c r="M6028">
        <v>9.4237660000000001E-2</v>
      </c>
      <c r="N6028">
        <v>0</v>
      </c>
      <c r="O6028">
        <v>0.99548549999999902</v>
      </c>
      <c r="P6028">
        <v>1.729207E-2</v>
      </c>
      <c r="Q6028">
        <v>-2.7154540000000001E-2</v>
      </c>
      <c r="R6028">
        <v>0.99948169999999903</v>
      </c>
      <c r="S6028">
        <v>-8.5845950000000004E-2</v>
      </c>
      <c r="T6028">
        <v>-0.2125813</v>
      </c>
      <c r="U6028">
        <v>2.9967649999999999</v>
      </c>
      <c r="V6028">
        <v>-7.7004199999999995E-2</v>
      </c>
      <c r="W6028">
        <v>-1.5760199999999999E-2</v>
      </c>
      <c r="X6028">
        <v>0.99690619999999996</v>
      </c>
      <c r="Y6028">
        <v>-0.122640599999999</v>
      </c>
      <c r="Z6028">
        <v>-7.0005419999999999E-2</v>
      </c>
      <c r="AA6028">
        <v>0.98997900000000005</v>
      </c>
      <c r="AB6028">
        <v>15</v>
      </c>
      <c r="AC6028">
        <v>-0.46070000000003097</v>
      </c>
      <c r="AD6028">
        <v>-1.1035673390009999</v>
      </c>
      <c r="AE6028">
        <v>15.413559999999899</v>
      </c>
      <c r="AF6028">
        <v>-1.9015413145450399</v>
      </c>
      <c r="AG6028">
        <v>-1.1035673390009999</v>
      </c>
      <c r="AH6028">
        <v>15.2235698966026</v>
      </c>
      <c r="AI6028">
        <v>94.114298911566195</v>
      </c>
      <c r="AJ6028">
        <v>97.119810038550995</v>
      </c>
      <c r="AK6028">
        <v>15.381508399353301</v>
      </c>
    </row>
    <row r="6029" spans="1:37" x14ac:dyDescent="0.2">
      <c r="A6029" t="str">
        <f>"20200111160334463"</f>
        <v>20200111160334463</v>
      </c>
      <c r="B6029" t="str">
        <f>"1578729814459101"</f>
        <v>1578729814459101</v>
      </c>
      <c r="C6029" t="s">
        <v>37</v>
      </c>
      <c r="D6029">
        <v>5.1679129999999898</v>
      </c>
      <c r="E6029">
        <v>0.486846</v>
      </c>
      <c r="F6029" t="s">
        <v>38</v>
      </c>
      <c r="G6029">
        <v>-188.6157</v>
      </c>
      <c r="H6029" s="1">
        <v>-4.329731E-6</v>
      </c>
      <c r="I6029">
        <v>-30.846879999999999</v>
      </c>
      <c r="J6029">
        <v>-188.2414</v>
      </c>
      <c r="K6029">
        <v>1.1035200000000001</v>
      </c>
      <c r="L6029">
        <v>-46.036589999999997</v>
      </c>
      <c r="M6029">
        <v>9.5766249999999997E-2</v>
      </c>
      <c r="N6029">
        <v>0</v>
      </c>
      <c r="O6029">
        <v>0.99534460000000002</v>
      </c>
      <c r="P6029">
        <v>2.049571E-2</v>
      </c>
      <c r="Q6029">
        <v>-2.6038990000000001E-2</v>
      </c>
      <c r="R6029">
        <v>0.99945079999999997</v>
      </c>
      <c r="S6029">
        <v>-6.97937E-2</v>
      </c>
      <c r="T6029">
        <v>-0.2154702</v>
      </c>
      <c r="U6029">
        <v>2.996918</v>
      </c>
      <c r="V6029">
        <v>-7.5340610000000002E-2</v>
      </c>
      <c r="W6029">
        <v>-1.5102630000000001E-2</v>
      </c>
      <c r="X6029">
        <v>0.99704349999999997</v>
      </c>
      <c r="Y6029">
        <v>-0.1188613</v>
      </c>
      <c r="Z6029">
        <v>-7.0954080000000003E-2</v>
      </c>
      <c r="AA6029">
        <v>0.99037240000000004</v>
      </c>
      <c r="AB6029">
        <v>15</v>
      </c>
      <c r="AC6029">
        <v>-0.37430000000000502</v>
      </c>
      <c r="AD6029">
        <v>-1.103524329731</v>
      </c>
      <c r="AE6029">
        <v>15.18971</v>
      </c>
      <c r="AF6029">
        <v>-1.8177387182652001</v>
      </c>
      <c r="AG6029">
        <v>-1.103524329731</v>
      </c>
      <c r="AH6029">
        <v>15.0048932018321</v>
      </c>
      <c r="AI6029">
        <v>94.175784921341901</v>
      </c>
      <c r="AJ6029">
        <v>96.907327619211003</v>
      </c>
      <c r="AK6029">
        <v>15.1548262937117</v>
      </c>
    </row>
    <row r="6030" spans="1:37" x14ac:dyDescent="0.2">
      <c r="A6030" t="str">
        <f>"20200111160334484"</f>
        <v>20200111160334484</v>
      </c>
      <c r="B6030" t="str">
        <f>"1578729814479597"</f>
        <v>1578729814479597</v>
      </c>
      <c r="C6030" t="s">
        <v>37</v>
      </c>
      <c r="D6030">
        <v>5.1506879999999997</v>
      </c>
      <c r="E6030">
        <v>0.48716549999999997</v>
      </c>
      <c r="F6030" t="s">
        <v>38</v>
      </c>
      <c r="G6030">
        <v>-188.5136</v>
      </c>
      <c r="H6030" s="1">
        <v>-4.3423010000000002E-6</v>
      </c>
      <c r="I6030">
        <v>-30.859819999999999</v>
      </c>
      <c r="J6030">
        <v>-188.226</v>
      </c>
      <c r="K6030">
        <v>1.103505</v>
      </c>
      <c r="L6030">
        <v>-45.892580000000002</v>
      </c>
      <c r="M6030">
        <v>9.708849E-2</v>
      </c>
      <c r="N6030">
        <v>0</v>
      </c>
      <c r="O6030">
        <v>0.99522099999999902</v>
      </c>
      <c r="P6030">
        <v>2.2404509999999999E-2</v>
      </c>
      <c r="Q6030">
        <v>-2.3878389999999999E-2</v>
      </c>
      <c r="R6030">
        <v>0.99946380000000001</v>
      </c>
      <c r="S6030">
        <v>-5.3741459999999998E-2</v>
      </c>
      <c r="T6030">
        <v>-0.21792129999999901</v>
      </c>
      <c r="U6030">
        <v>2.9970699999999999</v>
      </c>
      <c r="V6030">
        <v>-7.4761960000000002E-2</v>
      </c>
      <c r="W6030">
        <v>-1.336204E-2</v>
      </c>
      <c r="X6030">
        <v>0.99711190000000005</v>
      </c>
      <c r="Y6030">
        <v>-0.11487459999999999</v>
      </c>
      <c r="Z6030">
        <v>-7.1760450000000003E-2</v>
      </c>
      <c r="AA6030">
        <v>0.99078459999999902</v>
      </c>
      <c r="AB6030">
        <v>15</v>
      </c>
      <c r="AC6030">
        <v>-0.28759999999999702</v>
      </c>
      <c r="AD6030">
        <v>-1.1035093423010001</v>
      </c>
      <c r="AE6030">
        <v>15.03276</v>
      </c>
      <c r="AF6030">
        <v>-1.7364749509267801</v>
      </c>
      <c r="AG6030">
        <v>-1.1035093423010001</v>
      </c>
      <c r="AH6030">
        <v>14.853797964136801</v>
      </c>
      <c r="AI6030">
        <v>94.220143254548702</v>
      </c>
      <c r="AJ6030">
        <v>96.667865215411695</v>
      </c>
      <c r="AK6030">
        <v>14.9956124277449</v>
      </c>
    </row>
    <row r="6031" spans="1:37" x14ac:dyDescent="0.2">
      <c r="A6031" t="str">
        <f>"20200111160334507"</f>
        <v>20200111160334507</v>
      </c>
      <c r="B6031" t="str">
        <f>"1578729814499117"</f>
        <v>1578729814499117</v>
      </c>
      <c r="C6031" t="s">
        <v>37</v>
      </c>
      <c r="D6031">
        <v>5.0892689999999998</v>
      </c>
      <c r="E6031">
        <v>0.48753089999999999</v>
      </c>
      <c r="F6031" t="s">
        <v>38</v>
      </c>
      <c r="G6031">
        <v>-188.4579</v>
      </c>
      <c r="H6031" s="1">
        <v>-4.5079020000000001E-6</v>
      </c>
      <c r="I6031">
        <v>-30.496829999999999</v>
      </c>
      <c r="J6031">
        <v>-188.20910000000001</v>
      </c>
      <c r="K6031">
        <v>1.1035219999999999</v>
      </c>
      <c r="L6031">
        <v>-45.734859999999998</v>
      </c>
      <c r="M6031">
        <v>9.844377E-2</v>
      </c>
      <c r="N6031">
        <v>0</v>
      </c>
      <c r="O6031">
        <v>0.99509230000000004</v>
      </c>
      <c r="P6031">
        <v>2.319328E-2</v>
      </c>
      <c r="Q6031">
        <v>-2.1850870000000001E-2</v>
      </c>
      <c r="R6031">
        <v>0.99949219999999905</v>
      </c>
      <c r="S6031">
        <v>-4.5135500000000002E-2</v>
      </c>
      <c r="T6031">
        <v>-0.2148494</v>
      </c>
      <c r="U6031">
        <v>2.99749799999999</v>
      </c>
      <c r="V6031">
        <v>-7.5333510000000006E-2</v>
      </c>
      <c r="W6031">
        <v>-1.1781689999999999E-2</v>
      </c>
      <c r="X6031">
        <v>0.9970888</v>
      </c>
      <c r="Y6031">
        <v>-0.1133817</v>
      </c>
      <c r="Z6031">
        <v>-7.0737620000000001E-2</v>
      </c>
      <c r="AA6031">
        <v>0.99103019999999997</v>
      </c>
      <c r="AB6031">
        <v>15</v>
      </c>
      <c r="AC6031">
        <v>-0.248799999999988</v>
      </c>
      <c r="AD6031">
        <v>-1.10352650790199</v>
      </c>
      <c r="AE6031">
        <v>15.238029999999901</v>
      </c>
      <c r="AF6031">
        <v>-1.7386396506822801</v>
      </c>
      <c r="AG6031">
        <v>-1.10352650790199</v>
      </c>
      <c r="AH6031">
        <v>15.0605468758343</v>
      </c>
      <c r="AI6031">
        <v>94.163174068304002</v>
      </c>
      <c r="AJ6031">
        <v>96.585264411577199</v>
      </c>
      <c r="AK6031">
        <v>15.200681260646499</v>
      </c>
    </row>
    <row r="6032" spans="1:37" x14ac:dyDescent="0.2">
      <c r="A6032" t="str">
        <f>"20200111160334530"</f>
        <v>20200111160334530</v>
      </c>
      <c r="B6032" t="str">
        <f>"1578729814519613"</f>
        <v>1578729814519613</v>
      </c>
      <c r="C6032" t="s">
        <v>37</v>
      </c>
      <c r="D6032">
        <v>5.058745</v>
      </c>
      <c r="E6032">
        <v>0.48779499999999998</v>
      </c>
      <c r="F6032" t="s">
        <v>38</v>
      </c>
      <c r="G6032">
        <v>-188.41560000000001</v>
      </c>
      <c r="H6032" s="1">
        <v>-5.2058190000000003E-7</v>
      </c>
      <c r="I6032">
        <v>-30.060959999999898</v>
      </c>
      <c r="J6032">
        <v>-188.19280000000001</v>
      </c>
      <c r="K6032">
        <v>1.103559</v>
      </c>
      <c r="L6032">
        <v>-45.58475</v>
      </c>
      <c r="M6032">
        <v>9.9626259999999994E-2</v>
      </c>
      <c r="N6032">
        <v>0</v>
      </c>
      <c r="O6032">
        <v>0.99497849999999999</v>
      </c>
      <c r="P6032">
        <v>2.2705329999999999E-2</v>
      </c>
      <c r="Q6032">
        <v>-2.0677020000000001E-2</v>
      </c>
      <c r="R6032">
        <v>0.99952830000000004</v>
      </c>
      <c r="S6032">
        <v>-3.9504999999999998E-2</v>
      </c>
      <c r="T6032">
        <v>-0.21106269999999999</v>
      </c>
      <c r="U6032">
        <v>2.997833</v>
      </c>
      <c r="V6032">
        <v>-7.7003849999999999E-2</v>
      </c>
      <c r="W6032">
        <v>-1.101338E-2</v>
      </c>
      <c r="X6032">
        <v>0.99696989999999996</v>
      </c>
      <c r="Y6032">
        <v>-0.1127006</v>
      </c>
      <c r="Z6032">
        <v>-6.9480609999999998E-2</v>
      </c>
      <c r="AA6032">
        <v>0.99119679999999999</v>
      </c>
      <c r="AB6032">
        <v>15</v>
      </c>
      <c r="AC6032">
        <v>-0.22280000000000599</v>
      </c>
      <c r="AD6032">
        <v>-1.1035595205819</v>
      </c>
      <c r="AE6032">
        <v>15.52379</v>
      </c>
      <c r="AF6032">
        <v>-1.7594504133934801</v>
      </c>
      <c r="AG6032">
        <v>-1.1035595205819</v>
      </c>
      <c r="AH6032">
        <v>15.3468133081691</v>
      </c>
      <c r="AI6032">
        <v>94.0862737200693</v>
      </c>
      <c r="AJ6032">
        <v>96.540176356932307</v>
      </c>
      <c r="AK6032">
        <v>15.4867100472777</v>
      </c>
    </row>
    <row r="6033" spans="1:37" x14ac:dyDescent="0.2">
      <c r="A6033" t="str">
        <f>"20200111160334551"</f>
        <v>20200111160334551</v>
      </c>
      <c r="B6033" t="str">
        <f>"1578729814539133"</f>
        <v>1578729814539133</v>
      </c>
      <c r="C6033" t="s">
        <v>37</v>
      </c>
      <c r="D6033">
        <v>5.0693729999999997</v>
      </c>
      <c r="E6033">
        <v>0.48798379999999902</v>
      </c>
      <c r="F6033" t="s">
        <v>38</v>
      </c>
      <c r="G6033">
        <v>-188.39850000000001</v>
      </c>
      <c r="H6033" s="1">
        <v>-6.1173570000000002E-7</v>
      </c>
      <c r="I6033">
        <v>-29.806470000000001</v>
      </c>
      <c r="J6033">
        <v>-188.17670000000001</v>
      </c>
      <c r="K6033">
        <v>1.103585</v>
      </c>
      <c r="L6033">
        <v>-45.435969999999998</v>
      </c>
      <c r="M6033">
        <v>0.1007029</v>
      </c>
      <c r="N6033">
        <v>0</v>
      </c>
      <c r="O6033">
        <v>0.99487359999999903</v>
      </c>
      <c r="P6033">
        <v>2.291845E-2</v>
      </c>
      <c r="Q6033">
        <v>-2.1039099999999901E-2</v>
      </c>
      <c r="R6033">
        <v>0.99951599999999996</v>
      </c>
      <c r="S6033">
        <v>-3.9077760000000003E-2</v>
      </c>
      <c r="T6033">
        <v>-0.20968200000000001</v>
      </c>
      <c r="U6033">
        <v>2.9979550000000001</v>
      </c>
      <c r="V6033">
        <v>-7.7867909999999999E-2</v>
      </c>
      <c r="W6033">
        <v>-1.17521E-2</v>
      </c>
      <c r="X6033">
        <v>0.99689439999999996</v>
      </c>
      <c r="Y6033">
        <v>-0.113633999999999</v>
      </c>
      <c r="Z6033">
        <v>-6.901053E-2</v>
      </c>
      <c r="AA6033">
        <v>0.99112299999999998</v>
      </c>
      <c r="AB6033">
        <v>15</v>
      </c>
      <c r="AC6033">
        <v>-0.221800000000001</v>
      </c>
      <c r="AD6033">
        <v>-1.1035856117356999</v>
      </c>
      <c r="AE6033">
        <v>15.6295</v>
      </c>
      <c r="AF6033">
        <v>-1.7857741611492799</v>
      </c>
      <c r="AG6033">
        <v>-1.1035856117356999</v>
      </c>
      <c r="AH6033">
        <v>15.4506882002326</v>
      </c>
      <c r="AI6033">
        <v>94.058560738782006</v>
      </c>
      <c r="AJ6033">
        <v>96.592932094271902</v>
      </c>
      <c r="AK6033">
        <v>15.592647511499299</v>
      </c>
    </row>
    <row r="6034" spans="1:37" x14ac:dyDescent="0.2">
      <c r="A6034" t="str">
        <f>"20200111160334575"</f>
        <v>20200111160334575</v>
      </c>
      <c r="B6034" t="str">
        <f>"1578729814569389"</f>
        <v>1578729814569389</v>
      </c>
      <c r="C6034" t="s">
        <v>37</v>
      </c>
      <c r="D6034">
        <v>5.0827400000000003</v>
      </c>
      <c r="E6034">
        <v>0.48832959999999898</v>
      </c>
      <c r="F6034" t="s">
        <v>38</v>
      </c>
      <c r="G6034">
        <v>-188.37029999999999</v>
      </c>
      <c r="H6034" s="1">
        <v>-5.9378909999999999E-7</v>
      </c>
      <c r="I6034">
        <v>-29.88128</v>
      </c>
      <c r="J6034">
        <v>-188.15899999999999</v>
      </c>
      <c r="K6034">
        <v>1.1036049999999999</v>
      </c>
      <c r="L6034">
        <v>-45.273650000000004</v>
      </c>
      <c r="M6034">
        <v>0.1017932</v>
      </c>
      <c r="N6034">
        <v>0</v>
      </c>
      <c r="O6034">
        <v>0.99476600000000004</v>
      </c>
      <c r="P6034">
        <v>2.3032770000000001E-2</v>
      </c>
      <c r="Q6034">
        <v>-2.242444E-2</v>
      </c>
      <c r="R6034">
        <v>0.99948320000000002</v>
      </c>
      <c r="S6034">
        <v>-3.7307739999999999E-2</v>
      </c>
      <c r="T6034">
        <v>-0.21269250000000001</v>
      </c>
      <c r="U6034">
        <v>2.997833</v>
      </c>
      <c r="V6034">
        <v>-7.8843460000000004E-2</v>
      </c>
      <c r="W6034">
        <v>-1.351086E-2</v>
      </c>
      <c r="X6034">
        <v>0.99679549999999995</v>
      </c>
      <c r="Y6034">
        <v>-0.11413719999999999</v>
      </c>
      <c r="Z6034">
        <v>-6.9985729999999996E-2</v>
      </c>
      <c r="AA6034">
        <v>0.99099680000000001</v>
      </c>
      <c r="AB6034">
        <v>15</v>
      </c>
      <c r="AC6034">
        <v>-0.21129999999996499</v>
      </c>
      <c r="AD6034">
        <v>-1.1036055937890901</v>
      </c>
      <c r="AE6034">
        <v>15.39237</v>
      </c>
      <c r="AF6034">
        <v>-1.76801561704376</v>
      </c>
      <c r="AG6034">
        <v>-1.1036055937890901</v>
      </c>
      <c r="AH6034">
        <v>15.2127112540316</v>
      </c>
      <c r="AI6034">
        <v>94.121606268850002</v>
      </c>
      <c r="AJ6034">
        <v>96.629154168452899</v>
      </c>
      <c r="AK6034">
        <v>15.3548171017207</v>
      </c>
    </row>
    <row r="6035" spans="1:37" x14ac:dyDescent="0.2">
      <c r="A6035" t="str">
        <f>"20200111160334597"</f>
        <v>20200111160334597</v>
      </c>
      <c r="B6035" t="str">
        <f>"1578729814588909"</f>
        <v>1578729814588909</v>
      </c>
      <c r="C6035" t="s">
        <v>37</v>
      </c>
      <c r="D6035">
        <v>5.0123850000000001</v>
      </c>
      <c r="E6035">
        <v>0.48854160000000002</v>
      </c>
      <c r="F6035" t="s">
        <v>38</v>
      </c>
      <c r="G6035">
        <v>-188.33449999999999</v>
      </c>
      <c r="H6035" s="1">
        <v>-5.1855779999999896E-7</v>
      </c>
      <c r="I6035">
        <v>-30.13035</v>
      </c>
      <c r="J6035">
        <v>-188.14160000000001</v>
      </c>
      <c r="K6035">
        <v>1.1035969999999999</v>
      </c>
      <c r="L6035">
        <v>-45.115079999999999</v>
      </c>
      <c r="M6035">
        <v>0.10279480000000001</v>
      </c>
      <c r="N6035">
        <v>0</v>
      </c>
      <c r="O6035">
        <v>0.99466589999999999</v>
      </c>
      <c r="P6035">
        <v>2.444907E-2</v>
      </c>
      <c r="Q6035">
        <v>-2.278235E-2</v>
      </c>
      <c r="R6035">
        <v>0.99944140000000004</v>
      </c>
      <c r="S6035">
        <v>-3.4729000000000003E-2</v>
      </c>
      <c r="T6035">
        <v>-0.2184478</v>
      </c>
      <c r="U6035">
        <v>2.9974669999999999</v>
      </c>
      <c r="V6035">
        <v>-7.8432979999999999E-2</v>
      </c>
      <c r="W6035">
        <v>-1.420011E-2</v>
      </c>
      <c r="X6035">
        <v>0.99681819999999899</v>
      </c>
      <c r="Y6035">
        <v>-0.1142846</v>
      </c>
      <c r="Z6035">
        <v>-7.1866910000000006E-2</v>
      </c>
      <c r="AA6035">
        <v>0.99084519999999998</v>
      </c>
      <c r="AB6035">
        <v>15</v>
      </c>
      <c r="AC6035">
        <v>-0.19289999999998</v>
      </c>
      <c r="AD6035">
        <v>-1.1035975185578</v>
      </c>
      <c r="AE6035">
        <v>14.9847299999999</v>
      </c>
      <c r="AF6035">
        <v>-1.7229428073403501</v>
      </c>
      <c r="AG6035">
        <v>-1.1035975185578</v>
      </c>
      <c r="AH6035">
        <v>14.8052230444342</v>
      </c>
      <c r="AI6035">
        <v>94.234533604281907</v>
      </c>
      <c r="AJ6035">
        <v>96.637880261207698</v>
      </c>
      <c r="AK6035">
        <v>14.945938873010901</v>
      </c>
    </row>
    <row r="6036" spans="1:37" x14ac:dyDescent="0.2">
      <c r="A6036" t="str">
        <f>"20200111160334620"</f>
        <v>20200111160334620</v>
      </c>
      <c r="B6036" t="str">
        <f>"1578729814609404"</f>
        <v>1578729814609404</v>
      </c>
      <c r="C6036" t="s">
        <v>37</v>
      </c>
      <c r="D6036">
        <v>5.0331269999999897</v>
      </c>
      <c r="E6036">
        <v>0.48865819999999999</v>
      </c>
      <c r="F6036" t="s">
        <v>38</v>
      </c>
      <c r="G6036">
        <v>-188.2878</v>
      </c>
      <c r="H6036" s="1">
        <v>-5.3627679999999997E-7</v>
      </c>
      <c r="I6036">
        <v>-30.11477</v>
      </c>
      <c r="J6036">
        <v>-188.12469999999999</v>
      </c>
      <c r="K6036">
        <v>1.103577</v>
      </c>
      <c r="L6036">
        <v>-44.9617</v>
      </c>
      <c r="M6036">
        <v>0.1037125</v>
      </c>
      <c r="N6036">
        <v>0</v>
      </c>
      <c r="O6036">
        <v>0.99457309999999999</v>
      </c>
      <c r="P6036">
        <v>2.5521039999999998E-2</v>
      </c>
      <c r="Q6036">
        <v>-2.18403E-2</v>
      </c>
      <c r="R6036">
        <v>0.99943570000000004</v>
      </c>
      <c r="S6036">
        <v>-2.920532E-2</v>
      </c>
      <c r="T6036">
        <v>-0.22052169999999999</v>
      </c>
      <c r="U6036">
        <v>2.9973749999999999</v>
      </c>
      <c r="V6036">
        <v>-7.8285389999999996E-2</v>
      </c>
      <c r="W6036">
        <v>-1.355611E-2</v>
      </c>
      <c r="X6036">
        <v>0.99683880000000002</v>
      </c>
      <c r="Y6036">
        <v>-0.113375</v>
      </c>
      <c r="Z6036">
        <v>-7.254186E-2</v>
      </c>
      <c r="AA6036">
        <v>0.99090049999999996</v>
      </c>
      <c r="AB6036">
        <v>16</v>
      </c>
      <c r="AC6036">
        <v>-0.16310000000001401</v>
      </c>
      <c r="AD6036">
        <v>-1.1035775362768001</v>
      </c>
      <c r="AE6036">
        <v>14.84693</v>
      </c>
      <c r="AF6036">
        <v>-1.6927338004877801</v>
      </c>
      <c r="AG6036">
        <v>-1.1035775362768001</v>
      </c>
      <c r="AH6036">
        <v>14.6689077266621</v>
      </c>
      <c r="AI6036">
        <v>94.274138249480899</v>
      </c>
      <c r="AJ6036">
        <v>96.582590396110604</v>
      </c>
      <c r="AK6036">
        <v>14.807433437001</v>
      </c>
    </row>
    <row r="6037" spans="1:37" x14ac:dyDescent="0.2">
      <c r="A6037" t="str">
        <f>"20200111160334641"</f>
        <v>20200111160334641</v>
      </c>
      <c r="B6037" t="str">
        <f>"1578729814628926"</f>
        <v>1578729814628926</v>
      </c>
      <c r="C6037" t="s">
        <v>37</v>
      </c>
      <c r="D6037">
        <v>4.9319459999999999</v>
      </c>
      <c r="E6037">
        <v>0.48849189999999998</v>
      </c>
      <c r="F6037" t="s">
        <v>38</v>
      </c>
      <c r="G6037">
        <v>-188.2508</v>
      </c>
      <c r="H6037" s="1">
        <v>-6.3492869999999998E-7</v>
      </c>
      <c r="I6037">
        <v>-29.853840000000002</v>
      </c>
      <c r="J6037">
        <v>-188.10820000000001</v>
      </c>
      <c r="K6037">
        <v>1.1035539999999999</v>
      </c>
      <c r="L6037">
        <v>-44.81259</v>
      </c>
      <c r="M6037">
        <v>0.104552399999999</v>
      </c>
      <c r="N6037">
        <v>0</v>
      </c>
      <c r="O6037">
        <v>0.99448749999999997</v>
      </c>
      <c r="P6037">
        <v>2.6250740000000002E-2</v>
      </c>
      <c r="Q6037">
        <v>-1.9910879999999999E-2</v>
      </c>
      <c r="R6037">
        <v>0.99945709999999999</v>
      </c>
      <c r="S6037">
        <v>-2.5009159999999999E-2</v>
      </c>
      <c r="T6037">
        <v>-0.218961499999999</v>
      </c>
      <c r="U6037">
        <v>2.9975589999999999</v>
      </c>
      <c r="V6037">
        <v>-7.8402059999999996E-2</v>
      </c>
      <c r="W6037">
        <v>-1.190329E-2</v>
      </c>
      <c r="X6037">
        <v>0.99685069999999998</v>
      </c>
      <c r="Y6037">
        <v>-0.1128265</v>
      </c>
      <c r="Z6037">
        <v>-7.2020109999999998E-2</v>
      </c>
      <c r="AA6037">
        <v>0.99100109999999997</v>
      </c>
      <c r="AB6037">
        <v>16</v>
      </c>
      <c r="AC6037">
        <v>-0.14259999999998699</v>
      </c>
      <c r="AD6037">
        <v>-1.1035546349287</v>
      </c>
      <c r="AE6037">
        <v>14.958749999999901</v>
      </c>
      <c r="AF6037">
        <v>-1.6966082913448099</v>
      </c>
      <c r="AG6037">
        <v>-1.1035546349287</v>
      </c>
      <c r="AH6037">
        <v>14.781411636552001</v>
      </c>
      <c r="AI6037">
        <v>94.241934309091107</v>
      </c>
      <c r="AJ6037">
        <v>96.547747371784098</v>
      </c>
      <c r="AK6037">
        <v>14.9193311678416</v>
      </c>
    </row>
    <row r="6038" spans="1:37" x14ac:dyDescent="0.2">
      <c r="A6038" t="str">
        <f>"20200111160334687"</f>
        <v>20200111160334687</v>
      </c>
      <c r="B6038" t="str">
        <f>"1578729814678701"</f>
        <v>1578729814678701</v>
      </c>
      <c r="C6038" t="s">
        <v>37</v>
      </c>
      <c r="D6038">
        <v>5.1586679999999996</v>
      </c>
      <c r="E6038">
        <v>0.48798570000000002</v>
      </c>
      <c r="F6038" t="s">
        <v>38</v>
      </c>
      <c r="G6038">
        <v>-188.23089999999999</v>
      </c>
      <c r="H6038" s="1">
        <v>-8.0498209999999999E-7</v>
      </c>
      <c r="I6038">
        <v>-29.369669999999999</v>
      </c>
      <c r="J6038">
        <v>-188.07149999999999</v>
      </c>
      <c r="K6038">
        <v>1.103537</v>
      </c>
      <c r="L6038">
        <v>-44.484070000000003</v>
      </c>
      <c r="M6038">
        <v>0.1061666</v>
      </c>
      <c r="N6038">
        <v>0</v>
      </c>
      <c r="O6038">
        <v>0.99432099999999901</v>
      </c>
      <c r="P6038">
        <v>2.7215899999999901E-2</v>
      </c>
      <c r="Q6038">
        <v>-1.7751360000000001E-2</v>
      </c>
      <c r="R6038">
        <v>0.99947199999999903</v>
      </c>
      <c r="S6038">
        <v>-2.3818969999999998E-2</v>
      </c>
      <c r="T6038">
        <v>-0.2142367</v>
      </c>
      <c r="U6038">
        <v>2.997986</v>
      </c>
      <c r="V6038">
        <v>-7.9057950000000002E-2</v>
      </c>
      <c r="W6038">
        <v>-1.034175E-2</v>
      </c>
      <c r="X6038">
        <v>0.99681640000000005</v>
      </c>
      <c r="Y6038">
        <v>-0.1140452</v>
      </c>
      <c r="Z6038">
        <v>-7.0440909999999995E-2</v>
      </c>
      <c r="AA6038">
        <v>0.9909751</v>
      </c>
      <c r="AB6038">
        <v>16</v>
      </c>
      <c r="AC6038">
        <v>-0.15940000000000501</v>
      </c>
      <c r="AD6038">
        <v>-1.1035378049821001</v>
      </c>
      <c r="AE6038">
        <v>15.1144</v>
      </c>
      <c r="AF6038">
        <v>-1.7538388583894</v>
      </c>
      <c r="AG6038">
        <v>-1.1035378049821001</v>
      </c>
      <c r="AH6038">
        <v>14.932457582221801</v>
      </c>
      <c r="AI6038">
        <v>94.197835918774402</v>
      </c>
      <c r="AJ6038">
        <v>96.698782240727695</v>
      </c>
      <c r="AK6038">
        <v>15.0755442977384</v>
      </c>
    </row>
    <row r="6039" spans="1:37" x14ac:dyDescent="0.2">
      <c r="A6039" t="str">
        <f>"20200111160334707"</f>
        <v>20200111160334707</v>
      </c>
      <c r="B6039" t="str">
        <f>"1578729814699197"</f>
        <v>1578729814699197</v>
      </c>
      <c r="C6039" t="s">
        <v>37</v>
      </c>
      <c r="D6039">
        <v>4.8398260000000004</v>
      </c>
      <c r="E6039">
        <v>0.48786409999999902</v>
      </c>
      <c r="F6039" t="s">
        <v>38</v>
      </c>
      <c r="G6039">
        <v>-188.1978</v>
      </c>
      <c r="H6039" s="1">
        <v>-1.051347E-6</v>
      </c>
      <c r="I6039">
        <v>-28.671569999999999</v>
      </c>
      <c r="J6039">
        <v>-188.05439999999999</v>
      </c>
      <c r="K6039">
        <v>1.1035509999999999</v>
      </c>
      <c r="L6039">
        <v>-44.331359999999997</v>
      </c>
      <c r="M6039">
        <v>0.10679180000000001</v>
      </c>
      <c r="N6039">
        <v>0</v>
      </c>
      <c r="O6039">
        <v>0.99425599999999903</v>
      </c>
      <c r="P6039">
        <v>2.6887439999999999E-2</v>
      </c>
      <c r="Q6039">
        <v>-1.9810930000000001E-2</v>
      </c>
      <c r="R6039">
        <v>0.99944219999999895</v>
      </c>
      <c r="S6039">
        <v>-2.39563E-2</v>
      </c>
      <c r="T6039">
        <v>-0.2092647</v>
      </c>
      <c r="U6039">
        <v>2.998535</v>
      </c>
      <c r="V6039">
        <v>-8.0008319999999994E-2</v>
      </c>
      <c r="W6039">
        <v>-1.2679019999999999E-2</v>
      </c>
      <c r="X6039">
        <v>0.99671359999999998</v>
      </c>
      <c r="Y6039">
        <v>-0.1147146</v>
      </c>
      <c r="Z6039">
        <v>-6.8791889999999994E-2</v>
      </c>
      <c r="AA6039">
        <v>0.99101379999999994</v>
      </c>
      <c r="AB6039">
        <v>16</v>
      </c>
      <c r="AC6039">
        <v>-0.14340000000001299</v>
      </c>
      <c r="AD6039">
        <v>-1.1035520513470001</v>
      </c>
      <c r="AE6039">
        <v>15.6597899999999</v>
      </c>
      <c r="AF6039">
        <v>-1.80599136970736</v>
      </c>
      <c r="AG6039">
        <v>-1.1035520513470001</v>
      </c>
      <c r="AH6039">
        <v>15.4780602758934</v>
      </c>
      <c r="AI6039">
        <v>94.050774798451201</v>
      </c>
      <c r="AJ6039">
        <v>96.655219985937293</v>
      </c>
      <c r="AK6039">
        <v>15.622092749106301</v>
      </c>
    </row>
    <row r="6040" spans="1:37" x14ac:dyDescent="0.2">
      <c r="A6040" t="str">
        <f>"20200111160334729"</f>
        <v>20200111160334729</v>
      </c>
      <c r="B6040" t="str">
        <f>"1578729814718717"</f>
        <v>1578729814718717</v>
      </c>
      <c r="C6040" t="s">
        <v>37</v>
      </c>
      <c r="D6040">
        <v>4.7700129999999996</v>
      </c>
      <c r="E6040">
        <v>0.48768729999999899</v>
      </c>
      <c r="F6040" t="s">
        <v>38</v>
      </c>
      <c r="G6040">
        <v>-188.1848</v>
      </c>
      <c r="H6040" s="1">
        <v>-9.3814709999999898E-7</v>
      </c>
      <c r="I6040">
        <v>-29.014409999999899</v>
      </c>
      <c r="J6040">
        <v>-188.03710000000001</v>
      </c>
      <c r="K6040">
        <v>1.1035809999999999</v>
      </c>
      <c r="L6040">
        <v>-44.175899999999999</v>
      </c>
      <c r="M6040">
        <v>0.10730629999999999</v>
      </c>
      <c r="N6040">
        <v>0</v>
      </c>
      <c r="O6040">
        <v>0.99420259999999905</v>
      </c>
      <c r="P6040">
        <v>2.5691990000000001E-2</v>
      </c>
      <c r="Q6040">
        <v>-2.261809E-2</v>
      </c>
      <c r="R6040">
        <v>0.99941399999999903</v>
      </c>
      <c r="S6040">
        <v>-2.5512699999999999E-2</v>
      </c>
      <c r="T6040">
        <v>-0.216004799999999</v>
      </c>
      <c r="U6040">
        <v>2.9980769999999999</v>
      </c>
      <c r="V6040">
        <v>-8.1707950000000001E-2</v>
      </c>
      <c r="W6040">
        <v>-1.578034E-2</v>
      </c>
      <c r="X6040">
        <v>0.99653139999999996</v>
      </c>
      <c r="Y6040">
        <v>-0.1157426</v>
      </c>
      <c r="Z6040">
        <v>-7.0996719999999999E-2</v>
      </c>
      <c r="AA6040">
        <v>0.99073869999999897</v>
      </c>
      <c r="AB6040">
        <v>16</v>
      </c>
      <c r="AC6040">
        <v>-0.14769999999998601</v>
      </c>
      <c r="AD6040">
        <v>-1.1035819381470999</v>
      </c>
      <c r="AE6040">
        <v>15.161490000000001</v>
      </c>
      <c r="AF6040">
        <v>-1.7644608865135101</v>
      </c>
      <c r="AG6040">
        <v>-1.1035819381470999</v>
      </c>
      <c r="AH6040">
        <v>14.978741804131401</v>
      </c>
      <c r="AI6040">
        <v>94.184910052256996</v>
      </c>
      <c r="AJ6040">
        <v>96.718348245661403</v>
      </c>
      <c r="AK6040">
        <v>15.122629445604799</v>
      </c>
    </row>
    <row r="6041" spans="1:37" x14ac:dyDescent="0.2">
      <c r="A6041" t="str">
        <f>"20200111160334776"</f>
        <v>20200111160334776</v>
      </c>
      <c r="B6041" t="str">
        <f>"1578729814769469"</f>
        <v>1578729814769469</v>
      </c>
      <c r="C6041" t="s">
        <v>37</v>
      </c>
      <c r="D6041">
        <v>4.7891000000000004</v>
      </c>
      <c r="E6041">
        <v>0.487678</v>
      </c>
      <c r="F6041" t="s">
        <v>38</v>
      </c>
      <c r="G6041">
        <v>-188.18530000000001</v>
      </c>
      <c r="H6041" s="1">
        <v>-7.7659790000000001E-7</v>
      </c>
      <c r="I6041">
        <v>-29.488700000000001</v>
      </c>
      <c r="J6041">
        <v>-187.99860000000001</v>
      </c>
      <c r="K6041">
        <v>1.103693</v>
      </c>
      <c r="L6041">
        <v>-43.826809999999902</v>
      </c>
      <c r="M6041">
        <v>0.107876</v>
      </c>
      <c r="N6041">
        <v>0</v>
      </c>
      <c r="O6041">
        <v>0.99414519999999995</v>
      </c>
      <c r="P6041">
        <v>2.1360029999999999E-2</v>
      </c>
      <c r="Q6041">
        <v>-2.512435E-2</v>
      </c>
      <c r="R6041">
        <v>0.99945609999999996</v>
      </c>
      <c r="S6041">
        <v>-3.0258179999999999E-2</v>
      </c>
      <c r="T6041">
        <v>-0.22522439999999999</v>
      </c>
      <c r="U6041">
        <v>2.9974369999999899</v>
      </c>
      <c r="V6041">
        <v>-8.6580829999999998E-2</v>
      </c>
      <c r="W6041">
        <v>-1.8990400000000001E-2</v>
      </c>
      <c r="X6041">
        <v>0.99606380000000005</v>
      </c>
      <c r="Y6041">
        <v>-0.11787889999999999</v>
      </c>
      <c r="Z6041">
        <v>-7.4009249999999999E-2</v>
      </c>
      <c r="AA6041">
        <v>0.99026619999999999</v>
      </c>
      <c r="AB6041">
        <v>16</v>
      </c>
      <c r="AC6041">
        <v>-0.186700000000001</v>
      </c>
      <c r="AD6041">
        <v>-1.1036937765979</v>
      </c>
      <c r="AE6041">
        <v>14.338109999999901</v>
      </c>
      <c r="AF6041">
        <v>-1.7221751111721699</v>
      </c>
      <c r="AG6041">
        <v>-1.1036937765979</v>
      </c>
      <c r="AH6041">
        <v>14.1504617768898</v>
      </c>
      <c r="AI6041">
        <v>94.427333498327798</v>
      </c>
      <c r="AJ6041">
        <v>96.939029160769195</v>
      </c>
      <c r="AK6041">
        <v>14.297538094555399</v>
      </c>
    </row>
    <row r="6042" spans="1:37" x14ac:dyDescent="0.2">
      <c r="A6042" t="str">
        <f>"20200111160334820"</f>
        <v>20200111160334820</v>
      </c>
      <c r="B6042" t="str">
        <f>"1578729814809485"</f>
        <v>1578729814809485</v>
      </c>
      <c r="C6042" t="s">
        <v>37</v>
      </c>
      <c r="D6042">
        <v>5.0619329999999998</v>
      </c>
      <c r="E6042">
        <v>0.48754110000000001</v>
      </c>
      <c r="F6042" t="s">
        <v>38</v>
      </c>
      <c r="G6042">
        <v>-188.20349999999999</v>
      </c>
      <c r="H6042" s="1">
        <v>-7.4980059999999996E-7</v>
      </c>
      <c r="I6042">
        <v>-29.553229999999999</v>
      </c>
      <c r="J6042">
        <v>-187.9633</v>
      </c>
      <c r="K6042">
        <v>1.10375499999999</v>
      </c>
      <c r="L6042">
        <v>-43.50226</v>
      </c>
      <c r="M6042">
        <v>0.1078616</v>
      </c>
      <c r="N6042">
        <v>0</v>
      </c>
      <c r="O6042">
        <v>0.99415030000000004</v>
      </c>
      <c r="P6042">
        <v>1.590049E-2</v>
      </c>
      <c r="Q6042">
        <v>-2.6164400000000001E-2</v>
      </c>
      <c r="R6042">
        <v>0.99953119999999995</v>
      </c>
      <c r="S6042">
        <v>-4.3029789999999998E-2</v>
      </c>
      <c r="T6042">
        <v>-0.23172010000000001</v>
      </c>
      <c r="U6042">
        <v>2.9967349999999899</v>
      </c>
      <c r="V6042">
        <v>-9.1994809999999996E-2</v>
      </c>
      <c r="W6042">
        <v>-2.0669159999999999E-2</v>
      </c>
      <c r="X6042">
        <v>0.99554500000000001</v>
      </c>
      <c r="Y6042">
        <v>-0.1220827</v>
      </c>
      <c r="Z6042">
        <v>-7.6127559999999997E-2</v>
      </c>
      <c r="AA6042">
        <v>0.98959609999999998</v>
      </c>
      <c r="AB6042">
        <v>17</v>
      </c>
      <c r="AC6042">
        <v>-0.24019999999998701</v>
      </c>
      <c r="AD6042">
        <v>-1.1037557498006001</v>
      </c>
      <c r="AE6042">
        <v>13.94903</v>
      </c>
      <c r="AF6042">
        <v>-1.73254208211995</v>
      </c>
      <c r="AG6042">
        <v>-1.1037557498006001</v>
      </c>
      <c r="AH6042">
        <v>13.755637601367299</v>
      </c>
      <c r="AI6042">
        <v>94.551789287623606</v>
      </c>
      <c r="AJ6042">
        <v>97.178683720075597</v>
      </c>
      <c r="AK6042">
        <v>13.9081826505724</v>
      </c>
    </row>
    <row r="6043" spans="1:37" x14ac:dyDescent="0.2">
      <c r="A6043" t="str">
        <f>"20200111160334843"</f>
        <v>20200111160334843</v>
      </c>
      <c r="B6043" t="str">
        <f>"1578729814838765"</f>
        <v>1578729814838765</v>
      </c>
      <c r="C6043" t="s">
        <v>37</v>
      </c>
      <c r="D6043">
        <v>4.8058370000000004</v>
      </c>
      <c r="E6043">
        <v>0.48761059999999901</v>
      </c>
      <c r="F6043" t="s">
        <v>38</v>
      </c>
      <c r="G6043">
        <v>-188.2516</v>
      </c>
      <c r="H6043" s="1">
        <v>-8.0972849999999904E-7</v>
      </c>
      <c r="I6043">
        <v>-29.339509999999901</v>
      </c>
      <c r="J6043">
        <v>-187.9443</v>
      </c>
      <c r="K6043">
        <v>1.1037649999999899</v>
      </c>
      <c r="L6043">
        <v>-43.325130000000001</v>
      </c>
      <c r="M6043">
        <v>0.10768129999999999</v>
      </c>
      <c r="N6043">
        <v>0</v>
      </c>
      <c r="O6043">
        <v>0.99417160000000004</v>
      </c>
      <c r="P6043">
        <v>1.4319299999999899E-2</v>
      </c>
      <c r="Q6043">
        <v>-2.356745E-2</v>
      </c>
      <c r="R6043">
        <v>0.9996197</v>
      </c>
      <c r="S6043">
        <v>-6.0989380000000003E-2</v>
      </c>
      <c r="T6043">
        <v>-0.233511</v>
      </c>
      <c r="U6043">
        <v>2.9962770000000001</v>
      </c>
      <c r="V6043">
        <v>-9.3394980000000002E-2</v>
      </c>
      <c r="W6043">
        <v>-1.840197E-2</v>
      </c>
      <c r="X6043">
        <v>0.99545910000000004</v>
      </c>
      <c r="Y6043">
        <v>-0.12783130000000001</v>
      </c>
      <c r="Z6043">
        <v>-7.6694120000000005E-2</v>
      </c>
      <c r="AA6043">
        <v>0.98882619999999899</v>
      </c>
      <c r="AB6043">
        <v>17</v>
      </c>
      <c r="AC6043">
        <v>-0.30729999999999702</v>
      </c>
      <c r="AD6043">
        <v>-1.1037658097284999</v>
      </c>
      <c r="AE6043">
        <v>13.985620000000001</v>
      </c>
      <c r="AF6043">
        <v>-1.80031561098084</v>
      </c>
      <c r="AG6043">
        <v>-1.1037658097284999</v>
      </c>
      <c r="AH6043">
        <v>13.785384736663501</v>
      </c>
      <c r="AI6043">
        <v>94.539399157042595</v>
      </c>
      <c r="AJ6043">
        <v>97.440488316703906</v>
      </c>
      <c r="AK6043">
        <v>13.9461918673056</v>
      </c>
    </row>
    <row r="6044" spans="1:37" x14ac:dyDescent="0.2">
      <c r="A6044" t="str">
        <f>"20200111160334868"</f>
        <v>20200111160334868</v>
      </c>
      <c r="B6044" t="str">
        <f>"1578729814859260"</f>
        <v>1578729814859260</v>
      </c>
      <c r="C6044" t="s">
        <v>37</v>
      </c>
      <c r="D6044">
        <v>4.8038419999999897</v>
      </c>
      <c r="E6044">
        <v>0.48762230000000001</v>
      </c>
      <c r="F6044" t="s">
        <v>38</v>
      </c>
      <c r="G6044">
        <v>-188.2653</v>
      </c>
      <c r="H6044" s="1">
        <v>-1.067603E-6</v>
      </c>
      <c r="I6044">
        <v>-28.595879999999902</v>
      </c>
      <c r="J6044">
        <v>-187.92439999999999</v>
      </c>
      <c r="K6044">
        <v>1.1037729999999999</v>
      </c>
      <c r="L6044">
        <v>-43.138030000000001</v>
      </c>
      <c r="M6044">
        <v>0.1073741</v>
      </c>
      <c r="N6044">
        <v>0</v>
      </c>
      <c r="O6044">
        <v>0.99420649999999999</v>
      </c>
      <c r="P6044">
        <v>1.265907E-2</v>
      </c>
      <c r="Q6044">
        <v>-1.870989E-2</v>
      </c>
      <c r="R6044">
        <v>0.99974479999999999</v>
      </c>
      <c r="S6044">
        <v>-6.5307619999999997E-2</v>
      </c>
      <c r="T6044">
        <v>-0.22457089999999999</v>
      </c>
      <c r="U6044">
        <v>2.9967959999999998</v>
      </c>
      <c r="V6044">
        <v>-9.4752729999999993E-2</v>
      </c>
      <c r="W6044">
        <v>-1.387442E-2</v>
      </c>
      <c r="X6044">
        <v>0.99540409999999901</v>
      </c>
      <c r="Y6044">
        <v>-0.12895029999999999</v>
      </c>
      <c r="Z6044">
        <v>-7.3759000000000005E-2</v>
      </c>
      <c r="AA6044">
        <v>0.98890419999999901</v>
      </c>
      <c r="AB6044">
        <v>17</v>
      </c>
      <c r="AC6044">
        <v>-0.34090000000000398</v>
      </c>
      <c r="AD6044">
        <v>-1.1037740676029999</v>
      </c>
      <c r="AE6044">
        <v>14.542149999999999</v>
      </c>
      <c r="AF6044">
        <v>-1.8895186254349401</v>
      </c>
      <c r="AG6044">
        <v>-1.1037740676029999</v>
      </c>
      <c r="AH6044">
        <v>14.338908914805501</v>
      </c>
      <c r="AI6044">
        <v>94.364226759643103</v>
      </c>
      <c r="AJ6044">
        <v>97.506934149061905</v>
      </c>
      <c r="AK6044">
        <v>14.504926980004701</v>
      </c>
    </row>
    <row r="6045" spans="1:37" x14ac:dyDescent="0.2">
      <c r="A6045" t="str">
        <f>"20200111160334911"</f>
        <v>20200111160334911</v>
      </c>
      <c r="B6045" t="str">
        <f>"1578729814899277"</f>
        <v>1578729814899277</v>
      </c>
      <c r="C6045" t="s">
        <v>37</v>
      </c>
      <c r="D6045">
        <v>5.161524</v>
      </c>
      <c r="E6045">
        <v>0.48751709999999898</v>
      </c>
      <c r="F6045" t="s">
        <v>38</v>
      </c>
      <c r="G6045">
        <v>-188.29249999999999</v>
      </c>
      <c r="H6045" s="1">
        <v>-1.583209E-6</v>
      </c>
      <c r="I6045">
        <v>-27.382750000000001</v>
      </c>
      <c r="J6045">
        <v>-187.88910000000001</v>
      </c>
      <c r="K6045">
        <v>1.103818</v>
      </c>
      <c r="L6045">
        <v>-42.802609999999902</v>
      </c>
      <c r="M6045">
        <v>0.1064597</v>
      </c>
      <c r="N6045">
        <v>0</v>
      </c>
      <c r="O6045">
        <v>0.99430730000000001</v>
      </c>
      <c r="P6045">
        <v>9.4238140000000008E-3</v>
      </c>
      <c r="Q6045">
        <v>-1.218342E-2</v>
      </c>
      <c r="R6045">
        <v>0.99988140000000003</v>
      </c>
      <c r="S6045">
        <v>-7.0037840000000004E-2</v>
      </c>
      <c r="T6045">
        <v>-0.21001420000000001</v>
      </c>
      <c r="U6045">
        <v>2.9977419999999899</v>
      </c>
      <c r="V6045">
        <v>-9.7071279999999996E-2</v>
      </c>
      <c r="W6045">
        <v>-7.8840719999999902E-3</v>
      </c>
      <c r="X6045">
        <v>0.99524619999999997</v>
      </c>
      <c r="Y6045">
        <v>-0.12959899999999999</v>
      </c>
      <c r="Z6045">
        <v>-6.8986510000000001E-2</v>
      </c>
      <c r="AA6045">
        <v>0.98916380000000004</v>
      </c>
      <c r="AB6045">
        <v>17</v>
      </c>
      <c r="AC6045">
        <v>-0.403399999999976</v>
      </c>
      <c r="AD6045">
        <v>-1.1038195832089901</v>
      </c>
      <c r="AE6045">
        <v>15.4198599999999</v>
      </c>
      <c r="AF6045">
        <v>-2.0323099109721898</v>
      </c>
      <c r="AG6045">
        <v>-1.1038195832089901</v>
      </c>
      <c r="AH6045">
        <v>15.211386718821901</v>
      </c>
      <c r="AI6045">
        <v>94.113985373783393</v>
      </c>
      <c r="AJ6045">
        <v>97.609908866278701</v>
      </c>
      <c r="AK6045">
        <v>15.3861946938176</v>
      </c>
    </row>
    <row r="6046" spans="1:37" x14ac:dyDescent="0.2">
      <c r="A6046" t="str">
        <f>"20200111160334932"</f>
        <v>20200111160334932</v>
      </c>
      <c r="B6046" t="str">
        <f>"1578729814929533"</f>
        <v>1578729814929533</v>
      </c>
      <c r="C6046" t="s">
        <v>37</v>
      </c>
      <c r="D6046">
        <v>4.9546419999999998</v>
      </c>
      <c r="E6046">
        <v>0.48764849999999998</v>
      </c>
      <c r="F6046" t="s">
        <v>38</v>
      </c>
      <c r="G6046">
        <v>-188.3552</v>
      </c>
      <c r="H6046" s="1">
        <v>-2.4093040000000001E-6</v>
      </c>
      <c r="I6046">
        <v>-25.431170000000002</v>
      </c>
      <c r="J6046">
        <v>-187.87119999999999</v>
      </c>
      <c r="K6046">
        <v>1.103837</v>
      </c>
      <c r="L6046">
        <v>-42.62912</v>
      </c>
      <c r="M6046">
        <v>0.1058249</v>
      </c>
      <c r="N6046">
        <v>0</v>
      </c>
      <c r="O6046">
        <v>0.99437600000000004</v>
      </c>
      <c r="P6046">
        <v>9.0055410000000006E-3</v>
      </c>
      <c r="Q6046">
        <v>-1.304901E-2</v>
      </c>
      <c r="R6046">
        <v>0.99987429999999999</v>
      </c>
      <c r="S6046">
        <v>-8.0459589999999998E-2</v>
      </c>
      <c r="T6046">
        <v>-0.1905492</v>
      </c>
      <c r="U6046">
        <v>2.9987789999999999</v>
      </c>
      <c r="V6046">
        <v>-9.6848260000000005E-2</v>
      </c>
      <c r="W6046">
        <v>-8.9879179999999993E-3</v>
      </c>
      <c r="X6046">
        <v>0.99525859999999899</v>
      </c>
      <c r="Y6046">
        <v>-0.13240439999999901</v>
      </c>
      <c r="Z6046">
        <v>-6.2589859999999997E-2</v>
      </c>
      <c r="AA6046">
        <v>0.98921759999999903</v>
      </c>
      <c r="AB6046">
        <v>18</v>
      </c>
      <c r="AC6046">
        <v>-0.48400000000000798</v>
      </c>
      <c r="AD6046">
        <v>-1.103839409304</v>
      </c>
      <c r="AE6046">
        <v>17.197949999999999</v>
      </c>
      <c r="AF6046">
        <v>-2.2918353680415402</v>
      </c>
      <c r="AG6046">
        <v>-1.103839409304</v>
      </c>
      <c r="AH6046">
        <v>16.980261267836202</v>
      </c>
      <c r="AI6046">
        <v>93.686075550520798</v>
      </c>
      <c r="AJ6046">
        <v>97.686791153155596</v>
      </c>
      <c r="AK6046">
        <v>17.169747916603701</v>
      </c>
    </row>
    <row r="6047" spans="1:37" x14ac:dyDescent="0.2">
      <c r="A6047" t="str">
        <f>"20200111160334977"</f>
        <v>20200111160334977</v>
      </c>
      <c r="B6047" t="str">
        <f>"1578729814969549"</f>
        <v>1578729814969549</v>
      </c>
      <c r="C6047" t="s">
        <v>37</v>
      </c>
      <c r="D6047">
        <v>4.8887099999999997</v>
      </c>
      <c r="E6047">
        <v>0.48782150000000002</v>
      </c>
      <c r="F6047" t="s">
        <v>38</v>
      </c>
      <c r="G6047">
        <v>-188.33449999999999</v>
      </c>
      <c r="H6047" s="1">
        <v>-2.4017170000000001E-6</v>
      </c>
      <c r="I6047">
        <v>-25.457419999999999</v>
      </c>
      <c r="J6047">
        <v>-187.8348</v>
      </c>
      <c r="K6047">
        <v>1.1038779999999999</v>
      </c>
      <c r="L6047">
        <v>-42.269590000000001</v>
      </c>
      <c r="M6047">
        <v>0.1042401</v>
      </c>
      <c r="N6047">
        <v>0</v>
      </c>
      <c r="O6047">
        <v>0.99454489999999995</v>
      </c>
      <c r="P6047">
        <v>9.2065069999999992E-3</v>
      </c>
      <c r="Q6047">
        <v>-1.942731E-2</v>
      </c>
      <c r="R6047">
        <v>0.99976889999999996</v>
      </c>
      <c r="S6047">
        <v>-8.0902100000000005E-2</v>
      </c>
      <c r="T6047">
        <v>-0.19275719999999999</v>
      </c>
      <c r="U6047">
        <v>2.998596</v>
      </c>
      <c r="V6047">
        <v>-9.5039609999999997E-2</v>
      </c>
      <c r="W6047">
        <v>-1.5769950000000001E-2</v>
      </c>
      <c r="X6047">
        <v>0.99534859999999903</v>
      </c>
      <c r="Y6047">
        <v>-0.1309708</v>
      </c>
      <c r="Z6047">
        <v>-6.3338099999999994E-2</v>
      </c>
      <c r="AA6047">
        <v>0.98936089999999999</v>
      </c>
      <c r="AB6047">
        <v>18</v>
      </c>
      <c r="AC6047">
        <v>-0.49969999999998999</v>
      </c>
      <c r="AD6047">
        <v>-1.1038804017170001</v>
      </c>
      <c r="AE6047">
        <v>16.812169999999998</v>
      </c>
      <c r="AF6047">
        <v>-2.2398447554246399</v>
      </c>
      <c r="AG6047">
        <v>-1.1038804017170001</v>
      </c>
      <c r="AH6047">
        <v>16.596999973812402</v>
      </c>
      <c r="AI6047">
        <v>93.771099811556098</v>
      </c>
      <c r="AJ6047">
        <v>97.685904147137606</v>
      </c>
      <c r="AK6047">
        <v>16.7837976811098</v>
      </c>
    </row>
    <row r="6048" spans="1:37" x14ac:dyDescent="0.2">
      <c r="A6048" t="str">
        <f>"20200111160334998"</f>
        <v>20200111160334998</v>
      </c>
      <c r="B6048" t="str">
        <f>"1578729814989069"</f>
        <v>1578729814989069</v>
      </c>
      <c r="C6048" t="s">
        <v>37</v>
      </c>
      <c r="D6048">
        <v>4.9144730000000001</v>
      </c>
      <c r="E6048">
        <v>0.48791079999999998</v>
      </c>
      <c r="F6048" t="s">
        <v>38</v>
      </c>
      <c r="G6048">
        <v>-188.24430000000001</v>
      </c>
      <c r="H6048" s="1">
        <v>-1.8791389999999999E-6</v>
      </c>
      <c r="I6048">
        <v>-26.712869999999999</v>
      </c>
      <c r="J6048">
        <v>-187.8175</v>
      </c>
      <c r="K6048">
        <v>1.103912</v>
      </c>
      <c r="L6048">
        <v>-42.094760000000001</v>
      </c>
      <c r="M6048">
        <v>0.103308399999999</v>
      </c>
      <c r="N6048">
        <v>0</v>
      </c>
      <c r="O6048">
        <v>0.99464269999999999</v>
      </c>
      <c r="P6048">
        <v>1.010381E-2</v>
      </c>
      <c r="Q6048">
        <v>-2.332828E-2</v>
      </c>
      <c r="R6048">
        <v>0.99967680000000003</v>
      </c>
      <c r="S6048">
        <v>-7.8887940000000004E-2</v>
      </c>
      <c r="T6048">
        <v>-0.21268229999999999</v>
      </c>
      <c r="U6048">
        <v>2.9972840000000001</v>
      </c>
      <c r="V6048">
        <v>-9.3196879999999996E-2</v>
      </c>
      <c r="W6048">
        <v>-1.982538E-2</v>
      </c>
      <c r="X6048">
        <v>0.99545030000000001</v>
      </c>
      <c r="Y6048">
        <v>-0.129377399999999</v>
      </c>
      <c r="Z6048">
        <v>-6.9902909999999999E-2</v>
      </c>
      <c r="AA6048">
        <v>0.98912840000000002</v>
      </c>
      <c r="AB6048">
        <v>18</v>
      </c>
      <c r="AC6048">
        <v>-0.426800000000014</v>
      </c>
      <c r="AD6048">
        <v>-1.103913879139</v>
      </c>
      <c r="AE6048">
        <v>15.38189</v>
      </c>
      <c r="AF6048">
        <v>-2.00329524104913</v>
      </c>
      <c r="AG6048">
        <v>-1.103913879139</v>
      </c>
      <c r="AH6048">
        <v>15.177382566808999</v>
      </c>
      <c r="AI6048">
        <v>94.124386534304406</v>
      </c>
      <c r="AJ6048">
        <v>97.519127827610504</v>
      </c>
      <c r="AK6048">
        <v>15.348770610529099</v>
      </c>
    </row>
    <row r="6049" spans="1:37" x14ac:dyDescent="0.2">
      <c r="A6049" t="str">
        <f>"20200111160335021"</f>
        <v>20200111160335021</v>
      </c>
      <c r="B6049" t="str">
        <f>"1578729815009564"</f>
        <v>1578729815009564</v>
      </c>
      <c r="C6049" t="s">
        <v>37</v>
      </c>
      <c r="D6049">
        <v>4.9861709999999997</v>
      </c>
      <c r="E6049">
        <v>0.48793919999999902</v>
      </c>
      <c r="F6049" t="s">
        <v>38</v>
      </c>
      <c r="G6049">
        <v>-188.18879999999999</v>
      </c>
      <c r="H6049" s="1">
        <v>-1.6097489999999899E-6</v>
      </c>
      <c r="I6049">
        <v>-27.36375</v>
      </c>
      <c r="J6049">
        <v>-187.79990000000001</v>
      </c>
      <c r="K6049">
        <v>1.1039429999999999</v>
      </c>
      <c r="L6049">
        <v>-41.913699999999999</v>
      </c>
      <c r="M6049">
        <v>0.1022358</v>
      </c>
      <c r="N6049">
        <v>0</v>
      </c>
      <c r="O6049">
        <v>0.99475400000000003</v>
      </c>
      <c r="P6049">
        <v>1.186804E-2</v>
      </c>
      <c r="Q6049">
        <v>-2.587062E-2</v>
      </c>
      <c r="R6049">
        <v>0.99959489999999995</v>
      </c>
      <c r="S6049">
        <v>-7.5531009999999996E-2</v>
      </c>
      <c r="T6049">
        <v>-0.22455120000000001</v>
      </c>
      <c r="U6049">
        <v>2.9964900000000001</v>
      </c>
      <c r="V6049">
        <v>-9.0352870000000002E-2</v>
      </c>
      <c r="W6049">
        <v>-2.250073E-2</v>
      </c>
      <c r="X6049">
        <v>0.99565559999999997</v>
      </c>
      <c r="Y6049">
        <v>-0.12720010000000001</v>
      </c>
      <c r="Z6049">
        <v>-7.382619E-2</v>
      </c>
      <c r="AA6049">
        <v>0.98912579999999894</v>
      </c>
      <c r="AB6049">
        <v>18</v>
      </c>
      <c r="AC6049">
        <v>-0.38889999999997799</v>
      </c>
      <c r="AD6049">
        <v>-1.103944609749</v>
      </c>
      <c r="AE6049">
        <v>14.549950000000001</v>
      </c>
      <c r="AF6049">
        <v>-1.8636762402008999</v>
      </c>
      <c r="AG6049">
        <v>-1.103944609749</v>
      </c>
      <c r="AH6049">
        <v>14.3513930806562</v>
      </c>
      <c r="AI6049">
        <v>94.362186438552399</v>
      </c>
      <c r="AJ6049">
        <v>97.399040905952802</v>
      </c>
      <c r="AK6049">
        <v>14.5139404086275</v>
      </c>
    </row>
    <row r="6050" spans="1:37" x14ac:dyDescent="0.2">
      <c r="A6050" t="str">
        <f>"20200111160335041"</f>
        <v>20200111160335041</v>
      </c>
      <c r="B6050" t="str">
        <f>"1578729815038844"</f>
        <v>1578729815038844</v>
      </c>
      <c r="C6050" t="s">
        <v>37</v>
      </c>
      <c r="D6050">
        <v>4.9017739999999996</v>
      </c>
      <c r="E6050">
        <v>0.4879964</v>
      </c>
      <c r="F6050" t="s">
        <v>38</v>
      </c>
      <c r="G6050">
        <v>-188.1319</v>
      </c>
      <c r="H6050" s="1">
        <v>-1.4835399999999999E-6</v>
      </c>
      <c r="I6050">
        <v>-27.6815</v>
      </c>
      <c r="J6050">
        <v>-187.78280000000001</v>
      </c>
      <c r="K6050">
        <v>1.1039909999999999</v>
      </c>
      <c r="L6050">
        <v>-41.735259999999997</v>
      </c>
      <c r="M6050">
        <v>0.1010716</v>
      </c>
      <c r="N6050">
        <v>0</v>
      </c>
      <c r="O6050">
        <v>0.99487320000000001</v>
      </c>
      <c r="P6050">
        <v>1.347776E-2</v>
      </c>
      <c r="Q6050">
        <v>-2.7218550000000001E-2</v>
      </c>
      <c r="R6050">
        <v>0.999538699999999</v>
      </c>
      <c r="S6050">
        <v>-6.9885249999999996E-2</v>
      </c>
      <c r="T6050">
        <v>-0.232392299999999</v>
      </c>
      <c r="U6050">
        <v>2.9960330000000002</v>
      </c>
      <c r="V6050">
        <v>-8.7574540000000006E-2</v>
      </c>
      <c r="W6050">
        <v>-2.3958440000000001E-2</v>
      </c>
      <c r="X6050">
        <v>0.99586980000000003</v>
      </c>
      <c r="Y6050">
        <v>-0.1241752</v>
      </c>
      <c r="Z6050">
        <v>-7.6430970000000001E-2</v>
      </c>
      <c r="AA6050">
        <v>0.98931229999999903</v>
      </c>
      <c r="AB6050">
        <v>18</v>
      </c>
      <c r="AC6050">
        <v>-0.34909999999999197</v>
      </c>
      <c r="AD6050">
        <v>-1.1039924835399999</v>
      </c>
      <c r="AE6050">
        <v>14.053759999999899</v>
      </c>
      <c r="AF6050">
        <v>-1.75692164657908</v>
      </c>
      <c r="AG6050">
        <v>-1.1039924835399999</v>
      </c>
      <c r="AH6050">
        <v>13.8610257107288</v>
      </c>
      <c r="AI6050">
        <v>94.517841446829905</v>
      </c>
      <c r="AJ6050">
        <v>97.223869078186496</v>
      </c>
      <c r="AK6050">
        <v>14.0154774028363</v>
      </c>
    </row>
    <row r="6051" spans="1:37" x14ac:dyDescent="0.2">
      <c r="A6051" t="str">
        <f>"20200111160335067"</f>
        <v>20200111160335067</v>
      </c>
      <c r="B6051" t="str">
        <f>"1578729815059340"</f>
        <v>1578729815059340</v>
      </c>
      <c r="C6051" t="s">
        <v>37</v>
      </c>
      <c r="D6051">
        <v>4.8462489999999896</v>
      </c>
      <c r="E6051">
        <v>0.48802810000000002</v>
      </c>
      <c r="F6051" t="s">
        <v>38</v>
      </c>
      <c r="G6051">
        <v>-188.0823</v>
      </c>
      <c r="H6051" s="1">
        <v>-1.446945E-6</v>
      </c>
      <c r="I6051">
        <v>-27.787279999999999</v>
      </c>
      <c r="J6051">
        <v>-187.76320000000001</v>
      </c>
      <c r="K6051">
        <v>1.104047</v>
      </c>
      <c r="L6051">
        <v>-41.526000000000003</v>
      </c>
      <c r="M6051">
        <v>9.9585839999999995E-2</v>
      </c>
      <c r="N6051">
        <v>0</v>
      </c>
      <c r="O6051">
        <v>0.9950234</v>
      </c>
      <c r="P6051">
        <v>1.517697E-2</v>
      </c>
      <c r="Q6051">
        <v>-2.824173E-2</v>
      </c>
      <c r="R6051">
        <v>0.99948590000000004</v>
      </c>
      <c r="S6051">
        <v>-6.4331050000000001E-2</v>
      </c>
      <c r="T6051">
        <v>-0.23711869999999999</v>
      </c>
      <c r="U6051">
        <v>2.9957889999999998</v>
      </c>
      <c r="V6051">
        <v>-8.4384929999999997E-2</v>
      </c>
      <c r="W6051">
        <v>-2.5083649999999999E-2</v>
      </c>
      <c r="X6051">
        <v>0.99611749999999899</v>
      </c>
      <c r="Y6051">
        <v>-0.1208587</v>
      </c>
      <c r="Z6051">
        <v>-7.8017699999999995E-2</v>
      </c>
      <c r="AA6051">
        <v>0.98959909999999995</v>
      </c>
      <c r="AB6051">
        <v>19</v>
      </c>
      <c r="AC6051">
        <v>-0.319099999999991</v>
      </c>
      <c r="AD6051">
        <v>-1.104048446945</v>
      </c>
      <c r="AE6051">
        <v>13.738720000000001</v>
      </c>
      <c r="AF6051">
        <v>-1.67489301857303</v>
      </c>
      <c r="AG6051">
        <v>-1.104048446945</v>
      </c>
      <c r="AH6051">
        <v>13.551182232376499</v>
      </c>
      <c r="AI6051">
        <v>94.622720714296193</v>
      </c>
      <c r="AJ6051">
        <v>97.045884892719101</v>
      </c>
      <c r="AK6051">
        <v>13.6988586930424</v>
      </c>
    </row>
    <row r="6052" spans="1:37" x14ac:dyDescent="0.2">
      <c r="A6052" t="str">
        <f>"20200111160335109"</f>
        <v>20200111160335109</v>
      </c>
      <c r="B6052" t="str">
        <f>"1578729815099356"</f>
        <v>1578729815099356</v>
      </c>
      <c r="C6052" t="s">
        <v>37</v>
      </c>
      <c r="D6052">
        <v>4.7919010000000002</v>
      </c>
      <c r="E6052">
        <v>0.48805529999999903</v>
      </c>
      <c r="F6052" t="s">
        <v>38</v>
      </c>
      <c r="G6052">
        <v>-188.03229999999999</v>
      </c>
      <c r="H6052" s="1">
        <v>-1.4666309999999899E-6</v>
      </c>
      <c r="I6052">
        <v>-27.762059999999899</v>
      </c>
      <c r="J6052">
        <v>-187.73089999999999</v>
      </c>
      <c r="K6052">
        <v>1.1041179999999999</v>
      </c>
      <c r="L6052">
        <v>-41.169249999999998</v>
      </c>
      <c r="M6052">
        <v>9.679691E-2</v>
      </c>
      <c r="N6052">
        <v>0</v>
      </c>
      <c r="O6052">
        <v>0.99529889999999999</v>
      </c>
      <c r="P6052">
        <v>1.7112309999999999E-2</v>
      </c>
      <c r="Q6052">
        <v>-3.035817E-2</v>
      </c>
      <c r="R6052">
        <v>0.99939259999999996</v>
      </c>
      <c r="S6052">
        <v>-5.8578489999999997E-2</v>
      </c>
      <c r="T6052">
        <v>-0.24028939999999999</v>
      </c>
      <c r="U6052">
        <v>2.9956360000000002</v>
      </c>
      <c r="V6052">
        <v>-7.9647560000000006E-2</v>
      </c>
      <c r="W6052">
        <v>-2.730022E-2</v>
      </c>
      <c r="X6052">
        <v>0.99644920000000003</v>
      </c>
      <c r="Y6052">
        <v>-0.116175399999999</v>
      </c>
      <c r="Z6052">
        <v>-7.9115210000000005E-2</v>
      </c>
      <c r="AA6052">
        <v>0.99007279999999998</v>
      </c>
      <c r="AB6052">
        <v>19</v>
      </c>
      <c r="AC6052">
        <v>-0.301400000000001</v>
      </c>
      <c r="AD6052">
        <v>-1.1041194666309999</v>
      </c>
      <c r="AE6052">
        <v>13.40719</v>
      </c>
      <c r="AF6052">
        <v>-1.5870083818695899</v>
      </c>
      <c r="AG6052">
        <v>-1.1041194666309999</v>
      </c>
      <c r="AH6052">
        <v>13.2254073314386</v>
      </c>
      <c r="AI6052">
        <v>94.738419244416207</v>
      </c>
      <c r="AJ6052">
        <v>96.842600456075004</v>
      </c>
      <c r="AK6052">
        <v>13.3659670238702</v>
      </c>
    </row>
    <row r="6053" spans="1:37" x14ac:dyDescent="0.2">
      <c r="A6053" t="str">
        <f>"20200111160335133"</f>
        <v>20200111160335133</v>
      </c>
      <c r="B6053" t="str">
        <f>"1578729815129612"</f>
        <v>1578729815129612</v>
      </c>
      <c r="C6053" t="s">
        <v>37</v>
      </c>
      <c r="D6053">
        <v>4.6585489999999998</v>
      </c>
      <c r="E6053">
        <v>0.48805949999999998</v>
      </c>
      <c r="F6053" t="s">
        <v>38</v>
      </c>
      <c r="G6053">
        <v>-187.96619999999999</v>
      </c>
      <c r="H6053" s="1">
        <v>-1.4905759999999999E-6</v>
      </c>
      <c r="I6053">
        <v>-27.733599999999999</v>
      </c>
      <c r="J6053">
        <v>-187.71260000000001</v>
      </c>
      <c r="K6053">
        <v>1.1041510000000001</v>
      </c>
      <c r="L6053">
        <v>-40.961640000000003</v>
      </c>
      <c r="M6053">
        <v>9.5065650000000002E-2</v>
      </c>
      <c r="N6053">
        <v>0</v>
      </c>
      <c r="O6053">
        <v>0.99546579999999996</v>
      </c>
      <c r="P6053">
        <v>1.6961899999999999E-2</v>
      </c>
      <c r="Q6053">
        <v>-3.0666490000000001E-2</v>
      </c>
      <c r="R6053">
        <v>0.99938570000000004</v>
      </c>
      <c r="S6053">
        <v>-5.2459720000000001E-2</v>
      </c>
      <c r="T6053">
        <v>-0.246144</v>
      </c>
      <c r="U6053">
        <v>2.99523899999999</v>
      </c>
      <c r="V6053">
        <v>-7.8060249999999998E-2</v>
      </c>
      <c r="W6053">
        <v>-2.7630350000000001E-2</v>
      </c>
      <c r="X6053">
        <v>0.996565699999999</v>
      </c>
      <c r="Y6053">
        <v>-0.112425</v>
      </c>
      <c r="Z6053">
        <v>-8.1080449999999998E-2</v>
      </c>
      <c r="AA6053">
        <v>0.99034669999999903</v>
      </c>
      <c r="AB6053">
        <v>19</v>
      </c>
      <c r="AC6053">
        <v>-0.25359999999997701</v>
      </c>
      <c r="AD6053">
        <v>-1.1041524905760001</v>
      </c>
      <c r="AE6053">
        <v>13.22804</v>
      </c>
      <c r="AF6053">
        <v>-1.49954615994639</v>
      </c>
      <c r="AG6053">
        <v>-1.1041524905760001</v>
      </c>
      <c r="AH6053">
        <v>13.0531088234252</v>
      </c>
      <c r="AI6053">
        <v>94.803650933026802</v>
      </c>
      <c r="AJ6053">
        <v>96.553432296841706</v>
      </c>
      <c r="AK6053">
        <v>13.185273655273001</v>
      </c>
    </row>
    <row r="6054" spans="1:37" x14ac:dyDescent="0.2">
      <c r="A6054" t="str">
        <f>"20200111160335155"</f>
        <v>20200111160335155</v>
      </c>
      <c r="B6054" t="str">
        <f>"1578729815149133"</f>
        <v>1578729815149133</v>
      </c>
      <c r="C6054" t="s">
        <v>37</v>
      </c>
      <c r="D6054">
        <v>4.6075480000000004</v>
      </c>
      <c r="E6054">
        <v>0.48805929999999997</v>
      </c>
      <c r="F6054" t="s">
        <v>38</v>
      </c>
      <c r="G6054">
        <v>-187.95089999999999</v>
      </c>
      <c r="H6054" s="1">
        <v>-1.605136E-6</v>
      </c>
      <c r="I6054">
        <v>-27.47288</v>
      </c>
      <c r="J6054">
        <v>-187.6962</v>
      </c>
      <c r="K6054">
        <v>1.104171</v>
      </c>
      <c r="L6054">
        <v>-40.769559999999998</v>
      </c>
      <c r="M6054">
        <v>9.3422959999999999E-2</v>
      </c>
      <c r="N6054">
        <v>0</v>
      </c>
      <c r="O6054">
        <v>0.99562129999999904</v>
      </c>
      <c r="P6054">
        <v>1.6400439999999999E-2</v>
      </c>
      <c r="Q6054">
        <v>-3.1215989999999999E-2</v>
      </c>
      <c r="R6054">
        <v>0.99937809999999905</v>
      </c>
      <c r="S6054">
        <v>-5.290222E-2</v>
      </c>
      <c r="T6054">
        <v>-0.24517949999999999</v>
      </c>
      <c r="U6054">
        <v>2.995209</v>
      </c>
      <c r="V6054">
        <v>-7.6971289999999998E-2</v>
      </c>
      <c r="W6054">
        <v>-2.8178910000000001E-2</v>
      </c>
      <c r="X6054">
        <v>0.99663500000000005</v>
      </c>
      <c r="Y6054">
        <v>-0.11093219999999999</v>
      </c>
      <c r="Z6054">
        <v>-8.0791440000000006E-2</v>
      </c>
      <c r="AA6054">
        <v>0.99053869999999899</v>
      </c>
      <c r="AB6054">
        <v>19</v>
      </c>
      <c r="AC6054">
        <v>-0.25469999999998499</v>
      </c>
      <c r="AD6054">
        <v>-1.1041726051359999</v>
      </c>
      <c r="AE6054">
        <v>13.296679999999901</v>
      </c>
      <c r="AF6054">
        <v>-1.4855672261589801</v>
      </c>
      <c r="AG6054">
        <v>-1.1041726051359999</v>
      </c>
      <c r="AH6054">
        <v>13.1242618849301</v>
      </c>
      <c r="AI6054">
        <v>94.778719245201202</v>
      </c>
      <c r="AJ6054">
        <v>96.457961753908094</v>
      </c>
      <c r="AK6054">
        <v>13.2541449045044</v>
      </c>
    </row>
    <row r="6055" spans="1:37" x14ac:dyDescent="0.2">
      <c r="A6055" t="str">
        <f>"20200111160335176"</f>
        <v>20200111160335176</v>
      </c>
      <c r="B6055" t="str">
        <f>"1578729815169629"</f>
        <v>1578729815169629</v>
      </c>
      <c r="C6055" t="s">
        <v>37</v>
      </c>
      <c r="D6055">
        <v>4.6006049999999998</v>
      </c>
      <c r="E6055">
        <v>0.48804560000000002</v>
      </c>
      <c r="F6055" t="s">
        <v>38</v>
      </c>
      <c r="G6055">
        <v>-187.94229999999999</v>
      </c>
      <c r="H6055" s="1">
        <v>-1.6702520000000001E-6</v>
      </c>
      <c r="I6055">
        <v>-27.324639999999999</v>
      </c>
      <c r="J6055">
        <v>-187.68039999999999</v>
      </c>
      <c r="K6055">
        <v>1.104182</v>
      </c>
      <c r="L6055">
        <v>-40.582029999999897</v>
      </c>
      <c r="M6055">
        <v>9.1796879999999997E-2</v>
      </c>
      <c r="N6055">
        <v>0</v>
      </c>
      <c r="O6055">
        <v>0.99577249999999995</v>
      </c>
      <c r="P6055">
        <v>1.493479E-2</v>
      </c>
      <c r="Q6055">
        <v>-3.1432880000000003E-2</v>
      </c>
      <c r="R6055">
        <v>0.99939429999999996</v>
      </c>
      <c r="S6055">
        <v>-5.4824829999999998E-2</v>
      </c>
      <c r="T6055">
        <v>-0.24597329999999901</v>
      </c>
      <c r="U6055">
        <v>2.9950869999999998</v>
      </c>
      <c r="V6055">
        <v>-7.6803579999999996E-2</v>
      </c>
      <c r="W6055">
        <v>-2.8378670000000002E-2</v>
      </c>
      <c r="X6055">
        <v>0.99664229999999998</v>
      </c>
      <c r="Y6055">
        <v>-0.1099451</v>
      </c>
      <c r="Z6055">
        <v>-8.1077140000000006E-2</v>
      </c>
      <c r="AA6055">
        <v>0.99062530000000004</v>
      </c>
      <c r="AB6055">
        <v>19</v>
      </c>
      <c r="AC6055">
        <v>-0.26189999999999702</v>
      </c>
      <c r="AD6055">
        <v>-1.104183670252</v>
      </c>
      <c r="AE6055">
        <v>13.2573899999999</v>
      </c>
      <c r="AF6055">
        <v>-1.46761086136262</v>
      </c>
      <c r="AG6055">
        <v>-1.104183670252</v>
      </c>
      <c r="AH6055">
        <v>13.0866262638009</v>
      </c>
      <c r="AI6055">
        <v>94.793001636460005</v>
      </c>
      <c r="AJ6055">
        <v>96.398748397426999</v>
      </c>
      <c r="AK6055">
        <v>13.2148738240834</v>
      </c>
    </row>
    <row r="6056" spans="1:37" x14ac:dyDescent="0.2">
      <c r="A6056" t="str">
        <f>"20200111160335199"</f>
        <v>20200111160335199</v>
      </c>
      <c r="B6056" t="str">
        <f>"1578729815189149"</f>
        <v>1578729815189149</v>
      </c>
      <c r="C6056" t="s">
        <v>37</v>
      </c>
      <c r="D6056">
        <v>4.4924799999999996</v>
      </c>
      <c r="E6056">
        <v>0.48803750000000001</v>
      </c>
      <c r="F6056" t="s">
        <v>38</v>
      </c>
      <c r="G6056">
        <v>-187.9485</v>
      </c>
      <c r="H6056" s="1">
        <v>-1.7700209999999999E-6</v>
      </c>
      <c r="I6056">
        <v>-27.08953</v>
      </c>
      <c r="J6056">
        <v>-187.66370000000001</v>
      </c>
      <c r="K6056">
        <v>1.10419</v>
      </c>
      <c r="L6056">
        <v>-40.377659999999999</v>
      </c>
      <c r="M6056">
        <v>9.0015769999999995E-2</v>
      </c>
      <c r="N6056">
        <v>0</v>
      </c>
      <c r="O6056">
        <v>0.99593500000000001</v>
      </c>
      <c r="P6056">
        <v>1.1715150000000001E-2</v>
      </c>
      <c r="Q6056">
        <v>-3.078554E-2</v>
      </c>
      <c r="R6056">
        <v>0.99945740000000005</v>
      </c>
      <c r="S6056">
        <v>-5.9494020000000002E-2</v>
      </c>
      <c r="T6056">
        <v>-0.24510100000000001</v>
      </c>
      <c r="U6056">
        <v>2.9949949999999999</v>
      </c>
      <c r="V6056">
        <v>-7.8235449999999998E-2</v>
      </c>
      <c r="W6056">
        <v>-2.7698549999999999E-2</v>
      </c>
      <c r="X6056">
        <v>0.99655000000000005</v>
      </c>
      <c r="Y6056">
        <v>-0.1097123</v>
      </c>
      <c r="Z6056">
        <v>-8.0813679999999999E-2</v>
      </c>
      <c r="AA6056">
        <v>0.99067269999999896</v>
      </c>
      <c r="AB6056">
        <v>20</v>
      </c>
      <c r="AC6056">
        <v>-0.28479999999998901</v>
      </c>
      <c r="AD6056">
        <v>-1.104191770021</v>
      </c>
      <c r="AE6056">
        <v>13.288129999999899</v>
      </c>
      <c r="AF6056">
        <v>-1.46964820681098</v>
      </c>
      <c r="AG6056">
        <v>-1.104191770021</v>
      </c>
      <c r="AH6056">
        <v>13.118009743838</v>
      </c>
      <c r="AI6056">
        <v>94.781682549491293</v>
      </c>
      <c r="AJ6056">
        <v>96.392354971600696</v>
      </c>
      <c r="AK6056">
        <v>13.246180013731999</v>
      </c>
    </row>
    <row r="6057" spans="1:37" x14ac:dyDescent="0.2">
      <c r="A6057" t="str">
        <f>"20200111160335244"</f>
        <v>20200111160335244</v>
      </c>
      <c r="B6057" t="str">
        <f>"1578729815238924"</f>
        <v>1578729815238924</v>
      </c>
      <c r="C6057" t="s">
        <v>37</v>
      </c>
      <c r="D6057">
        <v>4.3455059999999897</v>
      </c>
      <c r="E6057">
        <v>0.48800260000000001</v>
      </c>
      <c r="F6057" t="s">
        <v>38</v>
      </c>
      <c r="G6057">
        <v>-187.97880000000001</v>
      </c>
      <c r="H6057" s="1">
        <v>-1.9228079999999998E-6</v>
      </c>
      <c r="I6057">
        <v>-26.720849999999999</v>
      </c>
      <c r="J6057">
        <v>-187.63239999999999</v>
      </c>
      <c r="K6057">
        <v>1.1041889999999901</v>
      </c>
      <c r="L6057">
        <v>-39.985109999999999</v>
      </c>
      <c r="M6057">
        <v>8.6607500000000004E-2</v>
      </c>
      <c r="N6057">
        <v>0</v>
      </c>
      <c r="O6057">
        <v>0.99623669999999998</v>
      </c>
      <c r="P6057">
        <v>5.7830900000000003E-3</v>
      </c>
      <c r="Q6057">
        <v>-3.0550750000000002E-2</v>
      </c>
      <c r="R6057">
        <v>0.99951650000000003</v>
      </c>
      <c r="S6057">
        <v>-6.9107059999999998E-2</v>
      </c>
      <c r="T6057">
        <v>-0.24215139999999999</v>
      </c>
      <c r="U6057">
        <v>2.9949650000000001</v>
      </c>
      <c r="V6057">
        <v>-8.0741640000000003E-2</v>
      </c>
      <c r="W6057">
        <v>-2.7362589999999999E-2</v>
      </c>
      <c r="X6057">
        <v>0.99635940000000001</v>
      </c>
      <c r="Y6057">
        <v>-0.1094917</v>
      </c>
      <c r="Z6057">
        <v>-7.9882999999999996E-2</v>
      </c>
      <c r="AA6057">
        <v>0.99077249999999994</v>
      </c>
      <c r="AB6057">
        <v>20</v>
      </c>
      <c r="AC6057">
        <v>-0.34640000000001597</v>
      </c>
      <c r="AD6057">
        <v>-1.10419092280799</v>
      </c>
      <c r="AE6057">
        <v>13.26426</v>
      </c>
      <c r="AF6057">
        <v>-1.4836152517822301</v>
      </c>
      <c r="AG6057">
        <v>-1.10419092280799</v>
      </c>
      <c r="AH6057">
        <v>13.0937425919294</v>
      </c>
      <c r="AI6057">
        <v>94.789823782837402</v>
      </c>
      <c r="AJ6057">
        <v>96.464453499217896</v>
      </c>
      <c r="AK6057">
        <v>13.2237077581531</v>
      </c>
    </row>
    <row r="6058" spans="1:37" x14ac:dyDescent="0.2">
      <c r="A6058" t="str">
        <f>"20200111160335266"</f>
        <v>20200111160335266</v>
      </c>
      <c r="B6058" t="str">
        <f>"1578729815259421"</f>
        <v>1578729815259421</v>
      </c>
      <c r="C6058" t="s">
        <v>37</v>
      </c>
      <c r="D6058">
        <v>4.3165309999999897</v>
      </c>
      <c r="E6058">
        <v>0.48799090000000001</v>
      </c>
      <c r="F6058" t="s">
        <v>38</v>
      </c>
      <c r="G6058">
        <v>-188.0377</v>
      </c>
      <c r="H6058" s="1">
        <v>-2.1805090000000002E-6</v>
      </c>
      <c r="I6058">
        <v>-26.095759999999999</v>
      </c>
      <c r="J6058">
        <v>-187.61670000000001</v>
      </c>
      <c r="K6058">
        <v>1.104187</v>
      </c>
      <c r="L6058">
        <v>-39.782260000000001</v>
      </c>
      <c r="M6058">
        <v>8.4862140000000003E-2</v>
      </c>
      <c r="N6058">
        <v>0</v>
      </c>
      <c r="O6058">
        <v>0.99638669999999996</v>
      </c>
      <c r="P6058">
        <v>3.9808659999999996E-3</v>
      </c>
      <c r="Q6058">
        <v>-3.1184969999999999E-2</v>
      </c>
      <c r="R6058">
        <v>0.99950569999999905</v>
      </c>
      <c r="S6058">
        <v>-8.7402339999999995E-2</v>
      </c>
      <c r="T6058">
        <v>-0.23807539999999999</v>
      </c>
      <c r="U6058">
        <v>2.9946899999999999</v>
      </c>
      <c r="V6058">
        <v>-8.0790260000000003E-2</v>
      </c>
      <c r="W6058">
        <v>-2.792963E-2</v>
      </c>
      <c r="X6058">
        <v>0.99633969999999905</v>
      </c>
      <c r="Y6058">
        <v>-0.1138033</v>
      </c>
      <c r="Z6058">
        <v>-7.8546409999999997E-2</v>
      </c>
      <c r="AA6058">
        <v>0.99039349999999904</v>
      </c>
      <c r="AB6058">
        <v>20</v>
      </c>
      <c r="AC6058">
        <v>-0.42099999999999199</v>
      </c>
      <c r="AD6058">
        <v>-1.1041891805090001</v>
      </c>
      <c r="AE6058">
        <v>13.686500000000001</v>
      </c>
      <c r="AF6058">
        <v>-1.5707399379417999</v>
      </c>
      <c r="AG6058">
        <v>-1.1041891805090001</v>
      </c>
      <c r="AH6058">
        <v>13.5135270028725</v>
      </c>
      <c r="AI6058">
        <v>94.640153559571203</v>
      </c>
      <c r="AJ6058">
        <v>96.630002889128306</v>
      </c>
      <c r="AK6058">
        <v>13.6492442925007</v>
      </c>
    </row>
    <row r="6059" spans="1:37" x14ac:dyDescent="0.2">
      <c r="A6059" t="str">
        <f>"20200111160335287"</f>
        <v>20200111160335287</v>
      </c>
      <c r="B6059" t="str">
        <f>"1578729815278941"</f>
        <v>1578729815278941</v>
      </c>
      <c r="C6059" t="s">
        <v>37</v>
      </c>
      <c r="D6059">
        <v>4.4418879999999996</v>
      </c>
      <c r="E6059">
        <v>0.4879812</v>
      </c>
      <c r="F6059" t="s">
        <v>38</v>
      </c>
      <c r="G6059">
        <v>-188.04759999999999</v>
      </c>
      <c r="H6059" s="1">
        <v>-2.2601070000000002E-6</v>
      </c>
      <c r="I6059">
        <v>-25.906140000000001</v>
      </c>
      <c r="J6059">
        <v>-187.60220000000001</v>
      </c>
      <c r="K6059">
        <v>1.1041829999999999</v>
      </c>
      <c r="L6059">
        <v>-39.590759999999896</v>
      </c>
      <c r="M6059">
        <v>8.3225439999999998E-2</v>
      </c>
      <c r="N6059">
        <v>0</v>
      </c>
      <c r="O6059">
        <v>0.99652450000000004</v>
      </c>
      <c r="P6059">
        <v>2.8530359999999898E-3</v>
      </c>
      <c r="Q6059">
        <v>-3.1396439999999998E-2</v>
      </c>
      <c r="R6059">
        <v>0.99950300000000003</v>
      </c>
      <c r="S6059">
        <v>-9.2987059999999996E-2</v>
      </c>
      <c r="T6059">
        <v>-0.23828009999999999</v>
      </c>
      <c r="U6059">
        <v>2.994415</v>
      </c>
      <c r="V6059">
        <v>-8.0276829999999993E-2</v>
      </c>
      <c r="W6059">
        <v>-2.8071490000000001E-2</v>
      </c>
      <c r="X6059">
        <v>0.99637719999999896</v>
      </c>
      <c r="Y6059">
        <v>-0.11401939999999899</v>
      </c>
      <c r="Z6059">
        <v>-7.8633889999999998E-2</v>
      </c>
      <c r="AA6059">
        <v>0.99036170000000001</v>
      </c>
      <c r="AB6059">
        <v>20</v>
      </c>
      <c r="AC6059">
        <v>-0.44539999999997798</v>
      </c>
      <c r="AD6059">
        <v>-1.1041852601069999</v>
      </c>
      <c r="AE6059">
        <v>13.684619999999899</v>
      </c>
      <c r="AF6059">
        <v>-1.57254308013863</v>
      </c>
      <c r="AG6059">
        <v>-1.1041852601069999</v>
      </c>
      <c r="AH6059">
        <v>13.512196249613799</v>
      </c>
      <c r="AI6059">
        <v>94.640515324198503</v>
      </c>
      <c r="AJ6059">
        <v>96.638193841200504</v>
      </c>
      <c r="AK6059">
        <v>13.648134096483901</v>
      </c>
    </row>
    <row r="6060" spans="1:37" x14ac:dyDescent="0.2">
      <c r="A6060" t="str">
        <f>"20200111160335311"</f>
        <v>20200111160335311</v>
      </c>
      <c r="B6060" t="str">
        <f>"1578729815299436"</f>
        <v>1578729815299436</v>
      </c>
      <c r="C6060" t="s">
        <v>37</v>
      </c>
      <c r="D6060">
        <v>4.3149730000000002</v>
      </c>
      <c r="E6060">
        <v>0.48804599999999998</v>
      </c>
      <c r="F6060" t="s">
        <v>38</v>
      </c>
      <c r="G6060">
        <v>-188.05119999999999</v>
      </c>
      <c r="H6060" s="1">
        <v>-2.360229E-6</v>
      </c>
      <c r="I6060">
        <v>-25.67127</v>
      </c>
      <c r="J6060">
        <v>-187.58680000000001</v>
      </c>
      <c r="K6060">
        <v>1.1041939999999999</v>
      </c>
      <c r="L6060">
        <v>-39.381349999999998</v>
      </c>
      <c r="M6060">
        <v>8.1446030000000003E-2</v>
      </c>
      <c r="N6060">
        <v>0</v>
      </c>
      <c r="O6060">
        <v>0.99667129999999904</v>
      </c>
      <c r="P6060">
        <v>2.0101379999999999E-3</v>
      </c>
      <c r="Q6060">
        <v>-3.065495E-2</v>
      </c>
      <c r="R6060">
        <v>0.99952799999999997</v>
      </c>
      <c r="S6060">
        <v>-9.657288E-2</v>
      </c>
      <c r="T6060">
        <v>-0.2375295</v>
      </c>
      <c r="U6060">
        <v>2.9943240000000002</v>
      </c>
      <c r="V6060">
        <v>-7.9341690000000006E-2</v>
      </c>
      <c r="W6060">
        <v>-2.7249550000000001E-2</v>
      </c>
      <c r="X6060">
        <v>0.996475</v>
      </c>
      <c r="Y6060">
        <v>-0.11343199999999901</v>
      </c>
      <c r="Z6060">
        <v>-7.8408740000000005E-2</v>
      </c>
      <c r="AA6060">
        <v>0.99044699999999997</v>
      </c>
      <c r="AB6060">
        <v>20</v>
      </c>
      <c r="AC6060">
        <v>-0.46439999999998299</v>
      </c>
      <c r="AD6060">
        <v>-1.1041963602289999</v>
      </c>
      <c r="AE6060">
        <v>13.7100799999999</v>
      </c>
      <c r="AF6060">
        <v>-1.5693280657241599</v>
      </c>
      <c r="AG6060">
        <v>-1.1041963602289999</v>
      </c>
      <c r="AH6060">
        <v>13.5389869272885</v>
      </c>
      <c r="AI6060">
        <v>94.631666297095194</v>
      </c>
      <c r="AJ6060">
        <v>96.611750290844796</v>
      </c>
      <c r="AK6060">
        <v>13.674290007056999</v>
      </c>
    </row>
    <row r="6061" spans="1:37" x14ac:dyDescent="0.2">
      <c r="A6061" t="str">
        <f>"20200111160335332"</f>
        <v>20200111160335332</v>
      </c>
      <c r="B6061" t="str">
        <f>"1578729815329693"</f>
        <v>1578729815329693</v>
      </c>
      <c r="C6061" t="s">
        <v>37</v>
      </c>
      <c r="D6061">
        <v>4.4424760000000001</v>
      </c>
      <c r="E6061">
        <v>0.48805720000000002</v>
      </c>
      <c r="F6061" t="s">
        <v>38</v>
      </c>
      <c r="G6061">
        <v>-188.05119999999999</v>
      </c>
      <c r="H6061" s="1">
        <v>-2.542064E-6</v>
      </c>
      <c r="I6061">
        <v>-25.247409999999999</v>
      </c>
      <c r="J6061">
        <v>-187.5727</v>
      </c>
      <c r="K6061">
        <v>1.1042099999999999</v>
      </c>
      <c r="L6061">
        <v>-39.186219999999999</v>
      </c>
      <c r="M6061">
        <v>7.9795610000000003E-2</v>
      </c>
      <c r="N6061">
        <v>0</v>
      </c>
      <c r="O6061">
        <v>0.99680449999999998</v>
      </c>
      <c r="P6061">
        <v>8.4077830000000003E-4</v>
      </c>
      <c r="Q6061">
        <v>-2.8783309999999999E-2</v>
      </c>
      <c r="R6061">
        <v>0.99958530000000001</v>
      </c>
      <c r="S6061">
        <v>-9.8388669999999998E-2</v>
      </c>
      <c r="T6061">
        <v>-0.23393739999999999</v>
      </c>
      <c r="U6061">
        <v>2.9944459999999999</v>
      </c>
      <c r="V6061">
        <v>-7.8866749999999999E-2</v>
      </c>
      <c r="W6061">
        <v>-2.5301230000000001E-2</v>
      </c>
      <c r="X6061">
        <v>0.99656399999999901</v>
      </c>
      <c r="Y6061">
        <v>-0.1123885</v>
      </c>
      <c r="Z6061">
        <v>-7.7246519999999999E-2</v>
      </c>
      <c r="AA6061">
        <v>0.99065729999999996</v>
      </c>
      <c r="AB6061">
        <v>21</v>
      </c>
      <c r="AC6061">
        <v>-0.47849999999999598</v>
      </c>
      <c r="AD6061">
        <v>-1.1042125420640001</v>
      </c>
      <c r="AE6061">
        <v>13.938809999999901</v>
      </c>
      <c r="AF6061">
        <v>-1.5793378900666999</v>
      </c>
      <c r="AG6061">
        <v>-1.1042125420640001</v>
      </c>
      <c r="AH6061">
        <v>13.769867306470401</v>
      </c>
      <c r="AI6061">
        <v>94.555030616795506</v>
      </c>
      <c r="AJ6061">
        <v>96.542960838269295</v>
      </c>
      <c r="AK6061">
        <v>13.9040583696579</v>
      </c>
    </row>
    <row r="6062" spans="1:37" x14ac:dyDescent="0.2">
      <c r="A6062" t="str">
        <f>"20200111160335357"</f>
        <v>20200111160335357</v>
      </c>
      <c r="B6062" t="str">
        <f>"1578729815349213"</f>
        <v>1578729815349213</v>
      </c>
      <c r="C6062" t="s">
        <v>37</v>
      </c>
      <c r="D6062">
        <v>4.2564859999999998</v>
      </c>
      <c r="E6062">
        <v>0.48803540000000001</v>
      </c>
      <c r="F6062" t="s">
        <v>38</v>
      </c>
      <c r="G6062">
        <v>-188.0685</v>
      </c>
      <c r="H6062" s="1">
        <v>-2.8275539999999998E-6</v>
      </c>
      <c r="I6062">
        <v>-24.574750000000002</v>
      </c>
      <c r="J6062">
        <v>-187.55690000000001</v>
      </c>
      <c r="K6062">
        <v>1.104233</v>
      </c>
      <c r="L6062">
        <v>-38.960630000000002</v>
      </c>
      <c r="M6062">
        <v>7.7893249999999997E-2</v>
      </c>
      <c r="N6062">
        <v>0</v>
      </c>
      <c r="O6062">
        <v>0.99695460000000002</v>
      </c>
      <c r="P6062">
        <v>-7.7489249999999996E-4</v>
      </c>
      <c r="Q6062">
        <v>-2.7248379999999999E-2</v>
      </c>
      <c r="R6062">
        <v>0.99962839999999997</v>
      </c>
      <c r="S6062">
        <v>-0.10162350000000001</v>
      </c>
      <c r="T6062">
        <v>-0.22632289999999999</v>
      </c>
      <c r="U6062">
        <v>2.994812</v>
      </c>
      <c r="V6062">
        <v>-7.8581899999999996E-2</v>
      </c>
      <c r="W6062">
        <v>-2.367723E-2</v>
      </c>
      <c r="X6062">
        <v>0.99662640000000002</v>
      </c>
      <c r="Y6062">
        <v>-0.111563699999999</v>
      </c>
      <c r="Z6062">
        <v>-7.475677E-2</v>
      </c>
      <c r="AA6062">
        <v>0.99094150000000003</v>
      </c>
      <c r="AB6062">
        <v>21</v>
      </c>
      <c r="AC6062">
        <v>-0.51159999999998695</v>
      </c>
      <c r="AD6062">
        <v>-1.1042358275540001</v>
      </c>
      <c r="AE6062">
        <v>14.385879999999901</v>
      </c>
      <c r="AF6062">
        <v>-1.6210774097935099</v>
      </c>
      <c r="AG6062">
        <v>-1.1042358275540001</v>
      </c>
      <c r="AH6062">
        <v>14.218652185469599</v>
      </c>
      <c r="AI6062">
        <v>94.412268761401506</v>
      </c>
      <c r="AJ6062">
        <v>96.504242974031399</v>
      </c>
      <c r="AK6062">
        <v>14.3533027106223</v>
      </c>
    </row>
    <row r="6063" spans="1:37" x14ac:dyDescent="0.2">
      <c r="A6063" t="str">
        <f>"20200111160335377"</f>
        <v>20200111160335377</v>
      </c>
      <c r="B6063" t="str">
        <f>"1578729815369708"</f>
        <v>1578729815369708</v>
      </c>
      <c r="C6063" t="s">
        <v>37</v>
      </c>
      <c r="D6063">
        <v>4.1979419999999896</v>
      </c>
      <c r="E6063">
        <v>0.48803029999999997</v>
      </c>
      <c r="F6063" t="s">
        <v>38</v>
      </c>
      <c r="G6063">
        <v>-188.0915</v>
      </c>
      <c r="H6063" s="1">
        <v>-3.10218599999999E-6</v>
      </c>
      <c r="I6063">
        <v>-23.925090000000001</v>
      </c>
      <c r="J6063">
        <v>-187.54320000000001</v>
      </c>
      <c r="K6063">
        <v>1.104241</v>
      </c>
      <c r="L6063">
        <v>-38.761809999999997</v>
      </c>
      <c r="M6063">
        <v>7.6219579999999995E-2</v>
      </c>
      <c r="N6063">
        <v>0</v>
      </c>
      <c r="O6063">
        <v>0.99708369999999902</v>
      </c>
      <c r="P6063">
        <v>-3.32159599999999E-3</v>
      </c>
      <c r="Q6063">
        <v>-2.6709699999999999E-2</v>
      </c>
      <c r="R6063">
        <v>0.99963769999999996</v>
      </c>
      <c r="S6063">
        <v>-0.10649110000000001</v>
      </c>
      <c r="T6063">
        <v>-0.21995990000000001</v>
      </c>
      <c r="U6063">
        <v>2.99502599999999</v>
      </c>
      <c r="V6063">
        <v>-7.9449820000000004E-2</v>
      </c>
      <c r="W6063">
        <v>-2.306389E-2</v>
      </c>
      <c r="X6063">
        <v>0.99657199999999901</v>
      </c>
      <c r="Y6063">
        <v>-0.1115073</v>
      </c>
      <c r="Z6063">
        <v>-7.2673639999999998E-2</v>
      </c>
      <c r="AA6063">
        <v>0.99110279999999995</v>
      </c>
      <c r="AB6063">
        <v>21</v>
      </c>
      <c r="AC6063">
        <v>-0.54829999999998302</v>
      </c>
      <c r="AD6063">
        <v>-1.1042441021860001</v>
      </c>
      <c r="AE6063">
        <v>14.8367199999999</v>
      </c>
      <c r="AF6063">
        <v>-1.6683330826743901</v>
      </c>
      <c r="AG6063">
        <v>-1.1042441021860001</v>
      </c>
      <c r="AH6063">
        <v>14.670614681568001</v>
      </c>
      <c r="AI6063">
        <v>94.277022297057499</v>
      </c>
      <c r="AJ6063">
        <v>96.487769023125594</v>
      </c>
      <c r="AK6063">
        <v>14.806404879206699</v>
      </c>
    </row>
    <row r="6064" spans="1:37" x14ac:dyDescent="0.2">
      <c r="A6064" t="str">
        <f>"20200111160335401"</f>
        <v>20200111160335401</v>
      </c>
      <c r="B6064" t="str">
        <f>"1578729815399523"</f>
        <v>1578729815399523</v>
      </c>
      <c r="C6064" t="s">
        <v>37</v>
      </c>
      <c r="D6064">
        <v>4.2009119999999998</v>
      </c>
      <c r="E6064">
        <v>0.48811549999999998</v>
      </c>
      <c r="F6064" t="s">
        <v>38</v>
      </c>
      <c r="G6064">
        <v>-188.12540000000001</v>
      </c>
      <c r="H6064" s="1">
        <v>-3.2907609999999999E-6</v>
      </c>
      <c r="I6064">
        <v>-23.471489999999999</v>
      </c>
      <c r="J6064">
        <v>-187.52850000000001</v>
      </c>
      <c r="K6064">
        <v>1.104263</v>
      </c>
      <c r="L6064">
        <v>-38.540990000000001</v>
      </c>
      <c r="M6064">
        <v>7.4362490000000003E-2</v>
      </c>
      <c r="N6064">
        <v>0</v>
      </c>
      <c r="O6064">
        <v>0.99722350000000004</v>
      </c>
      <c r="P6064">
        <v>-6.1200409999999997E-3</v>
      </c>
      <c r="Q6064">
        <v>-2.6340019999999999E-2</v>
      </c>
      <c r="R6064">
        <v>0.99963429999999998</v>
      </c>
      <c r="S6064">
        <v>-0.1140289</v>
      </c>
      <c r="T6064">
        <v>-0.21628979999999901</v>
      </c>
      <c r="U6064">
        <v>2.9949340000000002</v>
      </c>
      <c r="V6064">
        <v>-8.0384880000000006E-2</v>
      </c>
      <c r="W6064">
        <v>-2.261173E-2</v>
      </c>
      <c r="X6064">
        <v>0.99650740000000004</v>
      </c>
      <c r="Y6064">
        <v>-0.11215209999999901</v>
      </c>
      <c r="Z6064">
        <v>-7.1478810000000004E-2</v>
      </c>
      <c r="AA6064">
        <v>0.99111689999999997</v>
      </c>
      <c r="AB6064">
        <v>21</v>
      </c>
      <c r="AC6064">
        <v>-0.59690000000000498</v>
      </c>
      <c r="AD6064">
        <v>-1.1042662907609999</v>
      </c>
      <c r="AE6064">
        <v>15.0695</v>
      </c>
      <c r="AF6064">
        <v>-1.7067113872927</v>
      </c>
      <c r="AG6064">
        <v>-1.1042662907609999</v>
      </c>
      <c r="AH6064">
        <v>14.9034868899824</v>
      </c>
      <c r="AI6064">
        <v>94.210141623730806</v>
      </c>
      <c r="AJ6064">
        <v>96.532915567605599</v>
      </c>
      <c r="AK6064">
        <v>15.041482283349</v>
      </c>
    </row>
    <row r="6065" spans="1:37" x14ac:dyDescent="0.2">
      <c r="A6065" t="str">
        <f>"20200111160335624"</f>
        <v>20200111160335624</v>
      </c>
      <c r="B6065" t="str">
        <f>"1578729815618999"</f>
        <v>1578729815618999</v>
      </c>
      <c r="C6065" t="s">
        <v>37</v>
      </c>
      <c r="D6065">
        <v>4.5551149999999998</v>
      </c>
      <c r="E6065">
        <v>0.48811549999999998</v>
      </c>
      <c r="F6065" t="s">
        <v>38</v>
      </c>
      <c r="G6065">
        <v>-188.15599999999901</v>
      </c>
      <c r="H6065" s="1">
        <v>-3.455287E-6</v>
      </c>
      <c r="I6065">
        <v>-23.075329999999902</v>
      </c>
      <c r="J6065">
        <v>-187.40700000000001</v>
      </c>
      <c r="K6065">
        <v>1.104738</v>
      </c>
      <c r="L6065">
        <v>-36.378230000000002</v>
      </c>
      <c r="M6065">
        <v>5.5076590000000002E-2</v>
      </c>
      <c r="N6065">
        <v>0</v>
      </c>
      <c r="O6065">
        <v>0.99847090000000005</v>
      </c>
      <c r="P6065">
        <v>-1.9359899999999999E-2</v>
      </c>
      <c r="Q6065">
        <v>-1.6329860000000002E-2</v>
      </c>
      <c r="R6065">
        <v>0.99967919999999999</v>
      </c>
      <c r="S6065">
        <v>-0.12150569999999999</v>
      </c>
      <c r="T6065">
        <v>-0.21382680000000001</v>
      </c>
      <c r="U6065">
        <v>2.99472</v>
      </c>
      <c r="V6065">
        <v>-7.4352570000000007E-2</v>
      </c>
      <c r="W6065">
        <v>-1.184341E-2</v>
      </c>
      <c r="X6065">
        <v>0.99716170000000004</v>
      </c>
      <c r="Y6065">
        <v>-9.5407950000000005E-2</v>
      </c>
      <c r="Z6065">
        <v>-7.0866299999999993E-2</v>
      </c>
      <c r="AA6065">
        <v>0.99291249999999998</v>
      </c>
      <c r="AB6065">
        <v>22</v>
      </c>
      <c r="AC6065">
        <v>-0.74899999999996603</v>
      </c>
      <c r="AD6065">
        <v>-1.1047414552870001</v>
      </c>
      <c r="AE6065">
        <v>13.302899999999999</v>
      </c>
      <c r="AF6065">
        <v>-1.4704408313176101</v>
      </c>
      <c r="AG6065">
        <v>-1.1047414552870001</v>
      </c>
      <c r="AH6065">
        <v>13.151045123009</v>
      </c>
      <c r="AI6065">
        <v>94.772206074802199</v>
      </c>
      <c r="AJ6065">
        <v>96.379840469098198</v>
      </c>
      <c r="AK6065">
        <v>13.2790300002995</v>
      </c>
    </row>
    <row r="6066" spans="1:37" x14ac:dyDescent="0.2">
      <c r="A6066" t="str">
        <f>"20200111160335646"</f>
        <v>20200111160335646</v>
      </c>
      <c r="B6066" t="str">
        <f>"1578729815639500"</f>
        <v>1578729815639500</v>
      </c>
      <c r="C6066" t="s">
        <v>37</v>
      </c>
      <c r="D6066">
        <v>4.4073880000000001</v>
      </c>
      <c r="E6066">
        <v>0.50381390000000004</v>
      </c>
      <c r="F6066" t="s">
        <v>38</v>
      </c>
      <c r="G6066">
        <v>-188.38040000000001</v>
      </c>
      <c r="H6066" s="1">
        <v>-1.154325E-6</v>
      </c>
      <c r="I6066">
        <v>-18.346150000000002</v>
      </c>
      <c r="J6066">
        <v>-187.3972</v>
      </c>
      <c r="K6066">
        <v>1.1047959999999999</v>
      </c>
      <c r="L6066">
        <v>-36.158169999999998</v>
      </c>
      <c r="M6066">
        <v>5.2852660000000003E-2</v>
      </c>
      <c r="N6066">
        <v>0</v>
      </c>
      <c r="O6066">
        <v>0.9985908</v>
      </c>
      <c r="P6066">
        <v>-1.916582E-2</v>
      </c>
      <c r="Q6066">
        <v>-1.4784439999999999E-2</v>
      </c>
      <c r="R6066">
        <v>0.99970700000000001</v>
      </c>
      <c r="S6066">
        <v>-0.161666899999999</v>
      </c>
      <c r="T6066">
        <v>-0.1834797</v>
      </c>
      <c r="U6066">
        <v>2.9948429999999999</v>
      </c>
      <c r="V6066">
        <v>-7.1943389999999996E-2</v>
      </c>
      <c r="W6066">
        <v>-1.024135E-2</v>
      </c>
      <c r="X6066">
        <v>0.99735609999999997</v>
      </c>
      <c r="Y6066">
        <v>-0.10650419999999999</v>
      </c>
      <c r="Z6066">
        <v>-6.0804299999999999E-2</v>
      </c>
      <c r="AA6066">
        <v>0.99245139999999998</v>
      </c>
      <c r="AB6066">
        <v>22</v>
      </c>
      <c r="AC6066">
        <v>-0.98320000000000995</v>
      </c>
      <c r="AD6066">
        <v>-1.1047971543249999</v>
      </c>
      <c r="AE6066">
        <v>17.812019999999901</v>
      </c>
      <c r="AF6066">
        <v>-1.91590087708233</v>
      </c>
      <c r="AG6066">
        <v>-1.1047971543249999</v>
      </c>
      <c r="AH6066">
        <v>17.6673960160254</v>
      </c>
      <c r="AI6066">
        <v>93.557421678098393</v>
      </c>
      <c r="AJ6066">
        <v>96.1891260611403</v>
      </c>
      <c r="AK6066">
        <v>17.8052839042257</v>
      </c>
    </row>
    <row r="6067" spans="1:37" x14ac:dyDescent="0.2">
      <c r="A6067" t="str">
        <f>"20200111160335667"</f>
        <v>20200111160335667</v>
      </c>
      <c r="B6067" t="str">
        <f>"1578729815659015"</f>
        <v>1578729815659015</v>
      </c>
      <c r="C6067" t="s">
        <v>37</v>
      </c>
      <c r="D6067">
        <v>4.6065750000000003</v>
      </c>
      <c r="E6067">
        <v>0.50542200000000004</v>
      </c>
      <c r="F6067" t="s">
        <v>38</v>
      </c>
      <c r="G6067">
        <v>-187.8638</v>
      </c>
      <c r="H6067" s="1">
        <v>-1.683697E-6</v>
      </c>
      <c r="I6067">
        <v>12.67422</v>
      </c>
      <c r="J6067">
        <v>-187.38849999999999</v>
      </c>
      <c r="K6067">
        <v>1.1048439999999999</v>
      </c>
      <c r="L6067">
        <v>-35.945979999999999</v>
      </c>
      <c r="M6067">
        <v>5.0669739999999998E-2</v>
      </c>
      <c r="N6067">
        <v>0</v>
      </c>
      <c r="O6067">
        <v>0.99870369999999997</v>
      </c>
      <c r="P6067">
        <v>-1.9352350000000001E-2</v>
      </c>
      <c r="Q6067">
        <v>-1.3004119999999999E-2</v>
      </c>
      <c r="R6067">
        <v>0.99972809999999901</v>
      </c>
      <c r="S6067">
        <v>-2.8656009999999999E-2</v>
      </c>
      <c r="T6067">
        <v>-6.7857619999999993E-2</v>
      </c>
      <c r="U6067">
        <v>2.9993289999999999</v>
      </c>
      <c r="V6067">
        <v>-6.9956080000000004E-2</v>
      </c>
      <c r="W6067">
        <v>-8.4095609999999994E-3</v>
      </c>
      <c r="X6067">
        <v>0.99751460000000003</v>
      </c>
      <c r="Y6067">
        <v>-6.020702E-2</v>
      </c>
      <c r="Z6067">
        <v>-2.255387E-2</v>
      </c>
      <c r="AA6067">
        <v>0.99793109999999996</v>
      </c>
      <c r="AB6067">
        <v>22</v>
      </c>
      <c r="AC6067">
        <v>-0.475300000000004</v>
      </c>
      <c r="AD6067">
        <v>-1.104845683697</v>
      </c>
      <c r="AE6067">
        <v>48.620199999999997</v>
      </c>
      <c r="AF6067">
        <v>-2.9367749339990898</v>
      </c>
      <c r="AG6067">
        <v>-1.104845683697</v>
      </c>
      <c r="AH6067">
        <v>48.508614004914598</v>
      </c>
      <c r="AI6067">
        <v>91.302375263099805</v>
      </c>
      <c r="AJ6067">
        <v>93.464532762540401</v>
      </c>
      <c r="AK6067">
        <v>48.609988311822804</v>
      </c>
    </row>
    <row r="6068" spans="1:37" x14ac:dyDescent="0.2">
      <c r="A6068" t="str">
        <f>"20200111160335690"</f>
        <v>20200111160335690</v>
      </c>
      <c r="B6068" t="str">
        <f>"1578729815679510"</f>
        <v>1578729815679510</v>
      </c>
      <c r="C6068" t="s">
        <v>37</v>
      </c>
      <c r="D6068">
        <v>4.6070849999999997</v>
      </c>
      <c r="E6068">
        <v>0.50558639999999999</v>
      </c>
      <c r="F6068" t="s">
        <v>38</v>
      </c>
      <c r="G6068">
        <v>-187.68369999999999</v>
      </c>
      <c r="H6068" s="1">
        <v>-4.371162E-6</v>
      </c>
      <c r="I6068">
        <v>18.86431</v>
      </c>
      <c r="J6068">
        <v>-187.37970000000001</v>
      </c>
      <c r="K6068">
        <v>1.1048789999999999</v>
      </c>
      <c r="L6068">
        <v>-35.721829999999997</v>
      </c>
      <c r="M6068">
        <v>4.8334839999999997E-2</v>
      </c>
      <c r="N6068">
        <v>0</v>
      </c>
      <c r="O6068">
        <v>0.99881919999999902</v>
      </c>
      <c r="P6068">
        <v>-2.0225960000000001E-2</v>
      </c>
      <c r="Q6068">
        <v>-1.066083E-2</v>
      </c>
      <c r="R6068">
        <v>0.99973860000000003</v>
      </c>
      <c r="S6068">
        <v>-1.6159059999999999E-2</v>
      </c>
      <c r="T6068">
        <v>-6.0467479999999997E-2</v>
      </c>
      <c r="U6068">
        <v>2.9997250000000002</v>
      </c>
      <c r="V6068">
        <v>-6.8504529999999994E-2</v>
      </c>
      <c r="W6068">
        <v>-6.0158719999999898E-3</v>
      </c>
      <c r="X6068">
        <v>0.99763269999999904</v>
      </c>
      <c r="Y6068">
        <v>-5.3714099999999897E-2</v>
      </c>
      <c r="Z6068">
        <v>-2.0103550000000001E-2</v>
      </c>
      <c r="AA6068">
        <v>0.99835399999999996</v>
      </c>
      <c r="AB6068">
        <v>23</v>
      </c>
      <c r="AC6068">
        <v>-0.30399999999997301</v>
      </c>
      <c r="AD6068">
        <v>-1.1048833711620001</v>
      </c>
      <c r="AE6068">
        <v>54.58614</v>
      </c>
      <c r="AF6068">
        <v>-2.94088376145171</v>
      </c>
      <c r="AG6068">
        <v>-1.1048833711620001</v>
      </c>
      <c r="AH6068">
        <v>54.485321544983201</v>
      </c>
      <c r="AI6068">
        <v>91.160028055540394</v>
      </c>
      <c r="AJ6068">
        <v>93.089582172714699</v>
      </c>
      <c r="AK6068">
        <v>54.575817249240103</v>
      </c>
    </row>
    <row r="6069" spans="1:37" x14ac:dyDescent="0.2">
      <c r="A6069" t="str">
        <f>"20200111160335714"</f>
        <v>20200111160335714</v>
      </c>
      <c r="B6069" t="str">
        <f>"1578729815708791"</f>
        <v>1578729815708791</v>
      </c>
      <c r="C6069" t="s">
        <v>37</v>
      </c>
      <c r="D6069">
        <v>4.3942589999999999</v>
      </c>
      <c r="E6069">
        <v>0.5052044</v>
      </c>
      <c r="F6069" t="s">
        <v>38</v>
      </c>
      <c r="G6069">
        <v>-187.73740000000001</v>
      </c>
      <c r="H6069" s="1">
        <v>-3.2102159999999998E-6</v>
      </c>
      <c r="I6069">
        <v>26.180299999999999</v>
      </c>
      <c r="J6069">
        <v>-187.37090000000001</v>
      </c>
      <c r="K6069">
        <v>1.104903</v>
      </c>
      <c r="L6069">
        <v>-35.482329999999997</v>
      </c>
      <c r="M6069">
        <v>4.5821239999999999E-2</v>
      </c>
      <c r="N6069">
        <v>0</v>
      </c>
      <c r="O6069">
        <v>0.99893739999999998</v>
      </c>
      <c r="P6069">
        <v>-2.1736930000000002E-2</v>
      </c>
      <c r="Q6069">
        <v>-8.0512139999999992E-3</v>
      </c>
      <c r="R6069">
        <v>0.99973129999999999</v>
      </c>
      <c r="S6069">
        <v>-1.7333979999999999E-2</v>
      </c>
      <c r="T6069">
        <v>-5.3544399999999999E-2</v>
      </c>
      <c r="U6069">
        <v>2.9998779999999998</v>
      </c>
      <c r="V6069">
        <v>-6.7512069999999993E-2</v>
      </c>
      <c r="W6069">
        <v>-3.3604780000000001E-3</v>
      </c>
      <c r="X6069">
        <v>0.99771279999999996</v>
      </c>
      <c r="Y6069">
        <v>-5.159217E-2</v>
      </c>
      <c r="Z6069">
        <v>-1.7805870000000001E-2</v>
      </c>
      <c r="AA6069">
        <v>0.99850949999999905</v>
      </c>
      <c r="AB6069">
        <v>23</v>
      </c>
      <c r="AC6069">
        <v>-0.36650000000000199</v>
      </c>
      <c r="AD6069">
        <v>-1.1049062102159899</v>
      </c>
      <c r="AE6069">
        <v>61.662629999999901</v>
      </c>
      <c r="AF6069">
        <v>-3.1905834176413399</v>
      </c>
      <c r="AG6069">
        <v>-1.1049062102159899</v>
      </c>
      <c r="AH6069">
        <v>61.561302602636196</v>
      </c>
      <c r="AI6069">
        <v>91.026860016249799</v>
      </c>
      <c r="AJ6069">
        <v>92.966856440803895</v>
      </c>
      <c r="AK6069">
        <v>61.653828903091203</v>
      </c>
    </row>
    <row r="6070" spans="1:37" x14ac:dyDescent="0.2">
      <c r="A6070" t="str">
        <f>"20200111160335736"</f>
        <v>20200111160335736</v>
      </c>
      <c r="B6070" t="str">
        <f>"1578729815729287"</f>
        <v>1578729815729287</v>
      </c>
      <c r="C6070" t="s">
        <v>37</v>
      </c>
      <c r="D6070">
        <v>6.0173730000000001</v>
      </c>
      <c r="E6070">
        <v>0.50525039999999999</v>
      </c>
      <c r="F6070" t="s">
        <v>38</v>
      </c>
      <c r="G6070">
        <v>-187.822</v>
      </c>
      <c r="H6070" s="1">
        <v>-3.292789E-6</v>
      </c>
      <c r="I6070">
        <v>16.407769999999999</v>
      </c>
      <c r="J6070">
        <v>-187.3629</v>
      </c>
      <c r="K6070">
        <v>1.1049279999999999</v>
      </c>
      <c r="L6070">
        <v>-35.248539999999998</v>
      </c>
      <c r="M6070">
        <v>4.3362520000000002E-2</v>
      </c>
      <c r="N6070">
        <v>0</v>
      </c>
      <c r="O6070">
        <v>0.99904699999999902</v>
      </c>
      <c r="P6070">
        <v>-2.317015E-2</v>
      </c>
      <c r="Q6070">
        <v>-5.6862529999999996E-3</v>
      </c>
      <c r="R6070">
        <v>0.99971540000000003</v>
      </c>
      <c r="S6070">
        <v>-2.607727E-2</v>
      </c>
      <c r="T6070">
        <v>-6.3873769999999996E-2</v>
      </c>
      <c r="U6070">
        <v>2.9997250000000002</v>
      </c>
      <c r="V6070">
        <v>-6.6496189999999997E-2</v>
      </c>
      <c r="W6070">
        <v>-9.5685780000000003E-4</v>
      </c>
      <c r="X6070">
        <v>0.99778619999999996</v>
      </c>
      <c r="Y6070">
        <v>-5.2044170000000001E-2</v>
      </c>
      <c r="Z6070">
        <v>-2.1243519999999998E-2</v>
      </c>
      <c r="AA6070">
        <v>0.99841880000000005</v>
      </c>
      <c r="AB6070">
        <v>23</v>
      </c>
      <c r="AC6070">
        <v>-0.459100000000006</v>
      </c>
      <c r="AD6070">
        <v>-1.104931292789</v>
      </c>
      <c r="AE6070">
        <v>51.656309999999998</v>
      </c>
      <c r="AF6070">
        <v>-2.6974096342082698</v>
      </c>
      <c r="AG6070">
        <v>-1.104931292789</v>
      </c>
      <c r="AH6070">
        <v>51.564222530631099</v>
      </c>
      <c r="AI6070">
        <v>91.225885027989506</v>
      </c>
      <c r="AJ6070">
        <v>92.994507336893406</v>
      </c>
      <c r="AK6070">
        <v>51.646548162340402</v>
      </c>
    </row>
    <row r="6071" spans="1:37" x14ac:dyDescent="0.2">
      <c r="A6071" t="str">
        <f>"20200111160335779"</f>
        <v>20200111160335779</v>
      </c>
      <c r="B6071" t="str">
        <f>"1578729815769304"</f>
        <v>1578729815769304</v>
      </c>
      <c r="C6071" t="s">
        <v>37</v>
      </c>
      <c r="D6071">
        <v>4.6601480000000004</v>
      </c>
      <c r="E6071">
        <v>0.50585349999999996</v>
      </c>
      <c r="F6071" t="s">
        <v>38</v>
      </c>
      <c r="G6071">
        <v>-187.9075</v>
      </c>
      <c r="H6071" s="1">
        <v>-4.2425069999999996E-6</v>
      </c>
      <c r="I6071">
        <v>18.656939999999999</v>
      </c>
      <c r="J6071">
        <v>-187.34950000000001</v>
      </c>
      <c r="K6071">
        <v>1.1049549999999999</v>
      </c>
      <c r="L6071">
        <v>-34.80865</v>
      </c>
      <c r="M6071">
        <v>3.8751580000000001E-2</v>
      </c>
      <c r="N6071">
        <v>0</v>
      </c>
      <c r="O6071">
        <v>0.99923619999999902</v>
      </c>
      <c r="P6071">
        <v>-2.5299809999999999E-2</v>
      </c>
      <c r="Q6071">
        <v>-2.0944259999999999E-3</v>
      </c>
      <c r="R6071">
        <v>0.9996777</v>
      </c>
      <c r="S6071">
        <v>-3.0303960000000001E-2</v>
      </c>
      <c r="T6071">
        <v>-6.148899E-2</v>
      </c>
      <c r="U6071">
        <v>2.99981699999999</v>
      </c>
      <c r="V6071">
        <v>-6.4030749999999997E-2</v>
      </c>
      <c r="W6071">
        <v>2.699197E-3</v>
      </c>
      <c r="X6071">
        <v>0.99794430000000001</v>
      </c>
      <c r="Y6071">
        <v>-4.8841820000000001E-2</v>
      </c>
      <c r="Z6071">
        <v>-2.045744E-2</v>
      </c>
      <c r="AA6071">
        <v>0.99859699999999996</v>
      </c>
      <c r="AB6071">
        <v>23</v>
      </c>
      <c r="AC6071">
        <v>-0.55799999999999195</v>
      </c>
      <c r="AD6071">
        <v>-1.1049592425069901</v>
      </c>
      <c r="AE6071">
        <v>53.465589999999999</v>
      </c>
      <c r="AF6071">
        <v>-2.6283607051794902</v>
      </c>
      <c r="AG6071">
        <v>-1.1049592425069901</v>
      </c>
      <c r="AH6071">
        <v>53.381008716310902</v>
      </c>
      <c r="AI6071">
        <v>91.184389215815102</v>
      </c>
      <c r="AJ6071">
        <v>92.818838721522397</v>
      </c>
      <c r="AK6071">
        <v>53.457097812123997</v>
      </c>
    </row>
    <row r="6072" spans="1:37" x14ac:dyDescent="0.2">
      <c r="A6072" t="str">
        <f>"20200111160335802"</f>
        <v>20200111160335802</v>
      </c>
      <c r="B6072" t="str">
        <f>"1578729815799559"</f>
        <v>1578729815799559</v>
      </c>
      <c r="C6072" t="s">
        <v>37</v>
      </c>
      <c r="D6072">
        <v>4.422498</v>
      </c>
      <c r="E6072">
        <v>0.50606229999999996</v>
      </c>
      <c r="F6072" t="s">
        <v>38</v>
      </c>
      <c r="G6072">
        <v>-187.98750000000001</v>
      </c>
      <c r="H6072" s="1">
        <v>-2.26680399999999E-6</v>
      </c>
      <c r="I6072">
        <v>24.084599999999998</v>
      </c>
      <c r="J6072">
        <v>-187.34289999999999</v>
      </c>
      <c r="K6072">
        <v>1.1049629999999999</v>
      </c>
      <c r="L6072">
        <v>-34.566959999999902</v>
      </c>
      <c r="M6072">
        <v>3.6238739999999998E-2</v>
      </c>
      <c r="N6072">
        <v>0</v>
      </c>
      <c r="O6072">
        <v>0.9993303</v>
      </c>
      <c r="P6072">
        <v>-2.6930610000000001E-2</v>
      </c>
      <c r="Q6072">
        <v>-4.0830249999999999E-4</v>
      </c>
      <c r="R6072">
        <v>0.999637199999999</v>
      </c>
      <c r="S6072">
        <v>-3.2501219999999997E-2</v>
      </c>
      <c r="T6072">
        <v>-5.628669E-2</v>
      </c>
      <c r="U6072">
        <v>3.0000309999999999</v>
      </c>
      <c r="V6072">
        <v>-6.3155240000000001E-2</v>
      </c>
      <c r="W6072">
        <v>4.416278E-3</v>
      </c>
      <c r="X6072">
        <v>0.99799389999999999</v>
      </c>
      <c r="Y6072">
        <v>-4.706105E-2</v>
      </c>
      <c r="Z6072">
        <v>-1.8729309999999999E-2</v>
      </c>
      <c r="AA6072">
        <v>0.99871639999999995</v>
      </c>
      <c r="AB6072">
        <v>23</v>
      </c>
      <c r="AC6072">
        <v>-0.64460000000002504</v>
      </c>
      <c r="AD6072">
        <v>-1.104965266804</v>
      </c>
      <c r="AE6072">
        <v>58.651559999999897</v>
      </c>
      <c r="AF6072">
        <v>-2.76867998392559</v>
      </c>
      <c r="AG6072">
        <v>-1.104965266804</v>
      </c>
      <c r="AH6072">
        <v>58.5688894680993</v>
      </c>
      <c r="AI6072">
        <v>91.079613129699695</v>
      </c>
      <c r="AJ6072">
        <v>92.7064824582976</v>
      </c>
      <c r="AK6072">
        <v>58.6447043697952</v>
      </c>
    </row>
    <row r="6073" spans="1:37" x14ac:dyDescent="0.2">
      <c r="A6073" t="str">
        <f>"20200111160335827"</f>
        <v>20200111160335827</v>
      </c>
      <c r="B6073" t="str">
        <f>"1578729815819078"</f>
        <v>1578729815819078</v>
      </c>
      <c r="C6073" t="s">
        <v>37</v>
      </c>
      <c r="D6073">
        <v>4.4733799999999997</v>
      </c>
      <c r="E6073">
        <v>0.5064883</v>
      </c>
      <c r="F6073" t="s">
        <v>38</v>
      </c>
      <c r="G6073">
        <v>-188.01689999999999</v>
      </c>
      <c r="H6073" s="1">
        <v>-1.00321E-6</v>
      </c>
      <c r="I6073">
        <v>21.04551</v>
      </c>
      <c r="J6073">
        <v>-187.33619999999999</v>
      </c>
      <c r="K6073">
        <v>1.1049659999999999</v>
      </c>
      <c r="L6073">
        <v>-34.299840000000003</v>
      </c>
      <c r="M6073">
        <v>3.3494990000000002E-2</v>
      </c>
      <c r="N6073">
        <v>0</v>
      </c>
      <c r="O6073">
        <v>0.99942589999999998</v>
      </c>
      <c r="P6073">
        <v>-2.9321699999999999E-2</v>
      </c>
      <c r="Q6073">
        <v>1.046036E-3</v>
      </c>
      <c r="R6073">
        <v>0.9995695</v>
      </c>
      <c r="S6073">
        <v>-3.6361690000000002E-2</v>
      </c>
      <c r="T6073">
        <v>-5.960882E-2</v>
      </c>
      <c r="U6073">
        <v>3.000092</v>
      </c>
      <c r="V6073">
        <v>-6.2808320000000001E-2</v>
      </c>
      <c r="W6073">
        <v>5.9011280000000003E-3</v>
      </c>
      <c r="X6073">
        <v>0.99800820000000001</v>
      </c>
      <c r="Y6073">
        <v>-4.5603079999999997E-2</v>
      </c>
      <c r="Z6073">
        <v>-1.983729E-2</v>
      </c>
      <c r="AA6073">
        <v>0.9987627</v>
      </c>
      <c r="AB6073">
        <v>23</v>
      </c>
      <c r="AC6073">
        <v>-0.68070000000000097</v>
      </c>
      <c r="AD6073">
        <v>-1.1049670032100001</v>
      </c>
      <c r="AE6073">
        <v>55.345350000000003</v>
      </c>
      <c r="AF6073">
        <v>-2.53312449470392</v>
      </c>
      <c r="AG6073">
        <v>-1.1049670032100001</v>
      </c>
      <c r="AH6073">
        <v>55.269466744900001</v>
      </c>
      <c r="AI6073">
        <v>91.144124476310694</v>
      </c>
      <c r="AJ6073">
        <v>92.624158581421995</v>
      </c>
      <c r="AK6073">
        <v>55.338518466340098</v>
      </c>
    </row>
    <row r="6074" spans="1:37" x14ac:dyDescent="0.2">
      <c r="A6074" t="str">
        <f>"20200111160336003"</f>
        <v>20200111160336003</v>
      </c>
      <c r="B6074" t="str">
        <f>"1578729815999639"</f>
        <v>1578729815999639</v>
      </c>
      <c r="C6074" t="s">
        <v>37</v>
      </c>
      <c r="D6074">
        <v>4.0885850000000001</v>
      </c>
      <c r="E6074">
        <v>0.5469041</v>
      </c>
      <c r="F6074" t="s">
        <v>38</v>
      </c>
      <c r="G6074">
        <v>-188.07730000000001</v>
      </c>
      <c r="H6074" s="1">
        <v>-8.0904519999999996E-7</v>
      </c>
      <c r="I6074">
        <v>20.522210000000001</v>
      </c>
      <c r="J6074">
        <v>-187.3064</v>
      </c>
      <c r="K6074">
        <v>1.1047119999999999</v>
      </c>
      <c r="L6074">
        <v>-32.420439999999999</v>
      </c>
      <c r="M6074">
        <v>1.6876180000000001E-2</v>
      </c>
      <c r="N6074">
        <v>0</v>
      </c>
      <c r="O6074">
        <v>0.9998437</v>
      </c>
      <c r="P6074">
        <v>-6.7912050000000002E-2</v>
      </c>
      <c r="Q6074">
        <v>1.8371370000000001E-2</v>
      </c>
      <c r="R6074">
        <v>0.99752220000000003</v>
      </c>
      <c r="S6074">
        <v>-4.0557860000000001E-2</v>
      </c>
      <c r="T6074">
        <v>-6.0469630000000003E-2</v>
      </c>
      <c r="U6074">
        <v>3.0001530000000001</v>
      </c>
      <c r="V6074">
        <v>-8.4802580000000002E-2</v>
      </c>
      <c r="W6074">
        <v>2.3397999999999999E-2</v>
      </c>
      <c r="X6074">
        <v>0.99612299999999998</v>
      </c>
      <c r="Y6074">
        <v>-3.0387569999999999E-2</v>
      </c>
      <c r="Z6074">
        <v>-2.0141550000000001E-2</v>
      </c>
      <c r="AA6074">
        <v>0.99933519999999898</v>
      </c>
      <c r="AB6074">
        <v>24</v>
      </c>
      <c r="AC6074">
        <v>-0.77090000000001102</v>
      </c>
      <c r="AD6074">
        <v>-1.1047128090452001</v>
      </c>
      <c r="AE6074">
        <v>52.94265</v>
      </c>
      <c r="AF6074">
        <v>-1.6635481544214801</v>
      </c>
      <c r="AG6074">
        <v>-1.1047128090452001</v>
      </c>
      <c r="AH6074">
        <v>52.899072727197499</v>
      </c>
      <c r="AI6074">
        <v>91.195766165734696</v>
      </c>
      <c r="AJ6074">
        <v>91.801220354285206</v>
      </c>
      <c r="AK6074">
        <v>52.936751678298798</v>
      </c>
    </row>
    <row r="6075" spans="1:37" x14ac:dyDescent="0.2">
      <c r="A6075" t="str">
        <f>"20200111160336027"</f>
        <v>20200111160336027</v>
      </c>
      <c r="B6075" t="str">
        <f>"1578729816019158"</f>
        <v>1578729816019158</v>
      </c>
      <c r="C6075" t="s">
        <v>37</v>
      </c>
      <c r="D6075">
        <v>4.2937510000000003</v>
      </c>
      <c r="E6075">
        <v>0.54830610000000002</v>
      </c>
      <c r="F6075" t="s">
        <v>42</v>
      </c>
      <c r="G6075">
        <v>-187.2706</v>
      </c>
      <c r="H6075">
        <v>1.0039940000000001</v>
      </c>
      <c r="I6075">
        <v>-31.653040000000001</v>
      </c>
      <c r="J6075">
        <v>-187.304</v>
      </c>
      <c r="K6075">
        <v>1.104665</v>
      </c>
      <c r="L6075">
        <v>-32.154820000000001</v>
      </c>
      <c r="M6075">
        <v>1.499323E-2</v>
      </c>
      <c r="N6075">
        <v>0</v>
      </c>
      <c r="O6075">
        <v>0.99987349999999997</v>
      </c>
      <c r="P6075">
        <v>-6.9652859999999997E-2</v>
      </c>
      <c r="Q6075">
        <v>1.6075320000000001E-2</v>
      </c>
      <c r="R6075">
        <v>0.99744179999999905</v>
      </c>
      <c r="S6075">
        <v>0.14018249999999999</v>
      </c>
      <c r="T6075">
        <v>-0.39698549999999999</v>
      </c>
      <c r="U6075">
        <v>3.0243229999999999</v>
      </c>
      <c r="V6075">
        <v>-8.465578E-2</v>
      </c>
      <c r="W6075">
        <v>2.1144550000000002E-2</v>
      </c>
      <c r="X6075">
        <v>0.99618589999999996</v>
      </c>
      <c r="Y6075">
        <v>3.0926329999999998E-2</v>
      </c>
      <c r="Z6075">
        <v>-0.13002639999999999</v>
      </c>
      <c r="AA6075">
        <v>0.99102809999999897</v>
      </c>
      <c r="AB6075">
        <v>24</v>
      </c>
      <c r="AC6075">
        <v>3.3400000000000298E-2</v>
      </c>
      <c r="AD6075">
        <v>-0.100670999999999</v>
      </c>
      <c r="AE6075">
        <v>0.50178</v>
      </c>
      <c r="AF6075">
        <v>2.4875958740263798E-2</v>
      </c>
      <c r="AG6075">
        <v>-0.100670999999999</v>
      </c>
      <c r="AH6075">
        <v>0.48287372096722297</v>
      </c>
      <c r="AI6075">
        <v>101.76135019756001</v>
      </c>
      <c r="AJ6075">
        <v>87.050929654236995</v>
      </c>
      <c r="AK6075">
        <v>0.49388307722069102</v>
      </c>
    </row>
    <row r="6076" spans="1:37" x14ac:dyDescent="0.2">
      <c r="A6076" t="str">
        <f>"20200111160336071"</f>
        <v>20200111160336071</v>
      </c>
      <c r="B6076" t="str">
        <f>"1578729816068934"</f>
        <v>1578729816068934</v>
      </c>
      <c r="C6076" t="s">
        <v>37</v>
      </c>
      <c r="D6076">
        <v>4.3823930000000004</v>
      </c>
      <c r="E6076">
        <v>0.56549729999999998</v>
      </c>
      <c r="F6076" t="s">
        <v>42</v>
      </c>
      <c r="G6076">
        <v>-187.26820000000001</v>
      </c>
      <c r="H6076">
        <v>1.016116</v>
      </c>
      <c r="I6076">
        <v>-31.427949999999999</v>
      </c>
      <c r="J6076">
        <v>-187.3006</v>
      </c>
      <c r="K6076">
        <v>1.1045909999999901</v>
      </c>
      <c r="L6076">
        <v>-31.671659999999999</v>
      </c>
      <c r="M6076">
        <v>1.1822010000000001E-2</v>
      </c>
      <c r="N6076">
        <v>0</v>
      </c>
      <c r="O6076">
        <v>0.99991569999999996</v>
      </c>
      <c r="P6076">
        <v>-6.8099000000000007E-2</v>
      </c>
      <c r="Q6076">
        <v>1.274026E-2</v>
      </c>
      <c r="R6076">
        <v>0.99759719999999996</v>
      </c>
      <c r="S6076">
        <v>0.1482849</v>
      </c>
      <c r="T6076">
        <v>-0.36843429999999999</v>
      </c>
      <c r="U6076">
        <v>3.023987</v>
      </c>
      <c r="V6076">
        <v>-7.9932050000000004E-2</v>
      </c>
      <c r="W6076">
        <v>1.7905540000000001E-2</v>
      </c>
      <c r="X6076">
        <v>0.99663950000000001</v>
      </c>
      <c r="Y6076">
        <v>3.6807199999999901E-2</v>
      </c>
      <c r="Z6076">
        <v>-0.12081789999999901</v>
      </c>
      <c r="AA6076">
        <v>0.99199210000000004</v>
      </c>
      <c r="AB6076">
        <v>25</v>
      </c>
      <c r="AC6076">
        <v>3.2399999999995502E-2</v>
      </c>
      <c r="AD6076">
        <v>-8.8474999999999804E-2</v>
      </c>
      <c r="AE6076">
        <v>0.24371000000000001</v>
      </c>
      <c r="AF6076">
        <v>2.61322962835112E-2</v>
      </c>
      <c r="AG6076">
        <v>-8.8474999999999804E-2</v>
      </c>
      <c r="AH6076">
        <v>0.21609117829902799</v>
      </c>
      <c r="AI6076">
        <v>112.120375721678</v>
      </c>
      <c r="AJ6076">
        <v>83.1046017776181</v>
      </c>
      <c r="AK6076">
        <v>0.234959826082485</v>
      </c>
    </row>
    <row r="6077" spans="1:37" x14ac:dyDescent="0.2">
      <c r="A6077" t="str">
        <f>"20200111160336094"</f>
        <v>20200111160336094</v>
      </c>
      <c r="B6077" t="str">
        <f>"1578729816089430"</f>
        <v>1578729816089430</v>
      </c>
      <c r="C6077" t="s">
        <v>37</v>
      </c>
      <c r="D6077">
        <v>4.3992239999999896</v>
      </c>
      <c r="E6077">
        <v>0.56527539999999998</v>
      </c>
      <c r="F6077" t="s">
        <v>38</v>
      </c>
      <c r="G6077">
        <v>-183.83260000000001</v>
      </c>
      <c r="H6077" s="1">
        <v>-2.5660769999999999E-6</v>
      </c>
      <c r="I6077">
        <v>2.3664740000000002</v>
      </c>
      <c r="J6077">
        <v>-187.29929999999999</v>
      </c>
      <c r="K6077">
        <v>1.104565</v>
      </c>
      <c r="L6077">
        <v>-31.418059999999901</v>
      </c>
      <c r="M6077">
        <v>1.025467E-2</v>
      </c>
      <c r="N6077">
        <v>0</v>
      </c>
      <c r="O6077">
        <v>0.99993279999999995</v>
      </c>
      <c r="P6077">
        <v>-6.5687280000000001E-2</v>
      </c>
      <c r="Q6077">
        <v>1.0481839999999999E-2</v>
      </c>
      <c r="R6077">
        <v>0.99778519999999904</v>
      </c>
      <c r="S6077">
        <v>0.30867</v>
      </c>
      <c r="T6077">
        <v>-9.8313570000000003E-2</v>
      </c>
      <c r="U6077">
        <v>3.029541</v>
      </c>
      <c r="V6077">
        <v>-7.5953190000000004E-2</v>
      </c>
      <c r="W6077">
        <v>1.5700479999999999E-2</v>
      </c>
      <c r="X6077">
        <v>0.99698779999999998</v>
      </c>
      <c r="Y6077">
        <v>9.1101860000000007E-2</v>
      </c>
      <c r="Z6077">
        <v>-3.2281110000000002E-2</v>
      </c>
      <c r="AA6077">
        <v>0.99531819999999904</v>
      </c>
      <c r="AB6077">
        <v>25</v>
      </c>
      <c r="AC6077">
        <v>3.4666999999999701</v>
      </c>
      <c r="AD6077">
        <v>-1.104567566077</v>
      </c>
      <c r="AE6077">
        <v>33.784533999999901</v>
      </c>
      <c r="AF6077">
        <v>3.1167665145622698</v>
      </c>
      <c r="AG6077">
        <v>-1.104567566077</v>
      </c>
      <c r="AH6077">
        <v>33.782573025846197</v>
      </c>
      <c r="AI6077">
        <v>91.864783042167403</v>
      </c>
      <c r="AJ6077">
        <v>84.728836529286696</v>
      </c>
      <c r="AK6077">
        <v>33.944020729149898</v>
      </c>
    </row>
    <row r="6078" spans="1:37" x14ac:dyDescent="0.2">
      <c r="A6078" t="str">
        <f>"20200111160336119"</f>
        <v>20200111160336119</v>
      </c>
      <c r="B6078" t="str">
        <f>"1578729816108951"</f>
        <v>1578729816108951</v>
      </c>
      <c r="C6078" t="s">
        <v>37</v>
      </c>
      <c r="D6078">
        <v>4.3920709999999996</v>
      </c>
      <c r="E6078">
        <v>0.56511630000000002</v>
      </c>
      <c r="F6078" t="s">
        <v>38</v>
      </c>
      <c r="G6078">
        <v>-184.16589999999999</v>
      </c>
      <c r="H6078" s="1">
        <v>-4.9753429999999997E-6</v>
      </c>
      <c r="I6078">
        <v>-1.1818580000000001</v>
      </c>
      <c r="J6078">
        <v>-187.29839999999999</v>
      </c>
      <c r="K6078">
        <v>1.1045309999999999</v>
      </c>
      <c r="L6078">
        <v>-31.140989999999999</v>
      </c>
      <c r="M6078">
        <v>8.5948489999999999E-3</v>
      </c>
      <c r="N6078">
        <v>0</v>
      </c>
      <c r="O6078">
        <v>0.99994819999999995</v>
      </c>
      <c r="P6078">
        <v>-6.3735979999999998E-2</v>
      </c>
      <c r="Q6078">
        <v>8.4986539999999996E-3</v>
      </c>
      <c r="R6078">
        <v>0.9979306</v>
      </c>
      <c r="S6078">
        <v>0.31384279999999998</v>
      </c>
      <c r="T6078">
        <v>-0.1106343</v>
      </c>
      <c r="U6078">
        <v>3.028473</v>
      </c>
      <c r="V6078">
        <v>-7.2343599999999994E-2</v>
      </c>
      <c r="W6078">
        <v>1.37714E-2</v>
      </c>
      <c r="X6078">
        <v>0.99728470000000002</v>
      </c>
      <c r="Y6078">
        <v>9.4457659999999999E-2</v>
      </c>
      <c r="Z6078">
        <v>-3.6326270000000001E-2</v>
      </c>
      <c r="AA6078">
        <v>0.99486589999999997</v>
      </c>
      <c r="AB6078">
        <v>25</v>
      </c>
      <c r="AC6078">
        <v>3.1324999999999901</v>
      </c>
      <c r="AD6078">
        <v>-1.104535975343</v>
      </c>
      <c r="AE6078">
        <v>29.959132</v>
      </c>
      <c r="AF6078">
        <v>2.87102599356272</v>
      </c>
      <c r="AG6078">
        <v>-1.104535975343</v>
      </c>
      <c r="AH6078">
        <v>29.9446868244518</v>
      </c>
      <c r="AI6078">
        <v>92.102813014956894</v>
      </c>
      <c r="AJ6078">
        <v>84.523356156039199</v>
      </c>
      <c r="AK6078">
        <v>30.102276641328</v>
      </c>
    </row>
    <row r="6079" spans="1:37" x14ac:dyDescent="0.2">
      <c r="A6079" t="str">
        <f>"20200111160336145"</f>
        <v>20200111160336145</v>
      </c>
      <c r="B6079" t="str">
        <f>"1578729816139207"</f>
        <v>1578729816139207</v>
      </c>
      <c r="C6079" t="s">
        <v>37</v>
      </c>
      <c r="D6079">
        <v>4.4203479999999997</v>
      </c>
      <c r="E6079">
        <v>0.5636719</v>
      </c>
      <c r="F6079" t="s">
        <v>38</v>
      </c>
      <c r="G6079">
        <v>-184.38759999999999</v>
      </c>
      <c r="H6079" s="1">
        <v>-3.9586099999999902E-6</v>
      </c>
      <c r="I6079">
        <v>-3.4602189999999999</v>
      </c>
      <c r="J6079">
        <v>-187.29769999999999</v>
      </c>
      <c r="K6079">
        <v>1.1045119999999999</v>
      </c>
      <c r="L6079">
        <v>-30.85849</v>
      </c>
      <c r="M6079">
        <v>6.949986E-3</v>
      </c>
      <c r="N6079">
        <v>0</v>
      </c>
      <c r="O6079">
        <v>0.99996070000000004</v>
      </c>
      <c r="P6079">
        <v>-6.2053740000000003E-2</v>
      </c>
      <c r="Q6079">
        <v>7.666661E-3</v>
      </c>
      <c r="R6079">
        <v>0.99804340000000002</v>
      </c>
      <c r="S6079">
        <v>0.31835940000000001</v>
      </c>
      <c r="T6079">
        <v>-0.1208087</v>
      </c>
      <c r="U6079">
        <v>3.0275880000000002</v>
      </c>
      <c r="V6079">
        <v>-6.9018949999999996E-2</v>
      </c>
      <c r="W6079">
        <v>1.2991839999999999E-2</v>
      </c>
      <c r="X6079">
        <v>0.99753080000000005</v>
      </c>
      <c r="Y6079">
        <v>9.7579460000000007E-2</v>
      </c>
      <c r="Z6079">
        <v>-3.9665140000000002E-2</v>
      </c>
      <c r="AA6079">
        <v>0.99443700000000002</v>
      </c>
      <c r="AB6079">
        <v>25</v>
      </c>
      <c r="AC6079">
        <v>2.9100999999999999</v>
      </c>
      <c r="AD6079">
        <v>-1.10451595861</v>
      </c>
      <c r="AE6079">
        <v>27.398271000000001</v>
      </c>
      <c r="AF6079">
        <v>2.7152457329284601</v>
      </c>
      <c r="AG6079">
        <v>-1.10451595861</v>
      </c>
      <c r="AH6079">
        <v>27.373843982227999</v>
      </c>
      <c r="AI6079">
        <v>92.299320775277096</v>
      </c>
      <c r="AJ6079">
        <v>84.3352898396695</v>
      </c>
      <c r="AK6079">
        <v>27.530344154339399</v>
      </c>
    </row>
    <row r="6080" spans="1:37" x14ac:dyDescent="0.2">
      <c r="A6080" t="str">
        <f>"20200111160336184"</f>
        <v>20200111160336184</v>
      </c>
      <c r="B6080" t="str">
        <f>"1578729816179223"</f>
        <v>1578729816179223</v>
      </c>
      <c r="C6080" t="s">
        <v>37</v>
      </c>
      <c r="D6080">
        <v>4.3635109999999999</v>
      </c>
      <c r="E6080">
        <v>0.56251249999999997</v>
      </c>
      <c r="F6080" t="s">
        <v>38</v>
      </c>
      <c r="G6080">
        <v>-184.65700000000001</v>
      </c>
      <c r="H6080" s="1">
        <v>-3.1666549999999999E-6</v>
      </c>
      <c r="I6080">
        <v>-5.224094</v>
      </c>
      <c r="J6080">
        <v>-187.29769999999999</v>
      </c>
      <c r="K6080">
        <v>1.10449</v>
      </c>
      <c r="L6080">
        <v>-30.415990000000001</v>
      </c>
      <c r="M6080">
        <v>4.4535030000000001E-3</v>
      </c>
      <c r="N6080">
        <v>0</v>
      </c>
      <c r="O6080">
        <v>0.99997459999999905</v>
      </c>
      <c r="P6080">
        <v>-6.0893679999999999E-2</v>
      </c>
      <c r="Q6080">
        <v>8.0347760000000004E-3</v>
      </c>
      <c r="R6080">
        <v>0.99811190000000005</v>
      </c>
      <c r="S6080">
        <v>0.31175229999999998</v>
      </c>
      <c r="T6080">
        <v>-0.13039389999999901</v>
      </c>
      <c r="U6080">
        <v>3.02627599999999</v>
      </c>
      <c r="V6080">
        <v>-6.5368380000000004E-2</v>
      </c>
      <c r="W6080">
        <v>1.344242E-2</v>
      </c>
      <c r="X6080">
        <v>0.99777070000000001</v>
      </c>
      <c r="Y6080">
        <v>9.7947729999999997E-2</v>
      </c>
      <c r="Z6080">
        <v>-4.2830050000000001E-2</v>
      </c>
      <c r="AA6080">
        <v>0.99426949999999903</v>
      </c>
      <c r="AB6080">
        <v>25</v>
      </c>
      <c r="AC6080">
        <v>2.6406999999999798</v>
      </c>
      <c r="AD6080">
        <v>-1.104493166655</v>
      </c>
      <c r="AE6080">
        <v>25.191896</v>
      </c>
      <c r="AF6080">
        <v>2.52368152901985</v>
      </c>
      <c r="AG6080">
        <v>-1.104493166655</v>
      </c>
      <c r="AH6080">
        <v>25.155577563178401</v>
      </c>
      <c r="AI6080">
        <v>92.501501178522304</v>
      </c>
      <c r="AJ6080">
        <v>84.271087480095701</v>
      </c>
      <c r="AK6080">
        <v>25.3059668092762</v>
      </c>
    </row>
    <row r="6081" spans="1:37" x14ac:dyDescent="0.2">
      <c r="A6081" t="str">
        <f>"20200111160336205"</f>
        <v>20200111160336205</v>
      </c>
      <c r="B6081" t="str">
        <f>"1578729816199719"</f>
        <v>1578729816199719</v>
      </c>
      <c r="C6081" t="s">
        <v>37</v>
      </c>
      <c r="D6081">
        <v>4.2708639999999898</v>
      </c>
      <c r="E6081">
        <v>0.562428699999999</v>
      </c>
      <c r="F6081" t="s">
        <v>38</v>
      </c>
      <c r="G6081">
        <v>-184.79490000000001</v>
      </c>
      <c r="H6081" s="1">
        <v>-2.98413799999999E-6</v>
      </c>
      <c r="I6081">
        <v>-5.6526129999999997</v>
      </c>
      <c r="J6081">
        <v>-187.298</v>
      </c>
      <c r="K6081">
        <v>1.1044849999999999</v>
      </c>
      <c r="L6081">
        <v>-30.170529999999999</v>
      </c>
      <c r="M6081">
        <v>3.096737E-3</v>
      </c>
      <c r="N6081">
        <v>0</v>
      </c>
      <c r="O6081">
        <v>0.99997950000000002</v>
      </c>
      <c r="P6081">
        <v>-6.1489790000000003E-2</v>
      </c>
      <c r="Q6081">
        <v>8.3623640000000006E-3</v>
      </c>
      <c r="R6081">
        <v>0.99807269999999904</v>
      </c>
      <c r="S6081">
        <v>0.30577090000000001</v>
      </c>
      <c r="T6081">
        <v>-0.13493949999999999</v>
      </c>
      <c r="U6081">
        <v>3.0254209999999899</v>
      </c>
      <c r="V6081">
        <v>-6.4611539999999995E-2</v>
      </c>
      <c r="W6081">
        <v>1.381479E-2</v>
      </c>
      <c r="X6081">
        <v>0.9978148</v>
      </c>
      <c r="Y6081">
        <v>9.7374479999999999E-2</v>
      </c>
      <c r="Z6081">
        <v>-4.4338679999999998E-2</v>
      </c>
      <c r="AA6081">
        <v>0.99425969999999997</v>
      </c>
      <c r="AB6081">
        <v>25</v>
      </c>
      <c r="AC6081">
        <v>2.5030999999999799</v>
      </c>
      <c r="AD6081">
        <v>-1.104487984138</v>
      </c>
      <c r="AE6081">
        <v>24.517917000000001</v>
      </c>
      <c r="AF6081">
        <v>2.4222963081915601</v>
      </c>
      <c r="AG6081">
        <v>-1.104487984138</v>
      </c>
      <c r="AH6081">
        <v>24.476392448738501</v>
      </c>
      <c r="AI6081">
        <v>92.571154463596599</v>
      </c>
      <c r="AJ6081">
        <v>84.348149732508105</v>
      </c>
      <c r="AK6081">
        <v>24.6207473569843</v>
      </c>
    </row>
    <row r="6082" spans="1:37" x14ac:dyDescent="0.2">
      <c r="A6082" t="str">
        <f>"20200111160336250"</f>
        <v>20200111160336250</v>
      </c>
      <c r="B6082" t="str">
        <f>"1578729816238759"</f>
        <v>1578729816238759</v>
      </c>
      <c r="C6082" t="s">
        <v>37</v>
      </c>
      <c r="D6082">
        <v>4.3795199999999896</v>
      </c>
      <c r="E6082">
        <v>0.56179749999999995</v>
      </c>
      <c r="F6082" t="s">
        <v>38</v>
      </c>
      <c r="G6082">
        <v>-184.86869999999999</v>
      </c>
      <c r="H6082" s="1">
        <v>-2.8730759999999998E-6</v>
      </c>
      <c r="I6082">
        <v>-5.9212920000000002</v>
      </c>
      <c r="J6082">
        <v>-187.2998</v>
      </c>
      <c r="K6082">
        <v>1.104517</v>
      </c>
      <c r="L6082">
        <v>-29.665369999999999</v>
      </c>
      <c r="M6082">
        <v>3.3922739999999899E-4</v>
      </c>
      <c r="N6082">
        <v>0</v>
      </c>
      <c r="O6082">
        <v>0.99998359999999997</v>
      </c>
      <c r="P6082">
        <v>-6.3453380000000004E-2</v>
      </c>
      <c r="Q6082">
        <v>1.0752690000000001E-2</v>
      </c>
      <c r="R6082">
        <v>0.99792689999999995</v>
      </c>
      <c r="S6082">
        <v>0.30311579999999999</v>
      </c>
      <c r="T6082">
        <v>-0.1378096</v>
      </c>
      <c r="U6082">
        <v>3.0256349999999999</v>
      </c>
      <c r="V6082">
        <v>-6.382881E-2</v>
      </c>
      <c r="W6082">
        <v>1.6312179999999999E-2</v>
      </c>
      <c r="X6082">
        <v>0.99782749999999998</v>
      </c>
      <c r="Y6082">
        <v>9.9243819999999996E-2</v>
      </c>
      <c r="Z6082">
        <v>-4.5274759999999997E-2</v>
      </c>
      <c r="AA6082">
        <v>0.99403259999999904</v>
      </c>
      <c r="AB6082">
        <v>25</v>
      </c>
      <c r="AC6082">
        <v>2.43110000000001</v>
      </c>
      <c r="AD6082">
        <v>-1.104519873076</v>
      </c>
      <c r="AE6082">
        <v>23.744077999999998</v>
      </c>
      <c r="AF6082">
        <v>2.4178673517483702</v>
      </c>
      <c r="AG6082">
        <v>-1.104519873076</v>
      </c>
      <c r="AH6082">
        <v>23.694161550833002</v>
      </c>
      <c r="AI6082">
        <v>92.655181909304304</v>
      </c>
      <c r="AJ6082">
        <v>84.173428783980796</v>
      </c>
      <c r="AK6082">
        <v>23.842804748553501</v>
      </c>
    </row>
    <row r="6083" spans="1:37" x14ac:dyDescent="0.2">
      <c r="A6083" t="str">
        <f>"20200111160336270"</f>
        <v>20200111160336270</v>
      </c>
      <c r="B6083" t="str">
        <f>"1578729816259255"</f>
        <v>1578729816259255</v>
      </c>
      <c r="C6083" t="s">
        <v>37</v>
      </c>
      <c r="D6083">
        <v>4.4071790000000002</v>
      </c>
      <c r="E6083">
        <v>0.56154879999999996</v>
      </c>
      <c r="F6083" t="s">
        <v>38</v>
      </c>
      <c r="G6083">
        <v>-184.9358</v>
      </c>
      <c r="H6083" s="1">
        <v>-3.14750999999999E-6</v>
      </c>
      <c r="I6083">
        <v>-5.1242479999999997</v>
      </c>
      <c r="J6083">
        <v>-187.30109999999999</v>
      </c>
      <c r="K6083">
        <v>1.1045419999999999</v>
      </c>
      <c r="L6083">
        <v>-29.417269999999998</v>
      </c>
      <c r="M6083">
        <v>-1.005059E-3</v>
      </c>
      <c r="N6083">
        <v>0</v>
      </c>
      <c r="O6083">
        <v>0.99998279999999995</v>
      </c>
      <c r="P6083">
        <v>-6.4605659999999995E-2</v>
      </c>
      <c r="Q6083">
        <v>1.3197479999999999E-2</v>
      </c>
      <c r="R6083">
        <v>0.99782359999999903</v>
      </c>
      <c r="S6083">
        <v>0.29150389999999998</v>
      </c>
      <c r="T6083">
        <v>-0.13620189999999999</v>
      </c>
      <c r="U6083">
        <v>3.0262449999999999</v>
      </c>
      <c r="V6083">
        <v>-6.3645209999999994E-2</v>
      </c>
      <c r="W6083">
        <v>1.8816139999999999E-2</v>
      </c>
      <c r="X6083">
        <v>0.99779519999999899</v>
      </c>
      <c r="Y6083">
        <v>9.6785819999999995E-2</v>
      </c>
      <c r="Z6083">
        <v>-4.4752430000000003E-2</v>
      </c>
      <c r="AA6083">
        <v>0.99429859999999903</v>
      </c>
      <c r="AB6083">
        <v>26</v>
      </c>
      <c r="AC6083">
        <v>2.3652999999999902</v>
      </c>
      <c r="AD6083">
        <v>-1.1045451475100001</v>
      </c>
      <c r="AE6083">
        <v>24.293022000000001</v>
      </c>
      <c r="AF6083">
        <v>2.3848312668258802</v>
      </c>
      <c r="AG6083">
        <v>-1.1045451475100001</v>
      </c>
      <c r="AH6083">
        <v>24.240989600736899</v>
      </c>
      <c r="AI6083">
        <v>92.596371066489795</v>
      </c>
      <c r="AJ6083">
        <v>84.381315343929202</v>
      </c>
      <c r="AK6083">
        <v>24.383047737662999</v>
      </c>
    </row>
    <row r="6084" spans="1:37" x14ac:dyDescent="0.2">
      <c r="A6084" t="str">
        <f>"20200111160336294"</f>
        <v>20200111160336294</v>
      </c>
      <c r="B6084" t="str">
        <f>"1578729816289511"</f>
        <v>1578729816289511</v>
      </c>
      <c r="C6084" t="s">
        <v>37</v>
      </c>
      <c r="D6084">
        <v>4.3749529999999996</v>
      </c>
      <c r="E6084">
        <v>0.56137109999999901</v>
      </c>
      <c r="F6084" t="s">
        <v>38</v>
      </c>
      <c r="G6084">
        <v>-184.90450000000001</v>
      </c>
      <c r="H6084" s="1">
        <v>-3.6241809999999899E-6</v>
      </c>
      <c r="I6084">
        <v>-4.0260590000000001</v>
      </c>
      <c r="J6084">
        <v>-187.303</v>
      </c>
      <c r="K6084">
        <v>1.1045830000000001</v>
      </c>
      <c r="L6084">
        <v>-29.145900000000001</v>
      </c>
      <c r="M6084">
        <v>-2.4732109999999999E-3</v>
      </c>
      <c r="N6084">
        <v>0</v>
      </c>
      <c r="O6084">
        <v>0.99997990000000003</v>
      </c>
      <c r="P6084">
        <v>-6.6209229999999994E-2</v>
      </c>
      <c r="Q6084">
        <v>1.6556060000000001E-2</v>
      </c>
      <c r="R6084">
        <v>0.99766840000000001</v>
      </c>
      <c r="S6084">
        <v>0.28569029999999901</v>
      </c>
      <c r="T6084">
        <v>-0.13166889999999901</v>
      </c>
      <c r="U6084">
        <v>3.02679399999999</v>
      </c>
      <c r="V6084">
        <v>-6.3792970000000004E-2</v>
      </c>
      <c r="W6084">
        <v>2.224626E-2</v>
      </c>
      <c r="X6084">
        <v>0.99771520000000002</v>
      </c>
      <c r="Y6084">
        <v>9.634347E-2</v>
      </c>
      <c r="Z6084">
        <v>-4.3262759999999997E-2</v>
      </c>
      <c r="AA6084">
        <v>0.9944075</v>
      </c>
      <c r="AB6084">
        <v>26</v>
      </c>
      <c r="AC6084">
        <v>2.3984999999999799</v>
      </c>
      <c r="AD6084">
        <v>-1.1045866241810001</v>
      </c>
      <c r="AE6084">
        <v>25.119841000000001</v>
      </c>
      <c r="AF6084">
        <v>2.4559145455233198</v>
      </c>
      <c r="AG6084">
        <v>-1.1045866241810001</v>
      </c>
      <c r="AH6084">
        <v>25.065802808421601</v>
      </c>
      <c r="AI6084">
        <v>92.511238381388296</v>
      </c>
      <c r="AJ6084">
        <v>84.404095484248998</v>
      </c>
      <c r="AK6084">
        <v>25.210039632969899</v>
      </c>
    </row>
    <row r="6085" spans="1:37" x14ac:dyDescent="0.2">
      <c r="A6085" t="str">
        <f>"20200111160336317"</f>
        <v>20200111160336317</v>
      </c>
      <c r="B6085" t="str">
        <f>"1578729816309031"</f>
        <v>1578729816309031</v>
      </c>
      <c r="C6085" t="s">
        <v>37</v>
      </c>
      <c r="D6085">
        <v>4.5851199999999999</v>
      </c>
      <c r="E6085">
        <v>0.5610773</v>
      </c>
      <c r="F6085" t="s">
        <v>38</v>
      </c>
      <c r="G6085">
        <v>-184.84700000000001</v>
      </c>
      <c r="H6085" s="1">
        <v>-4.2816039999999999E-6</v>
      </c>
      <c r="I6085">
        <v>-2.5173939999999999</v>
      </c>
      <c r="J6085">
        <v>-187.30529999999999</v>
      </c>
      <c r="K6085">
        <v>1.1046229999999999</v>
      </c>
      <c r="L6085">
        <v>-28.87247</v>
      </c>
      <c r="M6085">
        <v>-3.9530429999999998E-3</v>
      </c>
      <c r="N6085">
        <v>0</v>
      </c>
      <c r="O6085">
        <v>0.99997459999999905</v>
      </c>
      <c r="P6085">
        <v>-6.8207710000000005E-2</v>
      </c>
      <c r="Q6085">
        <v>2.0561309999999999E-2</v>
      </c>
      <c r="R6085">
        <v>0.99745919999999899</v>
      </c>
      <c r="S6085">
        <v>0.27925109999999997</v>
      </c>
      <c r="T6085">
        <v>-0.1255898</v>
      </c>
      <c r="U6085">
        <v>3.0276179999999999</v>
      </c>
      <c r="V6085">
        <v>-6.432512E-2</v>
      </c>
      <c r="W6085">
        <v>2.6328689999999998E-2</v>
      </c>
      <c r="X6085">
        <v>0.99758159999999896</v>
      </c>
      <c r="Y6085">
        <v>9.5702190000000006E-2</v>
      </c>
      <c r="Z6085">
        <v>-4.1262710000000001E-2</v>
      </c>
      <c r="AA6085">
        <v>0.99455439999999995</v>
      </c>
      <c r="AB6085">
        <v>26</v>
      </c>
      <c r="AC6085">
        <v>2.4582999999999799</v>
      </c>
      <c r="AD6085">
        <v>-1.1046272816039999</v>
      </c>
      <c r="AE6085">
        <v>26.355076</v>
      </c>
      <c r="AF6085">
        <v>2.5580104202656</v>
      </c>
      <c r="AG6085">
        <v>-1.1046272816039999</v>
      </c>
      <c r="AH6085">
        <v>26.299349994014701</v>
      </c>
      <c r="AI6085">
        <v>92.393844356678201</v>
      </c>
      <c r="AJ6085">
        <v>84.444591999466198</v>
      </c>
      <c r="AK6085">
        <v>26.4465390712874</v>
      </c>
    </row>
    <row r="6086" spans="1:37" x14ac:dyDescent="0.2">
      <c r="A6086" t="str">
        <f>"20200111160336338"</f>
        <v>20200111160336338</v>
      </c>
      <c r="B6086" t="str">
        <f>"1578729816329527"</f>
        <v>1578729816329527</v>
      </c>
      <c r="C6086" t="s">
        <v>37</v>
      </c>
      <c r="D6086">
        <v>4.6166640000000001</v>
      </c>
      <c r="E6086">
        <v>0.5185476</v>
      </c>
      <c r="F6086" t="s">
        <v>38</v>
      </c>
      <c r="G6086">
        <v>-184.67689999999999</v>
      </c>
      <c r="H6086" s="1">
        <v>-1.7189429999999899E-6</v>
      </c>
      <c r="I6086">
        <v>0.53728339999999997</v>
      </c>
      <c r="J6086">
        <v>-187.30760000000001</v>
      </c>
      <c r="K6086">
        <v>1.104649</v>
      </c>
      <c r="L6086">
        <v>-28.637329999999999</v>
      </c>
      <c r="M6086">
        <v>-5.2276670000000001E-3</v>
      </c>
      <c r="N6086">
        <v>0</v>
      </c>
      <c r="O6086">
        <v>0.99996830000000003</v>
      </c>
      <c r="P6086">
        <v>-6.9469909999999996E-2</v>
      </c>
      <c r="Q6086">
        <v>2.346904E-2</v>
      </c>
      <c r="R6086">
        <v>0.99730799999999997</v>
      </c>
      <c r="S6086">
        <v>0.27066040000000002</v>
      </c>
      <c r="T6086">
        <v>-0.11375</v>
      </c>
      <c r="U6086">
        <v>3.02850299999999</v>
      </c>
      <c r="V6086">
        <v>-6.4324069999999997E-2</v>
      </c>
      <c r="W6086">
        <v>2.930586E-2</v>
      </c>
      <c r="X6086">
        <v>0.99749869999999996</v>
      </c>
      <c r="Y6086">
        <v>9.4159809999999997E-2</v>
      </c>
      <c r="Z6086">
        <v>-3.7374829999999998E-2</v>
      </c>
      <c r="AA6086">
        <v>0.9948553</v>
      </c>
      <c r="AB6086">
        <v>26</v>
      </c>
      <c r="AC6086">
        <v>2.6307000000000098</v>
      </c>
      <c r="AD6086">
        <v>-1.1046507189429999</v>
      </c>
      <c r="AE6086">
        <v>29.174613399999899</v>
      </c>
      <c r="AF6086">
        <v>2.7792296899942501</v>
      </c>
      <c r="AG6086">
        <v>-1.1046507189429999</v>
      </c>
      <c r="AH6086">
        <v>29.119052550928199</v>
      </c>
      <c r="AI6086">
        <v>92.162693126399802</v>
      </c>
      <c r="AJ6086">
        <v>84.547994631367004</v>
      </c>
      <c r="AK6086">
        <v>29.272232445516099</v>
      </c>
    </row>
    <row r="6087" spans="1:37" x14ac:dyDescent="0.2">
      <c r="A6087" t="str">
        <f>"20200111160336360"</f>
        <v>20200111160336360</v>
      </c>
      <c r="B6087" t="str">
        <f>"1578729816349047"</f>
        <v>1578729816349047</v>
      </c>
      <c r="C6087" t="s">
        <v>37</v>
      </c>
      <c r="D6087">
        <v>4.5432819999999996</v>
      </c>
      <c r="E6087">
        <v>0.51372370000000001</v>
      </c>
      <c r="F6087" t="s">
        <v>38</v>
      </c>
      <c r="G6087">
        <v>-187.8382</v>
      </c>
      <c r="H6087" s="1">
        <v>-1.541901E-6</v>
      </c>
      <c r="I6087">
        <v>-7.6668570000000003</v>
      </c>
      <c r="J6087">
        <v>-187.31049999999999</v>
      </c>
      <c r="K6087">
        <v>1.104671</v>
      </c>
      <c r="L6087">
        <v>-28.376370000000001</v>
      </c>
      <c r="M6087">
        <v>-6.6447819999999897E-3</v>
      </c>
      <c r="N6087">
        <v>0</v>
      </c>
      <c r="O6087">
        <v>0.99995940000000005</v>
      </c>
      <c r="P6087">
        <v>-7.0035169999999994E-2</v>
      </c>
      <c r="Q6087">
        <v>2.4935479999999999E-2</v>
      </c>
      <c r="R6087">
        <v>0.99723280000000003</v>
      </c>
      <c r="S6087">
        <v>-7.6080320000000007E-2</v>
      </c>
      <c r="T6087">
        <v>-0.1583734</v>
      </c>
      <c r="U6087">
        <v>3.0065309999999998</v>
      </c>
      <c r="V6087">
        <v>-6.3480149999999999E-2</v>
      </c>
      <c r="W6087">
        <v>3.0854880000000001E-2</v>
      </c>
      <c r="X6087">
        <v>0.997506</v>
      </c>
      <c r="Y6087">
        <v>-1.8618579999999999E-2</v>
      </c>
      <c r="Z6087">
        <v>-5.2588820000000001E-2</v>
      </c>
      <c r="AA6087">
        <v>0.99844259999999996</v>
      </c>
      <c r="AB6087">
        <v>26</v>
      </c>
      <c r="AC6087">
        <v>-0.52770000000000905</v>
      </c>
      <c r="AD6087">
        <v>-1.1046725419009999</v>
      </c>
      <c r="AE6087">
        <v>20.709513000000001</v>
      </c>
      <c r="AF6087">
        <v>-0.388969586238261</v>
      </c>
      <c r="AG6087">
        <v>-1.1046725419009999</v>
      </c>
      <c r="AH6087">
        <v>20.6538341735301</v>
      </c>
      <c r="AI6087">
        <v>93.061012050286195</v>
      </c>
      <c r="AJ6087">
        <v>91.078912575169497</v>
      </c>
      <c r="AK6087">
        <v>20.6870119841297</v>
      </c>
    </row>
    <row r="6088" spans="1:37" x14ac:dyDescent="0.2">
      <c r="A6088" t="str">
        <f>"20200111160336383"</f>
        <v>20200111160336383</v>
      </c>
      <c r="B6088" t="str">
        <f>"1578729816379303"</f>
        <v>1578729816379303</v>
      </c>
      <c r="C6088" t="s">
        <v>37</v>
      </c>
      <c r="D6088">
        <v>4.5405100000000003</v>
      </c>
      <c r="E6088">
        <v>0.51096090000000005</v>
      </c>
      <c r="F6088" t="s">
        <v>38</v>
      </c>
      <c r="G6088">
        <v>-188.1499</v>
      </c>
      <c r="H6088" s="1">
        <v>-1.895221E-6</v>
      </c>
      <c r="I6088">
        <v>-6.7143929999999896</v>
      </c>
      <c r="J6088">
        <v>-187.31379999999999</v>
      </c>
      <c r="K6088">
        <v>1.104698</v>
      </c>
      <c r="L6088">
        <v>-28.110229999999898</v>
      </c>
      <c r="M6088">
        <v>-8.0914619999999902E-3</v>
      </c>
      <c r="N6088">
        <v>0</v>
      </c>
      <c r="O6088">
        <v>0.99994830000000001</v>
      </c>
      <c r="P6088">
        <v>-7.073894E-2</v>
      </c>
      <c r="Q6088">
        <v>2.6102469999999999E-2</v>
      </c>
      <c r="R6088">
        <v>0.99715330000000002</v>
      </c>
      <c r="S6088">
        <v>-0.11640929999999999</v>
      </c>
      <c r="T6088">
        <v>-0.1531901</v>
      </c>
      <c r="U6088">
        <v>3.0039669999999998</v>
      </c>
      <c r="V6088">
        <v>-6.2744679999999997E-2</v>
      </c>
      <c r="W6088">
        <v>3.2106910000000002E-2</v>
      </c>
      <c r="X6088">
        <v>0.99751309999999904</v>
      </c>
      <c r="Y6088">
        <v>-3.058578E-2</v>
      </c>
      <c r="Z6088">
        <v>-5.0896299999999998E-2</v>
      </c>
      <c r="AA6088">
        <v>0.99823549999999905</v>
      </c>
      <c r="AB6088">
        <v>26</v>
      </c>
      <c r="AC6088">
        <v>-0.83610000000001505</v>
      </c>
      <c r="AD6088">
        <v>-1.1046998952210001</v>
      </c>
      <c r="AE6088">
        <v>21.395837</v>
      </c>
      <c r="AF6088">
        <v>-0.66118583116713203</v>
      </c>
      <c r="AG6088">
        <v>-1.1046998952210001</v>
      </c>
      <c r="AH6088">
        <v>21.345086651201601</v>
      </c>
      <c r="AI6088">
        <v>92.961241545007198</v>
      </c>
      <c r="AJ6088">
        <v>91.774227892269494</v>
      </c>
      <c r="AK6088">
        <v>21.383878336474499</v>
      </c>
    </row>
    <row r="6089" spans="1:37" x14ac:dyDescent="0.2">
      <c r="A6089" t="str">
        <f>"20200111160336407"</f>
        <v>20200111160336407</v>
      </c>
      <c r="B6089" t="str">
        <f>"1578729816398822"</f>
        <v>1578729816398822</v>
      </c>
      <c r="C6089" t="s">
        <v>37</v>
      </c>
      <c r="D6089">
        <v>4.5300960000000003</v>
      </c>
      <c r="E6089">
        <v>0.51035949999999997</v>
      </c>
      <c r="F6089" t="s">
        <v>38</v>
      </c>
      <c r="G6089">
        <v>-188.33969999999999</v>
      </c>
      <c r="H6089" s="1">
        <v>-2.0785990000000001E-6</v>
      </c>
      <c r="I6089">
        <v>-6.2084739999999998</v>
      </c>
      <c r="J6089">
        <v>-187.31780000000001</v>
      </c>
      <c r="K6089">
        <v>1.1047129999999901</v>
      </c>
      <c r="L6089">
        <v>-27.820920000000001</v>
      </c>
      <c r="M6089">
        <v>-9.6648700000000008E-3</v>
      </c>
      <c r="N6089">
        <v>0</v>
      </c>
      <c r="O6089">
        <v>0.99993369999999904</v>
      </c>
      <c r="P6089">
        <v>-7.1108169999999998E-2</v>
      </c>
      <c r="Q6089">
        <v>2.7478659999999999E-2</v>
      </c>
      <c r="R6089">
        <v>0.99708999999999903</v>
      </c>
      <c r="S6089">
        <v>-0.140640299999999</v>
      </c>
      <c r="T6089">
        <v>-0.15144589999999999</v>
      </c>
      <c r="U6089">
        <v>3.0025629999999999</v>
      </c>
      <c r="V6089">
        <v>-6.1548720000000001E-2</v>
      </c>
      <c r="W6089">
        <v>3.3578110000000001E-2</v>
      </c>
      <c r="X6089">
        <v>0.99753910000000001</v>
      </c>
      <c r="Y6089">
        <v>-3.7072819999999999E-2</v>
      </c>
      <c r="Z6089">
        <v>-5.0326499999999899E-2</v>
      </c>
      <c r="AA6089">
        <v>0.9980445</v>
      </c>
      <c r="AB6089">
        <v>26</v>
      </c>
      <c r="AC6089">
        <v>-1.02189999999998</v>
      </c>
      <c r="AD6089">
        <v>-1.1047150785989901</v>
      </c>
      <c r="AE6089">
        <v>21.612445999999998</v>
      </c>
      <c r="AF6089">
        <v>-0.81085289057031396</v>
      </c>
      <c r="AG6089">
        <v>-1.1047150785989901</v>
      </c>
      <c r="AH6089">
        <v>21.565095402972499</v>
      </c>
      <c r="AI6089">
        <v>92.930460170355005</v>
      </c>
      <c r="AJ6089">
        <v>92.153321009532405</v>
      </c>
      <c r="AK6089">
        <v>21.608591290371798</v>
      </c>
    </row>
    <row r="6090" spans="1:37" x14ac:dyDescent="0.2">
      <c r="A6090" t="str">
        <f>"20200111160336429"</f>
        <v>20200111160336429</v>
      </c>
      <c r="B6090" t="str">
        <f>"1578729816419319"</f>
        <v>1578729816419319</v>
      </c>
      <c r="C6090" t="s">
        <v>37</v>
      </c>
      <c r="D6090">
        <v>4.6802460000000004</v>
      </c>
      <c r="E6090">
        <v>0.50928279999999904</v>
      </c>
      <c r="F6090" t="s">
        <v>38</v>
      </c>
      <c r="G6090">
        <v>-188.40209999999999</v>
      </c>
      <c r="H6090" s="1">
        <v>-2.2944009999999998E-6</v>
      </c>
      <c r="I6090">
        <v>-5.6796129999999998</v>
      </c>
      <c r="J6090">
        <v>-187.32169999999999</v>
      </c>
      <c r="K6090">
        <v>1.1047290000000001</v>
      </c>
      <c r="L6090">
        <v>-27.569430000000001</v>
      </c>
      <c r="M6090">
        <v>-1.1033009999999999E-2</v>
      </c>
      <c r="N6090">
        <v>0</v>
      </c>
      <c r="O6090">
        <v>0.999919</v>
      </c>
      <c r="P6090">
        <v>-7.1052260000000006E-2</v>
      </c>
      <c r="Q6090">
        <v>2.806707E-2</v>
      </c>
      <c r="R6090">
        <v>0.99707760000000001</v>
      </c>
      <c r="S6090">
        <v>-0.14703369999999999</v>
      </c>
      <c r="T6090">
        <v>-0.14980189999999999</v>
      </c>
      <c r="U6090">
        <v>3.0024109999999999</v>
      </c>
      <c r="V6090">
        <v>-6.0130299999999998E-2</v>
      </c>
      <c r="W6090">
        <v>3.4249109999999999E-2</v>
      </c>
      <c r="X6090">
        <v>0.99760280000000001</v>
      </c>
      <c r="Y6090">
        <v>-3.7829630000000003E-2</v>
      </c>
      <c r="Z6090">
        <v>-4.9779749999999998E-2</v>
      </c>
      <c r="AA6090">
        <v>0.99804349999999997</v>
      </c>
      <c r="AB6090">
        <v>26</v>
      </c>
      <c r="AC6090">
        <v>-1.08039999999999</v>
      </c>
      <c r="AD6090">
        <v>-1.1047312944009999</v>
      </c>
      <c r="AE6090">
        <v>21.889817000000001</v>
      </c>
      <c r="AF6090">
        <v>-0.83669292722585398</v>
      </c>
      <c r="AG6090">
        <v>-1.1047312944009999</v>
      </c>
      <c r="AH6090">
        <v>21.844901148180298</v>
      </c>
      <c r="AI6090">
        <v>92.892954473790098</v>
      </c>
      <c r="AJ6090">
        <v>92.193443289327902</v>
      </c>
      <c r="AK6090">
        <v>21.888814322869699</v>
      </c>
    </row>
    <row r="6091" spans="1:37" x14ac:dyDescent="0.2">
      <c r="A6091" t="str">
        <f>"20200111160336585"</f>
        <v>20200111160336585</v>
      </c>
      <c r="B6091" t="str">
        <f>"1578729816579382"</f>
        <v>1578729816579382</v>
      </c>
      <c r="C6091" t="s">
        <v>37</v>
      </c>
      <c r="D6091">
        <v>4.0323229999999999</v>
      </c>
      <c r="E6091">
        <v>0.50938490000000003</v>
      </c>
      <c r="F6091" t="s">
        <v>38</v>
      </c>
      <c r="G6091">
        <v>-188.48429999999999</v>
      </c>
      <c r="H6091" s="1">
        <v>-2.497386E-6</v>
      </c>
      <c r="I6091">
        <v>-5.1724740000000002</v>
      </c>
      <c r="J6091">
        <v>-187.3613</v>
      </c>
      <c r="K6091">
        <v>1.10483</v>
      </c>
      <c r="L6091">
        <v>-25.69781</v>
      </c>
      <c r="M6091">
        <v>-2.119352E-2</v>
      </c>
      <c r="N6091">
        <v>0</v>
      </c>
      <c r="O6091">
        <v>0.99975199999999997</v>
      </c>
      <c r="P6091">
        <v>-8.0191429999999994E-2</v>
      </c>
      <c r="Q6091">
        <v>2.7335979999999999E-2</v>
      </c>
      <c r="R6091">
        <v>0.99640459999999997</v>
      </c>
      <c r="S6091">
        <v>-0.15582279999999901</v>
      </c>
      <c r="T6091">
        <v>-0.14806710000000001</v>
      </c>
      <c r="U6091">
        <v>3.001862</v>
      </c>
      <c r="V6091">
        <v>-5.9141779999999998E-2</v>
      </c>
      <c r="W6091">
        <v>3.4005580000000001E-2</v>
      </c>
      <c r="X6091">
        <v>0.99767019999999995</v>
      </c>
      <c r="Y6091">
        <v>-3.0598960000000001E-2</v>
      </c>
      <c r="Z6091">
        <v>-4.9204060000000001E-2</v>
      </c>
      <c r="AA6091">
        <v>0.99831990000000004</v>
      </c>
      <c r="AB6091">
        <v>27</v>
      </c>
      <c r="AC6091">
        <v>-1.12299999999999</v>
      </c>
      <c r="AD6091">
        <v>-1.104832497386</v>
      </c>
      <c r="AE6091">
        <v>20.525335999999999</v>
      </c>
      <c r="AF6091">
        <v>-0.68575247405389905</v>
      </c>
      <c r="AG6091">
        <v>-1.104832497386</v>
      </c>
      <c r="AH6091">
        <v>20.485348880780801</v>
      </c>
      <c r="AI6091">
        <v>93.085406753052894</v>
      </c>
      <c r="AJ6091">
        <v>91.917275431089607</v>
      </c>
      <c r="AK6091">
        <v>20.5265786255347</v>
      </c>
    </row>
    <row r="6092" spans="1:37" x14ac:dyDescent="0.2">
      <c r="A6092" t="str">
        <f>"20200111160336606"</f>
        <v>20200111160336606</v>
      </c>
      <c r="B6092" t="str">
        <f>"1578729816598904"</f>
        <v>1578729816598904</v>
      </c>
      <c r="C6092" t="s">
        <v>37</v>
      </c>
      <c r="D6092">
        <v>4.1206899999999997</v>
      </c>
      <c r="E6092">
        <v>0.51278760000000001</v>
      </c>
      <c r="F6092" t="s">
        <v>38</v>
      </c>
      <c r="G6092">
        <v>-188.65430000000001</v>
      </c>
      <c r="H6092" s="1">
        <v>-2.70350399999999E-6</v>
      </c>
      <c r="I6092">
        <v>-4.6216910000000002</v>
      </c>
      <c r="J6092">
        <v>-187.36840000000001</v>
      </c>
      <c r="K6092">
        <v>1.1048579999999999</v>
      </c>
      <c r="L6092">
        <v>-25.43619</v>
      </c>
      <c r="M6092">
        <v>-2.2603229999999998E-2</v>
      </c>
      <c r="N6092">
        <v>0</v>
      </c>
      <c r="O6092">
        <v>0.99972079999999997</v>
      </c>
      <c r="P6092">
        <v>-8.2003119999999999E-2</v>
      </c>
      <c r="Q6092">
        <v>2.8127570000000001E-2</v>
      </c>
      <c r="R6092">
        <v>0.99623510000000004</v>
      </c>
      <c r="S6092">
        <v>-0.1840668</v>
      </c>
      <c r="T6092">
        <v>-0.1572807</v>
      </c>
      <c r="U6092">
        <v>3.0003359999999999</v>
      </c>
      <c r="V6092">
        <v>-5.9552029999999999E-2</v>
      </c>
      <c r="W6092">
        <v>3.4851470000000002E-2</v>
      </c>
      <c r="X6092">
        <v>0.99761659999999996</v>
      </c>
      <c r="Y6092">
        <v>-3.8572919999999997E-2</v>
      </c>
      <c r="Z6092">
        <v>-5.2260670000000002E-2</v>
      </c>
      <c r="AA6092">
        <v>0.99788829999999995</v>
      </c>
      <c r="AB6092">
        <v>27</v>
      </c>
      <c r="AC6092">
        <v>-1.2858999999999901</v>
      </c>
      <c r="AD6092">
        <v>-1.1048607035039999</v>
      </c>
      <c r="AE6092">
        <v>20.814498999999898</v>
      </c>
      <c r="AF6092">
        <v>-0.81280392401585999</v>
      </c>
      <c r="AG6092">
        <v>-1.1048607035039999</v>
      </c>
      <c r="AH6092">
        <v>20.7799197270588</v>
      </c>
      <c r="AI6092">
        <v>93.041208468574993</v>
      </c>
      <c r="AJ6092">
        <v>92.239975245465899</v>
      </c>
      <c r="AK6092">
        <v>20.825139405441</v>
      </c>
    </row>
    <row r="6093" spans="1:37" x14ac:dyDescent="0.2">
      <c r="A6093" t="str">
        <f>"20200111160336630"</f>
        <v>20200111160336630</v>
      </c>
      <c r="B6093" t="str">
        <f>"1578729816619398"</f>
        <v>1578729816619398</v>
      </c>
      <c r="C6093" t="s">
        <v>37</v>
      </c>
      <c r="D6093">
        <v>4.2109569999999996</v>
      </c>
      <c r="E6093">
        <v>0.51518439999999999</v>
      </c>
      <c r="F6093" t="s">
        <v>38</v>
      </c>
      <c r="G6093">
        <v>-188.58920000000001</v>
      </c>
      <c r="H6093" s="1">
        <v>-3.5181650000000001E-6</v>
      </c>
      <c r="I6093">
        <v>-2.7496119999999999</v>
      </c>
      <c r="J6093">
        <v>-187.37639999999999</v>
      </c>
      <c r="K6093">
        <v>1.1048719999999901</v>
      </c>
      <c r="L6093">
        <v>-25.154019999999999</v>
      </c>
      <c r="M6093">
        <v>-2.411129E-2</v>
      </c>
      <c r="N6093">
        <v>0</v>
      </c>
      <c r="O6093">
        <v>0.99968519999999905</v>
      </c>
      <c r="P6093">
        <v>-8.3454890000000004E-2</v>
      </c>
      <c r="Q6093">
        <v>3.0357140000000001E-2</v>
      </c>
      <c r="R6093">
        <v>0.99604899999999996</v>
      </c>
      <c r="S6093">
        <v>-0.16156010000000001</v>
      </c>
      <c r="T6093">
        <v>-0.1462089</v>
      </c>
      <c r="U6093">
        <v>3.002167</v>
      </c>
      <c r="V6093">
        <v>-5.9508110000000003E-2</v>
      </c>
      <c r="W6093">
        <v>3.7137379999999998E-2</v>
      </c>
      <c r="X6093">
        <v>0.9975368</v>
      </c>
      <c r="Y6093">
        <v>-2.9580619999999998E-2</v>
      </c>
      <c r="Z6093">
        <v>-4.8576599999999998E-2</v>
      </c>
      <c r="AA6093">
        <v>0.99838130000000003</v>
      </c>
      <c r="AB6093">
        <v>27</v>
      </c>
      <c r="AC6093">
        <v>-1.2128000000000101</v>
      </c>
      <c r="AD6093">
        <v>-1.1048755181649901</v>
      </c>
      <c r="AE6093">
        <v>22.404408</v>
      </c>
      <c r="AF6093">
        <v>-0.67060907324441299</v>
      </c>
      <c r="AG6093">
        <v>-1.1048755181649901</v>
      </c>
      <c r="AH6093">
        <v>22.372885759003001</v>
      </c>
      <c r="AI6093">
        <v>92.825963838608899</v>
      </c>
      <c r="AJ6093">
        <v>91.716880384564007</v>
      </c>
      <c r="AK6093">
        <v>22.410187050204598</v>
      </c>
    </row>
    <row r="6094" spans="1:37" x14ac:dyDescent="0.2">
      <c r="A6094" t="str">
        <f>"20200111160336651"</f>
        <v>20200111160336651</v>
      </c>
      <c r="B6094" t="str">
        <f>"1578729816649655"</f>
        <v>1578729816649655</v>
      </c>
      <c r="C6094" t="s">
        <v>37</v>
      </c>
      <c r="D6094">
        <v>4.3832500000000003</v>
      </c>
      <c r="E6094">
        <v>0.51599309999999998</v>
      </c>
      <c r="F6094" t="s">
        <v>38</v>
      </c>
      <c r="G6094">
        <v>-188.54300000000001</v>
      </c>
      <c r="H6094" s="1">
        <v>-4.1470460000000003E-6</v>
      </c>
      <c r="I6094">
        <v>-1.3027879999999901</v>
      </c>
      <c r="J6094">
        <v>-187.38409999999999</v>
      </c>
      <c r="K6094">
        <v>1.104865</v>
      </c>
      <c r="L6094">
        <v>-24.893339999999998</v>
      </c>
      <c r="M6094">
        <v>-2.548804E-2</v>
      </c>
      <c r="N6094">
        <v>0</v>
      </c>
      <c r="O6094">
        <v>0.9996507</v>
      </c>
      <c r="P6094">
        <v>-8.4900519999999993E-2</v>
      </c>
      <c r="Q6094">
        <v>3.0233650000000001E-2</v>
      </c>
      <c r="R6094">
        <v>0.9959306</v>
      </c>
      <c r="S6094">
        <v>-0.1469269</v>
      </c>
      <c r="T6094">
        <v>-0.13914760000000001</v>
      </c>
      <c r="U6094">
        <v>3.0038149999999999</v>
      </c>
      <c r="V6094">
        <v>-5.9581530000000001E-2</v>
      </c>
      <c r="W6094">
        <v>3.7062089999999999E-2</v>
      </c>
      <c r="X6094">
        <v>0.99753519999999896</v>
      </c>
      <c r="Y6094">
        <v>-2.3328700000000001E-2</v>
      </c>
      <c r="Z6094">
        <v>-4.6217639999999997E-2</v>
      </c>
      <c r="AA6094">
        <v>0.99865899999999996</v>
      </c>
      <c r="AB6094">
        <v>27</v>
      </c>
      <c r="AC6094">
        <v>-1.15890000000001</v>
      </c>
      <c r="AD6094">
        <v>-1.1048691470459999</v>
      </c>
      <c r="AE6094">
        <v>23.590551999999999</v>
      </c>
      <c r="AF6094">
        <v>-0.55601516538969498</v>
      </c>
      <c r="AG6094">
        <v>-1.1048691470459999</v>
      </c>
      <c r="AH6094">
        <v>23.560869230263201</v>
      </c>
      <c r="AI6094">
        <v>92.684129111115197</v>
      </c>
      <c r="AJ6094">
        <v>91.351877556903503</v>
      </c>
      <c r="AK6094">
        <v>23.593313620214499</v>
      </c>
    </row>
    <row r="6095" spans="1:37" x14ac:dyDescent="0.2">
      <c r="A6095" t="str">
        <f>"20200111160336675"</f>
        <v>20200111160336675</v>
      </c>
      <c r="B6095" t="str">
        <f>"1578729816669175"</f>
        <v>1578729816669175</v>
      </c>
      <c r="C6095" t="s">
        <v>37</v>
      </c>
      <c r="D6095">
        <v>4.4910699999999997</v>
      </c>
      <c r="E6095">
        <v>0.51718839999999999</v>
      </c>
      <c r="F6095" t="s">
        <v>38</v>
      </c>
      <c r="G6095">
        <v>-188.5368</v>
      </c>
      <c r="H6095" s="1">
        <v>-4.2880280000000002E-6</v>
      </c>
      <c r="I6095">
        <v>-0.97670559999999995</v>
      </c>
      <c r="J6095">
        <v>-187.3929</v>
      </c>
      <c r="K6095">
        <v>1.104854</v>
      </c>
      <c r="L6095">
        <v>-24.61111</v>
      </c>
      <c r="M6095">
        <v>-2.6961349999999999E-2</v>
      </c>
      <c r="N6095">
        <v>0</v>
      </c>
      <c r="O6095">
        <v>0.99961169999999999</v>
      </c>
      <c r="P6095">
        <v>-8.5939450000000001E-2</v>
      </c>
      <c r="Q6095">
        <v>2.8332510000000002E-2</v>
      </c>
      <c r="R6095">
        <v>0.99589740000000004</v>
      </c>
      <c r="S6095">
        <v>-0.14479059999999999</v>
      </c>
      <c r="T6095">
        <v>-0.1387804</v>
      </c>
      <c r="U6095">
        <v>3.0041199999999999</v>
      </c>
      <c r="V6095">
        <v>-5.914502E-2</v>
      </c>
      <c r="W6095">
        <v>3.5212699999999902E-2</v>
      </c>
      <c r="X6095">
        <v>0.99762819999999997</v>
      </c>
      <c r="Y6095">
        <v>-2.1142049999999999E-2</v>
      </c>
      <c r="Z6095">
        <v>-4.6090480000000003E-2</v>
      </c>
      <c r="AA6095">
        <v>0.99871350000000003</v>
      </c>
      <c r="AB6095">
        <v>27</v>
      </c>
      <c r="AC6095">
        <v>-1.1438999999999999</v>
      </c>
      <c r="AD6095">
        <v>-1.104858288028</v>
      </c>
      <c r="AE6095">
        <v>23.634404400000001</v>
      </c>
      <c r="AF6095">
        <v>-0.50515155313304905</v>
      </c>
      <c r="AG6095">
        <v>-1.104858288028</v>
      </c>
      <c r="AH6095">
        <v>23.605188794763698</v>
      </c>
      <c r="AI6095">
        <v>92.679202920310203</v>
      </c>
      <c r="AJ6095">
        <v>91.225943804640096</v>
      </c>
      <c r="AK6095">
        <v>23.636430101957</v>
      </c>
    </row>
    <row r="6096" spans="1:37" x14ac:dyDescent="0.2">
      <c r="A6096" t="str">
        <f>"20200111160336696"</f>
        <v>20200111160336696</v>
      </c>
      <c r="B6096" t="str">
        <f>"1578729816689671"</f>
        <v>1578729816689671</v>
      </c>
      <c r="C6096" t="s">
        <v>37</v>
      </c>
      <c r="D6096">
        <v>4.4370719999999997</v>
      </c>
      <c r="E6096">
        <v>0.5174223</v>
      </c>
      <c r="F6096" t="s">
        <v>38</v>
      </c>
      <c r="G6096">
        <v>-188.4828</v>
      </c>
      <c r="H6096" s="1">
        <v>-4.3562029999999998E-6</v>
      </c>
      <c r="I6096">
        <v>-0.84012410000000004</v>
      </c>
      <c r="J6096">
        <v>-187.40180000000001</v>
      </c>
      <c r="K6096">
        <v>1.1048420000000001</v>
      </c>
      <c r="L6096">
        <v>-24.33832</v>
      </c>
      <c r="M6096">
        <v>-2.8363550000000001E-2</v>
      </c>
      <c r="N6096">
        <v>0</v>
      </c>
      <c r="O6096">
        <v>0.99957260000000003</v>
      </c>
      <c r="P6096">
        <v>-8.6873430000000001E-2</v>
      </c>
      <c r="Q6096">
        <v>2.7545599999999899E-2</v>
      </c>
      <c r="R6096">
        <v>0.99583849999999996</v>
      </c>
      <c r="S6096">
        <v>-0.1377563</v>
      </c>
      <c r="T6096">
        <v>-0.13964489999999999</v>
      </c>
      <c r="U6096">
        <v>3.0044559999999998</v>
      </c>
      <c r="V6096">
        <v>-5.8677960000000001E-2</v>
      </c>
      <c r="W6096">
        <v>3.4472139999999998E-2</v>
      </c>
      <c r="X6096">
        <v>0.99768159999999895</v>
      </c>
      <c r="Y6096">
        <v>-1.7400349999999998E-2</v>
      </c>
      <c r="Z6096">
        <v>-4.6373339999999999E-2</v>
      </c>
      <c r="AA6096">
        <v>0.99877260000000001</v>
      </c>
      <c r="AB6096">
        <v>27</v>
      </c>
      <c r="AC6096">
        <v>-1.08099999999998</v>
      </c>
      <c r="AD6096">
        <v>-1.104846356203</v>
      </c>
      <c r="AE6096">
        <v>23.498195899999999</v>
      </c>
      <c r="AF6096">
        <v>-0.413144683527986</v>
      </c>
      <c r="AG6096">
        <v>-1.104846356203</v>
      </c>
      <c r="AH6096">
        <v>23.4676323281439</v>
      </c>
      <c r="AI6096">
        <v>92.695054127307003</v>
      </c>
      <c r="AJ6096">
        <v>91.008580725518001</v>
      </c>
      <c r="AK6096">
        <v>23.497258161097999</v>
      </c>
    </row>
    <row r="6097" spans="1:37" x14ac:dyDescent="0.2">
      <c r="A6097" t="str">
        <f>"20200111160336718"</f>
        <v>20200111160336718</v>
      </c>
      <c r="B6097" t="str">
        <f>"1578729816709191"</f>
        <v>1578729816709191</v>
      </c>
      <c r="C6097" t="s">
        <v>37</v>
      </c>
      <c r="D6097">
        <v>4.4159259999999998</v>
      </c>
      <c r="E6097">
        <v>0.51759409999999995</v>
      </c>
      <c r="F6097" t="s">
        <v>38</v>
      </c>
      <c r="G6097">
        <v>-188.47659999999999</v>
      </c>
      <c r="H6097" s="1">
        <v>-4.272793E-6</v>
      </c>
      <c r="I6097">
        <v>-1.037145</v>
      </c>
      <c r="J6097">
        <v>-187.4109</v>
      </c>
      <c r="K6097">
        <v>1.1048149999999901</v>
      </c>
      <c r="L6097">
        <v>-24.066859999999998</v>
      </c>
      <c r="M6097">
        <v>-2.9731239999999999E-2</v>
      </c>
      <c r="N6097">
        <v>0</v>
      </c>
      <c r="O6097">
        <v>0.99953250000000005</v>
      </c>
      <c r="P6097">
        <v>-8.7915229999999997E-2</v>
      </c>
      <c r="Q6097">
        <v>2.6250369999999999E-2</v>
      </c>
      <c r="R6097">
        <v>0.99578199999999994</v>
      </c>
      <c r="S6097">
        <v>-0.13858029999999999</v>
      </c>
      <c r="T6097">
        <v>-0.1424561</v>
      </c>
      <c r="U6097">
        <v>3.0043950000000001</v>
      </c>
      <c r="V6097">
        <v>-5.8351699999999902E-2</v>
      </c>
      <c r="W6097">
        <v>3.3220680000000002E-2</v>
      </c>
      <c r="X6097">
        <v>0.99774319999999905</v>
      </c>
      <c r="Y6097">
        <v>-1.63045E-2</v>
      </c>
      <c r="Z6097">
        <v>-4.7303100000000001E-2</v>
      </c>
      <c r="AA6097">
        <v>0.99874750000000001</v>
      </c>
      <c r="AB6097">
        <v>28</v>
      </c>
      <c r="AC6097">
        <v>-1.0656999999999901</v>
      </c>
      <c r="AD6097">
        <v>-1.104819272793</v>
      </c>
      <c r="AE6097">
        <v>23.029714999999999</v>
      </c>
      <c r="AF6097">
        <v>-0.37963761545514801</v>
      </c>
      <c r="AG6097">
        <v>-1.104819272793</v>
      </c>
      <c r="AH6097">
        <v>22.998402064403201</v>
      </c>
      <c r="AI6097">
        <v>92.749941120103699</v>
      </c>
      <c r="AJ6097">
        <v>90.945702997318804</v>
      </c>
      <c r="AK6097">
        <v>23.0280534969969</v>
      </c>
    </row>
    <row r="6098" spans="1:37" x14ac:dyDescent="0.2">
      <c r="A6098" t="str">
        <f>"20200111160336741"</f>
        <v>20200111160336741</v>
      </c>
      <c r="B6098" t="str">
        <f>"1578729816729688"</f>
        <v>1578729816729688</v>
      </c>
      <c r="C6098" t="s">
        <v>37</v>
      </c>
      <c r="D6098">
        <v>4.4018059999999997</v>
      </c>
      <c r="E6098">
        <v>0.51786799999999999</v>
      </c>
      <c r="F6098" t="s">
        <v>38</v>
      </c>
      <c r="G6098">
        <v>-188.45689999999999</v>
      </c>
      <c r="H6098" s="1">
        <v>-4.0065130000000002E-6</v>
      </c>
      <c r="I6098">
        <v>-1.665997</v>
      </c>
      <c r="J6098">
        <v>-187.4205</v>
      </c>
      <c r="K6098">
        <v>1.104786</v>
      </c>
      <c r="L6098">
        <v>-23.793579999999999</v>
      </c>
      <c r="M6098">
        <v>-3.1076179999999998E-2</v>
      </c>
      <c r="N6098">
        <v>0</v>
      </c>
      <c r="O6098">
        <v>0.99949129999999997</v>
      </c>
      <c r="P6098">
        <v>-8.874319E-2</v>
      </c>
      <c r="Q6098">
        <v>2.4319750000000001E-2</v>
      </c>
      <c r="R6098">
        <v>0.99575759999999902</v>
      </c>
      <c r="S6098">
        <v>-0.14027400000000001</v>
      </c>
      <c r="T6098">
        <v>-0.1481703</v>
      </c>
      <c r="U6098">
        <v>3.0042419999999899</v>
      </c>
      <c r="V6098">
        <v>-5.7830939999999997E-2</v>
      </c>
      <c r="W6098">
        <v>3.1332430000000001E-2</v>
      </c>
      <c r="X6098">
        <v>0.99783459999999902</v>
      </c>
      <c r="Y6098">
        <v>-1.5519E-2</v>
      </c>
      <c r="Z6098">
        <v>-4.9195139999999998E-2</v>
      </c>
      <c r="AA6098">
        <v>0.99866860000000002</v>
      </c>
      <c r="AB6098">
        <v>28</v>
      </c>
      <c r="AC6098">
        <v>-1.03639999999998</v>
      </c>
      <c r="AD6098">
        <v>-1.1047900065130001</v>
      </c>
      <c r="AE6098">
        <v>22.127582999999898</v>
      </c>
      <c r="AF6098">
        <v>-0.34737692925994501</v>
      </c>
      <c r="AG6098">
        <v>-1.1047900065130001</v>
      </c>
      <c r="AH6098">
        <v>22.094147179048498</v>
      </c>
      <c r="AI6098">
        <v>92.862265852862393</v>
      </c>
      <c r="AJ6098">
        <v>90.900763084731395</v>
      </c>
      <c r="AK6098">
        <v>22.1244790053671</v>
      </c>
    </row>
    <row r="6099" spans="1:37" x14ac:dyDescent="0.2">
      <c r="A6099" t="str">
        <f>"20200111160336763"</f>
        <v>20200111160336763</v>
      </c>
      <c r="B6099" t="str">
        <f>"1578729816758967"</f>
        <v>1578729816758967</v>
      </c>
      <c r="C6099" t="s">
        <v>37</v>
      </c>
      <c r="D6099">
        <v>4.5561160000000003</v>
      </c>
      <c r="E6099">
        <v>0.51859270000000002</v>
      </c>
      <c r="F6099" t="s">
        <v>38</v>
      </c>
      <c r="G6099">
        <v>-188.42060000000001</v>
      </c>
      <c r="H6099" s="1">
        <v>-3.6871100000000001E-6</v>
      </c>
      <c r="I6099">
        <v>-2.4255390000000001</v>
      </c>
      <c r="J6099">
        <v>-187.4307</v>
      </c>
      <c r="K6099">
        <v>1.104759</v>
      </c>
      <c r="L6099">
        <v>-23.510739999999998</v>
      </c>
      <c r="M6099">
        <v>-3.2430460000000001E-2</v>
      </c>
      <c r="N6099">
        <v>0</v>
      </c>
      <c r="O6099">
        <v>0.99944809999999995</v>
      </c>
      <c r="P6099">
        <v>-9.0114810000000004E-2</v>
      </c>
      <c r="Q6099">
        <v>2.3496039999999999E-2</v>
      </c>
      <c r="R6099">
        <v>0.99565419999999905</v>
      </c>
      <c r="S6099">
        <v>-0.14059449999999901</v>
      </c>
      <c r="T6099">
        <v>-0.1553186</v>
      </c>
      <c r="U6099">
        <v>3.0040589999999998</v>
      </c>
      <c r="V6099">
        <v>-5.7849459999999998E-2</v>
      </c>
      <c r="W6099">
        <v>3.0548889999999999E-2</v>
      </c>
      <c r="X6099">
        <v>0.99785780000000002</v>
      </c>
      <c r="Y6099">
        <v>-1.426768E-2</v>
      </c>
      <c r="Z6099">
        <v>-5.1562499999999997E-2</v>
      </c>
      <c r="AA6099">
        <v>0.99856780000000001</v>
      </c>
      <c r="AB6099">
        <v>28</v>
      </c>
      <c r="AC6099">
        <v>-0.989900000000005</v>
      </c>
      <c r="AD6099">
        <v>-1.10476268711</v>
      </c>
      <c r="AE6099">
        <v>21.085201000000001</v>
      </c>
      <c r="AF6099">
        <v>-0.30472410936534799</v>
      </c>
      <c r="AG6099">
        <v>-1.10476268711</v>
      </c>
      <c r="AH6099">
        <v>21.048556681810702</v>
      </c>
      <c r="AI6099">
        <v>93.004177294471106</v>
      </c>
      <c r="AJ6099">
        <v>90.829424365382494</v>
      </c>
      <c r="AK6099">
        <v>21.0797318712799</v>
      </c>
    </row>
    <row r="6100" spans="1:37" x14ac:dyDescent="0.2">
      <c r="A6100" t="str">
        <f>"20200111160337033"</f>
        <v>20200111160337033</v>
      </c>
      <c r="B6100" t="str">
        <f>"1578729817029318"</f>
        <v>1578729817029318</v>
      </c>
      <c r="C6100" t="s">
        <v>37</v>
      </c>
      <c r="D6100">
        <v>4.5196860000000001</v>
      </c>
      <c r="E6100">
        <v>0.51927639999999997</v>
      </c>
      <c r="F6100" t="s">
        <v>38</v>
      </c>
      <c r="G6100">
        <v>-188.4128</v>
      </c>
      <c r="H6100" s="1">
        <v>-3.77209E-6</v>
      </c>
      <c r="I6100">
        <v>-2.2306629999999998</v>
      </c>
      <c r="J6100">
        <v>-187.57689999999999</v>
      </c>
      <c r="K6100">
        <v>1.1045940000000001</v>
      </c>
      <c r="L6100">
        <v>-20.1218</v>
      </c>
      <c r="M6100">
        <v>-4.5826649999999997E-2</v>
      </c>
      <c r="N6100">
        <v>0</v>
      </c>
      <c r="O6100">
        <v>0.9989209</v>
      </c>
      <c r="P6100">
        <v>-9.482351E-2</v>
      </c>
      <c r="Q6100">
        <v>2.684744E-2</v>
      </c>
      <c r="R6100">
        <v>0.99513200000000002</v>
      </c>
      <c r="S6100">
        <v>-0.1386414</v>
      </c>
      <c r="T6100">
        <v>-0.15596460000000001</v>
      </c>
      <c r="U6100">
        <v>3.0042110000000002</v>
      </c>
      <c r="V6100">
        <v>-4.9183480000000002E-2</v>
      </c>
      <c r="W6100">
        <v>3.429248E-2</v>
      </c>
      <c r="X6100">
        <v>0.99820089999999995</v>
      </c>
      <c r="Y6100">
        <v>-2.1046729999999901E-4</v>
      </c>
      <c r="Z6100">
        <v>-5.1736440000000002E-2</v>
      </c>
      <c r="AA6100">
        <v>0.99866069999999996</v>
      </c>
      <c r="AB6100">
        <v>29</v>
      </c>
      <c r="AC6100">
        <v>-0.83590000000000897</v>
      </c>
      <c r="AD6100">
        <v>-1.10459777209</v>
      </c>
      <c r="AE6100">
        <v>17.891137000000001</v>
      </c>
      <c r="AF6100">
        <v>-1.5050293071931E-2</v>
      </c>
      <c r="AG6100">
        <v>-1.10459777209</v>
      </c>
      <c r="AH6100">
        <v>17.8427818776563</v>
      </c>
      <c r="AI6100">
        <v>93.542502631883195</v>
      </c>
      <c r="AJ6100">
        <v>90.048328678502102</v>
      </c>
      <c r="AK6100">
        <v>17.8769468277737</v>
      </c>
    </row>
    <row r="6101" spans="1:37" x14ac:dyDescent="0.2">
      <c r="A6101" t="str">
        <f>"20200111160337054"</f>
        <v>20200111160337054</v>
      </c>
      <c r="B6101" t="str">
        <f>"1578729817048838"</f>
        <v>1578729817048838</v>
      </c>
      <c r="C6101" t="s">
        <v>37</v>
      </c>
      <c r="D6101">
        <v>4.5217859999999996</v>
      </c>
      <c r="E6101">
        <v>0.51946099999999995</v>
      </c>
      <c r="F6101" t="s">
        <v>38</v>
      </c>
      <c r="G6101">
        <v>-188.7123</v>
      </c>
      <c r="H6101" s="1">
        <v>-1.7360180000000001E-6</v>
      </c>
      <c r="I6101">
        <v>3.1470340000000001</v>
      </c>
      <c r="J6101">
        <v>-187.59129999999999</v>
      </c>
      <c r="K6101">
        <v>1.104598</v>
      </c>
      <c r="L6101">
        <v>-19.831019999999999</v>
      </c>
      <c r="M6101">
        <v>-4.6859640000000001E-2</v>
      </c>
      <c r="N6101">
        <v>0</v>
      </c>
      <c r="O6101">
        <v>0.99887280000000001</v>
      </c>
      <c r="P6101">
        <v>-9.4446500000000003E-2</v>
      </c>
      <c r="Q6101">
        <v>2.706281E-2</v>
      </c>
      <c r="R6101">
        <v>0.99516199999999999</v>
      </c>
      <c r="S6101">
        <v>-0.1466064</v>
      </c>
      <c r="T6101">
        <v>-0.14262900000000001</v>
      </c>
      <c r="U6101">
        <v>3.0045470000000001</v>
      </c>
      <c r="V6101">
        <v>-4.7773660000000003E-2</v>
      </c>
      <c r="W6101">
        <v>3.4535990000000003E-2</v>
      </c>
      <c r="X6101">
        <v>0.99826099999999995</v>
      </c>
      <c r="Y6101">
        <v>-1.823397E-3</v>
      </c>
      <c r="Z6101">
        <v>-4.7311499999999999E-2</v>
      </c>
      <c r="AA6101">
        <v>0.9988785</v>
      </c>
      <c r="AB6101">
        <v>29</v>
      </c>
      <c r="AC6101">
        <v>-1.121</v>
      </c>
      <c r="AD6101">
        <v>-1.104599736018</v>
      </c>
      <c r="AE6101">
        <v>22.978054</v>
      </c>
      <c r="AF6101">
        <v>-4.2895410196346802E-2</v>
      </c>
      <c r="AG6101">
        <v>-1.104599736018</v>
      </c>
      <c r="AH6101">
        <v>22.9524268524852</v>
      </c>
      <c r="AI6101">
        <v>92.755264191898803</v>
      </c>
      <c r="AJ6101">
        <v>90.107079008208899</v>
      </c>
      <c r="AK6101">
        <v>22.979031289671699</v>
      </c>
    </row>
    <row r="6102" spans="1:37" x14ac:dyDescent="0.2">
      <c r="A6102" t="str">
        <f>"20200111160337098"</f>
        <v>20200111160337098</v>
      </c>
      <c r="B6102" t="str">
        <f>"1578729817088854"</f>
        <v>1578729817088854</v>
      </c>
      <c r="C6102" t="s">
        <v>37</v>
      </c>
      <c r="D6102">
        <v>4.5313129999999999</v>
      </c>
      <c r="E6102">
        <v>0.51992159999999998</v>
      </c>
      <c r="F6102" t="s">
        <v>38</v>
      </c>
      <c r="G6102">
        <v>-188.73519999999999</v>
      </c>
      <c r="H6102" s="1">
        <v>-2.109152E-6</v>
      </c>
      <c r="I6102">
        <v>4.0263119999999999</v>
      </c>
      <c r="J6102">
        <v>-187.62</v>
      </c>
      <c r="K6102">
        <v>1.1045959999999999</v>
      </c>
      <c r="L6102">
        <v>-19.270199999999999</v>
      </c>
      <c r="M6102">
        <v>-4.8839529999999999E-2</v>
      </c>
      <c r="N6102">
        <v>0</v>
      </c>
      <c r="O6102">
        <v>0.99877759999999904</v>
      </c>
      <c r="P6102">
        <v>-9.4210429999999998E-2</v>
      </c>
      <c r="Q6102">
        <v>2.558152E-2</v>
      </c>
      <c r="R6102">
        <v>0.99522359999999899</v>
      </c>
      <c r="S6102">
        <v>-0.14407349999999999</v>
      </c>
      <c r="T6102">
        <v>-0.1391183</v>
      </c>
      <c r="U6102">
        <v>3.0047000000000001</v>
      </c>
      <c r="V6102">
        <v>-4.5553259999999998E-2</v>
      </c>
      <c r="W6102">
        <v>3.3107259999999999E-2</v>
      </c>
      <c r="X6102">
        <v>0.99841309999999905</v>
      </c>
      <c r="Y6102">
        <v>9.9877780000000001E-4</v>
      </c>
      <c r="Z6102">
        <v>-4.614153E-2</v>
      </c>
      <c r="AA6102">
        <v>0.9989344</v>
      </c>
      <c r="AB6102">
        <v>29</v>
      </c>
      <c r="AC6102">
        <v>-1.11519999999998</v>
      </c>
      <c r="AD6102">
        <v>-1.1045981091519901</v>
      </c>
      <c r="AE6102">
        <v>23.296512</v>
      </c>
      <c r="AF6102">
        <v>2.3901001592405401E-2</v>
      </c>
      <c r="AG6102">
        <v>-1.1045981091519901</v>
      </c>
      <c r="AH6102">
        <v>23.270979417804298</v>
      </c>
      <c r="AI6102">
        <v>92.717604083174706</v>
      </c>
      <c r="AJ6102">
        <v>89.941153055431499</v>
      </c>
      <c r="AK6102">
        <v>23.2971927773389</v>
      </c>
    </row>
    <row r="6103" spans="1:37" x14ac:dyDescent="0.2">
      <c r="A6103" t="str">
        <f>"20200111160337120"</f>
        <v>20200111160337120</v>
      </c>
      <c r="B6103" t="str">
        <f>"1578729817109220"</f>
        <v>1578729817109220</v>
      </c>
      <c r="C6103" t="s">
        <v>37</v>
      </c>
      <c r="D6103">
        <v>4.5032199999999998</v>
      </c>
      <c r="E6103">
        <v>0.52008710000000002</v>
      </c>
      <c r="F6103" t="s">
        <v>38</v>
      </c>
      <c r="G6103">
        <v>-188.7337</v>
      </c>
      <c r="H6103" s="1">
        <v>-2.43916599999999E-6</v>
      </c>
      <c r="I6103">
        <v>4.7949310000000001</v>
      </c>
      <c r="J6103">
        <v>-187.63579999999999</v>
      </c>
      <c r="K6103">
        <v>1.1045780000000001</v>
      </c>
      <c r="L6103">
        <v>-18.968509999999998</v>
      </c>
      <c r="M6103">
        <v>-4.9886060000000003E-2</v>
      </c>
      <c r="N6103">
        <v>0</v>
      </c>
      <c r="O6103">
        <v>0.99872569999999905</v>
      </c>
      <c r="P6103">
        <v>-9.4741519999999996E-2</v>
      </c>
      <c r="Q6103">
        <v>2.4380820000000001E-2</v>
      </c>
      <c r="R6103">
        <v>0.99520330000000001</v>
      </c>
      <c r="S6103">
        <v>-0.13905329999999999</v>
      </c>
      <c r="T6103">
        <v>-0.13792099999999999</v>
      </c>
      <c r="U6103">
        <v>3.004791</v>
      </c>
      <c r="V6103">
        <v>-4.5035100000000002E-2</v>
      </c>
      <c r="W6103">
        <v>3.1933900000000001E-2</v>
      </c>
      <c r="X6103">
        <v>0.99847489999999905</v>
      </c>
      <c r="Y6103">
        <v>3.7124580000000001E-3</v>
      </c>
      <c r="Z6103">
        <v>-4.5741950000000003E-2</v>
      </c>
      <c r="AA6103">
        <v>0.99894640000000001</v>
      </c>
      <c r="AB6103">
        <v>29</v>
      </c>
      <c r="AC6103">
        <v>-1.0979000000000101</v>
      </c>
      <c r="AD6103">
        <v>-1.1045804391659999</v>
      </c>
      <c r="AE6103">
        <v>23.763441</v>
      </c>
      <c r="AF6103">
        <v>8.8774694653777894E-2</v>
      </c>
      <c r="AG6103">
        <v>-1.1045804391659999</v>
      </c>
      <c r="AH6103">
        <v>23.7374452020902</v>
      </c>
      <c r="AI6103">
        <v>92.664218261578796</v>
      </c>
      <c r="AJ6103">
        <v>89.785722870581495</v>
      </c>
      <c r="AK6103">
        <v>23.763296985377099</v>
      </c>
    </row>
    <row r="6104" spans="1:37" x14ac:dyDescent="0.2">
      <c r="A6104" t="str">
        <f>"20200111160337144"</f>
        <v>20200111160337144</v>
      </c>
      <c r="B6104" t="str">
        <f>"1578729817139477"</f>
        <v>1578729817139477</v>
      </c>
      <c r="C6104" t="s">
        <v>37</v>
      </c>
      <c r="D6104">
        <v>4.8518169999999996</v>
      </c>
      <c r="E6104">
        <v>0.52037199999999995</v>
      </c>
      <c r="F6104" t="s">
        <v>38</v>
      </c>
      <c r="G6104">
        <v>-188.7285</v>
      </c>
      <c r="H6104" s="1">
        <v>-2.3719729999999998E-6</v>
      </c>
      <c r="I6104">
        <v>4.6361629999999998</v>
      </c>
      <c r="J6104">
        <v>-187.6516</v>
      </c>
      <c r="K6104">
        <v>1.1045639999999901</v>
      </c>
      <c r="L6104">
        <v>-18.674990000000001</v>
      </c>
      <c r="M6104">
        <v>-5.0873460000000002E-2</v>
      </c>
      <c r="N6104">
        <v>0</v>
      </c>
      <c r="O6104">
        <v>0.998675599999999</v>
      </c>
      <c r="P6104">
        <v>-9.538568E-2</v>
      </c>
      <c r="Q6104">
        <v>2.361098E-2</v>
      </c>
      <c r="R6104">
        <v>0.9951603</v>
      </c>
      <c r="S6104">
        <v>-0.13908389999999901</v>
      </c>
      <c r="T6104">
        <v>-0.14060349999999999</v>
      </c>
      <c r="U6104">
        <v>3.0046689999999998</v>
      </c>
      <c r="V6104">
        <v>-4.4690489999999999E-2</v>
      </c>
      <c r="W6104">
        <v>3.1190889999999999E-2</v>
      </c>
      <c r="X6104">
        <v>0.99851380000000001</v>
      </c>
      <c r="Y6104">
        <v>4.6910500000000004E-3</v>
      </c>
      <c r="Z6104">
        <v>-4.6627999999999899E-2</v>
      </c>
      <c r="AA6104">
        <v>0.99890129999999999</v>
      </c>
      <c r="AB6104">
        <v>29</v>
      </c>
      <c r="AC6104">
        <v>-1.07689999999999</v>
      </c>
      <c r="AD6104">
        <v>-1.1045663719729999</v>
      </c>
      <c r="AE6104">
        <v>23.311153000000001</v>
      </c>
      <c r="AF6104">
        <v>0.11020161249511599</v>
      </c>
      <c r="AG6104">
        <v>-1.1045663719729999</v>
      </c>
      <c r="AH6104">
        <v>23.283587903026699</v>
      </c>
      <c r="AI6104">
        <v>92.716027787515998</v>
      </c>
      <c r="AJ6104">
        <v>89.728820138450899</v>
      </c>
      <c r="AK6104">
        <v>23.310033824588601</v>
      </c>
    </row>
    <row r="6105" spans="1:37" x14ac:dyDescent="0.2">
      <c r="A6105" t="str">
        <f>"20200111160337164"</f>
        <v>20200111160337164</v>
      </c>
      <c r="B6105" t="str">
        <f>"1578729817158996"</f>
        <v>1578729817158996</v>
      </c>
      <c r="C6105" t="s">
        <v>37</v>
      </c>
      <c r="D6105">
        <v>4.5735000000000001</v>
      </c>
      <c r="E6105">
        <v>0.52055309999999999</v>
      </c>
      <c r="F6105" t="s">
        <v>38</v>
      </c>
      <c r="G6105">
        <v>-188.72799999999901</v>
      </c>
      <c r="H6105" s="1">
        <v>-2.389363E-6</v>
      </c>
      <c r="I6105">
        <v>4.6764789999999996</v>
      </c>
      <c r="J6105">
        <v>-187.66659999999999</v>
      </c>
      <c r="K6105">
        <v>1.104528</v>
      </c>
      <c r="L6105">
        <v>-18.397919999999999</v>
      </c>
      <c r="M6105">
        <v>-5.1749490000000002E-2</v>
      </c>
      <c r="N6105">
        <v>0</v>
      </c>
      <c r="O6105">
        <v>0.99863049999999998</v>
      </c>
      <c r="P6105">
        <v>-9.60313E-2</v>
      </c>
      <c r="Q6105">
        <v>2.3598310000000001E-2</v>
      </c>
      <c r="R6105">
        <v>0.9950985</v>
      </c>
      <c r="S6105">
        <v>-0.13850399999999999</v>
      </c>
      <c r="T6105">
        <v>-0.1421277</v>
      </c>
      <c r="U6105">
        <v>3.0047000000000001</v>
      </c>
      <c r="V6105">
        <v>-4.4460489999999998E-2</v>
      </c>
      <c r="W6105">
        <v>3.120471E-2</v>
      </c>
      <c r="X6105">
        <v>0.99852369999999901</v>
      </c>
      <c r="Y6105">
        <v>5.762166E-3</v>
      </c>
      <c r="Z6105">
        <v>-4.7128749999999997E-2</v>
      </c>
      <c r="AA6105">
        <v>0.99887219999999999</v>
      </c>
      <c r="AB6105">
        <v>29</v>
      </c>
      <c r="AC6105">
        <v>-1.0613999999999899</v>
      </c>
      <c r="AD6105">
        <v>-1.1045303893630001</v>
      </c>
      <c r="AE6105">
        <v>23.074399</v>
      </c>
      <c r="AF6105">
        <v>0.133839903936391</v>
      </c>
      <c r="AG6105">
        <v>-1.1045303893630001</v>
      </c>
      <c r="AH6105">
        <v>23.045713580960399</v>
      </c>
      <c r="AI6105">
        <v>92.743914811633104</v>
      </c>
      <c r="AJ6105">
        <v>89.667253722182394</v>
      </c>
      <c r="AK6105">
        <v>23.072555449203598</v>
      </c>
    </row>
    <row r="6106" spans="1:37" x14ac:dyDescent="0.2">
      <c r="A6106" t="str">
        <f>"20200111160337187"</f>
        <v>20200111160337187</v>
      </c>
      <c r="B6106" t="str">
        <f>"1578729817179492"</f>
        <v>1578729817179492</v>
      </c>
      <c r="C6106" t="s">
        <v>37</v>
      </c>
      <c r="D6106">
        <v>4.5635029999999999</v>
      </c>
      <c r="E6106">
        <v>0.52068479999999995</v>
      </c>
      <c r="F6106" t="s">
        <v>38</v>
      </c>
      <c r="G6106">
        <v>-188.7491</v>
      </c>
      <c r="H6106" s="1">
        <v>-2.5466650000000002E-6</v>
      </c>
      <c r="I6106">
        <v>5.0518859999999997</v>
      </c>
      <c r="J6106">
        <v>-187.68279999999999</v>
      </c>
      <c r="K6106">
        <v>1.104465</v>
      </c>
      <c r="L6106">
        <v>-18.103300000000001</v>
      </c>
      <c r="M6106">
        <v>-5.2602740000000002E-2</v>
      </c>
      <c r="N6106">
        <v>0</v>
      </c>
      <c r="O6106">
        <v>0.99858570000000002</v>
      </c>
      <c r="P6106">
        <v>-9.6965590000000004E-2</v>
      </c>
      <c r="Q6106">
        <v>2.2726340000000001E-2</v>
      </c>
      <c r="R6106">
        <v>0.99502829999999998</v>
      </c>
      <c r="S6106">
        <v>-0.138702399999999</v>
      </c>
      <c r="T6106">
        <v>-0.14152989999999999</v>
      </c>
      <c r="U6106">
        <v>3.0047609999999998</v>
      </c>
      <c r="V6106">
        <v>-4.4538309999999998E-2</v>
      </c>
      <c r="W6106">
        <v>3.036111E-2</v>
      </c>
      <c r="X6106">
        <v>0.99854619999999905</v>
      </c>
      <c r="Y6106">
        <v>6.5512909999999999E-3</v>
      </c>
      <c r="Z6106">
        <v>-4.692669E-2</v>
      </c>
      <c r="AA6106">
        <v>0.99887689999999996</v>
      </c>
      <c r="AB6106">
        <v>29</v>
      </c>
      <c r="AC6106">
        <v>-1.06630000000001</v>
      </c>
      <c r="AD6106">
        <v>-1.104467546665</v>
      </c>
      <c r="AE6106">
        <v>23.155186</v>
      </c>
      <c r="AF6106">
        <v>0.152891744746598</v>
      </c>
      <c r="AG6106">
        <v>-1.104467546665</v>
      </c>
      <c r="AH6106">
        <v>23.126712794520401</v>
      </c>
      <c r="AI6106">
        <v>92.734150155891996</v>
      </c>
      <c r="AJ6106">
        <v>89.621220527296202</v>
      </c>
      <c r="AK6106">
        <v>23.1535757309207</v>
      </c>
    </row>
    <row r="6107" spans="1:37" x14ac:dyDescent="0.2">
      <c r="A6107" t="str">
        <f>"20200111160337210"</f>
        <v>20200111160337210</v>
      </c>
      <c r="B6107" t="str">
        <f>"1578729817199013"</f>
        <v>1578729817199013</v>
      </c>
      <c r="C6107" t="s">
        <v>37</v>
      </c>
      <c r="D6107">
        <v>4.5794249999999996</v>
      </c>
      <c r="E6107">
        <v>0.52079969999999998</v>
      </c>
      <c r="F6107" t="s">
        <v>38</v>
      </c>
      <c r="G6107">
        <v>-188.7636</v>
      </c>
      <c r="H6107" s="1">
        <v>-2.5532399999999998E-6</v>
      </c>
      <c r="I6107">
        <v>5.0732330000000001</v>
      </c>
      <c r="J6107">
        <v>-187.69909999999999</v>
      </c>
      <c r="K6107">
        <v>1.104385</v>
      </c>
      <c r="L6107">
        <v>-17.809449999999998</v>
      </c>
      <c r="M6107">
        <v>-5.3353190000000002E-2</v>
      </c>
      <c r="N6107">
        <v>0</v>
      </c>
      <c r="O6107">
        <v>0.99854569999999998</v>
      </c>
      <c r="P6107">
        <v>-9.7405359999999996E-2</v>
      </c>
      <c r="Q6107">
        <v>2.1578469999999999E-2</v>
      </c>
      <c r="R6107">
        <v>0.99501090000000003</v>
      </c>
      <c r="S6107">
        <v>-0.14012149999999901</v>
      </c>
      <c r="T6107">
        <v>-0.14318320000000001</v>
      </c>
      <c r="U6107">
        <v>3.0046080000000002</v>
      </c>
      <c r="V6107">
        <v>-4.4220290000000002E-2</v>
      </c>
      <c r="W6107">
        <v>2.9244849999999999E-2</v>
      </c>
      <c r="X6107">
        <v>0.99859370000000003</v>
      </c>
      <c r="Y6107">
        <v>6.8309310000000002E-3</v>
      </c>
      <c r="Z6107">
        <v>-4.7472640000000003E-2</v>
      </c>
      <c r="AA6107">
        <v>0.99884919999999999</v>
      </c>
      <c r="AB6107">
        <v>29</v>
      </c>
      <c r="AC6107">
        <v>-1.0645</v>
      </c>
      <c r="AD6107">
        <v>-1.10438755324</v>
      </c>
      <c r="AE6107">
        <v>22.882683</v>
      </c>
      <c r="AF6107">
        <v>0.15755077393278799</v>
      </c>
      <c r="AG6107">
        <v>-1.10438755324</v>
      </c>
      <c r="AH6107">
        <v>22.853766732847099</v>
      </c>
      <c r="AI6107">
        <v>92.7665487408389</v>
      </c>
      <c r="AJ6107">
        <v>89.605016909850406</v>
      </c>
      <c r="AK6107">
        <v>22.880977863577101</v>
      </c>
    </row>
    <row r="6108" spans="1:37" x14ac:dyDescent="0.2">
      <c r="A6108" t="str">
        <f>"20200111160337232"</f>
        <v>20200111160337232</v>
      </c>
      <c r="B6108" t="str">
        <f>"1578729817219361"</f>
        <v>1578729817219361</v>
      </c>
      <c r="C6108" t="s">
        <v>37</v>
      </c>
      <c r="D6108">
        <v>4.6045550000000004</v>
      </c>
      <c r="E6108">
        <v>0.52092129999999903</v>
      </c>
      <c r="F6108" t="s">
        <v>38</v>
      </c>
      <c r="G6108">
        <v>-188.7621</v>
      </c>
      <c r="H6108" s="1">
        <v>-2.5038859999999999E-6</v>
      </c>
      <c r="I6108">
        <v>4.9575659999999999</v>
      </c>
      <c r="J6108">
        <v>-187.71530000000001</v>
      </c>
      <c r="K6108">
        <v>1.104293</v>
      </c>
      <c r="L6108">
        <v>-17.518709999999999</v>
      </c>
      <c r="M6108">
        <v>-5.3976139999999999E-2</v>
      </c>
      <c r="N6108">
        <v>0</v>
      </c>
      <c r="O6108">
        <v>0.99851199999999996</v>
      </c>
      <c r="P6108">
        <v>-9.8005949999999994E-2</v>
      </c>
      <c r="Q6108">
        <v>1.9665149999999999E-2</v>
      </c>
      <c r="R6108">
        <v>0.99499150000000003</v>
      </c>
      <c r="S6108">
        <v>-0.14028929999999901</v>
      </c>
      <c r="T6108">
        <v>-0.14574229999999999</v>
      </c>
      <c r="U6108">
        <v>3.004486</v>
      </c>
      <c r="V6108">
        <v>-4.418979E-2</v>
      </c>
      <c r="W6108">
        <v>2.7363999999999999E-2</v>
      </c>
      <c r="X6108">
        <v>0.99864830000000004</v>
      </c>
      <c r="Y6108">
        <v>7.3991179999999997E-3</v>
      </c>
      <c r="Z6108">
        <v>-4.8318489999999999E-2</v>
      </c>
      <c r="AA6108">
        <v>0.99880460000000004</v>
      </c>
      <c r="AB6108">
        <v>29</v>
      </c>
      <c r="AC6108">
        <v>-1.04679999999999</v>
      </c>
      <c r="AD6108">
        <v>-1.1042955038860001</v>
      </c>
      <c r="AE6108">
        <v>22.476275999999999</v>
      </c>
      <c r="AF6108">
        <v>0.16754177113354499</v>
      </c>
      <c r="AG6108">
        <v>-1.1042955038860001</v>
      </c>
      <c r="AH6108">
        <v>22.445947283477</v>
      </c>
      <c r="AI6108">
        <v>92.816487909990201</v>
      </c>
      <c r="AJ6108">
        <v>89.572338917754905</v>
      </c>
      <c r="AK6108">
        <v>22.473719947031601</v>
      </c>
    </row>
    <row r="6109" spans="1:37" x14ac:dyDescent="0.2">
      <c r="A6109" t="str">
        <f>"20200111160337257"</f>
        <v>20200111160337257</v>
      </c>
      <c r="B6109" t="str">
        <f>"1578729817249618"</f>
        <v>1578729817249618</v>
      </c>
      <c r="C6109" t="s">
        <v>37</v>
      </c>
      <c r="D6109">
        <v>4.6294250000000003</v>
      </c>
      <c r="E6109">
        <v>0.52078559999999996</v>
      </c>
      <c r="F6109" t="s">
        <v>38</v>
      </c>
      <c r="G6109">
        <v>-188.7397</v>
      </c>
      <c r="H6109" s="1">
        <v>-2.2313710000000002E-6</v>
      </c>
      <c r="I6109">
        <v>4.3130360000000003</v>
      </c>
      <c r="J6109">
        <v>-187.73390000000001</v>
      </c>
      <c r="K6109">
        <v>1.1041889999999901</v>
      </c>
      <c r="L6109">
        <v>-17.186489999999999</v>
      </c>
      <c r="M6109">
        <v>-5.4561930000000002E-2</v>
      </c>
      <c r="N6109">
        <v>0</v>
      </c>
      <c r="O6109">
        <v>0.99847999999999903</v>
      </c>
      <c r="P6109">
        <v>-9.7759280000000004E-2</v>
      </c>
      <c r="Q6109">
        <v>1.7821509999999999E-2</v>
      </c>
      <c r="R6109">
        <v>0.99505049999999995</v>
      </c>
      <c r="S6109">
        <v>-0.14096069999999999</v>
      </c>
      <c r="T6109">
        <v>-0.15195929999999999</v>
      </c>
      <c r="U6109">
        <v>3.0042110000000002</v>
      </c>
      <c r="V6109">
        <v>-4.3346129999999997E-2</v>
      </c>
      <c r="W6109">
        <v>2.5557420000000001E-2</v>
      </c>
      <c r="X6109">
        <v>0.99873319999999999</v>
      </c>
      <c r="Y6109">
        <v>7.763575E-3</v>
      </c>
      <c r="Z6109">
        <v>-5.0376360000000002E-2</v>
      </c>
      <c r="AA6109">
        <v>0.99870009999999998</v>
      </c>
      <c r="AB6109">
        <v>29</v>
      </c>
      <c r="AC6109">
        <v>-1.00579999999999</v>
      </c>
      <c r="AD6109">
        <v>-1.1041912313709901</v>
      </c>
      <c r="AE6109">
        <v>21.499525999999999</v>
      </c>
      <c r="AF6109">
        <v>0.168346486915286</v>
      </c>
      <c r="AG6109">
        <v>-1.1041912313709901</v>
      </c>
      <c r="AH6109">
        <v>21.465880557435199</v>
      </c>
      <c r="AI6109">
        <v>92.944572662473902</v>
      </c>
      <c r="AJ6109">
        <v>89.550666210605499</v>
      </c>
      <c r="AK6109">
        <v>21.494920491157099</v>
      </c>
    </row>
    <row r="6110" spans="1:37" x14ac:dyDescent="0.2">
      <c r="A6110" t="str">
        <f>"20200111160337278"</f>
        <v>20200111160337278</v>
      </c>
      <c r="B6110" t="str">
        <f>"1578729817269138"</f>
        <v>1578729817269138</v>
      </c>
      <c r="C6110" t="s">
        <v>37</v>
      </c>
      <c r="D6110">
        <v>4.628749</v>
      </c>
      <c r="E6110">
        <v>0.52085329999999996</v>
      </c>
      <c r="F6110" t="s">
        <v>38</v>
      </c>
      <c r="G6110">
        <v>-188.71459999999999</v>
      </c>
      <c r="H6110" s="1">
        <v>-1.954963E-6</v>
      </c>
      <c r="I6110">
        <v>3.6583699999999899</v>
      </c>
      <c r="J6110">
        <v>-187.74950000000001</v>
      </c>
      <c r="K6110">
        <v>1.104109</v>
      </c>
      <c r="L6110">
        <v>-16.908390000000001</v>
      </c>
      <c r="M6110">
        <v>-5.4941129999999998E-2</v>
      </c>
      <c r="N6110">
        <v>0</v>
      </c>
      <c r="O6110">
        <v>0.99845899999999999</v>
      </c>
      <c r="P6110">
        <v>-9.7036380000000005E-2</v>
      </c>
      <c r="Q6110">
        <v>1.7472040000000001E-2</v>
      </c>
      <c r="R6110">
        <v>0.9951274</v>
      </c>
      <c r="S6110">
        <v>-0.14132690000000001</v>
      </c>
      <c r="T6110">
        <v>-0.15912079999999901</v>
      </c>
      <c r="U6110">
        <v>3.003876</v>
      </c>
      <c r="V6110">
        <v>-4.2235870000000002E-2</v>
      </c>
      <c r="W6110">
        <v>2.52389999999999E-2</v>
      </c>
      <c r="X6110">
        <v>0.99878880000000003</v>
      </c>
      <c r="Y6110">
        <v>8.0224100000000007E-3</v>
      </c>
      <c r="Z6110">
        <v>-5.2748040000000003E-2</v>
      </c>
      <c r="AA6110">
        <v>0.99857559999999901</v>
      </c>
      <c r="AB6110">
        <v>30</v>
      </c>
      <c r="AC6110">
        <v>-0.96509999999997798</v>
      </c>
      <c r="AD6110">
        <v>-1.1041109549629999</v>
      </c>
      <c r="AE6110">
        <v>20.566759999999999</v>
      </c>
      <c r="AF6110">
        <v>0.16587633100447099</v>
      </c>
      <c r="AG6110">
        <v>-1.1041109549629999</v>
      </c>
      <c r="AH6110">
        <v>20.529682769238502</v>
      </c>
      <c r="AI6110">
        <v>93.078369645236094</v>
      </c>
      <c r="AJ6110">
        <v>89.537069959447095</v>
      </c>
      <c r="AK6110">
        <v>20.5600206849026</v>
      </c>
    </row>
    <row r="6111" spans="1:37" x14ac:dyDescent="0.2">
      <c r="A6111" t="str">
        <f>"20200111160337300"</f>
        <v>20200111160337300</v>
      </c>
      <c r="B6111" t="str">
        <f>"1578729817289633"</f>
        <v>1578729817289633</v>
      </c>
      <c r="C6111" t="s">
        <v>37</v>
      </c>
      <c r="D6111">
        <v>4.628673</v>
      </c>
      <c r="E6111">
        <v>0.520883599999999</v>
      </c>
      <c r="F6111" t="s">
        <v>38</v>
      </c>
      <c r="G6111">
        <v>-188.7012</v>
      </c>
      <c r="H6111" s="1">
        <v>-1.9490700000000001E-6</v>
      </c>
      <c r="I6111">
        <v>3.6390809999999898</v>
      </c>
      <c r="J6111">
        <v>-187.76589999999999</v>
      </c>
      <c r="K6111">
        <v>1.104023</v>
      </c>
      <c r="L6111">
        <v>-16.617159999999998</v>
      </c>
      <c r="M6111">
        <v>-5.521715E-2</v>
      </c>
      <c r="N6111">
        <v>0</v>
      </c>
      <c r="O6111">
        <v>0.99844370000000005</v>
      </c>
      <c r="P6111">
        <v>-9.563613E-2</v>
      </c>
      <c r="Q6111">
        <v>1.7090859999999999E-2</v>
      </c>
      <c r="R6111">
        <v>0.99526970000000003</v>
      </c>
      <c r="S6111">
        <v>-0.13912959999999999</v>
      </c>
      <c r="T6111">
        <v>-0.16141710000000001</v>
      </c>
      <c r="U6111">
        <v>3.0039669999999998</v>
      </c>
      <c r="V6111">
        <v>-4.0548769999999998E-2</v>
      </c>
      <c r="W6111">
        <v>2.4890539999999999E-2</v>
      </c>
      <c r="X6111">
        <v>0.99886749999999902</v>
      </c>
      <c r="Y6111">
        <v>9.0309689999999998E-3</v>
      </c>
      <c r="Z6111">
        <v>-5.3504910000000003E-2</v>
      </c>
      <c r="AA6111">
        <v>0.99852680000000005</v>
      </c>
      <c r="AB6111">
        <v>30</v>
      </c>
      <c r="AC6111">
        <v>-0.93530000000001201</v>
      </c>
      <c r="AD6111">
        <v>-1.10402494907</v>
      </c>
      <c r="AE6111">
        <v>20.256240999999999</v>
      </c>
      <c r="AF6111">
        <v>0.184107418875153</v>
      </c>
      <c r="AG6111">
        <v>-1.10402494907</v>
      </c>
      <c r="AH6111">
        <v>20.217053303190301</v>
      </c>
      <c r="AI6111">
        <v>93.125608264292495</v>
      </c>
      <c r="AJ6111">
        <v>89.4782480740257</v>
      </c>
      <c r="AK6111">
        <v>20.248012517130899</v>
      </c>
    </row>
    <row r="6112" spans="1:37" x14ac:dyDescent="0.2">
      <c r="A6112" t="str">
        <f>"20200111160337344"</f>
        <v>20200111160337344</v>
      </c>
      <c r="B6112" t="str">
        <f>"1578729817339410"</f>
        <v>1578729817339410</v>
      </c>
      <c r="C6112" t="s">
        <v>37</v>
      </c>
      <c r="D6112">
        <v>4.6472889999999998</v>
      </c>
      <c r="E6112">
        <v>0.52100769999999996</v>
      </c>
      <c r="F6112" t="s">
        <v>38</v>
      </c>
      <c r="G6112">
        <v>-188.67570000000001</v>
      </c>
      <c r="H6112" s="1">
        <v>-1.957649E-6</v>
      </c>
      <c r="I6112">
        <v>3.6485400000000001</v>
      </c>
      <c r="J6112">
        <v>-187.7978</v>
      </c>
      <c r="K6112">
        <v>1.10385</v>
      </c>
      <c r="L6112">
        <v>-16.04523</v>
      </c>
      <c r="M6112">
        <v>-5.5399820000000002E-2</v>
      </c>
      <c r="N6112">
        <v>0</v>
      </c>
      <c r="O6112">
        <v>0.99843320000000002</v>
      </c>
      <c r="P6112">
        <v>-9.3095880000000006E-2</v>
      </c>
      <c r="Q6112">
        <v>1.8062000000000002E-2</v>
      </c>
      <c r="R6112">
        <v>0.99549330000000003</v>
      </c>
      <c r="S6112">
        <v>-0.1348724</v>
      </c>
      <c r="T6112">
        <v>-0.1636571</v>
      </c>
      <c r="U6112">
        <v>3.0041199999999999</v>
      </c>
      <c r="V6112">
        <v>-3.7806069999999997E-2</v>
      </c>
      <c r="W6112">
        <v>2.592494E-2</v>
      </c>
      <c r="X6112">
        <v>0.99894879999999997</v>
      </c>
      <c r="Y6112">
        <v>1.063016E-2</v>
      </c>
      <c r="Z6112">
        <v>-5.4242949999999998E-2</v>
      </c>
      <c r="AA6112">
        <v>0.9984712</v>
      </c>
      <c r="AB6112">
        <v>30</v>
      </c>
      <c r="AC6112">
        <v>-0.877900000000011</v>
      </c>
      <c r="AD6112">
        <v>-1.103851957649</v>
      </c>
      <c r="AE6112">
        <v>19.693770000000001</v>
      </c>
      <c r="AF6112">
        <v>0.213842960553012</v>
      </c>
      <c r="AG6112">
        <v>-1.103851957649</v>
      </c>
      <c r="AH6112">
        <v>19.650546862073899</v>
      </c>
      <c r="AI6112">
        <v>93.214970388139406</v>
      </c>
      <c r="AJ6112">
        <v>89.376515290785903</v>
      </c>
      <c r="AK6112">
        <v>19.682688076956001</v>
      </c>
    </row>
    <row r="6113" spans="1:37" x14ac:dyDescent="0.2">
      <c r="A6113" t="str">
        <f>"20200111160337365"</f>
        <v>20200111160337365</v>
      </c>
      <c r="B6113" t="str">
        <f>"1578729817358930"</f>
        <v>1578729817358930</v>
      </c>
      <c r="C6113" t="s">
        <v>37</v>
      </c>
      <c r="D6113">
        <v>4.6217230000000002</v>
      </c>
      <c r="E6113">
        <v>0.52110089999999998</v>
      </c>
      <c r="F6113" t="s">
        <v>38</v>
      </c>
      <c r="G6113">
        <v>-188.65889999999999</v>
      </c>
      <c r="H6113" s="1">
        <v>-2.316202E-6</v>
      </c>
      <c r="I6113">
        <v>4.4773819999999898</v>
      </c>
      <c r="J6113">
        <v>-187.81440000000001</v>
      </c>
      <c r="K6113">
        <v>1.10375</v>
      </c>
      <c r="L6113">
        <v>-15.746189999999901</v>
      </c>
      <c r="M6113">
        <v>-5.5315650000000001E-2</v>
      </c>
      <c r="N6113">
        <v>0</v>
      </c>
      <c r="O6113">
        <v>0.99843760000000004</v>
      </c>
      <c r="P6113">
        <v>-9.1818380000000005E-2</v>
      </c>
      <c r="Q6113">
        <v>1.8352110000000001E-2</v>
      </c>
      <c r="R6113">
        <v>0.99560669999999996</v>
      </c>
      <c r="S6113">
        <v>-0.12606809999999999</v>
      </c>
      <c r="T6113">
        <v>-0.1616158</v>
      </c>
      <c r="U6113">
        <v>3.0047299999999999</v>
      </c>
      <c r="V6113">
        <v>-3.6602509999999998E-2</v>
      </c>
      <c r="W6113">
        <v>2.6247179999999998E-2</v>
      </c>
      <c r="X6113">
        <v>0.99898519999999902</v>
      </c>
      <c r="Y6113">
        <v>1.3473529999999999E-2</v>
      </c>
      <c r="Z6113">
        <v>-5.356035E-2</v>
      </c>
      <c r="AA6113">
        <v>0.99847369999999902</v>
      </c>
      <c r="AB6113">
        <v>30</v>
      </c>
      <c r="AC6113">
        <v>-0.84449999999998204</v>
      </c>
      <c r="AD6113">
        <v>-1.103752316202</v>
      </c>
      <c r="AE6113">
        <v>20.223572000000001</v>
      </c>
      <c r="AF6113">
        <v>0.27469129217786498</v>
      </c>
      <c r="AG6113">
        <v>-1.103752316202</v>
      </c>
      <c r="AH6113">
        <v>20.1793180199092</v>
      </c>
      <c r="AI6113">
        <v>93.130509868576794</v>
      </c>
      <c r="AJ6113">
        <v>89.220108445877699</v>
      </c>
      <c r="AK6113">
        <v>20.211348303123</v>
      </c>
    </row>
    <row r="6114" spans="1:37" x14ac:dyDescent="0.2">
      <c r="A6114" t="str">
        <f>"20200111160337391"</f>
        <v>20200111160337391</v>
      </c>
      <c r="B6114" t="str">
        <f>"1578729817379425"</f>
        <v>1578729817379425</v>
      </c>
      <c r="C6114" t="s">
        <v>37</v>
      </c>
      <c r="D6114">
        <v>4.6034189999999997</v>
      </c>
      <c r="E6114">
        <v>0.52124579999999998</v>
      </c>
      <c r="F6114" t="s">
        <v>38</v>
      </c>
      <c r="G6114">
        <v>-188.64680000000001</v>
      </c>
      <c r="H6114" s="1">
        <v>-2.4852989999999999E-6</v>
      </c>
      <c r="I6114">
        <v>4.866549</v>
      </c>
      <c r="J6114">
        <v>-187.8321</v>
      </c>
      <c r="K6114">
        <v>1.1036360000000001</v>
      </c>
      <c r="L6114">
        <v>-15.422000000000001</v>
      </c>
      <c r="M6114">
        <v>-5.5061909999999999E-2</v>
      </c>
      <c r="N6114">
        <v>0</v>
      </c>
      <c r="O6114">
        <v>0.99845139999999999</v>
      </c>
      <c r="P6114">
        <v>-9.01222E-2</v>
      </c>
      <c r="Q6114">
        <v>1.8628840000000001E-2</v>
      </c>
      <c r="R6114">
        <v>0.99575639999999999</v>
      </c>
      <c r="S6114">
        <v>-0.12135309999999901</v>
      </c>
      <c r="T6114">
        <v>-0.16090940000000001</v>
      </c>
      <c r="U6114">
        <v>3.0050050000000001</v>
      </c>
      <c r="V6114">
        <v>-3.5146910000000003E-2</v>
      </c>
      <c r="W6114">
        <v>2.6566070000000001E-2</v>
      </c>
      <c r="X6114">
        <v>0.99902899999999994</v>
      </c>
      <c r="Y6114">
        <v>1.478673E-2</v>
      </c>
      <c r="Z6114">
        <v>-5.3324419999999997E-2</v>
      </c>
      <c r="AA6114">
        <v>0.99846769999999996</v>
      </c>
      <c r="AB6114">
        <v>30</v>
      </c>
      <c r="AC6114">
        <v>-0.81470000000001597</v>
      </c>
      <c r="AD6114">
        <v>-1.103638485299</v>
      </c>
      <c r="AE6114">
        <v>20.288549</v>
      </c>
      <c r="AF6114">
        <v>0.30280290306060098</v>
      </c>
      <c r="AG6114">
        <v>-1.103638485299</v>
      </c>
      <c r="AH6114">
        <v>20.242825493112498</v>
      </c>
      <c r="AI6114">
        <v>93.120326941785606</v>
      </c>
      <c r="AJ6114">
        <v>89.143003305810396</v>
      </c>
      <c r="AK6114">
        <v>20.275149603614299</v>
      </c>
    </row>
    <row r="6115" spans="1:37" x14ac:dyDescent="0.2">
      <c r="A6115" t="str">
        <f>"20200111160337413"</f>
        <v>20200111160337413</v>
      </c>
      <c r="B6115" t="str">
        <f>"1578729817409682"</f>
        <v>1578729817409682</v>
      </c>
      <c r="C6115" t="s">
        <v>37</v>
      </c>
      <c r="D6115">
        <v>4.507498</v>
      </c>
      <c r="E6115">
        <v>0.52185760000000003</v>
      </c>
      <c r="F6115" t="s">
        <v>38</v>
      </c>
      <c r="G6115">
        <v>-188.63120000000001</v>
      </c>
      <c r="H6115" s="1">
        <v>-2.776123E-6</v>
      </c>
      <c r="I6115">
        <v>5.5380310000000001</v>
      </c>
      <c r="J6115">
        <v>-187.8485</v>
      </c>
      <c r="K6115">
        <v>1.1035170000000001</v>
      </c>
      <c r="L6115">
        <v>-15.118229999999899</v>
      </c>
      <c r="M6115">
        <v>-5.4635110000000001E-2</v>
      </c>
      <c r="N6115">
        <v>0</v>
      </c>
      <c r="O6115">
        <v>0.99847439999999998</v>
      </c>
      <c r="P6115">
        <v>-8.8549680000000006E-2</v>
      </c>
      <c r="Q6115">
        <v>1.889484E-2</v>
      </c>
      <c r="R6115">
        <v>0.99589249999999996</v>
      </c>
      <c r="S6115">
        <v>-0.11457819999999901</v>
      </c>
      <c r="T6115">
        <v>-0.1582462</v>
      </c>
      <c r="U6115">
        <v>3.0053709999999998</v>
      </c>
      <c r="V6115">
        <v>-3.3988039999999997E-2</v>
      </c>
      <c r="W6115">
        <v>2.6898780000000001E-2</v>
      </c>
      <c r="X6115">
        <v>0.99906019999999895</v>
      </c>
      <c r="Y6115">
        <v>1.6609769999999999E-2</v>
      </c>
      <c r="Z6115">
        <v>-5.2441330000000001E-2</v>
      </c>
      <c r="AA6115">
        <v>0.99848590000000004</v>
      </c>
      <c r="AB6115">
        <v>30</v>
      </c>
      <c r="AC6115">
        <v>-0.78270000000000495</v>
      </c>
      <c r="AD6115">
        <v>-1.103519776123</v>
      </c>
      <c r="AE6115">
        <v>20.656261000000001</v>
      </c>
      <c r="AF6115">
        <v>0.34607597271400498</v>
      </c>
      <c r="AG6115">
        <v>-1.103519776123</v>
      </c>
      <c r="AH6115">
        <v>20.6094354493741</v>
      </c>
      <c r="AI6115">
        <v>93.064509883934605</v>
      </c>
      <c r="AJ6115">
        <v>89.037973201204096</v>
      </c>
      <c r="AK6115">
        <v>20.641859267447401</v>
      </c>
    </row>
    <row r="6116" spans="1:37" x14ac:dyDescent="0.2">
      <c r="A6116" t="str">
        <f>"20200111160337437"</f>
        <v>20200111160337437</v>
      </c>
      <c r="B6116" t="str">
        <f>"1578729817429201"</f>
        <v>1578729817429201</v>
      </c>
      <c r="C6116" t="s">
        <v>37</v>
      </c>
      <c r="D6116">
        <v>4.4598500000000003</v>
      </c>
      <c r="E6116">
        <v>0.52225469999999996</v>
      </c>
      <c r="F6116" t="s">
        <v>38</v>
      </c>
      <c r="G6116">
        <v>-188.578</v>
      </c>
      <c r="H6116" s="1">
        <v>-2.9135039999999998E-6</v>
      </c>
      <c r="I6116">
        <v>5.8362489999999996</v>
      </c>
      <c r="J6116">
        <v>-187.8665</v>
      </c>
      <c r="K6116">
        <v>1.1033959999999901</v>
      </c>
      <c r="L6116">
        <v>-14.77835</v>
      </c>
      <c r="M6116">
        <v>-5.3993159999999998E-2</v>
      </c>
      <c r="N6116">
        <v>0</v>
      </c>
      <c r="O6116">
        <v>0.99850859999999997</v>
      </c>
      <c r="P6116">
        <v>-8.6474159999999994E-2</v>
      </c>
      <c r="Q6116">
        <v>1.8335199999999999E-2</v>
      </c>
      <c r="R6116">
        <v>0.99608529999999995</v>
      </c>
      <c r="S6116">
        <v>-0.1046448</v>
      </c>
      <c r="T6116">
        <v>-0.158308</v>
      </c>
      <c r="U6116">
        <v>3.00607299999999</v>
      </c>
      <c r="V6116">
        <v>-3.2539230000000002E-2</v>
      </c>
      <c r="W6116">
        <v>2.6445949999999999E-2</v>
      </c>
      <c r="X6116">
        <v>0.99912049999999997</v>
      </c>
      <c r="Y6116">
        <v>1.9270900000000001E-2</v>
      </c>
      <c r="Z6116">
        <v>-5.2454180000000003E-2</v>
      </c>
      <c r="AA6116">
        <v>0.99843729999999997</v>
      </c>
      <c r="AB6116">
        <v>30</v>
      </c>
      <c r="AC6116">
        <v>-0.71150000000000002</v>
      </c>
      <c r="AD6116">
        <v>-1.1033989135040001</v>
      </c>
      <c r="AE6116">
        <v>20.614598999999998</v>
      </c>
      <c r="AF6116">
        <v>0.40147279556652099</v>
      </c>
      <c r="AG6116">
        <v>-1.1033989135040001</v>
      </c>
      <c r="AH6116">
        <v>20.5640992353303</v>
      </c>
      <c r="AI6116">
        <v>93.070765408530605</v>
      </c>
      <c r="AJ6116">
        <v>88.881556896404305</v>
      </c>
      <c r="AK6116">
        <v>20.597593231453398</v>
      </c>
    </row>
    <row r="6117" spans="1:37" x14ac:dyDescent="0.2">
      <c r="A6117" t="str">
        <f>"20200111160337478"</f>
        <v>20200111160337478</v>
      </c>
      <c r="B6117" t="str">
        <f>"1578729817469217"</f>
        <v>1578729817469217</v>
      </c>
      <c r="C6117" t="s">
        <v>37</v>
      </c>
      <c r="D6117">
        <v>4.3855930000000001</v>
      </c>
      <c r="E6117">
        <v>0.52294110000000005</v>
      </c>
      <c r="F6117" t="s">
        <v>38</v>
      </c>
      <c r="G6117">
        <v>-188.51990000000001</v>
      </c>
      <c r="H6117" s="1">
        <v>-2.9619419999999999E-6</v>
      </c>
      <c r="I6117">
        <v>5.9251239999999896</v>
      </c>
      <c r="J6117">
        <v>-187.8939</v>
      </c>
      <c r="K6117">
        <v>1.103245</v>
      </c>
      <c r="L6117">
        <v>-14.2446</v>
      </c>
      <c r="M6117">
        <v>-5.2641029999999998E-2</v>
      </c>
      <c r="N6117">
        <v>0</v>
      </c>
      <c r="O6117">
        <v>0.99857830000000003</v>
      </c>
      <c r="P6117">
        <v>-8.27928E-2</v>
      </c>
      <c r="Q6117">
        <v>1.692801E-2</v>
      </c>
      <c r="R6117">
        <v>0.99642299999999995</v>
      </c>
      <c r="S6117">
        <v>-9.4879149999999995E-2</v>
      </c>
      <c r="T6117">
        <v>-0.1602325</v>
      </c>
      <c r="U6117">
        <v>3.0065</v>
      </c>
      <c r="V6117">
        <v>-3.0186480000000002E-2</v>
      </c>
      <c r="W6117">
        <v>2.5358169999999999E-2</v>
      </c>
      <c r="X6117">
        <v>0.99922259999999996</v>
      </c>
      <c r="Y6117">
        <v>2.1162670000000001E-2</v>
      </c>
      <c r="Z6117">
        <v>-5.3090129999999999E-2</v>
      </c>
      <c r="AA6117">
        <v>0.99836550000000002</v>
      </c>
      <c r="AB6117">
        <v>30</v>
      </c>
      <c r="AC6117">
        <v>-0.626000000000004</v>
      </c>
      <c r="AD6117">
        <v>-1.1032479619419999</v>
      </c>
      <c r="AE6117">
        <v>20.169723999999999</v>
      </c>
      <c r="AF6117">
        <v>0.43535908422397201</v>
      </c>
      <c r="AG6117">
        <v>-1.1032479619419999</v>
      </c>
      <c r="AH6117">
        <v>20.1145883262305</v>
      </c>
      <c r="AI6117">
        <v>93.138688295220305</v>
      </c>
      <c r="AJ6117">
        <v>88.760086775872793</v>
      </c>
      <c r="AK6117">
        <v>20.149524985256502</v>
      </c>
    </row>
    <row r="6118" spans="1:37" x14ac:dyDescent="0.2">
      <c r="A6118" t="str">
        <f>"20200111160337499"</f>
        <v>20200111160337499</v>
      </c>
      <c r="B6118" t="str">
        <f>"1578729817489714"</f>
        <v>1578729817489714</v>
      </c>
      <c r="C6118" t="s">
        <v>37</v>
      </c>
      <c r="D6118">
        <v>4.40212</v>
      </c>
      <c r="E6118">
        <v>0.52324669999999995</v>
      </c>
      <c r="F6118" t="s">
        <v>38</v>
      </c>
      <c r="G6118">
        <v>-188.41640000000001</v>
      </c>
      <c r="H6118" s="1">
        <v>-3.0196459999999999E-6</v>
      </c>
      <c r="I6118">
        <v>6.0168460000000001</v>
      </c>
      <c r="J6118">
        <v>-187.9085</v>
      </c>
      <c r="K6118">
        <v>1.1032010000000001</v>
      </c>
      <c r="L6118">
        <v>-13.9498</v>
      </c>
      <c r="M6118">
        <v>-5.1720790000000003E-2</v>
      </c>
      <c r="N6118">
        <v>0</v>
      </c>
      <c r="O6118">
        <v>0.99862379999999995</v>
      </c>
      <c r="P6118">
        <v>-8.0852359999999998E-2</v>
      </c>
      <c r="Q6118">
        <v>1.647645E-2</v>
      </c>
      <c r="R6118">
        <v>0.99658989999999903</v>
      </c>
      <c r="S6118">
        <v>-7.7545169999999997E-2</v>
      </c>
      <c r="T6118">
        <v>-0.163739</v>
      </c>
      <c r="U6118">
        <v>3.0071110000000001</v>
      </c>
      <c r="V6118">
        <v>-2.9154550000000001E-2</v>
      </c>
      <c r="W6118">
        <v>2.5208970000000001E-2</v>
      </c>
      <c r="X6118">
        <v>0.99925699999999995</v>
      </c>
      <c r="Y6118">
        <v>2.5999350000000001E-2</v>
      </c>
      <c r="Z6118">
        <v>-5.424284E-2</v>
      </c>
      <c r="AA6118">
        <v>0.9981892</v>
      </c>
      <c r="AB6118">
        <v>30</v>
      </c>
      <c r="AC6118">
        <v>-0.50790000000000601</v>
      </c>
      <c r="AD6118">
        <v>-1.103204019646</v>
      </c>
      <c r="AE6118">
        <v>19.966646000000001</v>
      </c>
      <c r="AF6118">
        <v>0.52391113315316296</v>
      </c>
      <c r="AG6118">
        <v>-1.103204019646</v>
      </c>
      <c r="AH6118">
        <v>19.905461759317799</v>
      </c>
      <c r="AI6118">
        <v>93.171115586304296</v>
      </c>
      <c r="AJ6118">
        <v>88.492324947198199</v>
      </c>
      <c r="AK6118">
        <v>19.942892213419501</v>
      </c>
    </row>
    <row r="6119" spans="1:37" x14ac:dyDescent="0.2">
      <c r="A6119" t="str">
        <f>"20200111160337522"</f>
        <v>20200111160337522</v>
      </c>
      <c r="B6119" t="str">
        <f>"1578729817519681"</f>
        <v>1578729817519681</v>
      </c>
      <c r="C6119" t="s">
        <v>37</v>
      </c>
      <c r="D6119">
        <v>4.3372089999999996</v>
      </c>
      <c r="E6119">
        <v>0.52363230000000005</v>
      </c>
      <c r="F6119" t="s">
        <v>38</v>
      </c>
      <c r="G6119">
        <v>-188.3717</v>
      </c>
      <c r="H6119" s="1">
        <v>-3.0764549999999999E-6</v>
      </c>
      <c r="I6119">
        <v>6.1308119999999997</v>
      </c>
      <c r="J6119">
        <v>-187.92330000000001</v>
      </c>
      <c r="K6119">
        <v>1.1031789999999999</v>
      </c>
      <c r="L6119">
        <v>-13.64227</v>
      </c>
      <c r="M6119">
        <v>-5.0660990000000003E-2</v>
      </c>
      <c r="N6119">
        <v>0</v>
      </c>
      <c r="O6119">
        <v>0.99867450000000002</v>
      </c>
      <c r="P6119">
        <v>-7.8720120000000005E-2</v>
      </c>
      <c r="Q6119">
        <v>1.5548650000000001E-2</v>
      </c>
      <c r="R6119">
        <v>0.99677549999999904</v>
      </c>
      <c r="S6119">
        <v>-6.9381709999999999E-2</v>
      </c>
      <c r="T6119">
        <v>-0.16522210000000001</v>
      </c>
      <c r="U6119">
        <v>3.00738499999999</v>
      </c>
      <c r="V6119">
        <v>-2.8071369999999998E-2</v>
      </c>
      <c r="W6119">
        <v>2.469414E-2</v>
      </c>
      <c r="X6119">
        <v>0.99930079999999999</v>
      </c>
      <c r="Y6119">
        <v>2.764952E-2</v>
      </c>
      <c r="Z6119">
        <v>-5.4732749999999997E-2</v>
      </c>
      <c r="AA6119">
        <v>0.99811819999999896</v>
      </c>
      <c r="AB6119">
        <v>30</v>
      </c>
      <c r="AC6119">
        <v>-0.44839999999999203</v>
      </c>
      <c r="AD6119">
        <v>-1.103182076455</v>
      </c>
      <c r="AE6119">
        <v>19.773081999999999</v>
      </c>
      <c r="AF6119">
        <v>0.55222311699767601</v>
      </c>
      <c r="AG6119">
        <v>-1.103182076455</v>
      </c>
      <c r="AH6119">
        <v>19.7090886290855</v>
      </c>
      <c r="AI6119">
        <v>93.202434850118706</v>
      </c>
      <c r="AJ6119">
        <v>88.395066418575595</v>
      </c>
      <c r="AK6119">
        <v>19.747661523681799</v>
      </c>
    </row>
    <row r="6120" spans="1:37" x14ac:dyDescent="0.2">
      <c r="A6120" t="str">
        <f>"20200111160337546"</f>
        <v>20200111160337546</v>
      </c>
      <c r="B6120" t="str">
        <f>"1578729817539201"</f>
        <v>1578729817539201</v>
      </c>
      <c r="C6120" t="s">
        <v>37</v>
      </c>
      <c r="D6120">
        <v>4.3766350000000003</v>
      </c>
      <c r="E6120">
        <v>0.52387550000000005</v>
      </c>
      <c r="F6120" t="s">
        <v>38</v>
      </c>
      <c r="G6120">
        <v>-188.31790000000001</v>
      </c>
      <c r="H6120" s="1">
        <v>-3.0977969999999999E-6</v>
      </c>
      <c r="I6120">
        <v>6.1582989999999898</v>
      </c>
      <c r="J6120">
        <v>-187.93819999999999</v>
      </c>
      <c r="K6120">
        <v>1.103189</v>
      </c>
      <c r="L6120">
        <v>-13.32419</v>
      </c>
      <c r="M6120">
        <v>-4.9462560000000003E-2</v>
      </c>
      <c r="N6120">
        <v>0</v>
      </c>
      <c r="O6120">
        <v>0.9987296</v>
      </c>
      <c r="P6120">
        <v>-7.6742160000000004E-2</v>
      </c>
      <c r="Q6120">
        <v>1.426667E-2</v>
      </c>
      <c r="R6120">
        <v>0.99694889999999903</v>
      </c>
      <c r="S6120">
        <v>-5.993652E-2</v>
      </c>
      <c r="T6120">
        <v>-0.167567299999999</v>
      </c>
      <c r="U6120">
        <v>3.0075989999999999</v>
      </c>
      <c r="V6120">
        <v>-2.7282290000000001E-2</v>
      </c>
      <c r="W6120">
        <v>2.3949069999999999E-2</v>
      </c>
      <c r="X6120">
        <v>0.99934080000000003</v>
      </c>
      <c r="Y6120">
        <v>2.9585759999999999E-2</v>
      </c>
      <c r="Z6120">
        <v>-5.5508660000000001E-2</v>
      </c>
      <c r="AA6120">
        <v>0.99801980000000001</v>
      </c>
      <c r="AB6120">
        <v>30</v>
      </c>
      <c r="AC6120">
        <v>-0.37970000000001303</v>
      </c>
      <c r="AD6120">
        <v>-1.103192097797</v>
      </c>
      <c r="AE6120">
        <v>19.482489000000001</v>
      </c>
      <c r="AF6120">
        <v>0.58259591750552897</v>
      </c>
      <c r="AG6120">
        <v>-1.103192097797</v>
      </c>
      <c r="AH6120">
        <v>19.415192984447199</v>
      </c>
      <c r="AI6120">
        <v>93.250650691981804</v>
      </c>
      <c r="AJ6120">
        <v>88.281228841478395</v>
      </c>
      <c r="AK6120">
        <v>19.455235013514098</v>
      </c>
    </row>
    <row r="6121" spans="1:37" x14ac:dyDescent="0.2">
      <c r="A6121" t="str">
        <f>"20200111160337567"</f>
        <v>20200111160337567</v>
      </c>
      <c r="B6121" t="str">
        <f>"1578729817559697"</f>
        <v>1578729817559697</v>
      </c>
      <c r="C6121" t="s">
        <v>37</v>
      </c>
      <c r="D6121">
        <v>4.3247960000000001</v>
      </c>
      <c r="E6121">
        <v>0.52411989999999997</v>
      </c>
      <c r="F6121" t="s">
        <v>38</v>
      </c>
      <c r="G6121">
        <v>-188.27359999999999</v>
      </c>
      <c r="H6121" s="1">
        <v>-3.0646669999999998E-6</v>
      </c>
      <c r="I6121">
        <v>6.0627389999999997</v>
      </c>
      <c r="J6121">
        <v>-187.9513</v>
      </c>
      <c r="K6121">
        <v>1.10321</v>
      </c>
      <c r="L6121">
        <v>-13.03345</v>
      </c>
      <c r="M6121">
        <v>-4.8278260000000003E-2</v>
      </c>
      <c r="N6121">
        <v>0</v>
      </c>
      <c r="O6121">
        <v>0.99878210000000001</v>
      </c>
      <c r="P6121">
        <v>-7.5468720000000003E-2</v>
      </c>
      <c r="Q6121">
        <v>1.2058289999999999E-2</v>
      </c>
      <c r="R6121">
        <v>0.9970753</v>
      </c>
      <c r="S6121">
        <v>-5.2032469999999997E-2</v>
      </c>
      <c r="T6121">
        <v>-0.17114589999999999</v>
      </c>
      <c r="U6121">
        <v>3.0076290000000001</v>
      </c>
      <c r="V6121">
        <v>-2.7189930000000001E-2</v>
      </c>
      <c r="W6121">
        <v>2.22925E-2</v>
      </c>
      <c r="X6121">
        <v>0.99938169999999904</v>
      </c>
      <c r="Y6121">
        <v>3.102398E-2</v>
      </c>
      <c r="Z6121">
        <v>-5.669482E-2</v>
      </c>
      <c r="AA6121">
        <v>0.99790939999999995</v>
      </c>
      <c r="AB6121">
        <v>30</v>
      </c>
      <c r="AC6121">
        <v>-0.32229999999998399</v>
      </c>
      <c r="AD6121">
        <v>-1.103213064667</v>
      </c>
      <c r="AE6121">
        <v>19.096188999999999</v>
      </c>
      <c r="AF6121">
        <v>0.59805889620978903</v>
      </c>
      <c r="AG6121">
        <v>-1.103213064667</v>
      </c>
      <c r="AH6121">
        <v>19.025998205474099</v>
      </c>
      <c r="AI6121">
        <v>93.316916829918597</v>
      </c>
      <c r="AJ6121">
        <v>88.199570345081298</v>
      </c>
      <c r="AK6121">
        <v>19.0673375494349</v>
      </c>
    </row>
    <row r="6122" spans="1:37" x14ac:dyDescent="0.2">
      <c r="A6122" t="str">
        <f>"20200111160337590"</f>
        <v>20200111160337590</v>
      </c>
      <c r="B6122" t="str">
        <f>"1578729817579217"</f>
        <v>1578729817579217</v>
      </c>
      <c r="C6122" t="s">
        <v>37</v>
      </c>
      <c r="D6122">
        <v>4.319426</v>
      </c>
      <c r="E6122">
        <v>0.52435659999999995</v>
      </c>
      <c r="F6122" t="s">
        <v>38</v>
      </c>
      <c r="G6122">
        <v>-188.23769999999999</v>
      </c>
      <c r="H6122" s="1">
        <v>-2.923399E-6</v>
      </c>
      <c r="I6122">
        <v>5.7186079999999997</v>
      </c>
      <c r="J6122">
        <v>-187.9649</v>
      </c>
      <c r="K6122">
        <v>1.103237</v>
      </c>
      <c r="L6122">
        <v>-12.72357</v>
      </c>
      <c r="M6122">
        <v>-4.6944220000000002E-2</v>
      </c>
      <c r="N6122">
        <v>0</v>
      </c>
      <c r="O6122">
        <v>0.99883949999999999</v>
      </c>
      <c r="P6122">
        <v>-7.4274499999999993E-2</v>
      </c>
      <c r="Q6122">
        <v>1.0225659999999999E-2</v>
      </c>
      <c r="R6122">
        <v>0.997185399999999</v>
      </c>
      <c r="S6122">
        <v>-4.5928959999999998E-2</v>
      </c>
      <c r="T6122">
        <v>-0.1769346</v>
      </c>
      <c r="U6122">
        <v>3.0074770000000002</v>
      </c>
      <c r="V6122">
        <v>-2.732648E-2</v>
      </c>
      <c r="W6122">
        <v>2.1054920000000001E-2</v>
      </c>
      <c r="X6122">
        <v>0.99940479999999998</v>
      </c>
      <c r="Y6122">
        <v>3.1714760000000002E-2</v>
      </c>
      <c r="Z6122">
        <v>-5.8614810000000003E-2</v>
      </c>
      <c r="AA6122">
        <v>0.99777669999999996</v>
      </c>
      <c r="AB6122">
        <v>30</v>
      </c>
      <c r="AC6122">
        <v>-0.272799999999989</v>
      </c>
      <c r="AD6122">
        <v>-1.103239923399</v>
      </c>
      <c r="AE6122">
        <v>18.442177999999998</v>
      </c>
      <c r="AF6122">
        <v>0.59118944752082703</v>
      </c>
      <c r="AG6122">
        <v>-1.103239923399</v>
      </c>
      <c r="AH6122">
        <v>18.368929465960999</v>
      </c>
      <c r="AI6122">
        <v>93.435287590654298</v>
      </c>
      <c r="AJ6122">
        <v>88.156617009248706</v>
      </c>
      <c r="AK6122">
        <v>18.4115239189181</v>
      </c>
    </row>
    <row r="6123" spans="1:37" x14ac:dyDescent="0.2">
      <c r="A6123" t="str">
        <f>"20200111160337614"</f>
        <v>20200111160337614</v>
      </c>
      <c r="B6123" t="str">
        <f>"1578729817609152"</f>
        <v>1578729817609152</v>
      </c>
      <c r="C6123" t="s">
        <v>37</v>
      </c>
      <c r="D6123">
        <v>4.2922370000000001</v>
      </c>
      <c r="E6123">
        <v>0.52466689999999905</v>
      </c>
      <c r="F6123" t="s">
        <v>42</v>
      </c>
      <c r="G6123">
        <v>-187.9778</v>
      </c>
      <c r="H6123">
        <v>1.044241</v>
      </c>
      <c r="I6123">
        <v>-11.746549999999999</v>
      </c>
      <c r="J6123">
        <v>-187.97799999999901</v>
      </c>
      <c r="K6123">
        <v>1.1032629999999899</v>
      </c>
      <c r="L6123">
        <v>-12.41113</v>
      </c>
      <c r="M6123">
        <v>-4.555269E-2</v>
      </c>
      <c r="N6123">
        <v>0</v>
      </c>
      <c r="O6123">
        <v>0.99889760000000005</v>
      </c>
      <c r="P6123">
        <v>-7.378767E-2</v>
      </c>
      <c r="Q6123">
        <v>9.2569880000000007E-3</v>
      </c>
      <c r="R6123">
        <v>0.99723099999999998</v>
      </c>
      <c r="S6123">
        <v>-4.0161130000000003E-2</v>
      </c>
      <c r="T6123">
        <v>-0.18154129999999999</v>
      </c>
      <c r="U6123">
        <v>3.0073240000000001</v>
      </c>
      <c r="V6123">
        <v>-2.8229299999999999E-2</v>
      </c>
      <c r="W6123">
        <v>2.0657809999999999E-2</v>
      </c>
      <c r="X6123">
        <v>0.99938799999999905</v>
      </c>
      <c r="Y6123">
        <v>3.2236359999999999E-2</v>
      </c>
      <c r="Z6123">
        <v>-6.0144639999999999E-2</v>
      </c>
      <c r="AA6123">
        <v>0.99766900000000003</v>
      </c>
      <c r="AB6123">
        <v>30</v>
      </c>
      <c r="AC6123">
        <v>1.9999999997821701E-4</v>
      </c>
      <c r="AD6123">
        <v>-5.9021999999999901E-2</v>
      </c>
      <c r="AE6123">
        <v>0.66457999999999995</v>
      </c>
      <c r="AF6123">
        <v>3.0236656619469501E-2</v>
      </c>
      <c r="AG6123">
        <v>-5.9021999999999901E-2</v>
      </c>
      <c r="AH6123">
        <v>0.65868561474172105</v>
      </c>
      <c r="AI6123">
        <v>95.1149970365543</v>
      </c>
      <c r="AJ6123">
        <v>87.371709002944797</v>
      </c>
      <c r="AK6123">
        <v>0.66201555189829397</v>
      </c>
    </row>
    <row r="6124" spans="1:37" x14ac:dyDescent="0.2">
      <c r="A6124" t="str">
        <f>"20200111160337635"</f>
        <v>20200111160337635</v>
      </c>
      <c r="B6124" t="str">
        <f>"1578729817629635"</f>
        <v>1578729817629635</v>
      </c>
      <c r="C6124" t="s">
        <v>37</v>
      </c>
      <c r="D6124">
        <v>4.2870589999999904</v>
      </c>
      <c r="E6124">
        <v>0.52486639999999996</v>
      </c>
      <c r="F6124" t="s">
        <v>42</v>
      </c>
      <c r="G6124">
        <v>-187.98920000000001</v>
      </c>
      <c r="H6124">
        <v>1.0464500000000001</v>
      </c>
      <c r="I6124">
        <v>-11.4772</v>
      </c>
      <c r="J6124">
        <v>-187.9897</v>
      </c>
      <c r="K6124">
        <v>1.1032819999999901</v>
      </c>
      <c r="L6124">
        <v>-12.12524</v>
      </c>
      <c r="M6124">
        <v>-4.4260359999999999E-2</v>
      </c>
      <c r="N6124">
        <v>0</v>
      </c>
      <c r="O6124">
        <v>0.99895020000000001</v>
      </c>
      <c r="P6124">
        <v>-7.3836379999999993E-2</v>
      </c>
      <c r="Q6124">
        <v>8.1230709999999904E-3</v>
      </c>
      <c r="R6124">
        <v>0.99723729999999999</v>
      </c>
      <c r="S6124">
        <v>-3.6087040000000001E-2</v>
      </c>
      <c r="T6124">
        <v>-0.18293579999999901</v>
      </c>
      <c r="U6124">
        <v>3.007355</v>
      </c>
      <c r="V6124">
        <v>-2.9570659999999999E-2</v>
      </c>
      <c r="W6124">
        <v>2.0008959999999999E-2</v>
      </c>
      <c r="X6124">
        <v>0.99936239999999998</v>
      </c>
      <c r="Y6124">
        <v>3.2295339999999999E-2</v>
      </c>
      <c r="Z6124">
        <v>-6.0610049999999999E-2</v>
      </c>
      <c r="AA6124">
        <v>0.9976389</v>
      </c>
      <c r="AB6124">
        <v>30</v>
      </c>
      <c r="AC6124">
        <v>4.9999999998817603E-4</v>
      </c>
      <c r="AD6124">
        <v>-5.6831999999999702E-2</v>
      </c>
      <c r="AE6124">
        <v>0.64803999999999995</v>
      </c>
      <c r="AF6124">
        <v>2.8961254131818201E-2</v>
      </c>
      <c r="AG6124">
        <v>-5.6831999999999702E-2</v>
      </c>
      <c r="AH6124">
        <v>0.64244171002489503</v>
      </c>
      <c r="AI6124">
        <v>95.050265786846893</v>
      </c>
      <c r="AJ6124">
        <v>87.418855402930006</v>
      </c>
      <c r="AK6124">
        <v>0.64560048113721202</v>
      </c>
    </row>
    <row r="6125" spans="1:37" x14ac:dyDescent="0.2">
      <c r="A6125" t="str">
        <f>"20200111160337657"</f>
        <v>20200111160337657</v>
      </c>
      <c r="B6125" t="str">
        <f>"1578729817649155"</f>
        <v>1578729817649155</v>
      </c>
      <c r="C6125" t="s">
        <v>37</v>
      </c>
      <c r="D6125">
        <v>4.3305989999999897</v>
      </c>
      <c r="E6125">
        <v>0.52503330000000004</v>
      </c>
      <c r="F6125" t="s">
        <v>42</v>
      </c>
      <c r="G6125">
        <v>-188</v>
      </c>
      <c r="H6125">
        <v>1.0469010000000001</v>
      </c>
      <c r="I6125">
        <v>-11.209960000000001</v>
      </c>
      <c r="J6125">
        <v>-188.00120000000001</v>
      </c>
      <c r="K6125">
        <v>1.1032949999999999</v>
      </c>
      <c r="L6125">
        <v>-11.831939999999999</v>
      </c>
      <c r="M6125">
        <v>-4.2922580000000002E-2</v>
      </c>
      <c r="N6125">
        <v>0</v>
      </c>
      <c r="O6125">
        <v>0.99900319999999898</v>
      </c>
      <c r="P6125">
        <v>-7.3911640000000001E-2</v>
      </c>
      <c r="Q6125">
        <v>6.931024E-3</v>
      </c>
      <c r="R6125">
        <v>0.99724069999999898</v>
      </c>
      <c r="S6125">
        <v>-3.4225459999999999E-2</v>
      </c>
      <c r="T6125">
        <v>-0.18517979999999901</v>
      </c>
      <c r="U6125">
        <v>3.0072939999999999</v>
      </c>
      <c r="V6125">
        <v>-3.0984959999999999E-2</v>
      </c>
      <c r="W6125">
        <v>1.926953E-2</v>
      </c>
      <c r="X6125">
        <v>0.9993341</v>
      </c>
      <c r="Y6125">
        <v>3.157488E-2</v>
      </c>
      <c r="Z6125">
        <v>-6.1358280000000001E-2</v>
      </c>
      <c r="AA6125">
        <v>0.99761619999999995</v>
      </c>
      <c r="AB6125">
        <v>30</v>
      </c>
      <c r="AC6125">
        <v>1.20000000001141E-3</v>
      </c>
      <c r="AD6125">
        <v>-5.6394E-2</v>
      </c>
      <c r="AE6125">
        <v>0.62197999999999798</v>
      </c>
      <c r="AF6125">
        <v>2.7670414664490099E-2</v>
      </c>
      <c r="AG6125">
        <v>-5.6394E-2</v>
      </c>
      <c r="AH6125">
        <v>0.616288831675324</v>
      </c>
      <c r="AI6125">
        <v>95.223102764489795</v>
      </c>
      <c r="AJ6125">
        <v>87.429234697073099</v>
      </c>
      <c r="AK6125">
        <v>0.61948192801036595</v>
      </c>
    </row>
    <row r="6126" spans="1:37" x14ac:dyDescent="0.2">
      <c r="A6126" t="str">
        <f>"20200111160337679"</f>
        <v>20200111160337679</v>
      </c>
      <c r="B6126" t="str">
        <f>"1578729817669652"</f>
        <v>1578729817669652</v>
      </c>
      <c r="C6126" t="s">
        <v>37</v>
      </c>
      <c r="D6126">
        <v>4.3062490000000002</v>
      </c>
      <c r="E6126">
        <v>0.52519799999999905</v>
      </c>
      <c r="F6126" t="s">
        <v>42</v>
      </c>
      <c r="G6126">
        <v>-188.01089999999999</v>
      </c>
      <c r="H6126">
        <v>1.0478339999999999</v>
      </c>
      <c r="I6126">
        <v>-10.942780000000001</v>
      </c>
      <c r="J6126">
        <v>-188.01230000000001</v>
      </c>
      <c r="K6126">
        <v>1.103307</v>
      </c>
      <c r="L6126">
        <v>-11.5401899999999</v>
      </c>
      <c r="M6126">
        <v>-4.1583580000000002E-2</v>
      </c>
      <c r="N6126">
        <v>0</v>
      </c>
      <c r="O6126">
        <v>0.99905480000000002</v>
      </c>
      <c r="P6126">
        <v>-7.4135179999999995E-2</v>
      </c>
      <c r="Q6126">
        <v>4.624726E-3</v>
      </c>
      <c r="R6126">
        <v>0.9972375</v>
      </c>
      <c r="S6126">
        <v>-3.2989499999999998E-2</v>
      </c>
      <c r="T6126">
        <v>-0.1875511</v>
      </c>
      <c r="U6126">
        <v>3.0071720000000002</v>
      </c>
      <c r="V6126">
        <v>-3.2552369999999997E-2</v>
      </c>
      <c r="W6126">
        <v>1.736774E-2</v>
      </c>
      <c r="X6126">
        <v>0.99931909999999902</v>
      </c>
      <c r="Y6126">
        <v>3.0645490000000001E-2</v>
      </c>
      <c r="Z6126">
        <v>-6.2149830000000003E-2</v>
      </c>
      <c r="AA6126">
        <v>0.99759629999999999</v>
      </c>
      <c r="AB6126">
        <v>30</v>
      </c>
      <c r="AC6126">
        <v>1.40000000001805E-3</v>
      </c>
      <c r="AD6126">
        <v>-5.5473000000000099E-2</v>
      </c>
      <c r="AE6126">
        <v>0.597409999999998</v>
      </c>
      <c r="AF6126">
        <v>2.60188879437354E-2</v>
      </c>
      <c r="AG6126">
        <v>-5.5473000000000099E-2</v>
      </c>
      <c r="AH6126">
        <v>0.59173293849464903</v>
      </c>
      <c r="AI6126">
        <v>95.350496797352804</v>
      </c>
      <c r="AJ6126">
        <v>87.482288511764395</v>
      </c>
      <c r="AK6126">
        <v>0.59489671940458799</v>
      </c>
    </row>
    <row r="6127" spans="1:37" x14ac:dyDescent="0.2">
      <c r="A6127" t="str">
        <f>"20200111160337724"</f>
        <v>20200111160337724</v>
      </c>
      <c r="B6127" t="str">
        <f>"1578729817719137"</f>
        <v>1578729817719137</v>
      </c>
      <c r="C6127" t="s">
        <v>37</v>
      </c>
      <c r="D6127">
        <v>4.2566940000000004</v>
      </c>
      <c r="E6127">
        <v>0.52555160000000001</v>
      </c>
      <c r="F6127" t="s">
        <v>42</v>
      </c>
      <c r="G6127">
        <v>-188.0214</v>
      </c>
      <c r="H6127">
        <v>1.047817</v>
      </c>
      <c r="I6127">
        <v>-10.676969999999899</v>
      </c>
      <c r="J6127">
        <v>-188.03319999999999</v>
      </c>
      <c r="K6127">
        <v>1.103334</v>
      </c>
      <c r="L6127">
        <v>-10.956329999999999</v>
      </c>
      <c r="M6127">
        <v>-3.8891870000000002E-2</v>
      </c>
      <c r="N6127">
        <v>0</v>
      </c>
      <c r="O6127">
        <v>0.99915449999999995</v>
      </c>
      <c r="P6127">
        <v>-7.4213219999999996E-2</v>
      </c>
      <c r="Q6127">
        <v>4.888982E-3</v>
      </c>
      <c r="R6127">
        <v>0.99723039999999996</v>
      </c>
      <c r="S6127">
        <v>-3.2211299999999998E-2</v>
      </c>
      <c r="T6127">
        <v>-0.193221799999999</v>
      </c>
      <c r="U6127">
        <v>3.0068049999999999</v>
      </c>
      <c r="V6127">
        <v>-3.5320669999999998E-2</v>
      </c>
      <c r="W6127">
        <v>1.8306010000000001E-2</v>
      </c>
      <c r="X6127">
        <v>0.99920830000000005</v>
      </c>
      <c r="Y6127">
        <v>2.8211010000000002E-2</v>
      </c>
      <c r="Z6127">
        <v>-6.4041909999999994E-2</v>
      </c>
      <c r="AA6127">
        <v>0.9975484</v>
      </c>
      <c r="AB6127">
        <v>30</v>
      </c>
      <c r="AC6127">
        <v>1.17999999999938E-2</v>
      </c>
      <c r="AD6127">
        <v>-5.5516999999999997E-2</v>
      </c>
      <c r="AE6127">
        <v>0.27936</v>
      </c>
      <c r="AF6127">
        <v>2.1797545109835201E-2</v>
      </c>
      <c r="AG6127">
        <v>-5.5516999999999997E-2</v>
      </c>
      <c r="AH6127">
        <v>0.268119570217833</v>
      </c>
      <c r="AI6127">
        <v>101.66096897993501</v>
      </c>
      <c r="AJ6127">
        <v>85.352197853859906</v>
      </c>
      <c r="AK6127">
        <v>0.27467321346576701</v>
      </c>
    </row>
    <row r="6128" spans="1:37" x14ac:dyDescent="0.2">
      <c r="A6128" t="str">
        <f>"20200111160337745"</f>
        <v>20200111160337745</v>
      </c>
      <c r="B6128" t="str">
        <f>"1578729817739633"</f>
        <v>1578729817739633</v>
      </c>
      <c r="C6128" t="s">
        <v>37</v>
      </c>
      <c r="D6128">
        <v>4.2821499999999997</v>
      </c>
      <c r="E6128">
        <v>0.52570539999999999</v>
      </c>
      <c r="F6128" t="s">
        <v>38</v>
      </c>
      <c r="G6128">
        <v>-188.2022</v>
      </c>
      <c r="H6128" s="1">
        <v>-3.31155199999999E-6</v>
      </c>
      <c r="I6128">
        <v>6.6087470000000001</v>
      </c>
      <c r="J6128">
        <v>-188.04300000000001</v>
      </c>
      <c r="K6128">
        <v>1.103353</v>
      </c>
      <c r="L6128">
        <v>-10.667389999999999</v>
      </c>
      <c r="M6128">
        <v>-3.7560259999999998E-2</v>
      </c>
      <c r="N6128">
        <v>0</v>
      </c>
      <c r="O6128">
        <v>0.99920180000000003</v>
      </c>
      <c r="P6128">
        <v>-7.2972389999999998E-2</v>
      </c>
      <c r="Q6128">
        <v>5.1667670000000001E-3</v>
      </c>
      <c r="R6128">
        <v>0.9973206</v>
      </c>
      <c r="S6128">
        <v>-2.893066E-2</v>
      </c>
      <c r="T6128">
        <v>-0.18888940000000001</v>
      </c>
      <c r="U6128">
        <v>3.0071110000000001</v>
      </c>
      <c r="V6128">
        <v>-3.540749E-2</v>
      </c>
      <c r="W6128">
        <v>1.8855230000000001E-2</v>
      </c>
      <c r="X6128">
        <v>0.999195099999999</v>
      </c>
      <c r="Y6128">
        <v>2.7967349999999998E-2</v>
      </c>
      <c r="Z6128">
        <v>-6.2610669999999993E-2</v>
      </c>
      <c r="AA6128">
        <v>0.99764609999999998</v>
      </c>
      <c r="AB6128">
        <v>30</v>
      </c>
      <c r="AC6128">
        <v>-0.15919999999999801</v>
      </c>
      <c r="AD6128">
        <v>-1.103356311552</v>
      </c>
      <c r="AE6128">
        <v>17.276136999999999</v>
      </c>
      <c r="AF6128">
        <v>0.48787876551008202</v>
      </c>
      <c r="AG6128">
        <v>-1.103356311552</v>
      </c>
      <c r="AH6128">
        <v>17.199774800049301</v>
      </c>
      <c r="AI6128">
        <v>93.6689924416808</v>
      </c>
      <c r="AJ6128">
        <v>88.3752170566666</v>
      </c>
      <c r="AK6128">
        <v>17.242032189173301</v>
      </c>
    </row>
    <row r="6129" spans="1:37" x14ac:dyDescent="0.2">
      <c r="A6129" t="str">
        <f>"20200111160337767"</f>
        <v>20200111160337767</v>
      </c>
      <c r="B6129" t="str">
        <f>"1578729817759153"</f>
        <v>1578729817759153</v>
      </c>
      <c r="C6129" t="s">
        <v>37</v>
      </c>
      <c r="D6129">
        <v>4.2474030000000003</v>
      </c>
      <c r="E6129">
        <v>0.52584549999999997</v>
      </c>
      <c r="F6129" t="s">
        <v>38</v>
      </c>
      <c r="G6129">
        <v>-188.185</v>
      </c>
      <c r="H6129" s="1">
        <v>-3.5149929999999998E-6</v>
      </c>
      <c r="I6129">
        <v>7.0758549999999998</v>
      </c>
      <c r="J6129">
        <v>-188.05269999999999</v>
      </c>
      <c r="K6129">
        <v>1.103361</v>
      </c>
      <c r="L6129">
        <v>-10.371639999999999</v>
      </c>
      <c r="M6129">
        <v>-3.6199969999999998E-2</v>
      </c>
      <c r="N6129">
        <v>0</v>
      </c>
      <c r="O6129">
        <v>0.99924869999999899</v>
      </c>
      <c r="P6129">
        <v>-7.1782180000000001E-2</v>
      </c>
      <c r="Q6129">
        <v>5.6477380000000002E-3</v>
      </c>
      <c r="R6129">
        <v>0.99740430000000002</v>
      </c>
      <c r="S6129">
        <v>-2.4063109999999999E-2</v>
      </c>
      <c r="T6129">
        <v>-0.18700539999999999</v>
      </c>
      <c r="U6129">
        <v>3.007263</v>
      </c>
      <c r="V6129">
        <v>-3.5573760000000003E-2</v>
      </c>
      <c r="W6129">
        <v>1.9578459999999999E-2</v>
      </c>
      <c r="X6129">
        <v>0.99917529999999999</v>
      </c>
      <c r="Y6129">
        <v>2.8221499999999899E-2</v>
      </c>
      <c r="Z6129">
        <v>-6.1990370000000003E-2</v>
      </c>
      <c r="AA6129">
        <v>0.9976777</v>
      </c>
      <c r="AB6129">
        <v>30</v>
      </c>
      <c r="AC6129">
        <v>-0.13230000000001399</v>
      </c>
      <c r="AD6129">
        <v>-1.103364514993</v>
      </c>
      <c r="AE6129">
        <v>17.447495</v>
      </c>
      <c r="AF6129">
        <v>0.49745673242406602</v>
      </c>
      <c r="AG6129">
        <v>-1.103364514993</v>
      </c>
      <c r="AH6129">
        <v>17.371379422112899</v>
      </c>
      <c r="AI6129">
        <v>93.6328444980646</v>
      </c>
      <c r="AJ6129">
        <v>88.359693649051195</v>
      </c>
      <c r="AK6129">
        <v>17.413491880739699</v>
      </c>
    </row>
    <row r="6130" spans="1:37" x14ac:dyDescent="0.2">
      <c r="A6130" t="str">
        <f>"20200111160337790"</f>
        <v>20200111160337790</v>
      </c>
      <c r="B6130" t="str">
        <f>"1578729817779649"</f>
        <v>1578729817779649</v>
      </c>
      <c r="C6130" t="s">
        <v>37</v>
      </c>
      <c r="D6130">
        <v>4.2486860000000002</v>
      </c>
      <c r="E6130">
        <v>0.52598049999999996</v>
      </c>
      <c r="F6130" t="s">
        <v>38</v>
      </c>
      <c r="G6130">
        <v>-188.16749999999999</v>
      </c>
      <c r="H6130" s="1">
        <v>-3.7569080000000002E-6</v>
      </c>
      <c r="I6130">
        <v>7.6325190000000003</v>
      </c>
      <c r="J6130">
        <v>-188.06190000000001</v>
      </c>
      <c r="K6130">
        <v>1.10337</v>
      </c>
      <c r="L6130">
        <v>-10.07663</v>
      </c>
      <c r="M6130">
        <v>-3.4845569999999999E-2</v>
      </c>
      <c r="N6130">
        <v>0</v>
      </c>
      <c r="O6130">
        <v>0.99929389999999996</v>
      </c>
      <c r="P6130">
        <v>-7.0322629999999997E-2</v>
      </c>
      <c r="Q6130">
        <v>6.7484650000000004E-3</v>
      </c>
      <c r="R6130">
        <v>0.99750149999999904</v>
      </c>
      <c r="S6130">
        <v>-1.9180300000000001E-2</v>
      </c>
      <c r="T6130">
        <v>-0.1843099</v>
      </c>
      <c r="U6130">
        <v>3.0074770000000002</v>
      </c>
      <c r="V6130">
        <v>-3.546229E-2</v>
      </c>
      <c r="W6130">
        <v>2.088663E-2</v>
      </c>
      <c r="X6130">
        <v>0.9991527</v>
      </c>
      <c r="Y6130">
        <v>2.848668E-2</v>
      </c>
      <c r="Z6130">
        <v>-6.1100420000000003E-2</v>
      </c>
      <c r="AA6130">
        <v>0.99772499999999997</v>
      </c>
      <c r="AB6130">
        <v>29</v>
      </c>
      <c r="AC6130">
        <v>-0.105599999999981</v>
      </c>
      <c r="AD6130">
        <v>-1.103373756908</v>
      </c>
      <c r="AE6130">
        <v>17.709149</v>
      </c>
      <c r="AF6130">
        <v>0.50963217995265198</v>
      </c>
      <c r="AG6130">
        <v>-1.103373756908</v>
      </c>
      <c r="AH6130">
        <v>17.633621917528099</v>
      </c>
      <c r="AI6130">
        <v>93.578962040142699</v>
      </c>
      <c r="AJ6130">
        <v>88.344546159857998</v>
      </c>
      <c r="AK6130">
        <v>17.6754570106859</v>
      </c>
    </row>
    <row r="6131" spans="1:37" x14ac:dyDescent="0.2">
      <c r="A6131" t="str">
        <f>"20200111160337812"</f>
        <v>20200111160337812</v>
      </c>
      <c r="B6131" t="str">
        <f>"1578729817809455"</f>
        <v>1578729817809455</v>
      </c>
      <c r="C6131" t="s">
        <v>37</v>
      </c>
      <c r="D6131">
        <v>4.2537060000000002</v>
      </c>
      <c r="E6131">
        <v>0.52615389999999995</v>
      </c>
      <c r="F6131" t="s">
        <v>42</v>
      </c>
      <c r="G6131">
        <v>-188.06610000000001</v>
      </c>
      <c r="H6131">
        <v>1.044735</v>
      </c>
      <c r="I6131">
        <v>-9.0961479999999995</v>
      </c>
      <c r="J6131">
        <v>-188.07060000000001</v>
      </c>
      <c r="K6131">
        <v>1.10338799999999</v>
      </c>
      <c r="L6131">
        <v>-9.7816770000000002</v>
      </c>
      <c r="M6131">
        <v>-3.3496980000000003E-2</v>
      </c>
      <c r="N6131">
        <v>0</v>
      </c>
      <c r="O6131">
        <v>0.99933749999999999</v>
      </c>
      <c r="P6131">
        <v>-6.9126800000000002E-2</v>
      </c>
      <c r="Q6131">
        <v>7.1359600000000002E-3</v>
      </c>
      <c r="R6131">
        <v>0.99758239999999998</v>
      </c>
      <c r="S6131">
        <v>-1.350403E-2</v>
      </c>
      <c r="T6131">
        <v>-0.17979400000000001</v>
      </c>
      <c r="U6131">
        <v>3.0077820000000002</v>
      </c>
      <c r="V6131">
        <v>-3.5611940000000002E-2</v>
      </c>
      <c r="W6131">
        <v>2.1452990000000002E-2</v>
      </c>
      <c r="X6131">
        <v>0.99913539999999901</v>
      </c>
      <c r="Y6131">
        <v>2.9020879999999999E-2</v>
      </c>
      <c r="Z6131">
        <v>-5.9606689999999997E-2</v>
      </c>
      <c r="AA6131">
        <v>0.99780000000000002</v>
      </c>
      <c r="AB6131">
        <v>29</v>
      </c>
      <c r="AC6131">
        <v>4.5000000000072699E-3</v>
      </c>
      <c r="AD6131">
        <v>-5.8652999999999803E-2</v>
      </c>
      <c r="AE6131">
        <v>0.68552900000000005</v>
      </c>
      <c r="AF6131">
        <v>2.7263383392794601E-2</v>
      </c>
      <c r="AG6131">
        <v>-5.8652999999999803E-2</v>
      </c>
      <c r="AH6131">
        <v>0.68001576038031797</v>
      </c>
      <c r="AI6131">
        <v>94.925760852949907</v>
      </c>
      <c r="AJ6131">
        <v>87.704111073904102</v>
      </c>
      <c r="AK6131">
        <v>0.683084841618261</v>
      </c>
    </row>
    <row r="6132" spans="1:37" x14ac:dyDescent="0.2">
      <c r="A6132" t="str">
        <f>"20200111160337863"</f>
        <v>20200111160337863</v>
      </c>
      <c r="B6132" t="str">
        <f>"1578729817849453"</f>
        <v>1578729817849453</v>
      </c>
      <c r="C6132" t="s">
        <v>37</v>
      </c>
      <c r="D6132">
        <v>4.2280360000000003</v>
      </c>
      <c r="E6132">
        <v>0.5263544</v>
      </c>
      <c r="F6132" t="s">
        <v>42</v>
      </c>
      <c r="G6132">
        <v>-188.07310000000001</v>
      </c>
      <c r="H6132">
        <v>1.047539</v>
      </c>
      <c r="I6132">
        <v>-8.8304309999999901</v>
      </c>
      <c r="J6132">
        <v>-188.08750000000001</v>
      </c>
      <c r="K6132">
        <v>1.103421</v>
      </c>
      <c r="L6132">
        <v>-9.1735530000000001</v>
      </c>
      <c r="M6132">
        <v>-3.0754400000000001E-2</v>
      </c>
      <c r="N6132">
        <v>0</v>
      </c>
      <c r="O6132">
        <v>0.99942140000000002</v>
      </c>
      <c r="P6132">
        <v>-6.4997429999999995E-2</v>
      </c>
      <c r="Q6132">
        <v>5.3343339999999996E-3</v>
      </c>
      <c r="R6132">
        <v>0.99787119999999996</v>
      </c>
      <c r="S6132">
        <v>-8.0261229999999996E-3</v>
      </c>
      <c r="T6132">
        <v>-0.17656859999999999</v>
      </c>
      <c r="U6132">
        <v>3.007965</v>
      </c>
      <c r="V6132">
        <v>-3.422323E-2</v>
      </c>
      <c r="W6132">
        <v>1.993984E-2</v>
      </c>
      <c r="X6132">
        <v>0.99921530000000003</v>
      </c>
      <c r="Y6132">
        <v>2.8095080000000001E-2</v>
      </c>
      <c r="Z6132">
        <v>-5.8546250000000001E-2</v>
      </c>
      <c r="AA6132">
        <v>0.99788929999999998</v>
      </c>
      <c r="AB6132">
        <v>29</v>
      </c>
      <c r="AC6132">
        <v>1.4399999999994801E-2</v>
      </c>
      <c r="AD6132">
        <v>-5.5881999999999897E-2</v>
      </c>
      <c r="AE6132">
        <v>0.34312200000000098</v>
      </c>
      <c r="AF6132">
        <v>2.4303312661740899E-2</v>
      </c>
      <c r="AG6132">
        <v>-5.5881999999999897E-2</v>
      </c>
      <c r="AH6132">
        <v>0.33368158246028701</v>
      </c>
      <c r="AI6132">
        <v>99.482497641814604</v>
      </c>
      <c r="AJ6132">
        <v>85.834283737783096</v>
      </c>
      <c r="AK6132">
        <v>0.33920030572441301</v>
      </c>
    </row>
    <row r="6133" spans="1:37" x14ac:dyDescent="0.2">
      <c r="A6133" t="str">
        <f>"20200111160337885"</f>
        <v>20200111160337885</v>
      </c>
      <c r="B6133" t="str">
        <f>"1578729817879709"</f>
        <v>1578729817879709</v>
      </c>
      <c r="C6133" t="s">
        <v>37</v>
      </c>
      <c r="D6133">
        <v>4.2624629999999897</v>
      </c>
      <c r="E6133">
        <v>0.52649349999999995</v>
      </c>
      <c r="F6133" t="s">
        <v>38</v>
      </c>
      <c r="G6133">
        <v>-188.04849999999999</v>
      </c>
      <c r="H6133" s="1">
        <v>-4.5078189999999997E-6</v>
      </c>
      <c r="I6133">
        <v>9.3337129999999995</v>
      </c>
      <c r="J6133">
        <v>-188.09630000000001</v>
      </c>
      <c r="K6133">
        <v>1.103458</v>
      </c>
      <c r="L6133">
        <v>-8.8325809999999993</v>
      </c>
      <c r="M6133">
        <v>-2.9266319999999998E-2</v>
      </c>
      <c r="N6133">
        <v>0</v>
      </c>
      <c r="O6133">
        <v>0.99946420000000002</v>
      </c>
      <c r="P6133">
        <v>-6.2190849999999999E-2</v>
      </c>
      <c r="Q6133">
        <v>5.2115140000000004E-3</v>
      </c>
      <c r="R6133">
        <v>0.99805069999999996</v>
      </c>
      <c r="S6133">
        <v>6.3323969999999896E-3</v>
      </c>
      <c r="T6133">
        <v>-0.1793276</v>
      </c>
      <c r="U6133">
        <v>3.0077820000000002</v>
      </c>
      <c r="V6133">
        <v>-3.2901979999999997E-2</v>
      </c>
      <c r="W6133">
        <v>1.994079E-2</v>
      </c>
      <c r="X6133">
        <v>0.99925969999999997</v>
      </c>
      <c r="Y6133">
        <v>3.1370090000000003E-2</v>
      </c>
      <c r="Z6133">
        <v>-5.9462580000000001E-2</v>
      </c>
      <c r="AA6133">
        <v>0.99773750000000005</v>
      </c>
      <c r="AB6133">
        <v>29</v>
      </c>
      <c r="AC6133">
        <v>4.7800000000023601E-2</v>
      </c>
      <c r="AD6133">
        <v>-1.1034625078189999</v>
      </c>
      <c r="AE6133">
        <v>18.166294000000001</v>
      </c>
      <c r="AF6133">
        <v>0.57736694815173295</v>
      </c>
      <c r="AG6133">
        <v>-1.1034625078189999</v>
      </c>
      <c r="AH6133">
        <v>18.090365464359699</v>
      </c>
      <c r="AI6133">
        <v>93.488788070235699</v>
      </c>
      <c r="AJ6133">
        <v>88.171984742610206</v>
      </c>
      <c r="AK6133">
        <v>18.133182421546302</v>
      </c>
    </row>
    <row r="6134" spans="1:37" x14ac:dyDescent="0.2">
      <c r="A6134" t="str">
        <f>"20200111160337925"</f>
        <v>20200111160337925</v>
      </c>
      <c r="B6134" t="str">
        <f>"1578729817919725"</f>
        <v>1578729817919725</v>
      </c>
      <c r="C6134" t="s">
        <v>37</v>
      </c>
      <c r="D6134">
        <v>4.3191389999999998</v>
      </c>
      <c r="E6134">
        <v>0.52664449999999996</v>
      </c>
      <c r="F6134" t="s">
        <v>38</v>
      </c>
      <c r="G6134">
        <v>-187.99760000000001</v>
      </c>
      <c r="H6134" s="1">
        <v>-5.8162299999999997E-7</v>
      </c>
      <c r="I6134">
        <v>9.7915869999999998</v>
      </c>
      <c r="J6134">
        <v>-188.1088</v>
      </c>
      <c r="K6134">
        <v>1.1035740000000001</v>
      </c>
      <c r="L6134">
        <v>-8.3169559999999993</v>
      </c>
      <c r="M6134">
        <v>-2.7216150000000001E-2</v>
      </c>
      <c r="N6134">
        <v>0</v>
      </c>
      <c r="O6134">
        <v>0.99951990000000002</v>
      </c>
      <c r="P6134">
        <v>-5.6484159999999999E-2</v>
      </c>
      <c r="Q6134">
        <v>5.3074150000000002E-3</v>
      </c>
      <c r="R6134">
        <v>0.99838939999999998</v>
      </c>
      <c r="S6134">
        <v>1.5930179999999999E-2</v>
      </c>
      <c r="T6134">
        <v>-0.17820739999999999</v>
      </c>
      <c r="U6134">
        <v>3.0077820000000002</v>
      </c>
      <c r="V6134">
        <v>-2.9242710000000002E-2</v>
      </c>
      <c r="W6134">
        <v>2.017248E-2</v>
      </c>
      <c r="X6134">
        <v>0.99936879999999995</v>
      </c>
      <c r="Y6134">
        <v>3.2503770000000001E-2</v>
      </c>
      <c r="Z6134">
        <v>-5.9096160000000002E-2</v>
      </c>
      <c r="AA6134">
        <v>0.99772299999999903</v>
      </c>
      <c r="AB6134">
        <v>29</v>
      </c>
      <c r="AC6134">
        <v>0.111199999999996</v>
      </c>
      <c r="AD6134">
        <v>-1.103574581623</v>
      </c>
      <c r="AE6134">
        <v>18.108543000000001</v>
      </c>
      <c r="AF6134">
        <v>0.60182260274851396</v>
      </c>
      <c r="AG6134">
        <v>-1.103574581623</v>
      </c>
      <c r="AH6134">
        <v>18.031839974977601</v>
      </c>
      <c r="AI6134">
        <v>93.500271816149194</v>
      </c>
      <c r="AJ6134">
        <v>88.088431335439793</v>
      </c>
      <c r="AK6134">
        <v>18.075600133483398</v>
      </c>
    </row>
    <row r="6135" spans="1:37" x14ac:dyDescent="0.2">
      <c r="A6135" t="str">
        <f>"20200111160337946"</f>
        <v>20200111160337946</v>
      </c>
      <c r="B6135" t="str">
        <f>"1578729817939245"</f>
        <v>1578729817939245</v>
      </c>
      <c r="C6135" t="s">
        <v>37</v>
      </c>
      <c r="D6135">
        <v>4.3882969999999997</v>
      </c>
      <c r="E6135">
        <v>0.52667749999999902</v>
      </c>
      <c r="F6135" t="s">
        <v>38</v>
      </c>
      <c r="G6135">
        <v>-187.89699999999999</v>
      </c>
      <c r="H6135" s="1">
        <v>-8.5383160000000005E-7</v>
      </c>
      <c r="I6135">
        <v>10.5128</v>
      </c>
      <c r="J6135">
        <v>-188.11510000000001</v>
      </c>
      <c r="K6135">
        <v>1.1036520000000001</v>
      </c>
      <c r="L6135">
        <v>-8.045166</v>
      </c>
      <c r="M6135">
        <v>-2.626796E-2</v>
      </c>
      <c r="N6135">
        <v>0</v>
      </c>
      <c r="O6135">
        <v>0.9995444</v>
      </c>
      <c r="P6135">
        <v>-5.4627519999999999E-2</v>
      </c>
      <c r="Q6135">
        <v>4.0903729999999996E-3</v>
      </c>
      <c r="R6135">
        <v>0.99849840000000001</v>
      </c>
      <c r="S6135">
        <v>3.3828740000000003E-2</v>
      </c>
      <c r="T6135">
        <v>-0.17627479999999901</v>
      </c>
      <c r="U6135">
        <v>3.0076900000000002</v>
      </c>
      <c r="V6135">
        <v>-2.83384E-2</v>
      </c>
      <c r="W6135">
        <v>1.9010180000000002E-2</v>
      </c>
      <c r="X6135">
        <v>0.99941759999999902</v>
      </c>
      <c r="Y6135">
        <v>3.749276E-2</v>
      </c>
      <c r="Z6135">
        <v>-5.8454930000000002E-2</v>
      </c>
      <c r="AA6135">
        <v>0.99758570000000002</v>
      </c>
      <c r="AB6135">
        <v>29</v>
      </c>
      <c r="AC6135">
        <v>0.21809999999999199</v>
      </c>
      <c r="AD6135">
        <v>-1.1036528538315999</v>
      </c>
      <c r="AE6135">
        <v>18.557966</v>
      </c>
      <c r="AF6135">
        <v>0.703072259370775</v>
      </c>
      <c r="AG6135">
        <v>-1.1036528538315999</v>
      </c>
      <c r="AH6135">
        <v>18.4804794630641</v>
      </c>
      <c r="AI6135">
        <v>93.415175832482106</v>
      </c>
      <c r="AJ6135">
        <v>87.821287292295295</v>
      </c>
      <c r="AK6135">
        <v>18.526750427649301</v>
      </c>
    </row>
    <row r="6136" spans="1:37" x14ac:dyDescent="0.2">
      <c r="A6136" t="str">
        <f>"20200111160337968"</f>
        <v>20200111160337968</v>
      </c>
      <c r="B6136" t="str">
        <f>"1578729817959741"</f>
        <v>1578729817959741</v>
      </c>
      <c r="C6136" t="s">
        <v>37</v>
      </c>
      <c r="D6136">
        <v>4.387384</v>
      </c>
      <c r="E6136">
        <v>0.52658329999999998</v>
      </c>
      <c r="F6136" t="s">
        <v>38</v>
      </c>
      <c r="G6136">
        <v>-187.87110000000001</v>
      </c>
      <c r="H6136" s="1">
        <v>-8.5062489999999996E-7</v>
      </c>
      <c r="I6136">
        <v>10.48311</v>
      </c>
      <c r="J6136">
        <v>-188.1217</v>
      </c>
      <c r="K6136">
        <v>1.103758</v>
      </c>
      <c r="L6136">
        <v>-7.7559509999999996</v>
      </c>
      <c r="M6136">
        <v>-2.5378029999999999E-2</v>
      </c>
      <c r="N6136">
        <v>0</v>
      </c>
      <c r="O6136">
        <v>0.99956659999999997</v>
      </c>
      <c r="P6136">
        <v>-5.3131159999999997E-2</v>
      </c>
      <c r="Q6136">
        <v>2.7689820000000001E-3</v>
      </c>
      <c r="R6136">
        <v>0.99858369999999996</v>
      </c>
      <c r="S6136">
        <v>3.9611819999999999E-2</v>
      </c>
      <c r="T6136">
        <v>-0.1791394</v>
      </c>
      <c r="U6136">
        <v>3.0074160000000001</v>
      </c>
      <c r="V6136">
        <v>-2.7737149999999999E-2</v>
      </c>
      <c r="W6136">
        <v>1.773628E-2</v>
      </c>
      <c r="X6136">
        <v>0.99945790000000001</v>
      </c>
      <c r="Y6136">
        <v>3.8521359999999998E-2</v>
      </c>
      <c r="Z6136">
        <v>-5.9407130000000002E-2</v>
      </c>
      <c r="AA6136">
        <v>0.99749030000000005</v>
      </c>
      <c r="AB6136">
        <v>29</v>
      </c>
      <c r="AC6136">
        <v>0.250599999999991</v>
      </c>
      <c r="AD6136">
        <v>-1.1037588506249001</v>
      </c>
      <c r="AE6136">
        <v>18.239061</v>
      </c>
      <c r="AF6136">
        <v>0.71083947293681604</v>
      </c>
      <c r="AG6136">
        <v>-1.1037588506249001</v>
      </c>
      <c r="AH6136">
        <v>18.1603304992156</v>
      </c>
      <c r="AI6136">
        <v>93.475421981809404</v>
      </c>
      <c r="AJ6136">
        <v>87.758448252594405</v>
      </c>
      <c r="AK6136">
        <v>18.2077230920661</v>
      </c>
    </row>
    <row r="6137" spans="1:37" x14ac:dyDescent="0.2">
      <c r="A6137" t="str">
        <f>"20200111160337991"</f>
        <v>20200111160337991</v>
      </c>
      <c r="B6137" t="str">
        <f>"1578729817979262"</f>
        <v>1578729817979262</v>
      </c>
      <c r="C6137" t="s">
        <v>37</v>
      </c>
      <c r="D6137">
        <v>4.3564059999999998</v>
      </c>
      <c r="E6137">
        <v>0.52641499999999997</v>
      </c>
      <c r="F6137" t="s">
        <v>38</v>
      </c>
      <c r="G6137">
        <v>-187.85740000000001</v>
      </c>
      <c r="H6137" s="1">
        <v>-8.1841059999999999E-7</v>
      </c>
      <c r="I6137">
        <v>10.37778</v>
      </c>
      <c r="J6137">
        <v>-188.12819999999999</v>
      </c>
      <c r="K6137">
        <v>1.1038840000000001</v>
      </c>
      <c r="L6137">
        <v>-7.4669800000000004</v>
      </c>
      <c r="M6137">
        <v>-2.4645029999999998E-2</v>
      </c>
      <c r="N6137">
        <v>0</v>
      </c>
      <c r="O6137">
        <v>0.99958419999999903</v>
      </c>
      <c r="P6137">
        <v>-5.2419489999999999E-2</v>
      </c>
      <c r="Q6137">
        <v>1.70913799999999E-3</v>
      </c>
      <c r="R6137">
        <v>0.998623699999999</v>
      </c>
      <c r="S6137">
        <v>4.3823239999999999E-2</v>
      </c>
      <c r="T6137">
        <v>-0.18303410000000001</v>
      </c>
      <c r="U6137">
        <v>3.00707999999999</v>
      </c>
      <c r="V6137">
        <v>-2.776385E-2</v>
      </c>
      <c r="W6137">
        <v>1.6714099999999999E-2</v>
      </c>
      <c r="X6137">
        <v>0.9994748</v>
      </c>
      <c r="Y6137">
        <v>3.9185669999999999E-2</v>
      </c>
      <c r="Z6137">
        <v>-6.0701070000000003E-2</v>
      </c>
      <c r="AA6137">
        <v>0.99738649999999995</v>
      </c>
      <c r="AB6137">
        <v>29</v>
      </c>
      <c r="AC6137">
        <v>0.270799999999979</v>
      </c>
      <c r="AD6137">
        <v>-1.1038848184106</v>
      </c>
      <c r="AE6137">
        <v>17.844760000000001</v>
      </c>
      <c r="AF6137">
        <v>0.70784355898012397</v>
      </c>
      <c r="AG6137">
        <v>-1.1038848184106</v>
      </c>
      <c r="AH6137">
        <v>17.764699300794501</v>
      </c>
      <c r="AI6137">
        <v>93.552931927306901</v>
      </c>
      <c r="AJ6137">
        <v>87.718227318603894</v>
      </c>
      <c r="AK6137">
        <v>17.813033022030702</v>
      </c>
    </row>
    <row r="6138" spans="1:37" x14ac:dyDescent="0.2">
      <c r="A6138" t="str">
        <f>"20200111160338014"</f>
        <v>20200111160338014</v>
      </c>
      <c r="B6138" t="str">
        <f>"1578729818009517"</f>
        <v>1578729818009517</v>
      </c>
      <c r="C6138" t="s">
        <v>37</v>
      </c>
      <c r="D6138">
        <v>4.390682</v>
      </c>
      <c r="E6138">
        <v>0.52611980000000003</v>
      </c>
      <c r="F6138" t="s">
        <v>42</v>
      </c>
      <c r="G6138">
        <v>-188.11369999999999</v>
      </c>
      <c r="H6138">
        <v>1.0438049999999901</v>
      </c>
      <c r="I6138">
        <v>-6.4992159999999997</v>
      </c>
      <c r="J6138">
        <v>-188.13499999999999</v>
      </c>
      <c r="K6138">
        <v>1.104012</v>
      </c>
      <c r="L6138">
        <v>-7.1620789999999896</v>
      </c>
      <c r="M6138">
        <v>-2.404243E-2</v>
      </c>
      <c r="N6138">
        <v>0</v>
      </c>
      <c r="O6138">
        <v>0.99959830000000005</v>
      </c>
      <c r="P6138">
        <v>-5.2269019999999999E-2</v>
      </c>
      <c r="Q6138">
        <v>1.1470409999999999E-3</v>
      </c>
      <c r="R6138">
        <v>0.99863239999999998</v>
      </c>
      <c r="S6138">
        <v>4.4662479999999997E-2</v>
      </c>
      <c r="T6138">
        <v>-0.18664069999999999</v>
      </c>
      <c r="U6138">
        <v>3.0068049999999999</v>
      </c>
      <c r="V6138">
        <v>-2.8221610000000001E-2</v>
      </c>
      <c r="W6138">
        <v>1.6183920000000001E-2</v>
      </c>
      <c r="X6138">
        <v>0.99947070000000005</v>
      </c>
      <c r="Y6138">
        <v>3.8861840000000002E-2</v>
      </c>
      <c r="Z6138">
        <v>-6.1899839999999998E-2</v>
      </c>
      <c r="AA6138">
        <v>0.99732549999999898</v>
      </c>
      <c r="AB6138">
        <v>29</v>
      </c>
      <c r="AC6138">
        <v>2.1299999999996499E-2</v>
      </c>
      <c r="AD6138">
        <v>-6.0207000000000101E-2</v>
      </c>
      <c r="AE6138">
        <v>0.66286299999999798</v>
      </c>
      <c r="AF6138">
        <v>3.6928136086549303E-2</v>
      </c>
      <c r="AG6138">
        <v>-6.0207000000000101E-2</v>
      </c>
      <c r="AH6138">
        <v>0.656746709799649</v>
      </c>
      <c r="AI6138">
        <v>95.229712603274095</v>
      </c>
      <c r="AJ6138">
        <v>86.781711013739994</v>
      </c>
      <c r="AK6138">
        <v>0.66053373185363595</v>
      </c>
    </row>
    <row r="6139" spans="1:37" x14ac:dyDescent="0.2">
      <c r="A6139" t="str">
        <f>"20200111160338036"</f>
        <v>20200111160338036</v>
      </c>
      <c r="B6139" t="str">
        <f>"1578729818029543"</f>
        <v>1578729818029543</v>
      </c>
      <c r="C6139" t="s">
        <v>37</v>
      </c>
      <c r="D6139">
        <v>4.3955789999999997</v>
      </c>
      <c r="E6139">
        <v>0.52601409999999904</v>
      </c>
      <c r="F6139" t="s">
        <v>42</v>
      </c>
      <c r="G6139">
        <v>-188.12180000000001</v>
      </c>
      <c r="H6139">
        <v>1.046041</v>
      </c>
      <c r="I6139">
        <v>-6.2400120000000001</v>
      </c>
      <c r="J6139">
        <v>-188.1413</v>
      </c>
      <c r="K6139">
        <v>1.104115</v>
      </c>
      <c r="L6139">
        <v>-6.877014</v>
      </c>
      <c r="M6139">
        <v>-2.3600360000000001E-2</v>
      </c>
      <c r="N6139">
        <v>0</v>
      </c>
      <c r="O6139">
        <v>0.99960830000000001</v>
      </c>
      <c r="P6139">
        <v>-5.299541E-2</v>
      </c>
      <c r="Q6139">
        <v>7.3489729999999997E-4</v>
      </c>
      <c r="R6139">
        <v>0.99859449999999905</v>
      </c>
      <c r="S6139">
        <v>4.2953489999999997E-2</v>
      </c>
      <c r="T6139">
        <v>-0.189023</v>
      </c>
      <c r="U6139">
        <v>3.006561</v>
      </c>
      <c r="V6139">
        <v>-2.9395129999999998E-2</v>
      </c>
      <c r="W6139">
        <v>1.5796310000000001E-2</v>
      </c>
      <c r="X6139">
        <v>0.99944310000000003</v>
      </c>
      <c r="Y6139">
        <v>3.7853640000000001E-2</v>
      </c>
      <c r="Z6139">
        <v>-6.2694390000000003E-2</v>
      </c>
      <c r="AA6139">
        <v>0.99731460000000005</v>
      </c>
      <c r="AB6139">
        <v>29</v>
      </c>
      <c r="AC6139">
        <v>1.9499999999993599E-2</v>
      </c>
      <c r="AD6139">
        <v>-5.8073999999999897E-2</v>
      </c>
      <c r="AE6139">
        <v>0.63700199999999896</v>
      </c>
      <c r="AF6139">
        <v>3.4245379490566497E-2</v>
      </c>
      <c r="AG6139">
        <v>-5.8073999999999897E-2</v>
      </c>
      <c r="AH6139">
        <v>0.63112357584089696</v>
      </c>
      <c r="AI6139">
        <v>95.249692674601206</v>
      </c>
      <c r="AJ6139">
        <v>86.894121013489297</v>
      </c>
      <c r="AK6139">
        <v>0.63471434793507897</v>
      </c>
    </row>
    <row r="6140" spans="1:37" x14ac:dyDescent="0.2">
      <c r="A6140" t="str">
        <f>"20200111160338057"</f>
        <v>20200111160338057</v>
      </c>
      <c r="B6140" t="str">
        <f>"1578729818049064"</f>
        <v>1578729818049064</v>
      </c>
      <c r="C6140" t="s">
        <v>37</v>
      </c>
      <c r="D6140">
        <v>4.4466089999999996</v>
      </c>
      <c r="E6140">
        <v>0.51383840000000003</v>
      </c>
      <c r="F6140" t="s">
        <v>42</v>
      </c>
      <c r="G6140">
        <v>-188.1293</v>
      </c>
      <c r="H6140">
        <v>1.047434</v>
      </c>
      <c r="I6140">
        <v>-5.9821140000000002</v>
      </c>
      <c r="J6140">
        <v>-188.1474</v>
      </c>
      <c r="K6140">
        <v>1.104214</v>
      </c>
      <c r="L6140">
        <v>-6.6042479999999903</v>
      </c>
      <c r="M6140">
        <v>-2.3280149999999999E-2</v>
      </c>
      <c r="N6140">
        <v>0</v>
      </c>
      <c r="O6140">
        <v>0.99961549999999999</v>
      </c>
      <c r="P6140">
        <v>-5.3587780000000002E-2</v>
      </c>
      <c r="Q6140">
        <v>1.1390739999999999E-3</v>
      </c>
      <c r="R6140">
        <v>0.99856250000000002</v>
      </c>
      <c r="S6140">
        <v>4.0130619999999999E-2</v>
      </c>
      <c r="T6140">
        <v>-0.190417</v>
      </c>
      <c r="U6140">
        <v>3.0065</v>
      </c>
      <c r="V6140">
        <v>-3.0310879999999998E-2</v>
      </c>
      <c r="W6140">
        <v>1.621968E-2</v>
      </c>
      <c r="X6140">
        <v>0.99940890000000004</v>
      </c>
      <c r="Y6140">
        <v>3.6597199999999899E-2</v>
      </c>
      <c r="Z6140">
        <v>-6.3158790000000006E-2</v>
      </c>
      <c r="AA6140">
        <v>0.99733229999999995</v>
      </c>
      <c r="AB6140">
        <v>29</v>
      </c>
      <c r="AC6140">
        <v>1.8100000000003998E-2</v>
      </c>
      <c r="AD6140">
        <v>-5.6779999999999997E-2</v>
      </c>
      <c r="AE6140">
        <v>0.62213399999999897</v>
      </c>
      <c r="AF6140">
        <v>3.2311198621405697E-2</v>
      </c>
      <c r="AG6140">
        <v>-5.6779999999999997E-2</v>
      </c>
      <c r="AH6140">
        <v>0.61641380931281498</v>
      </c>
      <c r="AI6140">
        <v>95.255685335341994</v>
      </c>
      <c r="AJ6140">
        <v>86.999414186793302</v>
      </c>
      <c r="AK6140">
        <v>0.61986608736717297</v>
      </c>
    </row>
    <row r="6141" spans="1:37" x14ac:dyDescent="0.2">
      <c r="A6141" t="str">
        <f>"20200111160338080"</f>
        <v>20200111160338080</v>
      </c>
      <c r="B6141" t="str">
        <f>"1578729818069560"</f>
        <v>1578729818069560</v>
      </c>
      <c r="C6141" t="s">
        <v>37</v>
      </c>
      <c r="D6141">
        <v>4.4710529999999897</v>
      </c>
      <c r="E6141">
        <v>0.51440719999999995</v>
      </c>
      <c r="F6141" t="s">
        <v>38</v>
      </c>
      <c r="G6141">
        <v>-188.5068</v>
      </c>
      <c r="H6141" s="1">
        <v>-1.301662E-6</v>
      </c>
      <c r="I6141">
        <v>12.04956</v>
      </c>
      <c r="J6141">
        <v>-188.15369999999999</v>
      </c>
      <c r="K6141">
        <v>1.104304</v>
      </c>
      <c r="L6141">
        <v>-6.3222050000000003</v>
      </c>
      <c r="M6141">
        <v>-2.3046540000000001E-2</v>
      </c>
      <c r="N6141">
        <v>0</v>
      </c>
      <c r="O6141">
        <v>0.99962059999999997</v>
      </c>
      <c r="P6141">
        <v>-5.4318379999999999E-2</v>
      </c>
      <c r="Q6141">
        <v>2.7651729999999901E-3</v>
      </c>
      <c r="R6141">
        <v>0.99851979999999996</v>
      </c>
      <c r="S6141">
        <v>-5.7830810000000003E-2</v>
      </c>
      <c r="T6141">
        <v>-0.17766860000000001</v>
      </c>
      <c r="U6141">
        <v>3.001404</v>
      </c>
      <c r="V6141">
        <v>-3.1277880000000001E-2</v>
      </c>
      <c r="W6141">
        <v>1.786072E-2</v>
      </c>
      <c r="X6141">
        <v>0.99935110000000005</v>
      </c>
      <c r="Y6141">
        <v>3.8192980000000001E-3</v>
      </c>
      <c r="Z6141">
        <v>-5.906252E-2</v>
      </c>
      <c r="AA6141">
        <v>0.998246999999999</v>
      </c>
      <c r="AB6141">
        <v>29</v>
      </c>
      <c r="AC6141">
        <v>-0.35310000000001202</v>
      </c>
      <c r="AD6141">
        <v>-1.1043053016619999</v>
      </c>
      <c r="AE6141">
        <v>18.371765</v>
      </c>
      <c r="AF6141">
        <v>7.0194074854826899E-2</v>
      </c>
      <c r="AG6141">
        <v>-1.1043053016619999</v>
      </c>
      <c r="AH6141">
        <v>18.308895960925099</v>
      </c>
      <c r="AI6141">
        <v>93.451601374016406</v>
      </c>
      <c r="AJ6141">
        <v>89.780336043217801</v>
      </c>
      <c r="AK6141">
        <v>18.342303255464</v>
      </c>
    </row>
    <row r="6142" spans="1:37" x14ac:dyDescent="0.2">
      <c r="A6142" t="str">
        <f>"20200111160338103"</f>
        <v>20200111160338103</v>
      </c>
      <c r="B6142" t="str">
        <f>"1578729818099816"</f>
        <v>1578729818099816</v>
      </c>
      <c r="C6142" t="s">
        <v>37</v>
      </c>
      <c r="D6142">
        <v>4.496048</v>
      </c>
      <c r="E6142">
        <v>0.51446259999999999</v>
      </c>
      <c r="F6142" t="s">
        <v>38</v>
      </c>
      <c r="G6142">
        <v>-188.47620000000001</v>
      </c>
      <c r="H6142" s="1">
        <v>-8.2300909999999997E-7</v>
      </c>
      <c r="I6142">
        <v>10.875109999999999</v>
      </c>
      <c r="J6142">
        <v>-188.16040000000001</v>
      </c>
      <c r="K6142">
        <v>1.1043829999999999</v>
      </c>
      <c r="L6142">
        <v>-6.0176089999999904</v>
      </c>
      <c r="M6142">
        <v>-2.288316E-2</v>
      </c>
      <c r="N6142">
        <v>0</v>
      </c>
      <c r="O6142">
        <v>0.99962410000000002</v>
      </c>
      <c r="P6142">
        <v>-5.4597659999999999E-2</v>
      </c>
      <c r="Q6142">
        <v>3.3201319999999999E-3</v>
      </c>
      <c r="R6142">
        <v>0.99850289999999997</v>
      </c>
      <c r="S6142">
        <v>-5.6304930000000003E-2</v>
      </c>
      <c r="T6142">
        <v>-0.19276479999999999</v>
      </c>
      <c r="U6142">
        <v>3.0019230000000001</v>
      </c>
      <c r="V6142">
        <v>-3.1723580000000001E-2</v>
      </c>
      <c r="W6142">
        <v>1.842854E-2</v>
      </c>
      <c r="X6142">
        <v>0.99932679999999996</v>
      </c>
      <c r="Y6142">
        <v>4.1721809999999996E-3</v>
      </c>
      <c r="Z6142">
        <v>-6.4050789999999996E-2</v>
      </c>
      <c r="AA6142">
        <v>0.99793790000000004</v>
      </c>
      <c r="AB6142">
        <v>29</v>
      </c>
      <c r="AC6142">
        <v>-0.31579999999999497</v>
      </c>
      <c r="AD6142">
        <v>-1.1043838230091001</v>
      </c>
      <c r="AE6142">
        <v>16.892719</v>
      </c>
      <c r="AF6142">
        <v>7.0584007919336597E-2</v>
      </c>
      <c r="AG6142">
        <v>-1.1043838230091001</v>
      </c>
      <c r="AH6142">
        <v>16.823641704553001</v>
      </c>
      <c r="AI6142">
        <v>93.7557457402213</v>
      </c>
      <c r="AJ6142">
        <v>89.759615540016796</v>
      </c>
      <c r="AK6142">
        <v>16.8599989897352</v>
      </c>
    </row>
    <row r="6143" spans="1:37" x14ac:dyDescent="0.2">
      <c r="A6143" t="str">
        <f>"20200111160338128"</f>
        <v>20200111160338128</v>
      </c>
      <c r="B6143" t="str">
        <f>"1578729818119335"</f>
        <v>1578729818119335</v>
      </c>
      <c r="C6143" t="s">
        <v>37</v>
      </c>
      <c r="D6143">
        <v>4.7127220000000003</v>
      </c>
      <c r="E6143">
        <v>0.51417950000000001</v>
      </c>
      <c r="F6143" t="s">
        <v>38</v>
      </c>
      <c r="G6143">
        <v>-188.4802</v>
      </c>
      <c r="H6143" s="1">
        <v>-8.0555230000000004E-7</v>
      </c>
      <c r="I6143">
        <v>10.82695</v>
      </c>
      <c r="J6143">
        <v>-188.16739999999999</v>
      </c>
      <c r="K6143">
        <v>1.1044510000000001</v>
      </c>
      <c r="L6143">
        <v>-5.7051699999999999</v>
      </c>
      <c r="M6143">
        <v>-2.278173E-2</v>
      </c>
      <c r="N6143">
        <v>0</v>
      </c>
      <c r="O6143">
        <v>0.99962619999999902</v>
      </c>
      <c r="P6143">
        <v>-5.4792090000000002E-2</v>
      </c>
      <c r="Q6143">
        <v>2.352556E-3</v>
      </c>
      <c r="R6143">
        <v>0.99849500000000002</v>
      </c>
      <c r="S6143">
        <v>-5.699158E-2</v>
      </c>
      <c r="T6143">
        <v>-0.19682379999999999</v>
      </c>
      <c r="U6143">
        <v>3.0020449999999999</v>
      </c>
      <c r="V6143">
        <v>-3.20229E-2</v>
      </c>
      <c r="W6143">
        <v>1.747168E-2</v>
      </c>
      <c r="X6143">
        <v>0.99933439999999996</v>
      </c>
      <c r="Y6143">
        <v>3.8449539999999998E-3</v>
      </c>
      <c r="Z6143">
        <v>-6.5391260000000007E-2</v>
      </c>
      <c r="AA6143">
        <v>0.99785230000000003</v>
      </c>
      <c r="AB6143">
        <v>29</v>
      </c>
      <c r="AC6143">
        <v>-0.31280000000001001</v>
      </c>
      <c r="AD6143">
        <v>-1.1044518055523</v>
      </c>
      <c r="AE6143">
        <v>16.532119999999999</v>
      </c>
      <c r="AF6143">
        <v>6.3670458713347797E-2</v>
      </c>
      <c r="AG6143">
        <v>-1.1044518055523</v>
      </c>
      <c r="AH6143">
        <v>16.461512204048599</v>
      </c>
      <c r="AI6143">
        <v>93.838363036021704</v>
      </c>
      <c r="AJ6143">
        <v>89.778390324833197</v>
      </c>
      <c r="AK6143">
        <v>16.498643937067701</v>
      </c>
    </row>
    <row r="6144" spans="1:37" x14ac:dyDescent="0.2">
      <c r="A6144" t="str">
        <f>"20200111160338170"</f>
        <v>20200111160338170</v>
      </c>
      <c r="B6144" t="str">
        <f>"1578729818159352"</f>
        <v>1578729818159352</v>
      </c>
      <c r="C6144" t="s">
        <v>37</v>
      </c>
      <c r="D6144">
        <v>4.5311469999999998</v>
      </c>
      <c r="E6144">
        <v>0.51438209999999995</v>
      </c>
      <c r="F6144" t="s">
        <v>38</v>
      </c>
      <c r="G6144">
        <v>-188.49449999999999</v>
      </c>
      <c r="H6144" s="1">
        <v>-8.0648459999999996E-7</v>
      </c>
      <c r="I6144">
        <v>10.84088</v>
      </c>
      <c r="J6144">
        <v>-188.17930000000001</v>
      </c>
      <c r="K6144">
        <v>1.1045339999999999</v>
      </c>
      <c r="L6144">
        <v>-5.1795960000000001</v>
      </c>
      <c r="M6144">
        <v>-2.2697829999999999E-2</v>
      </c>
      <c r="N6144">
        <v>0</v>
      </c>
      <c r="O6144">
        <v>0.99962779999999996</v>
      </c>
      <c r="P6144">
        <v>-5.6029059999999999E-2</v>
      </c>
      <c r="Q6144">
        <v>3.3279059999999998E-3</v>
      </c>
      <c r="R6144">
        <v>0.99842359999999897</v>
      </c>
      <c r="S6144">
        <v>-5.9341430000000001E-2</v>
      </c>
      <c r="T6144">
        <v>-0.20036660000000001</v>
      </c>
      <c r="U6144">
        <v>3.0017399999999999</v>
      </c>
      <c r="V6144">
        <v>-3.3347010000000003E-2</v>
      </c>
      <c r="W6144">
        <v>1.8459529999999998E-2</v>
      </c>
      <c r="X6144">
        <v>0.99927339999999998</v>
      </c>
      <c r="Y6144">
        <v>2.979794E-3</v>
      </c>
      <c r="Z6144">
        <v>-6.6569639999999999E-2</v>
      </c>
      <c r="AA6144">
        <v>0.99777729999999998</v>
      </c>
      <c r="AB6144">
        <v>29</v>
      </c>
      <c r="AC6144">
        <v>-0.315199999999975</v>
      </c>
      <c r="AD6144">
        <v>-1.1045348064845999</v>
      </c>
      <c r="AE6144">
        <v>16.020475999999999</v>
      </c>
      <c r="AF6144">
        <v>4.8323306497483898E-2</v>
      </c>
      <c r="AG6144">
        <v>-1.1045348064845999</v>
      </c>
      <c r="AH6144">
        <v>15.947725674061299</v>
      </c>
      <c r="AI6144">
        <v>93.961943796380197</v>
      </c>
      <c r="AJ6144">
        <v>89.826388220029401</v>
      </c>
      <c r="AK6144">
        <v>15.9860028292191</v>
      </c>
    </row>
    <row r="6145" spans="1:37" x14ac:dyDescent="0.2">
      <c r="A6145" t="str">
        <f>"20200111160338191"</f>
        <v>20200111160338191</v>
      </c>
      <c r="B6145" t="str">
        <f>"1578729818179848"</f>
        <v>1578729818179848</v>
      </c>
      <c r="C6145" t="s">
        <v>37</v>
      </c>
      <c r="D6145">
        <v>4.5458879999999997</v>
      </c>
      <c r="E6145">
        <v>0.51407959999999997</v>
      </c>
      <c r="F6145" t="s">
        <v>42</v>
      </c>
      <c r="G6145">
        <v>-188.19900000000001</v>
      </c>
      <c r="H6145">
        <v>1.0408539999999999</v>
      </c>
      <c r="I6145">
        <v>-4.1990949999999998</v>
      </c>
      <c r="J6145">
        <v>-188.18539999999999</v>
      </c>
      <c r="K6145">
        <v>1.1045659999999999</v>
      </c>
      <c r="L6145">
        <v>-4.9071959999999999</v>
      </c>
      <c r="M6145">
        <v>-2.267402E-2</v>
      </c>
      <c r="N6145">
        <v>0</v>
      </c>
      <c r="O6145">
        <v>0.99962819999999997</v>
      </c>
      <c r="P6145">
        <v>-5.6869629999999997E-2</v>
      </c>
      <c r="Q6145">
        <v>4.6216410000000001E-3</v>
      </c>
      <c r="R6145">
        <v>0.99837089999999995</v>
      </c>
      <c r="S6145">
        <v>-6.0501099999999898E-2</v>
      </c>
      <c r="T6145">
        <v>-0.1949649</v>
      </c>
      <c r="U6145">
        <v>3.0019840000000002</v>
      </c>
      <c r="V6145">
        <v>-3.4212409999999999E-2</v>
      </c>
      <c r="W6145">
        <v>1.9757239999999999E-2</v>
      </c>
      <c r="X6145">
        <v>0.99921930000000003</v>
      </c>
      <c r="Y6145">
        <v>2.569909E-3</v>
      </c>
      <c r="Z6145">
        <v>-6.4777199999999993E-2</v>
      </c>
      <c r="AA6145">
        <v>0.99789640000000002</v>
      </c>
      <c r="AB6145">
        <v>28</v>
      </c>
      <c r="AC6145">
        <v>-1.3600000000025101E-2</v>
      </c>
      <c r="AD6145">
        <v>-6.3711999999999699E-2</v>
      </c>
      <c r="AE6145">
        <v>0.70810099999999998</v>
      </c>
      <c r="AF6145">
        <v>2.4410800711242402E-3</v>
      </c>
      <c r="AG6145">
        <v>-6.3711999999999699E-2</v>
      </c>
      <c r="AH6145">
        <v>0.70254187525789802</v>
      </c>
      <c r="AI6145">
        <v>95.181824292790196</v>
      </c>
      <c r="AJ6145">
        <v>89.800918596320997</v>
      </c>
      <c r="AK6145">
        <v>0.70542913485820702</v>
      </c>
    </row>
    <row r="6146" spans="1:37" x14ac:dyDescent="0.2">
      <c r="A6146" t="str">
        <f>"20200111160338214"</f>
        <v>20200111160338214</v>
      </c>
      <c r="B6146" t="str">
        <f>"1578729818209128"</f>
        <v>1578729818209128</v>
      </c>
      <c r="C6146" t="s">
        <v>37</v>
      </c>
      <c r="D6146">
        <v>4.3191629999999996</v>
      </c>
      <c r="E6146">
        <v>0.51429990000000003</v>
      </c>
      <c r="F6146" t="s">
        <v>38</v>
      </c>
      <c r="G6146">
        <v>-188.5564</v>
      </c>
      <c r="H6146" s="1">
        <v>-1.300427E-6</v>
      </c>
      <c r="I6146">
        <v>12.0672</v>
      </c>
      <c r="J6146">
        <v>-188.1919</v>
      </c>
      <c r="K6146">
        <v>1.104584</v>
      </c>
      <c r="L6146">
        <v>-4.6212770000000001</v>
      </c>
      <c r="M6146">
        <v>-2.265329E-2</v>
      </c>
      <c r="N6146">
        <v>0</v>
      </c>
      <c r="O6146">
        <v>0.99962870000000004</v>
      </c>
      <c r="P6146">
        <v>-5.8271429999999999E-2</v>
      </c>
      <c r="Q6146">
        <v>6.50184599999999E-3</v>
      </c>
      <c r="R6146">
        <v>0.99827960000000004</v>
      </c>
      <c r="S6146">
        <v>-6.5612790000000004E-2</v>
      </c>
      <c r="T6146">
        <v>-0.19535269999999999</v>
      </c>
      <c r="U6146">
        <v>3.002075</v>
      </c>
      <c r="V6146">
        <v>-3.5637040000000002E-2</v>
      </c>
      <c r="W6146">
        <v>2.1640820000000002E-2</v>
      </c>
      <c r="X6146">
        <v>0.99913050000000003</v>
      </c>
      <c r="Y6146">
        <v>8.5157159999999996E-4</v>
      </c>
      <c r="Z6146">
        <v>-6.4902539999999995E-2</v>
      </c>
      <c r="AA6146">
        <v>0.99789119999999998</v>
      </c>
      <c r="AB6146">
        <v>28</v>
      </c>
      <c r="AC6146">
        <v>-0.364499999999992</v>
      </c>
      <c r="AD6146">
        <v>-1.1045853004270001</v>
      </c>
      <c r="AE6146">
        <v>16.688476999999999</v>
      </c>
      <c r="AF6146">
        <v>1.36261505115595E-2</v>
      </c>
      <c r="AG6146">
        <v>-1.1045853004270001</v>
      </c>
      <c r="AH6146">
        <v>16.619676791645801</v>
      </c>
      <c r="AI6146">
        <v>93.802427383303794</v>
      </c>
      <c r="AJ6146">
        <v>89.953024312676106</v>
      </c>
      <c r="AK6146">
        <v>16.656348670001702</v>
      </c>
    </row>
    <row r="6147" spans="1:37" x14ac:dyDescent="0.2">
      <c r="A6147" t="str">
        <f>"20200111160338236"</f>
        <v>20200111160338236</v>
      </c>
      <c r="B6147" t="str">
        <f>"1578729818229626"</f>
        <v>1578729818229626</v>
      </c>
      <c r="C6147" t="s">
        <v>37</v>
      </c>
      <c r="D6147">
        <v>4.6876739999999897</v>
      </c>
      <c r="E6147">
        <v>0.51459089999999996</v>
      </c>
      <c r="F6147" t="s">
        <v>38</v>
      </c>
      <c r="G6147">
        <v>-188.59180000000001</v>
      </c>
      <c r="H6147" s="1">
        <v>-1.6922159999999899E-6</v>
      </c>
      <c r="I6147">
        <v>12.99511</v>
      </c>
      <c r="J6147">
        <v>-188.19829999999999</v>
      </c>
      <c r="K6147">
        <v>1.104595</v>
      </c>
      <c r="L6147">
        <v>-4.3338929999999998</v>
      </c>
      <c r="M6147">
        <v>-2.2630520000000001E-2</v>
      </c>
      <c r="N6147">
        <v>0</v>
      </c>
      <c r="O6147">
        <v>0.99962909999999905</v>
      </c>
      <c r="P6147">
        <v>-5.949252E-2</v>
      </c>
      <c r="Q6147">
        <v>7.5455879999999998E-3</v>
      </c>
      <c r="R6147">
        <v>0.99820019999999998</v>
      </c>
      <c r="S6147">
        <v>-6.8161009999999994E-2</v>
      </c>
      <c r="T6147">
        <v>-0.1882578</v>
      </c>
      <c r="U6147">
        <v>3.0024109999999999</v>
      </c>
      <c r="V6147">
        <v>-3.6882480000000002E-2</v>
      </c>
      <c r="W6147">
        <v>2.2686749999999999E-2</v>
      </c>
      <c r="X6147">
        <v>0.99906209999999995</v>
      </c>
      <c r="Y6147" s="1">
        <v>-1.8691989999999999E-5</v>
      </c>
      <c r="Z6147">
        <v>-6.2547259999999993E-2</v>
      </c>
      <c r="AA6147">
        <v>0.99804199999999998</v>
      </c>
      <c r="AB6147">
        <v>28</v>
      </c>
      <c r="AC6147">
        <v>-0.393500000000017</v>
      </c>
      <c r="AD6147">
        <v>-1.104596692216</v>
      </c>
      <c r="AE6147">
        <v>17.329003</v>
      </c>
      <c r="AF6147">
        <v>-1.1850260044652899E-3</v>
      </c>
      <c r="AG6147">
        <v>-1.104596692216</v>
      </c>
      <c r="AH6147">
        <v>17.263363028119699</v>
      </c>
      <c r="AI6147">
        <v>93.661080986747194</v>
      </c>
      <c r="AJ6147">
        <v>90.003933010529394</v>
      </c>
      <c r="AK6147">
        <v>17.2986657952973</v>
      </c>
    </row>
    <row r="6148" spans="1:37" x14ac:dyDescent="0.2">
      <c r="A6148" t="str">
        <f>"20200111160338258"</f>
        <v>20200111160338258</v>
      </c>
      <c r="B6148" t="str">
        <f>"1578729818249143"</f>
        <v>1578729818249143</v>
      </c>
      <c r="C6148" t="s">
        <v>37</v>
      </c>
      <c r="D6148">
        <v>4.5838109999999999</v>
      </c>
      <c r="E6148">
        <v>0.51473749999999996</v>
      </c>
      <c r="F6148" t="s">
        <v>38</v>
      </c>
      <c r="G6148">
        <v>-188.61</v>
      </c>
      <c r="H6148" s="1">
        <v>-1.856616E-6</v>
      </c>
      <c r="I6148">
        <v>13.385829999999901</v>
      </c>
      <c r="J6148">
        <v>-188.2047</v>
      </c>
      <c r="K6148">
        <v>1.104598</v>
      </c>
      <c r="L6148">
        <v>-4.0531309999999996</v>
      </c>
      <c r="M6148">
        <v>-2.2603020000000001E-2</v>
      </c>
      <c r="N6148">
        <v>0</v>
      </c>
      <c r="O6148">
        <v>0.99962969999999896</v>
      </c>
      <c r="P6148">
        <v>-6.0338820000000001E-2</v>
      </c>
      <c r="Q6148">
        <v>8.2122059999999997E-3</v>
      </c>
      <c r="R6148">
        <v>0.99814409999999898</v>
      </c>
      <c r="S6148">
        <v>-6.9747920000000005E-2</v>
      </c>
      <c r="T6148">
        <v>-0.18717690000000001</v>
      </c>
      <c r="U6148">
        <v>3.0026549999999999</v>
      </c>
      <c r="V6148">
        <v>-3.7757010000000001E-2</v>
      </c>
      <c r="W6148">
        <v>2.3353659999999998E-2</v>
      </c>
      <c r="X6148">
        <v>0.99901399999999996</v>
      </c>
      <c r="Y6148">
        <v>-5.7208319999999999E-4</v>
      </c>
      <c r="Z6148">
        <v>-6.2184209999999997E-2</v>
      </c>
      <c r="AA6148">
        <v>0.99806450000000002</v>
      </c>
      <c r="AB6148">
        <v>28</v>
      </c>
      <c r="AC6148">
        <v>-0.40530000000001098</v>
      </c>
      <c r="AD6148">
        <v>-1.104599856616</v>
      </c>
      <c r="AE6148">
        <v>17.438960999999999</v>
      </c>
      <c r="AF6148">
        <v>-1.0934148397763801E-2</v>
      </c>
      <c r="AG6148">
        <v>-1.104599856616</v>
      </c>
      <c r="AH6148">
        <v>17.3739986034956</v>
      </c>
      <c r="AI6148">
        <v>93.637840141912093</v>
      </c>
      <c r="AJ6148">
        <v>90.036058508311697</v>
      </c>
      <c r="AK6148">
        <v>17.409080615388799</v>
      </c>
    </row>
    <row r="6149" spans="1:37" x14ac:dyDescent="0.2">
      <c r="A6149" t="str">
        <f>"20200111160338281"</f>
        <v>20200111160338281</v>
      </c>
      <c r="B6149" t="str">
        <f>"1578729818269640"</f>
        <v>1578729818269640</v>
      </c>
      <c r="C6149" t="s">
        <v>37</v>
      </c>
      <c r="D6149">
        <v>4.5965550000000004</v>
      </c>
      <c r="E6149">
        <v>0.51474500000000001</v>
      </c>
      <c r="F6149" t="s">
        <v>38</v>
      </c>
      <c r="G6149">
        <v>-188.6217</v>
      </c>
      <c r="H6149" s="1">
        <v>-1.8975170000000001E-6</v>
      </c>
      <c r="I6149">
        <v>13.48601</v>
      </c>
      <c r="J6149">
        <v>-188.21099999999899</v>
      </c>
      <c r="K6149">
        <v>1.1045989999999899</v>
      </c>
      <c r="L6149">
        <v>-3.7711489999999999</v>
      </c>
      <c r="M6149">
        <v>-2.256971E-2</v>
      </c>
      <c r="N6149">
        <v>0</v>
      </c>
      <c r="O6149">
        <v>0.99963049999999998</v>
      </c>
      <c r="P6149">
        <v>-5.9812619999999997E-2</v>
      </c>
      <c r="Q6149">
        <v>7.6989429999999998E-3</v>
      </c>
      <c r="R6149">
        <v>0.99817990000000001</v>
      </c>
      <c r="S6149">
        <v>-7.139587E-2</v>
      </c>
      <c r="T6149">
        <v>-0.18911420000000001</v>
      </c>
      <c r="U6149">
        <v>3.0028079999999999</v>
      </c>
      <c r="V6149">
        <v>-3.7263930000000001E-2</v>
      </c>
      <c r="W6149">
        <v>2.2841670000000001E-2</v>
      </c>
      <c r="X6149">
        <v>0.99904439999999906</v>
      </c>
      <c r="Y6149">
        <v>-1.150716E-3</v>
      </c>
      <c r="Z6149">
        <v>-6.2821749999999996E-2</v>
      </c>
      <c r="AA6149">
        <v>0.99802409999999997</v>
      </c>
      <c r="AB6149">
        <v>28</v>
      </c>
      <c r="AC6149">
        <v>-0.41070000000001899</v>
      </c>
      <c r="AD6149">
        <v>-1.1046008975170001</v>
      </c>
      <c r="AE6149">
        <v>17.257158999999898</v>
      </c>
      <c r="AF6149">
        <v>-2.0975698931342102E-2</v>
      </c>
      <c r="AG6149">
        <v>-1.1046008975170001</v>
      </c>
      <c r="AH6149">
        <v>17.191637271225002</v>
      </c>
      <c r="AI6149">
        <v>93.676324930184194</v>
      </c>
      <c r="AJ6149">
        <v>90.069907153447403</v>
      </c>
      <c r="AK6149">
        <v>17.227100022584001</v>
      </c>
    </row>
    <row r="6150" spans="1:37" x14ac:dyDescent="0.2">
      <c r="A6150" t="str">
        <f>"20200111160338304"</f>
        <v>20200111160338304</v>
      </c>
      <c r="B6150" t="str">
        <f>"1578729818298920"</f>
        <v>1578729818298920</v>
      </c>
      <c r="C6150" t="s">
        <v>37</v>
      </c>
      <c r="D6150">
        <v>4.5875440000000003</v>
      </c>
      <c r="E6150">
        <v>0.51497139999999997</v>
      </c>
      <c r="F6150" t="s">
        <v>38</v>
      </c>
      <c r="G6150">
        <v>-188.6122</v>
      </c>
      <c r="H6150" s="1">
        <v>-1.8854580000000001E-6</v>
      </c>
      <c r="I6150">
        <v>13.453989999999999</v>
      </c>
      <c r="J6150">
        <v>-188.2176</v>
      </c>
      <c r="K6150">
        <v>1.104603</v>
      </c>
      <c r="L6150">
        <v>-3.4747919999999999</v>
      </c>
      <c r="M6150">
        <v>-2.2530290000000001E-2</v>
      </c>
      <c r="N6150">
        <v>0</v>
      </c>
      <c r="O6150">
        <v>0.9996313</v>
      </c>
      <c r="P6150">
        <v>-5.9454359999999998E-2</v>
      </c>
      <c r="Q6150">
        <v>7.8365190000000001E-3</v>
      </c>
      <c r="R6150">
        <v>0.99820019999999998</v>
      </c>
      <c r="S6150">
        <v>-6.9946289999999994E-2</v>
      </c>
      <c r="T6150">
        <v>-0.1925598</v>
      </c>
      <c r="U6150">
        <v>3.002777</v>
      </c>
      <c r="V6150">
        <v>-3.6944640000000001E-2</v>
      </c>
      <c r="W6150">
        <v>2.2978490000000001E-2</v>
      </c>
      <c r="X6150">
        <v>0.99905309999999903</v>
      </c>
      <c r="Y6150">
        <v>-7.071763E-4</v>
      </c>
      <c r="Z6150">
        <v>-6.3962820000000004E-2</v>
      </c>
      <c r="AA6150">
        <v>0.99795199999999995</v>
      </c>
      <c r="AB6150">
        <v>28</v>
      </c>
      <c r="AC6150">
        <v>-0.39459999999999601</v>
      </c>
      <c r="AD6150">
        <v>-1.104604885458</v>
      </c>
      <c r="AE6150">
        <v>16.928781999999899</v>
      </c>
      <c r="AF6150">
        <v>-1.29903637874344E-2</v>
      </c>
      <c r="AG6150">
        <v>-1.104604885458</v>
      </c>
      <c r="AH6150">
        <v>16.861624619539199</v>
      </c>
      <c r="AI6150">
        <v>93.748089324821095</v>
      </c>
      <c r="AJ6150">
        <v>90.044141231281003</v>
      </c>
      <c r="AK6150">
        <v>16.897772205612799</v>
      </c>
    </row>
    <row r="6151" spans="1:37" x14ac:dyDescent="0.2">
      <c r="A6151" t="str">
        <f>"20200111160338326"</f>
        <v>20200111160338326</v>
      </c>
      <c r="B6151" t="str">
        <f>"1578729818319416"</f>
        <v>1578729818319416</v>
      </c>
      <c r="C6151" t="s">
        <v>37</v>
      </c>
      <c r="D6151">
        <v>4.8906749999999999</v>
      </c>
      <c r="E6151">
        <v>0.51466639999999997</v>
      </c>
      <c r="F6151" t="s">
        <v>38</v>
      </c>
      <c r="G6151">
        <v>-188.59950000000001</v>
      </c>
      <c r="H6151" s="1">
        <v>-1.9528289999999999E-6</v>
      </c>
      <c r="I6151">
        <v>13.60577</v>
      </c>
      <c r="J6151">
        <v>-188.2234</v>
      </c>
      <c r="K6151">
        <v>1.1046100000000001</v>
      </c>
      <c r="L6151">
        <v>-3.214264</v>
      </c>
      <c r="M6151">
        <v>-2.2493579999999999E-2</v>
      </c>
      <c r="N6151">
        <v>0</v>
      </c>
      <c r="O6151">
        <v>0.99963219999999997</v>
      </c>
      <c r="P6151">
        <v>-5.8980829999999998E-2</v>
      </c>
      <c r="Q6151">
        <v>7.7432909999999898E-3</v>
      </c>
      <c r="R6151">
        <v>0.99822909999999998</v>
      </c>
      <c r="S6151">
        <v>-6.7138669999999998E-2</v>
      </c>
      <c r="T6151">
        <v>-0.1942004</v>
      </c>
      <c r="U6151">
        <v>3.0029300000000001</v>
      </c>
      <c r="V6151">
        <v>-3.6506909999999997E-2</v>
      </c>
      <c r="W6151">
        <v>2.28840999999999E-2</v>
      </c>
      <c r="X6151">
        <v>0.99907139999999905</v>
      </c>
      <c r="Y6151">
        <v>1.906152E-4</v>
      </c>
      <c r="Z6151">
        <v>-6.4503019999999994E-2</v>
      </c>
      <c r="AA6151">
        <v>0.99791749999999901</v>
      </c>
      <c r="AB6151">
        <v>28</v>
      </c>
      <c r="AC6151">
        <v>-0.37610000000000798</v>
      </c>
      <c r="AD6151">
        <v>-1.1046119528289999</v>
      </c>
      <c r="AE6151">
        <v>16.820034</v>
      </c>
      <c r="AF6151">
        <v>2.37116185786367E-3</v>
      </c>
      <c r="AG6151">
        <v>-1.1046119528289999</v>
      </c>
      <c r="AH6151">
        <v>16.7520250527703</v>
      </c>
      <c r="AI6151">
        <v>93.772565637803197</v>
      </c>
      <c r="AJ6151">
        <v>89.991890081010297</v>
      </c>
      <c r="AK6151">
        <v>16.788404229032199</v>
      </c>
    </row>
    <row r="6152" spans="1:37" x14ac:dyDescent="0.2">
      <c r="A6152" t="str">
        <f>"20200111160338348"</f>
        <v>20200111160338348</v>
      </c>
      <c r="B6152" t="str">
        <f>"1578729818338936"</f>
        <v>1578729818338936</v>
      </c>
      <c r="C6152" t="s">
        <v>37</v>
      </c>
      <c r="D6152">
        <v>4.5436110000000003</v>
      </c>
      <c r="E6152">
        <v>0.51480139999999996</v>
      </c>
      <c r="F6152" t="s">
        <v>38</v>
      </c>
      <c r="G6152">
        <v>-188.6045</v>
      </c>
      <c r="H6152" s="1">
        <v>-1.9469680000000001E-6</v>
      </c>
      <c r="I6152">
        <v>13.594189999999999</v>
      </c>
      <c r="J6152">
        <v>-188.22980000000001</v>
      </c>
      <c r="K6152">
        <v>1.104608</v>
      </c>
      <c r="L6152">
        <v>-2.9280089999999999</v>
      </c>
      <c r="M6152">
        <v>-2.2452799999999998E-2</v>
      </c>
      <c r="N6152">
        <v>0</v>
      </c>
      <c r="O6152">
        <v>0.9996332</v>
      </c>
      <c r="P6152">
        <v>-5.8568290000000002E-2</v>
      </c>
      <c r="Q6152">
        <v>8.0605850000000003E-3</v>
      </c>
      <c r="R6152">
        <v>0.99825079999999999</v>
      </c>
      <c r="S6152">
        <v>-6.8084720000000001E-2</v>
      </c>
      <c r="T6152">
        <v>-0.1973395</v>
      </c>
      <c r="U6152">
        <v>3.0028380000000001</v>
      </c>
      <c r="V6152">
        <v>-3.6135059999999997E-2</v>
      </c>
      <c r="W6152">
        <v>2.3199210000000001E-2</v>
      </c>
      <c r="X6152">
        <v>0.99907760000000001</v>
      </c>
      <c r="Y6152">
        <v>-1.6355109999999999E-4</v>
      </c>
      <c r="Z6152">
        <v>-6.5543050000000005E-2</v>
      </c>
      <c r="AA6152">
        <v>0.99784969999999995</v>
      </c>
      <c r="AB6152">
        <v>28</v>
      </c>
      <c r="AC6152">
        <v>-0.37469999999998999</v>
      </c>
      <c r="AD6152">
        <v>-1.104609946968</v>
      </c>
      <c r="AE6152">
        <v>16.522199000000001</v>
      </c>
      <c r="AF6152">
        <v>-3.5773607494122201E-3</v>
      </c>
      <c r="AG6152">
        <v>-1.104609946968</v>
      </c>
      <c r="AH6152">
        <v>16.452944325379899</v>
      </c>
      <c r="AI6152">
        <v>93.840932676612397</v>
      </c>
      <c r="AJ6152">
        <v>90.012457810921404</v>
      </c>
      <c r="AK6152">
        <v>16.489983411347101</v>
      </c>
    </row>
    <row r="6153" spans="1:37" x14ac:dyDescent="0.2">
      <c r="A6153" t="str">
        <f>"20200111160338371"</f>
        <v>20200111160338371</v>
      </c>
      <c r="B6153" t="str">
        <f>"1578729818359432"</f>
        <v>1578729818359432</v>
      </c>
      <c r="C6153" t="s">
        <v>37</v>
      </c>
      <c r="D6153">
        <v>4.5408140000000001</v>
      </c>
      <c r="E6153">
        <v>0.51496839999999999</v>
      </c>
      <c r="F6153" t="s">
        <v>38</v>
      </c>
      <c r="G6153">
        <v>-188.5959</v>
      </c>
      <c r="H6153" s="1">
        <v>-2.0239880000000001E-6</v>
      </c>
      <c r="I6153">
        <v>13.77014</v>
      </c>
      <c r="J6153">
        <v>-188.23580000000001</v>
      </c>
      <c r="K6153">
        <v>1.1046100000000001</v>
      </c>
      <c r="L6153">
        <v>-2.658264</v>
      </c>
      <c r="M6153">
        <v>-2.2414139999999999E-2</v>
      </c>
      <c r="N6153">
        <v>0</v>
      </c>
      <c r="O6153">
        <v>0.99963409999999997</v>
      </c>
      <c r="P6153">
        <v>-5.8230909999999997E-2</v>
      </c>
      <c r="Q6153">
        <v>8.4695350000000003E-3</v>
      </c>
      <c r="R6153">
        <v>0.99826719999999902</v>
      </c>
      <c r="S6153">
        <v>-6.5826419999999997E-2</v>
      </c>
      <c r="T6153">
        <v>-0.19865269999999999</v>
      </c>
      <c r="U6153">
        <v>3.0029910000000002</v>
      </c>
      <c r="V6153">
        <v>-3.5835539999999999E-2</v>
      </c>
      <c r="W6153">
        <v>2.3605839999999999E-2</v>
      </c>
      <c r="X6153">
        <v>0.99907889999999999</v>
      </c>
      <c r="Y6153">
        <v>5.4956660000000002E-4</v>
      </c>
      <c r="Z6153">
        <v>-6.5974619999999998E-2</v>
      </c>
      <c r="AA6153">
        <v>0.99782119999999996</v>
      </c>
      <c r="AB6153">
        <v>28</v>
      </c>
      <c r="AC6153">
        <v>-0.36009999999998799</v>
      </c>
      <c r="AD6153">
        <v>-1.104612023988</v>
      </c>
      <c r="AE6153">
        <v>16.428404</v>
      </c>
      <c r="AF6153">
        <v>8.2240921404620401E-3</v>
      </c>
      <c r="AG6153">
        <v>-1.104612023988</v>
      </c>
      <c r="AH6153">
        <v>16.358428065803899</v>
      </c>
      <c r="AI6153">
        <v>93.863064786631497</v>
      </c>
      <c r="AJ6153">
        <v>89.971194926041704</v>
      </c>
      <c r="AK6153">
        <v>16.395682484828502</v>
      </c>
    </row>
    <row r="6154" spans="1:37" x14ac:dyDescent="0.2">
      <c r="A6154" t="str">
        <f>"20200111160338392"</f>
        <v>20200111160338392</v>
      </c>
      <c r="B6154" t="str">
        <f>"1578729818389689"</f>
        <v>1578729818389689</v>
      </c>
      <c r="C6154" t="s">
        <v>37</v>
      </c>
      <c r="D6154">
        <v>4.711214</v>
      </c>
      <c r="E6154">
        <v>0.51501459999999999</v>
      </c>
      <c r="F6154" t="s">
        <v>42</v>
      </c>
      <c r="G6154">
        <v>-188.25620000000001</v>
      </c>
      <c r="H6154">
        <v>1.0405309999999901</v>
      </c>
      <c r="I6154">
        <v>-1.6930540000000001</v>
      </c>
      <c r="J6154">
        <v>-188.24199999999999</v>
      </c>
      <c r="K6154">
        <v>1.104622</v>
      </c>
      <c r="L6154">
        <v>-2.3828429999999998</v>
      </c>
      <c r="M6154">
        <v>-2.2374620000000001E-2</v>
      </c>
      <c r="N6154">
        <v>0</v>
      </c>
      <c r="O6154">
        <v>0.99963500000000005</v>
      </c>
      <c r="P6154">
        <v>-5.8192439999999998E-2</v>
      </c>
      <c r="Q6154">
        <v>8.8758150000000004E-3</v>
      </c>
      <c r="R6154">
        <v>0.99826589999999904</v>
      </c>
      <c r="S6154">
        <v>-6.3568120000000006E-2</v>
      </c>
      <c r="T6154">
        <v>-0.1993741</v>
      </c>
      <c r="U6154">
        <v>3.0032040000000002</v>
      </c>
      <c r="V6154">
        <v>-3.5836630000000001E-2</v>
      </c>
      <c r="W6154">
        <v>2.4008649999999999E-2</v>
      </c>
      <c r="X6154">
        <v>0.99906919999999899</v>
      </c>
      <c r="Y6154">
        <v>1.261896E-3</v>
      </c>
      <c r="Z6154">
        <v>-6.6209080000000003E-2</v>
      </c>
      <c r="AA6154">
        <v>0.99780499999999905</v>
      </c>
      <c r="AB6154">
        <v>28</v>
      </c>
      <c r="AC6154">
        <v>-1.4199999999988199E-2</v>
      </c>
      <c r="AD6154">
        <v>-6.4091000000000106E-2</v>
      </c>
      <c r="AE6154">
        <v>0.68978899999999899</v>
      </c>
      <c r="AF6154">
        <v>1.2284907263552E-3</v>
      </c>
      <c r="AG6154">
        <v>-6.4091000000000106E-2</v>
      </c>
      <c r="AH6154">
        <v>0.68403129416699204</v>
      </c>
      <c r="AI6154">
        <v>95.352749749823502</v>
      </c>
      <c r="AJ6154">
        <v>89.897099359759807</v>
      </c>
      <c r="AK6154">
        <v>0.68702836685993895</v>
      </c>
    </row>
    <row r="6155" spans="1:37" x14ac:dyDescent="0.2">
      <c r="A6155" t="str">
        <f>"20200111160338416"</f>
        <v>20200111160338416</v>
      </c>
      <c r="B6155" t="str">
        <f>"1578729818409208"</f>
        <v>1578729818409208</v>
      </c>
      <c r="C6155" t="s">
        <v>37</v>
      </c>
      <c r="D6155">
        <v>4.5494339999999998</v>
      </c>
      <c r="E6155">
        <v>0.51513560000000003</v>
      </c>
      <c r="F6155" t="s">
        <v>38</v>
      </c>
      <c r="G6155">
        <v>-188.589</v>
      </c>
      <c r="H6155" s="1">
        <v>-2.1749000000000001E-6</v>
      </c>
      <c r="I6155">
        <v>14.119079999999901</v>
      </c>
      <c r="J6155">
        <v>-188.2484</v>
      </c>
      <c r="K6155">
        <v>1.104625</v>
      </c>
      <c r="L6155">
        <v>-2.0932919999999999</v>
      </c>
      <c r="M6155">
        <v>-2.2332970000000001E-2</v>
      </c>
      <c r="N6155">
        <v>0</v>
      </c>
      <c r="O6155">
        <v>0.99963599999999997</v>
      </c>
      <c r="P6155">
        <v>-5.7913439999999997E-2</v>
      </c>
      <c r="Q6155">
        <v>8.5334899999999995E-3</v>
      </c>
      <c r="R6155">
        <v>0.99828510000000004</v>
      </c>
      <c r="S6155">
        <v>-6.3156130000000005E-2</v>
      </c>
      <c r="T6155">
        <v>-0.2010401</v>
      </c>
      <c r="U6155">
        <v>3.0033259999999999</v>
      </c>
      <c r="V6155">
        <v>-3.5599209999999999E-2</v>
      </c>
      <c r="W6155">
        <v>2.3662570000000001E-2</v>
      </c>
      <c r="X6155">
        <v>0.99908600000000003</v>
      </c>
      <c r="Y6155">
        <v>1.358674E-3</v>
      </c>
      <c r="Z6155">
        <v>-6.6757349999999993E-2</v>
      </c>
      <c r="AA6155">
        <v>0.99776830000000005</v>
      </c>
      <c r="AB6155">
        <v>28</v>
      </c>
      <c r="AC6155">
        <v>-0.340600000000023</v>
      </c>
      <c r="AD6155">
        <v>-1.1046271748999901</v>
      </c>
      <c r="AE6155">
        <v>16.212371999999998</v>
      </c>
      <c r="AF6155">
        <v>2.1497116817054698E-2</v>
      </c>
      <c r="AG6155">
        <v>-1.1046271748999901</v>
      </c>
      <c r="AH6155">
        <v>16.141035640354801</v>
      </c>
      <c r="AI6155">
        <v>93.914983571745097</v>
      </c>
      <c r="AJ6155">
        <v>89.923691802402601</v>
      </c>
      <c r="AK6155">
        <v>16.1788038762068</v>
      </c>
    </row>
    <row r="6156" spans="1:37" x14ac:dyDescent="0.2">
      <c r="A6156" t="str">
        <f>"20200111160338437"</f>
        <v>20200111160338437</v>
      </c>
      <c r="B6156" t="str">
        <f>"1578729818429704"</f>
        <v>1578729818429704</v>
      </c>
      <c r="C6156" t="s">
        <v>37</v>
      </c>
      <c r="D6156">
        <v>4.6192729999999997</v>
      </c>
      <c r="E6156">
        <v>0.51515840000000002</v>
      </c>
      <c r="F6156" t="s">
        <v>38</v>
      </c>
      <c r="G6156">
        <v>-188.58189999999999</v>
      </c>
      <c r="H6156" s="1">
        <v>-2.193529E-6</v>
      </c>
      <c r="I6156">
        <v>14.15957</v>
      </c>
      <c r="J6156">
        <v>-188.2543</v>
      </c>
      <c r="K6156">
        <v>1.10463</v>
      </c>
      <c r="L6156">
        <v>-1.8235779999999999</v>
      </c>
      <c r="M6156">
        <v>-2.2294209999999998E-2</v>
      </c>
      <c r="N6156">
        <v>0</v>
      </c>
      <c r="O6156">
        <v>0.99963690000000005</v>
      </c>
      <c r="P6156">
        <v>-5.7617509999999997E-2</v>
      </c>
      <c r="Q6156">
        <v>8.2803730000000006E-3</v>
      </c>
      <c r="R6156">
        <v>0.99830439999999998</v>
      </c>
      <c r="S6156">
        <v>-6.1630249999999998E-2</v>
      </c>
      <c r="T6156">
        <v>-0.20412139999999901</v>
      </c>
      <c r="U6156">
        <v>3.0033259999999999</v>
      </c>
      <c r="V6156">
        <v>-3.534168E-2</v>
      </c>
      <c r="W6156">
        <v>2.3406099999999999E-2</v>
      </c>
      <c r="X6156">
        <v>0.99910119999999902</v>
      </c>
      <c r="Y6156">
        <v>1.828016E-3</v>
      </c>
      <c r="Z6156">
        <v>-6.7776260000000005E-2</v>
      </c>
      <c r="AA6156">
        <v>0.9976988</v>
      </c>
      <c r="AB6156">
        <v>28</v>
      </c>
      <c r="AC6156">
        <v>-0.32759999999998901</v>
      </c>
      <c r="AD6156">
        <v>-1.104632193529</v>
      </c>
      <c r="AE6156">
        <v>15.983148</v>
      </c>
      <c r="AF6156">
        <v>2.8716805493384599E-2</v>
      </c>
      <c r="AG6156">
        <v>-1.104632193529</v>
      </c>
      <c r="AH6156">
        <v>15.9105141228771</v>
      </c>
      <c r="AI6156">
        <v>93.971541132718698</v>
      </c>
      <c r="AJ6156">
        <v>89.896587253151694</v>
      </c>
      <c r="AK6156">
        <v>15.9488399763798</v>
      </c>
    </row>
    <row r="6157" spans="1:37" x14ac:dyDescent="0.2">
      <c r="A6157" t="str">
        <f>"20200111160338459"</f>
        <v>20200111160338459</v>
      </c>
      <c r="B6157" t="str">
        <f>"1578729818449224"</f>
        <v>1578729818449224</v>
      </c>
      <c r="C6157" t="s">
        <v>37</v>
      </c>
      <c r="D6157">
        <v>4.8762059999999998</v>
      </c>
      <c r="E6157">
        <v>0.51512029999999998</v>
      </c>
      <c r="F6157" t="s">
        <v>38</v>
      </c>
      <c r="G6157">
        <v>-188.5778</v>
      </c>
      <c r="H6157" s="1">
        <v>-2.2245289999999998E-6</v>
      </c>
      <c r="I6157">
        <v>14.23015</v>
      </c>
      <c r="J6157">
        <v>-188.2604</v>
      </c>
      <c r="K6157">
        <v>1.1046309999999999</v>
      </c>
      <c r="L6157">
        <v>-1.549377</v>
      </c>
      <c r="M6157">
        <v>-2.2254949999999999E-2</v>
      </c>
      <c r="N6157">
        <v>0</v>
      </c>
      <c r="O6157">
        <v>0.99963780000000002</v>
      </c>
      <c r="P6157">
        <v>-5.7145359999999999E-2</v>
      </c>
      <c r="Q6157">
        <v>7.9531099999999993E-3</v>
      </c>
      <c r="R6157">
        <v>0.99833419999999895</v>
      </c>
      <c r="S6157">
        <v>-6.0516359999999998E-2</v>
      </c>
      <c r="T6157">
        <v>-0.20665429999999901</v>
      </c>
      <c r="U6157">
        <v>3.0033259999999999</v>
      </c>
      <c r="V6157">
        <v>-3.4908420000000003E-2</v>
      </c>
      <c r="W6157">
        <v>2.3074790000000001E-2</v>
      </c>
      <c r="X6157">
        <v>0.99912409999999996</v>
      </c>
      <c r="Y6157">
        <v>2.1597729999999998E-3</v>
      </c>
      <c r="Z6157">
        <v>-6.8613690000000005E-2</v>
      </c>
      <c r="AA6157">
        <v>0.997641</v>
      </c>
      <c r="AB6157">
        <v>28</v>
      </c>
      <c r="AC6157">
        <v>-0.31739999999999202</v>
      </c>
      <c r="AD6157">
        <v>-1.10463322452899</v>
      </c>
      <c r="AE6157">
        <v>15.7795269999999</v>
      </c>
      <c r="AF6157">
        <v>3.3726215779714401E-2</v>
      </c>
      <c r="AG6157">
        <v>-1.10463322452899</v>
      </c>
      <c r="AH6157">
        <v>15.7057462149389</v>
      </c>
      <c r="AI6157">
        <v>94.023153258102298</v>
      </c>
      <c r="AJ6157">
        <v>89.876964339899601</v>
      </c>
      <c r="AK6157">
        <v>15.744580533835499</v>
      </c>
    </row>
    <row r="6158" spans="1:37" x14ac:dyDescent="0.2">
      <c r="A6158" t="str">
        <f>"20200111160338485"</f>
        <v>20200111160338485</v>
      </c>
      <c r="B6158" t="str">
        <f>"1578729818479480"</f>
        <v>1578729818479480</v>
      </c>
      <c r="C6158" t="s">
        <v>37</v>
      </c>
      <c r="D6158">
        <v>4.6041730000000003</v>
      </c>
      <c r="E6158">
        <v>0.51509970000000005</v>
      </c>
      <c r="F6158" t="s">
        <v>38</v>
      </c>
      <c r="G6158">
        <v>-188.57490000000001</v>
      </c>
      <c r="H6158" s="1">
        <v>-2.262263E-6</v>
      </c>
      <c r="I6158">
        <v>14.31691</v>
      </c>
      <c r="J6158">
        <v>-188.2672</v>
      </c>
      <c r="K6158">
        <v>1.10463</v>
      </c>
      <c r="L6158">
        <v>-1.2419129999999901</v>
      </c>
      <c r="M6158">
        <v>-2.221101E-2</v>
      </c>
      <c r="N6158">
        <v>0</v>
      </c>
      <c r="O6158">
        <v>0.9996389</v>
      </c>
      <c r="P6158">
        <v>-5.6394590000000001E-2</v>
      </c>
      <c r="Q6158">
        <v>8.1082140000000007E-3</v>
      </c>
      <c r="R6158">
        <v>0.99837569999999998</v>
      </c>
      <c r="S6158">
        <v>-5.9539790000000002E-2</v>
      </c>
      <c r="T6158">
        <v>-0.20909149999999899</v>
      </c>
      <c r="U6158">
        <v>3.0032649999999999</v>
      </c>
      <c r="V6158">
        <v>-3.4200330000000001E-2</v>
      </c>
      <c r="W6158">
        <v>2.3224950000000001E-2</v>
      </c>
      <c r="X6158">
        <v>0.99914509999999901</v>
      </c>
      <c r="Y6158">
        <v>2.4407769999999999E-3</v>
      </c>
      <c r="Z6158">
        <v>-6.9420739999999995E-2</v>
      </c>
      <c r="AA6158">
        <v>0.99758449999999999</v>
      </c>
      <c r="AB6158">
        <v>28</v>
      </c>
      <c r="AC6158">
        <v>-0.30770000000001102</v>
      </c>
      <c r="AD6158">
        <v>-1.104632262263</v>
      </c>
      <c r="AE6158">
        <v>15.558823</v>
      </c>
      <c r="AF6158">
        <v>3.7802158243666402E-2</v>
      </c>
      <c r="AG6158">
        <v>-1.104632262263</v>
      </c>
      <c r="AH6158">
        <v>15.483801858958801</v>
      </c>
      <c r="AI6158">
        <v>94.080621291006693</v>
      </c>
      <c r="AJ6158">
        <v>89.860118345587907</v>
      </c>
      <c r="AK6158">
        <v>15.5232007474456</v>
      </c>
    </row>
    <row r="6159" spans="1:37" x14ac:dyDescent="0.2">
      <c r="A6159" t="str">
        <f>"20200111160338504"</f>
        <v>20200111160338504</v>
      </c>
      <c r="B6159" t="str">
        <f>"1578729818498999"</f>
        <v>1578729818498999</v>
      </c>
      <c r="C6159" t="s">
        <v>37</v>
      </c>
      <c r="D6159">
        <v>4.8779519999999996</v>
      </c>
      <c r="E6159">
        <v>0.51505400000000001</v>
      </c>
      <c r="F6159" t="s">
        <v>38</v>
      </c>
      <c r="G6159">
        <v>-188.5701</v>
      </c>
      <c r="H6159" s="1">
        <v>-2.3545819999999998E-6</v>
      </c>
      <c r="I6159">
        <v>14.530099999999999</v>
      </c>
      <c r="J6159">
        <v>-188.2724</v>
      </c>
      <c r="K6159">
        <v>1.104635</v>
      </c>
      <c r="L6159">
        <v>-1.0051570000000001</v>
      </c>
      <c r="M6159">
        <v>-2.2177289999999999E-2</v>
      </c>
      <c r="N6159">
        <v>0</v>
      </c>
      <c r="O6159">
        <v>0.99963969999999902</v>
      </c>
      <c r="P6159">
        <v>-5.5566369999999997E-2</v>
      </c>
      <c r="Q6159">
        <v>8.1913419999999904E-3</v>
      </c>
      <c r="R6159">
        <v>0.99842140000000001</v>
      </c>
      <c r="S6159">
        <v>-5.7678220000000002E-2</v>
      </c>
      <c r="T6159">
        <v>-0.21034539999999899</v>
      </c>
      <c r="U6159">
        <v>3.0033259999999999</v>
      </c>
      <c r="V6159">
        <v>-3.34051E-2</v>
      </c>
      <c r="W6159">
        <v>2.3303609999999999E-2</v>
      </c>
      <c r="X6159">
        <v>0.99917019999999901</v>
      </c>
      <c r="Y6159">
        <v>3.0261120000000001E-3</v>
      </c>
      <c r="Z6159">
        <v>-6.983404E-2</v>
      </c>
      <c r="AA6159">
        <v>0.99755400000000005</v>
      </c>
      <c r="AB6159">
        <v>28</v>
      </c>
      <c r="AC6159">
        <v>-0.29769999999999103</v>
      </c>
      <c r="AD6159">
        <v>-1.1046373545820001</v>
      </c>
      <c r="AE6159">
        <v>15.535257</v>
      </c>
      <c r="AF6159">
        <v>4.6706468976562297E-2</v>
      </c>
      <c r="AG6159">
        <v>-1.1046373545820001</v>
      </c>
      <c r="AH6159">
        <v>15.4599024561854</v>
      </c>
      <c r="AI6159">
        <v>94.086920475695607</v>
      </c>
      <c r="AJ6159">
        <v>89.826902180387506</v>
      </c>
      <c r="AK6159">
        <v>15.499386734130701</v>
      </c>
    </row>
    <row r="6160" spans="1:37" x14ac:dyDescent="0.2">
      <c r="A6160" t="str">
        <f>"20200111160338527"</f>
        <v>20200111160338527</v>
      </c>
      <c r="B6160" t="str">
        <f>"1578729818519496"</f>
        <v>1578729818519496</v>
      </c>
      <c r="C6160" t="s">
        <v>37</v>
      </c>
      <c r="D6160">
        <v>4.6997289999999996</v>
      </c>
      <c r="E6160">
        <v>0.51511640000000003</v>
      </c>
      <c r="F6160" t="s">
        <v>38</v>
      </c>
      <c r="G6160">
        <v>-188.56540000000001</v>
      </c>
      <c r="H6160" s="1">
        <v>-2.4338249999999999E-6</v>
      </c>
      <c r="I6160">
        <v>14.712879999999901</v>
      </c>
      <c r="J6160">
        <v>-188.27869999999999</v>
      </c>
      <c r="K6160">
        <v>1.104638</v>
      </c>
      <c r="L6160">
        <v>-0.71514889999999998</v>
      </c>
      <c r="M6160">
        <v>-2.2136010000000001E-2</v>
      </c>
      <c r="N6160">
        <v>0</v>
      </c>
      <c r="O6160">
        <v>0.99964069999999905</v>
      </c>
      <c r="P6160">
        <v>-5.4526079999999998E-2</v>
      </c>
      <c r="Q6160">
        <v>7.4863300000000002E-3</v>
      </c>
      <c r="R6160">
        <v>0.99848429999999999</v>
      </c>
      <c r="S6160">
        <v>-5.59845E-2</v>
      </c>
      <c r="T6160">
        <v>-0.21107100000000001</v>
      </c>
      <c r="U6160">
        <v>3.0033569999999998</v>
      </c>
      <c r="V6160">
        <v>-3.2405070000000001E-2</v>
      </c>
      <c r="W6160">
        <v>2.2593789999999999E-2</v>
      </c>
      <c r="X6160">
        <v>0.99921939999999998</v>
      </c>
      <c r="Y6160">
        <v>3.5476879999999998E-3</v>
      </c>
      <c r="Z6160">
        <v>-7.0073440000000001E-2</v>
      </c>
      <c r="AA6160">
        <v>0.99753549999999902</v>
      </c>
      <c r="AB6160">
        <v>28</v>
      </c>
      <c r="AC6160">
        <v>-0.28670000000002399</v>
      </c>
      <c r="AD6160">
        <v>-1.104640433825</v>
      </c>
      <c r="AE6160">
        <v>15.428028899999999</v>
      </c>
      <c r="AF6160">
        <v>5.46442508378885E-2</v>
      </c>
      <c r="AG6160">
        <v>-1.104640433825</v>
      </c>
      <c r="AH6160">
        <v>15.351920347158799</v>
      </c>
      <c r="AI6160">
        <v>94.115572729913794</v>
      </c>
      <c r="AJ6160">
        <v>89.7960599290125</v>
      </c>
      <c r="AK6160">
        <v>15.391707989294099</v>
      </c>
    </row>
    <row r="6161" spans="1:37" x14ac:dyDescent="0.2">
      <c r="A6161" t="str">
        <f>"20200111160338548"</f>
        <v>20200111160338548</v>
      </c>
      <c r="B6161" t="str">
        <f>"1578729818539015"</f>
        <v>1578729818539015</v>
      </c>
      <c r="C6161" t="s">
        <v>37</v>
      </c>
      <c r="D6161">
        <v>4.847264</v>
      </c>
      <c r="E6161">
        <v>0.514903</v>
      </c>
      <c r="F6161" t="s">
        <v>38</v>
      </c>
      <c r="G6161">
        <v>-188.5504</v>
      </c>
      <c r="H6161" s="1">
        <v>-2.461298E-6</v>
      </c>
      <c r="I6161">
        <v>14.770729999999901</v>
      </c>
      <c r="J6161">
        <v>-188.28440000000001</v>
      </c>
      <c r="K6161">
        <v>1.104633</v>
      </c>
      <c r="L6161">
        <v>-0.45468140000000001</v>
      </c>
      <c r="M6161">
        <v>-2.2098719999999999E-2</v>
      </c>
      <c r="N6161">
        <v>0</v>
      </c>
      <c r="O6161">
        <v>0.99964169999999997</v>
      </c>
      <c r="P6161">
        <v>-5.359825E-2</v>
      </c>
      <c r="Q6161">
        <v>6.863203E-3</v>
      </c>
      <c r="R6161">
        <v>0.99853899999999995</v>
      </c>
      <c r="S6161">
        <v>-5.2688599999999898E-2</v>
      </c>
      <c r="T6161">
        <v>-0.21423139999999999</v>
      </c>
      <c r="U6161">
        <v>3.00329599999999</v>
      </c>
      <c r="V6161">
        <v>-3.1513569999999998E-2</v>
      </c>
      <c r="W6161">
        <v>2.1965950000000001E-2</v>
      </c>
      <c r="X6161">
        <v>0.99926190000000004</v>
      </c>
      <c r="Y6161">
        <v>4.6056589999999998E-3</v>
      </c>
      <c r="Z6161">
        <v>-7.1119459999999995E-2</v>
      </c>
      <c r="AA6161">
        <v>0.99745709999999999</v>
      </c>
      <c r="AB6161">
        <v>28</v>
      </c>
      <c r="AC6161">
        <v>-0.26599999999999102</v>
      </c>
      <c r="AD6161">
        <v>-1.1046354612980001</v>
      </c>
      <c r="AE6161">
        <v>15.2254114</v>
      </c>
      <c r="AF6161">
        <v>7.0196074521832297E-2</v>
      </c>
      <c r="AG6161">
        <v>-1.1046354612980001</v>
      </c>
      <c r="AH6161">
        <v>15.147860266424599</v>
      </c>
      <c r="AI6161">
        <v>94.170783130923198</v>
      </c>
      <c r="AJ6161">
        <v>89.734489891746406</v>
      </c>
      <c r="AK6161">
        <v>15.1882460357462</v>
      </c>
    </row>
    <row r="6162" spans="1:37" x14ac:dyDescent="0.2">
      <c r="A6162" t="str">
        <f>"20200111160338573"</f>
        <v>20200111160338573</v>
      </c>
      <c r="B6162" t="str">
        <f>"1578729818569271"</f>
        <v>1578729818569271</v>
      </c>
      <c r="C6162" t="s">
        <v>37</v>
      </c>
      <c r="D6162">
        <v>4.821231</v>
      </c>
      <c r="E6162">
        <v>0.51496049999999904</v>
      </c>
      <c r="F6162" t="s">
        <v>38</v>
      </c>
      <c r="G6162">
        <v>-188.54859999999999</v>
      </c>
      <c r="H6162" s="1">
        <v>-2.4754649999999999E-6</v>
      </c>
      <c r="I6162">
        <v>14.80302</v>
      </c>
      <c r="J6162">
        <v>-188.29069999999999</v>
      </c>
      <c r="K6162">
        <v>1.104636</v>
      </c>
      <c r="L6162">
        <v>-0.1674805</v>
      </c>
      <c r="M6162">
        <v>-2.2057819999999999E-2</v>
      </c>
      <c r="N6162">
        <v>0</v>
      </c>
      <c r="O6162">
        <v>0.99964259999999905</v>
      </c>
      <c r="P6162">
        <v>-5.3091099999999898E-2</v>
      </c>
      <c r="Q6162">
        <v>7.0522359999999999E-3</v>
      </c>
      <c r="R6162">
        <v>0.99856480000000003</v>
      </c>
      <c r="S6162">
        <v>-5.2001949999999998E-2</v>
      </c>
      <c r="T6162">
        <v>-0.2174188</v>
      </c>
      <c r="U6162">
        <v>3.003082</v>
      </c>
      <c r="V6162">
        <v>-3.1046959999999998E-2</v>
      </c>
      <c r="W6162">
        <v>2.2149479999999999E-2</v>
      </c>
      <c r="X6162">
        <v>0.99927250000000001</v>
      </c>
      <c r="Y6162">
        <v>4.7928179999999999E-3</v>
      </c>
      <c r="Z6162">
        <v>-7.2177439999999995E-2</v>
      </c>
      <c r="AA6162">
        <v>0.9973803</v>
      </c>
      <c r="AB6162">
        <v>27</v>
      </c>
      <c r="AC6162">
        <v>-0.25790000000000601</v>
      </c>
      <c r="AD6162">
        <v>-1.104638475465</v>
      </c>
      <c r="AE6162">
        <v>14.9705005</v>
      </c>
      <c r="AF6162">
        <v>7.2025006780434706E-2</v>
      </c>
      <c r="AG6162">
        <v>-1.104638475465</v>
      </c>
      <c r="AH6162">
        <v>14.8914921742437</v>
      </c>
      <c r="AI6162">
        <v>94.242333799463296</v>
      </c>
      <c r="AJ6162">
        <v>89.722882255121604</v>
      </c>
      <c r="AK6162">
        <v>14.9325802505341</v>
      </c>
    </row>
    <row r="6163" spans="1:37" x14ac:dyDescent="0.2">
      <c r="A6163" t="str">
        <f>"20200111160338596"</f>
        <v>20200111160338596</v>
      </c>
      <c r="B6163" t="str">
        <f>"1578729818589768"</f>
        <v>1578729818589768</v>
      </c>
      <c r="C6163" t="s">
        <v>37</v>
      </c>
      <c r="D6163">
        <v>4.8454660000000001</v>
      </c>
      <c r="E6163">
        <v>0.51495409999999997</v>
      </c>
      <c r="F6163" t="s">
        <v>42</v>
      </c>
      <c r="G6163">
        <v>-188.30619999999999</v>
      </c>
      <c r="H6163">
        <v>1.037652</v>
      </c>
      <c r="I6163">
        <v>0.76160300000000003</v>
      </c>
      <c r="J6163">
        <v>-188.29689999999999</v>
      </c>
      <c r="K6163">
        <v>1.1046339999999999</v>
      </c>
      <c r="L6163">
        <v>0.11437989999999899</v>
      </c>
      <c r="M6163">
        <v>-2.201788E-2</v>
      </c>
      <c r="N6163">
        <v>0</v>
      </c>
      <c r="O6163">
        <v>0.99964359999999997</v>
      </c>
      <c r="P6163">
        <v>-5.2183970000000003E-2</v>
      </c>
      <c r="Q6163">
        <v>6.8806359999999999E-3</v>
      </c>
      <c r="R6163">
        <v>0.9986138</v>
      </c>
      <c r="S6163">
        <v>-5.0247189999999997E-2</v>
      </c>
      <c r="T6163">
        <v>-0.21651599999999999</v>
      </c>
      <c r="U6163">
        <v>3.003174</v>
      </c>
      <c r="V6163">
        <v>-3.0178899999999901E-2</v>
      </c>
      <c r="W6163">
        <v>2.1972140000000001E-2</v>
      </c>
      <c r="X6163">
        <v>0.99930300000000005</v>
      </c>
      <c r="Y6163">
        <v>5.3356269999999999E-3</v>
      </c>
      <c r="Z6163">
        <v>-7.1877479999999994E-2</v>
      </c>
      <c r="AA6163">
        <v>0.99739920000000004</v>
      </c>
      <c r="AB6163">
        <v>27</v>
      </c>
      <c r="AC6163">
        <v>-9.2999999999960892E-3</v>
      </c>
      <c r="AD6163">
        <v>-6.6982000000000097E-2</v>
      </c>
      <c r="AE6163">
        <v>0.64722309999999905</v>
      </c>
      <c r="AF6163">
        <v>4.90186917006685E-3</v>
      </c>
      <c r="AG6163">
        <v>-6.6982000000000097E-2</v>
      </c>
      <c r="AH6163">
        <v>0.64041324634462904</v>
      </c>
      <c r="AI6163">
        <v>95.970787520168699</v>
      </c>
      <c r="AJ6163">
        <v>89.561453589379397</v>
      </c>
      <c r="AK6163">
        <v>0.64392526176492504</v>
      </c>
    </row>
    <row r="6164" spans="1:37" x14ac:dyDescent="0.2">
      <c r="A6164" t="str">
        <f>"20200111160338616"</f>
        <v>20200111160338616</v>
      </c>
      <c r="B6164" t="str">
        <f>"1578729818609288"</f>
        <v>1578729818609288</v>
      </c>
      <c r="C6164" t="s">
        <v>37</v>
      </c>
      <c r="D6164">
        <v>4.5403149999999997</v>
      </c>
      <c r="E6164">
        <v>0.51517659999999998</v>
      </c>
      <c r="F6164" t="s">
        <v>42</v>
      </c>
      <c r="G6164">
        <v>-188.3109</v>
      </c>
      <c r="H6164">
        <v>1.03999</v>
      </c>
      <c r="I6164">
        <v>1.007247</v>
      </c>
      <c r="J6164">
        <v>-188.3023</v>
      </c>
      <c r="K6164">
        <v>1.104635</v>
      </c>
      <c r="L6164">
        <v>0.36505129999999902</v>
      </c>
      <c r="M6164">
        <v>-2.1982270000000002E-2</v>
      </c>
      <c r="N6164">
        <v>0</v>
      </c>
      <c r="O6164">
        <v>0.99964449999999905</v>
      </c>
      <c r="P6164">
        <v>-5.1685979999999999E-2</v>
      </c>
      <c r="Q6164">
        <v>6.6489599999999998E-3</v>
      </c>
      <c r="R6164">
        <v>0.99864129999999995</v>
      </c>
      <c r="S6164">
        <v>-4.7592160000000001E-2</v>
      </c>
      <c r="T6164">
        <v>-0.21742689999999901</v>
      </c>
      <c r="U6164">
        <v>3.003174</v>
      </c>
      <c r="V6164">
        <v>-2.9716360000000001E-2</v>
      </c>
      <c r="W6164">
        <v>2.1735210000000001E-2</v>
      </c>
      <c r="X6164">
        <v>0.99932209999999999</v>
      </c>
      <c r="Y6164">
        <v>6.1818840000000003E-3</v>
      </c>
      <c r="Z6164">
        <v>-7.2178699999999998E-2</v>
      </c>
      <c r="AA6164">
        <v>0.99737260000000005</v>
      </c>
      <c r="AB6164">
        <v>27</v>
      </c>
      <c r="AC6164">
        <v>-8.6000000000012698E-3</v>
      </c>
      <c r="AD6164">
        <v>-6.4644999999999994E-2</v>
      </c>
      <c r="AE6164">
        <v>0.64219569999999904</v>
      </c>
      <c r="AF6164">
        <v>5.4652360669061898E-3</v>
      </c>
      <c r="AG6164">
        <v>-6.4644999999999994E-2</v>
      </c>
      <c r="AH6164">
        <v>0.63578830993477997</v>
      </c>
      <c r="AI6164">
        <v>95.805493643333307</v>
      </c>
      <c r="AJ6164">
        <v>89.5074976317036</v>
      </c>
      <c r="AK6164">
        <v>0.63908968062392502</v>
      </c>
    </row>
    <row r="6165" spans="1:37" x14ac:dyDescent="0.2">
      <c r="A6165" t="str">
        <f>"20200111160338639"</f>
        <v>20200111160338639</v>
      </c>
      <c r="B6165" t="str">
        <f>"1578729818629784"</f>
        <v>1578729818629784</v>
      </c>
      <c r="C6165" t="s">
        <v>37</v>
      </c>
      <c r="D6165">
        <v>4.5178830000000003</v>
      </c>
      <c r="E6165">
        <v>0.51538030000000001</v>
      </c>
      <c r="F6165" t="s">
        <v>42</v>
      </c>
      <c r="G6165">
        <v>-188.31530000000001</v>
      </c>
      <c r="H6165">
        <v>1.0403439999999999</v>
      </c>
      <c r="I6165">
        <v>1.250661</v>
      </c>
      <c r="J6165">
        <v>-188.30850000000001</v>
      </c>
      <c r="K6165">
        <v>1.1046279999999999</v>
      </c>
      <c r="L6165">
        <v>0.65029910000000002</v>
      </c>
      <c r="M6165">
        <v>-2.1941619999999998E-2</v>
      </c>
      <c r="N6165">
        <v>0</v>
      </c>
      <c r="O6165">
        <v>0.99964549999999996</v>
      </c>
      <c r="P6165">
        <v>-5.1242870000000003E-2</v>
      </c>
      <c r="Q6165">
        <v>6.1536789999999996E-3</v>
      </c>
      <c r="R6165">
        <v>0.99866719999999898</v>
      </c>
      <c r="S6165">
        <v>-4.4403079999999998E-2</v>
      </c>
      <c r="T6165">
        <v>-0.218014399999999</v>
      </c>
      <c r="U6165">
        <v>3.0032349999999899</v>
      </c>
      <c r="V6165">
        <v>-2.931307E-2</v>
      </c>
      <c r="W6165">
        <v>2.1233220000000001E-2</v>
      </c>
      <c r="X6165">
        <v>0.99934469999999997</v>
      </c>
      <c r="Y6165">
        <v>7.2005890000000003E-3</v>
      </c>
      <c r="Z6165">
        <v>-7.2371679999999994E-2</v>
      </c>
      <c r="AA6165">
        <v>0.99735180000000001</v>
      </c>
      <c r="AB6165">
        <v>27</v>
      </c>
      <c r="AC6165">
        <v>-6.7999999999983603E-3</v>
      </c>
      <c r="AD6165">
        <v>-6.4283999999999994E-2</v>
      </c>
      <c r="AE6165">
        <v>0.6003619</v>
      </c>
      <c r="AF6165">
        <v>6.3037838734770002E-3</v>
      </c>
      <c r="AG6165">
        <v>-6.4283999999999994E-2</v>
      </c>
      <c r="AH6165">
        <v>0.593562149220763</v>
      </c>
      <c r="AI6165">
        <v>96.180812922631802</v>
      </c>
      <c r="AJ6165">
        <v>89.391526846606894</v>
      </c>
      <c r="AK6165">
        <v>0.59706632406684501</v>
      </c>
    </row>
    <row r="6166" spans="1:37" x14ac:dyDescent="0.2">
      <c r="A6166" t="str">
        <f>"20200111160338662"</f>
        <v>20200111160338662</v>
      </c>
      <c r="B6166" t="str">
        <f>"1578729818659064"</f>
        <v>1578729818659064</v>
      </c>
      <c r="C6166" t="s">
        <v>37</v>
      </c>
      <c r="D6166">
        <v>4.5229720000000002</v>
      </c>
      <c r="E6166">
        <v>0.51562889999999995</v>
      </c>
      <c r="F6166" t="s">
        <v>42</v>
      </c>
      <c r="G6166">
        <v>-188.3202</v>
      </c>
      <c r="H6166">
        <v>1.0424610000000001</v>
      </c>
      <c r="I6166">
        <v>1.500499</v>
      </c>
      <c r="J6166">
        <v>-188.31460000000001</v>
      </c>
      <c r="K6166">
        <v>1.1046320000000001</v>
      </c>
      <c r="L6166">
        <v>0.93121339999999997</v>
      </c>
      <c r="M6166">
        <v>-2.190139E-2</v>
      </c>
      <c r="N6166">
        <v>0</v>
      </c>
      <c r="O6166">
        <v>0.99964640000000005</v>
      </c>
      <c r="P6166">
        <v>-5.0988409999999998E-2</v>
      </c>
      <c r="Q6166">
        <v>6.1570890000000001E-3</v>
      </c>
      <c r="R6166">
        <v>0.99868029999999997</v>
      </c>
      <c r="S6166">
        <v>-4.170227E-2</v>
      </c>
      <c r="T6166">
        <v>-0.21958169999999999</v>
      </c>
      <c r="U6166">
        <v>3.0032040000000002</v>
      </c>
      <c r="V6166">
        <v>-2.909863E-2</v>
      </c>
      <c r="W6166">
        <v>2.1230840000000001E-2</v>
      </c>
      <c r="X6166">
        <v>0.99935099999999999</v>
      </c>
      <c r="Y6166">
        <v>8.0574589999999995E-3</v>
      </c>
      <c r="Z6166">
        <v>-7.2890269999999993E-2</v>
      </c>
      <c r="AA6166">
        <v>0.99730739999999996</v>
      </c>
      <c r="AB6166">
        <v>27</v>
      </c>
      <c r="AC6166">
        <v>-5.5999999999869496E-3</v>
      </c>
      <c r="AD6166">
        <v>-6.21709999999999E-2</v>
      </c>
      <c r="AE6166">
        <v>0.56928559999999995</v>
      </c>
      <c r="AF6166">
        <v>6.7899346392525902E-3</v>
      </c>
      <c r="AG6166">
        <v>-6.21709999999999E-2</v>
      </c>
      <c r="AH6166">
        <v>0.56256288685587497</v>
      </c>
      <c r="AI6166">
        <v>96.305931677644196</v>
      </c>
      <c r="AJ6166">
        <v>89.308493827635601</v>
      </c>
      <c r="AK6166">
        <v>0.56602856652383005</v>
      </c>
    </row>
    <row r="6167" spans="1:37" x14ac:dyDescent="0.2">
      <c r="A6167" t="str">
        <f>"20200111160338708"</f>
        <v>20200111160338708</v>
      </c>
      <c r="B6167" t="str">
        <f>"1578729818699080"</f>
        <v>1578729818699080</v>
      </c>
      <c r="C6167" t="s">
        <v>37</v>
      </c>
      <c r="D6167">
        <v>4.4922300000000002</v>
      </c>
      <c r="E6167">
        <v>0.51579179999999902</v>
      </c>
      <c r="F6167" t="s">
        <v>38</v>
      </c>
      <c r="G6167">
        <v>-188.5111</v>
      </c>
      <c r="H6167" s="1">
        <v>-3.0092069999999999E-6</v>
      </c>
      <c r="I6167">
        <v>16.031669999999998</v>
      </c>
      <c r="J6167">
        <v>-188.32640000000001</v>
      </c>
      <c r="K6167">
        <v>1.104641</v>
      </c>
      <c r="L6167">
        <v>1.473633</v>
      </c>
      <c r="M6167">
        <v>-2.182429E-2</v>
      </c>
      <c r="N6167">
        <v>0</v>
      </c>
      <c r="O6167">
        <v>0.99964830000000005</v>
      </c>
      <c r="P6167">
        <v>-5.0139740000000002E-2</v>
      </c>
      <c r="Q6167">
        <v>7.3725509999999998E-3</v>
      </c>
      <c r="R6167">
        <v>0.99871499999999902</v>
      </c>
      <c r="S6167">
        <v>-3.9077760000000003E-2</v>
      </c>
      <c r="T6167">
        <v>-0.21970049999999999</v>
      </c>
      <c r="U6167">
        <v>3.0033259999999999</v>
      </c>
      <c r="V6167">
        <v>-2.8326859999999999E-2</v>
      </c>
      <c r="W6167">
        <v>2.243409E-2</v>
      </c>
      <c r="X6167">
        <v>0.99934690000000004</v>
      </c>
      <c r="Y6167">
        <v>8.8522819999999995E-3</v>
      </c>
      <c r="Z6167">
        <v>-7.2926920000000006E-2</v>
      </c>
      <c r="AA6167">
        <v>0.99729799999999902</v>
      </c>
      <c r="AB6167">
        <v>27</v>
      </c>
      <c r="AC6167">
        <v>-0.18469999999999201</v>
      </c>
      <c r="AD6167">
        <v>-1.104644009207</v>
      </c>
      <c r="AE6167">
        <v>14.558037000000001</v>
      </c>
      <c r="AF6167">
        <v>0.132337069339762</v>
      </c>
      <c r="AG6167">
        <v>-1.104644009207</v>
      </c>
      <c r="AH6167">
        <v>14.4752712699505</v>
      </c>
      <c r="AI6167">
        <v>94.363743874204999</v>
      </c>
      <c r="AJ6167">
        <v>89.476200192207301</v>
      </c>
      <c r="AK6167">
        <v>14.517962316580499</v>
      </c>
    </row>
    <row r="6168" spans="1:37" x14ac:dyDescent="0.2">
      <c r="A6168" t="str">
        <f>"20200111160338728"</f>
        <v>20200111160338728</v>
      </c>
      <c r="B6168" t="str">
        <f>"1578729818719576"</f>
        <v>1578729818719576</v>
      </c>
      <c r="C6168" t="s">
        <v>37</v>
      </c>
      <c r="D6168">
        <v>4.5836639999999997</v>
      </c>
      <c r="E6168">
        <v>0.51580530000000002</v>
      </c>
      <c r="F6168" t="s">
        <v>38</v>
      </c>
      <c r="G6168">
        <v>-188.50980000000001</v>
      </c>
      <c r="H6168" s="1">
        <v>-3.3641180000000002E-6</v>
      </c>
      <c r="I6168">
        <v>16.858460000000001</v>
      </c>
      <c r="J6168">
        <v>-188.33179999999999</v>
      </c>
      <c r="K6168">
        <v>1.1046389999999999</v>
      </c>
      <c r="L6168">
        <v>1.724945</v>
      </c>
      <c r="M6168">
        <v>-2.1788680000000001E-2</v>
      </c>
      <c r="N6168">
        <v>0</v>
      </c>
      <c r="O6168">
        <v>0.99964920000000002</v>
      </c>
      <c r="P6168">
        <v>-4.980735E-2</v>
      </c>
      <c r="Q6168">
        <v>6.8966359999999899E-3</v>
      </c>
      <c r="R6168">
        <v>0.99873500000000004</v>
      </c>
      <c r="S6168">
        <v>-3.5812379999999998E-2</v>
      </c>
      <c r="T6168">
        <v>-0.21566559999999901</v>
      </c>
      <c r="U6168">
        <v>3.0036619999999998</v>
      </c>
      <c r="V6168">
        <v>-2.8029330000000002E-2</v>
      </c>
      <c r="W6168">
        <v>2.1952119999999999E-2</v>
      </c>
      <c r="X6168">
        <v>0.99936599999999998</v>
      </c>
      <c r="Y6168">
        <v>9.9009760000000006E-3</v>
      </c>
      <c r="Z6168">
        <v>-7.1586789999999997E-2</v>
      </c>
      <c r="AA6168">
        <v>0.99738519999999897</v>
      </c>
      <c r="AB6168">
        <v>27</v>
      </c>
      <c r="AC6168">
        <v>-0.178000000000025</v>
      </c>
      <c r="AD6168">
        <v>-1.1046423641179901</v>
      </c>
      <c r="AE6168">
        <v>15.133514999999999</v>
      </c>
      <c r="AF6168">
        <v>0.15101447696745099</v>
      </c>
      <c r="AG6168">
        <v>-1.1046423641179901</v>
      </c>
      <c r="AH6168">
        <v>15.0536058567055</v>
      </c>
      <c r="AI6168">
        <v>94.196665057933103</v>
      </c>
      <c r="AJ6168">
        <v>89.425240568741799</v>
      </c>
      <c r="AK6168">
        <v>15.0948365149774</v>
      </c>
    </row>
    <row r="6169" spans="1:37" x14ac:dyDescent="0.2">
      <c r="A6169" t="str">
        <f>"20200111160338750"</f>
        <v>20200111160338750</v>
      </c>
      <c r="B6169" t="str">
        <f>"1578729818739097"</f>
        <v>1578729818739097</v>
      </c>
      <c r="C6169" t="s">
        <v>37</v>
      </c>
      <c r="D6169">
        <v>4.5053729999999996</v>
      </c>
      <c r="E6169">
        <v>0.51594600000000002</v>
      </c>
      <c r="F6169" t="s">
        <v>38</v>
      </c>
      <c r="G6169">
        <v>-188.5095</v>
      </c>
      <c r="H6169" s="1">
        <v>-3.4391420000000001E-6</v>
      </c>
      <c r="I6169">
        <v>17.03321</v>
      </c>
      <c r="J6169">
        <v>-188.33750000000001</v>
      </c>
      <c r="K6169">
        <v>1.104635</v>
      </c>
      <c r="L6169">
        <v>1.9863279999999901</v>
      </c>
      <c r="M6169">
        <v>-2.17515E-2</v>
      </c>
      <c r="N6169">
        <v>0</v>
      </c>
      <c r="O6169">
        <v>0.99965009999999999</v>
      </c>
      <c r="P6169">
        <v>-4.9595420000000001E-2</v>
      </c>
      <c r="Q6169">
        <v>6.4158819999999899E-3</v>
      </c>
      <c r="R6169">
        <v>0.99874879999999999</v>
      </c>
      <c r="S6169">
        <v>-3.4866330000000001E-2</v>
      </c>
      <c r="T6169">
        <v>-0.21673719999999999</v>
      </c>
      <c r="U6169">
        <v>3.003571</v>
      </c>
      <c r="V6169">
        <v>-2.7854739999999999E-2</v>
      </c>
      <c r="W6169">
        <v>2.146634E-2</v>
      </c>
      <c r="X6169">
        <v>0.99938150000000003</v>
      </c>
      <c r="Y6169">
        <v>1.0177810000000001E-2</v>
      </c>
      <c r="Z6169">
        <v>-7.1942900000000004E-2</v>
      </c>
      <c r="AA6169">
        <v>0.99735680000000004</v>
      </c>
      <c r="AB6169">
        <v>27</v>
      </c>
      <c r="AC6169">
        <v>-0.17199999999999699</v>
      </c>
      <c r="AD6169">
        <v>-1.1046384391420001</v>
      </c>
      <c r="AE6169">
        <v>15.046882</v>
      </c>
      <c r="AF6169">
        <v>0.154537269654107</v>
      </c>
      <c r="AG6169">
        <v>-1.1046384391420001</v>
      </c>
      <c r="AH6169">
        <v>14.9664121885339</v>
      </c>
      <c r="AI6169">
        <v>94.220999011162903</v>
      </c>
      <c r="AJ6169">
        <v>89.408407401870406</v>
      </c>
      <c r="AK6169">
        <v>15.0079179650622</v>
      </c>
    </row>
    <row r="6170" spans="1:37" x14ac:dyDescent="0.2">
      <c r="A6170" t="str">
        <f>"20200111160338772"</f>
        <v>20200111160338772</v>
      </c>
      <c r="B6170" t="str">
        <f>"1578729818769351"</f>
        <v>1578729818769351</v>
      </c>
      <c r="C6170" t="s">
        <v>37</v>
      </c>
      <c r="D6170">
        <v>4.4707470000000002</v>
      </c>
      <c r="E6170">
        <v>0.51609659999999902</v>
      </c>
      <c r="F6170" t="s">
        <v>42</v>
      </c>
      <c r="G6170">
        <v>-188.3477</v>
      </c>
      <c r="H6170">
        <v>1.0357540000000001</v>
      </c>
      <c r="I6170">
        <v>2.936102</v>
      </c>
      <c r="J6170">
        <v>-188.34309999999999</v>
      </c>
      <c r="K6170">
        <v>1.1046339999999999</v>
      </c>
      <c r="L6170">
        <v>2.2456669999999899</v>
      </c>
      <c r="M6170">
        <v>-2.1714230000000001E-2</v>
      </c>
      <c r="N6170">
        <v>0</v>
      </c>
      <c r="O6170">
        <v>0.99965099999999996</v>
      </c>
      <c r="P6170">
        <v>-4.8974049999999998E-2</v>
      </c>
      <c r="Q6170">
        <v>5.7330369999999999E-3</v>
      </c>
      <c r="R6170">
        <v>0.99878359999999899</v>
      </c>
      <c r="S6170">
        <v>-3.3218379999999999E-2</v>
      </c>
      <c r="T6170">
        <v>-0.217810799999999</v>
      </c>
      <c r="U6170">
        <v>3.0035099999999999</v>
      </c>
      <c r="V6170">
        <v>-2.7269930000000001E-2</v>
      </c>
      <c r="W6170">
        <v>2.0777469999999999E-2</v>
      </c>
      <c r="X6170">
        <v>0.99941219999999997</v>
      </c>
      <c r="Y6170">
        <v>1.0687729999999999E-2</v>
      </c>
      <c r="Z6170">
        <v>-7.2298989999999994E-2</v>
      </c>
      <c r="AA6170">
        <v>0.99732569999999998</v>
      </c>
      <c r="AB6170">
        <v>27</v>
      </c>
      <c r="AC6170">
        <v>-4.6000000000105904E-3</v>
      </c>
      <c r="AD6170">
        <v>-6.8879999999999997E-2</v>
      </c>
      <c r="AE6170">
        <v>0.69043500000000002</v>
      </c>
      <c r="AF6170">
        <v>1.02926117473497E-2</v>
      </c>
      <c r="AG6170">
        <v>-6.8879999999999997E-2</v>
      </c>
      <c r="AH6170">
        <v>0.68356901626964806</v>
      </c>
      <c r="AI6170">
        <v>95.753353304729799</v>
      </c>
      <c r="AJ6170">
        <v>89.137353159205006</v>
      </c>
      <c r="AK6170">
        <v>0.68710770062664595</v>
      </c>
    </row>
    <row r="6171" spans="1:37" x14ac:dyDescent="0.2">
      <c r="A6171" t="str">
        <f>"20200111160338795"</f>
        <v>20200111160338795</v>
      </c>
      <c r="B6171" t="str">
        <f>"1578729818789848"</f>
        <v>1578729818789848</v>
      </c>
      <c r="C6171" t="s">
        <v>37</v>
      </c>
      <c r="D6171">
        <v>4.6477190000000004</v>
      </c>
      <c r="E6171">
        <v>0.51616070000000003</v>
      </c>
      <c r="F6171" t="s">
        <v>42</v>
      </c>
      <c r="G6171">
        <v>-188.35230000000001</v>
      </c>
      <c r="H6171">
        <v>1.0366059999999999</v>
      </c>
      <c r="I6171">
        <v>3.1764459999999999</v>
      </c>
      <c r="J6171">
        <v>-188.3492</v>
      </c>
      <c r="K6171">
        <v>1.1046320000000001</v>
      </c>
      <c r="L6171">
        <v>2.529846</v>
      </c>
      <c r="M6171">
        <v>-2.1673479999999998E-2</v>
      </c>
      <c r="N6171">
        <v>0</v>
      </c>
      <c r="O6171">
        <v>0.99965199999999999</v>
      </c>
      <c r="P6171">
        <v>-4.8450380000000001E-2</v>
      </c>
      <c r="Q6171">
        <v>5.2422170000000004E-3</v>
      </c>
      <c r="R6171">
        <v>0.99881180000000003</v>
      </c>
      <c r="S6171">
        <v>-3.022766E-2</v>
      </c>
      <c r="T6171">
        <v>-0.2195027</v>
      </c>
      <c r="U6171">
        <v>3.0034179999999999</v>
      </c>
      <c r="V6171">
        <v>-2.6786500000000001E-2</v>
      </c>
      <c r="W6171">
        <v>2.028023E-2</v>
      </c>
      <c r="X6171">
        <v>0.99943539999999997</v>
      </c>
      <c r="Y6171">
        <v>1.1640040000000001E-2</v>
      </c>
      <c r="Z6171">
        <v>-7.2859939999999998E-2</v>
      </c>
      <c r="AA6171">
        <v>0.99727429999999995</v>
      </c>
      <c r="AB6171">
        <v>27</v>
      </c>
      <c r="AC6171">
        <v>-3.1000000000176399E-3</v>
      </c>
      <c r="AD6171">
        <v>-6.80260000000001E-2</v>
      </c>
      <c r="AE6171">
        <v>0.64659999999999895</v>
      </c>
      <c r="AF6171">
        <v>1.0796885601707201E-2</v>
      </c>
      <c r="AG6171">
        <v>-6.80260000000001E-2</v>
      </c>
      <c r="AH6171">
        <v>0.63943798750471004</v>
      </c>
      <c r="AI6171">
        <v>96.071657855923803</v>
      </c>
      <c r="AJ6171">
        <v>89.032654910292905</v>
      </c>
      <c r="AK6171">
        <v>0.64313688222552601</v>
      </c>
    </row>
    <row r="6172" spans="1:37" x14ac:dyDescent="0.2">
      <c r="A6172" t="str">
        <f>"20200111160338817"</f>
        <v>20200111160338817</v>
      </c>
      <c r="B6172" t="str">
        <f>"1578729818809368"</f>
        <v>1578729818809368</v>
      </c>
      <c r="C6172" t="s">
        <v>37</v>
      </c>
      <c r="D6172">
        <v>4.8623199999999898</v>
      </c>
      <c r="E6172">
        <v>0.51615290000000003</v>
      </c>
      <c r="F6172" t="s">
        <v>42</v>
      </c>
      <c r="G6172">
        <v>-188.35740000000001</v>
      </c>
      <c r="H6172">
        <v>1.0393250000000001</v>
      </c>
      <c r="I6172">
        <v>3.4180589999999902</v>
      </c>
      <c r="J6172">
        <v>-188.35470000000001</v>
      </c>
      <c r="K6172">
        <v>1.104633</v>
      </c>
      <c r="L6172">
        <v>2.7874150000000002</v>
      </c>
      <c r="M6172">
        <v>-2.1636590000000001E-2</v>
      </c>
      <c r="N6172">
        <v>0</v>
      </c>
      <c r="O6172">
        <v>0.99965289999999996</v>
      </c>
      <c r="P6172">
        <v>-4.8193060000000003E-2</v>
      </c>
      <c r="Q6172">
        <v>5.2736989999999997E-3</v>
      </c>
      <c r="R6172">
        <v>0.99882409999999999</v>
      </c>
      <c r="S6172">
        <v>-2.8198239999999999E-2</v>
      </c>
      <c r="T6172">
        <v>-0.22081429999999999</v>
      </c>
      <c r="U6172">
        <v>3.0033569999999998</v>
      </c>
      <c r="V6172">
        <v>-2.6565829999999999E-2</v>
      </c>
      <c r="W6172">
        <v>2.030597E-2</v>
      </c>
      <c r="X6172">
        <v>0.99944080000000002</v>
      </c>
      <c r="Y6172">
        <v>1.2277039999999999E-2</v>
      </c>
      <c r="Z6172">
        <v>-7.3294520000000002E-2</v>
      </c>
      <c r="AA6172">
        <v>0.99723479999999998</v>
      </c>
      <c r="AB6172">
        <v>27</v>
      </c>
      <c r="AC6172">
        <v>-2.7000000000043599E-3</v>
      </c>
      <c r="AD6172">
        <v>-6.5307999999999894E-2</v>
      </c>
      <c r="AE6172">
        <v>0.63064399999999898</v>
      </c>
      <c r="AF6172">
        <v>1.08310080037045E-2</v>
      </c>
      <c r="AG6172">
        <v>-6.5307999999999894E-2</v>
      </c>
      <c r="AH6172">
        <v>0.62386444518178497</v>
      </c>
      <c r="AI6172">
        <v>95.975233588129498</v>
      </c>
      <c r="AJ6172">
        <v>89.005378950778905</v>
      </c>
      <c r="AK6172">
        <v>0.62736695128158604</v>
      </c>
    </row>
    <row r="6173" spans="1:37" x14ac:dyDescent="0.2">
      <c r="A6173" t="str">
        <f>"20200111160338842"</f>
        <v>20200111160338842</v>
      </c>
      <c r="B6173" t="str">
        <f>"1578729818828888"</f>
        <v>1578729818828888</v>
      </c>
      <c r="C6173" t="s">
        <v>37</v>
      </c>
      <c r="D6173">
        <v>4.5075469999999997</v>
      </c>
      <c r="E6173">
        <v>0.51623850000000004</v>
      </c>
      <c r="F6173" t="s">
        <v>42</v>
      </c>
      <c r="G6173">
        <v>-188.36269999999999</v>
      </c>
      <c r="H6173">
        <v>1.0407379999999999</v>
      </c>
      <c r="I6173">
        <v>3.6581039999999998</v>
      </c>
      <c r="J6173">
        <v>-188.36070000000001</v>
      </c>
      <c r="K6173">
        <v>1.1046339999999999</v>
      </c>
      <c r="L6173">
        <v>3.0663450000000001</v>
      </c>
      <c r="M6173">
        <v>-2.1596750000000001E-2</v>
      </c>
      <c r="N6173">
        <v>0</v>
      </c>
      <c r="O6173">
        <v>0.99965380000000004</v>
      </c>
      <c r="P6173">
        <v>-4.8117489999999999E-2</v>
      </c>
      <c r="Q6173">
        <v>4.8527800000000001E-3</v>
      </c>
      <c r="R6173">
        <v>0.99882990000000005</v>
      </c>
      <c r="S6173">
        <v>-2.7725219999999998E-2</v>
      </c>
      <c r="T6173">
        <v>-0.2203956</v>
      </c>
      <c r="U6173">
        <v>3.0033569999999998</v>
      </c>
      <c r="V6173">
        <v>-2.653032E-2</v>
      </c>
      <c r="W6173">
        <v>1.987881E-2</v>
      </c>
      <c r="X6173">
        <v>0.99945030000000001</v>
      </c>
      <c r="Y6173">
        <v>1.239414E-2</v>
      </c>
      <c r="Z6173">
        <v>-7.3156369999999998E-2</v>
      </c>
      <c r="AA6173">
        <v>0.99724349999999995</v>
      </c>
      <c r="AB6173">
        <v>27</v>
      </c>
      <c r="AC6173">
        <v>-1.9999999999811202E-3</v>
      </c>
      <c r="AD6173">
        <v>-6.3896000000000105E-2</v>
      </c>
      <c r="AE6173">
        <v>0.59175900000000003</v>
      </c>
      <c r="AF6173">
        <v>1.06577253233465E-2</v>
      </c>
      <c r="AG6173">
        <v>-6.3896000000000105E-2</v>
      </c>
      <c r="AH6173">
        <v>0.58484556863975501</v>
      </c>
      <c r="AI6173">
        <v>96.233967076833693</v>
      </c>
      <c r="AJ6173">
        <v>88.9560062830964</v>
      </c>
      <c r="AK6173">
        <v>0.58842214870161602</v>
      </c>
    </row>
    <row r="6174" spans="1:37" x14ac:dyDescent="0.2">
      <c r="A6174" t="str">
        <f>"20200111160338867"</f>
        <v>20200111160338867</v>
      </c>
      <c r="B6174" t="str">
        <f>"1578729818859143"</f>
        <v>1578729818859143</v>
      </c>
      <c r="C6174" t="s">
        <v>37</v>
      </c>
      <c r="D6174">
        <v>4.4660849999999996</v>
      </c>
      <c r="E6174">
        <v>0.51635209999999998</v>
      </c>
      <c r="F6174" t="s">
        <v>42</v>
      </c>
      <c r="G6174">
        <v>-188.36799999999999</v>
      </c>
      <c r="H6174">
        <v>1.0432900000000001</v>
      </c>
      <c r="I6174">
        <v>3.8987199999999902</v>
      </c>
      <c r="J6174">
        <v>-188.36760000000001</v>
      </c>
      <c r="K6174">
        <v>1.1046320000000001</v>
      </c>
      <c r="L6174">
        <v>3.3886409999999998</v>
      </c>
      <c r="M6174">
        <v>-2.1551029999999999E-2</v>
      </c>
      <c r="N6174">
        <v>0</v>
      </c>
      <c r="O6174">
        <v>0.99965490000000001</v>
      </c>
      <c r="P6174">
        <v>-4.7690620000000003E-2</v>
      </c>
      <c r="Q6174">
        <v>4.8524019999999996E-3</v>
      </c>
      <c r="R6174">
        <v>0.99885029999999997</v>
      </c>
      <c r="S6174">
        <v>-2.6657099999999899E-2</v>
      </c>
      <c r="T6174">
        <v>-0.22132449999999901</v>
      </c>
      <c r="U6174">
        <v>3.00329599999999</v>
      </c>
      <c r="V6174">
        <v>-2.6149059999999998E-2</v>
      </c>
      <c r="W6174">
        <v>1.9871179999999999E-2</v>
      </c>
      <c r="X6174">
        <v>0.99946049999999997</v>
      </c>
      <c r="Y6174">
        <v>1.270306E-2</v>
      </c>
      <c r="Z6174">
        <v>-7.3464600000000005E-2</v>
      </c>
      <c r="AA6174">
        <v>0.99721689999999996</v>
      </c>
      <c r="AB6174">
        <v>27</v>
      </c>
      <c r="AC6174">
        <v>-3.9999999998485599E-4</v>
      </c>
      <c r="AD6174">
        <v>-6.1342000000000001E-2</v>
      </c>
      <c r="AE6174">
        <v>0.51007899999999895</v>
      </c>
      <c r="AF6174">
        <v>1.04430297378021E-2</v>
      </c>
      <c r="AG6174">
        <v>-6.1342000000000001E-2</v>
      </c>
      <c r="AH6174">
        <v>0.50269889047191296</v>
      </c>
      <c r="AI6174">
        <v>96.955655639308105</v>
      </c>
      <c r="AJ6174">
        <v>88.809912871708804</v>
      </c>
      <c r="AK6174">
        <v>0.50653536136759203</v>
      </c>
    </row>
    <row r="6175" spans="1:37" x14ac:dyDescent="0.2">
      <c r="A6175" t="str">
        <f>"20200111160338906"</f>
        <v>20200111160338906</v>
      </c>
      <c r="B6175" t="str">
        <f>"1578729818899159"</f>
        <v>1578729818899159</v>
      </c>
      <c r="C6175" t="s">
        <v>37</v>
      </c>
      <c r="D6175">
        <v>4.4607320000000001</v>
      </c>
      <c r="E6175">
        <v>0.51648470000000002</v>
      </c>
      <c r="F6175" t="s">
        <v>38</v>
      </c>
      <c r="G6175">
        <v>-188.49019999999999</v>
      </c>
      <c r="H6175" s="1">
        <v>-4.0355199999999901E-6</v>
      </c>
      <c r="I6175">
        <v>18.415400000000002</v>
      </c>
      <c r="J6175">
        <v>-188.3775</v>
      </c>
      <c r="K6175">
        <v>1.1046400000000001</v>
      </c>
      <c r="L6175">
        <v>3.85122699999999</v>
      </c>
      <c r="M6175">
        <v>-2.1485069999999998E-2</v>
      </c>
      <c r="N6175">
        <v>0</v>
      </c>
      <c r="O6175">
        <v>0.99965649999999995</v>
      </c>
      <c r="P6175">
        <v>-4.6750489999999999E-2</v>
      </c>
      <c r="Q6175">
        <v>5.4521019999999899E-3</v>
      </c>
      <c r="R6175">
        <v>0.99889169999999905</v>
      </c>
      <c r="S6175">
        <v>-2.4505619999999999E-2</v>
      </c>
      <c r="T6175">
        <v>-0.22078059999999999</v>
      </c>
      <c r="U6175">
        <v>3.0033569999999998</v>
      </c>
      <c r="V6175">
        <v>-2.5273750000000001E-2</v>
      </c>
      <c r="W6175">
        <v>2.0460430000000002E-2</v>
      </c>
      <c r="X6175">
        <v>0.9994712</v>
      </c>
      <c r="Y6175">
        <v>1.3351460000000001E-2</v>
      </c>
      <c r="Z6175">
        <v>-7.3283609999999999E-2</v>
      </c>
      <c r="AA6175">
        <v>0.99722180000000005</v>
      </c>
      <c r="AB6175">
        <v>27</v>
      </c>
      <c r="AC6175">
        <v>-0.112699999999989</v>
      </c>
      <c r="AD6175">
        <v>-1.10464403552</v>
      </c>
      <c r="AE6175">
        <v>14.564173</v>
      </c>
      <c r="AF6175">
        <v>0.19912808925683001</v>
      </c>
      <c r="AG6175">
        <v>-1.10464403552</v>
      </c>
      <c r="AH6175">
        <v>14.479938018560199</v>
      </c>
      <c r="AI6175">
        <v>94.362113747101304</v>
      </c>
      <c r="AJ6175">
        <v>89.212118177742795</v>
      </c>
      <c r="AK6175">
        <v>14.523377550091</v>
      </c>
    </row>
    <row r="6176" spans="1:37" x14ac:dyDescent="0.2">
      <c r="A6176" t="str">
        <f>"20200111160338929"</f>
        <v>20200111160338929</v>
      </c>
      <c r="B6176" t="str">
        <f>"1578729818919656"</f>
        <v>1578729818919656</v>
      </c>
      <c r="C6176" t="s">
        <v>37</v>
      </c>
      <c r="D6176">
        <v>4.3838080000000001</v>
      </c>
      <c r="E6176">
        <v>0.51653950000000004</v>
      </c>
      <c r="F6176" t="s">
        <v>38</v>
      </c>
      <c r="G6176">
        <v>-188.48220000000001</v>
      </c>
      <c r="H6176" s="1">
        <v>-4.3168080000000001E-6</v>
      </c>
      <c r="I6176">
        <v>19.06775</v>
      </c>
      <c r="J6176">
        <v>-188.38310000000001</v>
      </c>
      <c r="K6176">
        <v>1.1046400000000001</v>
      </c>
      <c r="L6176">
        <v>4.115875</v>
      </c>
      <c r="M6176">
        <v>-2.14472E-2</v>
      </c>
      <c r="N6176">
        <v>0</v>
      </c>
      <c r="O6176">
        <v>0.99965740000000003</v>
      </c>
      <c r="P6176">
        <v>-4.6563390000000003E-2</v>
      </c>
      <c r="Q6176">
        <v>5.1008310000000001E-3</v>
      </c>
      <c r="R6176">
        <v>0.99890230000000002</v>
      </c>
      <c r="S6176">
        <v>-2.0660399999999999E-2</v>
      </c>
      <c r="T6176">
        <v>-0.21804209999999999</v>
      </c>
      <c r="U6176">
        <v>3.0035400000000001</v>
      </c>
      <c r="V6176">
        <v>-2.5124759999999999E-2</v>
      </c>
      <c r="W6176">
        <v>2.010288E-2</v>
      </c>
      <c r="X6176">
        <v>0.99948219999999999</v>
      </c>
      <c r="Y6176">
        <v>1.4590209999999999E-2</v>
      </c>
      <c r="Z6176">
        <v>-7.2374850000000004E-2</v>
      </c>
      <c r="AA6176">
        <v>0.99727080000000001</v>
      </c>
      <c r="AB6176">
        <v>27</v>
      </c>
      <c r="AC6176">
        <v>-9.9099999999992805E-2</v>
      </c>
      <c r="AD6176">
        <v>-1.104644316808</v>
      </c>
      <c r="AE6176">
        <v>14.951874999999999</v>
      </c>
      <c r="AF6176">
        <v>0.22043163295694901</v>
      </c>
      <c r="AG6176">
        <v>-1.104644316808</v>
      </c>
      <c r="AH6176">
        <v>14.869403297051599</v>
      </c>
      <c r="AI6176">
        <v>94.248219659375494</v>
      </c>
      <c r="AJ6176">
        <v>89.150680299108899</v>
      </c>
      <c r="AK6176">
        <v>14.912008033187</v>
      </c>
    </row>
    <row r="6177" spans="1:37" x14ac:dyDescent="0.2">
      <c r="A6177" t="str">
        <f>"20200111160338950"</f>
        <v>20200111160338950</v>
      </c>
      <c r="B6177" t="str">
        <f>"1578729818939176"</f>
        <v>1578729818939176</v>
      </c>
      <c r="C6177" t="s">
        <v>37</v>
      </c>
      <c r="D6177">
        <v>4.5765570000000002</v>
      </c>
      <c r="E6177">
        <v>0.51652520000000002</v>
      </c>
      <c r="F6177" t="s">
        <v>38</v>
      </c>
      <c r="G6177">
        <v>-188.48259999999999</v>
      </c>
      <c r="H6177" s="1">
        <v>-4.4227820000000002E-6</v>
      </c>
      <c r="I6177">
        <v>19.314959999999999</v>
      </c>
      <c r="J6177">
        <v>-188.3887</v>
      </c>
      <c r="K6177">
        <v>1.104638</v>
      </c>
      <c r="L6177">
        <v>4.3739619999999997</v>
      </c>
      <c r="M6177">
        <v>-2.1410220000000001E-2</v>
      </c>
      <c r="N6177">
        <v>0</v>
      </c>
      <c r="O6177">
        <v>0.9996583</v>
      </c>
      <c r="P6177">
        <v>-4.633607E-2</v>
      </c>
      <c r="Q6177">
        <v>5.0529800000000003E-3</v>
      </c>
      <c r="R6177">
        <v>0.998913099999999</v>
      </c>
      <c r="S6177">
        <v>-1.9653319999999998E-2</v>
      </c>
      <c r="T6177">
        <v>-0.21829000000000001</v>
      </c>
      <c r="U6177">
        <v>3.0035099999999999</v>
      </c>
      <c r="V6177">
        <v>-2.4934149999999999E-2</v>
      </c>
      <c r="W6177">
        <v>2.0048529999999998E-2</v>
      </c>
      <c r="X6177">
        <v>0.99948809999999999</v>
      </c>
      <c r="Y6177">
        <v>1.4887559999999999E-2</v>
      </c>
      <c r="Z6177">
        <v>-7.2457430000000003E-2</v>
      </c>
      <c r="AA6177">
        <v>0.99726039999999905</v>
      </c>
      <c r="AB6177">
        <v>27</v>
      </c>
      <c r="AC6177">
        <v>-9.3899999999990699E-2</v>
      </c>
      <c r="AD6177">
        <v>-1.104642422782</v>
      </c>
      <c r="AE6177">
        <v>14.940998</v>
      </c>
      <c r="AF6177">
        <v>0.22481870688490299</v>
      </c>
      <c r="AG6177">
        <v>-1.104642422782</v>
      </c>
      <c r="AH6177">
        <v>14.8583676656372</v>
      </c>
      <c r="AI6177">
        <v>94.251336651335706</v>
      </c>
      <c r="AJ6177">
        <v>89.133136258425594</v>
      </c>
      <c r="AK6177">
        <v>14.9010693582853</v>
      </c>
    </row>
    <row r="6178" spans="1:37" x14ac:dyDescent="0.2">
      <c r="A6178" t="str">
        <f>"20200111160338975"</f>
        <v>20200111160338975</v>
      </c>
      <c r="B6178" t="str">
        <f>"1578729818969432"</f>
        <v>1578729818969432</v>
      </c>
      <c r="C6178" t="s">
        <v>37</v>
      </c>
      <c r="D6178">
        <v>4.3962129999999897</v>
      </c>
      <c r="E6178">
        <v>0.51659730000000004</v>
      </c>
      <c r="F6178" t="s">
        <v>42</v>
      </c>
      <c r="G6178">
        <v>-188.39449999999999</v>
      </c>
      <c r="H6178">
        <v>1.036562</v>
      </c>
      <c r="I6178">
        <v>5.3132359999999998</v>
      </c>
      <c r="J6178">
        <v>-188.39449999999999</v>
      </c>
      <c r="K6178">
        <v>1.104638</v>
      </c>
      <c r="L6178">
        <v>4.646973</v>
      </c>
      <c r="M6178">
        <v>-2.1371080000000001E-2</v>
      </c>
      <c r="N6178">
        <v>0</v>
      </c>
      <c r="O6178">
        <v>0.99965930000000003</v>
      </c>
      <c r="P6178">
        <v>-4.6368449999999999E-2</v>
      </c>
      <c r="Q6178">
        <v>5.6388879999999999E-3</v>
      </c>
      <c r="R6178">
        <v>0.99890849999999898</v>
      </c>
      <c r="S6178">
        <v>-1.8920900000000001E-2</v>
      </c>
      <c r="T6178">
        <v>-0.2176795</v>
      </c>
      <c r="U6178">
        <v>3.003479</v>
      </c>
      <c r="V6178">
        <v>-2.5005820000000002E-2</v>
      </c>
      <c r="W6178">
        <v>2.0622999999999999E-2</v>
      </c>
      <c r="X6178">
        <v>0.99947459999999899</v>
      </c>
      <c r="Y6178">
        <v>1.5091429999999999E-2</v>
      </c>
      <c r="Z6178">
        <v>-7.2256609999999999E-2</v>
      </c>
      <c r="AA6178">
        <v>0.99727189999999999</v>
      </c>
      <c r="AB6178">
        <v>26</v>
      </c>
      <c r="AC6178">
        <v>0</v>
      </c>
      <c r="AD6178">
        <v>-6.8075999999999998E-2</v>
      </c>
      <c r="AE6178">
        <v>0.66626299999999905</v>
      </c>
      <c r="AF6178">
        <v>1.4093226886785999E-2</v>
      </c>
      <c r="AG6178">
        <v>-6.8075999999999998E-2</v>
      </c>
      <c r="AH6178">
        <v>0.65922851462751297</v>
      </c>
      <c r="AI6178">
        <v>95.894479818790202</v>
      </c>
      <c r="AJ6178">
        <v>88.775296546819206</v>
      </c>
      <c r="AK6178">
        <v>0.66288399838740997</v>
      </c>
    </row>
    <row r="6179" spans="1:37" x14ac:dyDescent="0.2">
      <c r="A6179" t="str">
        <f>"20200111160338996"</f>
        <v>20200111160338996</v>
      </c>
      <c r="B6179" t="str">
        <f>"1578729818988951"</f>
        <v>1578729818988951</v>
      </c>
      <c r="C6179" t="s">
        <v>37</v>
      </c>
      <c r="D6179">
        <v>4.2436290000000003</v>
      </c>
      <c r="E6179">
        <v>0.55007689999999998</v>
      </c>
      <c r="F6179" t="s">
        <v>42</v>
      </c>
      <c r="G6179">
        <v>-188.3998</v>
      </c>
      <c r="H6179">
        <v>1.0400399999999901</v>
      </c>
      <c r="I6179">
        <v>5.5516719999999999</v>
      </c>
      <c r="J6179">
        <v>-188.40010000000001</v>
      </c>
      <c r="K6179">
        <v>1.104636</v>
      </c>
      <c r="L6179">
        <v>4.9109189999999998</v>
      </c>
      <c r="M6179">
        <v>-2.1333290000000001E-2</v>
      </c>
      <c r="N6179">
        <v>0</v>
      </c>
      <c r="O6179">
        <v>0.99966029999999995</v>
      </c>
      <c r="P6179">
        <v>-4.6666119999999998E-2</v>
      </c>
      <c r="Q6179">
        <v>5.8575390000000001E-3</v>
      </c>
      <c r="R6179">
        <v>0.99889340000000004</v>
      </c>
      <c r="S6179">
        <v>-1.8157960000000001E-2</v>
      </c>
      <c r="T6179">
        <v>-0.21446399999999999</v>
      </c>
      <c r="U6179">
        <v>3.0036320000000001</v>
      </c>
      <c r="V6179">
        <v>-2.5341229999999999E-2</v>
      </c>
      <c r="W6179">
        <v>2.0826569999999999E-2</v>
      </c>
      <c r="X6179">
        <v>0.99946190000000001</v>
      </c>
      <c r="Y6179">
        <v>1.5306780000000001E-2</v>
      </c>
      <c r="Z6179">
        <v>-7.1191149999999995E-2</v>
      </c>
      <c r="AA6179">
        <v>0.99734519999999904</v>
      </c>
      <c r="AB6179">
        <v>26</v>
      </c>
      <c r="AC6179">
        <v>3.0000000000995799E-4</v>
      </c>
      <c r="AD6179">
        <v>-6.4596000000000098E-2</v>
      </c>
      <c r="AE6179">
        <v>0.64075300000000002</v>
      </c>
      <c r="AF6179">
        <v>1.3830274060107599E-2</v>
      </c>
      <c r="AG6179">
        <v>-6.4596000000000098E-2</v>
      </c>
      <c r="AH6179">
        <v>0.63415570154506795</v>
      </c>
      <c r="AI6179">
        <v>95.814795886467607</v>
      </c>
      <c r="AJ6179">
        <v>88.750636894719094</v>
      </c>
      <c r="AK6179">
        <v>0.63758714972832897</v>
      </c>
    </row>
    <row r="6180" spans="1:37" x14ac:dyDescent="0.2">
      <c r="A6180" t="str">
        <f>"20200111160339018"</f>
        <v>20200111160339018</v>
      </c>
      <c r="B6180" t="str">
        <f>"1578729819009448"</f>
        <v>1578729819009448</v>
      </c>
      <c r="C6180" t="s">
        <v>37</v>
      </c>
      <c r="D6180">
        <v>4.1419189999999997</v>
      </c>
      <c r="E6180">
        <v>0.56467800000000001</v>
      </c>
      <c r="F6180" t="s">
        <v>38</v>
      </c>
      <c r="G6180">
        <v>-186.35849999999999</v>
      </c>
      <c r="H6180" s="1">
        <v>-4.8135379999999902E-6</v>
      </c>
      <c r="I6180">
        <v>29.347529999999999</v>
      </c>
      <c r="J6180">
        <v>-188.40549999999999</v>
      </c>
      <c r="K6180">
        <v>1.104635</v>
      </c>
      <c r="L6180">
        <v>5.1658330000000001</v>
      </c>
      <c r="M6180">
        <v>-2.1296820000000001E-2</v>
      </c>
      <c r="N6180">
        <v>0</v>
      </c>
      <c r="O6180">
        <v>0.99966129999999997</v>
      </c>
      <c r="P6180">
        <v>-4.7017009999999998E-2</v>
      </c>
      <c r="Q6180">
        <v>5.4649829999999996E-3</v>
      </c>
      <c r="R6180">
        <v>0.99887909999999902</v>
      </c>
      <c r="S6180">
        <v>0.25196839999999998</v>
      </c>
      <c r="T6180">
        <v>-0.1363317</v>
      </c>
      <c r="U6180">
        <v>3.0158999999999998</v>
      </c>
      <c r="V6180">
        <v>-2.572843E-2</v>
      </c>
      <c r="W6180">
        <v>2.0417049999999999E-2</v>
      </c>
      <c r="X6180">
        <v>0.99946049999999997</v>
      </c>
      <c r="Y6180">
        <v>0.10437879999999999</v>
      </c>
      <c r="Z6180">
        <v>-4.4941370000000001E-2</v>
      </c>
      <c r="AA6180">
        <v>0.99352169999999895</v>
      </c>
      <c r="AB6180">
        <v>26</v>
      </c>
      <c r="AC6180">
        <v>2.0469999999999899</v>
      </c>
      <c r="AD6180">
        <v>-1.104639813538</v>
      </c>
      <c r="AE6180">
        <v>24.181697</v>
      </c>
      <c r="AF6180">
        <v>2.5562901439804202</v>
      </c>
      <c r="AG6180">
        <v>-1.104639813538</v>
      </c>
      <c r="AH6180">
        <v>24.0827150651821</v>
      </c>
      <c r="AI6180">
        <v>92.611584265467002</v>
      </c>
      <c r="AJ6180">
        <v>83.940955109589794</v>
      </c>
      <c r="AK6180">
        <v>24.243184884181598</v>
      </c>
    </row>
    <row r="6181" spans="1:37" x14ac:dyDescent="0.2">
      <c r="A6181" t="str">
        <f>"20200111160339041"</f>
        <v>20200111160339041</v>
      </c>
      <c r="B6181" t="str">
        <f>"1578729819028967"</f>
        <v>1578729819028967</v>
      </c>
      <c r="C6181" t="s">
        <v>37</v>
      </c>
      <c r="D6181">
        <v>4.1659009999999999</v>
      </c>
      <c r="E6181">
        <v>0.57191809999999998</v>
      </c>
      <c r="F6181" t="s">
        <v>38</v>
      </c>
      <c r="G6181">
        <v>-185.48840000000001</v>
      </c>
      <c r="H6181" s="1">
        <v>-4.8941950000000002E-6</v>
      </c>
      <c r="I6181">
        <v>29.17578</v>
      </c>
      <c r="J6181">
        <v>-188.4111</v>
      </c>
      <c r="K6181">
        <v>1.1046240000000001</v>
      </c>
      <c r="L6181">
        <v>5.4331360000000002</v>
      </c>
      <c r="M6181">
        <v>-2.1258559999999999E-2</v>
      </c>
      <c r="N6181">
        <v>0</v>
      </c>
      <c r="O6181">
        <v>0.99966239999999995</v>
      </c>
      <c r="P6181">
        <v>-4.759704E-2</v>
      </c>
      <c r="Q6181">
        <v>5.2241869999999999E-3</v>
      </c>
      <c r="R6181">
        <v>0.99885299999999999</v>
      </c>
      <c r="S6181">
        <v>0.36708069999999998</v>
      </c>
      <c r="T6181">
        <v>-0.13900699999999999</v>
      </c>
      <c r="U6181">
        <v>3.0213930000000002</v>
      </c>
      <c r="V6181">
        <v>-2.6348110000000001E-2</v>
      </c>
      <c r="W6181">
        <v>2.0158659999999998E-2</v>
      </c>
      <c r="X6181">
        <v>0.99944959999999905</v>
      </c>
      <c r="Y6181">
        <v>0.1415602</v>
      </c>
      <c r="Z6181">
        <v>-4.5544840000000003E-2</v>
      </c>
      <c r="AA6181">
        <v>0.98888129999999996</v>
      </c>
      <c r="AB6181">
        <v>26</v>
      </c>
      <c r="AC6181">
        <v>2.9226999999999901</v>
      </c>
      <c r="AD6181">
        <v>-1.104628894195</v>
      </c>
      <c r="AE6181">
        <v>23.742643999999999</v>
      </c>
      <c r="AF6181">
        <v>3.4195387123339498</v>
      </c>
      <c r="AG6181">
        <v>-1.104628894195</v>
      </c>
      <c r="AH6181">
        <v>23.624763442390801</v>
      </c>
      <c r="AI6181">
        <v>92.649472721036602</v>
      </c>
      <c r="AJ6181">
        <v>81.763988588622894</v>
      </c>
      <c r="AK6181">
        <v>23.896503880441699</v>
      </c>
    </row>
    <row r="6182" spans="1:37" x14ac:dyDescent="0.2">
      <c r="A6182" t="str">
        <f>"20200111160339063"</f>
        <v>20200111160339063</v>
      </c>
      <c r="B6182" t="str">
        <f>"1578729819059224"</f>
        <v>1578729819059224</v>
      </c>
      <c r="C6182" t="s">
        <v>37</v>
      </c>
      <c r="D6182">
        <v>4.0838019999999897</v>
      </c>
      <c r="E6182">
        <v>0.57672049999999997</v>
      </c>
      <c r="F6182" t="s">
        <v>38</v>
      </c>
      <c r="G6182">
        <v>-184.82040000000001</v>
      </c>
      <c r="H6182" s="1">
        <v>-1.8613859999999999E-6</v>
      </c>
      <c r="I6182">
        <v>31.068079999999998</v>
      </c>
      <c r="J6182">
        <v>-188.41650000000001</v>
      </c>
      <c r="K6182">
        <v>1.1046209999999901</v>
      </c>
      <c r="L6182">
        <v>5.6889949999999896</v>
      </c>
      <c r="M6182">
        <v>-2.1221750000000001E-2</v>
      </c>
      <c r="N6182">
        <v>0</v>
      </c>
      <c r="O6182">
        <v>0.99966339999999998</v>
      </c>
      <c r="P6182">
        <v>-4.8358030000000003E-2</v>
      </c>
      <c r="Q6182">
        <v>5.2913650000000001E-3</v>
      </c>
      <c r="R6182">
        <v>0.99881609999999998</v>
      </c>
      <c r="S6182">
        <v>0.4236145</v>
      </c>
      <c r="T6182">
        <v>-0.13031999999999999</v>
      </c>
      <c r="U6182">
        <v>3.0243229999999999</v>
      </c>
      <c r="V6182">
        <v>-2.7145860000000001E-2</v>
      </c>
      <c r="W6182">
        <v>2.02092E-2</v>
      </c>
      <c r="X6182">
        <v>0.99942719999999896</v>
      </c>
      <c r="Y6182">
        <v>0.159577</v>
      </c>
      <c r="Z6182">
        <v>-4.2552939999999997E-2</v>
      </c>
      <c r="AA6182">
        <v>0.98626789999999998</v>
      </c>
      <c r="AB6182">
        <v>26</v>
      </c>
      <c r="AC6182">
        <v>3.5960999999999999</v>
      </c>
      <c r="AD6182">
        <v>-1.1046228613860001</v>
      </c>
      <c r="AE6182">
        <v>25.379085</v>
      </c>
      <c r="AF6182">
        <v>4.1262754982198704</v>
      </c>
      <c r="AG6182">
        <v>-1.1046228613860001</v>
      </c>
      <c r="AH6182">
        <v>25.250151270974602</v>
      </c>
      <c r="AI6182">
        <v>92.472180980951904</v>
      </c>
      <c r="AJ6182">
        <v>80.718995593863298</v>
      </c>
      <c r="AK6182">
        <v>25.608914080066</v>
      </c>
    </row>
    <row r="6183" spans="1:37" x14ac:dyDescent="0.2">
      <c r="A6183" t="str">
        <f>"20200111160339086"</f>
        <v>20200111160339086</v>
      </c>
      <c r="B6183" t="str">
        <f>"1578729819079719"</f>
        <v>1578729819079719</v>
      </c>
      <c r="C6183" t="s">
        <v>37</v>
      </c>
      <c r="D6183">
        <v>4.0588360000000003</v>
      </c>
      <c r="E6183">
        <v>0.57829949999999997</v>
      </c>
      <c r="F6183" t="s">
        <v>38</v>
      </c>
      <c r="G6183">
        <v>-184.36</v>
      </c>
      <c r="H6183" s="1">
        <v>-2.4326269999999999E-6</v>
      </c>
      <c r="I6183">
        <v>32.386679999999998</v>
      </c>
      <c r="J6183">
        <v>-188.4222</v>
      </c>
      <c r="K6183">
        <v>1.104619</v>
      </c>
      <c r="L6183">
        <v>5.9565429999999999</v>
      </c>
      <c r="M6183">
        <v>-2.1183270000000001E-2</v>
      </c>
      <c r="N6183">
        <v>0</v>
      </c>
      <c r="O6183">
        <v>0.99966449999999996</v>
      </c>
      <c r="P6183">
        <v>-4.832239E-2</v>
      </c>
      <c r="Q6183">
        <v>5.4113879999999996E-3</v>
      </c>
      <c r="R6183">
        <v>0.99881710000000001</v>
      </c>
      <c r="S6183">
        <v>0.45985409999999999</v>
      </c>
      <c r="T6183">
        <v>-0.12522169999999999</v>
      </c>
      <c r="U6183">
        <v>3.02648899999999</v>
      </c>
      <c r="V6183">
        <v>-2.714915E-2</v>
      </c>
      <c r="W6183">
        <v>2.031312E-2</v>
      </c>
      <c r="X6183">
        <v>0.99942500000000001</v>
      </c>
      <c r="Y6183">
        <v>0.1710053</v>
      </c>
      <c r="Z6183">
        <v>-4.0787789999999997E-2</v>
      </c>
      <c r="AA6183">
        <v>0.98442549999999995</v>
      </c>
      <c r="AB6183">
        <v>26</v>
      </c>
      <c r="AC6183">
        <v>4.06219999999999</v>
      </c>
      <c r="AD6183">
        <v>-1.1046214326270001</v>
      </c>
      <c r="AE6183">
        <v>26.430136999999998</v>
      </c>
      <c r="AF6183">
        <v>4.6133548421075101</v>
      </c>
      <c r="AG6183">
        <v>-1.1046214326270001</v>
      </c>
      <c r="AH6183">
        <v>26.2932771459812</v>
      </c>
      <c r="AI6183">
        <v>92.369515566431105</v>
      </c>
      <c r="AJ6183">
        <v>80.048317983244303</v>
      </c>
      <c r="AK6183">
        <v>26.717777873243701</v>
      </c>
    </row>
    <row r="6184" spans="1:37" x14ac:dyDescent="0.2">
      <c r="A6184" t="str">
        <f>"20200111160339108"</f>
        <v>20200111160339108</v>
      </c>
      <c r="B6184" t="str">
        <f>"1578729819099240"</f>
        <v>1578729819099240</v>
      </c>
      <c r="C6184" t="s">
        <v>37</v>
      </c>
      <c r="D6184">
        <v>4.1445699999999999</v>
      </c>
      <c r="E6184">
        <v>0.57964850000000001</v>
      </c>
      <c r="F6184" t="s">
        <v>38</v>
      </c>
      <c r="G6184">
        <v>-184.14070000000001</v>
      </c>
      <c r="H6184" s="1">
        <v>-2.8243129999999999E-6</v>
      </c>
      <c r="I6184">
        <v>33.366219999999998</v>
      </c>
      <c r="J6184">
        <v>-188.42769999999999</v>
      </c>
      <c r="K6184">
        <v>1.1046180000000001</v>
      </c>
      <c r="L6184">
        <v>6.2191470000000004</v>
      </c>
      <c r="M6184">
        <v>-2.1145540000000001E-2</v>
      </c>
      <c r="N6184">
        <v>0</v>
      </c>
      <c r="O6184">
        <v>0.99966549999999998</v>
      </c>
      <c r="P6184">
        <v>-4.8454299999999999E-2</v>
      </c>
      <c r="Q6184">
        <v>5.5130909999999899E-3</v>
      </c>
      <c r="R6184">
        <v>0.99881019999999898</v>
      </c>
      <c r="S6184">
        <v>0.47283940000000002</v>
      </c>
      <c r="T6184">
        <v>-0.1219934</v>
      </c>
      <c r="U6184">
        <v>3.0270999999999999</v>
      </c>
      <c r="V6184">
        <v>-2.7318760000000001E-2</v>
      </c>
      <c r="W6184">
        <v>2.039941E-2</v>
      </c>
      <c r="X6184">
        <v>0.99941859999999905</v>
      </c>
      <c r="Y6184">
        <v>0.175068899999999</v>
      </c>
      <c r="Z6184">
        <v>-3.9702929999999997E-2</v>
      </c>
      <c r="AA6184">
        <v>0.98375539999999995</v>
      </c>
      <c r="AB6184">
        <v>26</v>
      </c>
      <c r="AC6184">
        <v>4.2869999999999697</v>
      </c>
      <c r="AD6184">
        <v>-1.104620824313</v>
      </c>
      <c r="AE6184">
        <v>27.147072999999999</v>
      </c>
      <c r="AF6184">
        <v>4.8523059601063796</v>
      </c>
      <c r="AG6184">
        <v>-1.104620824313</v>
      </c>
      <c r="AH6184">
        <v>27.006713880140001</v>
      </c>
      <c r="AI6184">
        <v>92.305316773315596</v>
      </c>
      <c r="AJ6184">
        <v>79.814321669087605</v>
      </c>
      <c r="AK6184">
        <v>27.461384795740699</v>
      </c>
    </row>
    <row r="6185" spans="1:37" x14ac:dyDescent="0.2">
      <c r="A6185" t="str">
        <f>"20200111160339131"</f>
        <v>20200111160339131</v>
      </c>
      <c r="B6185" t="str">
        <f>"1578729819119736"</f>
        <v>1578729819119736</v>
      </c>
      <c r="C6185" t="s">
        <v>37</v>
      </c>
      <c r="D6185">
        <v>4.1391450000000001</v>
      </c>
      <c r="E6185">
        <v>0.58060319999999899</v>
      </c>
      <c r="F6185" t="s">
        <v>38</v>
      </c>
      <c r="G6185">
        <v>-183.9177</v>
      </c>
      <c r="H6185" s="1">
        <v>-3.26047799999999E-6</v>
      </c>
      <c r="I6185">
        <v>34.473570000000002</v>
      </c>
      <c r="J6185">
        <v>-188.4332</v>
      </c>
      <c r="K6185">
        <v>1.1046199999999999</v>
      </c>
      <c r="L6185">
        <v>6.4818119999999997</v>
      </c>
      <c r="M6185">
        <v>-2.1107859999999999E-2</v>
      </c>
      <c r="N6185">
        <v>0</v>
      </c>
      <c r="O6185">
        <v>0.99966650000000001</v>
      </c>
      <c r="P6185">
        <v>-4.8785210000000002E-2</v>
      </c>
      <c r="Q6185">
        <v>5.3968840000000002E-3</v>
      </c>
      <c r="R6185">
        <v>0.99879470000000004</v>
      </c>
      <c r="S6185">
        <v>0.48327639999999999</v>
      </c>
      <c r="T6185">
        <v>-0.11836869999999999</v>
      </c>
      <c r="U6185">
        <v>3.027679</v>
      </c>
      <c r="V6185">
        <v>-2.7687679999999999E-2</v>
      </c>
      <c r="W6185">
        <v>2.0269260000000001E-2</v>
      </c>
      <c r="X6185">
        <v>0.999411099999999</v>
      </c>
      <c r="Y6185">
        <v>0.17831820000000001</v>
      </c>
      <c r="Z6185">
        <v>-3.8496259999999997E-2</v>
      </c>
      <c r="AA6185">
        <v>0.98321950000000002</v>
      </c>
      <c r="AB6185">
        <v>26</v>
      </c>
      <c r="AC6185">
        <v>4.5155000000000003</v>
      </c>
      <c r="AD6185">
        <v>-1.104623260478</v>
      </c>
      <c r="AE6185">
        <v>27.991758000000001</v>
      </c>
      <c r="AF6185">
        <v>5.0976680754485004</v>
      </c>
      <c r="AG6185">
        <v>-1.104623260478</v>
      </c>
      <c r="AH6185">
        <v>27.847929833935702</v>
      </c>
      <c r="AI6185">
        <v>92.234429170507198</v>
      </c>
      <c r="AJ6185">
        <v>79.626640813071404</v>
      </c>
      <c r="AK6185">
        <v>28.332200909757098</v>
      </c>
    </row>
    <row r="6186" spans="1:37" x14ac:dyDescent="0.2">
      <c r="A6186" t="str">
        <f>"20200111160339153"</f>
        <v>20200111160339153</v>
      </c>
      <c r="B6186" t="str">
        <f>"1578729819149017"</f>
        <v>1578729819149017</v>
      </c>
      <c r="C6186" t="s">
        <v>37</v>
      </c>
      <c r="D6186">
        <v>4.1587829999999997</v>
      </c>
      <c r="E6186">
        <v>0.58152320000000002</v>
      </c>
      <c r="F6186" t="s">
        <v>38</v>
      </c>
      <c r="G6186">
        <v>-183.8623</v>
      </c>
      <c r="H6186" s="1">
        <v>-3.3626459999999998E-6</v>
      </c>
      <c r="I6186">
        <v>34.730469999999997</v>
      </c>
      <c r="J6186">
        <v>-188.4385</v>
      </c>
      <c r="K6186">
        <v>1.104622</v>
      </c>
      <c r="L6186">
        <v>6.7363589999999904</v>
      </c>
      <c r="M6186">
        <v>-2.1071380000000001E-2</v>
      </c>
      <c r="N6186">
        <v>0</v>
      </c>
      <c r="O6186">
        <v>0.99966749999999904</v>
      </c>
      <c r="P6186">
        <v>-4.851279E-2</v>
      </c>
      <c r="Q6186">
        <v>5.4352549999999999E-3</v>
      </c>
      <c r="R6186">
        <v>0.99880780000000002</v>
      </c>
      <c r="S6186">
        <v>0.48999019999999999</v>
      </c>
      <c r="T6186">
        <v>-0.1184133</v>
      </c>
      <c r="U6186">
        <v>3.0281980000000002</v>
      </c>
      <c r="V6186">
        <v>-2.745129E-2</v>
      </c>
      <c r="W6186">
        <v>2.0294530000000002E-2</v>
      </c>
      <c r="X6186">
        <v>0.99941709999999995</v>
      </c>
      <c r="Y6186">
        <v>0.1803807</v>
      </c>
      <c r="Z6186">
        <v>-3.8490249999999997E-2</v>
      </c>
      <c r="AA6186">
        <v>0.98284349999999998</v>
      </c>
      <c r="AB6186">
        <v>26</v>
      </c>
      <c r="AC6186">
        <v>4.5762</v>
      </c>
      <c r="AD6186">
        <v>-1.1046253626460001</v>
      </c>
      <c r="AE6186">
        <v>27.994111</v>
      </c>
      <c r="AF6186">
        <v>5.1573023781051797</v>
      </c>
      <c r="AG6186">
        <v>-1.1046253626460001</v>
      </c>
      <c r="AH6186">
        <v>27.849223239009198</v>
      </c>
      <c r="AI6186">
        <v>92.233482127398304</v>
      </c>
      <c r="AJ6186">
        <v>79.5084457785035</v>
      </c>
      <c r="AK6186">
        <v>28.344262206435701</v>
      </c>
    </row>
    <row r="6187" spans="1:37" x14ac:dyDescent="0.2">
      <c r="A6187" t="str">
        <f>"20200111160339175"</f>
        <v>20200111160339175</v>
      </c>
      <c r="B6187" t="str">
        <f>"1578729819169512"</f>
        <v>1578729819169512</v>
      </c>
      <c r="C6187" t="s">
        <v>37</v>
      </c>
      <c r="D6187">
        <v>4.1458370000000002</v>
      </c>
      <c r="E6187">
        <v>0.58202679999999996</v>
      </c>
      <c r="F6187" t="s">
        <v>38</v>
      </c>
      <c r="G6187">
        <v>-183.7636</v>
      </c>
      <c r="H6187" s="1">
        <v>-3.5319180000000001E-6</v>
      </c>
      <c r="I6187">
        <v>35.150669999999998</v>
      </c>
      <c r="J6187">
        <v>-188.44399999999999</v>
      </c>
      <c r="K6187">
        <v>1.10463</v>
      </c>
      <c r="L6187">
        <v>6.9991459999999996</v>
      </c>
      <c r="M6187">
        <v>-2.1033719999999999E-2</v>
      </c>
      <c r="N6187">
        <v>0</v>
      </c>
      <c r="O6187">
        <v>0.99966849999999996</v>
      </c>
      <c r="P6187">
        <v>-4.8567399999999997E-2</v>
      </c>
      <c r="Q6187">
        <v>5.5248069999999996E-3</v>
      </c>
      <c r="R6187">
        <v>0.99880460000000004</v>
      </c>
      <c r="S6187">
        <v>0.498260499999999</v>
      </c>
      <c r="T6187">
        <v>-0.11773160000000001</v>
      </c>
      <c r="U6187">
        <v>3.0284119999999999</v>
      </c>
      <c r="V6187">
        <v>-2.7543709999999999E-2</v>
      </c>
      <c r="W6187">
        <v>2.037129E-2</v>
      </c>
      <c r="X6187">
        <v>0.999412999999999</v>
      </c>
      <c r="Y6187">
        <v>0.1829481</v>
      </c>
      <c r="Z6187">
        <v>-3.8248869999999997E-2</v>
      </c>
      <c r="AA6187">
        <v>0.98237819999999998</v>
      </c>
      <c r="AB6187">
        <v>26</v>
      </c>
      <c r="AC6187">
        <v>4.6804000000000201</v>
      </c>
      <c r="AD6187">
        <v>-1.1046335319180001</v>
      </c>
      <c r="AE6187">
        <v>28.151523999999998</v>
      </c>
      <c r="AF6187">
        <v>5.2636744488245002</v>
      </c>
      <c r="AG6187">
        <v>-1.1046335319180001</v>
      </c>
      <c r="AH6187">
        <v>28.004878543040199</v>
      </c>
      <c r="AI6187">
        <v>92.219989491643304</v>
      </c>
      <c r="AJ6187">
        <v>79.355128016704697</v>
      </c>
      <c r="AK6187">
        <v>28.516656644029599</v>
      </c>
    </row>
    <row r="6188" spans="1:37" x14ac:dyDescent="0.2">
      <c r="A6188" t="str">
        <f>"20200111160339195"</f>
        <v>20200111160339195</v>
      </c>
      <c r="B6188" t="str">
        <f>"1578729819189031"</f>
        <v>1578729819189031</v>
      </c>
      <c r="C6188" t="s">
        <v>37</v>
      </c>
      <c r="D6188">
        <v>4.1456140000000001</v>
      </c>
      <c r="E6188">
        <v>0.58254410000000001</v>
      </c>
      <c r="F6188" t="s">
        <v>38</v>
      </c>
      <c r="G6188">
        <v>-183.7123</v>
      </c>
      <c r="H6188" s="1">
        <v>-3.680648E-6</v>
      </c>
      <c r="I6188">
        <v>35.547629999999998</v>
      </c>
      <c r="J6188">
        <v>-188.44900000000001</v>
      </c>
      <c r="K6188">
        <v>1.1046339999999999</v>
      </c>
      <c r="L6188">
        <v>7.238861</v>
      </c>
      <c r="M6188">
        <v>-2.099933E-2</v>
      </c>
      <c r="N6188">
        <v>0</v>
      </c>
      <c r="O6188">
        <v>0.99966939999999904</v>
      </c>
      <c r="P6188">
        <v>-4.8169610000000002E-2</v>
      </c>
      <c r="Q6188">
        <v>5.3421909999999996E-3</v>
      </c>
      <c r="R6188">
        <v>0.99882490000000002</v>
      </c>
      <c r="S6188">
        <v>0.50198359999999997</v>
      </c>
      <c r="T6188">
        <v>-0.117188599999999</v>
      </c>
      <c r="U6188">
        <v>3.0286559999999998</v>
      </c>
      <c r="V6188">
        <v>-2.7179720000000001E-2</v>
      </c>
      <c r="W6188">
        <v>2.01782E-2</v>
      </c>
      <c r="X6188">
        <v>0.99942690000000001</v>
      </c>
      <c r="Y6188">
        <v>0.1840782</v>
      </c>
      <c r="Z6188">
        <v>-3.8061909999999997E-2</v>
      </c>
      <c r="AA6188">
        <v>0.9821744</v>
      </c>
      <c r="AB6188">
        <v>26</v>
      </c>
      <c r="AC6188">
        <v>4.7367000000000097</v>
      </c>
      <c r="AD6188">
        <v>-1.1046376806480001</v>
      </c>
      <c r="AE6188">
        <v>28.308769000000002</v>
      </c>
      <c r="AF6188">
        <v>5.3223026448644397</v>
      </c>
      <c r="AG6188">
        <v>-1.1046376806480001</v>
      </c>
      <c r="AH6188">
        <v>28.161334952994199</v>
      </c>
      <c r="AI6188">
        <v>92.207259889511704</v>
      </c>
      <c r="AJ6188">
        <v>79.297715073976306</v>
      </c>
      <c r="AK6188">
        <v>28.681142170139701</v>
      </c>
    </row>
    <row r="6189" spans="1:37" x14ac:dyDescent="0.2">
      <c r="A6189" t="str">
        <f>"20200111160339218"</f>
        <v>20200111160339218</v>
      </c>
      <c r="B6189" t="str">
        <f>"1578729819209527"</f>
        <v>1578729819209527</v>
      </c>
      <c r="C6189" t="s">
        <v>37</v>
      </c>
      <c r="D6189">
        <v>4.2384279999999999</v>
      </c>
      <c r="E6189">
        <v>0.58313839999999995</v>
      </c>
      <c r="F6189" t="s">
        <v>38</v>
      </c>
      <c r="G6189">
        <v>-183.68350000000001</v>
      </c>
      <c r="H6189" s="1">
        <v>-3.7318469999999998E-6</v>
      </c>
      <c r="I6189">
        <v>35.675539999999998</v>
      </c>
      <c r="J6189">
        <v>-188.45439999999999</v>
      </c>
      <c r="K6189">
        <v>1.104638</v>
      </c>
      <c r="L6189">
        <v>7.4969479999999997</v>
      </c>
      <c r="M6189">
        <v>-2.0962419999999999E-2</v>
      </c>
      <c r="N6189">
        <v>0</v>
      </c>
      <c r="O6189">
        <v>0.99967030000000001</v>
      </c>
      <c r="P6189">
        <v>-4.739463E-2</v>
      </c>
      <c r="Q6189">
        <v>5.3286019999999896E-3</v>
      </c>
      <c r="R6189">
        <v>0.99886200000000003</v>
      </c>
      <c r="S6189">
        <v>0.50755309999999998</v>
      </c>
      <c r="T6189">
        <v>-0.117648499999999</v>
      </c>
      <c r="U6189">
        <v>3.0286249999999999</v>
      </c>
      <c r="V6189">
        <v>-2.6441050000000001E-2</v>
      </c>
      <c r="W6189">
        <v>2.0155799999999901E-2</v>
      </c>
      <c r="X6189">
        <v>0.99944719999999998</v>
      </c>
      <c r="Y6189">
        <v>0.18579970000000001</v>
      </c>
      <c r="Z6189">
        <v>-3.8199509999999999E-2</v>
      </c>
      <c r="AA6189">
        <v>0.98184479999999996</v>
      </c>
      <c r="AB6189">
        <v>26</v>
      </c>
      <c r="AC6189">
        <v>4.7708999999999797</v>
      </c>
      <c r="AD6189">
        <v>-1.1046417318470001</v>
      </c>
      <c r="AE6189">
        <v>28.178591999999998</v>
      </c>
      <c r="AF6189">
        <v>5.3526114373890996</v>
      </c>
      <c r="AG6189">
        <v>-1.1046417318470001</v>
      </c>
      <c r="AH6189">
        <v>28.030502599055101</v>
      </c>
      <c r="AI6189">
        <v>92.216762744898503</v>
      </c>
      <c r="AJ6189">
        <v>79.189138858124807</v>
      </c>
      <c r="AK6189">
        <v>28.558357069534701</v>
      </c>
    </row>
    <row r="6190" spans="1:37" x14ac:dyDescent="0.2">
      <c r="A6190" t="str">
        <f>"20200111160339240"</f>
        <v>20200111160339240</v>
      </c>
      <c r="B6190" t="str">
        <f>"1578729819229048"</f>
        <v>1578729819229048</v>
      </c>
      <c r="C6190" t="s">
        <v>37</v>
      </c>
      <c r="D6190">
        <v>4.1588669999999999</v>
      </c>
      <c r="E6190">
        <v>0.58365869999999997</v>
      </c>
      <c r="F6190" t="s">
        <v>38</v>
      </c>
      <c r="G6190">
        <v>-183.6267</v>
      </c>
      <c r="H6190" s="1">
        <v>-3.8252670000000002E-6</v>
      </c>
      <c r="I6190">
        <v>35.905700000000003</v>
      </c>
      <c r="J6190">
        <v>-188.4598</v>
      </c>
      <c r="K6190">
        <v>1.104636</v>
      </c>
      <c r="L6190">
        <v>7.7519839999999904</v>
      </c>
      <c r="M6190">
        <v>-2.092596E-2</v>
      </c>
      <c r="N6190">
        <v>0</v>
      </c>
      <c r="O6190">
        <v>0.99967099999999898</v>
      </c>
      <c r="P6190">
        <v>-4.7283430000000001E-2</v>
      </c>
      <c r="Q6190">
        <v>5.475733E-3</v>
      </c>
      <c r="R6190">
        <v>0.99886649999999999</v>
      </c>
      <c r="S6190">
        <v>0.51464840000000001</v>
      </c>
      <c r="T6190">
        <v>-0.11775869999999999</v>
      </c>
      <c r="U6190">
        <v>3.028473</v>
      </c>
      <c r="V6190">
        <v>-2.6366629999999999E-2</v>
      </c>
      <c r="W6190">
        <v>2.0301199999999998E-2</v>
      </c>
      <c r="X6190">
        <v>0.99944619999999995</v>
      </c>
      <c r="Y6190">
        <v>0.18800799999999901</v>
      </c>
      <c r="Z6190">
        <v>-3.8221690000000003E-2</v>
      </c>
      <c r="AA6190">
        <v>0.9814235</v>
      </c>
      <c r="AB6190">
        <v>26</v>
      </c>
      <c r="AC6190">
        <v>4.8331</v>
      </c>
      <c r="AD6190">
        <v>-1.104639825267</v>
      </c>
      <c r="AE6190">
        <v>28.153715999999999</v>
      </c>
      <c r="AF6190">
        <v>5.4131549933408101</v>
      </c>
      <c r="AG6190">
        <v>-1.104639825267</v>
      </c>
      <c r="AH6190">
        <v>28.0045235316184</v>
      </c>
      <c r="AI6190">
        <v>92.2178528381815</v>
      </c>
      <c r="AJ6190">
        <v>79.059891145406297</v>
      </c>
      <c r="AK6190">
        <v>28.544278136930799</v>
      </c>
    </row>
    <row r="6191" spans="1:37" x14ac:dyDescent="0.2">
      <c r="A6191" t="str">
        <f>"20200111160339265"</f>
        <v>20200111160339265</v>
      </c>
      <c r="B6191" t="str">
        <f>"1578729819259304"</f>
        <v>1578729819259304</v>
      </c>
      <c r="C6191" t="s">
        <v>37</v>
      </c>
      <c r="D6191">
        <v>4.2893809999999997</v>
      </c>
      <c r="E6191">
        <v>0.58427799999999996</v>
      </c>
      <c r="F6191" t="s">
        <v>38</v>
      </c>
      <c r="G6191">
        <v>-183.5848</v>
      </c>
      <c r="H6191" s="1">
        <v>-3.9516600000000004E-6</v>
      </c>
      <c r="I6191">
        <v>36.191600000000001</v>
      </c>
      <c r="J6191">
        <v>-188.46549999999999</v>
      </c>
      <c r="K6191">
        <v>1.104638</v>
      </c>
      <c r="L6191">
        <v>8.0266110000000008</v>
      </c>
      <c r="M6191">
        <v>-2.0886559999999998E-2</v>
      </c>
      <c r="N6191">
        <v>0</v>
      </c>
      <c r="O6191">
        <v>0.9996718</v>
      </c>
      <c r="P6191">
        <v>-4.7661429999999998E-2</v>
      </c>
      <c r="Q6191">
        <v>5.9470590000000002E-3</v>
      </c>
      <c r="R6191">
        <v>0.99884580000000001</v>
      </c>
      <c r="S6191">
        <v>0.51914979999999999</v>
      </c>
      <c r="T6191">
        <v>-0.11763659999999999</v>
      </c>
      <c r="U6191">
        <v>3.0286249999999999</v>
      </c>
      <c r="V6191">
        <v>-2.678384E-2</v>
      </c>
      <c r="W6191">
        <v>2.0776030000000001E-2</v>
      </c>
      <c r="X6191">
        <v>0.99942540000000002</v>
      </c>
      <c r="Y6191">
        <v>0.18937860000000001</v>
      </c>
      <c r="Z6191">
        <v>-3.8170450000000002E-2</v>
      </c>
      <c r="AA6191">
        <v>0.98116199999999998</v>
      </c>
      <c r="AB6191">
        <v>26</v>
      </c>
      <c r="AC6191">
        <v>4.8806999999999903</v>
      </c>
      <c r="AD6191">
        <v>-1.1046419516599999</v>
      </c>
      <c r="AE6191">
        <v>28.164988999999998</v>
      </c>
      <c r="AF6191">
        <v>5.45981586197271</v>
      </c>
      <c r="AG6191">
        <v>-1.1046419516599999</v>
      </c>
      <c r="AH6191">
        <v>28.015053755687902</v>
      </c>
      <c r="AI6191">
        <v>92.216364494927404</v>
      </c>
      <c r="AJ6191">
        <v>78.971937586000294</v>
      </c>
      <c r="AK6191">
        <v>28.563491733716699</v>
      </c>
    </row>
    <row r="6192" spans="1:37" x14ac:dyDescent="0.2">
      <c r="A6192" t="str">
        <f>"20200111160339284"</f>
        <v>20200111160339284</v>
      </c>
      <c r="B6192" t="str">
        <f>"1578729819279800"</f>
        <v>1578729819279800</v>
      </c>
      <c r="C6192" t="s">
        <v>37</v>
      </c>
      <c r="D6192">
        <v>4.2178589999999998</v>
      </c>
      <c r="E6192">
        <v>0.58450559999999996</v>
      </c>
      <c r="F6192" t="s">
        <v>38</v>
      </c>
      <c r="G6192">
        <v>-183.52099999999999</v>
      </c>
      <c r="H6192" s="1">
        <v>-4.1700400000000001E-6</v>
      </c>
      <c r="I6192">
        <v>36.67427</v>
      </c>
      <c r="J6192">
        <v>-188.47020000000001</v>
      </c>
      <c r="K6192">
        <v>1.1046450000000001</v>
      </c>
      <c r="L6192">
        <v>8.2565309999999901</v>
      </c>
      <c r="M6192">
        <v>-2.0853529999999999E-2</v>
      </c>
      <c r="N6192">
        <v>0</v>
      </c>
      <c r="O6192">
        <v>0.99967240000000002</v>
      </c>
      <c r="P6192">
        <v>-4.7812050000000002E-2</v>
      </c>
      <c r="Q6192">
        <v>6.7845839999999998E-3</v>
      </c>
      <c r="R6192">
        <v>0.99883330000000004</v>
      </c>
      <c r="S6192">
        <v>0.5228119</v>
      </c>
      <c r="T6192">
        <v>-0.116801399999999</v>
      </c>
      <c r="U6192">
        <v>3.0291139999999999</v>
      </c>
      <c r="V6192">
        <v>-2.6967789999999998E-2</v>
      </c>
      <c r="W6192">
        <v>2.1618890000000002E-2</v>
      </c>
      <c r="X6192">
        <v>0.99940249999999997</v>
      </c>
      <c r="Y6192">
        <v>0.19047359999999999</v>
      </c>
      <c r="Z6192">
        <v>-3.7886000000000003E-2</v>
      </c>
      <c r="AA6192">
        <v>0.98096099999999997</v>
      </c>
      <c r="AB6192">
        <v>26</v>
      </c>
      <c r="AC6192">
        <v>4.94920000000001</v>
      </c>
      <c r="AD6192">
        <v>-1.1046491700400001</v>
      </c>
      <c r="AE6192">
        <v>28.417739000000001</v>
      </c>
      <c r="AF6192">
        <v>5.5326850707221702</v>
      </c>
      <c r="AG6192">
        <v>-1.1046491700400001</v>
      </c>
      <c r="AH6192">
        <v>28.266883892389</v>
      </c>
      <c r="AI6192">
        <v>92.196305188925194</v>
      </c>
      <c r="AJ6192">
        <v>78.925487383385601</v>
      </c>
      <c r="AK6192">
        <v>28.824426774290998</v>
      </c>
    </row>
    <row r="6193" spans="1:37" x14ac:dyDescent="0.2">
      <c r="A6193" t="str">
        <f>"20200111160339310"</f>
        <v>20200111160339310</v>
      </c>
      <c r="B6193" t="str">
        <f>"1578729819299320"</f>
        <v>1578729819299320</v>
      </c>
      <c r="C6193" t="s">
        <v>37</v>
      </c>
      <c r="D6193">
        <v>4.2352860000000003</v>
      </c>
      <c r="E6193">
        <v>0.58466509999999905</v>
      </c>
      <c r="F6193" t="s">
        <v>38</v>
      </c>
      <c r="G6193">
        <v>-183.42619999999999</v>
      </c>
      <c r="H6193" s="1">
        <v>-4.5018809999999997E-6</v>
      </c>
      <c r="I6193">
        <v>37.408619999999999</v>
      </c>
      <c r="J6193">
        <v>-188.4761</v>
      </c>
      <c r="K6193">
        <v>1.104644</v>
      </c>
      <c r="L6193">
        <v>8.5387570000000004</v>
      </c>
      <c r="M6193">
        <v>-2.0812669999999998E-2</v>
      </c>
      <c r="N6193">
        <v>0</v>
      </c>
      <c r="O6193">
        <v>0.99967320000000004</v>
      </c>
      <c r="P6193">
        <v>-4.825637E-2</v>
      </c>
      <c r="Q6193">
        <v>6.7808719999999899E-3</v>
      </c>
      <c r="R6193">
        <v>0.99881200000000003</v>
      </c>
      <c r="S6193">
        <v>0.52415469999999997</v>
      </c>
      <c r="T6193">
        <v>-0.11479149999999901</v>
      </c>
      <c r="U6193">
        <v>3.029388</v>
      </c>
      <c r="V6193">
        <v>-2.7453869999999998E-2</v>
      </c>
      <c r="W6193">
        <v>2.1622229999999999E-2</v>
      </c>
      <c r="X6193">
        <v>0.99938919999999998</v>
      </c>
      <c r="Y6193">
        <v>0.19084499999999999</v>
      </c>
      <c r="Z6193">
        <v>-3.7228959999999998E-2</v>
      </c>
      <c r="AA6193">
        <v>0.98091390000000001</v>
      </c>
      <c r="AB6193">
        <v>26</v>
      </c>
      <c r="AC6193">
        <v>5.0499000000000001</v>
      </c>
      <c r="AD6193">
        <v>-1.1046485018809999</v>
      </c>
      <c r="AE6193">
        <v>28.869862999999999</v>
      </c>
      <c r="AF6193">
        <v>5.6417164611898398</v>
      </c>
      <c r="AG6193">
        <v>-1.1046485018809999</v>
      </c>
      <c r="AH6193">
        <v>28.717698532340499</v>
      </c>
      <c r="AI6193">
        <v>92.161563656793902</v>
      </c>
      <c r="AJ6193">
        <v>78.885537987719104</v>
      </c>
      <c r="AK6193">
        <v>29.2874618554691</v>
      </c>
    </row>
    <row r="6194" spans="1:37" x14ac:dyDescent="0.2">
      <c r="A6194" t="str">
        <f>"20200111160339331"</f>
        <v>20200111160339331</v>
      </c>
      <c r="B6194" t="str">
        <f>"1578729819319815"</f>
        <v>1578729819319815</v>
      </c>
      <c r="C6194" t="s">
        <v>37</v>
      </c>
      <c r="D6194">
        <v>4.3008470000000001</v>
      </c>
      <c r="E6194">
        <v>0.58486499999999997</v>
      </c>
      <c r="F6194" t="s">
        <v>38</v>
      </c>
      <c r="G6194">
        <v>-183.50479999999999</v>
      </c>
      <c r="H6194" s="1">
        <v>-4.4387389999999902E-6</v>
      </c>
      <c r="I6194">
        <v>37.293929999999897</v>
      </c>
      <c r="J6194">
        <v>-188.48099999999999</v>
      </c>
      <c r="K6194">
        <v>1.104643</v>
      </c>
      <c r="L6194">
        <v>8.7801819999999999</v>
      </c>
      <c r="M6194">
        <v>-2.077762E-2</v>
      </c>
      <c r="N6194">
        <v>0</v>
      </c>
      <c r="O6194">
        <v>0.99967379999999995</v>
      </c>
      <c r="P6194">
        <v>-4.818269E-2</v>
      </c>
      <c r="Q6194">
        <v>5.8033299999999998E-3</v>
      </c>
      <c r="R6194">
        <v>0.99882169999999904</v>
      </c>
      <c r="S6194">
        <v>0.52377320000000005</v>
      </c>
      <c r="T6194">
        <v>-0.1163864</v>
      </c>
      <c r="U6194">
        <v>3.0296630000000002</v>
      </c>
      <c r="V6194">
        <v>-2.7414879999999999E-2</v>
      </c>
      <c r="W6194">
        <v>2.0650169999999999E-2</v>
      </c>
      <c r="X6194">
        <v>0.99941080000000004</v>
      </c>
      <c r="Y6194">
        <v>0.19067249999999999</v>
      </c>
      <c r="Z6194">
        <v>-3.7743199999999998E-2</v>
      </c>
      <c r="AA6194">
        <v>0.98092780000000002</v>
      </c>
      <c r="AB6194">
        <v>26</v>
      </c>
      <c r="AC6194">
        <v>4.9762000000000004</v>
      </c>
      <c r="AD6194">
        <v>-1.104647438739</v>
      </c>
      <c r="AE6194">
        <v>28.513748</v>
      </c>
      <c r="AF6194">
        <v>5.5595412423438502</v>
      </c>
      <c r="AG6194">
        <v>-1.104647438739</v>
      </c>
      <c r="AH6194">
        <v>28.362875774574199</v>
      </c>
      <c r="AI6194">
        <v>92.188758455776295</v>
      </c>
      <c r="AJ6194">
        <v>78.909792100675702</v>
      </c>
      <c r="AK6194">
        <v>28.923718070005499</v>
      </c>
    </row>
    <row r="6195" spans="1:37" x14ac:dyDescent="0.2">
      <c r="A6195" t="str">
        <f>"20200111160339354"</f>
        <v>20200111160339354</v>
      </c>
      <c r="B6195" t="str">
        <f>"1578729819349097"</f>
        <v>1578729819349097</v>
      </c>
      <c r="C6195" t="s">
        <v>37</v>
      </c>
      <c r="D6195">
        <v>4.2461599999999997</v>
      </c>
      <c r="E6195">
        <v>0.5850573</v>
      </c>
      <c r="F6195" t="s">
        <v>38</v>
      </c>
      <c r="G6195">
        <v>-183.64279999999999</v>
      </c>
      <c r="H6195" s="1">
        <v>-4.1452709999999998E-6</v>
      </c>
      <c r="I6195">
        <v>36.666909999999902</v>
      </c>
      <c r="J6195">
        <v>-188.48660000000001</v>
      </c>
      <c r="K6195">
        <v>1.104652</v>
      </c>
      <c r="L6195">
        <v>9.0494079999999997</v>
      </c>
      <c r="M6195">
        <v>-2.073877E-2</v>
      </c>
      <c r="N6195">
        <v>0</v>
      </c>
      <c r="O6195">
        <v>0.99967459999999997</v>
      </c>
      <c r="P6195">
        <v>-4.8350259999999999E-2</v>
      </c>
      <c r="Q6195">
        <v>5.1178129999999997E-3</v>
      </c>
      <c r="R6195">
        <v>0.99881730000000002</v>
      </c>
      <c r="S6195">
        <v>0.52561950000000002</v>
      </c>
      <c r="T6195">
        <v>-0.1200083</v>
      </c>
      <c r="U6195">
        <v>3.0296020000000001</v>
      </c>
      <c r="V6195">
        <v>-2.7621130000000001E-2</v>
      </c>
      <c r="W6195">
        <v>1.9970350000000001E-2</v>
      </c>
      <c r="X6195">
        <v>0.99941899999999995</v>
      </c>
      <c r="Y6195">
        <v>0.191210299999999</v>
      </c>
      <c r="Z6195">
        <v>-3.8912719999999998E-2</v>
      </c>
      <c r="AA6195">
        <v>0.98077739999999902</v>
      </c>
      <c r="AB6195">
        <v>26</v>
      </c>
      <c r="AC6195">
        <v>4.8438000000000097</v>
      </c>
      <c r="AD6195">
        <v>-1.104656145271</v>
      </c>
      <c r="AE6195">
        <v>27.617501999999899</v>
      </c>
      <c r="AF6195">
        <v>5.4071815788667204</v>
      </c>
      <c r="AG6195">
        <v>-1.104656145271</v>
      </c>
      <c r="AH6195">
        <v>27.468460867321099</v>
      </c>
      <c r="AI6195">
        <v>92.259615957222195</v>
      </c>
      <c r="AJ6195">
        <v>78.863682049051107</v>
      </c>
      <c r="AK6195">
        <v>28.0173913890224</v>
      </c>
    </row>
    <row r="6196" spans="1:37" x14ac:dyDescent="0.2">
      <c r="A6196" t="str">
        <f>"20200111160339375"</f>
        <v>20200111160339375</v>
      </c>
      <c r="B6196" t="str">
        <f>"1578729819369591"</f>
        <v>1578729819369591</v>
      </c>
      <c r="C6196" t="s">
        <v>37</v>
      </c>
      <c r="D6196">
        <v>4.2933120000000002</v>
      </c>
      <c r="E6196">
        <v>0.58526730000000005</v>
      </c>
      <c r="F6196" t="s">
        <v>38</v>
      </c>
      <c r="G6196">
        <v>-183.71950000000001</v>
      </c>
      <c r="H6196" s="1">
        <v>-4.0486499999999998E-6</v>
      </c>
      <c r="I6196">
        <v>36.473379999999999</v>
      </c>
      <c r="J6196">
        <v>-188.4915</v>
      </c>
      <c r="K6196">
        <v>1.1046559999999901</v>
      </c>
      <c r="L6196">
        <v>9.2912289999999995</v>
      </c>
      <c r="M6196">
        <v>-2.0703969999999999E-2</v>
      </c>
      <c r="N6196">
        <v>0</v>
      </c>
      <c r="O6196">
        <v>0.99967519999999999</v>
      </c>
      <c r="P6196">
        <v>-4.8758990000000002E-2</v>
      </c>
      <c r="Q6196">
        <v>5.0114690000000002E-3</v>
      </c>
      <c r="R6196">
        <v>0.99879799999999996</v>
      </c>
      <c r="S6196">
        <v>0.52664180000000005</v>
      </c>
      <c r="T6196">
        <v>-0.122036799999999</v>
      </c>
      <c r="U6196">
        <v>3.0296630000000002</v>
      </c>
      <c r="V6196">
        <v>-2.8065340000000001E-2</v>
      </c>
      <c r="W6196">
        <v>1.9867369999999999E-2</v>
      </c>
      <c r="X6196">
        <v>0.99940869999999904</v>
      </c>
      <c r="Y6196">
        <v>0.19148970000000001</v>
      </c>
      <c r="Z6196">
        <v>-3.9566450000000003E-2</v>
      </c>
      <c r="AA6196">
        <v>0.98069680000000004</v>
      </c>
      <c r="AB6196">
        <v>25</v>
      </c>
      <c r="AC6196">
        <v>4.7719999999999896</v>
      </c>
      <c r="AD6196">
        <v>-1.10466004864999</v>
      </c>
      <c r="AE6196">
        <v>27.182151000000001</v>
      </c>
      <c r="AF6196">
        <v>5.3252855088317901</v>
      </c>
      <c r="AG6196">
        <v>-1.10466004864999</v>
      </c>
      <c r="AH6196">
        <v>27.034199753641001</v>
      </c>
      <c r="AI6196">
        <v>92.295824929266303</v>
      </c>
      <c r="AJ6196">
        <v>78.856360614252296</v>
      </c>
      <c r="AK6196">
        <v>27.575838988024</v>
      </c>
    </row>
    <row r="6197" spans="1:37" x14ac:dyDescent="0.2">
      <c r="A6197" t="str">
        <f>"20200111160339397"</f>
        <v>20200111160339397</v>
      </c>
      <c r="B6197" t="str">
        <f>"1578729819389112"</f>
        <v>1578729819389112</v>
      </c>
      <c r="C6197" t="s">
        <v>37</v>
      </c>
      <c r="D6197">
        <v>4.3290379999999997</v>
      </c>
      <c r="E6197">
        <v>0.58534540000000002</v>
      </c>
      <c r="F6197" t="s">
        <v>38</v>
      </c>
      <c r="G6197">
        <v>-183.72900000000001</v>
      </c>
      <c r="H6197" s="1">
        <v>-4.1288589999999999E-6</v>
      </c>
      <c r="I6197">
        <v>36.664279999999998</v>
      </c>
      <c r="J6197">
        <v>-188.4967</v>
      </c>
      <c r="K6197">
        <v>1.104663</v>
      </c>
      <c r="L6197">
        <v>9.5429080000000006</v>
      </c>
      <c r="M6197">
        <v>-2.0667830000000002E-2</v>
      </c>
      <c r="N6197">
        <v>0</v>
      </c>
      <c r="O6197">
        <v>0.99967589999999995</v>
      </c>
      <c r="P6197">
        <v>-4.900384E-2</v>
      </c>
      <c r="Q6197">
        <v>5.1445459999999998E-3</v>
      </c>
      <c r="R6197">
        <v>0.99878529999999999</v>
      </c>
      <c r="S6197">
        <v>0.52717590000000003</v>
      </c>
      <c r="T6197">
        <v>-0.1222767</v>
      </c>
      <c r="U6197">
        <v>3.0299680000000002</v>
      </c>
      <c r="V6197">
        <v>-2.8346429999999999E-2</v>
      </c>
      <c r="W6197">
        <v>2.0003239999999999E-2</v>
      </c>
      <c r="X6197">
        <v>0.99939800000000001</v>
      </c>
      <c r="Y6197">
        <v>0.19160479999999899</v>
      </c>
      <c r="Z6197">
        <v>-3.963916E-2</v>
      </c>
      <c r="AA6197">
        <v>0.98067130000000002</v>
      </c>
      <c r="AB6197">
        <v>25</v>
      </c>
      <c r="AC6197">
        <v>4.7676999999999898</v>
      </c>
      <c r="AD6197">
        <v>-1.104667128859</v>
      </c>
      <c r="AE6197">
        <v>27.121371999999901</v>
      </c>
      <c r="AF6197">
        <v>5.3187240950186503</v>
      </c>
      <c r="AG6197">
        <v>-1.104667128859</v>
      </c>
      <c r="AH6197">
        <v>26.973621487261099</v>
      </c>
      <c r="AI6197">
        <v>92.300903331388696</v>
      </c>
      <c r="AJ6197">
        <v>78.845377412393802</v>
      </c>
      <c r="AK6197">
        <v>27.515184382492201</v>
      </c>
    </row>
    <row r="6198" spans="1:37" x14ac:dyDescent="0.2">
      <c r="A6198" t="str">
        <f>"20200111160339421"</f>
        <v>20200111160339421</v>
      </c>
      <c r="B6198" t="str">
        <f>"1578729819409609"</f>
        <v>1578729819409609</v>
      </c>
      <c r="C6198" t="s">
        <v>37</v>
      </c>
      <c r="D6198">
        <v>4.3280719999999997</v>
      </c>
      <c r="E6198">
        <v>0.58545199999999997</v>
      </c>
      <c r="F6198" t="s">
        <v>38</v>
      </c>
      <c r="G6198">
        <v>-183.77799999999999</v>
      </c>
      <c r="H6198" s="1">
        <v>-4.1307330000000004E-6</v>
      </c>
      <c r="I6198">
        <v>36.688890000000001</v>
      </c>
      <c r="J6198">
        <v>-188.50200000000001</v>
      </c>
      <c r="K6198">
        <v>1.1046659999999999</v>
      </c>
      <c r="L6198">
        <v>9.8020019999999999</v>
      </c>
      <c r="M6198">
        <v>-2.0630639999999999E-2</v>
      </c>
      <c r="N6198">
        <v>0</v>
      </c>
      <c r="O6198">
        <v>0.99967659999999903</v>
      </c>
      <c r="P6198">
        <v>-4.9201000000000002E-2</v>
      </c>
      <c r="Q6198">
        <v>6.1560950000000003E-3</v>
      </c>
      <c r="R6198">
        <v>0.99876989999999999</v>
      </c>
      <c r="S6198">
        <v>0.52671809999999997</v>
      </c>
      <c r="T6198">
        <v>-0.123306399999999</v>
      </c>
      <c r="U6198">
        <v>3.0301209999999998</v>
      </c>
      <c r="V6198">
        <v>-2.8580769999999998E-2</v>
      </c>
      <c r="W6198">
        <v>2.1016779999999999E-2</v>
      </c>
      <c r="X6198">
        <v>0.99937049999999905</v>
      </c>
      <c r="Y6198">
        <v>0.1914139</v>
      </c>
      <c r="Z6198">
        <v>-3.9971769999999997E-2</v>
      </c>
      <c r="AA6198">
        <v>0.98069509999999904</v>
      </c>
      <c r="AB6198">
        <v>25</v>
      </c>
      <c r="AC6198">
        <v>4.72400000000001</v>
      </c>
      <c r="AD6198">
        <v>-1.104670130733</v>
      </c>
      <c r="AE6198">
        <v>26.886887999999999</v>
      </c>
      <c r="AF6198">
        <v>5.2691212156488803</v>
      </c>
      <c r="AG6198">
        <v>-1.104670130733</v>
      </c>
      <c r="AH6198">
        <v>26.7399078788855</v>
      </c>
      <c r="AI6198">
        <v>92.321056103213905</v>
      </c>
      <c r="AJ6198">
        <v>78.852634886901001</v>
      </c>
      <c r="AK6198">
        <v>27.276484521547498</v>
      </c>
    </row>
    <row r="6199" spans="1:37" x14ac:dyDescent="0.2">
      <c r="A6199" t="str">
        <f>"20200111160339443"</f>
        <v>20200111160339443</v>
      </c>
      <c r="B6199" t="str">
        <f>"1578729819439807"</f>
        <v>1578729819439807</v>
      </c>
      <c r="C6199" t="s">
        <v>37</v>
      </c>
      <c r="D6199">
        <v>4.3425699999999896</v>
      </c>
      <c r="E6199">
        <v>0.5856382</v>
      </c>
      <c r="F6199" t="s">
        <v>38</v>
      </c>
      <c r="G6199">
        <v>-183.71170000000001</v>
      </c>
      <c r="H6199" s="1">
        <v>-4.4331869999999996E-6</v>
      </c>
      <c r="I6199">
        <v>37.366500000000002</v>
      </c>
      <c r="J6199">
        <v>-188.50710000000001</v>
      </c>
      <c r="K6199">
        <v>1.1046590000000001</v>
      </c>
      <c r="L6199">
        <v>10.05344</v>
      </c>
      <c r="M6199">
        <v>-2.059447E-2</v>
      </c>
      <c r="N6199">
        <v>0</v>
      </c>
      <c r="O6199">
        <v>0.99967739999999905</v>
      </c>
      <c r="P6199">
        <v>-4.9411959999999998E-2</v>
      </c>
      <c r="Q6199">
        <v>6.9019650000000004E-3</v>
      </c>
      <c r="R6199">
        <v>0.99875460000000005</v>
      </c>
      <c r="S6199">
        <v>0.52664180000000005</v>
      </c>
      <c r="T6199">
        <v>-0.1214456</v>
      </c>
      <c r="U6199">
        <v>3.0303960000000001</v>
      </c>
      <c r="V6199">
        <v>-2.8828110000000001E-2</v>
      </c>
      <c r="W6199">
        <v>2.1762859999999998E-2</v>
      </c>
      <c r="X6199">
        <v>0.9993474</v>
      </c>
      <c r="Y6199">
        <v>0.1913435</v>
      </c>
      <c r="Z6199">
        <v>-3.9366409999999998E-2</v>
      </c>
      <c r="AA6199">
        <v>0.98073339999999998</v>
      </c>
      <c r="AB6199">
        <v>25</v>
      </c>
      <c r="AC6199">
        <v>4.7953999999999999</v>
      </c>
      <c r="AD6199">
        <v>-1.104663433187</v>
      </c>
      <c r="AE6199">
        <v>27.31306</v>
      </c>
      <c r="AF6199">
        <v>5.3484557138512496</v>
      </c>
      <c r="AG6199">
        <v>-1.104663433187</v>
      </c>
      <c r="AH6199">
        <v>27.1653890735858</v>
      </c>
      <c r="AI6199">
        <v>92.284799072716595</v>
      </c>
      <c r="AJ6199">
        <v>78.861785639728495</v>
      </c>
      <c r="AK6199">
        <v>27.708926780785699</v>
      </c>
    </row>
    <row r="6200" spans="1:37" x14ac:dyDescent="0.2">
      <c r="A6200" t="str">
        <f>"20200111160339467"</f>
        <v>20200111160339467</v>
      </c>
      <c r="B6200" t="str">
        <f>"1578729819459328"</f>
        <v>1578729819459328</v>
      </c>
      <c r="C6200" t="s">
        <v>37</v>
      </c>
      <c r="D6200">
        <v>4.3603459999999998</v>
      </c>
      <c r="E6200">
        <v>0.58576879999999998</v>
      </c>
      <c r="F6200" t="s">
        <v>38</v>
      </c>
      <c r="G6200">
        <v>-183.65989999999999</v>
      </c>
      <c r="H6200" s="1">
        <v>-4.6765250000000001E-6</v>
      </c>
      <c r="I6200">
        <v>37.912329999999997</v>
      </c>
      <c r="J6200">
        <v>-188.51259999999999</v>
      </c>
      <c r="K6200">
        <v>1.104657</v>
      </c>
      <c r="L6200">
        <v>10.32333</v>
      </c>
      <c r="M6200">
        <v>-2.055556E-2</v>
      </c>
      <c r="N6200">
        <v>0</v>
      </c>
      <c r="O6200">
        <v>0.99967819999999996</v>
      </c>
      <c r="P6200">
        <v>-4.9342209999999997E-2</v>
      </c>
      <c r="Q6200">
        <v>7.1052119999999996E-3</v>
      </c>
      <c r="R6200">
        <v>0.998756599999999</v>
      </c>
      <c r="S6200">
        <v>0.52731319999999904</v>
      </c>
      <c r="T6200">
        <v>-0.120172499999999</v>
      </c>
      <c r="U6200">
        <v>3.0306700000000002</v>
      </c>
      <c r="V6200">
        <v>-2.879748E-2</v>
      </c>
      <c r="W6200">
        <v>2.1965950000000001E-2</v>
      </c>
      <c r="X6200">
        <v>0.99934389999999995</v>
      </c>
      <c r="Y6200">
        <v>0.19150400000000001</v>
      </c>
      <c r="Z6200">
        <v>-3.8949610000000003E-2</v>
      </c>
      <c r="AA6200">
        <v>0.98071869999999906</v>
      </c>
      <c r="AB6200">
        <v>25</v>
      </c>
      <c r="AC6200">
        <v>4.8526999999999898</v>
      </c>
      <c r="AD6200">
        <v>-1.1046616765249999</v>
      </c>
      <c r="AE6200">
        <v>27.588999999999999</v>
      </c>
      <c r="AF6200">
        <v>5.4104307898972399</v>
      </c>
      <c r="AG6200">
        <v>-1.1046616765249999</v>
      </c>
      <c r="AH6200">
        <v>27.440735836370798</v>
      </c>
      <c r="AI6200">
        <v>92.261771962358907</v>
      </c>
      <c r="AJ6200">
        <v>78.846181440808195</v>
      </c>
      <c r="AK6200">
        <v>27.9908381795425</v>
      </c>
    </row>
    <row r="6201" spans="1:37" x14ac:dyDescent="0.2">
      <c r="A6201" t="str">
        <f>"20200111160339486"</f>
        <v>20200111160339486</v>
      </c>
      <c r="B6201" t="str">
        <f>"1578729819479824"</f>
        <v>1578729819479824</v>
      </c>
      <c r="C6201" t="s">
        <v>37</v>
      </c>
      <c r="D6201">
        <v>4.4503589999999997</v>
      </c>
      <c r="E6201">
        <v>0.58591150000000003</v>
      </c>
      <c r="F6201" t="s">
        <v>38</v>
      </c>
      <c r="G6201">
        <v>-183.6747</v>
      </c>
      <c r="H6201" s="1">
        <v>-4.7439149999999998E-6</v>
      </c>
      <c r="I6201">
        <v>38.075559999999903</v>
      </c>
      <c r="J6201">
        <v>-188.5172</v>
      </c>
      <c r="K6201">
        <v>1.1046609999999999</v>
      </c>
      <c r="L6201">
        <v>10.54776</v>
      </c>
      <c r="M6201">
        <v>-2.0523400000000001E-2</v>
      </c>
      <c r="N6201">
        <v>0</v>
      </c>
      <c r="O6201">
        <v>0.99967890000000004</v>
      </c>
      <c r="P6201">
        <v>-4.833233E-2</v>
      </c>
      <c r="Q6201">
        <v>8.0911549999999992E-3</v>
      </c>
      <c r="R6201">
        <v>0.99879850000000003</v>
      </c>
      <c r="S6201">
        <v>0.52832029999999996</v>
      </c>
      <c r="T6201">
        <v>-0.1206353</v>
      </c>
      <c r="U6201">
        <v>3.0307009999999899</v>
      </c>
      <c r="V6201">
        <v>-2.7818550000000001E-2</v>
      </c>
      <c r="W6201">
        <v>2.2951800000000001E-2</v>
      </c>
      <c r="X6201">
        <v>0.9993495</v>
      </c>
      <c r="Y6201">
        <v>0.19178609999999999</v>
      </c>
      <c r="Z6201">
        <v>-3.9096840000000001E-2</v>
      </c>
      <c r="AA6201">
        <v>0.98065769999999997</v>
      </c>
      <c r="AB6201">
        <v>25</v>
      </c>
      <c r="AC6201">
        <v>4.8425000000000002</v>
      </c>
      <c r="AD6201">
        <v>-1.1046657439150001</v>
      </c>
      <c r="AE6201">
        <v>27.527799999999999</v>
      </c>
      <c r="AF6201">
        <v>5.3980744377094201</v>
      </c>
      <c r="AG6201">
        <v>-1.1046657439150001</v>
      </c>
      <c r="AH6201">
        <v>27.379837564283299</v>
      </c>
      <c r="AI6201">
        <v>92.266811174976198</v>
      </c>
      <c r="AJ6201">
        <v>78.846884784595005</v>
      </c>
      <c r="AK6201">
        <v>27.928748612986102</v>
      </c>
    </row>
    <row r="6202" spans="1:37" x14ac:dyDescent="0.2">
      <c r="A6202" t="str">
        <f>"20200111160339509"</f>
        <v>20200111160339509</v>
      </c>
      <c r="B6202" t="str">
        <f>"1578729819499344"</f>
        <v>1578729819499344</v>
      </c>
      <c r="C6202" t="s">
        <v>37</v>
      </c>
      <c r="D6202">
        <v>4.3995749999999996</v>
      </c>
      <c r="E6202">
        <v>0.57490450000000004</v>
      </c>
      <c r="F6202" t="s">
        <v>38</v>
      </c>
      <c r="G6202">
        <v>-183.58340000000001</v>
      </c>
      <c r="H6202" s="1">
        <v>-4.996732E-6</v>
      </c>
      <c r="I6202">
        <v>38.627099999999999</v>
      </c>
      <c r="J6202">
        <v>-188.5222</v>
      </c>
      <c r="K6202">
        <v>1.104668</v>
      </c>
      <c r="L6202">
        <v>10.79745</v>
      </c>
      <c r="M6202">
        <v>-2.0487470000000001E-2</v>
      </c>
      <c r="N6202">
        <v>0</v>
      </c>
      <c r="O6202">
        <v>0.9996796</v>
      </c>
      <c r="P6202">
        <v>-4.6979310000000003E-2</v>
      </c>
      <c r="Q6202">
        <v>8.5080009999999994E-3</v>
      </c>
      <c r="R6202">
        <v>0.99885959999999996</v>
      </c>
      <c r="S6202">
        <v>0.53245540000000002</v>
      </c>
      <c r="T6202">
        <v>-0.119216</v>
      </c>
      <c r="U6202">
        <v>3.0303339999999999</v>
      </c>
      <c r="V6202">
        <v>-2.6501150000000001E-2</v>
      </c>
      <c r="W6202">
        <v>2.3367010000000001E-2</v>
      </c>
      <c r="X6202">
        <v>0.99937559999999903</v>
      </c>
      <c r="Y6202">
        <v>0.1930722</v>
      </c>
      <c r="Z6202">
        <v>-3.8632760000000002E-2</v>
      </c>
      <c r="AA6202">
        <v>0.98042369999999901</v>
      </c>
      <c r="AB6202">
        <v>25</v>
      </c>
      <c r="AC6202">
        <v>4.9387999999999801</v>
      </c>
      <c r="AD6202">
        <v>-1.1046729967319999</v>
      </c>
      <c r="AE6202">
        <v>27.829650000000001</v>
      </c>
      <c r="AF6202">
        <v>5.49958459203049</v>
      </c>
      <c r="AG6202">
        <v>-1.1046729967319999</v>
      </c>
      <c r="AH6202">
        <v>27.680330737527701</v>
      </c>
      <c r="AI6202">
        <v>92.241591675361704</v>
      </c>
      <c r="AJ6202">
        <v>78.762695046919106</v>
      </c>
      <c r="AK6202">
        <v>28.242989269082798</v>
      </c>
    </row>
    <row r="6203" spans="1:37" x14ac:dyDescent="0.2">
      <c r="A6203" t="str">
        <f>"20200111160339532"</f>
        <v>20200111160339532</v>
      </c>
      <c r="B6203" t="str">
        <f>"1578729819519506"</f>
        <v>1578729819519506</v>
      </c>
      <c r="C6203" t="s">
        <v>37</v>
      </c>
      <c r="D6203">
        <v>4.4649260000000002</v>
      </c>
      <c r="E6203">
        <v>0.574847</v>
      </c>
      <c r="F6203" t="s">
        <v>38</v>
      </c>
      <c r="G6203">
        <v>-184.53720000000001</v>
      </c>
      <c r="H6203" s="1">
        <v>-4.43298E-6</v>
      </c>
      <c r="I6203">
        <v>37.707369999999997</v>
      </c>
      <c r="J6203">
        <v>-188.5273</v>
      </c>
      <c r="K6203">
        <v>1.104673</v>
      </c>
      <c r="L6203">
        <v>11.048</v>
      </c>
      <c r="M6203">
        <v>-2.0451440000000001E-2</v>
      </c>
      <c r="N6203">
        <v>0</v>
      </c>
      <c r="O6203">
        <v>0.99968040000000002</v>
      </c>
      <c r="P6203">
        <v>-4.5467849999999997E-2</v>
      </c>
      <c r="Q6203">
        <v>9.0999449999999999E-3</v>
      </c>
      <c r="R6203">
        <v>0.99892440000000005</v>
      </c>
      <c r="S6203">
        <v>0.44804379999999999</v>
      </c>
      <c r="T6203">
        <v>-0.1242008</v>
      </c>
      <c r="U6203">
        <v>3.0255429999999999</v>
      </c>
      <c r="V6203">
        <v>-2.502445E-2</v>
      </c>
      <c r="W6203">
        <v>2.395765E-2</v>
      </c>
      <c r="X6203">
        <v>0.999399699999999</v>
      </c>
      <c r="Y6203">
        <v>0.16657159999999999</v>
      </c>
      <c r="Z6203">
        <v>-4.049635E-2</v>
      </c>
      <c r="AA6203">
        <v>0.9851974</v>
      </c>
      <c r="AB6203">
        <v>25</v>
      </c>
      <c r="AC6203">
        <v>3.99009999999998</v>
      </c>
      <c r="AD6203">
        <v>-1.10467743298</v>
      </c>
      <c r="AE6203">
        <v>26.659369999999999</v>
      </c>
      <c r="AF6203">
        <v>4.5269455160667498</v>
      </c>
      <c r="AG6203">
        <v>-1.10467743298</v>
      </c>
      <c r="AH6203">
        <v>26.527630520251801</v>
      </c>
      <c r="AI6203">
        <v>92.350620804048503</v>
      </c>
      <c r="AJ6203">
        <v>80.315751123192001</v>
      </c>
      <c r="AK6203">
        <v>26.933784155876999</v>
      </c>
    </row>
    <row r="6204" spans="1:37" x14ac:dyDescent="0.2">
      <c r="A6204" t="str">
        <f>"20200111160339554"</f>
        <v>20200111160339554</v>
      </c>
      <c r="B6204" t="str">
        <f>"1578729819549761"</f>
        <v>1578729819549761</v>
      </c>
      <c r="C6204" t="s">
        <v>37</v>
      </c>
      <c r="D6204">
        <v>4.547002</v>
      </c>
      <c r="E6204">
        <v>0.57581510000000002</v>
      </c>
      <c r="F6204" t="s">
        <v>38</v>
      </c>
      <c r="G6204">
        <v>-184.4477</v>
      </c>
      <c r="H6204" s="1">
        <v>-4.7237540000000004E-6</v>
      </c>
      <c r="I6204">
        <v>38.348179999999999</v>
      </c>
      <c r="J6204">
        <v>-188.5325</v>
      </c>
      <c r="K6204">
        <v>1.104679</v>
      </c>
      <c r="L6204">
        <v>11.303649999999999</v>
      </c>
      <c r="M6204">
        <v>-2.041461E-2</v>
      </c>
      <c r="N6204">
        <v>0</v>
      </c>
      <c r="O6204">
        <v>0.99968119999999905</v>
      </c>
      <c r="P6204">
        <v>-4.4229709999999998E-2</v>
      </c>
      <c r="Q6204">
        <v>9.4895559999999997E-3</v>
      </c>
      <c r="R6204">
        <v>0.99897630000000004</v>
      </c>
      <c r="S6204">
        <v>0.45202639999999999</v>
      </c>
      <c r="T6204">
        <v>-0.122401199999999</v>
      </c>
      <c r="U6204">
        <v>3.0249329999999999</v>
      </c>
      <c r="V6204">
        <v>-2.3822349999999999E-2</v>
      </c>
      <c r="W6204">
        <v>2.4344729999999998E-2</v>
      </c>
      <c r="X6204">
        <v>0.99941970000000002</v>
      </c>
      <c r="Y6204">
        <v>0.1678365</v>
      </c>
      <c r="Z6204">
        <v>-3.9910389999999997E-2</v>
      </c>
      <c r="AA6204">
        <v>0.98500659999999896</v>
      </c>
      <c r="AB6204">
        <v>25</v>
      </c>
      <c r="AC6204">
        <v>4.0848000000000004</v>
      </c>
      <c r="AD6204">
        <v>-1.1046837237539999</v>
      </c>
      <c r="AE6204">
        <v>27.044530000000002</v>
      </c>
      <c r="AF6204">
        <v>4.6285626717402</v>
      </c>
      <c r="AG6204">
        <v>-1.1046837237539999</v>
      </c>
      <c r="AH6204">
        <v>26.9115943100294</v>
      </c>
      <c r="AI6204">
        <v>92.316616478448395</v>
      </c>
      <c r="AJ6204">
        <v>80.241097545460207</v>
      </c>
      <c r="AK6204">
        <v>27.3290656050177</v>
      </c>
    </row>
    <row r="6205" spans="1:37" x14ac:dyDescent="0.2">
      <c r="A6205" t="str">
        <f>"20200111160339577"</f>
        <v>20200111160339577</v>
      </c>
      <c r="B6205" t="str">
        <f>"1578729819569281"</f>
        <v>1578729819569281</v>
      </c>
      <c r="C6205" t="s">
        <v>37</v>
      </c>
      <c r="D6205">
        <v>4.700253</v>
      </c>
      <c r="E6205">
        <v>0.57640089999999999</v>
      </c>
      <c r="F6205" t="s">
        <v>38</v>
      </c>
      <c r="G6205">
        <v>-184.2741</v>
      </c>
      <c r="H6205" s="1">
        <v>-5.0756079999999902E-6</v>
      </c>
      <c r="I6205">
        <v>39.096579999999904</v>
      </c>
      <c r="J6205">
        <v>-188.53739999999999</v>
      </c>
      <c r="K6205">
        <v>1.104689</v>
      </c>
      <c r="L6205">
        <v>11.550139999999899</v>
      </c>
      <c r="M6205">
        <v>-2.0379029999999999E-2</v>
      </c>
      <c r="N6205">
        <v>0</v>
      </c>
      <c r="O6205">
        <v>0.99968189999999901</v>
      </c>
      <c r="P6205">
        <v>-4.3372880000000003E-2</v>
      </c>
      <c r="Q6205">
        <v>1.0040439999999999E-2</v>
      </c>
      <c r="R6205">
        <v>0.99900849999999997</v>
      </c>
      <c r="S6205">
        <v>0.46343990000000002</v>
      </c>
      <c r="T6205">
        <v>-0.120224499999999</v>
      </c>
      <c r="U6205">
        <v>3.02475</v>
      </c>
      <c r="V6205">
        <v>-2.3000449999999999E-2</v>
      </c>
      <c r="W6205">
        <v>2.48934E-2</v>
      </c>
      <c r="X6205">
        <v>0.99942549999999997</v>
      </c>
      <c r="Y6205">
        <v>0.17144690000000001</v>
      </c>
      <c r="Z6205">
        <v>-3.9180890000000003E-2</v>
      </c>
      <c r="AA6205">
        <v>0.98441389999999995</v>
      </c>
      <c r="AB6205">
        <v>25</v>
      </c>
      <c r="AC6205">
        <v>4.2632999999999797</v>
      </c>
      <c r="AD6205">
        <v>-1.1046940756079999</v>
      </c>
      <c r="AE6205">
        <v>27.54644</v>
      </c>
      <c r="AF6205">
        <v>4.8162815572239497</v>
      </c>
      <c r="AG6205">
        <v>-1.1046940756079999</v>
      </c>
      <c r="AH6205">
        <v>27.410774444453299</v>
      </c>
      <c r="AI6205">
        <v>92.273069966709897</v>
      </c>
      <c r="AJ6205">
        <v>80.034421115688701</v>
      </c>
      <c r="AK6205">
        <v>27.852602619572799</v>
      </c>
    </row>
    <row r="6206" spans="1:37" x14ac:dyDescent="0.2">
      <c r="A6206" t="str">
        <f>"20200111160339600"</f>
        <v>20200111160339600</v>
      </c>
      <c r="B6206" t="str">
        <f>"1578729819589777"</f>
        <v>1578729819589777</v>
      </c>
      <c r="C6206" t="s">
        <v>37</v>
      </c>
      <c r="D6206">
        <v>4.6119659999999998</v>
      </c>
      <c r="E6206">
        <v>0.57639030000000002</v>
      </c>
      <c r="F6206" t="s">
        <v>38</v>
      </c>
      <c r="G6206">
        <v>-184.24599999999899</v>
      </c>
      <c r="H6206" s="1">
        <v>-5.0943419999999902E-6</v>
      </c>
      <c r="I6206">
        <v>39.128609999999902</v>
      </c>
      <c r="J6206">
        <v>-188.54259999999999</v>
      </c>
      <c r="K6206">
        <v>1.104697</v>
      </c>
      <c r="L6206">
        <v>11.80743</v>
      </c>
      <c r="M6206">
        <v>-2.034186E-2</v>
      </c>
      <c r="N6206">
        <v>0</v>
      </c>
      <c r="O6206">
        <v>0.99968269999999904</v>
      </c>
      <c r="P6206">
        <v>-4.2777820000000001E-2</v>
      </c>
      <c r="Q6206">
        <v>1.1143439999999999E-2</v>
      </c>
      <c r="R6206">
        <v>0.99902250000000004</v>
      </c>
      <c r="S6206">
        <v>0.4706573</v>
      </c>
      <c r="T6206">
        <v>-0.1211556</v>
      </c>
      <c r="U6206">
        <v>3.0246279999999999</v>
      </c>
      <c r="V6206">
        <v>-2.2442230000000001E-2</v>
      </c>
      <c r="W6206">
        <v>2.5992149999999999E-2</v>
      </c>
      <c r="X6206">
        <v>0.99941019999999903</v>
      </c>
      <c r="Y6206">
        <v>0.17370839999999901</v>
      </c>
      <c r="Z6206">
        <v>-3.9470459999999999E-2</v>
      </c>
      <c r="AA6206">
        <v>0.98400580000000004</v>
      </c>
      <c r="AB6206">
        <v>25</v>
      </c>
      <c r="AC6206">
        <v>4.2966000000000104</v>
      </c>
      <c r="AD6206">
        <v>-1.1047020943420001</v>
      </c>
      <c r="AE6206">
        <v>27.321179999999899</v>
      </c>
      <c r="AF6206">
        <v>4.8438077033251696</v>
      </c>
      <c r="AG6206">
        <v>-1.1047020943420001</v>
      </c>
      <c r="AH6206">
        <v>27.1847433375371</v>
      </c>
      <c r="AI6206">
        <v>92.290994818953095</v>
      </c>
      <c r="AJ6206">
        <v>79.897002407331499</v>
      </c>
      <c r="AK6206">
        <v>27.6349979213281</v>
      </c>
    </row>
    <row r="6207" spans="1:37" x14ac:dyDescent="0.2">
      <c r="A6207" t="str">
        <f>"20200111160339621"</f>
        <v>20200111160339621</v>
      </c>
      <c r="B6207" t="str">
        <f>"1578729819619057"</f>
        <v>1578729819619057</v>
      </c>
      <c r="C6207" t="s">
        <v>37</v>
      </c>
      <c r="D6207">
        <v>4.592371</v>
      </c>
      <c r="E6207">
        <v>0.5761096</v>
      </c>
      <c r="F6207" t="s">
        <v>38</v>
      </c>
      <c r="G6207">
        <v>-184.23410000000001</v>
      </c>
      <c r="H6207" s="1">
        <v>-5.2204269999999997E-6</v>
      </c>
      <c r="I6207">
        <v>39.417589999999997</v>
      </c>
      <c r="J6207">
        <v>-188.54750000000001</v>
      </c>
      <c r="K6207">
        <v>1.1047009999999999</v>
      </c>
      <c r="L6207">
        <v>12.05176</v>
      </c>
      <c r="M6207">
        <v>-2.0306580000000001E-2</v>
      </c>
      <c r="N6207">
        <v>0</v>
      </c>
      <c r="O6207">
        <v>0.99968349999999995</v>
      </c>
      <c r="P6207">
        <v>-4.2212159999999999E-2</v>
      </c>
      <c r="Q6207">
        <v>1.2089010000000001E-2</v>
      </c>
      <c r="R6207">
        <v>0.99903549999999997</v>
      </c>
      <c r="S6207">
        <v>0.47196959999999999</v>
      </c>
      <c r="T6207">
        <v>-0.1210126</v>
      </c>
      <c r="U6207">
        <v>3.0245060000000001</v>
      </c>
      <c r="V6207">
        <v>-2.191127E-2</v>
      </c>
      <c r="W6207">
        <v>2.6934059999999999E-2</v>
      </c>
      <c r="X6207">
        <v>0.99939699999999998</v>
      </c>
      <c r="Y6207">
        <v>0.17409669999999999</v>
      </c>
      <c r="Z6207">
        <v>-3.9422890000000002E-2</v>
      </c>
      <c r="AA6207">
        <v>0.98393909999999996</v>
      </c>
      <c r="AB6207">
        <v>25</v>
      </c>
      <c r="AC6207">
        <v>4.3133999999999997</v>
      </c>
      <c r="AD6207">
        <v>-1.104706220427</v>
      </c>
      <c r="AE6207">
        <v>27.365829999999999</v>
      </c>
      <c r="AF6207">
        <v>4.8605494308807904</v>
      </c>
      <c r="AG6207">
        <v>-1.104706220427</v>
      </c>
      <c r="AH6207">
        <v>27.229289154777401</v>
      </c>
      <c r="AI6207">
        <v>92.287131685269799</v>
      </c>
      <c r="AJ6207">
        <v>79.879047088062293</v>
      </c>
      <c r="AK6207">
        <v>27.681753999303702</v>
      </c>
    </row>
    <row r="6208" spans="1:37" x14ac:dyDescent="0.2">
      <c r="A6208" t="str">
        <f>"20200111160339645"</f>
        <v>20200111160339645</v>
      </c>
      <c r="B6208" t="str">
        <f>"1578729819639554"</f>
        <v>1578729819639554</v>
      </c>
      <c r="C6208" t="s">
        <v>37</v>
      </c>
      <c r="D6208">
        <v>4.566541</v>
      </c>
      <c r="E6208">
        <v>0.57585799999999998</v>
      </c>
      <c r="F6208" t="s">
        <v>38</v>
      </c>
      <c r="G6208">
        <v>-184.32079999999999</v>
      </c>
      <c r="H6208" s="1">
        <v>-5.1085539999999997E-6</v>
      </c>
      <c r="I6208">
        <v>39.192689999999999</v>
      </c>
      <c r="J6208">
        <v>-188.55269999999999</v>
      </c>
      <c r="K6208">
        <v>1.104706</v>
      </c>
      <c r="L6208">
        <v>12.309229999999999</v>
      </c>
      <c r="M6208">
        <v>-2.0269410000000002E-2</v>
      </c>
      <c r="N6208">
        <v>0</v>
      </c>
      <c r="O6208">
        <v>0.99968429999999997</v>
      </c>
      <c r="P6208">
        <v>-4.161633E-2</v>
      </c>
      <c r="Q6208">
        <v>1.3160150000000001E-2</v>
      </c>
      <c r="R6208">
        <v>0.99904699999999902</v>
      </c>
      <c r="S6208">
        <v>0.4709778</v>
      </c>
      <c r="T6208">
        <v>-0.1230965</v>
      </c>
      <c r="U6208">
        <v>3.024292</v>
      </c>
      <c r="V6208">
        <v>-2.135308E-2</v>
      </c>
      <c r="W6208">
        <v>2.8001290000000002E-2</v>
      </c>
      <c r="X6208">
        <v>0.99937980000000004</v>
      </c>
      <c r="Y6208">
        <v>0.1737515</v>
      </c>
      <c r="Z6208">
        <v>-4.0105729999999999E-2</v>
      </c>
      <c r="AA6208">
        <v>0.98397250000000003</v>
      </c>
      <c r="AB6208">
        <v>25</v>
      </c>
      <c r="AC6208">
        <v>4.2318999999999898</v>
      </c>
      <c r="AD6208">
        <v>-1.104711108554</v>
      </c>
      <c r="AE6208">
        <v>26.883459999999999</v>
      </c>
      <c r="AF6208">
        <v>4.7681455238295998</v>
      </c>
      <c r="AG6208">
        <v>-1.104711108554</v>
      </c>
      <c r="AH6208">
        <v>26.748073457722199</v>
      </c>
      <c r="AI6208">
        <v>92.328341899982206</v>
      </c>
      <c r="AJ6208">
        <v>79.8925509300351</v>
      </c>
      <c r="AK6208">
        <v>27.192186967389699</v>
      </c>
    </row>
    <row r="6209" spans="1:37" x14ac:dyDescent="0.2">
      <c r="A6209" t="str">
        <f>"20200111160339666"</f>
        <v>20200111160339666</v>
      </c>
      <c r="B6209" t="str">
        <f>"1578729819659073"</f>
        <v>1578729819659073</v>
      </c>
      <c r="C6209" t="s">
        <v>37</v>
      </c>
      <c r="D6209">
        <v>4.6012510000000004</v>
      </c>
      <c r="E6209">
        <v>0.57561010000000001</v>
      </c>
      <c r="F6209" t="s">
        <v>38</v>
      </c>
      <c r="G6209">
        <v>-184.34350000000001</v>
      </c>
      <c r="H6209" s="1">
        <v>-5.1828819999999999E-6</v>
      </c>
      <c r="I6209">
        <v>39.375320000000002</v>
      </c>
      <c r="J6209">
        <v>-188.5575</v>
      </c>
      <c r="K6209">
        <v>1.104706</v>
      </c>
      <c r="L6209">
        <v>12.5496199999999</v>
      </c>
      <c r="M6209">
        <v>-2.0234700000000001E-2</v>
      </c>
      <c r="N6209">
        <v>0</v>
      </c>
      <c r="O6209">
        <v>0.99968509999999999</v>
      </c>
      <c r="P6209">
        <v>-4.113377E-2</v>
      </c>
      <c r="Q6209">
        <v>1.3103299999999899E-2</v>
      </c>
      <c r="R6209">
        <v>0.9990677</v>
      </c>
      <c r="S6209">
        <v>0.47029110000000002</v>
      </c>
      <c r="T6209">
        <v>-0.1234287</v>
      </c>
      <c r="U6209">
        <v>3.0240779999999998</v>
      </c>
      <c r="V6209">
        <v>-2.090469E-2</v>
      </c>
      <c r="W6209">
        <v>2.7940280000000001E-2</v>
      </c>
      <c r="X6209">
        <v>0.99939100000000003</v>
      </c>
      <c r="Y6209">
        <v>0.173509</v>
      </c>
      <c r="Z6209">
        <v>-4.0218199999999898E-2</v>
      </c>
      <c r="AA6209">
        <v>0.98401079999999996</v>
      </c>
      <c r="AB6209">
        <v>25</v>
      </c>
      <c r="AC6209">
        <v>4.2139999999999898</v>
      </c>
      <c r="AD6209">
        <v>-1.104711182882</v>
      </c>
      <c r="AE6209">
        <v>26.825700000000001</v>
      </c>
      <c r="AF6209">
        <v>4.7481484297498602</v>
      </c>
      <c r="AG6209">
        <v>-1.104711182882</v>
      </c>
      <c r="AH6209">
        <v>26.690753743710101</v>
      </c>
      <c r="AI6209">
        <v>92.333484168254202</v>
      </c>
      <c r="AJ6209">
        <v>79.912898245790103</v>
      </c>
      <c r="AK6209">
        <v>27.132298754729501</v>
      </c>
    </row>
    <row r="6210" spans="1:37" x14ac:dyDescent="0.2">
      <c r="A6210" t="str">
        <f>"20200111160339688"</f>
        <v>20200111160339688</v>
      </c>
      <c r="B6210" t="str">
        <f>"1578729819679569"</f>
        <v>1578729819679569</v>
      </c>
      <c r="C6210" t="s">
        <v>37</v>
      </c>
      <c r="D6210">
        <v>4.6421769999999896</v>
      </c>
      <c r="E6210">
        <v>0.57548580000000005</v>
      </c>
      <c r="F6210" t="s">
        <v>38</v>
      </c>
      <c r="G6210">
        <v>-184.44909999999999</v>
      </c>
      <c r="H6210" s="1">
        <v>-5.0032179999999999E-6</v>
      </c>
      <c r="I6210">
        <v>39.0002</v>
      </c>
      <c r="J6210">
        <v>-188.56219999999999</v>
      </c>
      <c r="K6210">
        <v>1.104706</v>
      </c>
      <c r="L6210">
        <v>12.784330000000001</v>
      </c>
      <c r="M6210">
        <v>-2.020079E-2</v>
      </c>
      <c r="N6210">
        <v>0</v>
      </c>
      <c r="O6210">
        <v>0.99968579999999996</v>
      </c>
      <c r="P6210">
        <v>-4.0400690000000003E-2</v>
      </c>
      <c r="Q6210">
        <v>1.2341390000000001E-2</v>
      </c>
      <c r="R6210">
        <v>0.99910739999999998</v>
      </c>
      <c r="S6210">
        <v>0.46966549999999901</v>
      </c>
      <c r="T6210">
        <v>-0.1262895</v>
      </c>
      <c r="U6210">
        <v>3.0238040000000002</v>
      </c>
      <c r="V6210">
        <v>-2.0204590000000001E-2</v>
      </c>
      <c r="W6210">
        <v>2.7174770000000001E-2</v>
      </c>
      <c r="X6210">
        <v>0.9994265</v>
      </c>
      <c r="Y6210">
        <v>0.17328460000000001</v>
      </c>
      <c r="Z6210">
        <v>-4.115398E-2</v>
      </c>
      <c r="AA6210">
        <v>0.98401159999999999</v>
      </c>
      <c r="AB6210">
        <v>25</v>
      </c>
      <c r="AC6210">
        <v>4.1131000000000002</v>
      </c>
      <c r="AD6210">
        <v>-1.1047110032179901</v>
      </c>
      <c r="AE6210">
        <v>26.215869999999999</v>
      </c>
      <c r="AF6210">
        <v>4.6338694504011997</v>
      </c>
      <c r="AG6210">
        <v>-1.1047110032179901</v>
      </c>
      <c r="AH6210">
        <v>26.082220819503199</v>
      </c>
      <c r="AI6210">
        <v>92.387959704736701</v>
      </c>
      <c r="AJ6210">
        <v>79.925726150067803</v>
      </c>
      <c r="AK6210">
        <v>26.513682795140301</v>
      </c>
    </row>
    <row r="6211" spans="1:37" x14ac:dyDescent="0.2">
      <c r="A6211" t="str">
        <f>"20200111160339712"</f>
        <v>20200111160339712</v>
      </c>
      <c r="B6211" t="str">
        <f>"1578729819709825"</f>
        <v>1578729819709825</v>
      </c>
      <c r="C6211" t="s">
        <v>37</v>
      </c>
      <c r="D6211">
        <v>4.7644349999999998</v>
      </c>
      <c r="E6211">
        <v>0.53209099999999998</v>
      </c>
      <c r="F6211" t="s">
        <v>38</v>
      </c>
      <c r="G6211">
        <v>-184.59110000000001</v>
      </c>
      <c r="H6211" s="1">
        <v>-4.6775090000000001E-6</v>
      </c>
      <c r="I6211">
        <v>38.299669999999999</v>
      </c>
      <c r="J6211">
        <v>-188.56739999999999</v>
      </c>
      <c r="K6211">
        <v>1.1046929999999999</v>
      </c>
      <c r="L6211">
        <v>13.043950000000001</v>
      </c>
      <c r="M6211">
        <v>-2.0163259999999999E-2</v>
      </c>
      <c r="N6211">
        <v>0</v>
      </c>
      <c r="O6211">
        <v>0.99968670000000004</v>
      </c>
      <c r="P6211">
        <v>-4.0206140000000001E-2</v>
      </c>
      <c r="Q6211">
        <v>1.202574E-2</v>
      </c>
      <c r="R6211">
        <v>0.99911899999999998</v>
      </c>
      <c r="S6211">
        <v>0.47053529999999999</v>
      </c>
      <c r="T6211">
        <v>-0.13089729999999999</v>
      </c>
      <c r="U6211">
        <v>3.0233150000000002</v>
      </c>
      <c r="V6211">
        <v>-2.0047969999999998E-2</v>
      </c>
      <c r="W6211">
        <v>2.6854449999999998E-2</v>
      </c>
      <c r="X6211">
        <v>0.9994383</v>
      </c>
      <c r="Y6211">
        <v>0.17353829999999901</v>
      </c>
      <c r="Z6211">
        <v>-4.265774E-2</v>
      </c>
      <c r="AA6211">
        <v>0.98390279999999997</v>
      </c>
      <c r="AB6211">
        <v>25</v>
      </c>
      <c r="AC6211">
        <v>3.9762999999999802</v>
      </c>
      <c r="AD6211">
        <v>-1.1046976775089901</v>
      </c>
      <c r="AE6211">
        <v>25.25572</v>
      </c>
      <c r="AF6211">
        <v>4.4764278229373602</v>
      </c>
      <c r="AG6211">
        <v>-1.1046976775089901</v>
      </c>
      <c r="AH6211">
        <v>25.1234960248369</v>
      </c>
      <c r="AI6211">
        <v>92.478724895563204</v>
      </c>
      <c r="AJ6211">
        <v>79.897233501966795</v>
      </c>
      <c r="AK6211">
        <v>25.543077643906901</v>
      </c>
    </row>
    <row r="6212" spans="1:37" x14ac:dyDescent="0.2">
      <c r="A6212" t="str">
        <f>"20200111160339756"</f>
        <v>20200111160339756</v>
      </c>
      <c r="B6212" t="str">
        <f>"1578729819749841"</f>
        <v>1578729819749841</v>
      </c>
      <c r="C6212" t="s">
        <v>37</v>
      </c>
      <c r="D6212">
        <v>5.3857989999999996</v>
      </c>
      <c r="E6212">
        <v>0.50567399999999996</v>
      </c>
      <c r="F6212" t="s">
        <v>42</v>
      </c>
      <c r="G6212">
        <v>-188.52979999999999</v>
      </c>
      <c r="H6212">
        <v>1.0511159999999999</v>
      </c>
      <c r="I6212">
        <v>13.971220000000001</v>
      </c>
      <c r="J6212">
        <v>-188.5772</v>
      </c>
      <c r="K6212">
        <v>1.104698</v>
      </c>
      <c r="L6212">
        <v>13.53351</v>
      </c>
      <c r="M6212">
        <v>-2.0092459999999999E-2</v>
      </c>
      <c r="N6212">
        <v>0</v>
      </c>
      <c r="O6212">
        <v>0.99968840000000003</v>
      </c>
      <c r="P6212">
        <v>-4.024519E-2</v>
      </c>
      <c r="Q6212">
        <v>1.258299E-2</v>
      </c>
      <c r="R6212">
        <v>0.99911059999999996</v>
      </c>
      <c r="S6212">
        <v>0.121780399999999</v>
      </c>
      <c r="T6212">
        <v>-0.1738943</v>
      </c>
      <c r="U6212">
        <v>3.00964399999999</v>
      </c>
      <c r="V6212">
        <v>-2.0157769999999998E-2</v>
      </c>
      <c r="W6212">
        <v>2.739403E-2</v>
      </c>
      <c r="X6212">
        <v>0.99942149999999996</v>
      </c>
      <c r="Y6212">
        <v>6.0433239999999999E-2</v>
      </c>
      <c r="Z6212">
        <v>-5.7589149999999999E-2</v>
      </c>
      <c r="AA6212">
        <v>0.9965096</v>
      </c>
      <c r="AB6212">
        <v>25</v>
      </c>
      <c r="AC6212">
        <v>4.7400000000010302E-2</v>
      </c>
      <c r="AD6212">
        <v>-5.3581999999999998E-2</v>
      </c>
      <c r="AE6212">
        <v>0.43770999999999999</v>
      </c>
      <c r="AF6212">
        <v>5.5366006233874998E-2</v>
      </c>
      <c r="AG6212">
        <v>-5.3581999999999998E-2</v>
      </c>
      <c r="AH6212">
        <v>0.430295768024198</v>
      </c>
      <c r="AI6212">
        <v>97.040688416063801</v>
      </c>
      <c r="AJ6212">
        <v>82.668057203472799</v>
      </c>
      <c r="AK6212">
        <v>0.43713942095151298</v>
      </c>
    </row>
    <row r="6213" spans="1:37" x14ac:dyDescent="0.2">
      <c r="A6213" t="str">
        <f>"20200111160339777"</f>
        <v>20200111160339777</v>
      </c>
      <c r="B6213" t="str">
        <f>"1578729819769361"</f>
        <v>1578729819769361</v>
      </c>
      <c r="C6213" t="s">
        <v>37</v>
      </c>
      <c r="D6213">
        <v>4.7818160000000001</v>
      </c>
      <c r="E6213">
        <v>0.50144579999999905</v>
      </c>
      <c r="F6213" t="s">
        <v>38</v>
      </c>
      <c r="G6213">
        <v>-189.53229999999999</v>
      </c>
      <c r="H6213" s="1">
        <v>-3.37501199999999E-6</v>
      </c>
      <c r="I6213">
        <v>47.306629999999998</v>
      </c>
      <c r="J6213">
        <v>-188.58189999999999</v>
      </c>
      <c r="K6213">
        <v>1.1046959999999999</v>
      </c>
      <c r="L6213">
        <v>13.76727</v>
      </c>
      <c r="M6213">
        <v>-2.0058599999999999E-2</v>
      </c>
      <c r="N6213">
        <v>0</v>
      </c>
      <c r="O6213">
        <v>0.99968959999999996</v>
      </c>
      <c r="P6213">
        <v>-4.0151689999999997E-2</v>
      </c>
      <c r="Q6213">
        <v>1.35468999999999E-2</v>
      </c>
      <c r="R6213">
        <v>0.99910180000000004</v>
      </c>
      <c r="S6213">
        <v>-8.485413E-2</v>
      </c>
      <c r="T6213">
        <v>-9.8144410000000001E-2</v>
      </c>
      <c r="U6213">
        <v>3.0004879999999998</v>
      </c>
      <c r="V6213">
        <v>-2.0098149999999999E-2</v>
      </c>
      <c r="W6213">
        <v>2.8318260000000001E-2</v>
      </c>
      <c r="X6213">
        <v>0.99939690000000003</v>
      </c>
      <c r="Y6213">
        <v>-8.1952489999999999E-3</v>
      </c>
      <c r="Z6213">
        <v>-3.2675059999999999E-2</v>
      </c>
      <c r="AA6213">
        <v>0.9994324</v>
      </c>
      <c r="AB6213">
        <v>25</v>
      </c>
      <c r="AC6213">
        <v>-0.95040000000000202</v>
      </c>
      <c r="AD6213">
        <v>-1.104699375012</v>
      </c>
      <c r="AE6213">
        <v>33.539359999999903</v>
      </c>
      <c r="AF6213">
        <v>-0.27708231732562999</v>
      </c>
      <c r="AG6213">
        <v>-1.104699375012</v>
      </c>
      <c r="AH6213">
        <v>33.515345682729603</v>
      </c>
      <c r="AI6213">
        <v>91.887778365227007</v>
      </c>
      <c r="AJ6213">
        <v>90.473672145062295</v>
      </c>
      <c r="AK6213">
        <v>33.534691463506697</v>
      </c>
    </row>
    <row r="6214" spans="1:37" x14ac:dyDescent="0.2">
      <c r="A6214" t="str">
        <f>"20200111160339800"</f>
        <v>20200111160339800</v>
      </c>
      <c r="B6214" t="str">
        <f>"1578729819788881"</f>
        <v>1578729819788881</v>
      </c>
      <c r="C6214" t="s">
        <v>37</v>
      </c>
      <c r="D6214">
        <v>5.3279819999999898</v>
      </c>
      <c r="E6214">
        <v>0.49971670000000001</v>
      </c>
      <c r="F6214" t="s">
        <v>38</v>
      </c>
      <c r="G6214">
        <v>-189.68450000000001</v>
      </c>
      <c r="H6214" s="1">
        <v>-7.8368699999999997E-7</v>
      </c>
      <c r="I6214">
        <v>41.329099999999997</v>
      </c>
      <c r="J6214">
        <v>-188.58690000000001</v>
      </c>
      <c r="K6214">
        <v>1.104671</v>
      </c>
      <c r="L6214">
        <v>14.0191</v>
      </c>
      <c r="M6214">
        <v>-2.0020659999999999E-2</v>
      </c>
      <c r="N6214">
        <v>0</v>
      </c>
      <c r="O6214">
        <v>0.99969200000000003</v>
      </c>
      <c r="P6214">
        <v>-3.9456289999999998E-2</v>
      </c>
      <c r="Q6214">
        <v>1.385985E-2</v>
      </c>
      <c r="R6214">
        <v>0.99912520000000005</v>
      </c>
      <c r="S6214">
        <v>-0.11999509999999999</v>
      </c>
      <c r="T6214">
        <v>-0.12022239999999999</v>
      </c>
      <c r="U6214">
        <v>2.99951199999999</v>
      </c>
      <c r="V6214">
        <v>-1.94404E-2</v>
      </c>
      <c r="W6214">
        <v>2.8519409999999999E-2</v>
      </c>
      <c r="X6214">
        <v>0.99940419999999996</v>
      </c>
      <c r="Y6214">
        <v>-1.9926070000000001E-2</v>
      </c>
      <c r="Z6214">
        <v>-4.0016540000000003E-2</v>
      </c>
      <c r="AA6214">
        <v>0.99900029999999995</v>
      </c>
      <c r="AB6214">
        <v>24</v>
      </c>
      <c r="AC6214">
        <v>-1.0975999999999999</v>
      </c>
      <c r="AD6214">
        <v>-1.1046717836869999</v>
      </c>
      <c r="AE6214">
        <v>27.309999999999899</v>
      </c>
      <c r="AF6214">
        <v>-0.54965904985321301</v>
      </c>
      <c r="AG6214">
        <v>-1.1046717836869999</v>
      </c>
      <c r="AH6214">
        <v>27.2819366671831</v>
      </c>
      <c r="AI6214">
        <v>92.318224500945504</v>
      </c>
      <c r="AJ6214">
        <v>91.154202649068196</v>
      </c>
      <c r="AK6214">
        <v>27.309824113914502</v>
      </c>
    </row>
    <row r="6215" spans="1:37" x14ac:dyDescent="0.2">
      <c r="A6215" t="str">
        <f>"20200111160339823"</f>
        <v>20200111160339823</v>
      </c>
      <c r="B6215" t="str">
        <f>"1578729819819137"</f>
        <v>1578729819819137</v>
      </c>
      <c r="C6215" t="s">
        <v>37</v>
      </c>
      <c r="D6215">
        <v>4.6721750000000002</v>
      </c>
      <c r="E6215">
        <v>0.49795059999999902</v>
      </c>
      <c r="F6215" t="s">
        <v>38</v>
      </c>
      <c r="G6215">
        <v>-189.76310000000001</v>
      </c>
      <c r="H6215" s="1">
        <v>-5.0966000000000003E-7</v>
      </c>
      <c r="I6215">
        <v>40.722859999999997</v>
      </c>
      <c r="J6215">
        <v>-188.5917</v>
      </c>
      <c r="K6215">
        <v>1.1046049999999901</v>
      </c>
      <c r="L6215">
        <v>14.263949999999999</v>
      </c>
      <c r="M6215">
        <v>-1.9984780000000001E-2</v>
      </c>
      <c r="N6215">
        <v>0</v>
      </c>
      <c r="O6215">
        <v>0.99969619999999904</v>
      </c>
      <c r="P6215">
        <v>-3.8790989999999997E-2</v>
      </c>
      <c r="Q6215">
        <v>1.3879590000000001E-2</v>
      </c>
      <c r="R6215">
        <v>0.99915089999999995</v>
      </c>
      <c r="S6215">
        <v>-0.13211059999999999</v>
      </c>
      <c r="T6215">
        <v>-0.1240676</v>
      </c>
      <c r="U6215">
        <v>2.9991460000000001</v>
      </c>
      <c r="V6215">
        <v>-1.8810509999999999E-2</v>
      </c>
      <c r="W6215">
        <v>2.8302049999999999E-2</v>
      </c>
      <c r="X6215">
        <v>0.99942240000000004</v>
      </c>
      <c r="Y6215">
        <v>-2.3992909999999999E-2</v>
      </c>
      <c r="Z6215">
        <v>-4.1293990000000003E-2</v>
      </c>
      <c r="AA6215">
        <v>0.99885889999999999</v>
      </c>
      <c r="AB6215">
        <v>24</v>
      </c>
      <c r="AC6215">
        <v>-1.1714</v>
      </c>
      <c r="AD6215">
        <v>-1.10460550965999</v>
      </c>
      <c r="AE6215">
        <v>26.4589099999999</v>
      </c>
      <c r="AF6215">
        <v>-0.64122008577124501</v>
      </c>
      <c r="AG6215">
        <v>-1.10460550965999</v>
      </c>
      <c r="AH6215">
        <v>26.431060876491301</v>
      </c>
      <c r="AI6215">
        <v>92.392406511847796</v>
      </c>
      <c r="AJ6215">
        <v>91.389728536511797</v>
      </c>
      <c r="AK6215">
        <v>26.4619027204613</v>
      </c>
    </row>
    <row r="6216" spans="1:37" x14ac:dyDescent="0.2">
      <c r="A6216" t="str">
        <f>"20200111160339847"</f>
        <v>20200111160339847</v>
      </c>
      <c r="B6216" t="str">
        <f>"1578729819839633"</f>
        <v>1578729819839633</v>
      </c>
      <c r="C6216" t="s">
        <v>37</v>
      </c>
      <c r="D6216">
        <v>4.5834159999999997</v>
      </c>
      <c r="E6216">
        <v>0.49803530000000001</v>
      </c>
      <c r="F6216" t="s">
        <v>38</v>
      </c>
      <c r="G6216">
        <v>-189.78399999999999</v>
      </c>
      <c r="H6216" s="1">
        <v>-4.0293859999999999E-6</v>
      </c>
      <c r="I6216">
        <v>38.936039999999998</v>
      </c>
      <c r="J6216">
        <v>-188.59690000000001</v>
      </c>
      <c r="K6216">
        <v>1.1045240000000001</v>
      </c>
      <c r="L6216">
        <v>14.52722</v>
      </c>
      <c r="M6216">
        <v>-1.9947599999999999E-2</v>
      </c>
      <c r="N6216">
        <v>0</v>
      </c>
      <c r="O6216">
        <v>0.99970230000000004</v>
      </c>
      <c r="P6216">
        <v>-3.814973E-2</v>
      </c>
      <c r="Q6216">
        <v>1.3651770000000001E-2</v>
      </c>
      <c r="R6216">
        <v>0.99917880000000003</v>
      </c>
      <c r="S6216">
        <v>-0.14491270000000001</v>
      </c>
      <c r="T6216">
        <v>-0.1342602</v>
      </c>
      <c r="U6216">
        <v>2.9987789999999999</v>
      </c>
      <c r="V6216">
        <v>-1.820606E-2</v>
      </c>
      <c r="W6216">
        <v>2.7701469999999999E-2</v>
      </c>
      <c r="X6216">
        <v>0.99945039999999996</v>
      </c>
      <c r="Y6216">
        <v>-2.828346E-2</v>
      </c>
      <c r="Z6216">
        <v>-4.4678519999999999E-2</v>
      </c>
      <c r="AA6216">
        <v>0.99860099999999996</v>
      </c>
      <c r="AB6216">
        <v>24</v>
      </c>
      <c r="AC6216">
        <v>-1.18710000000001</v>
      </c>
      <c r="AD6216">
        <v>-1.104528029386</v>
      </c>
      <c r="AE6216">
        <v>24.408819999999999</v>
      </c>
      <c r="AF6216">
        <v>-0.69849140476638505</v>
      </c>
      <c r="AG6216">
        <v>-1.104528029386</v>
      </c>
      <c r="AH6216">
        <v>24.377844490209402</v>
      </c>
      <c r="AI6216">
        <v>92.593159287232297</v>
      </c>
      <c r="AJ6216">
        <v>91.641230540848795</v>
      </c>
      <c r="AK6216">
        <v>24.412848551512099</v>
      </c>
    </row>
    <row r="6217" spans="1:37" x14ac:dyDescent="0.2">
      <c r="A6217" t="str">
        <f>"20200111160339890"</f>
        <v>20200111160339890</v>
      </c>
      <c r="B6217" t="str">
        <f>"1578729819879649"</f>
        <v>1578729819879649</v>
      </c>
      <c r="C6217" t="s">
        <v>37</v>
      </c>
      <c r="D6217">
        <v>4.9000219999999999</v>
      </c>
      <c r="E6217">
        <v>0.49584809999999901</v>
      </c>
      <c r="F6217" t="s">
        <v>38</v>
      </c>
      <c r="G6217">
        <v>-189.65379999999999</v>
      </c>
      <c r="H6217" s="1">
        <v>-3.0537539999999999E-6</v>
      </c>
      <c r="I6217">
        <v>36.607979999999998</v>
      </c>
      <c r="J6217">
        <v>-188.6061</v>
      </c>
      <c r="K6217">
        <v>1.104385</v>
      </c>
      <c r="L6217">
        <v>14.9938</v>
      </c>
      <c r="M6217">
        <v>-1.987831E-2</v>
      </c>
      <c r="N6217">
        <v>0</v>
      </c>
      <c r="O6217">
        <v>0.99971489999999996</v>
      </c>
      <c r="P6217">
        <v>-3.8614669999999997E-2</v>
      </c>
      <c r="Q6217">
        <v>1.527367E-2</v>
      </c>
      <c r="R6217">
        <v>0.99913750000000001</v>
      </c>
      <c r="S6217">
        <v>-0.14353940000000001</v>
      </c>
      <c r="T6217">
        <v>-0.1500176</v>
      </c>
      <c r="U6217">
        <v>2.99902299999999</v>
      </c>
      <c r="V6217">
        <v>-1.874178E-2</v>
      </c>
      <c r="W6217">
        <v>2.8499389999999999E-2</v>
      </c>
      <c r="X6217">
        <v>0.99941809999999998</v>
      </c>
      <c r="Y6217">
        <v>-2.788098E-2</v>
      </c>
      <c r="Z6217">
        <v>-4.9906699999999998E-2</v>
      </c>
      <c r="AA6217">
        <v>0.99836460000000005</v>
      </c>
      <c r="AB6217">
        <v>25</v>
      </c>
      <c r="AC6217">
        <v>-1.0476999999999901</v>
      </c>
      <c r="AD6217">
        <v>-1.1043880537539901</v>
      </c>
      <c r="AE6217">
        <v>21.614179999999902</v>
      </c>
      <c r="AF6217">
        <v>-0.61619701405904603</v>
      </c>
      <c r="AG6217">
        <v>-1.1043880537539901</v>
      </c>
      <c r="AH6217">
        <v>21.574542986336802</v>
      </c>
      <c r="AI6217">
        <v>92.929186782795696</v>
      </c>
      <c r="AJ6217">
        <v>91.635997242048504</v>
      </c>
      <c r="AK6217">
        <v>21.6115773788658</v>
      </c>
    </row>
    <row r="6218" spans="1:37" x14ac:dyDescent="0.2">
      <c r="A6218" t="str">
        <f>"20200111160339914"</f>
        <v>20200111160339914</v>
      </c>
      <c r="B6218" t="str">
        <f>"1578729819909907"</f>
        <v>1578729819909907</v>
      </c>
      <c r="C6218" t="s">
        <v>37</v>
      </c>
      <c r="D6218">
        <v>4.7413939999999997</v>
      </c>
      <c r="E6218">
        <v>0.49537510000000001</v>
      </c>
      <c r="F6218" t="s">
        <v>38</v>
      </c>
      <c r="G6218">
        <v>-189.8614</v>
      </c>
      <c r="H6218" s="1">
        <v>-3.7059299999999999E-6</v>
      </c>
      <c r="I6218">
        <v>38.214059999999897</v>
      </c>
      <c r="J6218">
        <v>-188.61160000000001</v>
      </c>
      <c r="K6218">
        <v>1.1043149999999999</v>
      </c>
      <c r="L6218">
        <v>15.269739999999899</v>
      </c>
      <c r="M6218">
        <v>-1.9836639999999999E-2</v>
      </c>
      <c r="N6218">
        <v>0</v>
      </c>
      <c r="O6218">
        <v>0.99972260000000002</v>
      </c>
      <c r="P6218">
        <v>-3.8075940000000003E-2</v>
      </c>
      <c r="Q6218">
        <v>1.6793889999999999E-2</v>
      </c>
      <c r="R6218">
        <v>0.99913369999999901</v>
      </c>
      <c r="S6218">
        <v>-0.16209409999999999</v>
      </c>
      <c r="T6218">
        <v>-0.1426132</v>
      </c>
      <c r="U6218">
        <v>2.99850499999999</v>
      </c>
      <c r="V6218">
        <v>-1.8244199999999999E-2</v>
      </c>
      <c r="W6218">
        <v>2.9489359999999999E-2</v>
      </c>
      <c r="X6218">
        <v>0.99939859999999903</v>
      </c>
      <c r="Y6218">
        <v>-3.4098780000000002E-2</v>
      </c>
      <c r="Z6218">
        <v>-4.7445380000000002E-2</v>
      </c>
      <c r="AA6218">
        <v>0.998291699999999</v>
      </c>
      <c r="AB6218">
        <v>25</v>
      </c>
      <c r="AC6218">
        <v>-1.24979999999999</v>
      </c>
      <c r="AD6218">
        <v>-1.1043187059299999</v>
      </c>
      <c r="AE6218">
        <v>22.944320000000001</v>
      </c>
      <c r="AF6218">
        <v>-0.79254859779711795</v>
      </c>
      <c r="AG6218">
        <v>-1.1043187059299999</v>
      </c>
      <c r="AH6218">
        <v>22.911679806755899</v>
      </c>
      <c r="AI6218">
        <v>92.757813440507206</v>
      </c>
      <c r="AJ6218">
        <v>91.981155076250502</v>
      </c>
      <c r="AK6218">
        <v>22.9519655945072</v>
      </c>
    </row>
    <row r="6219" spans="1:37" x14ac:dyDescent="0.2">
      <c r="A6219" t="str">
        <f>"20200111160339940"</f>
        <v>20200111160339940</v>
      </c>
      <c r="B6219" t="str">
        <f>"1578729819929425"</f>
        <v>1578729819929425</v>
      </c>
      <c r="C6219" t="s">
        <v>37</v>
      </c>
      <c r="D6219">
        <v>4.8351519999999999</v>
      </c>
      <c r="E6219">
        <v>0.49501119999999998</v>
      </c>
      <c r="F6219" t="s">
        <v>38</v>
      </c>
      <c r="G6219">
        <v>-189.8708</v>
      </c>
      <c r="H6219" s="1">
        <v>-3.6718239999999898E-6</v>
      </c>
      <c r="I6219">
        <v>38.138440000000003</v>
      </c>
      <c r="J6219">
        <v>-188.61709999999999</v>
      </c>
      <c r="K6219">
        <v>1.10425</v>
      </c>
      <c r="L6219">
        <v>15.55078</v>
      </c>
      <c r="M6219">
        <v>-1.979535E-2</v>
      </c>
      <c r="N6219">
        <v>0</v>
      </c>
      <c r="O6219">
        <v>0.99973009999999995</v>
      </c>
      <c r="P6219">
        <v>-3.7725479999999999E-2</v>
      </c>
      <c r="Q6219">
        <v>1.7507169999999999E-2</v>
      </c>
      <c r="R6219">
        <v>0.99913479999999999</v>
      </c>
      <c r="S6219">
        <v>-0.1651154</v>
      </c>
      <c r="T6219">
        <v>-0.1448082</v>
      </c>
      <c r="U6219">
        <v>2.9987490000000001</v>
      </c>
      <c r="V6219">
        <v>-1.7935779999999998E-2</v>
      </c>
      <c r="W6219">
        <v>2.9663330000000002E-2</v>
      </c>
      <c r="X6219">
        <v>0.99939899999999904</v>
      </c>
      <c r="Y6219">
        <v>-3.5136680000000003E-2</v>
      </c>
      <c r="Z6219">
        <v>-4.8167880000000003E-2</v>
      </c>
      <c r="AA6219">
        <v>0.99822099999999903</v>
      </c>
      <c r="AB6219">
        <v>25</v>
      </c>
      <c r="AC6219">
        <v>-1.2537</v>
      </c>
      <c r="AD6219">
        <v>-1.1042536718239999</v>
      </c>
      <c r="AE6219">
        <v>22.58766</v>
      </c>
      <c r="AF6219">
        <v>-0.80437406885910101</v>
      </c>
      <c r="AG6219">
        <v>-1.1042536718239999</v>
      </c>
      <c r="AH6219">
        <v>22.554313698140898</v>
      </c>
      <c r="AI6219">
        <v>92.801171128786706</v>
      </c>
      <c r="AJ6219">
        <v>92.0425234471913</v>
      </c>
      <c r="AK6219">
        <v>22.5956513561467</v>
      </c>
    </row>
    <row r="6220" spans="1:37" x14ac:dyDescent="0.2">
      <c r="A6220" t="str">
        <f>"20200111160339961"</f>
        <v>20200111160339961</v>
      </c>
      <c r="B6220" t="str">
        <f>"1578729819949922"</f>
        <v>1578729819949922</v>
      </c>
      <c r="C6220" t="s">
        <v>37</v>
      </c>
      <c r="D6220">
        <v>4.974952</v>
      </c>
      <c r="E6220">
        <v>0.4945425</v>
      </c>
      <c r="F6220" t="s">
        <v>38</v>
      </c>
      <c r="G6220">
        <v>-189.8828</v>
      </c>
      <c r="H6220" s="1">
        <v>-3.7155699999999899E-6</v>
      </c>
      <c r="I6220">
        <v>38.24541</v>
      </c>
      <c r="J6220">
        <v>-188.62190000000001</v>
      </c>
      <c r="K6220">
        <v>1.10419</v>
      </c>
      <c r="L6220">
        <v>15.791689999999999</v>
      </c>
      <c r="M6220">
        <v>-1.9760819999999998E-2</v>
      </c>
      <c r="N6220">
        <v>0</v>
      </c>
      <c r="O6220">
        <v>0.99973650000000003</v>
      </c>
      <c r="P6220">
        <v>-3.7773840000000003E-2</v>
      </c>
      <c r="Q6220">
        <v>1.8519890000000001E-2</v>
      </c>
      <c r="R6220">
        <v>0.99911469999999902</v>
      </c>
      <c r="S6220">
        <v>-0.1672516</v>
      </c>
      <c r="T6220">
        <v>-0.14591470000000001</v>
      </c>
      <c r="U6220">
        <v>2.99884</v>
      </c>
      <c r="V6220">
        <v>-1.8018889999999999E-2</v>
      </c>
      <c r="W6220">
        <v>3.0194289999999999E-2</v>
      </c>
      <c r="X6220">
        <v>0.99938159999999898</v>
      </c>
      <c r="Y6220">
        <v>-3.5877560000000003E-2</v>
      </c>
      <c r="Z6220">
        <v>-4.853209E-2</v>
      </c>
      <c r="AA6220">
        <v>0.99817710000000004</v>
      </c>
      <c r="AB6220">
        <v>25</v>
      </c>
      <c r="AC6220">
        <v>-1.2608999999999899</v>
      </c>
      <c r="AD6220">
        <v>-1.1041937155699999</v>
      </c>
      <c r="AE6220">
        <v>22.453720000000001</v>
      </c>
      <c r="AF6220">
        <v>-0.81495493872292901</v>
      </c>
      <c r="AG6220">
        <v>-1.1041937155699999</v>
      </c>
      <c r="AH6220">
        <v>22.420204304988399</v>
      </c>
      <c r="AI6220">
        <v>92.817677699832501</v>
      </c>
      <c r="AJ6220">
        <v>92.081735268940903</v>
      </c>
      <c r="AK6220">
        <v>22.462167223824899</v>
      </c>
    </row>
    <row r="6221" spans="1:37" x14ac:dyDescent="0.2">
      <c r="A6221" t="str">
        <f>"20200111160340001"</f>
        <v>20200111160340001</v>
      </c>
      <c r="B6221" t="str">
        <f>"1578729819989938"</f>
        <v>1578729819989938</v>
      </c>
      <c r="C6221" t="s">
        <v>37</v>
      </c>
      <c r="D6221">
        <v>4.6837369999999998</v>
      </c>
      <c r="E6221">
        <v>0.49403049999999998</v>
      </c>
      <c r="F6221" t="s">
        <v>38</v>
      </c>
      <c r="G6221">
        <v>-189.9306</v>
      </c>
      <c r="H6221" s="1">
        <v>-3.9242059999999901E-6</v>
      </c>
      <c r="I6221">
        <v>38.751509999999897</v>
      </c>
      <c r="J6221">
        <v>-188.63050000000001</v>
      </c>
      <c r="K6221">
        <v>1.104079</v>
      </c>
      <c r="L6221">
        <v>16.22983</v>
      </c>
      <c r="M6221">
        <v>-1.9698509999999999E-2</v>
      </c>
      <c r="N6221">
        <v>0</v>
      </c>
      <c r="O6221">
        <v>0.99974789999999902</v>
      </c>
      <c r="P6221">
        <v>-3.833628E-2</v>
      </c>
      <c r="Q6221">
        <v>1.9869609999999999E-2</v>
      </c>
      <c r="R6221">
        <v>0.99906729999999999</v>
      </c>
      <c r="S6221">
        <v>-0.17094419999999999</v>
      </c>
      <c r="T6221">
        <v>-0.14422299999999999</v>
      </c>
      <c r="U6221">
        <v>2.9988709999999998</v>
      </c>
      <c r="V6221">
        <v>-1.8644810000000001E-2</v>
      </c>
      <c r="W6221">
        <v>3.0636110000000001E-2</v>
      </c>
      <c r="X6221">
        <v>0.99935669999999899</v>
      </c>
      <c r="Y6221">
        <v>-3.7166199999999899E-2</v>
      </c>
      <c r="Z6221">
        <v>-4.7967509999999998E-2</v>
      </c>
      <c r="AA6221">
        <v>0.99815719999999997</v>
      </c>
      <c r="AB6221">
        <v>25</v>
      </c>
      <c r="AC6221">
        <v>-1.30009999999998</v>
      </c>
      <c r="AD6221">
        <v>-1.104082924206</v>
      </c>
      <c r="AE6221">
        <v>22.52168</v>
      </c>
      <c r="AF6221">
        <v>-0.85413252100137504</v>
      </c>
      <c r="AG6221">
        <v>-1.104082924206</v>
      </c>
      <c r="AH6221">
        <v>22.4890533619545</v>
      </c>
      <c r="AI6221">
        <v>92.808614242001894</v>
      </c>
      <c r="AJ6221">
        <v>92.175043896154307</v>
      </c>
      <c r="AK6221">
        <v>22.532333713661199</v>
      </c>
    </row>
    <row r="6222" spans="1:37" x14ac:dyDescent="0.2">
      <c r="A6222" t="str">
        <f>"20200111160340024"</f>
        <v>20200111160340024</v>
      </c>
      <c r="B6222" t="str">
        <f>"1578729820019217"</f>
        <v>1578729820019217</v>
      </c>
      <c r="C6222" t="s">
        <v>37</v>
      </c>
      <c r="D6222">
        <v>4.7061699999999904</v>
      </c>
      <c r="E6222">
        <v>0.53577010000000003</v>
      </c>
      <c r="F6222" t="s">
        <v>38</v>
      </c>
      <c r="G6222">
        <v>-189.99860000000001</v>
      </c>
      <c r="H6222" s="1">
        <v>-4.2493269999999998E-6</v>
      </c>
      <c r="I6222">
        <v>39.495280000000001</v>
      </c>
      <c r="J6222">
        <v>-188.63550000000001</v>
      </c>
      <c r="K6222">
        <v>1.10402</v>
      </c>
      <c r="L6222">
        <v>16.483829999999902</v>
      </c>
      <c r="M6222">
        <v>-1.966207E-2</v>
      </c>
      <c r="N6222">
        <v>0</v>
      </c>
      <c r="O6222">
        <v>0.99975400000000003</v>
      </c>
      <c r="P6222">
        <v>-3.910843E-2</v>
      </c>
      <c r="Q6222">
        <v>1.996378E-2</v>
      </c>
      <c r="R6222">
        <v>0.99903549999999997</v>
      </c>
      <c r="S6222">
        <v>-0.1763458</v>
      </c>
      <c r="T6222">
        <v>-0.1423142</v>
      </c>
      <c r="U6222">
        <v>2.9988709999999998</v>
      </c>
      <c r="V6222">
        <v>-1.9453720000000001E-2</v>
      </c>
      <c r="W6222">
        <v>3.0221930000000001E-2</v>
      </c>
      <c r="X6222">
        <v>0.99935390000000002</v>
      </c>
      <c r="Y6222">
        <v>-3.8996330000000003E-2</v>
      </c>
      <c r="Z6222">
        <v>-4.7330039999999997E-2</v>
      </c>
      <c r="AA6222">
        <v>0.99811779999999894</v>
      </c>
      <c r="AB6222">
        <v>25</v>
      </c>
      <c r="AC6222">
        <v>-1.3631</v>
      </c>
      <c r="AD6222">
        <v>-1.1040242493269901</v>
      </c>
      <c r="AE6222">
        <v>23.01145</v>
      </c>
      <c r="AF6222">
        <v>-0.908276519097035</v>
      </c>
      <c r="AG6222">
        <v>-1.1040242493269901</v>
      </c>
      <c r="AH6222">
        <v>22.981090687710999</v>
      </c>
      <c r="AI6222">
        <v>92.748263879590695</v>
      </c>
      <c r="AJ6222">
        <v>92.263310330935298</v>
      </c>
      <c r="AK6222">
        <v>23.025515520288401</v>
      </c>
    </row>
    <row r="6223" spans="1:37" x14ac:dyDescent="0.2">
      <c r="A6223" t="str">
        <f>"20200111160340046"</f>
        <v>20200111160340046</v>
      </c>
      <c r="B6223" t="str">
        <f>"1578729820039713"</f>
        <v>1578729820039713</v>
      </c>
      <c r="C6223" t="s">
        <v>37</v>
      </c>
      <c r="D6223">
        <v>4.6362740000000002</v>
      </c>
      <c r="E6223">
        <v>0.54434340000000003</v>
      </c>
      <c r="F6223" t="s">
        <v>42</v>
      </c>
      <c r="G6223">
        <v>-188.60319999999999</v>
      </c>
      <c r="H6223">
        <v>0.97175529999999999</v>
      </c>
      <c r="I6223">
        <v>17.24034</v>
      </c>
      <c r="J6223">
        <v>-188.6404</v>
      </c>
      <c r="K6223">
        <v>1.1039699999999999</v>
      </c>
      <c r="L6223">
        <v>16.739899999999999</v>
      </c>
      <c r="M6223">
        <v>-1.962508E-2</v>
      </c>
      <c r="N6223">
        <v>0</v>
      </c>
      <c r="O6223">
        <v>0.99975959999999997</v>
      </c>
      <c r="P6223">
        <v>-4.037905E-2</v>
      </c>
      <c r="Q6223">
        <v>2.0784569999999999E-2</v>
      </c>
      <c r="R6223">
        <v>0.99896819999999897</v>
      </c>
      <c r="S6223">
        <v>0.1287384</v>
      </c>
      <c r="T6223">
        <v>-0.52773080000000006</v>
      </c>
      <c r="U6223">
        <v>3.018494</v>
      </c>
      <c r="V6223">
        <v>-2.0762510000000001E-2</v>
      </c>
      <c r="W6223">
        <v>3.0566050000000001E-2</v>
      </c>
      <c r="X6223">
        <v>0.99931709999999996</v>
      </c>
      <c r="Y6223">
        <v>6.1576209999999999E-2</v>
      </c>
      <c r="Z6223">
        <v>-0.171931</v>
      </c>
      <c r="AA6223">
        <v>0.98318269999999997</v>
      </c>
      <c r="AB6223">
        <v>25</v>
      </c>
      <c r="AC6223">
        <v>3.7200000000012702E-2</v>
      </c>
      <c r="AD6223">
        <v>-0.13221469999999999</v>
      </c>
      <c r="AE6223">
        <v>0.500440000000001</v>
      </c>
      <c r="AF6223">
        <v>4.3962742561733999E-2</v>
      </c>
      <c r="AG6223">
        <v>-0.13221469999999999</v>
      </c>
      <c r="AH6223">
        <v>0.46718332182530897</v>
      </c>
      <c r="AI6223">
        <v>105.735667354794</v>
      </c>
      <c r="AJ6223">
        <v>84.624200521396105</v>
      </c>
      <c r="AK6223">
        <v>0.48751790307779402</v>
      </c>
    </row>
    <row r="6224" spans="1:37" x14ac:dyDescent="0.2">
      <c r="A6224" t="str">
        <f>"20200111160340068"</f>
        <v>20200111160340068</v>
      </c>
      <c r="B6224" t="str">
        <f>"1578729820059233"</f>
        <v>1578729820059233</v>
      </c>
      <c r="C6224" t="s">
        <v>37</v>
      </c>
      <c r="D6224">
        <v>4.6105219999999996</v>
      </c>
      <c r="E6224">
        <v>0.54781650000000004</v>
      </c>
      <c r="F6224" t="s">
        <v>42</v>
      </c>
      <c r="G6224">
        <v>-188.59599999999901</v>
      </c>
      <c r="H6224">
        <v>0.95341690000000001</v>
      </c>
      <c r="I6224">
        <v>17.457350000000002</v>
      </c>
      <c r="J6224">
        <v>-188.6454</v>
      </c>
      <c r="K6224">
        <v>1.1039369999999999</v>
      </c>
      <c r="L6224">
        <v>16.991239999999902</v>
      </c>
      <c r="M6224">
        <v>-1.9588459999999999E-2</v>
      </c>
      <c r="N6224">
        <v>0</v>
      </c>
      <c r="O6224">
        <v>0.99976430000000005</v>
      </c>
      <c r="P6224">
        <v>-4.1032609999999997E-2</v>
      </c>
      <c r="Q6224">
        <v>2.176749E-2</v>
      </c>
      <c r="R6224">
        <v>0.99892069999999999</v>
      </c>
      <c r="S6224">
        <v>0.18640139999999999</v>
      </c>
      <c r="T6224">
        <v>-0.6345326</v>
      </c>
      <c r="U6224">
        <v>3.0238339999999999</v>
      </c>
      <c r="V6224">
        <v>-2.145356E-2</v>
      </c>
      <c r="W6224">
        <v>3.1124639999999999E-2</v>
      </c>
      <c r="X6224">
        <v>0.99928519999999899</v>
      </c>
      <c r="Y6224">
        <v>7.9762609999999998E-2</v>
      </c>
      <c r="Z6224">
        <v>-0.20479739999999999</v>
      </c>
      <c r="AA6224">
        <v>0.975549</v>
      </c>
      <c r="AB6224">
        <v>25</v>
      </c>
      <c r="AC6224">
        <v>4.9400000000019803E-2</v>
      </c>
      <c r="AD6224">
        <v>-0.15052009999999999</v>
      </c>
      <c r="AE6224">
        <v>0.46611000000000402</v>
      </c>
      <c r="AF6224">
        <v>5.3050500667203897E-2</v>
      </c>
      <c r="AG6224">
        <v>-0.15052009999999999</v>
      </c>
      <c r="AH6224">
        <v>0.42157790798262801</v>
      </c>
      <c r="AI6224">
        <v>109.50649025039</v>
      </c>
      <c r="AJ6224">
        <v>82.827716040306598</v>
      </c>
      <c r="AK6224">
        <v>0.45077554128863301</v>
      </c>
    </row>
    <row r="6225" spans="1:37" x14ac:dyDescent="0.2">
      <c r="A6225" t="str">
        <f>"20200111160340090"</f>
        <v>20200111160340090</v>
      </c>
      <c r="B6225" t="str">
        <f>"1578729820079729"</f>
        <v>1578729820079729</v>
      </c>
      <c r="C6225" t="s">
        <v>37</v>
      </c>
      <c r="D6225">
        <v>4.5805559999999996</v>
      </c>
      <c r="E6225">
        <v>0.54971059999999905</v>
      </c>
      <c r="F6225" t="s">
        <v>42</v>
      </c>
      <c r="G6225">
        <v>-188.59739999999999</v>
      </c>
      <c r="H6225">
        <v>0.95114589999999999</v>
      </c>
      <c r="I6225">
        <v>17.683029999999999</v>
      </c>
      <c r="J6225">
        <v>-188.65020000000001</v>
      </c>
      <c r="K6225">
        <v>1.103917</v>
      </c>
      <c r="L6225">
        <v>17.24203</v>
      </c>
      <c r="M6225">
        <v>-1.9552119999999999E-2</v>
      </c>
      <c r="N6225">
        <v>0</v>
      </c>
      <c r="O6225">
        <v>0.99976849999999995</v>
      </c>
      <c r="P6225">
        <v>-4.2107180000000001E-2</v>
      </c>
      <c r="Q6225">
        <v>2.3264420000000001E-2</v>
      </c>
      <c r="R6225">
        <v>0.99884219999999901</v>
      </c>
      <c r="S6225">
        <v>0.20994570000000001</v>
      </c>
      <c r="T6225">
        <v>-0.6684331</v>
      </c>
      <c r="U6225">
        <v>3.0264279999999899</v>
      </c>
      <c r="V6225">
        <v>-2.256584E-2</v>
      </c>
      <c r="W6225">
        <v>3.2243679999999997E-2</v>
      </c>
      <c r="X6225">
        <v>0.99922529999999998</v>
      </c>
      <c r="Y6225">
        <v>8.7078409999999995E-2</v>
      </c>
      <c r="Z6225">
        <v>-0.21494869999999999</v>
      </c>
      <c r="AA6225">
        <v>0.97273549999999998</v>
      </c>
      <c r="AB6225">
        <v>25</v>
      </c>
      <c r="AC6225">
        <v>5.2800000000018998E-2</v>
      </c>
      <c r="AD6225">
        <v>-0.15277109999999899</v>
      </c>
      <c r="AE6225">
        <v>0.440999999999998</v>
      </c>
      <c r="AF6225">
        <v>5.4915633126565597E-2</v>
      </c>
      <c r="AG6225">
        <v>-0.15277109999999899</v>
      </c>
      <c r="AH6225">
        <v>0.39334623974427202</v>
      </c>
      <c r="AI6225">
        <v>111.039623015321</v>
      </c>
      <c r="AJ6225">
        <v>82.0522259144131</v>
      </c>
      <c r="AK6225">
        <v>0.42553025753506701</v>
      </c>
    </row>
    <row r="6226" spans="1:37" x14ac:dyDescent="0.2">
      <c r="A6226" t="str">
        <f>"20200111160340113"</f>
        <v>20200111160340113</v>
      </c>
      <c r="B6226" t="str">
        <f>"1578729820109008"</f>
        <v>1578729820109008</v>
      </c>
      <c r="C6226" t="s">
        <v>37</v>
      </c>
      <c r="D6226">
        <v>4.5718709999999998</v>
      </c>
      <c r="E6226">
        <v>0.55160529999999997</v>
      </c>
      <c r="F6226" t="s">
        <v>42</v>
      </c>
      <c r="G6226">
        <v>-188.5864</v>
      </c>
      <c r="H6226">
        <v>0.90648200000000001</v>
      </c>
      <c r="I6226">
        <v>18.118389999999899</v>
      </c>
      <c r="J6226">
        <v>-188.65549999999999</v>
      </c>
      <c r="K6226">
        <v>1.1038969999999999</v>
      </c>
      <c r="L6226">
        <v>17.512329999999999</v>
      </c>
      <c r="M6226">
        <v>-1.9513329999999999E-2</v>
      </c>
      <c r="N6226">
        <v>0</v>
      </c>
      <c r="O6226">
        <v>0.99977240000000001</v>
      </c>
      <c r="P6226">
        <v>-4.233489E-2</v>
      </c>
      <c r="Q6226">
        <v>2.447645E-2</v>
      </c>
      <c r="R6226">
        <v>0.99880360000000001</v>
      </c>
      <c r="S6226">
        <v>0.2206726</v>
      </c>
      <c r="T6226">
        <v>-0.68233840000000001</v>
      </c>
      <c r="U6226">
        <v>3.0286869999999899</v>
      </c>
      <c r="V6226">
        <v>-2.2832970000000001E-2</v>
      </c>
      <c r="W6226">
        <v>3.3102020000000003E-2</v>
      </c>
      <c r="X6226">
        <v>0.9991911</v>
      </c>
      <c r="Y6226">
        <v>9.0351529999999999E-2</v>
      </c>
      <c r="Z6226">
        <v>-0.2189933</v>
      </c>
      <c r="AA6226">
        <v>0.97153409999999996</v>
      </c>
      <c r="AB6226">
        <v>25</v>
      </c>
      <c r="AC6226">
        <v>6.9099999999991696E-2</v>
      </c>
      <c r="AD6226">
        <v>-0.19741499999999901</v>
      </c>
      <c r="AE6226">
        <v>0.60605999999999904</v>
      </c>
      <c r="AF6226">
        <v>7.3242031838490207E-2</v>
      </c>
      <c r="AG6226">
        <v>-0.19741499999999901</v>
      </c>
      <c r="AH6226">
        <v>0.54727376043226605</v>
      </c>
      <c r="AI6226">
        <v>109.673837118986</v>
      </c>
      <c r="AJ6226">
        <v>82.377359068603695</v>
      </c>
      <c r="AK6226">
        <v>0.58638353175247304</v>
      </c>
    </row>
    <row r="6227" spans="1:37" x14ac:dyDescent="0.2">
      <c r="A6227" t="str">
        <f>"20200111160340156"</f>
        <v>20200111160340156</v>
      </c>
      <c r="B6227" t="str">
        <f>"1578729820149026"</f>
        <v>1578729820149026</v>
      </c>
      <c r="C6227" t="s">
        <v>37</v>
      </c>
      <c r="D6227">
        <v>4.5182549999999999</v>
      </c>
      <c r="E6227">
        <v>0.55301999999999996</v>
      </c>
      <c r="F6227" t="s">
        <v>42</v>
      </c>
      <c r="G6227">
        <v>-188.59059999999999</v>
      </c>
      <c r="H6227">
        <v>0.91238589999999997</v>
      </c>
      <c r="I6227">
        <v>18.350449999999999</v>
      </c>
      <c r="J6227">
        <v>-188.66499999999999</v>
      </c>
      <c r="K6227">
        <v>1.103877</v>
      </c>
      <c r="L6227">
        <v>18.002749999999999</v>
      </c>
      <c r="M6227">
        <v>-1.9442930000000001E-2</v>
      </c>
      <c r="N6227">
        <v>0</v>
      </c>
      <c r="O6227">
        <v>0.99977819999999995</v>
      </c>
      <c r="P6227">
        <v>-4.1864949999999998E-2</v>
      </c>
      <c r="Q6227">
        <v>2.6338520000000001E-2</v>
      </c>
      <c r="R6227">
        <v>0.99877609999999994</v>
      </c>
      <c r="S6227">
        <v>0.2343597</v>
      </c>
      <c r="T6227">
        <v>-0.69246399999999997</v>
      </c>
      <c r="U6227">
        <v>3.0304869999999999</v>
      </c>
      <c r="V6227">
        <v>-2.2433640000000001E-2</v>
      </c>
      <c r="W6227">
        <v>3.4439249999999998E-2</v>
      </c>
      <c r="X6227">
        <v>0.99915499999999902</v>
      </c>
      <c r="Y6227">
        <v>9.4551529999999995E-2</v>
      </c>
      <c r="Z6227">
        <v>-0.22187939999999901</v>
      </c>
      <c r="AA6227">
        <v>0.97047899999999998</v>
      </c>
      <c r="AB6227">
        <v>26</v>
      </c>
      <c r="AC6227">
        <v>7.4399999999997093E-2</v>
      </c>
      <c r="AD6227">
        <v>-0.191491099999999</v>
      </c>
      <c r="AE6227">
        <v>0.34769999999999901</v>
      </c>
      <c r="AF6227">
        <v>6.2902710627923894E-2</v>
      </c>
      <c r="AG6227">
        <v>-0.191491099999999</v>
      </c>
      <c r="AH6227">
        <v>0.26835602930617802</v>
      </c>
      <c r="AI6227">
        <v>124.789275374536</v>
      </c>
      <c r="AJ6227">
        <v>76.808019878848697</v>
      </c>
      <c r="AK6227">
        <v>0.33561965205948302</v>
      </c>
    </row>
    <row r="6228" spans="1:37" x14ac:dyDescent="0.2">
      <c r="A6228" t="str">
        <f>"20200111160340179"</f>
        <v>20200111160340179</v>
      </c>
      <c r="B6228" t="str">
        <f>"1578729820169521"</f>
        <v>1578729820169521</v>
      </c>
      <c r="C6228" t="s">
        <v>37</v>
      </c>
      <c r="D6228">
        <v>4.5028680000000003</v>
      </c>
      <c r="E6228">
        <v>0.55351600000000001</v>
      </c>
      <c r="F6228" t="s">
        <v>42</v>
      </c>
      <c r="G6228">
        <v>-188.59889999999999</v>
      </c>
      <c r="H6228">
        <v>0.91763830000000002</v>
      </c>
      <c r="I6228">
        <v>18.814150000000001</v>
      </c>
      <c r="J6228">
        <v>-188.67019999999999</v>
      </c>
      <c r="K6228">
        <v>1.1038699999999999</v>
      </c>
      <c r="L6228">
        <v>18.27045</v>
      </c>
      <c r="M6228">
        <v>-1.9404499999999901E-2</v>
      </c>
      <c r="N6228">
        <v>0</v>
      </c>
      <c r="O6228">
        <v>0.99978069999999897</v>
      </c>
      <c r="P6228">
        <v>-4.1263670000000002E-2</v>
      </c>
      <c r="Q6228">
        <v>2.7045280000000001E-2</v>
      </c>
      <c r="R6228">
        <v>0.99878219999999995</v>
      </c>
      <c r="S6228">
        <v>0.24636839999999999</v>
      </c>
      <c r="T6228">
        <v>-0.69600079999999998</v>
      </c>
      <c r="U6228">
        <v>3.032349</v>
      </c>
      <c r="V6228">
        <v>-2.1870609999999999E-2</v>
      </c>
      <c r="W6228">
        <v>3.4916759999999998E-2</v>
      </c>
      <c r="X6228">
        <v>0.99915089999999995</v>
      </c>
      <c r="Y6228">
        <v>9.8269739999999994E-2</v>
      </c>
      <c r="Z6228">
        <v>-0.22275339999999999</v>
      </c>
      <c r="AA6228">
        <v>0.96990929999999997</v>
      </c>
      <c r="AB6228">
        <v>26</v>
      </c>
      <c r="AC6228">
        <v>7.1300000000007899E-2</v>
      </c>
      <c r="AD6228">
        <v>-0.1862317</v>
      </c>
      <c r="AE6228">
        <v>0.54370000000000096</v>
      </c>
      <c r="AF6228">
        <v>7.3374093975071705E-2</v>
      </c>
      <c r="AG6228">
        <v>-0.1862317</v>
      </c>
      <c r="AH6228">
        <v>0.48614198375316098</v>
      </c>
      <c r="AI6228">
        <v>110.74622146531399</v>
      </c>
      <c r="AJ6228">
        <v>81.417050108686894</v>
      </c>
      <c r="AK6228">
        <v>0.525737607670415</v>
      </c>
    </row>
    <row r="6229" spans="1:37" x14ac:dyDescent="0.2">
      <c r="A6229" t="str">
        <f>"20200111160340202"</f>
        <v>20200111160340202</v>
      </c>
      <c r="B6229" t="str">
        <f>"1578729820199777"</f>
        <v>1578729820199777</v>
      </c>
      <c r="C6229" t="s">
        <v>37</v>
      </c>
      <c r="D6229">
        <v>4.4650359999999996</v>
      </c>
      <c r="E6229">
        <v>0.55463390000000001</v>
      </c>
      <c r="F6229" t="s">
        <v>42</v>
      </c>
      <c r="G6229">
        <v>-188.6054</v>
      </c>
      <c r="H6229">
        <v>0.92482339999999996</v>
      </c>
      <c r="I6229">
        <v>19.049250000000001</v>
      </c>
      <c r="J6229">
        <v>-188.67529999999999</v>
      </c>
      <c r="K6229">
        <v>1.1038589999999999</v>
      </c>
      <c r="L6229">
        <v>18.536470000000001</v>
      </c>
      <c r="M6229">
        <v>-1.9366250000000002E-2</v>
      </c>
      <c r="N6229">
        <v>0</v>
      </c>
      <c r="O6229">
        <v>0.99978289999999903</v>
      </c>
      <c r="P6229">
        <v>-4.0710709999999997E-2</v>
      </c>
      <c r="Q6229">
        <v>2.719939E-2</v>
      </c>
      <c r="R6229">
        <v>0.99880069999999999</v>
      </c>
      <c r="S6229">
        <v>0.25212099999999998</v>
      </c>
      <c r="T6229">
        <v>-0.69727099999999997</v>
      </c>
      <c r="U6229">
        <v>3.032959</v>
      </c>
      <c r="V6229">
        <v>-2.1355610000000001E-2</v>
      </c>
      <c r="W6229">
        <v>3.488053E-2</v>
      </c>
      <c r="X6229">
        <v>0.99916329999999998</v>
      </c>
      <c r="Y6229">
        <v>0.10003719999999899</v>
      </c>
      <c r="Z6229">
        <v>-0.22306109999999901</v>
      </c>
      <c r="AA6229">
        <v>0.96965780000000001</v>
      </c>
      <c r="AB6229">
        <v>26</v>
      </c>
      <c r="AC6229">
        <v>6.9899999999989804E-2</v>
      </c>
      <c r="AD6229">
        <v>-0.17903559999999899</v>
      </c>
      <c r="AE6229">
        <v>0.51277999999999901</v>
      </c>
      <c r="AF6229">
        <v>7.1286284912593104E-2</v>
      </c>
      <c r="AG6229">
        <v>-0.17903559999999899</v>
      </c>
      <c r="AH6229">
        <v>0.45667530262209599</v>
      </c>
      <c r="AI6229">
        <v>111.173902643129</v>
      </c>
      <c r="AJ6229">
        <v>81.127819973458301</v>
      </c>
      <c r="AK6229">
        <v>0.49566905542809803</v>
      </c>
    </row>
    <row r="6230" spans="1:37" x14ac:dyDescent="0.2">
      <c r="A6230" t="str">
        <f>"20200111160340225"</f>
        <v>20200111160340225</v>
      </c>
      <c r="B6230" t="str">
        <f>"1578729820219297"</f>
        <v>1578729820219297</v>
      </c>
      <c r="C6230" t="s">
        <v>37</v>
      </c>
      <c r="D6230">
        <v>4.4746699999999997</v>
      </c>
      <c r="E6230">
        <v>0.55562109999999998</v>
      </c>
      <c r="F6230" t="s">
        <v>42</v>
      </c>
      <c r="G6230">
        <v>-188.6103</v>
      </c>
      <c r="H6230">
        <v>0.93125609999999903</v>
      </c>
      <c r="I6230">
        <v>19.284949999999998</v>
      </c>
      <c r="J6230">
        <v>-188.68029999999999</v>
      </c>
      <c r="K6230">
        <v>1.1038479999999999</v>
      </c>
      <c r="L6230">
        <v>18.79785</v>
      </c>
      <c r="M6230">
        <v>-1.9328660000000001E-2</v>
      </c>
      <c r="N6230">
        <v>0</v>
      </c>
      <c r="O6230">
        <v>0.99978480000000003</v>
      </c>
      <c r="P6230">
        <v>-4.049469E-2</v>
      </c>
      <c r="Q6230">
        <v>2.6994400000000002E-2</v>
      </c>
      <c r="R6230">
        <v>0.99881509999999996</v>
      </c>
      <c r="S6230">
        <v>0.26274109999999901</v>
      </c>
      <c r="T6230">
        <v>-0.69949700000000004</v>
      </c>
      <c r="U6230">
        <v>3.0333559999999999</v>
      </c>
      <c r="V6230">
        <v>-2.11772E-2</v>
      </c>
      <c r="W6230">
        <v>3.4525510000000002E-2</v>
      </c>
      <c r="X6230">
        <v>0.99917939999999905</v>
      </c>
      <c r="Y6230">
        <v>0.103347699999999</v>
      </c>
      <c r="Z6230">
        <v>-0.22364049999999999</v>
      </c>
      <c r="AA6230">
        <v>0.96917710000000001</v>
      </c>
      <c r="AB6230">
        <v>26</v>
      </c>
      <c r="AC6230">
        <v>6.9999999999993096E-2</v>
      </c>
      <c r="AD6230">
        <v>-0.17259189999999999</v>
      </c>
      <c r="AE6230">
        <v>0.48709999999999798</v>
      </c>
      <c r="AF6230">
        <v>7.0705024908883696E-2</v>
      </c>
      <c r="AG6230">
        <v>-0.17259189999999999</v>
      </c>
      <c r="AH6230">
        <v>0.43246062464200302</v>
      </c>
      <c r="AI6230">
        <v>111.497663988695</v>
      </c>
      <c r="AJ6230">
        <v>80.714596012805998</v>
      </c>
      <c r="AK6230">
        <v>0.47096640682614199</v>
      </c>
    </row>
    <row r="6231" spans="1:37" x14ac:dyDescent="0.2">
      <c r="A6231" t="str">
        <f>"20200111160340245"</f>
        <v>20200111160340245</v>
      </c>
      <c r="B6231" t="str">
        <f>"1578729820239795"</f>
        <v>1578729820239795</v>
      </c>
      <c r="C6231" t="s">
        <v>37</v>
      </c>
      <c r="D6231">
        <v>4.4584140000000003</v>
      </c>
      <c r="E6231">
        <v>0.55641600000000002</v>
      </c>
      <c r="F6231" t="s">
        <v>42</v>
      </c>
      <c r="G6231">
        <v>-188.61580000000001</v>
      </c>
      <c r="H6231">
        <v>0.9360347</v>
      </c>
      <c r="I6231">
        <v>19.520659999999999</v>
      </c>
      <c r="J6231">
        <v>-188.685</v>
      </c>
      <c r="K6231">
        <v>1.103847</v>
      </c>
      <c r="L6231">
        <v>19.0444</v>
      </c>
      <c r="M6231">
        <v>-1.9293210000000002E-2</v>
      </c>
      <c r="N6231">
        <v>0</v>
      </c>
      <c r="O6231">
        <v>0.99978630000000002</v>
      </c>
      <c r="P6231">
        <v>-4.0417509999999997E-2</v>
      </c>
      <c r="Q6231">
        <v>2.755558E-2</v>
      </c>
      <c r="R6231">
        <v>0.99880279999999999</v>
      </c>
      <c r="S6231">
        <v>0.27085879999999901</v>
      </c>
      <c r="T6231">
        <v>-0.70429459999999999</v>
      </c>
      <c r="U6231">
        <v>3.033569</v>
      </c>
      <c r="V6231">
        <v>-2.1135899999999999E-2</v>
      </c>
      <c r="W6231">
        <v>3.4972990000000002E-2</v>
      </c>
      <c r="X6231">
        <v>0.99916479999999996</v>
      </c>
      <c r="Y6231">
        <v>0.1058513</v>
      </c>
      <c r="Z6231">
        <v>-0.225026899999999</v>
      </c>
      <c r="AA6231">
        <v>0.96858580000000005</v>
      </c>
      <c r="AB6231">
        <v>26</v>
      </c>
      <c r="AC6231">
        <v>6.9199999999995002E-2</v>
      </c>
      <c r="AD6231">
        <v>-0.1678123</v>
      </c>
      <c r="AE6231">
        <v>0.47625999999999902</v>
      </c>
      <c r="AF6231">
        <v>6.9879534050910103E-2</v>
      </c>
      <c r="AG6231">
        <v>-0.1678123</v>
      </c>
      <c r="AH6231">
        <v>0.423361135048135</v>
      </c>
      <c r="AI6231">
        <v>111.35993480666301</v>
      </c>
      <c r="AJ6231">
        <v>80.627328232445507</v>
      </c>
      <c r="AK6231">
        <v>0.46073720055982897</v>
      </c>
    </row>
    <row r="6232" spans="1:37" x14ac:dyDescent="0.2">
      <c r="A6232" t="str">
        <f>"20200111160340269"</f>
        <v>20200111160340269</v>
      </c>
      <c r="B6232" t="str">
        <f>"1578729820259314"</f>
        <v>1578729820259314</v>
      </c>
      <c r="C6232" t="s">
        <v>37</v>
      </c>
      <c r="D6232">
        <v>4.452515</v>
      </c>
      <c r="E6232">
        <v>0.55705689999999997</v>
      </c>
      <c r="F6232" t="s">
        <v>42</v>
      </c>
      <c r="G6232">
        <v>-188.62</v>
      </c>
      <c r="H6232">
        <v>0.93841359999999996</v>
      </c>
      <c r="I6232">
        <v>19.756070000000001</v>
      </c>
      <c r="J6232">
        <v>-188.6901</v>
      </c>
      <c r="K6232">
        <v>1.103844</v>
      </c>
      <c r="L6232">
        <v>19.308720000000001</v>
      </c>
      <c r="M6232">
        <v>-1.925545E-2</v>
      </c>
      <c r="N6232">
        <v>0</v>
      </c>
      <c r="O6232">
        <v>0.9997878</v>
      </c>
      <c r="P6232">
        <v>-4.0415199999999998E-2</v>
      </c>
      <c r="Q6232">
        <v>2.7191070000000001E-2</v>
      </c>
      <c r="R6232">
        <v>0.9988129</v>
      </c>
      <c r="S6232">
        <v>0.2771149</v>
      </c>
      <c r="T6232">
        <v>-0.70533939999999995</v>
      </c>
      <c r="U6232">
        <v>3.0342709999999999</v>
      </c>
      <c r="V6232">
        <v>-2.1171499999999999E-2</v>
      </c>
      <c r="W6232">
        <v>3.4510739999999998E-2</v>
      </c>
      <c r="X6232">
        <v>0.99918009999999902</v>
      </c>
      <c r="Y6232">
        <v>0.1077698</v>
      </c>
      <c r="Z6232">
        <v>-0.22525149999999999</v>
      </c>
      <c r="AA6232">
        <v>0.96832199999999902</v>
      </c>
      <c r="AB6232">
        <v>26</v>
      </c>
      <c r="AC6232">
        <v>7.0099999999996498E-2</v>
      </c>
      <c r="AD6232">
        <v>-0.16543039999999901</v>
      </c>
      <c r="AE6232">
        <v>0.44735000000000003</v>
      </c>
      <c r="AF6232">
        <v>6.9433510014099004E-2</v>
      </c>
      <c r="AG6232">
        <v>-0.16543039999999901</v>
      </c>
      <c r="AH6232">
        <v>0.393407132230084</v>
      </c>
      <c r="AI6232">
        <v>112.494772528255</v>
      </c>
      <c r="AJ6232">
        <v>79.990788299575698</v>
      </c>
      <c r="AK6232">
        <v>0.432385708883326</v>
      </c>
    </row>
    <row r="6233" spans="1:37" x14ac:dyDescent="0.2">
      <c r="A6233" t="str">
        <f>"20200111160340291"</f>
        <v>20200111160340291</v>
      </c>
      <c r="B6233" t="str">
        <f>"1578729820279809"</f>
        <v>1578729820279809</v>
      </c>
      <c r="C6233" t="s">
        <v>37</v>
      </c>
      <c r="D6233">
        <v>4.4322660000000003</v>
      </c>
      <c r="E6233">
        <v>0.55763160000000001</v>
      </c>
      <c r="F6233" t="s">
        <v>42</v>
      </c>
      <c r="G6233">
        <v>-188.6266</v>
      </c>
      <c r="H6233">
        <v>0.94373439999999997</v>
      </c>
      <c r="I6233">
        <v>19.993590000000001</v>
      </c>
      <c r="J6233">
        <v>-188.6952</v>
      </c>
      <c r="K6233">
        <v>1.1038330000000001</v>
      </c>
      <c r="L6233">
        <v>19.576929999999901</v>
      </c>
      <c r="M6233">
        <v>-1.921695E-2</v>
      </c>
      <c r="N6233">
        <v>0</v>
      </c>
      <c r="O6233">
        <v>0.99978909999999999</v>
      </c>
      <c r="P6233">
        <v>-4.0398910000000003E-2</v>
      </c>
      <c r="Q6233">
        <v>2.7232220000000001E-2</v>
      </c>
      <c r="R6233">
        <v>0.99881239999999905</v>
      </c>
      <c r="S6233">
        <v>0.28158569999999999</v>
      </c>
      <c r="T6233">
        <v>-0.70935289999999995</v>
      </c>
      <c r="U6233">
        <v>3.0342709999999999</v>
      </c>
      <c r="V6233">
        <v>-2.119296E-2</v>
      </c>
      <c r="W6233">
        <v>3.4474049999999999E-2</v>
      </c>
      <c r="X6233">
        <v>0.99918090000000004</v>
      </c>
      <c r="Y6233">
        <v>0.109120699999999</v>
      </c>
      <c r="Z6233">
        <v>-0.22643629999999901</v>
      </c>
      <c r="AA6233">
        <v>0.96789429999999999</v>
      </c>
      <c r="AB6233">
        <v>26</v>
      </c>
      <c r="AC6233">
        <v>6.8600000000003505E-2</v>
      </c>
      <c r="AD6233">
        <v>-0.16009859999999901</v>
      </c>
      <c r="AE6233">
        <v>0.41666000000000297</v>
      </c>
      <c r="AF6233">
        <v>6.6968083771286102E-2</v>
      </c>
      <c r="AG6233">
        <v>-0.16009859999999901</v>
      </c>
      <c r="AH6233">
        <v>0.363074273546096</v>
      </c>
      <c r="AI6233">
        <v>113.44339159558901</v>
      </c>
      <c r="AJ6233">
        <v>79.549402123022901</v>
      </c>
      <c r="AK6233">
        <v>0.40241671694523701</v>
      </c>
    </row>
    <row r="6234" spans="1:37" x14ac:dyDescent="0.2">
      <c r="A6234" t="str">
        <f>"20200111160340314"</f>
        <v>20200111160340314</v>
      </c>
      <c r="B6234" t="str">
        <f>"1578729820309089"</f>
        <v>1578729820309089</v>
      </c>
      <c r="C6234" t="s">
        <v>37</v>
      </c>
      <c r="D6234">
        <v>4.3825859999999999</v>
      </c>
      <c r="E6234">
        <v>0.55831739999999996</v>
      </c>
      <c r="F6234" t="s">
        <v>42</v>
      </c>
      <c r="G6234">
        <v>-188.6131</v>
      </c>
      <c r="H6234">
        <v>0.90002409999999999</v>
      </c>
      <c r="I6234">
        <v>20.44699</v>
      </c>
      <c r="J6234">
        <v>-188.7004</v>
      </c>
      <c r="K6234">
        <v>1.1038209999999999</v>
      </c>
      <c r="L6234">
        <v>19.848329999999901</v>
      </c>
      <c r="M6234">
        <v>-1.917802E-2</v>
      </c>
      <c r="N6234">
        <v>0</v>
      </c>
      <c r="O6234">
        <v>0.99979030000000002</v>
      </c>
      <c r="P6234">
        <v>-4.0602510000000001E-2</v>
      </c>
      <c r="Q6234">
        <v>2.6624370000000001E-2</v>
      </c>
      <c r="R6234">
        <v>0.99882059999999995</v>
      </c>
      <c r="S6234">
        <v>0.2863464</v>
      </c>
      <c r="T6234">
        <v>-0.71083769999999902</v>
      </c>
      <c r="U6234">
        <v>3.03454599999999</v>
      </c>
      <c r="V6234">
        <v>-2.143596E-2</v>
      </c>
      <c r="W6234">
        <v>3.3804479999999998E-2</v>
      </c>
      <c r="X6234">
        <v>0.99919859999999905</v>
      </c>
      <c r="Y6234">
        <v>0.1105704</v>
      </c>
      <c r="Z6234">
        <v>-0.22683249999999999</v>
      </c>
      <c r="AA6234">
        <v>0.96763690000000002</v>
      </c>
      <c r="AB6234">
        <v>26</v>
      </c>
      <c r="AC6234">
        <v>8.7299999999999003E-2</v>
      </c>
      <c r="AD6234">
        <v>-0.203796899999999</v>
      </c>
      <c r="AE6234">
        <v>0.59866000000000197</v>
      </c>
      <c r="AF6234">
        <v>8.8700191940593601E-2</v>
      </c>
      <c r="AG6234">
        <v>-0.203796899999999</v>
      </c>
      <c r="AH6234">
        <v>0.536048112259911</v>
      </c>
      <c r="AI6234">
        <v>110.560247314674</v>
      </c>
      <c r="AJ6234">
        <v>80.604369244410705</v>
      </c>
      <c r="AK6234">
        <v>0.58030033530691905</v>
      </c>
    </row>
    <row r="6235" spans="1:37" x14ac:dyDescent="0.2">
      <c r="A6235" t="str">
        <f>"20200111160340337"</f>
        <v>20200111160340337</v>
      </c>
      <c r="B6235" t="str">
        <f>"1578729820329585"</f>
        <v>1578729820329585</v>
      </c>
      <c r="C6235" t="s">
        <v>37</v>
      </c>
      <c r="D6235">
        <v>4.3803780000000003</v>
      </c>
      <c r="E6235">
        <v>0.55876959999999998</v>
      </c>
      <c r="F6235" t="s">
        <v>42</v>
      </c>
      <c r="G6235">
        <v>-188.6198</v>
      </c>
      <c r="H6235">
        <v>0.90617530000000002</v>
      </c>
      <c r="I6235">
        <v>20.686779999999999</v>
      </c>
      <c r="J6235">
        <v>-188.70570000000001</v>
      </c>
      <c r="K6235">
        <v>1.1038139999999901</v>
      </c>
      <c r="L6235">
        <v>20.12604</v>
      </c>
      <c r="M6235">
        <v>-1.913803E-2</v>
      </c>
      <c r="N6235">
        <v>0</v>
      </c>
      <c r="O6235">
        <v>0.9997914</v>
      </c>
      <c r="P6235">
        <v>-4.0525190000000003E-2</v>
      </c>
      <c r="Q6235">
        <v>2.6355079999999999E-2</v>
      </c>
      <c r="R6235">
        <v>0.99883089999999997</v>
      </c>
      <c r="S6235">
        <v>0.29101559999999999</v>
      </c>
      <c r="T6235">
        <v>-0.71528840000000005</v>
      </c>
      <c r="U6235">
        <v>3.034424</v>
      </c>
      <c r="V6235">
        <v>-2.139808E-2</v>
      </c>
      <c r="W6235">
        <v>3.3485649999999999E-2</v>
      </c>
      <c r="X6235">
        <v>0.99921009999999999</v>
      </c>
      <c r="Y6235">
        <v>0.1119803</v>
      </c>
      <c r="Z6235">
        <v>-0.22815369999999999</v>
      </c>
      <c r="AA6235">
        <v>0.96716399999999902</v>
      </c>
      <c r="AB6235">
        <v>26</v>
      </c>
      <c r="AC6235">
        <v>8.5900000000009399E-2</v>
      </c>
      <c r="AD6235">
        <v>-0.197638699999999</v>
      </c>
      <c r="AE6235">
        <v>0.56073999999999902</v>
      </c>
      <c r="AF6235">
        <v>8.6158129869584599E-2</v>
      </c>
      <c r="AG6235">
        <v>-0.197638699999999</v>
      </c>
      <c r="AH6235">
        <v>0.49848697659734698</v>
      </c>
      <c r="AI6235">
        <v>111.339819990816</v>
      </c>
      <c r="AJ6235">
        <v>80.193919851404303</v>
      </c>
      <c r="AK6235">
        <v>0.54311467013649894</v>
      </c>
    </row>
    <row r="6236" spans="1:37" x14ac:dyDescent="0.2">
      <c r="A6236" t="str">
        <f>"20200111160340358"</f>
        <v>20200111160340358</v>
      </c>
      <c r="B6236" t="str">
        <f>"1578729820349105"</f>
        <v>1578729820349105</v>
      </c>
      <c r="C6236" t="s">
        <v>37</v>
      </c>
      <c r="D6236">
        <v>4.3213970000000002</v>
      </c>
      <c r="E6236">
        <v>0.55904540000000003</v>
      </c>
      <c r="F6236" t="s">
        <v>42</v>
      </c>
      <c r="G6236">
        <v>-188.6276</v>
      </c>
      <c r="H6236">
        <v>0.91435929999999999</v>
      </c>
      <c r="I6236">
        <v>20.9283</v>
      </c>
      <c r="J6236">
        <v>-188.71039999999999</v>
      </c>
      <c r="K6236">
        <v>1.103807</v>
      </c>
      <c r="L6236">
        <v>20.376950000000001</v>
      </c>
      <c r="M6236">
        <v>-1.9101799999999999E-2</v>
      </c>
      <c r="N6236">
        <v>0</v>
      </c>
      <c r="O6236">
        <v>0.99979229999999997</v>
      </c>
      <c r="P6236">
        <v>-4.0581289999999999E-2</v>
      </c>
      <c r="Q6236">
        <v>2.5968040000000001E-2</v>
      </c>
      <c r="R6236">
        <v>0.99883869999999897</v>
      </c>
      <c r="S6236">
        <v>0.29518129999999998</v>
      </c>
      <c r="T6236">
        <v>-0.71657720000000003</v>
      </c>
      <c r="U6236">
        <v>3.0343930000000001</v>
      </c>
      <c r="V6236">
        <v>-2.148986E-2</v>
      </c>
      <c r="W6236">
        <v>3.3063879999999997E-2</v>
      </c>
      <c r="X6236">
        <v>0.99922219999999995</v>
      </c>
      <c r="Y6236">
        <v>0.1132523</v>
      </c>
      <c r="Z6236">
        <v>-0.22851469999999999</v>
      </c>
      <c r="AA6236">
        <v>0.96693069999999903</v>
      </c>
      <c r="AB6236">
        <v>27</v>
      </c>
      <c r="AC6236">
        <v>8.27999999999917E-2</v>
      </c>
      <c r="AD6236">
        <v>-0.189447699999999</v>
      </c>
      <c r="AE6236">
        <v>0.55134999999999901</v>
      </c>
      <c r="AF6236">
        <v>8.3657675350556807E-2</v>
      </c>
      <c r="AG6236">
        <v>-0.189447699999999</v>
      </c>
      <c r="AH6236">
        <v>0.49277148188528402</v>
      </c>
      <c r="AI6236">
        <v>110.75821620139899</v>
      </c>
      <c r="AJ6236">
        <v>80.364778775646897</v>
      </c>
      <c r="AK6236">
        <v>0.53452106697469703</v>
      </c>
    </row>
    <row r="6237" spans="1:37" x14ac:dyDescent="0.2">
      <c r="A6237" t="str">
        <f>"20200111160340380"</f>
        <v>20200111160340380</v>
      </c>
      <c r="B6237" t="str">
        <f>"1578729820369601"</f>
        <v>1578729820369601</v>
      </c>
      <c r="C6237" t="s">
        <v>37</v>
      </c>
      <c r="D6237">
        <v>4.3374119999999996</v>
      </c>
      <c r="E6237">
        <v>0.55926949999999997</v>
      </c>
      <c r="F6237" t="s">
        <v>42</v>
      </c>
      <c r="G6237">
        <v>-188.6328</v>
      </c>
      <c r="H6237">
        <v>0.91641469999999903</v>
      </c>
      <c r="I6237">
        <v>21.168050000000001</v>
      </c>
      <c r="J6237">
        <v>-188.71530000000001</v>
      </c>
      <c r="K6237">
        <v>1.1037939999999999</v>
      </c>
      <c r="L6237">
        <v>20.633029999999899</v>
      </c>
      <c r="M6237">
        <v>-1.9064959999999999E-2</v>
      </c>
      <c r="N6237">
        <v>0</v>
      </c>
      <c r="O6237">
        <v>0.99979319999999905</v>
      </c>
      <c r="P6237">
        <v>-4.054576E-2</v>
      </c>
      <c r="Q6237">
        <v>2.5850209999999998E-2</v>
      </c>
      <c r="R6237">
        <v>0.99884329999999999</v>
      </c>
      <c r="S6237">
        <v>0.2975159</v>
      </c>
      <c r="T6237">
        <v>-0.71873819999999999</v>
      </c>
      <c r="U6237">
        <v>3.0342709999999999</v>
      </c>
      <c r="V6237">
        <v>-2.149187E-2</v>
      </c>
      <c r="W6237">
        <v>3.2920440000000002E-2</v>
      </c>
      <c r="X6237">
        <v>0.99922690000000003</v>
      </c>
      <c r="Y6237">
        <v>0.1139415</v>
      </c>
      <c r="Z6237">
        <v>-0.22915920000000001</v>
      </c>
      <c r="AA6237">
        <v>0.96669719999999904</v>
      </c>
      <c r="AB6237">
        <v>27</v>
      </c>
      <c r="AC6237">
        <v>8.2500000000010204E-2</v>
      </c>
      <c r="AD6237">
        <v>-0.1873793</v>
      </c>
      <c r="AE6237">
        <v>0.53502000000000205</v>
      </c>
      <c r="AF6237">
        <v>8.2768766279096101E-2</v>
      </c>
      <c r="AG6237">
        <v>-0.1873793</v>
      </c>
      <c r="AH6237">
        <v>0.476285497976006</v>
      </c>
      <c r="AI6237">
        <v>111.18676836575101</v>
      </c>
      <c r="AJ6237">
        <v>80.141607158525403</v>
      </c>
      <c r="AK6237">
        <v>0.51846846222514398</v>
      </c>
    </row>
    <row r="6238" spans="1:37" x14ac:dyDescent="0.2">
      <c r="A6238" t="str">
        <f>"20200111160340404"</f>
        <v>20200111160340404</v>
      </c>
      <c r="B6238" t="str">
        <f>"1578729820399857"</f>
        <v>1578729820399857</v>
      </c>
      <c r="C6238" t="s">
        <v>37</v>
      </c>
      <c r="D6238">
        <v>4.365056</v>
      </c>
      <c r="E6238">
        <v>0.55943969999999998</v>
      </c>
      <c r="F6238" t="s">
        <v>42</v>
      </c>
      <c r="G6238">
        <v>-188.6386</v>
      </c>
      <c r="H6238">
        <v>0.919651199999999</v>
      </c>
      <c r="I6238">
        <v>21.40907</v>
      </c>
      <c r="J6238">
        <v>-188.7209</v>
      </c>
      <c r="K6238">
        <v>1.10378</v>
      </c>
      <c r="L6238">
        <v>20.929349999999999</v>
      </c>
      <c r="M6238">
        <v>-1.9022239999999999E-2</v>
      </c>
      <c r="N6238">
        <v>0</v>
      </c>
      <c r="O6238">
        <v>0.99979419999999897</v>
      </c>
      <c r="P6238">
        <v>-4.0201559999999997E-2</v>
      </c>
      <c r="Q6238">
        <v>2.6100749999999999E-2</v>
      </c>
      <c r="R6238">
        <v>0.99885059999999903</v>
      </c>
      <c r="S6238">
        <v>0.29980469999999998</v>
      </c>
      <c r="T6238">
        <v>-0.71998130000000005</v>
      </c>
      <c r="U6238">
        <v>3.0342709999999999</v>
      </c>
      <c r="V6238">
        <v>-2.1189619999999999E-2</v>
      </c>
      <c r="W6238">
        <v>3.3153960000000003E-2</v>
      </c>
      <c r="X6238">
        <v>0.99922559999999905</v>
      </c>
      <c r="Y6238">
        <v>0.114612899999999</v>
      </c>
      <c r="Z6238">
        <v>-0.2295179</v>
      </c>
      <c r="AA6238">
        <v>0.96653269999999902</v>
      </c>
      <c r="AB6238">
        <v>27</v>
      </c>
      <c r="AC6238">
        <v>8.2300000000003495E-2</v>
      </c>
      <c r="AD6238">
        <v>-0.18412880000000001</v>
      </c>
      <c r="AE6238">
        <v>0.47971999999999998</v>
      </c>
      <c r="AF6238">
        <v>7.9966655021750793E-2</v>
      </c>
      <c r="AG6238">
        <v>-0.18412880000000001</v>
      </c>
      <c r="AH6238">
        <v>0.41821663915314899</v>
      </c>
      <c r="AI6238">
        <v>113.385450505696</v>
      </c>
      <c r="AJ6238">
        <v>79.175207929639498</v>
      </c>
      <c r="AK6238">
        <v>0.46390003036145899</v>
      </c>
    </row>
    <row r="6239" spans="1:37" x14ac:dyDescent="0.2">
      <c r="A6239" t="str">
        <f>"20200111160340424"</f>
        <v>20200111160340424</v>
      </c>
      <c r="B6239" t="str">
        <f>"1578729820419377"</f>
        <v>1578729820419377</v>
      </c>
      <c r="C6239" t="s">
        <v>37</v>
      </c>
      <c r="D6239">
        <v>4.3949049999999996</v>
      </c>
      <c r="E6239">
        <v>0.55951519999999899</v>
      </c>
      <c r="F6239" t="s">
        <v>42</v>
      </c>
      <c r="G6239">
        <v>-188.64850000000001</v>
      </c>
      <c r="H6239">
        <v>0.93169219999999897</v>
      </c>
      <c r="I6239">
        <v>21.654699999999998</v>
      </c>
      <c r="J6239">
        <v>-188.72540000000001</v>
      </c>
      <c r="K6239">
        <v>1.103772</v>
      </c>
      <c r="L6239">
        <v>21.166779999999999</v>
      </c>
      <c r="M6239">
        <v>-1.8988350000000001E-2</v>
      </c>
      <c r="N6239">
        <v>0</v>
      </c>
      <c r="O6239">
        <v>0.99979479999999998</v>
      </c>
      <c r="P6239">
        <v>-3.8988710000000003E-2</v>
      </c>
      <c r="Q6239">
        <v>2.6119070000000001E-2</v>
      </c>
      <c r="R6239">
        <v>0.99889819999999996</v>
      </c>
      <c r="S6239">
        <v>0.30236819999999998</v>
      </c>
      <c r="T6239">
        <v>-0.71991059999999996</v>
      </c>
      <c r="U6239">
        <v>3.034424</v>
      </c>
      <c r="V6239">
        <v>-2.0010340000000001E-2</v>
      </c>
      <c r="W6239">
        <v>3.3167309999999998E-2</v>
      </c>
      <c r="X6239">
        <v>0.99924950000000001</v>
      </c>
      <c r="Y6239">
        <v>0.11538419999999899</v>
      </c>
      <c r="Z6239">
        <v>-0.22946649999999999</v>
      </c>
      <c r="AA6239">
        <v>0.96645309999999995</v>
      </c>
      <c r="AB6239">
        <v>27</v>
      </c>
      <c r="AC6239">
        <v>7.6899999999994806E-2</v>
      </c>
      <c r="AD6239">
        <v>-0.1720798</v>
      </c>
      <c r="AE6239">
        <v>0.48791999999999902</v>
      </c>
      <c r="AF6239">
        <v>7.6826799126141404E-2</v>
      </c>
      <c r="AG6239">
        <v>-0.1720798</v>
      </c>
      <c r="AH6239">
        <v>0.43373051522147998</v>
      </c>
      <c r="AI6239">
        <v>111.33871725575899</v>
      </c>
      <c r="AJ6239">
        <v>79.955369410607304</v>
      </c>
      <c r="AK6239">
        <v>0.472901654116687</v>
      </c>
    </row>
    <row r="6240" spans="1:37" x14ac:dyDescent="0.2">
      <c r="A6240" t="str">
        <f>"20200111160340447"</f>
        <v>20200111160340447</v>
      </c>
      <c r="B6240" t="str">
        <f>"1578729820439874"</f>
        <v>1578729820439874</v>
      </c>
      <c r="C6240" t="s">
        <v>37</v>
      </c>
      <c r="D6240">
        <v>4.2281129999999996</v>
      </c>
      <c r="E6240">
        <v>0.55970450000000005</v>
      </c>
      <c r="F6240" t="s">
        <v>42</v>
      </c>
      <c r="G6240">
        <v>-188.65180000000001</v>
      </c>
      <c r="H6240">
        <v>0.93079199999999995</v>
      </c>
      <c r="I6240">
        <v>21.895389999999999</v>
      </c>
      <c r="J6240">
        <v>-188.73050000000001</v>
      </c>
      <c r="K6240">
        <v>1.1037629999999901</v>
      </c>
      <c r="L6240">
        <v>21.440950000000001</v>
      </c>
      <c r="M6240">
        <v>-1.894846E-2</v>
      </c>
      <c r="N6240">
        <v>0</v>
      </c>
      <c r="O6240">
        <v>0.99979560000000001</v>
      </c>
      <c r="P6240">
        <v>-3.7384170000000001E-2</v>
      </c>
      <c r="Q6240">
        <v>2.6713089999999998E-2</v>
      </c>
      <c r="R6240">
        <v>0.9989439</v>
      </c>
      <c r="S6240">
        <v>0.30651859999999997</v>
      </c>
      <c r="T6240">
        <v>-0.72033319999999901</v>
      </c>
      <c r="U6240">
        <v>3.034119</v>
      </c>
      <c r="V6240">
        <v>-1.844471E-2</v>
      </c>
      <c r="W6240">
        <v>3.376444E-2</v>
      </c>
      <c r="X6240">
        <v>0.99925959999999903</v>
      </c>
      <c r="Y6240">
        <v>0.1166601</v>
      </c>
      <c r="Z6240">
        <v>-0.22958409999999899</v>
      </c>
      <c r="AA6240">
        <v>0.96627199999999902</v>
      </c>
      <c r="AB6240">
        <v>27</v>
      </c>
      <c r="AC6240">
        <v>7.8699999999997702E-2</v>
      </c>
      <c r="AD6240">
        <v>-0.17297099999999899</v>
      </c>
      <c r="AE6240">
        <v>0.45443999999999801</v>
      </c>
      <c r="AF6240">
        <v>7.6532259690437601E-2</v>
      </c>
      <c r="AG6240">
        <v>-0.17297099999999899</v>
      </c>
      <c r="AH6240">
        <v>0.397023217239312</v>
      </c>
      <c r="AI6240">
        <v>113.16095578002501</v>
      </c>
      <c r="AJ6240">
        <v>79.089196709806998</v>
      </c>
      <c r="AK6240">
        <v>0.43977674863659899</v>
      </c>
    </row>
    <row r="6241" spans="1:37" x14ac:dyDescent="0.2">
      <c r="A6241" t="str">
        <f>"20200111160340470"</f>
        <v>20200111160340470</v>
      </c>
      <c r="B6241" t="str">
        <f>"1578729820459393"</f>
        <v>1578729820459393</v>
      </c>
      <c r="C6241" t="s">
        <v>37</v>
      </c>
      <c r="D6241">
        <v>4.2347109999999999</v>
      </c>
      <c r="E6241">
        <v>0.55987810000000005</v>
      </c>
      <c r="F6241" t="s">
        <v>42</v>
      </c>
      <c r="G6241">
        <v>-188.6583</v>
      </c>
      <c r="H6241">
        <v>0.93803939999999997</v>
      </c>
      <c r="I6241">
        <v>22.14049</v>
      </c>
      <c r="J6241">
        <v>-188.73570000000001</v>
      </c>
      <c r="K6241">
        <v>1.103758</v>
      </c>
      <c r="L6241">
        <v>21.715699999999998</v>
      </c>
      <c r="M6241">
        <v>-1.890114E-2</v>
      </c>
      <c r="N6241">
        <v>0</v>
      </c>
      <c r="O6241">
        <v>0.99979640000000003</v>
      </c>
      <c r="P6241">
        <v>-3.5788229999999997E-2</v>
      </c>
      <c r="Q6241">
        <v>2.708313E-2</v>
      </c>
      <c r="R6241">
        <v>0.99899230000000006</v>
      </c>
      <c r="S6241">
        <v>0.31295780000000001</v>
      </c>
      <c r="T6241">
        <v>-0.71878769999999903</v>
      </c>
      <c r="U6241">
        <v>3.034119</v>
      </c>
      <c r="V6241">
        <v>-1.6894940000000001E-2</v>
      </c>
      <c r="W6241">
        <v>3.4148070000000003E-2</v>
      </c>
      <c r="X6241">
        <v>0.999274</v>
      </c>
      <c r="Y6241">
        <v>0.11865489999999999</v>
      </c>
      <c r="Z6241">
        <v>-0.229067299999999</v>
      </c>
      <c r="AA6241">
        <v>0.96615169999999995</v>
      </c>
      <c r="AB6241">
        <v>27</v>
      </c>
      <c r="AC6241">
        <v>7.7400000000011404E-2</v>
      </c>
      <c r="AD6241">
        <v>-0.16571859999999899</v>
      </c>
      <c r="AE6241">
        <v>0.424790000000001</v>
      </c>
      <c r="AF6241">
        <v>7.4448890869287507E-2</v>
      </c>
      <c r="AG6241">
        <v>-0.16571859999999899</v>
      </c>
      <c r="AH6241">
        <v>0.368909837255888</v>
      </c>
      <c r="AI6241">
        <v>113.765550363099</v>
      </c>
      <c r="AJ6241">
        <v>78.590505522478395</v>
      </c>
      <c r="AK6241">
        <v>0.41121741179307197</v>
      </c>
    </row>
    <row r="6242" spans="1:37" x14ac:dyDescent="0.2">
      <c r="A6242" t="str">
        <f>"20200111160340492"</f>
        <v>20200111160340492</v>
      </c>
      <c r="B6242" t="str">
        <f>"1578729820489649"</f>
        <v>1578729820489649</v>
      </c>
      <c r="C6242" t="s">
        <v>37</v>
      </c>
      <c r="D6242">
        <v>4.3341149999999997</v>
      </c>
      <c r="E6242">
        <v>0.55993319999999902</v>
      </c>
      <c r="F6242" t="s">
        <v>42</v>
      </c>
      <c r="G6242">
        <v>-188.6421</v>
      </c>
      <c r="H6242">
        <v>0.89258719999999903</v>
      </c>
      <c r="I6242">
        <v>22.607229999999898</v>
      </c>
      <c r="J6242">
        <v>-188.74080000000001</v>
      </c>
      <c r="K6242">
        <v>1.1037429999999999</v>
      </c>
      <c r="L6242">
        <v>21.99146</v>
      </c>
      <c r="M6242">
        <v>-1.8834969999999999E-2</v>
      </c>
      <c r="N6242">
        <v>0</v>
      </c>
      <c r="O6242">
        <v>0.99979750000000001</v>
      </c>
      <c r="P6242">
        <v>-3.4693599999999998E-2</v>
      </c>
      <c r="Q6242">
        <v>2.626274E-2</v>
      </c>
      <c r="R6242">
        <v>0.99905290000000002</v>
      </c>
      <c r="S6242">
        <v>0.3175964</v>
      </c>
      <c r="T6242">
        <v>-0.71859810000000002</v>
      </c>
      <c r="U6242">
        <v>3.0338750000000001</v>
      </c>
      <c r="V6242">
        <v>-1.5865190000000001E-2</v>
      </c>
      <c r="W6242">
        <v>3.3350789999999998E-2</v>
      </c>
      <c r="X6242">
        <v>0.99931780000000003</v>
      </c>
      <c r="Y6242">
        <v>0.12006019999999901</v>
      </c>
      <c r="Z6242">
        <v>-0.22899130000000001</v>
      </c>
      <c r="AA6242">
        <v>0.96599609999999902</v>
      </c>
      <c r="AB6242">
        <v>27</v>
      </c>
      <c r="AC6242">
        <v>9.8700000000008004E-2</v>
      </c>
      <c r="AD6242">
        <v>-0.2111558</v>
      </c>
      <c r="AE6242">
        <v>0.61576999999999704</v>
      </c>
      <c r="AF6242">
        <v>9.8938111913366905E-2</v>
      </c>
      <c r="AG6242">
        <v>-0.2111558</v>
      </c>
      <c r="AH6242">
        <v>0.55067052933607696</v>
      </c>
      <c r="AI6242">
        <v>110.676958590165</v>
      </c>
      <c r="AJ6242">
        <v>79.814428451116598</v>
      </c>
      <c r="AK6242">
        <v>0.59800798802515798</v>
      </c>
    </row>
    <row r="6243" spans="1:37" x14ac:dyDescent="0.2">
      <c r="A6243" t="str">
        <f>"20200111160340515"</f>
        <v>20200111160340515</v>
      </c>
      <c r="B6243" t="str">
        <f>"1578729820509169"</f>
        <v>1578729820509169</v>
      </c>
      <c r="C6243" t="s">
        <v>37</v>
      </c>
      <c r="D6243">
        <v>4.170147</v>
      </c>
      <c r="E6243">
        <v>0.56006709999999904</v>
      </c>
      <c r="F6243" t="s">
        <v>42</v>
      </c>
      <c r="G6243">
        <v>-188.65010000000001</v>
      </c>
      <c r="H6243">
        <v>0.89820359999999999</v>
      </c>
      <c r="I6243">
        <v>22.853200000000001</v>
      </c>
      <c r="J6243">
        <v>-188.74590000000001</v>
      </c>
      <c r="K6243">
        <v>1.1037139999999901</v>
      </c>
      <c r="L6243">
        <v>22.26736</v>
      </c>
      <c r="M6243">
        <v>-1.8750019999999999E-2</v>
      </c>
      <c r="N6243">
        <v>0</v>
      </c>
      <c r="O6243">
        <v>0.99979879999999999</v>
      </c>
      <c r="P6243">
        <v>-3.4469779999999998E-2</v>
      </c>
      <c r="Q6243">
        <v>2.422583E-2</v>
      </c>
      <c r="R6243">
        <v>0.99911209999999995</v>
      </c>
      <c r="S6243">
        <v>0.31942749999999998</v>
      </c>
      <c r="T6243">
        <v>-0.7234062</v>
      </c>
      <c r="U6243">
        <v>3.032959</v>
      </c>
      <c r="V6243">
        <v>-1.572469E-2</v>
      </c>
      <c r="W6243">
        <v>3.1345779999999997E-2</v>
      </c>
      <c r="X6243">
        <v>0.99938490000000002</v>
      </c>
      <c r="Y6243">
        <v>0.12054569999999901</v>
      </c>
      <c r="Z6243">
        <v>-0.23049410000000001</v>
      </c>
      <c r="AA6243">
        <v>0.96557819999999905</v>
      </c>
      <c r="AB6243">
        <v>27</v>
      </c>
      <c r="AC6243">
        <v>9.5799999999996999E-2</v>
      </c>
      <c r="AD6243">
        <v>-0.20551039999999901</v>
      </c>
      <c r="AE6243">
        <v>0.58584000000000003</v>
      </c>
      <c r="AF6243">
        <v>9.5341041903587206E-2</v>
      </c>
      <c r="AG6243">
        <v>-0.20551039999999901</v>
      </c>
      <c r="AH6243">
        <v>0.52144408803877396</v>
      </c>
      <c r="AI6243">
        <v>111.190849313138</v>
      </c>
      <c r="AJ6243">
        <v>79.6384695581838</v>
      </c>
      <c r="AK6243">
        <v>0.56853177196178795</v>
      </c>
    </row>
    <row r="6244" spans="1:37" x14ac:dyDescent="0.2">
      <c r="A6244" t="str">
        <f>"20200111160340539"</f>
        <v>20200111160340539</v>
      </c>
      <c r="B6244" t="str">
        <f>"1578729820529665"</f>
        <v>1578729820529665</v>
      </c>
      <c r="C6244" t="s">
        <v>37</v>
      </c>
      <c r="D6244">
        <v>4.2791379999999997</v>
      </c>
      <c r="E6244">
        <v>0.5600058</v>
      </c>
      <c r="F6244" t="s">
        <v>42</v>
      </c>
      <c r="G6244">
        <v>-188.65809999999999</v>
      </c>
      <c r="H6244">
        <v>0.90316620000000003</v>
      </c>
      <c r="I6244">
        <v>23.09958</v>
      </c>
      <c r="J6244">
        <v>-188.75139999999999</v>
      </c>
      <c r="K6244">
        <v>1.1036790000000001</v>
      </c>
      <c r="L6244">
        <v>22.567720000000001</v>
      </c>
      <c r="M6244">
        <v>-1.8621099999999901E-2</v>
      </c>
      <c r="N6244">
        <v>0</v>
      </c>
      <c r="O6244">
        <v>0.99980100000000005</v>
      </c>
      <c r="P6244">
        <v>-3.5941510000000003E-2</v>
      </c>
      <c r="Q6244">
        <v>2.1347640000000001E-2</v>
      </c>
      <c r="R6244">
        <v>0.99912579999999995</v>
      </c>
      <c r="S6244">
        <v>0.3195038</v>
      </c>
      <c r="T6244">
        <v>-0.73049600000000003</v>
      </c>
      <c r="U6244">
        <v>3.0314030000000001</v>
      </c>
      <c r="V6244">
        <v>-1.7323519999999999E-2</v>
      </c>
      <c r="W6244">
        <v>2.850654E-2</v>
      </c>
      <c r="X6244">
        <v>0.99944349999999904</v>
      </c>
      <c r="Y6244">
        <v>0.12043719999999999</v>
      </c>
      <c r="Z6244">
        <v>-0.232744799999999</v>
      </c>
      <c r="AA6244">
        <v>0.96505169999999996</v>
      </c>
      <c r="AB6244">
        <v>27</v>
      </c>
      <c r="AC6244">
        <v>9.3299999999999203E-2</v>
      </c>
      <c r="AD6244">
        <v>-0.20051279999999999</v>
      </c>
      <c r="AE6244">
        <v>0.531859999999998</v>
      </c>
      <c r="AF6244">
        <v>9.0683698068605698E-2</v>
      </c>
      <c r="AG6244">
        <v>-0.20051279999999999</v>
      </c>
      <c r="AH6244">
        <v>0.46580188312512699</v>
      </c>
      <c r="AI6244">
        <v>112.905764633491</v>
      </c>
      <c r="AJ6244">
        <v>78.983290639333205</v>
      </c>
      <c r="AK6244">
        <v>0.51517017613809102</v>
      </c>
    </row>
    <row r="6245" spans="1:37" x14ac:dyDescent="0.2">
      <c r="A6245" t="str">
        <f>"20200111160340558"</f>
        <v>20200111160340558</v>
      </c>
      <c r="B6245" t="str">
        <f>"1578729820549185"</f>
        <v>1578729820549185</v>
      </c>
      <c r="C6245" t="s">
        <v>37</v>
      </c>
      <c r="D6245">
        <v>4.2684870000000004</v>
      </c>
      <c r="E6245">
        <v>0.53638969999999997</v>
      </c>
      <c r="F6245" t="s">
        <v>42</v>
      </c>
      <c r="G6245">
        <v>-188.6703</v>
      </c>
      <c r="H6245">
        <v>0.9131724</v>
      </c>
      <c r="I6245">
        <v>23.348569999999999</v>
      </c>
      <c r="J6245">
        <v>-188.75579999999999</v>
      </c>
      <c r="K6245">
        <v>1.10364</v>
      </c>
      <c r="L6245">
        <v>22.805910000000001</v>
      </c>
      <c r="M6245">
        <v>-1.8477540000000001E-2</v>
      </c>
      <c r="N6245">
        <v>0</v>
      </c>
      <c r="O6245">
        <v>0.99980340000000001</v>
      </c>
      <c r="P6245">
        <v>-3.8614959999999997E-2</v>
      </c>
      <c r="Q6245">
        <v>1.794538E-2</v>
      </c>
      <c r="R6245">
        <v>0.99909300000000001</v>
      </c>
      <c r="S6245">
        <v>0.31465149999999997</v>
      </c>
      <c r="T6245">
        <v>-0.73915509999999995</v>
      </c>
      <c r="U6245">
        <v>3.0297239999999999</v>
      </c>
      <c r="V6245">
        <v>-2.0139899999999999E-2</v>
      </c>
      <c r="W6245">
        <v>2.5138890000000001E-2</v>
      </c>
      <c r="X6245">
        <v>0.99948110000000001</v>
      </c>
      <c r="Y6245">
        <v>0.1187525</v>
      </c>
      <c r="Z6245">
        <v>-0.23551630000000001</v>
      </c>
      <c r="AA6245">
        <v>0.96458790000000005</v>
      </c>
      <c r="AB6245">
        <v>27</v>
      </c>
      <c r="AC6245">
        <v>8.5499999999996107E-2</v>
      </c>
      <c r="AD6245">
        <v>-0.19046759999999999</v>
      </c>
      <c r="AE6245">
        <v>0.54266000000000103</v>
      </c>
      <c r="AF6245">
        <v>8.5263266642955998E-2</v>
      </c>
      <c r="AG6245">
        <v>-0.19046759999999999</v>
      </c>
      <c r="AH6245">
        <v>0.48293439125633397</v>
      </c>
      <c r="AI6245">
        <v>111.22565596973099</v>
      </c>
      <c r="AJ6245">
        <v>79.987469664233501</v>
      </c>
      <c r="AK6245">
        <v>0.52609253705646997</v>
      </c>
    </row>
    <row r="6246" spans="1:37" x14ac:dyDescent="0.2">
      <c r="A6246" t="str">
        <f>"20200111160340581"</f>
        <v>20200111160340581</v>
      </c>
      <c r="B6246" t="str">
        <f>"1578729820569681"</f>
        <v>1578729820569681</v>
      </c>
      <c r="C6246" t="s">
        <v>37</v>
      </c>
      <c r="D6246">
        <v>4.3269449999999896</v>
      </c>
      <c r="E6246">
        <v>0.51284890000000005</v>
      </c>
      <c r="F6246" t="s">
        <v>42</v>
      </c>
      <c r="G6246">
        <v>-188.71979999999999</v>
      </c>
      <c r="H6246">
        <v>0.95994619999999997</v>
      </c>
      <c r="I6246">
        <v>23.615489999999902</v>
      </c>
      <c r="J6246">
        <v>-188.76050000000001</v>
      </c>
      <c r="K6246">
        <v>1.103577</v>
      </c>
      <c r="L6246">
        <v>23.073729999999902</v>
      </c>
      <c r="M6246">
        <v>-1.825566E-2</v>
      </c>
      <c r="N6246">
        <v>0</v>
      </c>
      <c r="O6246">
        <v>0.99980720000000001</v>
      </c>
      <c r="P6246">
        <v>-4.1850930000000001E-2</v>
      </c>
      <c r="Q6246">
        <v>1.477115E-2</v>
      </c>
      <c r="R6246">
        <v>0.99901469999999903</v>
      </c>
      <c r="S6246">
        <v>0.13356019999999999</v>
      </c>
      <c r="T6246">
        <v>-0.53556680000000001</v>
      </c>
      <c r="U6246">
        <v>3.0175169999999998</v>
      </c>
      <c r="V6246">
        <v>-2.3596789999999999E-2</v>
      </c>
      <c r="W6246">
        <v>2.20079E-2</v>
      </c>
      <c r="X6246">
        <v>0.99947929999999996</v>
      </c>
      <c r="Y6246">
        <v>6.177071E-2</v>
      </c>
      <c r="Z6246">
        <v>-0.17446110000000001</v>
      </c>
      <c r="AA6246">
        <v>0.98272459999999995</v>
      </c>
      <c r="AB6246">
        <v>27</v>
      </c>
      <c r="AC6246">
        <v>4.0700000000015203E-2</v>
      </c>
      <c r="AD6246">
        <v>-0.1436308</v>
      </c>
      <c r="AE6246">
        <v>0.54176000000000002</v>
      </c>
      <c r="AF6246">
        <v>4.7279154191189998E-2</v>
      </c>
      <c r="AG6246">
        <v>-0.1436308</v>
      </c>
      <c r="AH6246">
        <v>0.50558925984126302</v>
      </c>
      <c r="AI6246">
        <v>105.793656860109</v>
      </c>
      <c r="AJ6246">
        <v>84.657637647872505</v>
      </c>
      <c r="AK6246">
        <v>0.52771737208141101</v>
      </c>
    </row>
    <row r="6247" spans="1:37" x14ac:dyDescent="0.2">
      <c r="A6247" t="str">
        <f>"20200111160340604"</f>
        <v>20200111160340604</v>
      </c>
      <c r="B6247" t="str">
        <f>"1578729820599937"</f>
        <v>1578729820599937</v>
      </c>
      <c r="C6247" t="s">
        <v>37</v>
      </c>
      <c r="D6247">
        <v>4.4628620000000003</v>
      </c>
      <c r="E6247">
        <v>0.51158019999999904</v>
      </c>
      <c r="F6247" t="s">
        <v>42</v>
      </c>
      <c r="G6247">
        <v>-188.7724</v>
      </c>
      <c r="H6247">
        <v>1.031701</v>
      </c>
      <c r="I6247">
        <v>23.896650000000001</v>
      </c>
      <c r="J6247">
        <v>-188.7655</v>
      </c>
      <c r="K6247">
        <v>1.10349599999999</v>
      </c>
      <c r="L6247">
        <v>23.362880000000001</v>
      </c>
      <c r="M6247">
        <v>-1.7929589999999999E-2</v>
      </c>
      <c r="N6247">
        <v>0</v>
      </c>
      <c r="O6247">
        <v>0.99981279999999995</v>
      </c>
      <c r="P6247">
        <v>-4.4594519999999999E-2</v>
      </c>
      <c r="Q6247">
        <v>1.2224459999999999E-2</v>
      </c>
      <c r="R6247">
        <v>0.9989304</v>
      </c>
      <c r="S6247">
        <v>-4.3670649999999998E-2</v>
      </c>
      <c r="T6247">
        <v>-0.26245009999999902</v>
      </c>
      <c r="U6247">
        <v>3.0050050000000001</v>
      </c>
      <c r="V6247">
        <v>-2.6665379999999999E-2</v>
      </c>
      <c r="W6247">
        <v>1.9512669999999999E-2</v>
      </c>
      <c r="X6247">
        <v>0.99945399999999995</v>
      </c>
      <c r="Y6247">
        <v>3.4544829999999999E-3</v>
      </c>
      <c r="Z6247">
        <v>-8.6980719999999997E-2</v>
      </c>
      <c r="AA6247">
        <v>0.99620399999999998</v>
      </c>
      <c r="AB6247">
        <v>27</v>
      </c>
      <c r="AC6247">
        <v>-6.90000000000168E-3</v>
      </c>
      <c r="AD6247">
        <v>-7.1794999999999803E-2</v>
      </c>
      <c r="AE6247">
        <v>0.53376999999999997</v>
      </c>
      <c r="AF6247">
        <v>2.6241717211762899E-3</v>
      </c>
      <c r="AG6247">
        <v>-7.1794999999999803E-2</v>
      </c>
      <c r="AH6247">
        <v>0.52432357520068495</v>
      </c>
      <c r="AI6247">
        <v>97.796857727719001</v>
      </c>
      <c r="AJ6247">
        <v>89.713244423712396</v>
      </c>
      <c r="AK6247">
        <v>0.52922265617927799</v>
      </c>
    </row>
    <row r="6248" spans="1:37" x14ac:dyDescent="0.2">
      <c r="A6248" t="str">
        <f>"20200111160340660"</f>
        <v>20200111160340660</v>
      </c>
      <c r="B6248" t="str">
        <f>"1578729820649714"</f>
        <v>1578729820649714</v>
      </c>
      <c r="C6248" t="s">
        <v>37</v>
      </c>
      <c r="D6248">
        <v>4.4751640000000004</v>
      </c>
      <c r="E6248">
        <v>0.51135059999999999</v>
      </c>
      <c r="F6248" t="s">
        <v>42</v>
      </c>
      <c r="G6248">
        <v>-188.78110000000001</v>
      </c>
      <c r="H6248">
        <v>1.0365839999999999</v>
      </c>
      <c r="I6248">
        <v>24.147279999999999</v>
      </c>
      <c r="J6248">
        <v>-188.7764</v>
      </c>
      <c r="K6248">
        <v>1.1032919999999999</v>
      </c>
      <c r="L6248">
        <v>24.0488</v>
      </c>
      <c r="M6248">
        <v>-1.672626E-2</v>
      </c>
      <c r="N6248">
        <v>0</v>
      </c>
      <c r="O6248">
        <v>0.99983279999999997</v>
      </c>
      <c r="P6248">
        <v>-4.4565319999999999E-2</v>
      </c>
      <c r="Q6248">
        <v>1.014632E-2</v>
      </c>
      <c r="R6248">
        <v>0.99895499999999904</v>
      </c>
      <c r="S6248">
        <v>-6.0302729999999999E-2</v>
      </c>
      <c r="T6248">
        <v>-0.25619819999999999</v>
      </c>
      <c r="U6248">
        <v>3.0036619999999998</v>
      </c>
      <c r="V6248">
        <v>-2.7831599999999901E-2</v>
      </c>
      <c r="W6248">
        <v>1.7563220000000001E-2</v>
      </c>
      <c r="X6248">
        <v>0.99945830000000002</v>
      </c>
      <c r="Y6248">
        <v>-3.2736140000000002E-3</v>
      </c>
      <c r="Z6248">
        <v>-8.4960179999999996E-2</v>
      </c>
      <c r="AA6248">
        <v>0.99637900000000001</v>
      </c>
      <c r="AB6248">
        <v>28</v>
      </c>
      <c r="AC6248">
        <v>-4.7000000000139101E-3</v>
      </c>
      <c r="AD6248">
        <v>-6.6707999999999906E-2</v>
      </c>
      <c r="AE6248">
        <v>9.8479999999998499E-2</v>
      </c>
      <c r="AF6248">
        <v>-2.0936373025842499E-3</v>
      </c>
      <c r="AG6248">
        <v>-6.6707999999999906E-2</v>
      </c>
      <c r="AH6248">
        <v>6.7598525476500707E-2</v>
      </c>
      <c r="AI6248">
        <v>134.60637101587599</v>
      </c>
      <c r="AJ6248">
        <v>91.773977267463593</v>
      </c>
      <c r="AK6248">
        <v>9.4994216812140098E-2</v>
      </c>
    </row>
    <row r="6249" spans="1:37" x14ac:dyDescent="0.2">
      <c r="A6249" t="str">
        <f>"20200111160340681"</f>
        <v>20200111160340681</v>
      </c>
      <c r="B6249" t="str">
        <f>"1578729820670209"</f>
        <v>1578729820670209</v>
      </c>
      <c r="C6249" t="s">
        <v>37</v>
      </c>
      <c r="D6249">
        <v>4.559469</v>
      </c>
      <c r="E6249">
        <v>0.51165430000000001</v>
      </c>
      <c r="F6249" t="s">
        <v>42</v>
      </c>
      <c r="G6249">
        <v>-188.7936</v>
      </c>
      <c r="H6249">
        <v>1.0281169999999999</v>
      </c>
      <c r="I6249">
        <v>24.888020000000001</v>
      </c>
      <c r="J6249">
        <v>-188.78030000000001</v>
      </c>
      <c r="K6249">
        <v>1.103232</v>
      </c>
      <c r="L6249">
        <v>24.326999999999899</v>
      </c>
      <c r="M6249">
        <v>-1.6088950000000001E-2</v>
      </c>
      <c r="N6249">
        <v>0</v>
      </c>
      <c r="O6249">
        <v>0.99984289999999998</v>
      </c>
      <c r="P6249">
        <v>-4.1767819999999997E-2</v>
      </c>
      <c r="Q6249">
        <v>1.108312E-2</v>
      </c>
      <c r="R6249">
        <v>0.99906589999999995</v>
      </c>
      <c r="S6249">
        <v>-6.1965939999999997E-2</v>
      </c>
      <c r="T6249">
        <v>-0.26899729999999999</v>
      </c>
      <c r="U6249">
        <v>3.0031129999999999</v>
      </c>
      <c r="V6249">
        <v>-2.566645E-2</v>
      </c>
      <c r="W6249">
        <v>1.8552019999999999E-2</v>
      </c>
      <c r="X6249">
        <v>0.99949840000000001</v>
      </c>
      <c r="Y6249">
        <v>-4.4586469999999996E-3</v>
      </c>
      <c r="Z6249">
        <v>-8.9188519999999993E-2</v>
      </c>
      <c r="AA6249">
        <v>0.99600480000000002</v>
      </c>
      <c r="AB6249">
        <v>28</v>
      </c>
      <c r="AC6249">
        <v>-1.3299999999986699E-2</v>
      </c>
      <c r="AD6249">
        <v>-7.5115000000000001E-2</v>
      </c>
      <c r="AE6249">
        <v>0.56102000000000196</v>
      </c>
      <c r="AF6249">
        <v>-4.1966173989101503E-3</v>
      </c>
      <c r="AG6249">
        <v>-7.5115000000000001E-2</v>
      </c>
      <c r="AH6249">
        <v>0.55128429595963202</v>
      </c>
      <c r="AI6249">
        <v>97.758808420671699</v>
      </c>
      <c r="AJ6249">
        <v>90.4361521315099</v>
      </c>
      <c r="AK6249">
        <v>0.55639396994782397</v>
      </c>
    </row>
    <row r="6250" spans="1:37" x14ac:dyDescent="0.2">
      <c r="A6250" t="str">
        <f>"20200111160340704"</f>
        <v>20200111160340704</v>
      </c>
      <c r="B6250" t="str">
        <f>"1578729820699490"</f>
        <v>1578729820699490</v>
      </c>
      <c r="C6250" t="s">
        <v>37</v>
      </c>
      <c r="D6250">
        <v>4.5028769999999998</v>
      </c>
      <c r="E6250">
        <v>0.51194470000000003</v>
      </c>
      <c r="F6250" t="s">
        <v>42</v>
      </c>
      <c r="G6250">
        <v>-188.79419999999999</v>
      </c>
      <c r="H6250">
        <v>1.0309489999999999</v>
      </c>
      <c r="I6250">
        <v>25.139279999999999</v>
      </c>
      <c r="J6250">
        <v>-188.7841</v>
      </c>
      <c r="K6250">
        <v>1.103183</v>
      </c>
      <c r="L6250">
        <v>24.609159999999999</v>
      </c>
      <c r="M6250">
        <v>-1.5365129999999999E-2</v>
      </c>
      <c r="N6250">
        <v>0</v>
      </c>
      <c r="O6250">
        <v>0.99985389999999996</v>
      </c>
      <c r="P6250">
        <v>-3.8002880000000003E-2</v>
      </c>
      <c r="Q6250">
        <v>1.2111780000000001E-2</v>
      </c>
      <c r="R6250">
        <v>0.99920419999999999</v>
      </c>
      <c r="S6250">
        <v>-5.1666259999999999E-2</v>
      </c>
      <c r="T6250">
        <v>-0.26726469999999902</v>
      </c>
      <c r="U6250">
        <v>3.00360099999999</v>
      </c>
      <c r="V6250">
        <v>-2.2619460000000001E-2</v>
      </c>
      <c r="W6250">
        <v>1.9630430000000001E-2</v>
      </c>
      <c r="X6250">
        <v>0.99955139999999998</v>
      </c>
      <c r="Y6250">
        <v>-1.765916E-3</v>
      </c>
      <c r="Z6250">
        <v>-8.8609019999999997E-2</v>
      </c>
      <c r="AA6250">
        <v>0.99606489999999903</v>
      </c>
      <c r="AB6250">
        <v>28</v>
      </c>
      <c r="AC6250">
        <v>-1.00999999999942E-2</v>
      </c>
      <c r="AD6250">
        <v>-7.2234000000000104E-2</v>
      </c>
      <c r="AE6250">
        <v>0.53012000000000004</v>
      </c>
      <c r="AF6250">
        <v>-1.9176253796470001E-3</v>
      </c>
      <c r="AG6250">
        <v>-7.2234000000000104E-2</v>
      </c>
      <c r="AH6250">
        <v>0.52055119172702302</v>
      </c>
      <c r="AI6250">
        <v>97.900114785506105</v>
      </c>
      <c r="AJ6250">
        <v>90.211067318028199</v>
      </c>
      <c r="AK6250">
        <v>0.52554254942061596</v>
      </c>
    </row>
    <row r="6251" spans="1:37" x14ac:dyDescent="0.2">
      <c r="A6251" t="str">
        <f>"20200111160340726"</f>
        <v>20200111160340726</v>
      </c>
      <c r="B6251" t="str">
        <f>"1578729820719986"</f>
        <v>1578729820719986</v>
      </c>
      <c r="C6251" t="s">
        <v>37</v>
      </c>
      <c r="D6251">
        <v>4.5056849999999997</v>
      </c>
      <c r="E6251">
        <v>0.51151099999999905</v>
      </c>
      <c r="F6251" t="s">
        <v>42</v>
      </c>
      <c r="G6251">
        <v>-188.79400000000001</v>
      </c>
      <c r="H6251">
        <v>1.0378609999999999</v>
      </c>
      <c r="I6251">
        <v>25.394179999999999</v>
      </c>
      <c r="J6251">
        <v>-188.7877</v>
      </c>
      <c r="K6251">
        <v>1.103135</v>
      </c>
      <c r="L6251">
        <v>24.897089999999999</v>
      </c>
      <c r="M6251">
        <v>-1.4542859999999999E-2</v>
      </c>
      <c r="N6251">
        <v>0</v>
      </c>
      <c r="O6251">
        <v>0.99986580000000003</v>
      </c>
      <c r="P6251">
        <v>-3.4147049999999998E-2</v>
      </c>
      <c r="Q6251">
        <v>1.2061570000000001E-2</v>
      </c>
      <c r="R6251">
        <v>0.99934409999999896</v>
      </c>
      <c r="S6251">
        <v>-3.805542E-2</v>
      </c>
      <c r="T6251">
        <v>-0.2499517</v>
      </c>
      <c r="U6251">
        <v>3.0039669999999998</v>
      </c>
      <c r="V6251">
        <v>-1.9581359999999999E-2</v>
      </c>
      <c r="W6251">
        <v>1.96309E-2</v>
      </c>
      <c r="X6251">
        <v>0.99961559999999905</v>
      </c>
      <c r="Y6251">
        <v>1.9196860000000001E-3</v>
      </c>
      <c r="Z6251">
        <v>-8.2904149999999996E-2</v>
      </c>
      <c r="AA6251">
        <v>0.99655569999999905</v>
      </c>
      <c r="AB6251">
        <v>28</v>
      </c>
      <c r="AC6251">
        <v>-6.3000000000101803E-3</v>
      </c>
      <c r="AD6251">
        <v>-6.5273999999999804E-2</v>
      </c>
      <c r="AE6251">
        <v>0.49708999999999998</v>
      </c>
      <c r="AF6251">
        <v>9.1422089859514403E-4</v>
      </c>
      <c r="AG6251">
        <v>-6.5273999999999804E-2</v>
      </c>
      <c r="AH6251">
        <v>0.48870373281908203</v>
      </c>
      <c r="AI6251">
        <v>97.607704421612297</v>
      </c>
      <c r="AJ6251">
        <v>89.892816579020106</v>
      </c>
      <c r="AK6251">
        <v>0.49304449023100899</v>
      </c>
    </row>
    <row r="6252" spans="1:37" x14ac:dyDescent="0.2">
      <c r="A6252" t="str">
        <f>"20200111160340748"</f>
        <v>20200111160340748</v>
      </c>
      <c r="B6252" t="str">
        <f>"1578729820739506"</f>
        <v>1578729820739506</v>
      </c>
      <c r="C6252" t="s">
        <v>37</v>
      </c>
      <c r="D6252">
        <v>4.5362460000000002</v>
      </c>
      <c r="E6252">
        <v>0.51086880000000001</v>
      </c>
      <c r="F6252" t="s">
        <v>42</v>
      </c>
      <c r="G6252">
        <v>-188.79499999999999</v>
      </c>
      <c r="H6252">
        <v>1.0421959999999999</v>
      </c>
      <c r="I6252">
        <v>25.648759999999999</v>
      </c>
      <c r="J6252">
        <v>-188.79069999999999</v>
      </c>
      <c r="K6252">
        <v>1.1030930000000001</v>
      </c>
      <c r="L6252">
        <v>25.1647</v>
      </c>
      <c r="M6252">
        <v>-1.37156E-2</v>
      </c>
      <c r="N6252">
        <v>0</v>
      </c>
      <c r="O6252">
        <v>0.99987709999999996</v>
      </c>
      <c r="P6252">
        <v>-3.0532739999999999E-2</v>
      </c>
      <c r="Q6252">
        <v>1.197528E-2</v>
      </c>
      <c r="R6252">
        <v>0.99946199999999996</v>
      </c>
      <c r="S6252">
        <v>-2.9876710000000001E-2</v>
      </c>
      <c r="T6252">
        <v>-0.24348209999999901</v>
      </c>
      <c r="U6252">
        <v>3.003876</v>
      </c>
      <c r="V6252">
        <v>-1.6790969999999999E-2</v>
      </c>
      <c r="W6252">
        <v>1.9592769999999999E-2</v>
      </c>
      <c r="X6252">
        <v>0.99966699999999997</v>
      </c>
      <c r="Y6252">
        <v>3.8031929999999999E-3</v>
      </c>
      <c r="Z6252">
        <v>-8.0777370000000001E-2</v>
      </c>
      <c r="AA6252">
        <v>0.99672490000000002</v>
      </c>
      <c r="AB6252">
        <v>28</v>
      </c>
      <c r="AC6252">
        <v>-4.3000000000006297E-3</v>
      </c>
      <c r="AD6252">
        <v>-6.0897000000000201E-2</v>
      </c>
      <c r="AE6252">
        <v>0.48405999999999899</v>
      </c>
      <c r="AF6252">
        <v>2.3033179702343799E-3</v>
      </c>
      <c r="AG6252">
        <v>-6.0897000000000201E-2</v>
      </c>
      <c r="AH6252">
        <v>0.47653205641483198</v>
      </c>
      <c r="AI6252">
        <v>97.282388261460099</v>
      </c>
      <c r="AJ6252">
        <v>89.723062973246996</v>
      </c>
      <c r="AK6252">
        <v>0.48041289603175802</v>
      </c>
    </row>
    <row r="6253" spans="1:37" x14ac:dyDescent="0.2">
      <c r="A6253" t="str">
        <f>"20200111160340771"</f>
        <v>20200111160340771</v>
      </c>
      <c r="B6253" t="str">
        <f>"1578729820759025"</f>
        <v>1578729820759025</v>
      </c>
      <c r="C6253" t="s">
        <v>37</v>
      </c>
      <c r="D6253">
        <v>4.5374489999999996</v>
      </c>
      <c r="E6253">
        <v>0.51040459999999999</v>
      </c>
      <c r="F6253" t="s">
        <v>42</v>
      </c>
      <c r="G6253">
        <v>-188.79650000000001</v>
      </c>
      <c r="H6253">
        <v>1.0447879999999901</v>
      </c>
      <c r="I6253">
        <v>25.902619999999999</v>
      </c>
      <c r="J6253">
        <v>-188.7936</v>
      </c>
      <c r="K6253">
        <v>1.1030530000000001</v>
      </c>
      <c r="L6253">
        <v>25.445620000000002</v>
      </c>
      <c r="M6253">
        <v>-1.280187E-2</v>
      </c>
      <c r="N6253">
        <v>0</v>
      </c>
      <c r="O6253">
        <v>0.99988880000000002</v>
      </c>
      <c r="P6253">
        <v>-2.8122870000000001E-2</v>
      </c>
      <c r="Q6253">
        <v>1.2048059999999999E-2</v>
      </c>
      <c r="R6253">
        <v>0.99953189999999903</v>
      </c>
      <c r="S6253">
        <v>-2.3529049999999999E-2</v>
      </c>
      <c r="T6253">
        <v>-0.23733470000000001</v>
      </c>
      <c r="U6253">
        <v>3.0037539999999998</v>
      </c>
      <c r="V6253">
        <v>-1.529176E-2</v>
      </c>
      <c r="W6253">
        <v>1.971672E-2</v>
      </c>
      <c r="X6253">
        <v>0.99968869999999899</v>
      </c>
      <c r="Y6253">
        <v>4.9938489999999999E-3</v>
      </c>
      <c r="Z6253">
        <v>-7.8755859999999997E-2</v>
      </c>
      <c r="AA6253">
        <v>0.99688140000000003</v>
      </c>
      <c r="AB6253">
        <v>28</v>
      </c>
      <c r="AC6253">
        <v>-2.9000000000110001E-3</v>
      </c>
      <c r="AD6253">
        <v>-5.8265000000000199E-2</v>
      </c>
      <c r="AE6253">
        <v>0.45700000000000002</v>
      </c>
      <c r="AF6253">
        <v>2.9036666043804702E-3</v>
      </c>
      <c r="AG6253">
        <v>-5.8265000000000199E-2</v>
      </c>
      <c r="AH6253">
        <v>0.44969031780052199</v>
      </c>
      <c r="AI6253">
        <v>97.382358630395004</v>
      </c>
      <c r="AJ6253">
        <v>89.630044226272503</v>
      </c>
      <c r="AK6253">
        <v>0.45345851345882099</v>
      </c>
    </row>
    <row r="6254" spans="1:37" x14ac:dyDescent="0.2">
      <c r="A6254" t="str">
        <f>"20200111160340794"</f>
        <v>20200111160340794</v>
      </c>
      <c r="B6254" t="str">
        <f>"1578729820789281"</f>
        <v>1578729820789281</v>
      </c>
      <c r="C6254" t="s">
        <v>37</v>
      </c>
      <c r="D6254">
        <v>4.646763</v>
      </c>
      <c r="E6254">
        <v>0.50961319999999999</v>
      </c>
      <c r="F6254" t="s">
        <v>42</v>
      </c>
      <c r="G6254">
        <v>-188.7997</v>
      </c>
      <c r="H6254">
        <v>1.0299179999999999</v>
      </c>
      <c r="I6254">
        <v>26.39753</v>
      </c>
      <c r="J6254">
        <v>-188.7963</v>
      </c>
      <c r="K6254">
        <v>1.103019</v>
      </c>
      <c r="L6254">
        <v>25.742739999999898</v>
      </c>
      <c r="M6254">
        <v>-1.180486E-2</v>
      </c>
      <c r="N6254">
        <v>0</v>
      </c>
      <c r="O6254">
        <v>0.99990069999999998</v>
      </c>
      <c r="P6254">
        <v>-2.6340800000000001E-2</v>
      </c>
      <c r="Q6254">
        <v>1.200765E-2</v>
      </c>
      <c r="R6254">
        <v>0.99958089999999999</v>
      </c>
      <c r="S6254">
        <v>-1.9363399999999999E-2</v>
      </c>
      <c r="T6254">
        <v>-0.23075589999999899</v>
      </c>
      <c r="U6254">
        <v>3.0036320000000001</v>
      </c>
      <c r="V6254">
        <v>-1.450474E-2</v>
      </c>
      <c r="W6254">
        <v>1.9729590000000002E-2</v>
      </c>
      <c r="X6254">
        <v>0.99970009999999998</v>
      </c>
      <c r="Y6254">
        <v>5.377827E-3</v>
      </c>
      <c r="Z6254">
        <v>-7.6590599999999995E-2</v>
      </c>
      <c r="AA6254">
        <v>0.99704809999999999</v>
      </c>
      <c r="AB6254">
        <v>28</v>
      </c>
      <c r="AC6254">
        <v>-3.3999999999991802E-3</v>
      </c>
      <c r="AD6254">
        <v>-7.3100999999999805E-2</v>
      </c>
      <c r="AE6254">
        <v>0.65479000000000198</v>
      </c>
      <c r="AF6254">
        <v>4.27686655000333E-3</v>
      </c>
      <c r="AG6254">
        <v>-7.3100999999999805E-2</v>
      </c>
      <c r="AH6254">
        <v>0.64672423206595198</v>
      </c>
      <c r="AI6254">
        <v>96.448786337464995</v>
      </c>
      <c r="AJ6254">
        <v>89.621101516591807</v>
      </c>
      <c r="AK6254">
        <v>0.650856574161913</v>
      </c>
    </row>
    <row r="6255" spans="1:37" x14ac:dyDescent="0.2">
      <c r="A6255" t="str">
        <f>"20200111160340816"</f>
        <v>20200111160340816</v>
      </c>
      <c r="B6255" t="str">
        <f>"1578729820809778"</f>
        <v>1578729820809778</v>
      </c>
      <c r="C6255" t="s">
        <v>37</v>
      </c>
      <c r="D6255">
        <v>4.6753359999999997</v>
      </c>
      <c r="E6255">
        <v>0.50915559999999904</v>
      </c>
      <c r="F6255" t="s">
        <v>42</v>
      </c>
      <c r="G6255">
        <v>-188.8021</v>
      </c>
      <c r="H6255">
        <v>1.034967</v>
      </c>
      <c r="I6255">
        <v>26.65352</v>
      </c>
      <c r="J6255">
        <v>-188.79859999999999</v>
      </c>
      <c r="K6255">
        <v>1.1029979999999999</v>
      </c>
      <c r="L6255">
        <v>26.018460000000001</v>
      </c>
      <c r="M6255">
        <v>-1.086263E-2</v>
      </c>
      <c r="N6255">
        <v>0</v>
      </c>
      <c r="O6255">
        <v>0.99991099999999999</v>
      </c>
      <c r="P6255">
        <v>-2.4955390000000001E-2</v>
      </c>
      <c r="Q6255">
        <v>1.166435E-2</v>
      </c>
      <c r="R6255">
        <v>0.99962050000000002</v>
      </c>
      <c r="S6255">
        <v>-1.9943240000000001E-2</v>
      </c>
      <c r="T6255">
        <v>-0.22435450000000001</v>
      </c>
      <c r="U6255">
        <v>3.0034179999999999</v>
      </c>
      <c r="V6255">
        <v>-1.406054E-2</v>
      </c>
      <c r="W6255">
        <v>1.9432580000000001E-2</v>
      </c>
      <c r="X6255">
        <v>0.9997123</v>
      </c>
      <c r="Y6255">
        <v>4.241524E-3</v>
      </c>
      <c r="Z6255">
        <v>-7.4484449999999994E-2</v>
      </c>
      <c r="AA6255">
        <v>0.99721309999999996</v>
      </c>
      <c r="AB6255">
        <v>28</v>
      </c>
      <c r="AC6255">
        <v>-3.5000000000024998E-3</v>
      </c>
      <c r="AD6255">
        <v>-6.8030999999999897E-2</v>
      </c>
      <c r="AE6255">
        <v>0.63505999999999896</v>
      </c>
      <c r="AF6255">
        <v>3.3602744913417801E-3</v>
      </c>
      <c r="AG6255">
        <v>-6.8030999999999897E-2</v>
      </c>
      <c r="AH6255">
        <v>0.627855602757596</v>
      </c>
      <c r="AI6255">
        <v>96.184042787828901</v>
      </c>
      <c r="AJ6255">
        <v>89.693356709267306</v>
      </c>
      <c r="AK6255">
        <v>0.63153952079007802</v>
      </c>
    </row>
    <row r="6256" spans="1:37" x14ac:dyDescent="0.2">
      <c r="A6256" t="str">
        <f>"20200111160340840"</f>
        <v>20200111160340840</v>
      </c>
      <c r="B6256" t="str">
        <f>"1578729820829297"</f>
        <v>1578729820829297</v>
      </c>
      <c r="C6256" t="s">
        <v>37</v>
      </c>
      <c r="D6256">
        <v>4.6049739999999897</v>
      </c>
      <c r="E6256">
        <v>0.50868259999999998</v>
      </c>
      <c r="F6256" t="s">
        <v>42</v>
      </c>
      <c r="G6256">
        <v>-188.80410000000001</v>
      </c>
      <c r="H6256">
        <v>1.0379479999999901</v>
      </c>
      <c r="I6256">
        <v>26.910129999999999</v>
      </c>
      <c r="J6256">
        <v>-188.80070000000001</v>
      </c>
      <c r="K6256">
        <v>1.1029799999999901</v>
      </c>
      <c r="L6256">
        <v>26.316590000000001</v>
      </c>
      <c r="M6256">
        <v>-9.8331389999999994E-3</v>
      </c>
      <c r="N6256">
        <v>0</v>
      </c>
      <c r="O6256">
        <v>0.99992130000000001</v>
      </c>
      <c r="P6256">
        <v>-2.439123E-2</v>
      </c>
      <c r="Q6256">
        <v>1.1328070000000001E-2</v>
      </c>
      <c r="R6256">
        <v>0.99963829999999998</v>
      </c>
      <c r="S6256">
        <v>-1.901245E-2</v>
      </c>
      <c r="T6256">
        <v>-0.2190685</v>
      </c>
      <c r="U6256">
        <v>3.0032349999999899</v>
      </c>
      <c r="V6256">
        <v>-1.45253999999999E-2</v>
      </c>
      <c r="W6256">
        <v>1.9146529999999998E-2</v>
      </c>
      <c r="X6256">
        <v>0.99971119999999902</v>
      </c>
      <c r="Y6256">
        <v>3.5197900000000001E-3</v>
      </c>
      <c r="Z6256">
        <v>-7.2744660000000003E-2</v>
      </c>
      <c r="AA6256">
        <v>0.99734439999999902</v>
      </c>
      <c r="AB6256">
        <v>28</v>
      </c>
      <c r="AC6256">
        <v>-3.3999999999991802E-3</v>
      </c>
      <c r="AD6256">
        <v>-6.5031999999999895E-2</v>
      </c>
      <c r="AE6256">
        <v>0.59353999999999696</v>
      </c>
      <c r="AF6256">
        <v>2.4077987135615098E-3</v>
      </c>
      <c r="AG6256">
        <v>-6.5031999999999895E-2</v>
      </c>
      <c r="AH6256">
        <v>0.586504114048361</v>
      </c>
      <c r="AI6256">
        <v>96.327099223510899</v>
      </c>
      <c r="AJ6256">
        <v>89.764782674366202</v>
      </c>
      <c r="AK6256">
        <v>0.59010340984805199</v>
      </c>
    </row>
    <row r="6257" spans="1:37" x14ac:dyDescent="0.2">
      <c r="A6257" t="str">
        <f>"20200111160340862"</f>
        <v>20200111160340862</v>
      </c>
      <c r="B6257" t="str">
        <f>"1578729820859553"</f>
        <v>1578729820859553</v>
      </c>
      <c r="C6257" t="s">
        <v>37</v>
      </c>
      <c r="D6257">
        <v>4.6167980000000002</v>
      </c>
      <c r="E6257">
        <v>0.50821729999999998</v>
      </c>
      <c r="F6257" t="s">
        <v>42</v>
      </c>
      <c r="G6257">
        <v>-188.8065</v>
      </c>
      <c r="H6257">
        <v>1.041207</v>
      </c>
      <c r="I6257">
        <v>27.167829999999999</v>
      </c>
      <c r="J6257">
        <v>-188.80250000000001</v>
      </c>
      <c r="K6257">
        <v>1.1029679999999999</v>
      </c>
      <c r="L6257">
        <v>26.599240000000002</v>
      </c>
      <c r="M6257">
        <v>-8.8526070000000002E-3</v>
      </c>
      <c r="N6257">
        <v>0</v>
      </c>
      <c r="O6257">
        <v>0.99993009999999904</v>
      </c>
      <c r="P6257">
        <v>-2.45995E-2</v>
      </c>
      <c r="Q6257">
        <v>1.082287E-2</v>
      </c>
      <c r="R6257">
        <v>0.99963880000000005</v>
      </c>
      <c r="S6257">
        <v>-2.0996089999999999E-2</v>
      </c>
      <c r="T6257">
        <v>-0.21788339999999901</v>
      </c>
      <c r="U6257">
        <v>3.0030519999999998</v>
      </c>
      <c r="V6257">
        <v>-1.571442E-2</v>
      </c>
      <c r="W6257">
        <v>1.869123E-2</v>
      </c>
      <c r="X6257">
        <v>0.99970179999999997</v>
      </c>
      <c r="Y6257">
        <v>1.8798479999999999E-3</v>
      </c>
      <c r="Z6257">
        <v>-7.2358610000000004E-2</v>
      </c>
      <c r="AA6257">
        <v>0.99737690000000001</v>
      </c>
      <c r="AB6257">
        <v>28</v>
      </c>
      <c r="AC6257">
        <v>-3.9999999999906699E-3</v>
      </c>
      <c r="AD6257">
        <v>-6.1760999999999899E-2</v>
      </c>
      <c r="AE6257">
        <v>0.56858999999999604</v>
      </c>
      <c r="AF6257">
        <v>1.0217604280444599E-3</v>
      </c>
      <c r="AG6257">
        <v>-6.1760999999999899E-2</v>
      </c>
      <c r="AH6257">
        <v>0.56197296794756002</v>
      </c>
      <c r="AI6257">
        <v>96.271644273943494</v>
      </c>
      <c r="AJ6257">
        <v>89.8958268474981</v>
      </c>
      <c r="AK6257">
        <v>0.56535748143910003</v>
      </c>
    </row>
    <row r="6258" spans="1:37" x14ac:dyDescent="0.2">
      <c r="A6258" t="str">
        <f>"20200111160340885"</f>
        <v>20200111160340885</v>
      </c>
      <c r="B6258" t="str">
        <f>"1578729820879074"</f>
        <v>1578729820879074</v>
      </c>
      <c r="C6258" t="s">
        <v>37</v>
      </c>
      <c r="D6258">
        <v>4.6184719999999997</v>
      </c>
      <c r="E6258">
        <v>0.50793840000000001</v>
      </c>
      <c r="F6258" t="s">
        <v>42</v>
      </c>
      <c r="G6258">
        <v>-188.80930000000001</v>
      </c>
      <c r="H6258">
        <v>1.0437350000000001</v>
      </c>
      <c r="I6258">
        <v>27.42558</v>
      </c>
      <c r="J6258">
        <v>-188.80410000000001</v>
      </c>
      <c r="K6258">
        <v>1.1029639999999901</v>
      </c>
      <c r="L6258">
        <v>26.904240000000001</v>
      </c>
      <c r="M6258">
        <v>-7.7957390000000003E-3</v>
      </c>
      <c r="N6258">
        <v>0</v>
      </c>
      <c r="O6258">
        <v>0.99993849999999995</v>
      </c>
      <c r="P6258">
        <v>-2.4816680000000001E-2</v>
      </c>
      <c r="Q6258">
        <v>1.0001660000000001E-2</v>
      </c>
      <c r="R6258">
        <v>0.99964200000000003</v>
      </c>
      <c r="S6258">
        <v>-2.4932860000000001E-2</v>
      </c>
      <c r="T6258">
        <v>-0.21523680000000001</v>
      </c>
      <c r="U6258">
        <v>3.0028079999999999</v>
      </c>
      <c r="V6258">
        <v>-1.6989799999999999E-2</v>
      </c>
      <c r="W6258">
        <v>1.7923649999999999E-2</v>
      </c>
      <c r="X6258">
        <v>0.999695</v>
      </c>
      <c r="Y6258">
        <v>-4.8568670000000001E-4</v>
      </c>
      <c r="Z6258">
        <v>-7.1490620000000005E-2</v>
      </c>
      <c r="AA6258">
        <v>0.99744120000000003</v>
      </c>
      <c r="AB6258">
        <v>28</v>
      </c>
      <c r="AC6258">
        <v>-5.2000000000020901E-3</v>
      </c>
      <c r="AD6258">
        <v>-5.9228999999999699E-2</v>
      </c>
      <c r="AE6258">
        <v>0.52133999999999803</v>
      </c>
      <c r="AF6258">
        <v>-1.1210173782908301E-3</v>
      </c>
      <c r="AG6258">
        <v>-5.9228999999999699E-2</v>
      </c>
      <c r="AH6258">
        <v>0.51472182102727604</v>
      </c>
      <c r="AI6258">
        <v>96.564134904122895</v>
      </c>
      <c r="AJ6258">
        <v>90.124784806783296</v>
      </c>
      <c r="AK6258">
        <v>0.518119565508385</v>
      </c>
    </row>
    <row r="6259" spans="1:37" x14ac:dyDescent="0.2">
      <c r="A6259" t="str">
        <f>"20200111160340907"</f>
        <v>20200111160340907</v>
      </c>
      <c r="B6259" t="str">
        <f>"1578729820899570"</f>
        <v>1578729820899570</v>
      </c>
      <c r="C6259" t="s">
        <v>37</v>
      </c>
      <c r="D6259">
        <v>4.6971150000000002</v>
      </c>
      <c r="E6259">
        <v>0.50754979999999905</v>
      </c>
      <c r="F6259" t="s">
        <v>38</v>
      </c>
      <c r="G6259">
        <v>-188.9453</v>
      </c>
      <c r="H6259" s="1">
        <v>-1.3314519999999901E-6</v>
      </c>
      <c r="I6259">
        <v>42.300319999999999</v>
      </c>
      <c r="J6259">
        <v>-188.80529999999999</v>
      </c>
      <c r="K6259">
        <v>1.102965</v>
      </c>
      <c r="L6259">
        <v>27.189699999999998</v>
      </c>
      <c r="M6259">
        <v>-6.8102700000000002E-3</v>
      </c>
      <c r="N6259">
        <v>0</v>
      </c>
      <c r="O6259">
        <v>0.99994530000000004</v>
      </c>
      <c r="P6259">
        <v>-2.4597049999999999E-2</v>
      </c>
      <c r="Q6259">
        <v>1.010631E-2</v>
      </c>
      <c r="R6259">
        <v>0.99964640000000005</v>
      </c>
      <c r="S6259">
        <v>-2.7542110000000002E-2</v>
      </c>
      <c r="T6259">
        <v>-0.2150995</v>
      </c>
      <c r="U6259">
        <v>3.0025330000000001</v>
      </c>
      <c r="V6259">
        <v>-1.775531E-2</v>
      </c>
      <c r="W6259">
        <v>1.8076689999999999E-2</v>
      </c>
      <c r="X6259">
        <v>0.99967890000000004</v>
      </c>
      <c r="Y6259">
        <v>-2.3387170000000001E-3</v>
      </c>
      <c r="Z6259">
        <v>-7.1452119999999994E-2</v>
      </c>
      <c r="AA6259">
        <v>0.99744129999999998</v>
      </c>
      <c r="AB6259">
        <v>29</v>
      </c>
      <c r="AC6259">
        <v>-0.140000000000014</v>
      </c>
      <c r="AD6259">
        <v>-1.102966331452</v>
      </c>
      <c r="AE6259">
        <v>15.110620000000001</v>
      </c>
      <c r="AF6259">
        <v>-3.6889579606818303E-2</v>
      </c>
      <c r="AG6259">
        <v>-1.102966331452</v>
      </c>
      <c r="AH6259">
        <v>15.031144750811</v>
      </c>
      <c r="AI6259">
        <v>94.196757383346295</v>
      </c>
      <c r="AJ6259">
        <v>90.140615569272796</v>
      </c>
      <c r="AK6259">
        <v>15.0716027047302</v>
      </c>
    </row>
    <row r="6260" spans="1:37" x14ac:dyDescent="0.2">
      <c r="A6260" t="str">
        <f>"20200111160340927"</f>
        <v>20200111160340927</v>
      </c>
      <c r="B6260" t="str">
        <f>"1578729820919089"</f>
        <v>1578729820919089</v>
      </c>
      <c r="C6260" t="s">
        <v>37</v>
      </c>
      <c r="D6260">
        <v>4.8156049999999997</v>
      </c>
      <c r="E6260">
        <v>0.50737169999999998</v>
      </c>
      <c r="F6260" t="s">
        <v>38</v>
      </c>
      <c r="G6260">
        <v>-188.96090000000001</v>
      </c>
      <c r="H6260" s="1">
        <v>-1.558591E-6</v>
      </c>
      <c r="I6260">
        <v>42.83623</v>
      </c>
      <c r="J6260">
        <v>-188.80609999999999</v>
      </c>
      <c r="K6260">
        <v>1.1029639999999901</v>
      </c>
      <c r="L6260">
        <v>27.44604</v>
      </c>
      <c r="M6260">
        <v>-5.9290580000000001E-3</v>
      </c>
      <c r="N6260">
        <v>0</v>
      </c>
      <c r="O6260">
        <v>0.99995059999999902</v>
      </c>
      <c r="P6260">
        <v>-2.4051340000000001E-2</v>
      </c>
      <c r="Q6260">
        <v>9.7660019999999993E-3</v>
      </c>
      <c r="R6260">
        <v>0.99966299999999997</v>
      </c>
      <c r="S6260">
        <v>-2.9861450000000001E-2</v>
      </c>
      <c r="T6260">
        <v>-0.21165239999999999</v>
      </c>
      <c r="U6260">
        <v>3.002472</v>
      </c>
      <c r="V6260">
        <v>-1.8090999999999999E-2</v>
      </c>
      <c r="W6260">
        <v>1.7777290000000001E-2</v>
      </c>
      <c r="X6260">
        <v>0.99967830000000002</v>
      </c>
      <c r="Y6260">
        <v>-3.99138599999999E-3</v>
      </c>
      <c r="Z6260">
        <v>-7.0314360000000006E-2</v>
      </c>
      <c r="AA6260">
        <v>0.99751690000000004</v>
      </c>
      <c r="AB6260">
        <v>29</v>
      </c>
      <c r="AC6260">
        <v>-0.154800000000022</v>
      </c>
      <c r="AD6260">
        <v>-1.1029655585910001</v>
      </c>
      <c r="AE6260">
        <v>15.390189999999899</v>
      </c>
      <c r="AF6260">
        <v>-6.32203707517527E-2</v>
      </c>
      <c r="AG6260">
        <v>-1.1029655585910001</v>
      </c>
      <c r="AH6260">
        <v>15.3121998356593</v>
      </c>
      <c r="AI6260">
        <v>94.119968216933501</v>
      </c>
      <c r="AJ6260">
        <v>90.236559075766493</v>
      </c>
      <c r="AK6260">
        <v>15.352002919680601</v>
      </c>
    </row>
    <row r="6261" spans="1:37" x14ac:dyDescent="0.2">
      <c r="A6261" t="str">
        <f>"20200111160340951"</f>
        <v>20200111160340951</v>
      </c>
      <c r="B6261" t="str">
        <f>"1578729820939585"</f>
        <v>1578729820939585</v>
      </c>
      <c r="C6261" t="s">
        <v>37</v>
      </c>
      <c r="D6261">
        <v>4.6437580000000001</v>
      </c>
      <c r="E6261">
        <v>0.50706980000000001</v>
      </c>
      <c r="F6261" t="s">
        <v>38</v>
      </c>
      <c r="G6261">
        <v>-188.96029999999999</v>
      </c>
      <c r="H6261" s="1">
        <v>-1.686167E-6</v>
      </c>
      <c r="I6261">
        <v>43.133369999999999</v>
      </c>
      <c r="J6261">
        <v>-188.80680000000001</v>
      </c>
      <c r="K6261">
        <v>1.102957</v>
      </c>
      <c r="L6261">
        <v>27.735959999999999</v>
      </c>
      <c r="M6261">
        <v>-4.9356309999999898E-3</v>
      </c>
      <c r="N6261">
        <v>0</v>
      </c>
      <c r="O6261">
        <v>0.999955699999999</v>
      </c>
      <c r="P6261">
        <v>-2.328413E-2</v>
      </c>
      <c r="Q6261">
        <v>9.5715809999999991E-3</v>
      </c>
      <c r="R6261">
        <v>0.99968310000000005</v>
      </c>
      <c r="S6261">
        <v>-2.9510499999999999E-2</v>
      </c>
      <c r="T6261">
        <v>-0.21109320000000001</v>
      </c>
      <c r="U6261">
        <v>3.0023499999999999</v>
      </c>
      <c r="V6261">
        <v>-1.8316519999999999E-2</v>
      </c>
      <c r="W6261">
        <v>1.7626630000000001E-2</v>
      </c>
      <c r="X6261">
        <v>0.99967680000000003</v>
      </c>
      <c r="Y6261">
        <v>-4.8687870000000003E-3</v>
      </c>
      <c r="Z6261">
        <v>-7.0132829999999993E-2</v>
      </c>
      <c r="AA6261">
        <v>0.99752580000000002</v>
      </c>
      <c r="AB6261">
        <v>29</v>
      </c>
      <c r="AC6261">
        <v>-0.15349999999997899</v>
      </c>
      <c r="AD6261">
        <v>-1.102958686167</v>
      </c>
      <c r="AE6261">
        <v>15.397410000000001</v>
      </c>
      <c r="AF6261">
        <v>-7.7104153730407202E-2</v>
      </c>
      <c r="AG6261">
        <v>-1.102958686167</v>
      </c>
      <c r="AH6261">
        <v>15.319380333745199</v>
      </c>
      <c r="AI6261">
        <v>94.118001179430195</v>
      </c>
      <c r="AJ6261">
        <v>90.288373628193099</v>
      </c>
      <c r="AK6261">
        <v>15.359227738524201</v>
      </c>
    </row>
    <row r="6262" spans="1:37" x14ac:dyDescent="0.2">
      <c r="A6262" t="str">
        <f>"20200111160340973"</f>
        <v>20200111160340973</v>
      </c>
      <c r="B6262" t="str">
        <f>"1578729820969841"</f>
        <v>1578729820969841</v>
      </c>
      <c r="C6262" t="s">
        <v>37</v>
      </c>
      <c r="D6262">
        <v>4.6236139999999999</v>
      </c>
      <c r="E6262">
        <v>0.50685500000000006</v>
      </c>
      <c r="F6262" t="s">
        <v>42</v>
      </c>
      <c r="G6262">
        <v>-188.81620000000001</v>
      </c>
      <c r="H6262">
        <v>1.0348850000000001</v>
      </c>
      <c r="I6262">
        <v>28.703800000000001</v>
      </c>
      <c r="J6262">
        <v>-188.80719999999999</v>
      </c>
      <c r="K6262">
        <v>1.1029500000000001</v>
      </c>
      <c r="L6262">
        <v>28.030609999999999</v>
      </c>
      <c r="M6262">
        <v>-3.9279069999999996E-3</v>
      </c>
      <c r="N6262">
        <v>0</v>
      </c>
      <c r="O6262">
        <v>0.99995979999999995</v>
      </c>
      <c r="P6262">
        <v>-2.2250220000000001E-2</v>
      </c>
      <c r="Q6262">
        <v>8.9596069999999996E-3</v>
      </c>
      <c r="R6262">
        <v>0.9997123</v>
      </c>
      <c r="S6262">
        <v>-2.963257E-2</v>
      </c>
      <c r="T6262">
        <v>-0.2111355</v>
      </c>
      <c r="U6262">
        <v>3.00228899999999</v>
      </c>
      <c r="V6262">
        <v>-1.8291430000000001E-2</v>
      </c>
      <c r="W6262">
        <v>1.7055939999999999E-2</v>
      </c>
      <c r="X6262">
        <v>0.999687199999999</v>
      </c>
      <c r="Y6262">
        <v>-5.9172790000000001E-3</v>
      </c>
      <c r="Z6262">
        <v>-7.0148479999999999E-2</v>
      </c>
      <c r="AA6262">
        <v>0.99751900000000004</v>
      </c>
      <c r="AB6262">
        <v>29</v>
      </c>
      <c r="AC6262">
        <v>-9.0000000000145502E-3</v>
      </c>
      <c r="AD6262">
        <v>-6.8065000000000001E-2</v>
      </c>
      <c r="AE6262">
        <v>0.67319000000000095</v>
      </c>
      <c r="AF6262">
        <v>-6.29131323504182E-3</v>
      </c>
      <c r="AG6262">
        <v>-6.8065000000000001E-2</v>
      </c>
      <c r="AH6262">
        <v>0.66640877309103896</v>
      </c>
      <c r="AI6262">
        <v>95.831538640596804</v>
      </c>
      <c r="AJ6262">
        <v>90.540891720238506</v>
      </c>
      <c r="AK6262">
        <v>0.66990527516950205</v>
      </c>
    </row>
    <row r="6263" spans="1:37" x14ac:dyDescent="0.2">
      <c r="A6263" t="str">
        <f>"20200111160341017"</f>
        <v>20200111160341017</v>
      </c>
      <c r="B6263" t="str">
        <f>"1578729821009857"</f>
        <v>1578729821009857</v>
      </c>
      <c r="C6263" t="s">
        <v>37</v>
      </c>
      <c r="D6263">
        <v>5.0035689999999997</v>
      </c>
      <c r="E6263">
        <v>0.50651939999999995</v>
      </c>
      <c r="F6263" t="s">
        <v>42</v>
      </c>
      <c r="G6263">
        <v>-188.8159</v>
      </c>
      <c r="H6263">
        <v>1.0370619999999999</v>
      </c>
      <c r="I6263">
        <v>28.96425</v>
      </c>
      <c r="J6263">
        <v>-188.80709999999999</v>
      </c>
      <c r="K6263">
        <v>1.1029439999999999</v>
      </c>
      <c r="L6263">
        <v>28.596889999999998</v>
      </c>
      <c r="M6263">
        <v>-1.9925720000000002E-3</v>
      </c>
      <c r="N6263">
        <v>0</v>
      </c>
      <c r="O6263">
        <v>0.99996489999999905</v>
      </c>
      <c r="P6263">
        <v>-1.96665E-2</v>
      </c>
      <c r="Q6263">
        <v>9.4615319999999999E-3</v>
      </c>
      <c r="R6263">
        <v>0.99976180000000003</v>
      </c>
      <c r="S6263">
        <v>-2.8259280000000001E-2</v>
      </c>
      <c r="T6263">
        <v>-0.2118448</v>
      </c>
      <c r="U6263">
        <v>3.0021360000000001</v>
      </c>
      <c r="V6263">
        <v>-1.7641049999999998E-2</v>
      </c>
      <c r="W6263">
        <v>1.7629490000000001E-2</v>
      </c>
      <c r="X6263">
        <v>0.99968889999999999</v>
      </c>
      <c r="Y6263">
        <v>-7.3967249999999998E-3</v>
      </c>
      <c r="Z6263">
        <v>-7.038693E-2</v>
      </c>
      <c r="AA6263">
        <v>0.9974923</v>
      </c>
      <c r="AB6263">
        <v>29</v>
      </c>
      <c r="AC6263">
        <v>-8.8000000000079091E-3</v>
      </c>
      <c r="AD6263">
        <v>-6.5881999999999996E-2</v>
      </c>
      <c r="AE6263">
        <v>0.36735999999999702</v>
      </c>
      <c r="AF6263">
        <v>-7.8167063898833006E-3</v>
      </c>
      <c r="AG6263">
        <v>-6.5881999999999996E-2</v>
      </c>
      <c r="AH6263">
        <v>0.35593559223468202</v>
      </c>
      <c r="AI6263">
        <v>100.4840250573</v>
      </c>
      <c r="AJ6263">
        <v>91.258071170329401</v>
      </c>
      <c r="AK6263">
        <v>0.362065856775034</v>
      </c>
    </row>
    <row r="6264" spans="1:37" x14ac:dyDescent="0.2">
      <c r="A6264" t="str">
        <f>"20200111160341039"</f>
        <v>20200111160341039</v>
      </c>
      <c r="B6264" t="str">
        <f>"1578729821029376"</f>
        <v>1578729821029376</v>
      </c>
      <c r="C6264" t="s">
        <v>37</v>
      </c>
      <c r="D6264">
        <v>4.6007579999999999</v>
      </c>
      <c r="E6264">
        <v>0.49689939999999999</v>
      </c>
      <c r="F6264" t="s">
        <v>42</v>
      </c>
      <c r="G6264">
        <v>-188.81399999999999</v>
      </c>
      <c r="H6264">
        <v>1.041012</v>
      </c>
      <c r="I6264">
        <v>29.4869599999999</v>
      </c>
      <c r="J6264">
        <v>-188.80670000000001</v>
      </c>
      <c r="K6264">
        <v>1.102948</v>
      </c>
      <c r="L6264">
        <v>28.883420000000001</v>
      </c>
      <c r="M6264">
        <v>-1.013634E-3</v>
      </c>
      <c r="N6264">
        <v>0</v>
      </c>
      <c r="O6264">
        <v>0.99996609999999997</v>
      </c>
      <c r="P6264">
        <v>-1.884487E-2</v>
      </c>
      <c r="Q6264">
        <v>9.7204549999999994E-3</v>
      </c>
      <c r="R6264">
        <v>0.99977519999999998</v>
      </c>
      <c r="S6264">
        <v>-2.3040769999999999E-2</v>
      </c>
      <c r="T6264">
        <v>-0.20890239999999999</v>
      </c>
      <c r="U6264">
        <v>3.0022279999999899</v>
      </c>
      <c r="V6264">
        <v>-1.779731E-2</v>
      </c>
      <c r="W6264">
        <v>1.792175E-2</v>
      </c>
      <c r="X6264">
        <v>0.99968099999999904</v>
      </c>
      <c r="Y6264">
        <v>-6.6421800000000001E-3</v>
      </c>
      <c r="Z6264">
        <v>-6.9412779999999993E-2</v>
      </c>
      <c r="AA6264">
        <v>0.99756590000000001</v>
      </c>
      <c r="AB6264">
        <v>29</v>
      </c>
      <c r="AC6264">
        <v>-7.3000000000149603E-3</v>
      </c>
      <c r="AD6264">
        <v>-6.1935999999999901E-2</v>
      </c>
      <c r="AE6264">
        <v>0.60353999999999497</v>
      </c>
      <c r="AF6264">
        <v>-6.6185170178087397E-3</v>
      </c>
      <c r="AG6264">
        <v>-6.1935999999999901E-2</v>
      </c>
      <c r="AH6264">
        <v>0.59725821715069105</v>
      </c>
      <c r="AI6264">
        <v>95.920080511168905</v>
      </c>
      <c r="AJ6264">
        <v>90.634897201243106</v>
      </c>
      <c r="AK6264">
        <v>0.60049750275711999</v>
      </c>
    </row>
    <row r="6265" spans="1:37" x14ac:dyDescent="0.2">
      <c r="A6265" t="str">
        <f>"20200111160341060"</f>
        <v>20200111160341060</v>
      </c>
      <c r="B6265" t="str">
        <f>"1578729821049873"</f>
        <v>1578729821049873</v>
      </c>
      <c r="C6265" t="s">
        <v>37</v>
      </c>
      <c r="D6265">
        <v>4.6124780000000003</v>
      </c>
      <c r="E6265">
        <v>0.49920920000000002</v>
      </c>
      <c r="F6265" t="s">
        <v>38</v>
      </c>
      <c r="G6265">
        <v>-189.42259999999999</v>
      </c>
      <c r="H6265" s="1">
        <v>-3.8732189999999999E-6</v>
      </c>
      <c r="I6265">
        <v>48.422600000000003</v>
      </c>
      <c r="J6265">
        <v>-188.80590000000001</v>
      </c>
      <c r="K6265">
        <v>1.102954</v>
      </c>
      <c r="L6265">
        <v>29.16818</v>
      </c>
      <c r="M6265" s="1">
        <v>-4.0795940000000003E-5</v>
      </c>
      <c r="N6265">
        <v>0</v>
      </c>
      <c r="O6265">
        <v>0.99996640000000003</v>
      </c>
      <c r="P6265">
        <v>-1.7889490000000001E-2</v>
      </c>
      <c r="Q6265">
        <v>1.100227E-2</v>
      </c>
      <c r="R6265">
        <v>0.99977950000000004</v>
      </c>
      <c r="S6265">
        <v>-9.4589229999999996E-2</v>
      </c>
      <c r="T6265">
        <v>-0.16937579999999999</v>
      </c>
      <c r="U6265">
        <v>3.0005489999999999</v>
      </c>
      <c r="V6265">
        <v>-1.7811649999999998E-2</v>
      </c>
      <c r="W6265">
        <v>1.9234729999999998E-2</v>
      </c>
      <c r="X6265">
        <v>0.99965630000000005</v>
      </c>
      <c r="Y6265">
        <v>-3.1417519999999997E-2</v>
      </c>
      <c r="Z6265">
        <v>-5.6330680000000001E-2</v>
      </c>
      <c r="AA6265">
        <v>0.99791770000000002</v>
      </c>
      <c r="AB6265">
        <v>29</v>
      </c>
      <c r="AC6265">
        <v>-0.61669999999998004</v>
      </c>
      <c r="AD6265">
        <v>-1.102957873219</v>
      </c>
      <c r="AE6265">
        <v>19.25442</v>
      </c>
      <c r="AF6265">
        <v>-0.61390208726936102</v>
      </c>
      <c r="AG6265">
        <v>-1.102957873219</v>
      </c>
      <c r="AH6265">
        <v>19.191534897788099</v>
      </c>
      <c r="AI6265">
        <v>93.287553204262593</v>
      </c>
      <c r="AJ6265">
        <v>91.832162409062306</v>
      </c>
      <c r="AK6265">
        <v>19.2330029786268</v>
      </c>
    </row>
    <row r="6266" spans="1:37" x14ac:dyDescent="0.2">
      <c r="A6266" t="str">
        <f>"20200111160341085"</f>
        <v>20200111160341085</v>
      </c>
      <c r="B6266" t="str">
        <f>"1578729821079153"</f>
        <v>1578729821079153</v>
      </c>
      <c r="C6266" t="s">
        <v>37</v>
      </c>
      <c r="D6266">
        <v>4.8178479999999997</v>
      </c>
      <c r="E6266">
        <v>0.49987379999999998</v>
      </c>
      <c r="F6266" t="s">
        <v>38</v>
      </c>
      <c r="G6266">
        <v>-189.2944</v>
      </c>
      <c r="H6266" s="1">
        <v>-4.2203110000000002E-6</v>
      </c>
      <c r="I6266">
        <v>49.178660000000001</v>
      </c>
      <c r="J6266">
        <v>-188.8048</v>
      </c>
      <c r="K6266">
        <v>1.1029519999999999</v>
      </c>
      <c r="L6266">
        <v>29.477689999999999</v>
      </c>
      <c r="M6266">
        <v>1.0161439999999901E-3</v>
      </c>
      <c r="N6266">
        <v>0</v>
      </c>
      <c r="O6266">
        <v>0.99996559999999901</v>
      </c>
      <c r="P6266">
        <v>-1.6191609999999999E-2</v>
      </c>
      <c r="Q6266">
        <v>1.099529E-2</v>
      </c>
      <c r="R6266">
        <v>0.99980840000000004</v>
      </c>
      <c r="S6266">
        <v>-7.3257450000000002E-2</v>
      </c>
      <c r="T6266">
        <v>-0.16542089999999901</v>
      </c>
      <c r="U6266">
        <v>3.00116</v>
      </c>
      <c r="V6266">
        <v>-1.7170520000000002E-2</v>
      </c>
      <c r="W6266">
        <v>1.9259040000000002E-2</v>
      </c>
      <c r="X6266">
        <v>0.99966699999999997</v>
      </c>
      <c r="Y6266">
        <v>-2.538135E-2</v>
      </c>
      <c r="Z6266">
        <v>-5.5018399999999898E-2</v>
      </c>
      <c r="AA6266">
        <v>0.99816269999999996</v>
      </c>
      <c r="AB6266">
        <v>29</v>
      </c>
      <c r="AC6266">
        <v>-0.48959999999999498</v>
      </c>
      <c r="AD6266">
        <v>-1.1029562203109999</v>
      </c>
      <c r="AE6266">
        <v>19.700970000000002</v>
      </c>
      <c r="AF6266">
        <v>-0.50802811549092697</v>
      </c>
      <c r="AG6266">
        <v>-1.1029562203109999</v>
      </c>
      <c r="AH6266">
        <v>19.638945843230701</v>
      </c>
      <c r="AI6266">
        <v>93.213377830826104</v>
      </c>
      <c r="AJ6266">
        <v>91.481819695699997</v>
      </c>
      <c r="AK6266">
        <v>19.676452902477099</v>
      </c>
    </row>
    <row r="6267" spans="1:37" x14ac:dyDescent="0.2">
      <c r="A6267" t="str">
        <f>"20200111160341106"</f>
        <v>20200111160341106</v>
      </c>
      <c r="B6267" t="str">
        <f>"1578729821099650"</f>
        <v>1578729821099650</v>
      </c>
      <c r="C6267" t="s">
        <v>37</v>
      </c>
      <c r="D6267">
        <v>4.7952379999999897</v>
      </c>
      <c r="E6267">
        <v>0.50001470000000003</v>
      </c>
      <c r="F6267" t="s">
        <v>38</v>
      </c>
      <c r="G6267">
        <v>-189.21129999999999</v>
      </c>
      <c r="H6267" s="1">
        <v>-4.0332690000000002E-6</v>
      </c>
      <c r="I6267">
        <v>48.708289999999998</v>
      </c>
      <c r="J6267">
        <v>-188.80350000000001</v>
      </c>
      <c r="K6267">
        <v>1.102946</v>
      </c>
      <c r="L6267">
        <v>29.770289999999999</v>
      </c>
      <c r="M6267">
        <v>2.014751E-3</v>
      </c>
      <c r="N6267">
        <v>0</v>
      </c>
      <c r="O6267">
        <v>0.99996379999999996</v>
      </c>
      <c r="P6267">
        <v>-1.4495849999999999E-2</v>
      </c>
      <c r="Q6267">
        <v>1.048808E-2</v>
      </c>
      <c r="R6267">
        <v>0.999839899999999</v>
      </c>
      <c r="S6267">
        <v>-6.3430790000000001E-2</v>
      </c>
      <c r="T6267">
        <v>-0.17214489999999999</v>
      </c>
      <c r="U6267">
        <v>3.0014340000000002</v>
      </c>
      <c r="V6267">
        <v>-1.647376E-2</v>
      </c>
      <c r="W6267">
        <v>1.8778949999999999E-2</v>
      </c>
      <c r="X6267">
        <v>0.99968789999999996</v>
      </c>
      <c r="Y6267">
        <v>-2.3108449999999999E-2</v>
      </c>
      <c r="Z6267">
        <v>-5.7245919999999999E-2</v>
      </c>
      <c r="AA6267">
        <v>0.99809269999999894</v>
      </c>
      <c r="AB6267">
        <v>29</v>
      </c>
      <c r="AC6267">
        <v>-0.40779999999998001</v>
      </c>
      <c r="AD6267">
        <v>-1.1029500332690001</v>
      </c>
      <c r="AE6267">
        <v>18.937999999999999</v>
      </c>
      <c r="AF6267">
        <v>-0.444449001232534</v>
      </c>
      <c r="AG6267">
        <v>-1.1029500332690001</v>
      </c>
      <c r="AH6267">
        <v>18.873153676036399</v>
      </c>
      <c r="AI6267">
        <v>93.343645295232193</v>
      </c>
      <c r="AJ6267">
        <v>91.349024472185604</v>
      </c>
      <c r="AK6267">
        <v>18.910578081324498</v>
      </c>
    </row>
    <row r="6268" spans="1:37" x14ac:dyDescent="0.2">
      <c r="A6268" t="str">
        <f>"20200111160341130"</f>
        <v>20200111160341130</v>
      </c>
      <c r="B6268" t="str">
        <f>"1578729821119169"</f>
        <v>1578729821119169</v>
      </c>
      <c r="C6268" t="s">
        <v>37</v>
      </c>
      <c r="D6268">
        <v>4.6763919999999999</v>
      </c>
      <c r="E6268">
        <v>0.50064560000000002</v>
      </c>
      <c r="F6268" t="s">
        <v>38</v>
      </c>
      <c r="G6268">
        <v>-189.16900000000001</v>
      </c>
      <c r="H6268" s="1">
        <v>-4.1859969999999902E-6</v>
      </c>
      <c r="I6268">
        <v>49.046840000000003</v>
      </c>
      <c r="J6268">
        <v>-188.80179999999999</v>
      </c>
      <c r="K6268">
        <v>1.1029450000000001</v>
      </c>
      <c r="L6268">
        <v>30.074369999999998</v>
      </c>
      <c r="M6268">
        <v>3.052389E-3</v>
      </c>
      <c r="N6268">
        <v>0</v>
      </c>
      <c r="O6268">
        <v>0.99996099999999999</v>
      </c>
      <c r="P6268">
        <v>-1.306209E-2</v>
      </c>
      <c r="Q6268">
        <v>1.013886E-2</v>
      </c>
      <c r="R6268">
        <v>0.99986330000000001</v>
      </c>
      <c r="S6268">
        <v>-5.6915279999999999E-2</v>
      </c>
      <c r="T6268">
        <v>-0.17173550000000001</v>
      </c>
      <c r="U6268">
        <v>3.001465</v>
      </c>
      <c r="V6268">
        <v>-1.6078200000000001E-2</v>
      </c>
      <c r="W6268">
        <v>1.845714E-2</v>
      </c>
      <c r="X6268">
        <v>0.99970040000000004</v>
      </c>
      <c r="Y6268">
        <v>-2.1980010000000001E-2</v>
      </c>
      <c r="Z6268">
        <v>-5.7111380000000003E-2</v>
      </c>
      <c r="AA6268">
        <v>0.99812590000000001</v>
      </c>
      <c r="AB6268">
        <v>29</v>
      </c>
      <c r="AC6268">
        <v>-0.36720000000002501</v>
      </c>
      <c r="AD6268">
        <v>-1.102949185997</v>
      </c>
      <c r="AE6268">
        <v>18.972470000000001</v>
      </c>
      <c r="AF6268">
        <v>-0.423680309732966</v>
      </c>
      <c r="AG6268">
        <v>-1.102949185997</v>
      </c>
      <c r="AH6268">
        <v>18.907385561272001</v>
      </c>
      <c r="AI6268">
        <v>93.3376900248293</v>
      </c>
      <c r="AJ6268">
        <v>91.283679951164103</v>
      </c>
      <c r="AK6268">
        <v>18.944266432732199</v>
      </c>
    </row>
    <row r="6269" spans="1:37" x14ac:dyDescent="0.2">
      <c r="A6269" t="str">
        <f>"20200111160341174"</f>
        <v>20200111160341174</v>
      </c>
      <c r="B6269" t="str">
        <f>"1578729821169921"</f>
        <v>1578729821169921</v>
      </c>
      <c r="C6269" t="s">
        <v>37</v>
      </c>
      <c r="D6269">
        <v>4.7772790000000001</v>
      </c>
      <c r="E6269">
        <v>0.50123229999999996</v>
      </c>
      <c r="F6269" t="s">
        <v>38</v>
      </c>
      <c r="G6269">
        <v>-189.1037</v>
      </c>
      <c r="H6269" s="1">
        <v>-4.2434620000000003E-6</v>
      </c>
      <c r="I6269">
        <v>49.153770000000002</v>
      </c>
      <c r="J6269">
        <v>-188.79769999999999</v>
      </c>
      <c r="K6269">
        <v>1.1029309999999899</v>
      </c>
      <c r="L6269">
        <v>30.659329999999901</v>
      </c>
      <c r="M6269">
        <v>5.0472950000000003E-3</v>
      </c>
      <c r="N6269">
        <v>0</v>
      </c>
      <c r="O6269">
        <v>0.99995249999999902</v>
      </c>
      <c r="P6269">
        <v>-1.1605330000000001E-2</v>
      </c>
      <c r="Q6269">
        <v>1.012068E-2</v>
      </c>
      <c r="R6269">
        <v>0.99988140000000003</v>
      </c>
      <c r="S6269">
        <v>-4.7485350000000003E-2</v>
      </c>
      <c r="T6269">
        <v>-0.17351520000000001</v>
      </c>
      <c r="U6269">
        <v>3.0015559999999999</v>
      </c>
      <c r="V6269">
        <v>-1.661638E-2</v>
      </c>
      <c r="W6269">
        <v>1.8490989999999999E-2</v>
      </c>
      <c r="X6269">
        <v>0.99969089999999905</v>
      </c>
      <c r="Y6269">
        <v>-2.0838550000000001E-2</v>
      </c>
      <c r="Z6269">
        <v>-5.7701089999999997E-2</v>
      </c>
      <c r="AA6269">
        <v>0.99811640000000001</v>
      </c>
      <c r="AB6269">
        <v>29</v>
      </c>
      <c r="AC6269">
        <v>-0.30600000000001099</v>
      </c>
      <c r="AD6269">
        <v>-1.1029352434619999</v>
      </c>
      <c r="AE6269">
        <v>18.494440000000001</v>
      </c>
      <c r="AF6269">
        <v>-0.397931402651238</v>
      </c>
      <c r="AG6269">
        <v>-1.1029352434619999</v>
      </c>
      <c r="AH6269">
        <v>18.427142462949799</v>
      </c>
      <c r="AI6269">
        <v>93.424489508778905</v>
      </c>
      <c r="AJ6269">
        <v>91.237101564263298</v>
      </c>
      <c r="AK6269">
        <v>18.4644088695613</v>
      </c>
    </row>
    <row r="6270" spans="1:37" x14ac:dyDescent="0.2">
      <c r="A6270" t="str">
        <f>"20200111160341198"</f>
        <v>20200111160341198</v>
      </c>
      <c r="B6270" t="str">
        <f>"1578729821189441"</f>
        <v>1578729821189441</v>
      </c>
      <c r="C6270" t="s">
        <v>37</v>
      </c>
      <c r="D6270">
        <v>4.6655819999999997</v>
      </c>
      <c r="E6270">
        <v>0.53538479999999999</v>
      </c>
      <c r="F6270" t="s">
        <v>38</v>
      </c>
      <c r="G6270">
        <v>-189.0377</v>
      </c>
      <c r="H6270" s="1">
        <v>-4.3884390000000002E-6</v>
      </c>
      <c r="I6270">
        <v>49.464440000000003</v>
      </c>
      <c r="J6270">
        <v>-188.79499999999999</v>
      </c>
      <c r="K6270">
        <v>1.102927</v>
      </c>
      <c r="L6270">
        <v>30.967859999999899</v>
      </c>
      <c r="M6270">
        <v>6.0991839999999997E-3</v>
      </c>
      <c r="N6270">
        <v>0</v>
      </c>
      <c r="O6270">
        <v>0.99994640000000001</v>
      </c>
      <c r="P6270">
        <v>-1.1819959999999999E-2</v>
      </c>
      <c r="Q6270">
        <v>9.7902679999999995E-3</v>
      </c>
      <c r="R6270">
        <v>0.99988220000000005</v>
      </c>
      <c r="S6270">
        <v>-3.8314819999999999E-2</v>
      </c>
      <c r="T6270">
        <v>-0.17605099999999901</v>
      </c>
      <c r="U6270">
        <v>3.0016780000000001</v>
      </c>
      <c r="V6270">
        <v>-1.7883030000000001E-2</v>
      </c>
      <c r="W6270">
        <v>1.818825E-2</v>
      </c>
      <c r="X6270">
        <v>0.99967459999999997</v>
      </c>
      <c r="Y6270">
        <v>-1.8840200000000001E-2</v>
      </c>
      <c r="Z6270">
        <v>-5.8541030000000001E-2</v>
      </c>
      <c r="AA6270">
        <v>0.99810719999999997</v>
      </c>
      <c r="AB6270">
        <v>29</v>
      </c>
      <c r="AC6270">
        <v>-0.24270000000001299</v>
      </c>
      <c r="AD6270">
        <v>-1.102931388439</v>
      </c>
      <c r="AE6270">
        <v>18.496580000000002</v>
      </c>
      <c r="AF6270">
        <v>-0.35425410611423203</v>
      </c>
      <c r="AG6270">
        <v>-1.102931388439</v>
      </c>
      <c r="AH6270">
        <v>18.429239702455799</v>
      </c>
      <c r="AI6270">
        <v>93.424254121015196</v>
      </c>
      <c r="AJ6270">
        <v>91.101226425391403</v>
      </c>
      <c r="AK6270">
        <v>18.465612083813401</v>
      </c>
    </row>
    <row r="6271" spans="1:37" x14ac:dyDescent="0.2">
      <c r="A6271" t="str">
        <f>"20200111160341219"</f>
        <v>20200111160341219</v>
      </c>
      <c r="B6271" t="str">
        <f>"1578729821209937"</f>
        <v>1578729821209937</v>
      </c>
      <c r="C6271" t="s">
        <v>37</v>
      </c>
      <c r="D6271">
        <v>4.6942209999999998</v>
      </c>
      <c r="E6271">
        <v>0.5489889</v>
      </c>
      <c r="F6271" t="s">
        <v>42</v>
      </c>
      <c r="G6271">
        <v>-188.7278</v>
      </c>
      <c r="H6271">
        <v>1.037944</v>
      </c>
      <c r="I6271">
        <v>31.84038</v>
      </c>
      <c r="J6271">
        <v>-188.79230000000001</v>
      </c>
      <c r="K6271">
        <v>1.1029249999999999</v>
      </c>
      <c r="L6271">
        <v>31.25198</v>
      </c>
      <c r="M6271">
        <v>7.0674090000000002E-3</v>
      </c>
      <c r="N6271">
        <v>0</v>
      </c>
      <c r="O6271">
        <v>0.99993989999999999</v>
      </c>
      <c r="P6271">
        <v>-1.207155E-2</v>
      </c>
      <c r="Q6271">
        <v>9.6860479999999992E-3</v>
      </c>
      <c r="R6271">
        <v>0.9998802</v>
      </c>
      <c r="S6271">
        <v>0.23132320000000001</v>
      </c>
      <c r="T6271">
        <v>-0.22380269999999999</v>
      </c>
      <c r="U6271">
        <v>3.00528</v>
      </c>
      <c r="V6271">
        <v>-1.9102399999999999E-2</v>
      </c>
      <c r="W6271">
        <v>1.8109110000000001E-2</v>
      </c>
      <c r="X6271">
        <v>0.99965349999999997</v>
      </c>
      <c r="Y6271">
        <v>6.9485809999999995E-2</v>
      </c>
      <c r="Z6271">
        <v>-7.4062799999999998E-2</v>
      </c>
      <c r="AA6271">
        <v>0.99482979999999999</v>
      </c>
      <c r="AB6271">
        <v>29</v>
      </c>
      <c r="AC6271">
        <v>6.4500000000009494E-2</v>
      </c>
      <c r="AD6271">
        <v>-6.49809999999999E-2</v>
      </c>
      <c r="AE6271">
        <v>0.58840000000000003</v>
      </c>
      <c r="AF6271">
        <v>5.96212559281954E-2</v>
      </c>
      <c r="AG6271">
        <v>-6.49809999999999E-2</v>
      </c>
      <c r="AH6271">
        <v>0.58182927179200505</v>
      </c>
      <c r="AI6271">
        <v>96.339685849289907</v>
      </c>
      <c r="AJ6271">
        <v>84.149204057983596</v>
      </c>
      <c r="AK6271">
        <v>0.58847474545087297</v>
      </c>
    </row>
    <row r="6272" spans="1:37" x14ac:dyDescent="0.2">
      <c r="A6272" t="str">
        <f>"20200111160341243"</f>
        <v>20200111160341243</v>
      </c>
      <c r="B6272" t="str">
        <f>"1578729821239216"</f>
        <v>1578729821239216</v>
      </c>
      <c r="C6272" t="s">
        <v>37</v>
      </c>
      <c r="D6272">
        <v>4.6865079999999999</v>
      </c>
      <c r="E6272">
        <v>0.55700740000000004</v>
      </c>
      <c r="F6272" t="s">
        <v>42</v>
      </c>
      <c r="G6272">
        <v>-188.6953</v>
      </c>
      <c r="H6272">
        <v>1.0446629999999999</v>
      </c>
      <c r="I6272">
        <v>32.108319999999999</v>
      </c>
      <c r="J6272">
        <v>-188.78909999999999</v>
      </c>
      <c r="K6272">
        <v>1.102929</v>
      </c>
      <c r="L6272">
        <v>31.556519999999999</v>
      </c>
      <c r="M6272">
        <v>8.1050089999999998E-3</v>
      </c>
      <c r="N6272">
        <v>0</v>
      </c>
      <c r="O6272">
        <v>0.99993180000000004</v>
      </c>
      <c r="P6272">
        <v>-1.2077320000000001E-2</v>
      </c>
      <c r="Q6272">
        <v>9.8086960000000004E-3</v>
      </c>
      <c r="R6272">
        <v>0.99987890000000001</v>
      </c>
      <c r="S6272">
        <v>0.34059139999999999</v>
      </c>
      <c r="T6272">
        <v>-0.204549799999999</v>
      </c>
      <c r="U6272">
        <v>3.0064389999999999</v>
      </c>
      <c r="V6272">
        <v>-2.014529E-2</v>
      </c>
      <c r="W6272">
        <v>1.8256910000000001E-2</v>
      </c>
      <c r="X6272">
        <v>0.99963029999999997</v>
      </c>
      <c r="Y6272">
        <v>0.10425329999999999</v>
      </c>
      <c r="Z6272">
        <v>-6.7477229999999999E-2</v>
      </c>
      <c r="AA6272">
        <v>0.99225909999999995</v>
      </c>
      <c r="AB6272">
        <v>30</v>
      </c>
      <c r="AC6272">
        <v>9.3799999999987393E-2</v>
      </c>
      <c r="AD6272">
        <v>-5.8266000000000102E-2</v>
      </c>
      <c r="AE6272">
        <v>0.55179999999999596</v>
      </c>
      <c r="AF6272">
        <v>8.8366815680556196E-2</v>
      </c>
      <c r="AG6272">
        <v>-5.8266000000000102E-2</v>
      </c>
      <c r="AH6272">
        <v>0.54661863120634901</v>
      </c>
      <c r="AI6272">
        <v>96.006977550356595</v>
      </c>
      <c r="AJ6272">
        <v>80.816964503169899</v>
      </c>
      <c r="AK6272">
        <v>0.55677243901923201</v>
      </c>
    </row>
    <row r="6273" spans="1:37" x14ac:dyDescent="0.2">
      <c r="A6273" t="str">
        <f>"20200111160341264"</f>
        <v>20200111160341264</v>
      </c>
      <c r="B6273" t="str">
        <f>"1578729821259713"</f>
        <v>1578729821259713</v>
      </c>
      <c r="C6273" t="s">
        <v>37</v>
      </c>
      <c r="D6273">
        <v>4.7797599999999996</v>
      </c>
      <c r="E6273">
        <v>0.56009940000000003</v>
      </c>
      <c r="F6273" t="s">
        <v>42</v>
      </c>
      <c r="G6273">
        <v>-188.67789999999999</v>
      </c>
      <c r="H6273">
        <v>1.0507010000000001</v>
      </c>
      <c r="I6273">
        <v>32.379559999999998</v>
      </c>
      <c r="J6273">
        <v>-188.78569999999999</v>
      </c>
      <c r="K6273">
        <v>1.1029340000000001</v>
      </c>
      <c r="L6273">
        <v>31.847349999999999</v>
      </c>
      <c r="M6273">
        <v>9.0955719999999997E-3</v>
      </c>
      <c r="N6273">
        <v>0</v>
      </c>
      <c r="O6273">
        <v>0.99992309999999995</v>
      </c>
      <c r="P6273">
        <v>-1.210498E-2</v>
      </c>
      <c r="Q6273">
        <v>1.017184E-2</v>
      </c>
      <c r="R6273">
        <v>0.99987499999999996</v>
      </c>
      <c r="S6273">
        <v>0.40565489999999998</v>
      </c>
      <c r="T6273">
        <v>-0.19079679999999999</v>
      </c>
      <c r="U6273">
        <v>3.0071409999999998</v>
      </c>
      <c r="V6273">
        <v>-2.1162319999999998E-2</v>
      </c>
      <c r="W6273">
        <v>1.864451E-2</v>
      </c>
      <c r="X6273">
        <v>0.999602199999999</v>
      </c>
      <c r="Y6273">
        <v>0.12440279999999999</v>
      </c>
      <c r="Z6273">
        <v>-6.2787529999999994E-2</v>
      </c>
      <c r="AA6273">
        <v>0.99024330000000005</v>
      </c>
      <c r="AB6273">
        <v>30</v>
      </c>
      <c r="AC6273">
        <v>0.107799999999997</v>
      </c>
      <c r="AD6273">
        <v>-5.2232999999999898E-2</v>
      </c>
      <c r="AE6273">
        <v>0.53220999999999896</v>
      </c>
      <c r="AF6273">
        <v>0.102010753666889</v>
      </c>
      <c r="AG6273">
        <v>-5.2232999999999898E-2</v>
      </c>
      <c r="AH6273">
        <v>0.52828057408398899</v>
      </c>
      <c r="AI6273">
        <v>95.544911188254801</v>
      </c>
      <c r="AJ6273">
        <v>79.070726012566496</v>
      </c>
      <c r="AK6273">
        <v>0.54056900124516505</v>
      </c>
    </row>
    <row r="6274" spans="1:37" x14ac:dyDescent="0.2">
      <c r="A6274" t="str">
        <f>"20200111160341285"</f>
        <v>20200111160341285</v>
      </c>
      <c r="B6274" t="str">
        <f>"1578729821279234"</f>
        <v>1578729821279234</v>
      </c>
      <c r="C6274" t="s">
        <v>37</v>
      </c>
      <c r="D6274">
        <v>4.779013</v>
      </c>
      <c r="E6274">
        <v>0.56197730000000001</v>
      </c>
      <c r="F6274" t="s">
        <v>38</v>
      </c>
      <c r="G6274">
        <v>-186.19759999999999</v>
      </c>
      <c r="H6274" s="1">
        <v>-1.107516E-6</v>
      </c>
      <c r="I6274">
        <v>49.929519999999997</v>
      </c>
      <c r="J6274">
        <v>-188.78219999999999</v>
      </c>
      <c r="K6274">
        <v>1.1029359999999999</v>
      </c>
      <c r="L6274">
        <v>32.12717</v>
      </c>
      <c r="M6274">
        <v>1.0048349999999999E-2</v>
      </c>
      <c r="N6274">
        <v>0</v>
      </c>
      <c r="O6274">
        <v>0.99991379999999996</v>
      </c>
      <c r="P6274">
        <v>-1.1375969999999999E-2</v>
      </c>
      <c r="Q6274">
        <v>1.0377829999999999E-2</v>
      </c>
      <c r="R6274">
        <v>0.99988140000000003</v>
      </c>
      <c r="S6274">
        <v>0.43046570000000001</v>
      </c>
      <c r="T6274">
        <v>-0.183441299999999</v>
      </c>
      <c r="U6274">
        <v>3.0074459999999998</v>
      </c>
      <c r="V6274">
        <v>-2.1385299999999999E-2</v>
      </c>
      <c r="W6274">
        <v>1.8870970000000001E-2</v>
      </c>
      <c r="X6274">
        <v>0.99959319999999896</v>
      </c>
      <c r="Y6274">
        <v>0.13147700000000001</v>
      </c>
      <c r="Z6274">
        <v>-6.0307560000000003E-2</v>
      </c>
      <c r="AA6274">
        <v>0.98948309999999995</v>
      </c>
      <c r="AB6274">
        <v>30</v>
      </c>
      <c r="AC6274">
        <v>2.5845999999999898</v>
      </c>
      <c r="AD6274">
        <v>-1.1029371075159999</v>
      </c>
      <c r="AE6274">
        <v>17.802350000000001</v>
      </c>
      <c r="AF6274">
        <v>2.3965698443465899</v>
      </c>
      <c r="AG6274">
        <v>-1.1029371075159999</v>
      </c>
      <c r="AH6274">
        <v>17.760658358419199</v>
      </c>
      <c r="AI6274">
        <v>93.521670164611294</v>
      </c>
      <c r="AJ6274">
        <v>82.315097642349201</v>
      </c>
      <c r="AK6274">
        <v>17.9555284691499</v>
      </c>
    </row>
    <row r="6275" spans="1:37" x14ac:dyDescent="0.2">
      <c r="A6275" t="str">
        <f>"20200111160341307"</f>
        <v>20200111160341307</v>
      </c>
      <c r="B6275" t="str">
        <f>"1578729821299729"</f>
        <v>1578729821299729</v>
      </c>
      <c r="C6275" t="s">
        <v>37</v>
      </c>
      <c r="D6275">
        <v>4.736002</v>
      </c>
      <c r="E6275">
        <v>0.56320389999999998</v>
      </c>
      <c r="F6275" t="s">
        <v>38</v>
      </c>
      <c r="G6275">
        <v>-186.0437</v>
      </c>
      <c r="H6275" s="1">
        <v>-1.346117E-6</v>
      </c>
      <c r="I6275">
        <v>50.510350000000003</v>
      </c>
      <c r="J6275">
        <v>-188.77809999999999</v>
      </c>
      <c r="K6275">
        <v>1.1029279999999999</v>
      </c>
      <c r="L6275">
        <v>32.430239999999998</v>
      </c>
      <c r="M6275">
        <v>1.107995E-2</v>
      </c>
      <c r="N6275">
        <v>0</v>
      </c>
      <c r="O6275">
        <v>0.99990270000000003</v>
      </c>
      <c r="P6275">
        <v>-1.01148E-2</v>
      </c>
      <c r="Q6275">
        <v>1.0279669999999999E-2</v>
      </c>
      <c r="R6275">
        <v>0.99989599999999901</v>
      </c>
      <c r="S6275">
        <v>0.44799799999999901</v>
      </c>
      <c r="T6275">
        <v>-0.1804306</v>
      </c>
      <c r="U6275">
        <v>3.0073240000000001</v>
      </c>
      <c r="V6275">
        <v>-2.1155589999999998E-2</v>
      </c>
      <c r="W6275">
        <v>1.8794689999999999E-2</v>
      </c>
      <c r="X6275">
        <v>0.99959949999999997</v>
      </c>
      <c r="Y6275">
        <v>0.1361156</v>
      </c>
      <c r="Z6275">
        <v>-5.92793E-2</v>
      </c>
      <c r="AA6275">
        <v>0.98891779999999996</v>
      </c>
      <c r="AB6275">
        <v>30</v>
      </c>
      <c r="AC6275">
        <v>2.7343999999999902</v>
      </c>
      <c r="AD6275">
        <v>-1.102929346117</v>
      </c>
      <c r="AE6275">
        <v>18.080110000000001</v>
      </c>
      <c r="AF6275">
        <v>2.5247131347848302</v>
      </c>
      <c r="AG6275">
        <v>-1.102929346117</v>
      </c>
      <c r="AH6275">
        <v>18.043654031387401</v>
      </c>
      <c r="AI6275">
        <v>93.464223286709</v>
      </c>
      <c r="AJ6275">
        <v>82.034744860256893</v>
      </c>
      <c r="AK6275">
        <v>18.252782811393001</v>
      </c>
    </row>
    <row r="6276" spans="1:37" x14ac:dyDescent="0.2">
      <c r="A6276" t="str">
        <f>"20200111160341329"</f>
        <v>20200111160341329</v>
      </c>
      <c r="B6276" t="str">
        <f>"1578729821319249"</f>
        <v>1578729821319249</v>
      </c>
      <c r="C6276" t="s">
        <v>37</v>
      </c>
      <c r="D6276">
        <v>4.8426159999999996</v>
      </c>
      <c r="E6276">
        <v>0.56436719999999996</v>
      </c>
      <c r="F6276" t="s">
        <v>38</v>
      </c>
      <c r="G6276">
        <v>-185.9221</v>
      </c>
      <c r="H6276" s="1">
        <v>-1.5530359999999999E-6</v>
      </c>
      <c r="I6276">
        <v>51.023330000000001</v>
      </c>
      <c r="J6276">
        <v>-188.774</v>
      </c>
      <c r="K6276">
        <v>1.102924</v>
      </c>
      <c r="L6276">
        <v>32.714289999999998</v>
      </c>
      <c r="M6276">
        <v>1.2046329999999999E-2</v>
      </c>
      <c r="N6276">
        <v>0</v>
      </c>
      <c r="O6276">
        <v>0.99989130000000004</v>
      </c>
      <c r="P6276">
        <v>-8.9306460000000004E-3</v>
      </c>
      <c r="Q6276">
        <v>1.0272359999999999E-2</v>
      </c>
      <c r="R6276">
        <v>0.9999074</v>
      </c>
      <c r="S6276">
        <v>0.46186830000000001</v>
      </c>
      <c r="T6276">
        <v>-0.17836160000000001</v>
      </c>
      <c r="U6276">
        <v>3.0068049999999999</v>
      </c>
      <c r="V6276">
        <v>-2.093776E-2</v>
      </c>
      <c r="W6276">
        <v>1.880708E-2</v>
      </c>
      <c r="X6276">
        <v>0.99960389999999999</v>
      </c>
      <c r="Y6276">
        <v>0.1396482</v>
      </c>
      <c r="Z6276">
        <v>-5.8576379999999997E-2</v>
      </c>
      <c r="AA6276">
        <v>0.98846710000000004</v>
      </c>
      <c r="AB6276">
        <v>30</v>
      </c>
      <c r="AC6276">
        <v>2.8519000000000001</v>
      </c>
      <c r="AD6276">
        <v>-1.102925553036</v>
      </c>
      <c r="AE6276">
        <v>18.30904</v>
      </c>
      <c r="AF6276">
        <v>2.62183961968422</v>
      </c>
      <c r="AG6276">
        <v>-1.102925553036</v>
      </c>
      <c r="AH6276">
        <v>18.277314215849</v>
      </c>
      <c r="AI6276">
        <v>93.418359934214493</v>
      </c>
      <c r="AJ6276">
        <v>81.836737821138101</v>
      </c>
      <c r="AK6276">
        <v>18.497316094822001</v>
      </c>
    </row>
    <row r="6277" spans="1:37" x14ac:dyDescent="0.2">
      <c r="A6277" t="str">
        <f>"20200111160341353"</f>
        <v>20200111160341353</v>
      </c>
      <c r="B6277" t="str">
        <f>"1578729821349505"</f>
        <v>1578729821349505</v>
      </c>
      <c r="C6277" t="s">
        <v>37</v>
      </c>
      <c r="D6277">
        <v>4.7723979999999999</v>
      </c>
      <c r="E6277">
        <v>0.56585479999999999</v>
      </c>
      <c r="F6277" t="s">
        <v>38</v>
      </c>
      <c r="G6277">
        <v>-185.8038</v>
      </c>
      <c r="H6277" s="1">
        <v>-1.7499500000000001E-6</v>
      </c>
      <c r="I6277">
        <v>51.509500000000003</v>
      </c>
      <c r="J6277">
        <v>-188.76910000000001</v>
      </c>
      <c r="K6277">
        <v>1.1029249999999999</v>
      </c>
      <c r="L6277">
        <v>33.024540000000002</v>
      </c>
      <c r="M6277">
        <v>1.31014999999999E-2</v>
      </c>
      <c r="N6277">
        <v>0</v>
      </c>
      <c r="O6277">
        <v>0.99987789999999999</v>
      </c>
      <c r="P6277">
        <v>-7.5541389999999996E-3</v>
      </c>
      <c r="Q6277">
        <v>1.0422259999999999E-2</v>
      </c>
      <c r="R6277">
        <v>0.9999171</v>
      </c>
      <c r="S6277">
        <v>0.47508240000000002</v>
      </c>
      <c r="T6277">
        <v>-0.17641609999999999</v>
      </c>
      <c r="U6277">
        <v>3.006348</v>
      </c>
      <c r="V6277">
        <v>-2.0616430000000002E-2</v>
      </c>
      <c r="W6277">
        <v>1.8978229999999999E-2</v>
      </c>
      <c r="X6277">
        <v>0.99960729999999998</v>
      </c>
      <c r="Y6277">
        <v>0.14287279999999999</v>
      </c>
      <c r="Z6277">
        <v>-5.7914350000000003E-2</v>
      </c>
      <c r="AA6277">
        <v>0.98804519999999996</v>
      </c>
      <c r="AB6277">
        <v>30</v>
      </c>
      <c r="AC6277">
        <v>2.9653000000000098</v>
      </c>
      <c r="AD6277">
        <v>-1.10292674995</v>
      </c>
      <c r="AE6277">
        <v>18.484960000000001</v>
      </c>
      <c r="AF6277">
        <v>2.7134383559293398</v>
      </c>
      <c r="AG6277">
        <v>-1.10292674995</v>
      </c>
      <c r="AH6277">
        <v>18.458161211142901</v>
      </c>
      <c r="AI6277">
        <v>93.383241836782403</v>
      </c>
      <c r="AJ6277">
        <v>81.637143518056405</v>
      </c>
      <c r="AK6277">
        <v>18.689112082272</v>
      </c>
    </row>
    <row r="6278" spans="1:37" x14ac:dyDescent="0.2">
      <c r="A6278" t="str">
        <f>"20200111160341375"</f>
        <v>20200111160341375</v>
      </c>
      <c r="B6278" t="str">
        <f>"1578729821369025"</f>
        <v>1578729821369025</v>
      </c>
      <c r="C6278" t="s">
        <v>37</v>
      </c>
      <c r="D6278">
        <v>4.7710239999999997</v>
      </c>
      <c r="E6278">
        <v>0.56656300000000004</v>
      </c>
      <c r="F6278" t="s">
        <v>38</v>
      </c>
      <c r="G6278">
        <v>-185.69659999999999</v>
      </c>
      <c r="H6278" s="1">
        <v>-1.885844E-6</v>
      </c>
      <c r="I6278">
        <v>51.825020000000002</v>
      </c>
      <c r="J6278">
        <v>-188.76400000000001</v>
      </c>
      <c r="K6278">
        <v>1.102919</v>
      </c>
      <c r="L6278">
        <v>33.334319999999998</v>
      </c>
      <c r="M6278">
        <v>1.415461E-2</v>
      </c>
      <c r="N6278">
        <v>0</v>
      </c>
      <c r="O6278">
        <v>0.99986339999999996</v>
      </c>
      <c r="P6278">
        <v>-6.18043699999999E-3</v>
      </c>
      <c r="Q6278">
        <v>1.0726309999999999E-2</v>
      </c>
      <c r="R6278">
        <v>0.99992329999999996</v>
      </c>
      <c r="S6278">
        <v>0.491226199999999</v>
      </c>
      <c r="T6278">
        <v>-0.17633460000000001</v>
      </c>
      <c r="U6278">
        <v>3.005798</v>
      </c>
      <c r="V6278">
        <v>-2.029504E-2</v>
      </c>
      <c r="W6278">
        <v>1.9302900000000001E-2</v>
      </c>
      <c r="X6278">
        <v>0.99960769999999899</v>
      </c>
      <c r="Y6278">
        <v>0.14703050000000001</v>
      </c>
      <c r="Z6278">
        <v>-5.7854709999999997E-2</v>
      </c>
      <c r="AA6278">
        <v>0.98743860000000006</v>
      </c>
      <c r="AB6278">
        <v>30</v>
      </c>
      <c r="AC6278">
        <v>3.0674000000000201</v>
      </c>
      <c r="AD6278">
        <v>-1.1029208858440001</v>
      </c>
      <c r="AE6278">
        <v>18.4907</v>
      </c>
      <c r="AF6278">
        <v>2.7956744278381498</v>
      </c>
      <c r="AG6278">
        <v>-1.1029208858440001</v>
      </c>
      <c r="AH6278">
        <v>18.468319969062801</v>
      </c>
      <c r="AI6278">
        <v>93.379215423240097</v>
      </c>
      <c r="AJ6278">
        <v>81.392103314505604</v>
      </c>
      <c r="AK6278">
        <v>18.711255234926998</v>
      </c>
    </row>
    <row r="6279" spans="1:37" x14ac:dyDescent="0.2">
      <c r="A6279" t="str">
        <f>"20200111160341418"</f>
        <v>20200111160341418</v>
      </c>
      <c r="B6279" t="str">
        <f>"1578729821409041"</f>
        <v>1578729821409041</v>
      </c>
      <c r="C6279" t="s">
        <v>37</v>
      </c>
      <c r="D6279">
        <v>4.7318850000000001</v>
      </c>
      <c r="E6279">
        <v>0.56728350000000005</v>
      </c>
      <c r="F6279" t="s">
        <v>38</v>
      </c>
      <c r="G6279">
        <v>-185.65729999999999</v>
      </c>
      <c r="H6279" s="1">
        <v>-1.9469689999999999E-6</v>
      </c>
      <c r="I6279">
        <v>51.973880000000001</v>
      </c>
      <c r="J6279">
        <v>-188.7534</v>
      </c>
      <c r="K6279">
        <v>1.1029119999999999</v>
      </c>
      <c r="L6279">
        <v>33.919589999999999</v>
      </c>
      <c r="M6279">
        <v>1.614324E-2</v>
      </c>
      <c r="N6279">
        <v>0</v>
      </c>
      <c r="O6279">
        <v>0.99983290000000002</v>
      </c>
      <c r="P6279">
        <v>-3.5065929999999901E-3</v>
      </c>
      <c r="Q6279">
        <v>1.005811E-2</v>
      </c>
      <c r="R6279">
        <v>0.99994329999999998</v>
      </c>
      <c r="S6279">
        <v>0.50088500000000002</v>
      </c>
      <c r="T6279">
        <v>-0.1778217</v>
      </c>
      <c r="U6279">
        <v>3.0052189999999999</v>
      </c>
      <c r="V6279">
        <v>-1.9611279999999998E-2</v>
      </c>
      <c r="W6279">
        <v>1.867311E-2</v>
      </c>
      <c r="X6279">
        <v>0.99963329999999995</v>
      </c>
      <c r="Y6279">
        <v>0.14817849999999999</v>
      </c>
      <c r="Z6279">
        <v>-5.8329239999999997E-2</v>
      </c>
      <c r="AA6279">
        <v>0.98723899999999998</v>
      </c>
      <c r="AB6279">
        <v>30</v>
      </c>
      <c r="AC6279">
        <v>3.0960999999999999</v>
      </c>
      <c r="AD6279">
        <v>-1.1029139469689999</v>
      </c>
      <c r="AE6279">
        <v>18.054290000000002</v>
      </c>
      <c r="AF6279">
        <v>2.7941018142084002</v>
      </c>
      <c r="AG6279">
        <v>-1.1029139469689999</v>
      </c>
      <c r="AH6279">
        <v>18.036533620233499</v>
      </c>
      <c r="AI6279">
        <v>93.458070243682201</v>
      </c>
      <c r="AJ6279">
        <v>81.194109171509496</v>
      </c>
      <c r="AK6279">
        <v>18.2849656591527</v>
      </c>
    </row>
    <row r="6280" spans="1:37" x14ac:dyDescent="0.2">
      <c r="A6280" t="str">
        <f>"20200111160341440"</f>
        <v>20200111160341440</v>
      </c>
      <c r="B6280" t="str">
        <f>"1578729821429161"</f>
        <v>1578729821429161</v>
      </c>
      <c r="C6280" t="s">
        <v>37</v>
      </c>
      <c r="D6280">
        <v>4.8005240000000002</v>
      </c>
      <c r="E6280">
        <v>0.56762480000000004</v>
      </c>
      <c r="F6280" t="s">
        <v>38</v>
      </c>
      <c r="G6280">
        <v>-185.63409999999999</v>
      </c>
      <c r="H6280" s="1">
        <v>-2.0059460000000001E-6</v>
      </c>
      <c r="I6280">
        <v>52.12903</v>
      </c>
      <c r="J6280">
        <v>-188.7475</v>
      </c>
      <c r="K6280">
        <v>1.102902</v>
      </c>
      <c r="L6280">
        <v>34.218809999999998</v>
      </c>
      <c r="M6280">
        <v>1.715941E-2</v>
      </c>
      <c r="N6280">
        <v>0</v>
      </c>
      <c r="O6280">
        <v>0.99981580000000003</v>
      </c>
      <c r="P6280">
        <v>-2.3079369999999999E-3</v>
      </c>
      <c r="Q6280">
        <v>8.7139469999999997E-3</v>
      </c>
      <c r="R6280">
        <v>0.9999593</v>
      </c>
      <c r="S6280">
        <v>0.51455689999999998</v>
      </c>
      <c r="T6280">
        <v>-0.18193570000000001</v>
      </c>
      <c r="U6280">
        <v>3.0038149999999999</v>
      </c>
      <c r="V6280">
        <v>-1.943156E-2</v>
      </c>
      <c r="W6280">
        <v>1.7348200000000001E-2</v>
      </c>
      <c r="X6280">
        <v>0.99966069999999996</v>
      </c>
      <c r="Y6280">
        <v>0.1516026</v>
      </c>
      <c r="Z6280">
        <v>-5.9661840000000001E-2</v>
      </c>
      <c r="AA6280">
        <v>0.9866393</v>
      </c>
      <c r="AB6280">
        <v>30</v>
      </c>
      <c r="AC6280">
        <v>3.1134000000000102</v>
      </c>
      <c r="AD6280">
        <v>-1.102904005946</v>
      </c>
      <c r="AE6280">
        <v>17.910219999999999</v>
      </c>
      <c r="AF6280">
        <v>2.79531236442695</v>
      </c>
      <c r="AG6280">
        <v>-1.102904005946</v>
      </c>
      <c r="AH6280">
        <v>17.895140141778199</v>
      </c>
      <c r="AI6280">
        <v>93.484612800502006</v>
      </c>
      <c r="AJ6280">
        <v>81.121851483434298</v>
      </c>
      <c r="AK6280">
        <v>18.145693956278699</v>
      </c>
    </row>
    <row r="6281" spans="1:37" x14ac:dyDescent="0.2">
      <c r="A6281" t="str">
        <f>"20200111160341463"</f>
        <v>20200111160341463</v>
      </c>
      <c r="B6281" t="str">
        <f>"1578729821459416"</f>
        <v>1578729821459416</v>
      </c>
      <c r="C6281" t="s">
        <v>37</v>
      </c>
      <c r="D6281">
        <v>4.8052380000000001</v>
      </c>
      <c r="E6281">
        <v>0.56811639999999997</v>
      </c>
      <c r="F6281" t="s">
        <v>38</v>
      </c>
      <c r="G6281">
        <v>-185.64330000000001</v>
      </c>
      <c r="H6281" s="1">
        <v>-1.9938720000000002E-6</v>
      </c>
      <c r="I6281">
        <v>52.100790000000003</v>
      </c>
      <c r="J6281">
        <v>-188.7413</v>
      </c>
      <c r="K6281">
        <v>1.1028979999999999</v>
      </c>
      <c r="L6281">
        <v>34.521419999999999</v>
      </c>
      <c r="M6281">
        <v>1.8186979999999998E-2</v>
      </c>
      <c r="N6281">
        <v>0</v>
      </c>
      <c r="O6281">
        <v>0.99979750000000001</v>
      </c>
      <c r="P6281">
        <v>-1.40962799999999E-3</v>
      </c>
      <c r="Q6281">
        <v>7.5593229999999997E-3</v>
      </c>
      <c r="R6281">
        <v>0.99997039999999904</v>
      </c>
      <c r="S6281">
        <v>0.52128599999999903</v>
      </c>
      <c r="T6281">
        <v>-0.1852113</v>
      </c>
      <c r="U6281">
        <v>3.0029300000000001</v>
      </c>
      <c r="V6281">
        <v>-1.956302E-2</v>
      </c>
      <c r="W6281">
        <v>1.621301E-2</v>
      </c>
      <c r="X6281">
        <v>0.99967719999999904</v>
      </c>
      <c r="Y6281">
        <v>0.15277109999999999</v>
      </c>
      <c r="Z6281">
        <v>-6.0730999999999903E-2</v>
      </c>
      <c r="AA6281">
        <v>0.98639379999999999</v>
      </c>
      <c r="AB6281">
        <v>30</v>
      </c>
      <c r="AC6281">
        <v>3.0979999999999799</v>
      </c>
      <c r="AD6281">
        <v>-1.1028999938719899</v>
      </c>
      <c r="AE6281">
        <v>17.579370000000001</v>
      </c>
      <c r="AF6281">
        <v>2.7671961816209798</v>
      </c>
      <c r="AG6281">
        <v>-1.1028999938719899</v>
      </c>
      <c r="AH6281">
        <v>17.5657496948503</v>
      </c>
      <c r="AI6281">
        <v>93.5490572366365</v>
      </c>
      <c r="AJ6281">
        <v>81.047561556004396</v>
      </c>
      <c r="AK6281">
        <v>17.816546395028301</v>
      </c>
    </row>
    <row r="6282" spans="1:37" x14ac:dyDescent="0.2">
      <c r="A6282" t="str">
        <f>"20200111160341484"</f>
        <v>20200111160341484</v>
      </c>
      <c r="B6282" t="str">
        <f>"1578729821479913"</f>
        <v>1578729821479913</v>
      </c>
      <c r="C6282" t="s">
        <v>37</v>
      </c>
      <c r="D6282">
        <v>4.7835380000000001</v>
      </c>
      <c r="E6282">
        <v>0.5684884</v>
      </c>
      <c r="F6282" t="s">
        <v>38</v>
      </c>
      <c r="G6282">
        <v>-185.66419999999999</v>
      </c>
      <c r="H6282" s="1">
        <v>-1.9551839999999999E-6</v>
      </c>
      <c r="I6282">
        <v>52.003390000000003</v>
      </c>
      <c r="J6282">
        <v>-188.73490000000001</v>
      </c>
      <c r="K6282">
        <v>1.102889</v>
      </c>
      <c r="L6282">
        <v>34.815309999999997</v>
      </c>
      <c r="M6282">
        <v>1.9184340000000001E-2</v>
      </c>
      <c r="N6282">
        <v>0</v>
      </c>
      <c r="O6282">
        <v>0.99977870000000002</v>
      </c>
      <c r="P6282">
        <v>-7.1245330000000004E-4</v>
      </c>
      <c r="Q6282">
        <v>6.8783289999999999E-3</v>
      </c>
      <c r="R6282">
        <v>0.99997610000000003</v>
      </c>
      <c r="S6282">
        <v>0.52844239999999998</v>
      </c>
      <c r="T6282">
        <v>-0.1894062</v>
      </c>
      <c r="U6282">
        <v>3.0022579999999999</v>
      </c>
      <c r="V6282">
        <v>-1.9864969999999999E-2</v>
      </c>
      <c r="W6282">
        <v>1.555172E-2</v>
      </c>
      <c r="X6282">
        <v>0.99968169999999901</v>
      </c>
      <c r="Y6282">
        <v>0.15408929999999901</v>
      </c>
      <c r="Z6282">
        <v>-6.2094080000000003E-2</v>
      </c>
      <c r="AA6282">
        <v>0.98610379999999997</v>
      </c>
      <c r="AB6282">
        <v>30</v>
      </c>
      <c r="AC6282">
        <v>3.0707000000000102</v>
      </c>
      <c r="AD6282">
        <v>-1.102890955184</v>
      </c>
      <c r="AE6282">
        <v>17.188079999999999</v>
      </c>
      <c r="AF6282">
        <v>2.72949009575817</v>
      </c>
      <c r="AG6282">
        <v>-1.102890955184</v>
      </c>
      <c r="AH6282">
        <v>17.175299767204699</v>
      </c>
      <c r="AI6282">
        <v>93.628721509509404</v>
      </c>
      <c r="AJ6282">
        <v>80.970095891141298</v>
      </c>
      <c r="AK6282">
        <v>17.425768469000499</v>
      </c>
    </row>
    <row r="6283" spans="1:37" x14ac:dyDescent="0.2">
      <c r="A6283" t="str">
        <f>"20200111160341508"</f>
        <v>20200111160341508</v>
      </c>
      <c r="B6283" t="str">
        <f>"1578729821499433"</f>
        <v>1578729821499433</v>
      </c>
      <c r="C6283" t="s">
        <v>37</v>
      </c>
      <c r="D6283">
        <v>4.8644489999999996</v>
      </c>
      <c r="E6283">
        <v>0.56879959999999996</v>
      </c>
      <c r="F6283" t="s">
        <v>38</v>
      </c>
      <c r="G6283">
        <v>-185.65629999999999</v>
      </c>
      <c r="H6283" s="1">
        <v>-1.99805999999999E-6</v>
      </c>
      <c r="I6283">
        <v>52.12323</v>
      </c>
      <c r="J6283">
        <v>-188.7278</v>
      </c>
      <c r="K6283">
        <v>1.1028910000000001</v>
      </c>
      <c r="L6283">
        <v>35.129939999999998</v>
      </c>
      <c r="M6283">
        <v>2.025194E-2</v>
      </c>
      <c r="N6283">
        <v>0</v>
      </c>
      <c r="O6283">
        <v>0.99975749999999997</v>
      </c>
      <c r="P6283">
        <v>2.1858199999999999E-4</v>
      </c>
      <c r="Q6283">
        <v>6.2547369999999998E-3</v>
      </c>
      <c r="R6283">
        <v>0.99998039999999999</v>
      </c>
      <c r="S6283">
        <v>0.53393550000000001</v>
      </c>
      <c r="T6283">
        <v>-0.19127810000000001</v>
      </c>
      <c r="U6283">
        <v>3.00177</v>
      </c>
      <c r="V6283">
        <v>-2.0002909999999999E-2</v>
      </c>
      <c r="W6283">
        <v>1.494907E-2</v>
      </c>
      <c r="X6283">
        <v>0.99968809999999997</v>
      </c>
      <c r="Y6283">
        <v>0.15480469999999999</v>
      </c>
      <c r="Z6283">
        <v>-6.2699969999999994E-2</v>
      </c>
      <c r="AA6283">
        <v>0.98595350000000004</v>
      </c>
      <c r="AB6283">
        <v>30</v>
      </c>
      <c r="AC6283">
        <v>3.0715000000000101</v>
      </c>
      <c r="AD6283">
        <v>-1.10289299806</v>
      </c>
      <c r="AE6283">
        <v>16.993289999999899</v>
      </c>
      <c r="AF6283">
        <v>2.71563307091095</v>
      </c>
      <c r="AG6283">
        <v>-1.10289299806</v>
      </c>
      <c r="AH6283">
        <v>16.982738662179798</v>
      </c>
      <c r="AI6283">
        <v>93.669200306511499</v>
      </c>
      <c r="AJ6283">
        <v>80.915003268075793</v>
      </c>
      <c r="AK6283">
        <v>17.233817000562901</v>
      </c>
    </row>
    <row r="6284" spans="1:37" x14ac:dyDescent="0.2">
      <c r="A6284" t="str">
        <f>"20200111160341531"</f>
        <v>20200111160341531</v>
      </c>
      <c r="B6284" t="str">
        <f>"1578729821519928"</f>
        <v>1578729821519928</v>
      </c>
      <c r="C6284" t="s">
        <v>37</v>
      </c>
      <c r="D6284">
        <v>4.9053750000000003</v>
      </c>
      <c r="E6284">
        <v>0.56902929999999996</v>
      </c>
      <c r="F6284" t="s">
        <v>38</v>
      </c>
      <c r="G6284">
        <v>-185.6489</v>
      </c>
      <c r="H6284" s="1">
        <v>-2.0462060000000002E-6</v>
      </c>
      <c r="I6284">
        <v>52.258920000000003</v>
      </c>
      <c r="J6284">
        <v>-188.7208</v>
      </c>
      <c r="K6284">
        <v>1.102884</v>
      </c>
      <c r="L6284">
        <v>35.424840000000003</v>
      </c>
      <c r="M6284">
        <v>2.1251840000000001E-2</v>
      </c>
      <c r="N6284">
        <v>0</v>
      </c>
      <c r="O6284">
        <v>0.99973650000000003</v>
      </c>
      <c r="P6284">
        <v>5.5798190000000002E-4</v>
      </c>
      <c r="Q6284">
        <v>6.2011289999999997E-3</v>
      </c>
      <c r="R6284">
        <v>0.9999806</v>
      </c>
      <c r="S6284">
        <v>0.53945919999999903</v>
      </c>
      <c r="T6284">
        <v>-0.1932374</v>
      </c>
      <c r="U6284">
        <v>3.00116</v>
      </c>
      <c r="V6284">
        <v>-2.0663609999999999E-2</v>
      </c>
      <c r="W6284">
        <v>1.4914739999999999E-2</v>
      </c>
      <c r="X6284">
        <v>0.99967519999999999</v>
      </c>
      <c r="Y6284">
        <v>0.1556025</v>
      </c>
      <c r="Z6284">
        <v>-6.3336149999999994E-2</v>
      </c>
      <c r="AA6284">
        <v>0.98578719999999997</v>
      </c>
      <c r="AB6284">
        <v>30</v>
      </c>
      <c r="AC6284">
        <v>3.0718999999999901</v>
      </c>
      <c r="AD6284">
        <v>-1.1028860462059999</v>
      </c>
      <c r="AE6284">
        <v>16.83408</v>
      </c>
      <c r="AF6284">
        <v>2.7022127984775999</v>
      </c>
      <c r="AG6284">
        <v>-1.1028860462059999</v>
      </c>
      <c r="AH6284">
        <v>16.825671581333001</v>
      </c>
      <c r="AI6284">
        <v>93.702932955859595</v>
      </c>
      <c r="AJ6284">
        <v>80.876173842903498</v>
      </c>
      <c r="AK6284">
        <v>17.0769299290607</v>
      </c>
    </row>
    <row r="6285" spans="1:37" x14ac:dyDescent="0.2">
      <c r="A6285" t="str">
        <f>"20200111160341553"</f>
        <v>20200111160341553</v>
      </c>
      <c r="B6285" t="str">
        <f>"1578729821549779"</f>
        <v>1578729821549779</v>
      </c>
      <c r="C6285" t="s">
        <v>37</v>
      </c>
      <c r="D6285">
        <v>4.7727190000000004</v>
      </c>
      <c r="E6285">
        <v>0.5690904</v>
      </c>
      <c r="F6285" t="s">
        <v>38</v>
      </c>
      <c r="G6285">
        <v>-185.6448</v>
      </c>
      <c r="H6285" s="1">
        <v>-2.1117189999999999E-6</v>
      </c>
      <c r="I6285">
        <v>52.4482</v>
      </c>
      <c r="J6285">
        <v>-188.71270000000001</v>
      </c>
      <c r="K6285">
        <v>1.102884</v>
      </c>
      <c r="L6285">
        <v>35.754089999999998</v>
      </c>
      <c r="M6285">
        <v>2.2368220000000001E-2</v>
      </c>
      <c r="N6285">
        <v>0</v>
      </c>
      <c r="O6285">
        <v>0.99971200000000005</v>
      </c>
      <c r="P6285">
        <v>1.5499050000000001E-3</v>
      </c>
      <c r="Q6285">
        <v>5.3981840000000003E-3</v>
      </c>
      <c r="R6285">
        <v>0.99998419999999899</v>
      </c>
      <c r="S6285">
        <v>0.54226680000000005</v>
      </c>
      <c r="T6285">
        <v>-0.19442309999999999</v>
      </c>
      <c r="U6285">
        <v>3.0009769999999998</v>
      </c>
      <c r="V6285">
        <v>-2.078969E-2</v>
      </c>
      <c r="W6285">
        <v>1.4132810000000001E-2</v>
      </c>
      <c r="X6285">
        <v>0.99968400000000002</v>
      </c>
      <c r="Y6285">
        <v>0.15539890000000001</v>
      </c>
      <c r="Z6285">
        <v>-6.3720490000000005E-2</v>
      </c>
      <c r="AA6285">
        <v>0.98579450000000002</v>
      </c>
      <c r="AB6285">
        <v>30</v>
      </c>
      <c r="AC6285">
        <v>3.0678999999999998</v>
      </c>
      <c r="AD6285">
        <v>-1.1028861117190001</v>
      </c>
      <c r="AE6285">
        <v>16.694109999999899</v>
      </c>
      <c r="AF6285">
        <v>2.6823759380351402</v>
      </c>
      <c r="AG6285">
        <v>-1.1028861117190001</v>
      </c>
      <c r="AH6285">
        <v>16.688103029014901</v>
      </c>
      <c r="AI6285">
        <v>93.733293516453003</v>
      </c>
      <c r="AJ6285">
        <v>80.868620719294796</v>
      </c>
      <c r="AK6285">
        <v>16.9382490581343</v>
      </c>
    </row>
    <row r="6286" spans="1:37" x14ac:dyDescent="0.2">
      <c r="A6286" t="str">
        <f>"20200111160341575"</f>
        <v>20200111160341575</v>
      </c>
      <c r="B6286" t="str">
        <f>"1578729821569299"</f>
        <v>1578729821569299</v>
      </c>
      <c r="C6286" t="s">
        <v>37</v>
      </c>
      <c r="D6286">
        <v>5.0267989999999996</v>
      </c>
      <c r="E6286">
        <v>0.56921169999999899</v>
      </c>
      <c r="F6286" t="s">
        <v>38</v>
      </c>
      <c r="G6286">
        <v>-185.66249999999999</v>
      </c>
      <c r="H6286" s="1">
        <v>-2.1345800000000002E-6</v>
      </c>
      <c r="I6286">
        <v>52.529240000000001</v>
      </c>
      <c r="J6286">
        <v>-188.70529999999999</v>
      </c>
      <c r="K6286">
        <v>1.102889</v>
      </c>
      <c r="L6286">
        <v>36.039920000000002</v>
      </c>
      <c r="M6286">
        <v>2.333708E-2</v>
      </c>
      <c r="N6286">
        <v>0</v>
      </c>
      <c r="O6286">
        <v>0.99968969999999902</v>
      </c>
      <c r="P6286">
        <v>2.176992E-3</v>
      </c>
      <c r="Q6286">
        <v>4.5941350000000001E-3</v>
      </c>
      <c r="R6286">
        <v>0.99998709999999902</v>
      </c>
      <c r="S6286">
        <v>0.54553219999999902</v>
      </c>
      <c r="T6286">
        <v>-0.19725379999999901</v>
      </c>
      <c r="U6286">
        <v>3.0002749999999998</v>
      </c>
      <c r="V6286">
        <v>-2.1133610000000001E-2</v>
      </c>
      <c r="W6286">
        <v>1.334753E-2</v>
      </c>
      <c r="X6286">
        <v>0.99968760000000001</v>
      </c>
      <c r="Y6286">
        <v>0.15550999999999901</v>
      </c>
      <c r="Z6286">
        <v>-6.465021E-2</v>
      </c>
      <c r="AA6286">
        <v>0.9857165</v>
      </c>
      <c r="AB6286">
        <v>30</v>
      </c>
      <c r="AC6286">
        <v>3.0428000000000002</v>
      </c>
      <c r="AD6286">
        <v>-1.1028911345800001</v>
      </c>
      <c r="AE6286">
        <v>16.489319999999999</v>
      </c>
      <c r="AF6286">
        <v>2.6456979540230998</v>
      </c>
      <c r="AG6286">
        <v>-1.1028911345800001</v>
      </c>
      <c r="AH6286">
        <v>16.484524473337501</v>
      </c>
      <c r="AI6286">
        <v>93.779424433045605</v>
      </c>
      <c r="AJ6286">
        <v>80.882023623433398</v>
      </c>
      <c r="AK6286">
        <v>16.7318747793163</v>
      </c>
    </row>
    <row r="6287" spans="1:37" x14ac:dyDescent="0.2">
      <c r="A6287" t="str">
        <f>"20200111160341598"</f>
        <v>20200111160341598</v>
      </c>
      <c r="B6287" t="str">
        <f>"1578729821589795"</f>
        <v>1578729821589795</v>
      </c>
      <c r="C6287" t="s">
        <v>37</v>
      </c>
      <c r="D6287">
        <v>4.7361259999999996</v>
      </c>
      <c r="E6287">
        <v>0.56929989999999997</v>
      </c>
      <c r="F6287" t="s">
        <v>38</v>
      </c>
      <c r="G6287">
        <v>-185.6609</v>
      </c>
      <c r="H6287" s="1">
        <v>-2.1898109999999999E-6</v>
      </c>
      <c r="I6287">
        <v>52.6903199999999</v>
      </c>
      <c r="J6287">
        <v>-188.6969</v>
      </c>
      <c r="K6287">
        <v>1.102886</v>
      </c>
      <c r="L6287">
        <v>36.353299999999997</v>
      </c>
      <c r="M6287">
        <v>2.4399000000000001E-2</v>
      </c>
      <c r="N6287">
        <v>0</v>
      </c>
      <c r="O6287">
        <v>0.9996642</v>
      </c>
      <c r="P6287">
        <v>2.1614820000000002E-3</v>
      </c>
      <c r="Q6287">
        <v>4.6919709999999996E-3</v>
      </c>
      <c r="R6287">
        <v>0.99998659999999995</v>
      </c>
      <c r="S6287">
        <v>0.5484772</v>
      </c>
      <c r="T6287">
        <v>-0.19869819999999999</v>
      </c>
      <c r="U6287">
        <v>2.9997560000000001</v>
      </c>
      <c r="V6287">
        <v>-2.2210879999999999E-2</v>
      </c>
      <c r="W6287">
        <v>1.3466260000000001E-2</v>
      </c>
      <c r="X6287">
        <v>0.99966259999999996</v>
      </c>
      <c r="Y6287">
        <v>0.1554217</v>
      </c>
      <c r="Z6287">
        <v>-6.5124920000000003E-2</v>
      </c>
      <c r="AA6287">
        <v>0.9856992</v>
      </c>
      <c r="AB6287">
        <v>31</v>
      </c>
      <c r="AC6287">
        <v>3.036</v>
      </c>
      <c r="AD6287">
        <v>-1.1028881898109999</v>
      </c>
      <c r="AE6287">
        <v>16.3370199999999</v>
      </c>
      <c r="AF6287">
        <v>2.62491055049205</v>
      </c>
      <c r="AG6287">
        <v>-1.1028881898109999</v>
      </c>
      <c r="AH6287">
        <v>16.334277445307901</v>
      </c>
      <c r="AI6287">
        <v>93.813955035237896</v>
      </c>
      <c r="AJ6287">
        <v>80.870648212443896</v>
      </c>
      <c r="AK6287">
        <v>16.580565051215999</v>
      </c>
    </row>
    <row r="6288" spans="1:37" x14ac:dyDescent="0.2">
      <c r="A6288" t="str">
        <f>"20200111160341620"</f>
        <v>20200111160341620</v>
      </c>
      <c r="B6288" t="str">
        <f>"1578729821609315"</f>
        <v>1578729821609315</v>
      </c>
      <c r="C6288" t="s">
        <v>37</v>
      </c>
      <c r="D6288">
        <v>5.0368539999999999</v>
      </c>
      <c r="E6288">
        <v>0.56935009999999997</v>
      </c>
      <c r="F6288" t="s">
        <v>38</v>
      </c>
      <c r="G6288">
        <v>-185.6465</v>
      </c>
      <c r="H6288" s="1">
        <v>-2.3028499999999999E-6</v>
      </c>
      <c r="I6288">
        <v>53.0111699999999</v>
      </c>
      <c r="J6288">
        <v>-188.6884</v>
      </c>
      <c r="K6288">
        <v>1.1028799999999901</v>
      </c>
      <c r="L6288">
        <v>36.658940000000001</v>
      </c>
      <c r="M6288">
        <v>2.5434410000000001E-2</v>
      </c>
      <c r="N6288">
        <v>0</v>
      </c>
      <c r="O6288">
        <v>0.99963819999999903</v>
      </c>
      <c r="P6288">
        <v>1.9667650000000001E-3</v>
      </c>
      <c r="Q6288">
        <v>4.9308039999999996E-3</v>
      </c>
      <c r="R6288">
        <v>0.99998589999999998</v>
      </c>
      <c r="S6288">
        <v>0.54933169999999898</v>
      </c>
      <c r="T6288">
        <v>-0.1986105</v>
      </c>
      <c r="U6288">
        <v>2.9997859999999998</v>
      </c>
      <c r="V6288">
        <v>-2.3440119999999998E-2</v>
      </c>
      <c r="W6288">
        <v>1.372611E-2</v>
      </c>
      <c r="X6288">
        <v>0.99963099999999905</v>
      </c>
      <c r="Y6288">
        <v>0.1546688</v>
      </c>
      <c r="Z6288">
        <v>-6.509537E-2</v>
      </c>
      <c r="AA6288">
        <v>0.98581949999999996</v>
      </c>
      <c r="AB6288">
        <v>31</v>
      </c>
      <c r="AC6288">
        <v>3.0418999999999898</v>
      </c>
      <c r="AD6288">
        <v>-1.1028823028499899</v>
      </c>
      <c r="AE6288">
        <v>16.352229999999899</v>
      </c>
      <c r="AF6288">
        <v>2.6134997495924099</v>
      </c>
      <c r="AG6288">
        <v>-1.1028823028499899</v>
      </c>
      <c r="AH6288">
        <v>16.352414263240799</v>
      </c>
      <c r="AI6288">
        <v>93.810237056977101</v>
      </c>
      <c r="AJ6288">
        <v>80.919584764731198</v>
      </c>
      <c r="AK6288">
        <v>16.596631662831498</v>
      </c>
    </row>
    <row r="6289" spans="1:37" x14ac:dyDescent="0.2">
      <c r="A6289" t="str">
        <f>"20200111160341643"</f>
        <v>20200111160341643</v>
      </c>
      <c r="B6289" t="str">
        <f>"1578729821639174"</f>
        <v>1578729821639174</v>
      </c>
      <c r="C6289" t="s">
        <v>37</v>
      </c>
      <c r="D6289">
        <v>4.7813230000000004</v>
      </c>
      <c r="E6289">
        <v>0.56943959999999905</v>
      </c>
      <c r="F6289" t="s">
        <v>38</v>
      </c>
      <c r="G6289">
        <v>-185.61609999999999</v>
      </c>
      <c r="H6289" s="1">
        <v>-2.457071E-6</v>
      </c>
      <c r="I6289">
        <v>53.440629999999999</v>
      </c>
      <c r="J6289">
        <v>-188.67949999999999</v>
      </c>
      <c r="K6289">
        <v>1.102881</v>
      </c>
      <c r="L6289">
        <v>36.966639999999998</v>
      </c>
      <c r="M6289">
        <v>2.6476400000000001E-2</v>
      </c>
      <c r="N6289">
        <v>0</v>
      </c>
      <c r="O6289">
        <v>0.99961100000000003</v>
      </c>
      <c r="P6289">
        <v>1.296749E-3</v>
      </c>
      <c r="Q6289">
        <v>5.046142E-3</v>
      </c>
      <c r="R6289">
        <v>0.99998639999999905</v>
      </c>
      <c r="S6289">
        <v>0.54920959999999996</v>
      </c>
      <c r="T6289">
        <v>-0.1971542</v>
      </c>
      <c r="U6289">
        <v>2.9999389999999999</v>
      </c>
      <c r="V6289">
        <v>-2.5151730000000001E-2</v>
      </c>
      <c r="W6289">
        <v>1.386342E-2</v>
      </c>
      <c r="X6289">
        <v>0.99958749999999996</v>
      </c>
      <c r="Y6289">
        <v>0.15359679999999901</v>
      </c>
      <c r="Z6289">
        <v>-6.4619880000000005E-2</v>
      </c>
      <c r="AA6289">
        <v>0.98601839999999996</v>
      </c>
      <c r="AB6289">
        <v>31</v>
      </c>
      <c r="AC6289">
        <v>3.0634000000000001</v>
      </c>
      <c r="AD6289">
        <v>-1.102883457071</v>
      </c>
      <c r="AE6289">
        <v>16.473990000000001</v>
      </c>
      <c r="AF6289">
        <v>2.6148096916704899</v>
      </c>
      <c r="AG6289">
        <v>-1.102883457071</v>
      </c>
      <c r="AH6289">
        <v>16.477941308283899</v>
      </c>
      <c r="AI6289">
        <v>93.781966060015804</v>
      </c>
      <c r="AJ6289">
        <v>80.983175709900607</v>
      </c>
      <c r="AK6289">
        <v>16.720530236890902</v>
      </c>
    </row>
    <row r="6290" spans="1:37" x14ac:dyDescent="0.2">
      <c r="A6290" t="str">
        <f>"20200111160341664"</f>
        <v>20200111160341664</v>
      </c>
      <c r="B6290" t="str">
        <f>"1578729821659671"</f>
        <v>1578729821659671</v>
      </c>
      <c r="C6290" t="s">
        <v>37</v>
      </c>
      <c r="D6290">
        <v>4.7933940000000002</v>
      </c>
      <c r="E6290">
        <v>0.56954589999999905</v>
      </c>
      <c r="F6290" t="s">
        <v>38</v>
      </c>
      <c r="G6290">
        <v>-185.61240000000001</v>
      </c>
      <c r="H6290" s="1">
        <v>-2.5670679999999999E-6</v>
      </c>
      <c r="I6290">
        <v>53.760950000000001</v>
      </c>
      <c r="J6290">
        <v>-188.67060000000001</v>
      </c>
      <c r="K6290">
        <v>1.1028690000000001</v>
      </c>
      <c r="L6290">
        <v>37.262450000000001</v>
      </c>
      <c r="M6290">
        <v>2.7477789999999998E-2</v>
      </c>
      <c r="N6290">
        <v>0</v>
      </c>
      <c r="O6290">
        <v>0.99958380000000002</v>
      </c>
      <c r="P6290">
        <v>1.364875E-3</v>
      </c>
      <c r="Q6290">
        <v>4.8604169999999997E-3</v>
      </c>
      <c r="R6290">
        <v>0.99998719999999996</v>
      </c>
      <c r="S6290">
        <v>0.54794309999999902</v>
      </c>
      <c r="T6290">
        <v>-0.19703229999999999</v>
      </c>
      <c r="U6290">
        <v>3.0003359999999999</v>
      </c>
      <c r="V6290">
        <v>-2.608504E-2</v>
      </c>
      <c r="W6290">
        <v>1.369941E-2</v>
      </c>
      <c r="X6290">
        <v>0.99956579999999995</v>
      </c>
      <c r="Y6290">
        <v>0.15218139999999999</v>
      </c>
      <c r="Z6290">
        <v>-6.4578659999999996E-2</v>
      </c>
      <c r="AA6290">
        <v>0.98624059999999902</v>
      </c>
      <c r="AB6290">
        <v>31</v>
      </c>
      <c r="AC6290">
        <v>3.0581999999999998</v>
      </c>
      <c r="AD6290">
        <v>-1.102871567068</v>
      </c>
      <c r="AE6290">
        <v>16.4985</v>
      </c>
      <c r="AF6290">
        <v>2.5924856716002198</v>
      </c>
      <c r="AG6290">
        <v>-1.102871567068</v>
      </c>
      <c r="AH6290">
        <v>16.5050031695129</v>
      </c>
      <c r="AI6290">
        <v>93.776677848214902</v>
      </c>
      <c r="AJ6290">
        <v>81.073331898180498</v>
      </c>
      <c r="AK6290">
        <v>16.743728296784099</v>
      </c>
    </row>
    <row r="6291" spans="1:37" x14ac:dyDescent="0.2">
      <c r="A6291" t="str">
        <f>"20200111160341686"</f>
        <v>20200111160341686</v>
      </c>
      <c r="B6291" t="str">
        <f>"1578729821679191"</f>
        <v>1578729821679191</v>
      </c>
      <c r="C6291" t="s">
        <v>37</v>
      </c>
      <c r="D6291">
        <v>5.008623</v>
      </c>
      <c r="E6291">
        <v>0.5697932</v>
      </c>
      <c r="F6291" t="s">
        <v>38</v>
      </c>
      <c r="G6291">
        <v>-185.60980000000001</v>
      </c>
      <c r="H6291" s="1">
        <v>-2.6497519999999898E-6</v>
      </c>
      <c r="I6291">
        <v>53.994119999999903</v>
      </c>
      <c r="J6291">
        <v>-188.66059999999999</v>
      </c>
      <c r="K6291">
        <v>1.1028579999999999</v>
      </c>
      <c r="L6291">
        <v>37.588439999999999</v>
      </c>
      <c r="M6291">
        <v>2.857879E-2</v>
      </c>
      <c r="N6291">
        <v>0</v>
      </c>
      <c r="O6291">
        <v>0.99955269999999996</v>
      </c>
      <c r="P6291">
        <v>2.332621E-3</v>
      </c>
      <c r="Q6291">
        <v>2.8809619999999999E-3</v>
      </c>
      <c r="R6291">
        <v>0.99999309999999997</v>
      </c>
      <c r="S6291">
        <v>0.54885859999999997</v>
      </c>
      <c r="T6291">
        <v>-0.19776179999999999</v>
      </c>
      <c r="U6291">
        <v>3.0002439999999999</v>
      </c>
      <c r="V6291">
        <v>-2.622296E-2</v>
      </c>
      <c r="W6291">
        <v>1.174596E-2</v>
      </c>
      <c r="X6291">
        <v>0.99958709999999995</v>
      </c>
      <c r="Y6291">
        <v>0.15138650000000001</v>
      </c>
      <c r="Z6291">
        <v>-6.4817899999999998E-2</v>
      </c>
      <c r="AA6291">
        <v>0.98634719999999998</v>
      </c>
      <c r="AB6291">
        <v>31</v>
      </c>
      <c r="AC6291">
        <v>3.0507999999999802</v>
      </c>
      <c r="AD6291">
        <v>-1.1028606497519999</v>
      </c>
      <c r="AE6291">
        <v>16.405679999999901</v>
      </c>
      <c r="AF6291">
        <v>2.5694575577865599</v>
      </c>
      <c r="AG6291">
        <v>-1.1028606497519999</v>
      </c>
      <c r="AH6291">
        <v>16.414470683976699</v>
      </c>
      <c r="AI6291">
        <v>93.797720450495405</v>
      </c>
      <c r="AJ6291">
        <v>81.103338755319896</v>
      </c>
      <c r="AK6291">
        <v>16.650923745821601</v>
      </c>
    </row>
    <row r="6292" spans="1:37" x14ac:dyDescent="0.2">
      <c r="A6292" t="str">
        <f>"20200111160341709"</f>
        <v>20200111160341709</v>
      </c>
      <c r="B6292" t="str">
        <f>"1578729821699686"</f>
        <v>1578729821699686</v>
      </c>
      <c r="C6292" t="s">
        <v>37</v>
      </c>
      <c r="D6292">
        <v>4.776408</v>
      </c>
      <c r="E6292">
        <v>0.56992600000000004</v>
      </c>
      <c r="F6292" t="s">
        <v>38</v>
      </c>
      <c r="G6292">
        <v>-185.6574</v>
      </c>
      <c r="H6292" s="1">
        <v>-2.5857619999999899E-6</v>
      </c>
      <c r="I6292">
        <v>53.851100000000002</v>
      </c>
      <c r="J6292">
        <v>-188.65090000000001</v>
      </c>
      <c r="K6292">
        <v>1.1028610000000001</v>
      </c>
      <c r="L6292">
        <v>37.890779999999999</v>
      </c>
      <c r="M6292">
        <v>2.9590680000000001E-2</v>
      </c>
      <c r="N6292">
        <v>0</v>
      </c>
      <c r="O6292">
        <v>0.99952299999999905</v>
      </c>
      <c r="P6292">
        <v>3.7564550000000001E-3</v>
      </c>
      <c r="Q6292">
        <v>8.6332819999999997E-4</v>
      </c>
      <c r="R6292">
        <v>0.99999249999999995</v>
      </c>
      <c r="S6292">
        <v>0.55386349999999995</v>
      </c>
      <c r="T6292">
        <v>-0.20339889999999999</v>
      </c>
      <c r="U6292">
        <v>2.999298</v>
      </c>
      <c r="V6292">
        <v>-2.5816459999999999E-2</v>
      </c>
      <c r="W6292">
        <v>9.7533759999999994E-3</v>
      </c>
      <c r="X6292">
        <v>0.99961909999999898</v>
      </c>
      <c r="Y6292">
        <v>0.15201099999999901</v>
      </c>
      <c r="Z6292">
        <v>-6.6661819999999997E-2</v>
      </c>
      <c r="AA6292">
        <v>0.98612819999999901</v>
      </c>
      <c r="AB6292">
        <v>31</v>
      </c>
      <c r="AC6292">
        <v>2.9935000000000098</v>
      </c>
      <c r="AD6292">
        <v>-1.1028635857619999</v>
      </c>
      <c r="AE6292">
        <v>15.960319999999999</v>
      </c>
      <c r="AF6292">
        <v>2.5083239831067599</v>
      </c>
      <c r="AG6292">
        <v>-1.1028635857619999</v>
      </c>
      <c r="AH6292">
        <v>15.9682584979544</v>
      </c>
      <c r="AI6292">
        <v>93.903204497243095</v>
      </c>
      <c r="AJ6292">
        <v>81.072819757086094</v>
      </c>
      <c r="AK6292">
        <v>16.201644260707599</v>
      </c>
    </row>
    <row r="6293" spans="1:37" x14ac:dyDescent="0.2">
      <c r="A6293" t="str">
        <f>"20200111160341730"</f>
        <v>20200111160341730</v>
      </c>
      <c r="B6293" t="str">
        <f>"1578729821720183"</f>
        <v>1578729821720183</v>
      </c>
      <c r="C6293" t="s">
        <v>37</v>
      </c>
      <c r="D6293">
        <v>4.8338580000000002</v>
      </c>
      <c r="E6293">
        <v>0.57006880000000004</v>
      </c>
      <c r="F6293" t="s">
        <v>42</v>
      </c>
      <c r="G6293">
        <v>-188.46520000000001</v>
      </c>
      <c r="H6293">
        <v>1.033728</v>
      </c>
      <c r="I6293">
        <v>38.88494</v>
      </c>
      <c r="J6293">
        <v>-188.64089999999999</v>
      </c>
      <c r="K6293">
        <v>1.1028709999999999</v>
      </c>
      <c r="L6293">
        <v>38.192599999999999</v>
      </c>
      <c r="M6293">
        <v>3.0580030000000001E-2</v>
      </c>
      <c r="N6293">
        <v>0</v>
      </c>
      <c r="O6293">
        <v>0.99949299999999996</v>
      </c>
      <c r="P6293">
        <v>5.8105980000000002E-3</v>
      </c>
      <c r="Q6293">
        <v>-6.7982679999999997E-4</v>
      </c>
      <c r="R6293">
        <v>0.99998290000000001</v>
      </c>
      <c r="S6293">
        <v>0.55958560000000002</v>
      </c>
      <c r="T6293">
        <v>-0.20846399999999901</v>
      </c>
      <c r="U6293">
        <v>2.9980769999999999</v>
      </c>
      <c r="V6293">
        <v>-2.475575E-2</v>
      </c>
      <c r="W6293">
        <v>8.2337560000000001E-3</v>
      </c>
      <c r="X6293">
        <v>0.99965959999999998</v>
      </c>
      <c r="Y6293">
        <v>0.15290309999999999</v>
      </c>
      <c r="Z6293">
        <v>-6.8321789999999993E-2</v>
      </c>
      <c r="AA6293">
        <v>0.98587669999999905</v>
      </c>
      <c r="AB6293">
        <v>31</v>
      </c>
      <c r="AC6293">
        <v>0.17569999999997701</v>
      </c>
      <c r="AD6293">
        <v>-6.9142999999999899E-2</v>
      </c>
      <c r="AE6293">
        <v>0.69234000000000095</v>
      </c>
      <c r="AF6293">
        <v>0.153011455372037</v>
      </c>
      <c r="AG6293">
        <v>-6.9142999999999899E-2</v>
      </c>
      <c r="AH6293">
        <v>0.690915249766207</v>
      </c>
      <c r="AI6293">
        <v>95.580493281125499</v>
      </c>
      <c r="AJ6293">
        <v>77.512708122823796</v>
      </c>
      <c r="AK6293">
        <v>0.71102541606019198</v>
      </c>
    </row>
    <row r="6294" spans="1:37" x14ac:dyDescent="0.2">
      <c r="A6294" t="str">
        <f>"20200111160341755"</f>
        <v>20200111160341755</v>
      </c>
      <c r="B6294" t="str">
        <f>"1578729821749462"</f>
        <v>1578729821749462</v>
      </c>
      <c r="C6294" t="s">
        <v>37</v>
      </c>
      <c r="D6294">
        <v>4.8595139999999999</v>
      </c>
      <c r="E6294">
        <v>0.57020439999999994</v>
      </c>
      <c r="F6294" t="s">
        <v>42</v>
      </c>
      <c r="G6294">
        <v>-188.45740000000001</v>
      </c>
      <c r="H6294">
        <v>1.034287</v>
      </c>
      <c r="I6294">
        <v>39.162149999999997</v>
      </c>
      <c r="J6294">
        <v>-188.6293</v>
      </c>
      <c r="K6294">
        <v>1.1028910000000001</v>
      </c>
      <c r="L6294">
        <v>38.533259999999999</v>
      </c>
      <c r="M6294">
        <v>3.1672539999999999E-2</v>
      </c>
      <c r="N6294">
        <v>0</v>
      </c>
      <c r="O6294">
        <v>0.99945869999999903</v>
      </c>
      <c r="P6294">
        <v>7.8039969999999896E-3</v>
      </c>
      <c r="Q6294">
        <v>-1.7574170000000001E-3</v>
      </c>
      <c r="R6294">
        <v>0.99996799999999997</v>
      </c>
      <c r="S6294">
        <v>0.56710819999999995</v>
      </c>
      <c r="T6294">
        <v>-0.21196590000000001</v>
      </c>
      <c r="U6294">
        <v>2.996613</v>
      </c>
      <c r="V6294">
        <v>-2.3857880000000001E-2</v>
      </c>
      <c r="W6294">
        <v>7.1828380000000004E-3</v>
      </c>
      <c r="X6294">
        <v>0.99968959999999996</v>
      </c>
      <c r="Y6294">
        <v>0.15428539999999999</v>
      </c>
      <c r="Z6294">
        <v>-6.9470199999999996E-2</v>
      </c>
      <c r="AA6294">
        <v>0.98558099999999904</v>
      </c>
      <c r="AB6294">
        <v>31</v>
      </c>
      <c r="AC6294">
        <v>0.171899999999993</v>
      </c>
      <c r="AD6294">
        <v>-6.8603999999999804E-2</v>
      </c>
      <c r="AE6294">
        <v>0.62888999999999795</v>
      </c>
      <c r="AF6294">
        <v>0.15023094494081299</v>
      </c>
      <c r="AG6294">
        <v>-6.8603999999999804E-2</v>
      </c>
      <c r="AH6294">
        <v>0.627075715809708</v>
      </c>
      <c r="AI6294">
        <v>96.072991471523096</v>
      </c>
      <c r="AJ6294">
        <v>76.527355621333498</v>
      </c>
      <c r="AK6294">
        <v>0.64845955848616199</v>
      </c>
    </row>
    <row r="6295" spans="1:37" x14ac:dyDescent="0.2">
      <c r="A6295" t="str">
        <f>"20200111160341798"</f>
        <v>20200111160341798</v>
      </c>
      <c r="B6295" t="str">
        <f>"1578729821789481"</f>
        <v>1578729821789481</v>
      </c>
      <c r="C6295" t="s">
        <v>37</v>
      </c>
      <c r="D6295">
        <v>4.8853599999999897</v>
      </c>
      <c r="E6295">
        <v>0.5704089</v>
      </c>
      <c r="F6295" t="s">
        <v>42</v>
      </c>
      <c r="G6295">
        <v>-188.45509999999999</v>
      </c>
      <c r="H6295">
        <v>1.037623</v>
      </c>
      <c r="I6295">
        <v>39.44144</v>
      </c>
      <c r="J6295">
        <v>-188.60849999999999</v>
      </c>
      <c r="K6295">
        <v>1.1029340000000001</v>
      </c>
      <c r="L6295">
        <v>39.123440000000002</v>
      </c>
      <c r="M6295">
        <v>3.3482919999999999E-2</v>
      </c>
      <c r="N6295">
        <v>0</v>
      </c>
      <c r="O6295">
        <v>0.99939920000000004</v>
      </c>
      <c r="P6295">
        <v>9.6673530000000001E-3</v>
      </c>
      <c r="Q6295">
        <v>1.7196620000000001E-3</v>
      </c>
      <c r="R6295">
        <v>0.99995179999999995</v>
      </c>
      <c r="S6295">
        <v>0.57435609999999904</v>
      </c>
      <c r="T6295">
        <v>-0.21525349999999999</v>
      </c>
      <c r="U6295">
        <v>2.99523899999999</v>
      </c>
      <c r="V6295">
        <v>-2.3799919999999999E-2</v>
      </c>
      <c r="W6295">
        <v>1.071272E-2</v>
      </c>
      <c r="X6295">
        <v>0.99965939999999998</v>
      </c>
      <c r="Y6295">
        <v>0.15486549999999999</v>
      </c>
      <c r="Z6295">
        <v>-7.0548659999999999E-2</v>
      </c>
      <c r="AA6295">
        <v>0.98541339999999999</v>
      </c>
      <c r="AB6295">
        <v>31</v>
      </c>
      <c r="AC6295">
        <v>0.15340000000000401</v>
      </c>
      <c r="AD6295">
        <v>-6.5311000000000105E-2</v>
      </c>
      <c r="AE6295">
        <v>0.31799999999999701</v>
      </c>
      <c r="AF6295">
        <v>0.13794568989117301</v>
      </c>
      <c r="AG6295">
        <v>-6.5311000000000105E-2</v>
      </c>
      <c r="AH6295">
        <v>0.31227266240438101</v>
      </c>
      <c r="AI6295">
        <v>100.830517064272</v>
      </c>
      <c r="AJ6295">
        <v>66.166671836412505</v>
      </c>
      <c r="AK6295">
        <v>0.34757553965386001</v>
      </c>
    </row>
    <row r="6296" spans="1:37" x14ac:dyDescent="0.2">
      <c r="A6296" t="str">
        <f>"20200111160341820"</f>
        <v>20200111160341820</v>
      </c>
      <c r="B6296" t="str">
        <f>"1578729821809974"</f>
        <v>1578729821809974</v>
      </c>
      <c r="C6296" t="s">
        <v>37</v>
      </c>
      <c r="D6296">
        <v>5.1166689999999999</v>
      </c>
      <c r="E6296">
        <v>0.57043449999999996</v>
      </c>
      <c r="F6296" t="s">
        <v>38</v>
      </c>
      <c r="G6296">
        <v>-185.47640000000001</v>
      </c>
      <c r="H6296" s="1">
        <v>-3.2130660000000001E-6</v>
      </c>
      <c r="I6296">
        <v>55.252069999999897</v>
      </c>
      <c r="J6296">
        <v>-188.59700000000001</v>
      </c>
      <c r="K6296">
        <v>1.1029579999999899</v>
      </c>
      <c r="L6296">
        <v>39.43723</v>
      </c>
      <c r="M6296">
        <v>3.439499E-2</v>
      </c>
      <c r="N6296">
        <v>0</v>
      </c>
      <c r="O6296">
        <v>0.99936800000000003</v>
      </c>
      <c r="P6296">
        <v>1.0126029999999999E-2</v>
      </c>
      <c r="Q6296">
        <v>3.540147E-3</v>
      </c>
      <c r="R6296">
        <v>0.99994249999999996</v>
      </c>
      <c r="S6296">
        <v>0.58158869999999996</v>
      </c>
      <c r="T6296">
        <v>-0.20480079999999901</v>
      </c>
      <c r="U6296">
        <v>2.9948730000000001</v>
      </c>
      <c r="V6296">
        <v>-2.4250339999999999E-2</v>
      </c>
      <c r="W6296">
        <v>1.256463E-2</v>
      </c>
      <c r="X6296">
        <v>0.99962689999999998</v>
      </c>
      <c r="Y6296">
        <v>0.1563254</v>
      </c>
      <c r="Z6296">
        <v>-6.7120849999999996E-2</v>
      </c>
      <c r="AA6296">
        <v>0.98542229999999997</v>
      </c>
      <c r="AB6296">
        <v>31</v>
      </c>
      <c r="AC6296">
        <v>3.1205999999999898</v>
      </c>
      <c r="AD6296">
        <v>-1.10296121306599</v>
      </c>
      <c r="AE6296">
        <v>15.814839999999901</v>
      </c>
      <c r="AF6296">
        <v>2.5627821233744799</v>
      </c>
      <c r="AG6296">
        <v>-1.10296121306599</v>
      </c>
      <c r="AH6296">
        <v>15.838667545114699</v>
      </c>
      <c r="AI6296">
        <v>93.932507317317899</v>
      </c>
      <c r="AJ6296">
        <v>80.808891138213397</v>
      </c>
      <c r="AK6296">
        <v>16.082529815115699</v>
      </c>
    </row>
    <row r="6297" spans="1:37" x14ac:dyDescent="0.2">
      <c r="A6297" t="str">
        <f>"20200111160341846"</f>
        <v>20200111160341846</v>
      </c>
      <c r="B6297" t="str">
        <f>"1578729821839255"</f>
        <v>1578729821839255</v>
      </c>
      <c r="C6297" t="s">
        <v>37</v>
      </c>
      <c r="D6297">
        <v>4.9400519999999997</v>
      </c>
      <c r="E6297">
        <v>0.4979172</v>
      </c>
      <c r="F6297" t="s">
        <v>38</v>
      </c>
      <c r="G6297">
        <v>-185.38480000000001</v>
      </c>
      <c r="H6297" s="1">
        <v>-3.5264280000000002E-6</v>
      </c>
      <c r="I6297">
        <v>55.944659999999999</v>
      </c>
      <c r="J6297">
        <v>-188.58410000000001</v>
      </c>
      <c r="K6297">
        <v>1.1029929999999999</v>
      </c>
      <c r="L6297">
        <v>39.78342</v>
      </c>
      <c r="M6297">
        <v>3.5354549999999998E-2</v>
      </c>
      <c r="N6297">
        <v>0</v>
      </c>
      <c r="O6297">
        <v>0.99933419999999895</v>
      </c>
      <c r="P6297">
        <v>9.994658E-3</v>
      </c>
      <c r="Q6297">
        <v>4.550264E-3</v>
      </c>
      <c r="R6297">
        <v>0.99993969999999899</v>
      </c>
      <c r="S6297">
        <v>0.58279419999999904</v>
      </c>
      <c r="T6297">
        <v>-0.2001117</v>
      </c>
      <c r="U6297">
        <v>2.9949650000000001</v>
      </c>
      <c r="V6297">
        <v>-2.5340089999999999E-2</v>
      </c>
      <c r="W6297">
        <v>1.3612630000000001E-2</v>
      </c>
      <c r="X6297">
        <v>0.99958619999999898</v>
      </c>
      <c r="Y6297">
        <v>0.1557731</v>
      </c>
      <c r="Z6297">
        <v>-6.5585959999999999E-2</v>
      </c>
      <c r="AA6297">
        <v>0.98561309999999902</v>
      </c>
      <c r="AB6297">
        <v>31</v>
      </c>
      <c r="AC6297">
        <v>3.1992999999999898</v>
      </c>
      <c r="AD6297">
        <v>-1.1029965264279999</v>
      </c>
      <c r="AE6297">
        <v>16.161239999999999</v>
      </c>
      <c r="AF6297">
        <v>2.6141855077116598</v>
      </c>
      <c r="AG6297">
        <v>-1.1029965264279999</v>
      </c>
      <c r="AH6297">
        <v>16.191673561086802</v>
      </c>
      <c r="AI6297">
        <v>93.847368316618798</v>
      </c>
      <c r="AJ6297">
        <v>80.828599007443103</v>
      </c>
      <c r="AK6297">
        <v>16.438395904553399</v>
      </c>
    </row>
    <row r="6298" spans="1:37" x14ac:dyDescent="0.2">
      <c r="A6298" t="str">
        <f>"20200111160341867"</f>
        <v>20200111160341867</v>
      </c>
      <c r="B6298" t="str">
        <f>"1578729821859751"</f>
        <v>1578729821859751</v>
      </c>
      <c r="C6298" t="s">
        <v>37</v>
      </c>
      <c r="D6298">
        <v>4.9644170000000001</v>
      </c>
      <c r="E6298">
        <v>0.490257</v>
      </c>
      <c r="F6298" t="s">
        <v>38</v>
      </c>
      <c r="G6298">
        <v>-188.57299999999901</v>
      </c>
      <c r="H6298" s="1">
        <v>-2.572486E-6</v>
      </c>
      <c r="I6298">
        <v>55.039269999999902</v>
      </c>
      <c r="J6298">
        <v>-188.5727</v>
      </c>
      <c r="K6298">
        <v>1.103032</v>
      </c>
      <c r="L6298">
        <v>40.082549999999998</v>
      </c>
      <c r="M6298">
        <v>3.612655E-2</v>
      </c>
      <c r="N6298">
        <v>0</v>
      </c>
      <c r="O6298">
        <v>0.99930620000000003</v>
      </c>
      <c r="P6298">
        <v>9.2935420000000001E-3</v>
      </c>
      <c r="Q6298">
        <v>4.7487110000000001E-3</v>
      </c>
      <c r="R6298">
        <v>0.99994550000000004</v>
      </c>
      <c r="S6298">
        <v>2.1820070000000001E-3</v>
      </c>
      <c r="T6298">
        <v>-0.21698339999999999</v>
      </c>
      <c r="U6298">
        <v>3.00116</v>
      </c>
      <c r="V6298">
        <v>-2.681422E-2</v>
      </c>
      <c r="W6298">
        <v>1.384721E-2</v>
      </c>
      <c r="X6298">
        <v>0.99954449999999995</v>
      </c>
      <c r="Y6298">
        <v>-3.5403299999999999E-2</v>
      </c>
      <c r="Z6298">
        <v>-7.2018440000000003E-2</v>
      </c>
      <c r="AA6298">
        <v>0.99677479999999996</v>
      </c>
      <c r="AB6298">
        <v>31</v>
      </c>
      <c r="AC6298">
        <v>-2.9999999998153699E-4</v>
      </c>
      <c r="AD6298">
        <v>-1.103034572486</v>
      </c>
      <c r="AE6298">
        <v>14.956719999999899</v>
      </c>
      <c r="AF6298">
        <v>-0.53773201644773305</v>
      </c>
      <c r="AG6298">
        <v>-1.103034572486</v>
      </c>
      <c r="AH6298">
        <v>14.8660908121589</v>
      </c>
      <c r="AI6298">
        <v>94.240694610655794</v>
      </c>
      <c r="AJ6298">
        <v>92.071583503755093</v>
      </c>
      <c r="AK6298">
        <v>14.916651669358201</v>
      </c>
    </row>
    <row r="6299" spans="1:37" x14ac:dyDescent="0.2">
      <c r="A6299" t="str">
        <f>"20200111160341889"</f>
        <v>20200111160341889</v>
      </c>
      <c r="B6299" t="str">
        <f>"1578729821879272"</f>
        <v>1578729821879272</v>
      </c>
      <c r="C6299" t="s">
        <v>37</v>
      </c>
      <c r="D6299">
        <v>4.9110329999999998</v>
      </c>
      <c r="E6299">
        <v>0.48895680000000002</v>
      </c>
      <c r="F6299" t="s">
        <v>38</v>
      </c>
      <c r="G6299">
        <v>-188.90479999999999</v>
      </c>
      <c r="H6299" s="1">
        <v>-3.1669900000000001E-6</v>
      </c>
      <c r="I6299">
        <v>56.562249999999999</v>
      </c>
      <c r="J6299">
        <v>-188.5607</v>
      </c>
      <c r="K6299">
        <v>1.1030819999999999</v>
      </c>
      <c r="L6299">
        <v>40.394170000000003</v>
      </c>
      <c r="M6299">
        <v>3.6858929999999998E-2</v>
      </c>
      <c r="N6299">
        <v>0</v>
      </c>
      <c r="O6299">
        <v>0.99927909999999998</v>
      </c>
      <c r="P6299">
        <v>8.7739419999999999E-3</v>
      </c>
      <c r="Q6299">
        <v>6.1925280000000001E-3</v>
      </c>
      <c r="R6299">
        <v>0.99994240000000001</v>
      </c>
      <c r="S6299">
        <v>-6.0485839999999999E-2</v>
      </c>
      <c r="T6299">
        <v>-0.20091120000000001</v>
      </c>
      <c r="U6299">
        <v>3.0016780000000001</v>
      </c>
      <c r="V6299">
        <v>-2.8065670000000001E-2</v>
      </c>
      <c r="W6299">
        <v>1.5330969999999999E-2</v>
      </c>
      <c r="X6299">
        <v>0.9994885</v>
      </c>
      <c r="Y6299">
        <v>-5.694097E-2</v>
      </c>
      <c r="Z6299">
        <v>-6.6654560000000002E-2</v>
      </c>
      <c r="AA6299">
        <v>0.99614999999999998</v>
      </c>
      <c r="AB6299">
        <v>31</v>
      </c>
      <c r="AC6299">
        <v>-0.34409999999999702</v>
      </c>
      <c r="AD6299">
        <v>-1.1030851669899999</v>
      </c>
      <c r="AE6299">
        <v>16.1680799999999</v>
      </c>
      <c r="AF6299">
        <v>-0.93547644386098605</v>
      </c>
      <c r="AG6299">
        <v>-1.1030851669899999</v>
      </c>
      <c r="AH6299">
        <v>16.069641724276401</v>
      </c>
      <c r="AI6299">
        <v>93.920237662779996</v>
      </c>
      <c r="AJ6299">
        <v>93.331650419175901</v>
      </c>
      <c r="AK6299">
        <v>16.134599412729699</v>
      </c>
    </row>
    <row r="6300" spans="1:37" x14ac:dyDescent="0.2">
      <c r="A6300" t="str">
        <f>"20200111160341933"</f>
        <v>20200111160341933</v>
      </c>
      <c r="B6300" t="str">
        <f>"1578729821929787"</f>
        <v>1578729821929787</v>
      </c>
      <c r="C6300" t="s">
        <v>37</v>
      </c>
      <c r="D6300">
        <v>4.9180359999999999</v>
      </c>
      <c r="E6300">
        <v>0.48715419999999998</v>
      </c>
      <c r="F6300" t="s">
        <v>38</v>
      </c>
      <c r="G6300">
        <v>-188.9521</v>
      </c>
      <c r="H6300" s="1">
        <v>-3.0816120000000002E-6</v>
      </c>
      <c r="I6300">
        <v>56.38279</v>
      </c>
      <c r="J6300">
        <v>-188.53659999999999</v>
      </c>
      <c r="K6300">
        <v>1.103221</v>
      </c>
      <c r="L6300">
        <v>41.008420000000001</v>
      </c>
      <c r="M6300">
        <v>3.8021329999999999E-2</v>
      </c>
      <c r="N6300">
        <v>0</v>
      </c>
      <c r="O6300">
        <v>0.99923469999999903</v>
      </c>
      <c r="P6300">
        <v>1.372088E-2</v>
      </c>
      <c r="Q6300">
        <v>9.4923719999999902E-3</v>
      </c>
      <c r="R6300">
        <v>0.99986079999999999</v>
      </c>
      <c r="S6300">
        <v>-7.3486330000000002E-2</v>
      </c>
      <c r="T6300">
        <v>-0.207121</v>
      </c>
      <c r="U6300">
        <v>3.0021059999999999</v>
      </c>
      <c r="V6300">
        <v>-2.428232E-2</v>
      </c>
      <c r="W6300">
        <v>1.8704109999999999E-2</v>
      </c>
      <c r="X6300">
        <v>0.99953009999999998</v>
      </c>
      <c r="Y6300">
        <v>-6.2406879999999998E-2</v>
      </c>
      <c r="Z6300">
        <v>-6.8676310000000004E-2</v>
      </c>
      <c r="AA6300">
        <v>0.99568519999999905</v>
      </c>
      <c r="AB6300">
        <v>31</v>
      </c>
      <c r="AC6300">
        <v>-0.41550000000000797</v>
      </c>
      <c r="AD6300">
        <v>-1.103224081612</v>
      </c>
      <c r="AE6300">
        <v>15.374370000000001</v>
      </c>
      <c r="AF6300">
        <v>-0.99466031614936001</v>
      </c>
      <c r="AG6300">
        <v>-1.103224081612</v>
      </c>
      <c r="AH6300">
        <v>15.2688898251049</v>
      </c>
      <c r="AI6300">
        <v>94.123903605483093</v>
      </c>
      <c r="AJ6300">
        <v>93.727149084593606</v>
      </c>
      <c r="AK6300">
        <v>15.340972883424399</v>
      </c>
    </row>
    <row r="6301" spans="1:37" x14ac:dyDescent="0.2">
      <c r="A6301" t="str">
        <f>"20200111160341956"</f>
        <v>20200111160341956</v>
      </c>
      <c r="B6301" t="str">
        <f>"1578729821949307"</f>
        <v>1578729821949307</v>
      </c>
      <c r="C6301" t="s">
        <v>37</v>
      </c>
      <c r="D6301">
        <v>4.9248589999999997</v>
      </c>
      <c r="E6301">
        <v>0.487371099999999</v>
      </c>
      <c r="F6301" t="s">
        <v>38</v>
      </c>
      <c r="G6301">
        <v>-188.9657</v>
      </c>
      <c r="H6301" s="1">
        <v>-3.962501E-6</v>
      </c>
      <c r="I6301">
        <v>58.441780000000001</v>
      </c>
      <c r="J6301">
        <v>-188.52369999999999</v>
      </c>
      <c r="K6301">
        <v>1.1033029999999999</v>
      </c>
      <c r="L6301">
        <v>41.336359999999999</v>
      </c>
      <c r="M6301">
        <v>3.8507099999999898E-2</v>
      </c>
      <c r="N6301">
        <v>0</v>
      </c>
      <c r="O6301">
        <v>0.99921569999999904</v>
      </c>
      <c r="P6301">
        <v>1.6780349999999999E-2</v>
      </c>
      <c r="Q6301">
        <v>9.186863E-3</v>
      </c>
      <c r="R6301">
        <v>0.99981699999999996</v>
      </c>
      <c r="S6301">
        <v>-7.3913569999999998E-2</v>
      </c>
      <c r="T6301">
        <v>-0.1900519</v>
      </c>
      <c r="U6301">
        <v>3.0032349999999899</v>
      </c>
      <c r="V6301">
        <v>-2.1713400000000001E-2</v>
      </c>
      <c r="W6301">
        <v>1.8437599999999998E-2</v>
      </c>
      <c r="X6301">
        <v>0.99959419999999899</v>
      </c>
      <c r="Y6301">
        <v>-6.3033710000000007E-2</v>
      </c>
      <c r="Z6301">
        <v>-6.3013490000000005E-2</v>
      </c>
      <c r="AA6301">
        <v>0.99602009999999996</v>
      </c>
      <c r="AB6301">
        <v>31</v>
      </c>
      <c r="AC6301">
        <v>-0.442000000000007</v>
      </c>
      <c r="AD6301">
        <v>-1.1033069625009999</v>
      </c>
      <c r="AE6301">
        <v>17.105419999999999</v>
      </c>
      <c r="AF6301">
        <v>-1.09582440609389</v>
      </c>
      <c r="AG6301">
        <v>-1.1033069625009999</v>
      </c>
      <c r="AH6301">
        <v>17.005012576391898</v>
      </c>
      <c r="AI6301">
        <v>93.704557836537504</v>
      </c>
      <c r="AJ6301">
        <v>93.687113964575303</v>
      </c>
      <c r="AK6301">
        <v>17.075964690340101</v>
      </c>
    </row>
    <row r="6302" spans="1:37" x14ac:dyDescent="0.2">
      <c r="A6302" t="str">
        <f>"20200111160341977"</f>
        <v>20200111160341977</v>
      </c>
      <c r="B6302" t="str">
        <f>"1578729821969803"</f>
        <v>1578729821969803</v>
      </c>
      <c r="C6302" t="s">
        <v>37</v>
      </c>
      <c r="D6302">
        <v>4.901478</v>
      </c>
      <c r="E6302">
        <v>0.48729659999999902</v>
      </c>
      <c r="F6302" t="s">
        <v>38</v>
      </c>
      <c r="G6302">
        <v>-188.89830000000001</v>
      </c>
      <c r="H6302" s="1">
        <v>-4.3329569999999997E-6</v>
      </c>
      <c r="I6302">
        <v>59.277459999999998</v>
      </c>
      <c r="J6302">
        <v>-188.51179999999999</v>
      </c>
      <c r="K6302">
        <v>1.103364</v>
      </c>
      <c r="L6302">
        <v>41.634770000000003</v>
      </c>
      <c r="M6302">
        <v>3.8878370000000002E-2</v>
      </c>
      <c r="N6302">
        <v>0</v>
      </c>
      <c r="O6302">
        <v>0.99920089999999995</v>
      </c>
      <c r="P6302">
        <v>1.815947E-2</v>
      </c>
      <c r="Q6302">
        <v>6.3331230000000004E-3</v>
      </c>
      <c r="R6302">
        <v>0.99981500000000001</v>
      </c>
      <c r="S6302">
        <v>-6.2713619999999998E-2</v>
      </c>
      <c r="T6302">
        <v>-0.18469099999999999</v>
      </c>
      <c r="U6302">
        <v>3.00329599999999</v>
      </c>
      <c r="V6302">
        <v>-2.0712009999999999E-2</v>
      </c>
      <c r="W6302">
        <v>1.562038E-2</v>
      </c>
      <c r="X6302">
        <v>0.99966350000000004</v>
      </c>
      <c r="Y6302">
        <v>-5.9693540000000003E-2</v>
      </c>
      <c r="Z6302">
        <v>-6.1249169999999999E-2</v>
      </c>
      <c r="AA6302">
        <v>0.99633590000000005</v>
      </c>
      <c r="AB6302">
        <v>31</v>
      </c>
      <c r="AC6302">
        <v>-0.386500000000012</v>
      </c>
      <c r="AD6302">
        <v>-1.1033683329570001</v>
      </c>
      <c r="AE6302">
        <v>17.642689999999899</v>
      </c>
      <c r="AF6302">
        <v>-1.06798120146314</v>
      </c>
      <c r="AG6302">
        <v>-1.1033683329570001</v>
      </c>
      <c r="AH6302">
        <v>17.5457308013901</v>
      </c>
      <c r="AI6302">
        <v>93.591693369570294</v>
      </c>
      <c r="AJ6302">
        <v>93.483207038060002</v>
      </c>
      <c r="AK6302">
        <v>17.612798610093201</v>
      </c>
    </row>
    <row r="6303" spans="1:37" x14ac:dyDescent="0.2">
      <c r="A6303" t="str">
        <f>"20200111160342001"</f>
        <v>20200111160342001</v>
      </c>
      <c r="B6303" t="str">
        <f>"1578729821989323"</f>
        <v>1578729821989323</v>
      </c>
      <c r="C6303" t="s">
        <v>37</v>
      </c>
      <c r="D6303">
        <v>5.0133400000000004</v>
      </c>
      <c r="E6303">
        <v>0.48675069999999998</v>
      </c>
      <c r="F6303" t="s">
        <v>38</v>
      </c>
      <c r="G6303">
        <v>-188.84119999999999</v>
      </c>
      <c r="H6303" s="1">
        <v>-4.0177789999999999E-6</v>
      </c>
      <c r="I6303">
        <v>58.519190000000002</v>
      </c>
      <c r="J6303">
        <v>-188.49879999999999</v>
      </c>
      <c r="K6303">
        <v>1.103437</v>
      </c>
      <c r="L6303">
        <v>41.961239999999997</v>
      </c>
      <c r="M6303">
        <v>3.9178009999999999E-2</v>
      </c>
      <c r="N6303">
        <v>0</v>
      </c>
      <c r="O6303">
        <v>0.99918879999999999</v>
      </c>
      <c r="P6303">
        <v>1.736733E-2</v>
      </c>
      <c r="Q6303">
        <v>4.2992289999999999E-3</v>
      </c>
      <c r="R6303">
        <v>0.99983999999999995</v>
      </c>
      <c r="S6303">
        <v>-5.859375E-2</v>
      </c>
      <c r="T6303">
        <v>-0.196232399999999</v>
      </c>
      <c r="U6303">
        <v>3.002869</v>
      </c>
      <c r="V6303">
        <v>-2.180851E-2</v>
      </c>
      <c r="W6303">
        <v>1.362503E-2</v>
      </c>
      <c r="X6303">
        <v>0.99966929999999998</v>
      </c>
      <c r="Y6303">
        <v>-5.8624699999999898E-2</v>
      </c>
      <c r="Z6303">
        <v>-6.5071879999999999E-2</v>
      </c>
      <c r="AA6303">
        <v>0.99615699999999996</v>
      </c>
      <c r="AB6303">
        <v>31</v>
      </c>
      <c r="AC6303">
        <v>-0.34239999999999698</v>
      </c>
      <c r="AD6303">
        <v>-1.1034410177789999</v>
      </c>
      <c r="AE6303">
        <v>16.557949999999899</v>
      </c>
      <c r="AF6303">
        <v>-0.98649360396951602</v>
      </c>
      <c r="AG6303">
        <v>-1.1034410177789999</v>
      </c>
      <c r="AH6303">
        <v>16.4587585133782</v>
      </c>
      <c r="AI6303">
        <v>93.828678399893505</v>
      </c>
      <c r="AJ6303">
        <v>93.430050988919902</v>
      </c>
      <c r="AK6303">
        <v>16.525177261139699</v>
      </c>
    </row>
    <row r="6304" spans="1:37" x14ac:dyDescent="0.2">
      <c r="A6304" t="str">
        <f>"20200111160342023"</f>
        <v>20200111160342023</v>
      </c>
      <c r="B6304" t="str">
        <f>"1578729822019579"</f>
        <v>1578729822019579</v>
      </c>
      <c r="C6304" t="s">
        <v>37</v>
      </c>
      <c r="D6304">
        <v>4.9644009999999996</v>
      </c>
      <c r="E6304">
        <v>0.48607159999999899</v>
      </c>
      <c r="F6304" t="s">
        <v>38</v>
      </c>
      <c r="G6304">
        <v>-188.8484</v>
      </c>
      <c r="H6304" s="1">
        <v>-3.8726229999999902E-6</v>
      </c>
      <c r="I6304">
        <v>58.183790000000002</v>
      </c>
      <c r="J6304">
        <v>-188.4862</v>
      </c>
      <c r="K6304">
        <v>1.1035219999999999</v>
      </c>
      <c r="L6304">
        <v>42.277250000000002</v>
      </c>
      <c r="M6304">
        <v>3.9367590000000001E-2</v>
      </c>
      <c r="N6304">
        <v>0</v>
      </c>
      <c r="O6304">
        <v>0.99918109999999905</v>
      </c>
      <c r="P6304">
        <v>1.4808669999999999E-2</v>
      </c>
      <c r="Q6304">
        <v>3.2074299999999998E-3</v>
      </c>
      <c r="R6304">
        <v>0.99988519999999903</v>
      </c>
      <c r="S6304">
        <v>-6.4712519999999996E-2</v>
      </c>
      <c r="T6304">
        <v>-0.20422509999999999</v>
      </c>
      <c r="U6304">
        <v>3.002472</v>
      </c>
      <c r="V6304">
        <v>-2.4560160000000001E-2</v>
      </c>
      <c r="W6304">
        <v>1.2567490000000001E-2</v>
      </c>
      <c r="X6304">
        <v>0.99961939999999905</v>
      </c>
      <c r="Y6304">
        <v>-6.0841979999999997E-2</v>
      </c>
      <c r="Z6304">
        <v>-6.7712599999999998E-2</v>
      </c>
      <c r="AA6304">
        <v>0.99584799999999996</v>
      </c>
      <c r="AB6304">
        <v>32</v>
      </c>
      <c r="AC6304">
        <v>-0.36220000000000102</v>
      </c>
      <c r="AD6304">
        <v>-1.1035258726229999</v>
      </c>
      <c r="AE6304">
        <v>15.90654</v>
      </c>
      <c r="AF6304">
        <v>-0.98341797094538796</v>
      </c>
      <c r="AG6304">
        <v>-1.1035258726229999</v>
      </c>
      <c r="AH6304">
        <v>15.803924073607901</v>
      </c>
      <c r="AI6304">
        <v>93.986570023214199</v>
      </c>
      <c r="AJ6304">
        <v>93.560706954553297</v>
      </c>
      <c r="AK6304">
        <v>15.872898172088499</v>
      </c>
    </row>
    <row r="6305" spans="1:37" x14ac:dyDescent="0.2">
      <c r="A6305" t="str">
        <f>"20200111160342067"</f>
        <v>20200111160342067</v>
      </c>
      <c r="B6305" t="str">
        <f>"1578729822059544"</f>
        <v>1578729822059544</v>
      </c>
      <c r="C6305" t="s">
        <v>37</v>
      </c>
      <c r="D6305">
        <v>5.0747229999999997</v>
      </c>
      <c r="E6305">
        <v>0.48569600000000002</v>
      </c>
      <c r="F6305" t="s">
        <v>38</v>
      </c>
      <c r="G6305">
        <v>-188.89570000000001</v>
      </c>
      <c r="H6305" s="1">
        <v>-3.8621370000000002E-6</v>
      </c>
      <c r="I6305">
        <v>58.178899999999999</v>
      </c>
      <c r="J6305">
        <v>-188.46170000000001</v>
      </c>
      <c r="K6305">
        <v>1.103669</v>
      </c>
      <c r="L6305">
        <v>42.893830000000001</v>
      </c>
      <c r="M6305">
        <v>3.9488660000000002E-2</v>
      </c>
      <c r="N6305">
        <v>0</v>
      </c>
      <c r="O6305">
        <v>0.9991757</v>
      </c>
      <c r="P6305">
        <v>8.9258289999999997E-3</v>
      </c>
      <c r="Q6305">
        <v>2.5374920000000001E-3</v>
      </c>
      <c r="R6305">
        <v>0.99995699999999998</v>
      </c>
      <c r="S6305">
        <v>-7.7316280000000001E-2</v>
      </c>
      <c r="T6305">
        <v>-0.2083412</v>
      </c>
      <c r="U6305">
        <v>3.002167</v>
      </c>
      <c r="V6305">
        <v>-3.0566719999999999E-2</v>
      </c>
      <c r="W6305">
        <v>1.1954319999999999E-2</v>
      </c>
      <c r="X6305">
        <v>0.99946119999999905</v>
      </c>
      <c r="Y6305">
        <v>-6.5140569999999995E-2</v>
      </c>
      <c r="Z6305">
        <v>-6.9064539999999994E-2</v>
      </c>
      <c r="AA6305">
        <v>0.99548320000000001</v>
      </c>
      <c r="AB6305">
        <v>32</v>
      </c>
      <c r="AC6305">
        <v>-0.433999999999997</v>
      </c>
      <c r="AD6305">
        <v>-1.103672862137</v>
      </c>
      <c r="AE6305">
        <v>15.2850699999999</v>
      </c>
      <c r="AF6305">
        <v>-1.03189944283264</v>
      </c>
      <c r="AG6305">
        <v>-1.103672862137</v>
      </c>
      <c r="AH6305">
        <v>15.1769437789014</v>
      </c>
      <c r="AI6305">
        <v>94.149701484413995</v>
      </c>
      <c r="AJ6305">
        <v>93.889625614184197</v>
      </c>
      <c r="AK6305">
        <v>15.251968158722001</v>
      </c>
    </row>
    <row r="6306" spans="1:37" x14ac:dyDescent="0.2">
      <c r="A6306" t="str">
        <f>"20200111160342088"</f>
        <v>20200111160342088</v>
      </c>
      <c r="B6306" t="str">
        <f>"1578729822080041"</f>
        <v>1578729822080041</v>
      </c>
      <c r="C6306" t="s">
        <v>37</v>
      </c>
      <c r="D6306">
        <v>5.0155219999999998</v>
      </c>
      <c r="E6306">
        <v>0.48545050000000001</v>
      </c>
      <c r="F6306" t="s">
        <v>38</v>
      </c>
      <c r="G6306">
        <v>-188.9709</v>
      </c>
      <c r="H6306" s="1">
        <v>-3.9729349999999996E-6</v>
      </c>
      <c r="I6306">
        <v>58.46828</v>
      </c>
      <c r="J6306">
        <v>-188.44919999999999</v>
      </c>
      <c r="K6306">
        <v>1.1037360000000001</v>
      </c>
      <c r="L6306">
        <v>43.21011</v>
      </c>
      <c r="M6306">
        <v>3.9425080000000001E-2</v>
      </c>
      <c r="N6306">
        <v>0</v>
      </c>
      <c r="O6306">
        <v>0.99917789999999995</v>
      </c>
      <c r="P6306">
        <v>6.7351919999999897E-3</v>
      </c>
      <c r="Q6306">
        <v>1.45826299999999E-3</v>
      </c>
      <c r="R6306">
        <v>0.99997630000000004</v>
      </c>
      <c r="S6306">
        <v>-9.8144529999999994E-2</v>
      </c>
      <c r="T6306">
        <v>-0.21270329999999901</v>
      </c>
      <c r="U6306">
        <v>3.0015559999999999</v>
      </c>
      <c r="V6306">
        <v>-3.2694979999999998E-2</v>
      </c>
      <c r="W6306">
        <v>1.089963E-2</v>
      </c>
      <c r="X6306">
        <v>0.99940589999999996</v>
      </c>
      <c r="Y6306">
        <v>-7.1979299999999996E-2</v>
      </c>
      <c r="Z6306">
        <v>-7.0494210000000002E-2</v>
      </c>
      <c r="AA6306">
        <v>0.99491180000000001</v>
      </c>
      <c r="AB6306">
        <v>32</v>
      </c>
      <c r="AC6306">
        <v>-0.52170000000000905</v>
      </c>
      <c r="AD6306">
        <v>-1.1037399729349999</v>
      </c>
      <c r="AE6306">
        <v>15.25817</v>
      </c>
      <c r="AF6306">
        <v>-1.11703742338811</v>
      </c>
      <c r="AG6306">
        <v>-1.1037399729349999</v>
      </c>
      <c r="AH6306">
        <v>15.1465717507443</v>
      </c>
      <c r="AI6306">
        <v>94.156563406153396</v>
      </c>
      <c r="AJ6306">
        <v>94.217843923046402</v>
      </c>
      <c r="AK6306">
        <v>15.227759202638699</v>
      </c>
    </row>
    <row r="6307" spans="1:37" x14ac:dyDescent="0.2">
      <c r="A6307" t="str">
        <f>"20200111160342112"</f>
        <v>20200111160342112</v>
      </c>
      <c r="B6307" t="str">
        <f>"1578729822099560"</f>
        <v>1578729822099560</v>
      </c>
      <c r="C6307" t="s">
        <v>37</v>
      </c>
      <c r="D6307">
        <v>5.1447750000000001</v>
      </c>
      <c r="E6307">
        <v>0.48505429999999999</v>
      </c>
      <c r="F6307" t="s">
        <v>38</v>
      </c>
      <c r="G6307">
        <v>-188.99870000000001</v>
      </c>
      <c r="H6307" s="1">
        <v>-4.0253570000000003E-6</v>
      </c>
      <c r="I6307">
        <v>58.601959999999998</v>
      </c>
      <c r="J6307">
        <v>-188.4366</v>
      </c>
      <c r="K6307">
        <v>1.103817</v>
      </c>
      <c r="L6307">
        <v>43.535829999999997</v>
      </c>
      <c r="M6307">
        <v>3.922428E-2</v>
      </c>
      <c r="N6307">
        <v>0</v>
      </c>
      <c r="O6307">
        <v>0.99918549999999995</v>
      </c>
      <c r="P6307">
        <v>6.0483289999999999E-3</v>
      </c>
      <c r="Q6307">
        <v>-9.0742380000000003E-4</v>
      </c>
      <c r="R6307">
        <v>0.99998129999999996</v>
      </c>
      <c r="S6307">
        <v>-0.10713199999999901</v>
      </c>
      <c r="T6307">
        <v>-0.21520690000000001</v>
      </c>
      <c r="U6307">
        <v>3.001099</v>
      </c>
      <c r="V6307">
        <v>-3.318277E-2</v>
      </c>
      <c r="W6307">
        <v>8.55561E-3</v>
      </c>
      <c r="X6307">
        <v>0.99941270000000004</v>
      </c>
      <c r="Y6307">
        <v>-7.4757420000000005E-2</v>
      </c>
      <c r="Z6307">
        <v>-7.1320460000000002E-2</v>
      </c>
      <c r="AA6307">
        <v>0.99464799999999998</v>
      </c>
      <c r="AB6307">
        <v>32</v>
      </c>
      <c r="AC6307">
        <v>-0.56210000000001503</v>
      </c>
      <c r="AD6307">
        <v>-1.103821025357</v>
      </c>
      <c r="AE6307">
        <v>15.066129999999999</v>
      </c>
      <c r="AF6307">
        <v>-1.1465063937905899</v>
      </c>
      <c r="AG6307">
        <v>-1.103821025357</v>
      </c>
      <c r="AH6307">
        <v>14.9523364460893</v>
      </c>
      <c r="AI6307">
        <v>94.2097546115792</v>
      </c>
      <c r="AJ6307">
        <v>94.384712066569307</v>
      </c>
      <c r="AK6307">
        <v>15.036796964914901</v>
      </c>
    </row>
    <row r="6308" spans="1:37" x14ac:dyDescent="0.2">
      <c r="A6308" t="str">
        <f>"20200111160342134"</f>
        <v>20200111160342134</v>
      </c>
      <c r="B6308" t="str">
        <f>"1578729822129817"</f>
        <v>1578729822129817</v>
      </c>
      <c r="C6308" t="s">
        <v>37</v>
      </c>
      <c r="D6308">
        <v>4.9953110000000001</v>
      </c>
      <c r="E6308">
        <v>0.48580230000000002</v>
      </c>
      <c r="F6308" t="s">
        <v>38</v>
      </c>
      <c r="G6308">
        <v>-188.99529999999999</v>
      </c>
      <c r="H6308" s="1">
        <v>-3.9366499999999998E-6</v>
      </c>
      <c r="I6308">
        <v>58.39376</v>
      </c>
      <c r="J6308">
        <v>-188.42429999999999</v>
      </c>
      <c r="K6308">
        <v>1.1039079999999999</v>
      </c>
      <c r="L6308">
        <v>43.855930000000001</v>
      </c>
      <c r="M6308">
        <v>3.8893440000000001E-2</v>
      </c>
      <c r="N6308">
        <v>0</v>
      </c>
      <c r="O6308">
        <v>0.99919820000000004</v>
      </c>
      <c r="P6308">
        <v>6.4872929999999999E-3</v>
      </c>
      <c r="Q6308">
        <v>-2.296995E-3</v>
      </c>
      <c r="R6308">
        <v>0.99997630000000004</v>
      </c>
      <c r="S6308">
        <v>-0.11282349999999999</v>
      </c>
      <c r="T6308">
        <v>-0.2229159</v>
      </c>
      <c r="U6308">
        <v>3.0005489999999999</v>
      </c>
      <c r="V6308">
        <v>-3.2414909999999998E-2</v>
      </c>
      <c r="W6308">
        <v>7.1852230000000001E-3</v>
      </c>
      <c r="X6308">
        <v>0.99944869999999997</v>
      </c>
      <c r="Y6308">
        <v>-7.6310779999999995E-2</v>
      </c>
      <c r="Z6308">
        <v>-7.3869450000000003E-2</v>
      </c>
      <c r="AA6308">
        <v>0.99434400000000001</v>
      </c>
      <c r="AB6308">
        <v>32</v>
      </c>
      <c r="AC6308">
        <v>-0.57099999999999795</v>
      </c>
      <c r="AD6308">
        <v>-1.1039119366500001</v>
      </c>
      <c r="AE6308">
        <v>14.53783</v>
      </c>
      <c r="AF6308">
        <v>-1.1295169702111301</v>
      </c>
      <c r="AG6308">
        <v>-1.1039119366500001</v>
      </c>
      <c r="AH6308">
        <v>14.4215941212606</v>
      </c>
      <c r="AI6308">
        <v>94.363901220776597</v>
      </c>
      <c r="AJ6308">
        <v>94.478333756653896</v>
      </c>
      <c r="AK6308">
        <v>14.5078188280751</v>
      </c>
    </row>
    <row r="6309" spans="1:37" x14ac:dyDescent="0.2">
      <c r="A6309" t="str">
        <f>"20200111160342156"</f>
        <v>20200111160342156</v>
      </c>
      <c r="B6309" t="str">
        <f>"1578729822149336"</f>
        <v>1578729822149336</v>
      </c>
      <c r="C6309" t="s">
        <v>37</v>
      </c>
      <c r="D6309">
        <v>5.0253519999999998</v>
      </c>
      <c r="E6309">
        <v>0.48658230000000002</v>
      </c>
      <c r="F6309" t="s">
        <v>38</v>
      </c>
      <c r="G6309">
        <v>-188.9374</v>
      </c>
      <c r="H6309" s="1">
        <v>-3.9322229999999998E-6</v>
      </c>
      <c r="I6309">
        <v>58.359519999999897</v>
      </c>
      <c r="J6309">
        <v>-188.4127</v>
      </c>
      <c r="K6309">
        <v>1.103999</v>
      </c>
      <c r="L6309">
        <v>44.164580000000001</v>
      </c>
      <c r="M6309">
        <v>3.8476639999999999E-2</v>
      </c>
      <c r="N6309">
        <v>0</v>
      </c>
      <c r="O6309">
        <v>0.99921409999999999</v>
      </c>
      <c r="P6309">
        <v>7.8939819999999904E-3</v>
      </c>
      <c r="Q6309">
        <v>-2.7820950000000001E-3</v>
      </c>
      <c r="R6309">
        <v>0.99996499999999999</v>
      </c>
      <c r="S6309">
        <v>-0.1061401</v>
      </c>
      <c r="T6309">
        <v>-0.22835759999999999</v>
      </c>
      <c r="U6309">
        <v>3.0002439999999999</v>
      </c>
      <c r="V6309">
        <v>-3.0593479999999999E-2</v>
      </c>
      <c r="W6309">
        <v>6.7184100000000002E-3</v>
      </c>
      <c r="X6309">
        <v>0.99950930000000004</v>
      </c>
      <c r="Y6309">
        <v>-7.3681570000000002E-2</v>
      </c>
      <c r="Z6309">
        <v>-7.5682479999999996E-2</v>
      </c>
      <c r="AA6309">
        <v>0.99440589999999995</v>
      </c>
      <c r="AB6309">
        <v>32</v>
      </c>
      <c r="AC6309">
        <v>-0.52469999999999495</v>
      </c>
      <c r="AD6309">
        <v>-1.1040029322229901</v>
      </c>
      <c r="AE6309">
        <v>14.1949399999999</v>
      </c>
      <c r="AF6309">
        <v>-1.06408210120967</v>
      </c>
      <c r="AG6309">
        <v>-1.1040029322229901</v>
      </c>
      <c r="AH6309">
        <v>14.079191267157899</v>
      </c>
      <c r="AI6309">
        <v>94.470906504462704</v>
      </c>
      <c r="AJ6309">
        <v>94.322103791120597</v>
      </c>
      <c r="AK6309">
        <v>14.162440465177101</v>
      </c>
    </row>
    <row r="6310" spans="1:37" x14ac:dyDescent="0.2">
      <c r="A6310" t="str">
        <f>"20200111160342178"</f>
        <v>20200111160342178</v>
      </c>
      <c r="B6310" t="str">
        <f>"1578729822169832"</f>
        <v>1578729822169832</v>
      </c>
      <c r="C6310" t="s">
        <v>37</v>
      </c>
      <c r="D6310">
        <v>4.941662</v>
      </c>
      <c r="E6310">
        <v>0.4872744</v>
      </c>
      <c r="F6310" t="s">
        <v>38</v>
      </c>
      <c r="G6310">
        <v>-188.8689</v>
      </c>
      <c r="H6310" s="1">
        <v>-3.9770859999999996E-6</v>
      </c>
      <c r="I6310">
        <v>58.435759999999902</v>
      </c>
      <c r="J6310">
        <v>-188.40090000000001</v>
      </c>
      <c r="K6310">
        <v>1.104087</v>
      </c>
      <c r="L6310">
        <v>44.485720000000001</v>
      </c>
      <c r="M6310">
        <v>3.7955490000000001E-2</v>
      </c>
      <c r="N6310">
        <v>0</v>
      </c>
      <c r="O6310">
        <v>0.99923379999999995</v>
      </c>
      <c r="P6310">
        <v>9.8983070000000003E-3</v>
      </c>
      <c r="Q6310">
        <v>-1.691119E-3</v>
      </c>
      <c r="R6310">
        <v>0.99994959999999899</v>
      </c>
      <c r="S6310">
        <v>-9.5901490000000006E-2</v>
      </c>
      <c r="T6310">
        <v>-0.2320932</v>
      </c>
      <c r="U6310">
        <v>3.0002140000000002</v>
      </c>
      <c r="V6310">
        <v>-2.807049E-2</v>
      </c>
      <c r="W6310">
        <v>7.8303660000000001E-3</v>
      </c>
      <c r="X6310">
        <v>0.99957530000000006</v>
      </c>
      <c r="Y6310">
        <v>-6.9768490000000002E-2</v>
      </c>
      <c r="Z6310">
        <v>-7.6931559999999996E-2</v>
      </c>
      <c r="AA6310">
        <v>0.99459229999999998</v>
      </c>
      <c r="AB6310">
        <v>32</v>
      </c>
      <c r="AC6310">
        <v>-0.46799999999998898</v>
      </c>
      <c r="AD6310">
        <v>-1.1040909770859999</v>
      </c>
      <c r="AE6310">
        <v>13.9500399999999</v>
      </c>
      <c r="AF6310">
        <v>-0.99096695150355196</v>
      </c>
      <c r="AG6310">
        <v>-1.1040909770859999</v>
      </c>
      <c r="AH6310">
        <v>13.8356526299098</v>
      </c>
      <c r="AI6310">
        <v>94.550949923411295</v>
      </c>
      <c r="AJ6310">
        <v>94.096765949044297</v>
      </c>
      <c r="AK6310">
        <v>13.9149673402486</v>
      </c>
    </row>
    <row r="6311" spans="1:37" x14ac:dyDescent="0.2">
      <c r="A6311" t="str">
        <f>"20200111160342200"</f>
        <v>20200111160342200</v>
      </c>
      <c r="B6311" t="str">
        <f>"1578729822189352"</f>
        <v>1578729822189352</v>
      </c>
      <c r="C6311" t="s">
        <v>37</v>
      </c>
      <c r="D6311">
        <v>4.9853639999999997</v>
      </c>
      <c r="E6311">
        <v>0.4877416</v>
      </c>
      <c r="F6311" t="s">
        <v>38</v>
      </c>
      <c r="G6311">
        <v>-188.80459999999999</v>
      </c>
      <c r="H6311" s="1">
        <v>-4.1838160000000001E-6</v>
      </c>
      <c r="I6311">
        <v>58.891059999999896</v>
      </c>
      <c r="J6311">
        <v>-188.38980000000001</v>
      </c>
      <c r="K6311">
        <v>1.104139</v>
      </c>
      <c r="L6311">
        <v>44.792819999999999</v>
      </c>
      <c r="M6311">
        <v>3.7390840000000002E-2</v>
      </c>
      <c r="N6311">
        <v>0</v>
      </c>
      <c r="O6311">
        <v>0.99925489999999995</v>
      </c>
      <c r="P6311">
        <v>1.175813E-2</v>
      </c>
      <c r="Q6311">
        <v>-1.231011E-3</v>
      </c>
      <c r="R6311">
        <v>0.99993009999999904</v>
      </c>
      <c r="S6311">
        <v>-8.4091189999999996E-2</v>
      </c>
      <c r="T6311">
        <v>-0.22998049999999901</v>
      </c>
      <c r="U6311">
        <v>3.00061</v>
      </c>
      <c r="V6311">
        <v>-2.5648540000000001E-2</v>
      </c>
      <c r="W6311">
        <v>8.3100480000000004E-3</v>
      </c>
      <c r="X6311">
        <v>0.99963649999999904</v>
      </c>
      <c r="Y6311">
        <v>-6.5290260000000003E-2</v>
      </c>
      <c r="Z6311">
        <v>-7.624388E-2</v>
      </c>
      <c r="AA6311">
        <v>0.99494930000000004</v>
      </c>
      <c r="AB6311">
        <v>32</v>
      </c>
      <c r="AC6311">
        <v>-0.41479999999998501</v>
      </c>
      <c r="AD6311">
        <v>-1.1041431838160001</v>
      </c>
      <c r="AE6311">
        <v>14.098239999999899</v>
      </c>
      <c r="AF6311">
        <v>-0.93594327469638505</v>
      </c>
      <c r="AG6311">
        <v>-1.1041431838160001</v>
      </c>
      <c r="AH6311">
        <v>13.987151537010201</v>
      </c>
      <c r="AI6311">
        <v>94.503528917517201</v>
      </c>
      <c r="AJ6311">
        <v>93.828211668999202</v>
      </c>
      <c r="AK6311">
        <v>14.0618466107088</v>
      </c>
    </row>
    <row r="6312" spans="1:37" x14ac:dyDescent="0.2">
      <c r="A6312" t="str">
        <f>"20200111160342223"</f>
        <v>20200111160342223</v>
      </c>
      <c r="B6312" t="str">
        <f>"1578729822219608"</f>
        <v>1578729822219608</v>
      </c>
      <c r="C6312" t="s">
        <v>37</v>
      </c>
      <c r="D6312">
        <v>4.8771849999999999</v>
      </c>
      <c r="E6312">
        <v>0.48837409999999998</v>
      </c>
      <c r="F6312" t="s">
        <v>38</v>
      </c>
      <c r="G6312">
        <v>-188.74539999999999</v>
      </c>
      <c r="H6312" s="1">
        <v>-4.3286929999999998E-6</v>
      </c>
      <c r="I6312">
        <v>59.20431</v>
      </c>
      <c r="J6312">
        <v>-188.3784</v>
      </c>
      <c r="K6312">
        <v>1.1041809999999901</v>
      </c>
      <c r="L6312">
        <v>45.114559999999997</v>
      </c>
      <c r="M6312">
        <v>3.6748919999999997E-2</v>
      </c>
      <c r="N6312">
        <v>0</v>
      </c>
      <c r="O6312">
        <v>0.99927849999999996</v>
      </c>
      <c r="P6312">
        <v>1.3690839999999999E-2</v>
      </c>
      <c r="Q6312">
        <v>-2.9009320000000002E-3</v>
      </c>
      <c r="R6312">
        <v>0.99990210000000002</v>
      </c>
      <c r="S6312">
        <v>-7.4050899999999906E-2</v>
      </c>
      <c r="T6312">
        <v>-0.22990720000000001</v>
      </c>
      <c r="U6312">
        <v>3.0007929999999998</v>
      </c>
      <c r="V6312">
        <v>-2.3072849999999999E-2</v>
      </c>
      <c r="W6312">
        <v>6.6621450000000004E-3</v>
      </c>
      <c r="X6312">
        <v>0.99971160000000003</v>
      </c>
      <c r="Y6312">
        <v>-6.132042E-2</v>
      </c>
      <c r="Z6312">
        <v>-7.6230800000000001E-2</v>
      </c>
      <c r="AA6312">
        <v>0.99520280000000005</v>
      </c>
      <c r="AB6312">
        <v>32</v>
      </c>
      <c r="AC6312">
        <v>-0.36699999999999</v>
      </c>
      <c r="AD6312">
        <v>-1.1041853286929999</v>
      </c>
      <c r="AE6312">
        <v>14.08975</v>
      </c>
      <c r="AF6312">
        <v>-0.87916323765473303</v>
      </c>
      <c r="AG6312">
        <v>-1.1041853286929999</v>
      </c>
      <c r="AH6312">
        <v>13.9809381594494</v>
      </c>
      <c r="AI6312">
        <v>94.506862630098496</v>
      </c>
      <c r="AJ6312">
        <v>93.598192355547695</v>
      </c>
      <c r="AK6312">
        <v>14.052002884176</v>
      </c>
    </row>
    <row r="6313" spans="1:37" x14ac:dyDescent="0.2">
      <c r="A6313" t="str">
        <f>"20200111160342244"</f>
        <v>20200111160342244</v>
      </c>
      <c r="B6313" t="str">
        <f>"1578729822240105"</f>
        <v>1578729822240105</v>
      </c>
      <c r="C6313" t="s">
        <v>37</v>
      </c>
      <c r="D6313">
        <v>4.8001129999999996</v>
      </c>
      <c r="E6313">
        <v>0.48872369999999998</v>
      </c>
      <c r="F6313" t="s">
        <v>38</v>
      </c>
      <c r="G6313">
        <v>-188.673</v>
      </c>
      <c r="H6313" s="1">
        <v>-4.3490820000000004E-6</v>
      </c>
      <c r="I6313">
        <v>59.221879999999999</v>
      </c>
      <c r="J6313">
        <v>-188.36779999999999</v>
      </c>
      <c r="K6313">
        <v>1.1042000000000001</v>
      </c>
      <c r="L6313">
        <v>45.420809999999904</v>
      </c>
      <c r="M6313">
        <v>3.6107689999999998E-2</v>
      </c>
      <c r="N6313">
        <v>0</v>
      </c>
      <c r="O6313">
        <v>0.99930169999999996</v>
      </c>
      <c r="P6313">
        <v>1.394346E-2</v>
      </c>
      <c r="Q6313">
        <v>-6.3128769999999997E-3</v>
      </c>
      <c r="R6313">
        <v>0.99988290000000002</v>
      </c>
      <c r="S6313">
        <v>-6.2652589999999994E-2</v>
      </c>
      <c r="T6313">
        <v>-0.2348469</v>
      </c>
      <c r="U6313">
        <v>3.0004580000000001</v>
      </c>
      <c r="V6313">
        <v>-2.2174630000000001E-2</v>
      </c>
      <c r="W6313">
        <v>3.2690150000000001E-3</v>
      </c>
      <c r="X6313">
        <v>0.99974879999999999</v>
      </c>
      <c r="Y6313">
        <v>-5.6900800000000001E-2</v>
      </c>
      <c r="Z6313">
        <v>-7.7883770000000005E-2</v>
      </c>
      <c r="AA6313">
        <v>0.99533739999999904</v>
      </c>
      <c r="AB6313">
        <v>32</v>
      </c>
      <c r="AC6313">
        <v>-0.30520000000001302</v>
      </c>
      <c r="AD6313">
        <v>-1.1042043490819999</v>
      </c>
      <c r="AE6313">
        <v>13.801069999999999</v>
      </c>
      <c r="AF6313">
        <v>-0.79824138422676905</v>
      </c>
      <c r="AG6313">
        <v>-1.1042043490819999</v>
      </c>
      <c r="AH6313">
        <v>13.693434990513101</v>
      </c>
      <c r="AI6313">
        <v>94.602433516975594</v>
      </c>
      <c r="AJ6313">
        <v>93.336209055204606</v>
      </c>
      <c r="AK6313">
        <v>13.7610544069643</v>
      </c>
    </row>
    <row r="6314" spans="1:37" x14ac:dyDescent="0.2">
      <c r="A6314" t="str">
        <f>"20200111160342266"</f>
        <v>20200111160342266</v>
      </c>
      <c r="B6314" t="str">
        <f>"1578729822259624"</f>
        <v>1578729822259624</v>
      </c>
      <c r="C6314" t="s">
        <v>37</v>
      </c>
      <c r="D6314">
        <v>4.745787</v>
      </c>
      <c r="E6314">
        <v>0.48898429999999998</v>
      </c>
      <c r="F6314" t="s">
        <v>38</v>
      </c>
      <c r="G6314">
        <v>-188.6319</v>
      </c>
      <c r="H6314" s="1">
        <v>-4.2201569999999997E-6</v>
      </c>
      <c r="I6314">
        <v>58.904350000000001</v>
      </c>
      <c r="J6314">
        <v>-188.35669999999999</v>
      </c>
      <c r="K6314">
        <v>1.1042099999999999</v>
      </c>
      <c r="L6314">
        <v>45.746980000000001</v>
      </c>
      <c r="M6314">
        <v>3.5408349999999998E-2</v>
      </c>
      <c r="N6314">
        <v>0</v>
      </c>
      <c r="O6314">
        <v>0.99932649999999901</v>
      </c>
      <c r="P6314">
        <v>1.162874E-2</v>
      </c>
      <c r="Q6314">
        <v>-1.175881E-2</v>
      </c>
      <c r="R6314">
        <v>0.99986330000000001</v>
      </c>
      <c r="S6314">
        <v>-5.8746340000000001E-2</v>
      </c>
      <c r="T6314">
        <v>-0.24564559999999999</v>
      </c>
      <c r="U6314">
        <v>2.999603</v>
      </c>
      <c r="V6314">
        <v>-2.378073E-2</v>
      </c>
      <c r="W6314">
        <v>-2.1615509999999998E-3</v>
      </c>
      <c r="X6314">
        <v>0.99971489999999996</v>
      </c>
      <c r="Y6314">
        <v>-5.490664E-2</v>
      </c>
      <c r="Z6314">
        <v>-8.1473390000000007E-2</v>
      </c>
      <c r="AA6314">
        <v>0.99516199999999999</v>
      </c>
      <c r="AB6314">
        <v>32</v>
      </c>
      <c r="AC6314">
        <v>-0.27520000000001199</v>
      </c>
      <c r="AD6314">
        <v>-1.104214220157</v>
      </c>
      <c r="AE6314">
        <v>13.15737</v>
      </c>
      <c r="AF6314">
        <v>-0.735750042516923</v>
      </c>
      <c r="AG6314">
        <v>-1.104214220157</v>
      </c>
      <c r="AH6314">
        <v>13.047518011502</v>
      </c>
      <c r="AI6314">
        <v>94.829790477876401</v>
      </c>
      <c r="AJ6314">
        <v>93.227493139763297</v>
      </c>
      <c r="AK6314">
        <v>13.114813892294899</v>
      </c>
    </row>
    <row r="6315" spans="1:37" x14ac:dyDescent="0.2">
      <c r="A6315" t="str">
        <f>"20200111160342289"</f>
        <v>20200111160342289</v>
      </c>
      <c r="B6315" t="str">
        <f>"1578729822279144"</f>
        <v>1578729822279144</v>
      </c>
      <c r="C6315" t="s">
        <v>37</v>
      </c>
      <c r="D6315">
        <v>4.7935189999999999</v>
      </c>
      <c r="E6315">
        <v>0.48907499999999998</v>
      </c>
      <c r="F6315" t="s">
        <v>38</v>
      </c>
      <c r="G6315">
        <v>-188.6224</v>
      </c>
      <c r="H6315" s="1">
        <v>-3.9828329999999996E-6</v>
      </c>
      <c r="I6315">
        <v>58.347230000000003</v>
      </c>
      <c r="J6315">
        <v>-188.3458</v>
      </c>
      <c r="K6315">
        <v>1.1042069999999999</v>
      </c>
      <c r="L6315">
        <v>46.075650000000003</v>
      </c>
      <c r="M6315">
        <v>3.469821E-2</v>
      </c>
      <c r="N6315">
        <v>0</v>
      </c>
      <c r="O6315">
        <v>0.99935130000000005</v>
      </c>
      <c r="P6315">
        <v>7.8353420000000003E-3</v>
      </c>
      <c r="Q6315">
        <v>-1.544938E-2</v>
      </c>
      <c r="R6315">
        <v>0.99985000000000002</v>
      </c>
      <c r="S6315">
        <v>-6.3217159999999994E-2</v>
      </c>
      <c r="T6315">
        <v>-0.26273170000000001</v>
      </c>
      <c r="U6315">
        <v>2.9980470000000001</v>
      </c>
      <c r="V6315">
        <v>-2.6856379999999999E-2</v>
      </c>
      <c r="W6315">
        <v>-5.8393369999999896E-3</v>
      </c>
      <c r="X6315">
        <v>0.99962220000000002</v>
      </c>
      <c r="Y6315">
        <v>-5.5680489999999999E-2</v>
      </c>
      <c r="Z6315">
        <v>-8.714355E-2</v>
      </c>
      <c r="AA6315">
        <v>0.99463840000000003</v>
      </c>
      <c r="AB6315">
        <v>32</v>
      </c>
      <c r="AC6315">
        <v>-0.27660000000000201</v>
      </c>
      <c r="AD6315">
        <v>-1.104210982833</v>
      </c>
      <c r="AE6315">
        <v>12.27158</v>
      </c>
      <c r="AF6315">
        <v>-0.69661771269151895</v>
      </c>
      <c r="AG6315">
        <v>-1.104210982833</v>
      </c>
      <c r="AH6315">
        <v>12.156217674117</v>
      </c>
      <c r="AI6315">
        <v>95.181768142146794</v>
      </c>
      <c r="AJ6315">
        <v>93.279774287309706</v>
      </c>
      <c r="AK6315">
        <v>12.2261271984533</v>
      </c>
    </row>
    <row r="6316" spans="1:37" x14ac:dyDescent="0.2">
      <c r="A6316" t="str">
        <f>"20200111160342312"</f>
        <v>20200111160342312</v>
      </c>
      <c r="B6316" t="str">
        <f>"1578729822309401"</f>
        <v>1578729822309401</v>
      </c>
      <c r="C6316" t="s">
        <v>37</v>
      </c>
      <c r="D6316">
        <v>4.6983189999999997</v>
      </c>
      <c r="E6316">
        <v>0.4891298</v>
      </c>
      <c r="F6316" t="s">
        <v>38</v>
      </c>
      <c r="G6316">
        <v>-188.64099999999999</v>
      </c>
      <c r="H6316" s="1">
        <v>-3.902488E-6</v>
      </c>
      <c r="I6316">
        <v>58.167650000000002</v>
      </c>
      <c r="J6316">
        <v>-188.33539999999999</v>
      </c>
      <c r="K6316">
        <v>1.1042239999999901</v>
      </c>
      <c r="L6316">
        <v>46.395359999999997</v>
      </c>
      <c r="M6316">
        <v>3.4008429999999999E-2</v>
      </c>
      <c r="N6316">
        <v>0</v>
      </c>
      <c r="O6316">
        <v>0.99937480000000001</v>
      </c>
      <c r="P6316">
        <v>2.7789889999999999E-3</v>
      </c>
      <c r="Q6316">
        <v>-1.5990850000000001E-2</v>
      </c>
      <c r="R6316">
        <v>0.99986830000000004</v>
      </c>
      <c r="S6316">
        <v>-7.3165889999999997E-2</v>
      </c>
      <c r="T6316">
        <v>-0.27366000000000001</v>
      </c>
      <c r="U6316">
        <v>2.9967959999999998</v>
      </c>
      <c r="V6316">
        <v>-3.1219799999999999E-2</v>
      </c>
      <c r="W6316">
        <v>-6.3711969999999899E-3</v>
      </c>
      <c r="X6316">
        <v>0.99949219999999905</v>
      </c>
      <c r="Y6316">
        <v>-5.829227E-2</v>
      </c>
      <c r="Z6316">
        <v>-9.0769539999999996E-2</v>
      </c>
      <c r="AA6316">
        <v>0.99416439999999995</v>
      </c>
      <c r="AB6316">
        <v>32</v>
      </c>
      <c r="AC6316">
        <v>-0.30559999999999798</v>
      </c>
      <c r="AD6316">
        <v>-1.104227902488</v>
      </c>
      <c r="AE6316">
        <v>11.77229</v>
      </c>
      <c r="AF6316">
        <v>-0.69964749621758804</v>
      </c>
      <c r="AG6316">
        <v>-1.104227902488</v>
      </c>
      <c r="AH6316">
        <v>11.652632622058601</v>
      </c>
      <c r="AI6316">
        <v>95.403629635045604</v>
      </c>
      <c r="AJ6316">
        <v>93.436028775821399</v>
      </c>
      <c r="AK6316">
        <v>11.725726966984199</v>
      </c>
    </row>
    <row r="6317" spans="1:37" x14ac:dyDescent="0.2">
      <c r="A6317" t="str">
        <f>"20200111160342333"</f>
        <v>20200111160342333</v>
      </c>
      <c r="B6317" t="str">
        <f>"1578729822329896"</f>
        <v>1578729822329896</v>
      </c>
      <c r="C6317" t="s">
        <v>37</v>
      </c>
      <c r="D6317">
        <v>4.6858909999999998</v>
      </c>
      <c r="E6317">
        <v>0.48919960000000001</v>
      </c>
      <c r="F6317" t="s">
        <v>38</v>
      </c>
      <c r="G6317">
        <v>-188.68610000000001</v>
      </c>
      <c r="H6317" s="1">
        <v>-4.0087950000000001E-6</v>
      </c>
      <c r="I6317">
        <v>58.434069999999998</v>
      </c>
      <c r="J6317">
        <v>-188.32560000000001</v>
      </c>
      <c r="K6317">
        <v>1.104241</v>
      </c>
      <c r="L6317">
        <v>46.703980000000001</v>
      </c>
      <c r="M6317">
        <v>3.3344930000000002E-2</v>
      </c>
      <c r="N6317">
        <v>0</v>
      </c>
      <c r="O6317">
        <v>0.99939699999999998</v>
      </c>
      <c r="P6317">
        <v>-3.0660819999999999E-3</v>
      </c>
      <c r="Q6317">
        <v>-1.5187640000000001E-2</v>
      </c>
      <c r="R6317">
        <v>0.99987999999999899</v>
      </c>
      <c r="S6317">
        <v>-8.7280269999999993E-2</v>
      </c>
      <c r="T6317">
        <v>-0.27482479999999998</v>
      </c>
      <c r="U6317">
        <v>2.99624599999999</v>
      </c>
      <c r="V6317">
        <v>-3.6399639999999997E-2</v>
      </c>
      <c r="W6317">
        <v>-5.561084E-3</v>
      </c>
      <c r="X6317">
        <v>0.99932180000000004</v>
      </c>
      <c r="Y6317">
        <v>-6.231225E-2</v>
      </c>
      <c r="Z6317">
        <v>-9.11555E-2</v>
      </c>
      <c r="AA6317">
        <v>0.99388519999999902</v>
      </c>
      <c r="AB6317">
        <v>32</v>
      </c>
      <c r="AC6317">
        <v>-0.36050000000000099</v>
      </c>
      <c r="AD6317">
        <v>-1.104245008795</v>
      </c>
      <c r="AE6317">
        <v>11.730089999999899</v>
      </c>
      <c r="AF6317">
        <v>-0.74486218849830199</v>
      </c>
      <c r="AG6317">
        <v>-1.104245008795</v>
      </c>
      <c r="AH6317">
        <v>11.6087659437821</v>
      </c>
      <c r="AI6317">
        <v>95.422635964648293</v>
      </c>
      <c r="AJ6317">
        <v>93.671280532811295</v>
      </c>
      <c r="AK6317">
        <v>11.6849314699239</v>
      </c>
    </row>
    <row r="6318" spans="1:37" x14ac:dyDescent="0.2">
      <c r="A6318" t="str">
        <f>"20200111160342356"</f>
        <v>20200111160342356</v>
      </c>
      <c r="B6318" t="str">
        <f>"1578729822349416"</f>
        <v>1578729822349416</v>
      </c>
      <c r="C6318" t="s">
        <v>37</v>
      </c>
      <c r="D6318">
        <v>4.6763370000000002</v>
      </c>
      <c r="E6318">
        <v>0.48940159999999899</v>
      </c>
      <c r="F6318" t="s">
        <v>38</v>
      </c>
      <c r="G6318">
        <v>-188.74959999999999</v>
      </c>
      <c r="H6318" s="1">
        <v>-4.2184890000000003E-6</v>
      </c>
      <c r="I6318">
        <v>58.949150000000003</v>
      </c>
      <c r="J6318">
        <v>-188.31540000000001</v>
      </c>
      <c r="K6318">
        <v>1.1042449999999999</v>
      </c>
      <c r="L6318">
        <v>47.030819999999999</v>
      </c>
      <c r="M6318">
        <v>3.2642829999999998E-2</v>
      </c>
      <c r="N6318">
        <v>0</v>
      </c>
      <c r="O6318">
        <v>0.99941999999999998</v>
      </c>
      <c r="P6318">
        <v>-8.6353449999999991E-3</v>
      </c>
      <c r="Q6318">
        <v>-1.4697979999999999E-2</v>
      </c>
      <c r="R6318">
        <v>0.99985469999999899</v>
      </c>
      <c r="S6318">
        <v>-0.103744499999999</v>
      </c>
      <c r="T6318">
        <v>-0.27016799999999902</v>
      </c>
      <c r="U6318">
        <v>2.9959410000000002</v>
      </c>
      <c r="V6318">
        <v>-4.1263559999999998E-2</v>
      </c>
      <c r="W6318">
        <v>-5.0640570000000003E-3</v>
      </c>
      <c r="X6318">
        <v>0.99913539999999901</v>
      </c>
      <c r="Y6318">
        <v>-6.7074519999999999E-2</v>
      </c>
      <c r="Z6318">
        <v>-8.9613979999999996E-2</v>
      </c>
      <c r="AA6318">
        <v>0.99371540000000003</v>
      </c>
      <c r="AB6318">
        <v>32</v>
      </c>
      <c r="AC6318">
        <v>-0.43419999999997499</v>
      </c>
      <c r="AD6318">
        <v>-1.104249218489</v>
      </c>
      <c r="AE6318">
        <v>11.918329999999999</v>
      </c>
      <c r="AF6318">
        <v>-0.81603909743446701</v>
      </c>
      <c r="AG6318">
        <v>-1.104249218489</v>
      </c>
      <c r="AH6318">
        <v>11.796672114242201</v>
      </c>
      <c r="AI6318">
        <v>95.335018441229906</v>
      </c>
      <c r="AJ6318">
        <v>93.957152522993397</v>
      </c>
      <c r="AK6318">
        <v>11.8763108377987</v>
      </c>
    </row>
    <row r="6319" spans="1:37" x14ac:dyDescent="0.2">
      <c r="A6319" t="str">
        <f>"20200111160342378"</f>
        <v>20200111160342378</v>
      </c>
      <c r="B6319" t="str">
        <f>"1578729822369912"</f>
        <v>1578729822369912</v>
      </c>
      <c r="C6319" t="s">
        <v>37</v>
      </c>
      <c r="D6319">
        <v>4.6351170000000002</v>
      </c>
      <c r="E6319">
        <v>0.48968699999999998</v>
      </c>
      <c r="F6319" t="s">
        <v>38</v>
      </c>
      <c r="G6319">
        <v>-188.8091</v>
      </c>
      <c r="H6319" s="1">
        <v>-4.4353559999999902E-6</v>
      </c>
      <c r="I6319">
        <v>59.479259999999996</v>
      </c>
      <c r="J6319">
        <v>-188.30539999999999</v>
      </c>
      <c r="K6319">
        <v>1.104255</v>
      </c>
      <c r="L6319">
        <v>47.360050000000001</v>
      </c>
      <c r="M6319">
        <v>3.1934749999999998E-2</v>
      </c>
      <c r="N6319">
        <v>0</v>
      </c>
      <c r="O6319">
        <v>0.99944279999999996</v>
      </c>
      <c r="P6319">
        <v>-1.3816709999999999E-2</v>
      </c>
      <c r="Q6319">
        <v>-1.4570970000000001E-2</v>
      </c>
      <c r="R6319">
        <v>0.99979839999999998</v>
      </c>
      <c r="S6319">
        <v>-0.1187897</v>
      </c>
      <c r="T6319">
        <v>-0.26571689999999998</v>
      </c>
      <c r="U6319">
        <v>2.9954830000000001</v>
      </c>
      <c r="V6319">
        <v>-4.5732979999999999E-2</v>
      </c>
      <c r="W6319">
        <v>-4.9296299999999999E-3</v>
      </c>
      <c r="X6319">
        <v>0.99894150000000004</v>
      </c>
      <c r="Y6319">
        <v>-7.1361610000000006E-2</v>
      </c>
      <c r="Z6319">
        <v>-8.8144249999999993E-2</v>
      </c>
      <c r="AA6319">
        <v>0.99354819999999999</v>
      </c>
      <c r="AB6319">
        <v>32</v>
      </c>
      <c r="AC6319">
        <v>-0.50370000000000903</v>
      </c>
      <c r="AD6319">
        <v>-1.104259435356</v>
      </c>
      <c r="AE6319">
        <v>12.119209999999899</v>
      </c>
      <c r="AF6319">
        <v>-0.88316566876577196</v>
      </c>
      <c r="AG6319">
        <v>-1.104259435356</v>
      </c>
      <c r="AH6319">
        <v>11.997507749732501</v>
      </c>
      <c r="AI6319">
        <v>95.244618216307799</v>
      </c>
      <c r="AJ6319">
        <v>94.210087843371895</v>
      </c>
      <c r="AK6319">
        <v>12.0805448016201</v>
      </c>
    </row>
    <row r="6320" spans="1:37" x14ac:dyDescent="0.2">
      <c r="A6320" t="str">
        <f>"20200111160342401"</f>
        <v>20200111160342401</v>
      </c>
      <c r="B6320" t="str">
        <f>"1578729822389432"</f>
        <v>1578729822389432</v>
      </c>
      <c r="C6320" t="s">
        <v>37</v>
      </c>
      <c r="D6320">
        <v>4.658296</v>
      </c>
      <c r="E6320">
        <v>0.49912129999999999</v>
      </c>
      <c r="F6320" t="s">
        <v>38</v>
      </c>
      <c r="G6320">
        <v>-188.8622</v>
      </c>
      <c r="H6320" s="1">
        <v>-4.1582259999999998E-7</v>
      </c>
      <c r="I6320">
        <v>59.980359999999997</v>
      </c>
      <c r="J6320">
        <v>-188.29570000000001</v>
      </c>
      <c r="K6320">
        <v>1.1042689999999999</v>
      </c>
      <c r="L6320">
        <v>47.683990000000001</v>
      </c>
      <c r="M6320">
        <v>3.123652E-2</v>
      </c>
      <c r="N6320">
        <v>0</v>
      </c>
      <c r="O6320">
        <v>0.99946460000000004</v>
      </c>
      <c r="P6320">
        <v>-1.6652130000000001E-2</v>
      </c>
      <c r="Q6320">
        <v>-1.3746349999999999E-2</v>
      </c>
      <c r="R6320">
        <v>0.99976679999999996</v>
      </c>
      <c r="S6320">
        <v>-0.13214110000000001</v>
      </c>
      <c r="T6320">
        <v>-0.26205400000000001</v>
      </c>
      <c r="U6320">
        <v>2.9949650000000001</v>
      </c>
      <c r="V6320">
        <v>-4.7869399999999999E-2</v>
      </c>
      <c r="W6320">
        <v>-4.0939729999999999E-3</v>
      </c>
      <c r="X6320">
        <v>0.99884519999999899</v>
      </c>
      <c r="Y6320">
        <v>-7.5097220000000006E-2</v>
      </c>
      <c r="Z6320">
        <v>-8.6936299999999994E-2</v>
      </c>
      <c r="AA6320">
        <v>0.99337940000000002</v>
      </c>
      <c r="AB6320">
        <v>32</v>
      </c>
      <c r="AC6320">
        <v>-0.56649999999999001</v>
      </c>
      <c r="AD6320">
        <v>-1.1042694158226001</v>
      </c>
      <c r="AE6320">
        <v>12.2963699999999</v>
      </c>
      <c r="AF6320">
        <v>-0.94275051002830801</v>
      </c>
      <c r="AG6320">
        <v>-1.1042694158226001</v>
      </c>
      <c r="AH6320">
        <v>12.174693625084601</v>
      </c>
      <c r="AI6320">
        <v>95.167277372759301</v>
      </c>
      <c r="AJ6320">
        <v>94.427877252281803</v>
      </c>
      <c r="AK6320">
        <v>12.2609687354448</v>
      </c>
    </row>
    <row r="6321" spans="1:37" x14ac:dyDescent="0.2">
      <c r="A6321" t="str">
        <f>"20200111160342424"</f>
        <v>20200111160342424</v>
      </c>
      <c r="B6321" t="str">
        <f>"1578729822419688"</f>
        <v>1578729822419688</v>
      </c>
      <c r="C6321" t="s">
        <v>37</v>
      </c>
      <c r="D6321">
        <v>4.8621150000000002</v>
      </c>
      <c r="E6321">
        <v>0.49921650000000001</v>
      </c>
      <c r="F6321" t="s">
        <v>38</v>
      </c>
      <c r="G6321">
        <v>-188.7055</v>
      </c>
      <c r="H6321" s="1">
        <v>-3.6033229999999999E-6</v>
      </c>
      <c r="I6321">
        <v>67.496960000000001</v>
      </c>
      <c r="J6321">
        <v>-188.28620000000001</v>
      </c>
      <c r="K6321">
        <v>1.104279</v>
      </c>
      <c r="L6321">
        <v>48.010350000000003</v>
      </c>
      <c r="M6321">
        <v>3.053177E-2</v>
      </c>
      <c r="N6321">
        <v>0</v>
      </c>
      <c r="O6321">
        <v>0.99948630000000005</v>
      </c>
      <c r="P6321">
        <v>-1.8628019999999999E-2</v>
      </c>
      <c r="Q6321">
        <v>-1.1962810000000001E-2</v>
      </c>
      <c r="R6321">
        <v>0.9997549</v>
      </c>
      <c r="S6321">
        <v>-6.1996460000000003E-2</v>
      </c>
      <c r="T6321">
        <v>-0.16705829999999999</v>
      </c>
      <c r="U6321">
        <v>2.9973749999999999</v>
      </c>
      <c r="V6321">
        <v>-4.9142280000000003E-2</v>
      </c>
      <c r="W6321">
        <v>-2.2978310000000002E-3</v>
      </c>
      <c r="X6321">
        <v>0.99878909999999999</v>
      </c>
      <c r="Y6321">
        <v>-5.1164210000000002E-2</v>
      </c>
      <c r="Z6321">
        <v>-5.5567199999999997E-2</v>
      </c>
      <c r="AA6321">
        <v>0.99714309999999995</v>
      </c>
      <c r="AB6321">
        <v>32</v>
      </c>
      <c r="AC6321">
        <v>-0.41929999999999201</v>
      </c>
      <c r="AD6321">
        <v>-1.104282603323</v>
      </c>
      <c r="AE6321">
        <v>19.486609999999999</v>
      </c>
      <c r="AF6321">
        <v>-1.0108487553515499</v>
      </c>
      <c r="AG6321">
        <v>-1.104282603323</v>
      </c>
      <c r="AH6321">
        <v>19.402442606540799</v>
      </c>
      <c r="AI6321">
        <v>93.253050750068397</v>
      </c>
      <c r="AJ6321">
        <v>92.982359069345506</v>
      </c>
      <c r="AK6321">
        <v>19.460113935285801</v>
      </c>
    </row>
    <row r="6322" spans="1:37" x14ac:dyDescent="0.2">
      <c r="A6322" t="str">
        <f>"20200111160342447"</f>
        <v>20200111160342447</v>
      </c>
      <c r="B6322" t="str">
        <f>"1578729822439208"</f>
        <v>1578729822439208</v>
      </c>
      <c r="C6322" t="s">
        <v>37</v>
      </c>
      <c r="D6322">
        <v>4.5916439999999996</v>
      </c>
      <c r="E6322">
        <v>0.50015069999999995</v>
      </c>
      <c r="F6322" t="s">
        <v>38</v>
      </c>
      <c r="G6322">
        <v>-188.75899999999999</v>
      </c>
      <c r="H6322" s="1">
        <v>-4.341543E-6</v>
      </c>
      <c r="I6322">
        <v>69.239890000000003</v>
      </c>
      <c r="J6322">
        <v>-188.27699999999999</v>
      </c>
      <c r="K6322">
        <v>1.104304</v>
      </c>
      <c r="L6322">
        <v>48.334870000000002</v>
      </c>
      <c r="M6322">
        <v>2.9829120000000001E-2</v>
      </c>
      <c r="N6322">
        <v>0</v>
      </c>
      <c r="O6322">
        <v>0.99950740000000005</v>
      </c>
      <c r="P6322">
        <v>-1.9873100000000001E-2</v>
      </c>
      <c r="Q6322">
        <v>-9.5883240000000005E-3</v>
      </c>
      <c r="R6322">
        <v>0.99975650000000005</v>
      </c>
      <c r="S6322">
        <v>-6.6757200000000003E-2</v>
      </c>
      <c r="T6322">
        <v>-0.15592529999999999</v>
      </c>
      <c r="U6322">
        <v>2.99762</v>
      </c>
      <c r="V6322">
        <v>-4.9688199999999898E-2</v>
      </c>
      <c r="W6322" s="1">
        <v>9.0346259999999996E-5</v>
      </c>
      <c r="X6322">
        <v>0.99876480000000001</v>
      </c>
      <c r="Y6322">
        <v>-5.2047780000000002E-2</v>
      </c>
      <c r="Z6322">
        <v>-5.186984E-2</v>
      </c>
      <c r="AA6322">
        <v>0.99729659999999998</v>
      </c>
      <c r="AB6322">
        <v>32</v>
      </c>
      <c r="AC6322">
        <v>-0.48199999999999898</v>
      </c>
      <c r="AD6322">
        <v>-1.1043083415429999</v>
      </c>
      <c r="AE6322">
        <v>20.90502</v>
      </c>
      <c r="AF6322">
        <v>-1.1023191548779101</v>
      </c>
      <c r="AG6322">
        <v>-1.1043083415429999</v>
      </c>
      <c r="AH6322">
        <v>20.823262222295799</v>
      </c>
      <c r="AI6322">
        <v>93.031454406407605</v>
      </c>
      <c r="AJ6322">
        <v>93.030233069243707</v>
      </c>
      <c r="AK6322">
        <v>20.8816391600588</v>
      </c>
    </row>
    <row r="6323" spans="1:37" x14ac:dyDescent="0.2">
      <c r="A6323" t="str">
        <f>"20200111160342469"</f>
        <v>20200111160342469</v>
      </c>
      <c r="B6323" t="str">
        <f>"1578729822459704"</f>
        <v>1578729822459704</v>
      </c>
      <c r="C6323" t="s">
        <v>37</v>
      </c>
      <c r="D6323">
        <v>4.5619620000000003</v>
      </c>
      <c r="E6323">
        <v>0.50033879999999997</v>
      </c>
      <c r="F6323" t="s">
        <v>38</v>
      </c>
      <c r="G6323">
        <v>-188.75890000000001</v>
      </c>
      <c r="H6323" s="1">
        <v>-8.9991509999999903E-7</v>
      </c>
      <c r="I6323">
        <v>71.217330000000004</v>
      </c>
      <c r="J6323">
        <v>-188.26779999999999</v>
      </c>
      <c r="K6323">
        <v>1.104344</v>
      </c>
      <c r="L6323">
        <v>48.665590000000002</v>
      </c>
      <c r="M6323">
        <v>2.911219E-2</v>
      </c>
      <c r="N6323">
        <v>0</v>
      </c>
      <c r="O6323">
        <v>0.99952770000000002</v>
      </c>
      <c r="P6323">
        <v>-1.9589519999999999E-2</v>
      </c>
      <c r="Q6323">
        <v>-6.9852959999999898E-3</v>
      </c>
      <c r="R6323">
        <v>0.99978369999999905</v>
      </c>
      <c r="S6323">
        <v>-6.3140870000000002E-2</v>
      </c>
      <c r="T6323">
        <v>-0.14468689999999901</v>
      </c>
      <c r="U6323">
        <v>2.9980769999999999</v>
      </c>
      <c r="V6323">
        <v>-4.8692630000000001E-2</v>
      </c>
      <c r="W6323">
        <v>2.7773989999999998E-3</v>
      </c>
      <c r="X6323">
        <v>0.99880990000000003</v>
      </c>
      <c r="Y6323">
        <v>-5.0129559999999997E-2</v>
      </c>
      <c r="Z6323">
        <v>-4.8137529999999998E-2</v>
      </c>
      <c r="AA6323">
        <v>0.99758199999999997</v>
      </c>
      <c r="AB6323">
        <v>32</v>
      </c>
      <c r="AC6323">
        <v>-0.49110000000001702</v>
      </c>
      <c r="AD6323">
        <v>-1.1043448999151</v>
      </c>
      <c r="AE6323">
        <v>22.551739999999999</v>
      </c>
      <c r="AF6323">
        <v>-1.14471044859685</v>
      </c>
      <c r="AG6323">
        <v>-1.1043448999151</v>
      </c>
      <c r="AH6323">
        <v>22.474015672660599</v>
      </c>
      <c r="AI6323">
        <v>92.809543567126795</v>
      </c>
      <c r="AJ6323">
        <v>92.915831676871093</v>
      </c>
      <c r="AK6323">
        <v>22.530231248793001</v>
      </c>
    </row>
    <row r="6324" spans="1:37" x14ac:dyDescent="0.2">
      <c r="A6324" t="str">
        <f>"20200111160342492"</f>
        <v>20200111160342492</v>
      </c>
      <c r="B6324" t="str">
        <f>"1578729822489959"</f>
        <v>1578729822489959</v>
      </c>
      <c r="C6324" t="s">
        <v>37</v>
      </c>
      <c r="D6324">
        <v>4.5190169999999998</v>
      </c>
      <c r="E6324">
        <v>0.50097340000000001</v>
      </c>
      <c r="F6324" t="s">
        <v>38</v>
      </c>
      <c r="G6324">
        <v>-188.75739999999999</v>
      </c>
      <c r="H6324" s="1">
        <v>-1.5443589999999999E-6</v>
      </c>
      <c r="I6324">
        <v>72.71893</v>
      </c>
      <c r="J6324">
        <v>-188.25890000000001</v>
      </c>
      <c r="K6324">
        <v>1.1043799999999999</v>
      </c>
      <c r="L6324">
        <v>48.998840000000001</v>
      </c>
      <c r="M6324">
        <v>2.8391759999999999E-2</v>
      </c>
      <c r="N6324">
        <v>0</v>
      </c>
      <c r="O6324">
        <v>0.99954609999999899</v>
      </c>
      <c r="P6324">
        <v>-1.8567730000000001E-2</v>
      </c>
      <c r="Q6324">
        <v>-4.9690559999999899E-3</v>
      </c>
      <c r="R6324">
        <v>0.99981529999999996</v>
      </c>
      <c r="S6324">
        <v>-6.1035159999999998E-2</v>
      </c>
      <c r="T6324">
        <v>-0.13766689999999901</v>
      </c>
      <c r="U6324">
        <v>2.9984739999999999</v>
      </c>
      <c r="V6324">
        <v>-4.6955190000000001E-2</v>
      </c>
      <c r="W6324">
        <v>5.02948299999999E-3</v>
      </c>
      <c r="X6324">
        <v>0.99888429999999995</v>
      </c>
      <c r="Y6324">
        <v>-4.8708920000000003E-2</v>
      </c>
      <c r="Z6324">
        <v>-4.5804329999999997E-2</v>
      </c>
      <c r="AA6324">
        <v>0.99776219999999904</v>
      </c>
      <c r="AB6324">
        <v>32</v>
      </c>
      <c r="AC6324">
        <v>-0.49849999999997802</v>
      </c>
      <c r="AD6324">
        <v>-1.1043815443589999</v>
      </c>
      <c r="AE6324">
        <v>23.720089999999999</v>
      </c>
      <c r="AF6324">
        <v>-1.1692547919988501</v>
      </c>
      <c r="AG6324">
        <v>-1.1043815443589999</v>
      </c>
      <c r="AH6324">
        <v>23.645139103699599</v>
      </c>
      <c r="AI6324">
        <v>92.670882715799806</v>
      </c>
      <c r="AJ6324">
        <v>92.830976711352093</v>
      </c>
      <c r="AK6324">
        <v>23.699776762607701</v>
      </c>
    </row>
    <row r="6325" spans="1:37" x14ac:dyDescent="0.2">
      <c r="A6325" t="str">
        <f>"20200111160342513"</f>
        <v>20200111160342513</v>
      </c>
      <c r="B6325" t="str">
        <f>"1578729822509480"</f>
        <v>1578729822509480</v>
      </c>
      <c r="C6325" t="s">
        <v>37</v>
      </c>
      <c r="D6325">
        <v>4.4927549999999998</v>
      </c>
      <c r="E6325">
        <v>0.50123700000000004</v>
      </c>
      <c r="F6325" t="s">
        <v>38</v>
      </c>
      <c r="G6325">
        <v>-188.69290000000001</v>
      </c>
      <c r="H6325" s="1">
        <v>-1.868332E-6</v>
      </c>
      <c r="I6325">
        <v>73.447459999999893</v>
      </c>
      <c r="J6325">
        <v>-188.25099999999901</v>
      </c>
      <c r="K6325">
        <v>1.104347</v>
      </c>
      <c r="L6325">
        <v>49.305540000000001</v>
      </c>
      <c r="M6325">
        <v>2.771589E-2</v>
      </c>
      <c r="N6325">
        <v>0</v>
      </c>
      <c r="O6325">
        <v>0.99956440000000002</v>
      </c>
      <c r="P6325">
        <v>-1.7797960000000002E-2</v>
      </c>
      <c r="Q6325">
        <v>-4.1911209999999999E-3</v>
      </c>
      <c r="R6325">
        <v>0.99983279999999997</v>
      </c>
      <c r="S6325">
        <v>-5.3237920000000001E-2</v>
      </c>
      <c r="T6325">
        <v>-0.135465</v>
      </c>
      <c r="U6325">
        <v>2.998901</v>
      </c>
      <c r="V6325">
        <v>-4.5511250000000003E-2</v>
      </c>
      <c r="W6325">
        <v>5.8820540000000003E-3</v>
      </c>
      <c r="X6325">
        <v>0.99894649999999996</v>
      </c>
      <c r="Y6325">
        <v>-4.5437749999999999E-2</v>
      </c>
      <c r="Z6325">
        <v>-4.5072679999999997E-2</v>
      </c>
      <c r="AA6325">
        <v>0.9979498</v>
      </c>
      <c r="AB6325">
        <v>32</v>
      </c>
      <c r="AC6325">
        <v>-0.44190000000003199</v>
      </c>
      <c r="AD6325">
        <v>-1.104348868332</v>
      </c>
      <c r="AE6325">
        <v>24.141919999999899</v>
      </c>
      <c r="AF6325">
        <v>-1.1085605255261599</v>
      </c>
      <c r="AG6325">
        <v>-1.104348868332</v>
      </c>
      <c r="AH6325">
        <v>24.070046318452199</v>
      </c>
      <c r="AI6325">
        <v>92.624146496520197</v>
      </c>
      <c r="AJ6325">
        <v>92.636928382421004</v>
      </c>
      <c r="AK6325">
        <v>24.120854517080701</v>
      </c>
    </row>
    <row r="6326" spans="1:37" x14ac:dyDescent="0.2">
      <c r="A6326" t="str">
        <f>"20200111160342558"</f>
        <v>20200111160342558</v>
      </c>
      <c r="B6326" t="str">
        <f>"1578729822549496"</f>
        <v>1578729822549496</v>
      </c>
      <c r="C6326" t="s">
        <v>37</v>
      </c>
      <c r="D6326">
        <v>4.444064</v>
      </c>
      <c r="E6326">
        <v>0.50194229999999995</v>
      </c>
      <c r="F6326" t="s">
        <v>38</v>
      </c>
      <c r="G6326">
        <v>-188.65180000000001</v>
      </c>
      <c r="H6326" s="1">
        <v>-2.0883870000000001E-6</v>
      </c>
      <c r="I6326">
        <v>73.94341</v>
      </c>
      <c r="J6326">
        <v>-188.23490000000001</v>
      </c>
      <c r="K6326">
        <v>1.1043190000000001</v>
      </c>
      <c r="L6326">
        <v>49.950099999999999</v>
      </c>
      <c r="M6326">
        <v>2.6283399999999998E-2</v>
      </c>
      <c r="N6326">
        <v>0</v>
      </c>
      <c r="O6326">
        <v>0.99959989999999999</v>
      </c>
      <c r="P6326">
        <v>-1.610576E-2</v>
      </c>
      <c r="Q6326">
        <v>-7.6062259999999998E-3</v>
      </c>
      <c r="R6326">
        <v>0.99984139999999999</v>
      </c>
      <c r="S6326">
        <v>-4.8797609999999998E-2</v>
      </c>
      <c r="T6326">
        <v>-0.13442870000000001</v>
      </c>
      <c r="U6326">
        <v>2.9990839999999999</v>
      </c>
      <c r="V6326">
        <v>-4.2383990000000003E-2</v>
      </c>
      <c r="W6326">
        <v>2.78312E-3</v>
      </c>
      <c r="X6326">
        <v>0.99909749999999997</v>
      </c>
      <c r="Y6326">
        <v>-4.2528110000000001E-2</v>
      </c>
      <c r="Z6326">
        <v>-4.4731859999999998E-2</v>
      </c>
      <c r="AA6326">
        <v>0.99809340000000002</v>
      </c>
      <c r="AB6326">
        <v>32</v>
      </c>
      <c r="AC6326">
        <v>-0.41689999999999799</v>
      </c>
      <c r="AD6326">
        <v>-1.104321088387</v>
      </c>
      <c r="AE6326">
        <v>23.993310000000001</v>
      </c>
      <c r="AF6326">
        <v>-1.04520266335252</v>
      </c>
      <c r="AG6326">
        <v>-1.104321088387</v>
      </c>
      <c r="AH6326">
        <v>23.9233977067571</v>
      </c>
      <c r="AI6326">
        <v>92.640422663374295</v>
      </c>
      <c r="AJ6326">
        <v>92.501636382616098</v>
      </c>
      <c r="AK6326">
        <v>23.971669351745302</v>
      </c>
    </row>
    <row r="6327" spans="1:37" x14ac:dyDescent="0.2">
      <c r="A6327" t="str">
        <f>"20200111160342581"</f>
        <v>20200111160342581</v>
      </c>
      <c r="B6327" t="str">
        <f>"1578729822569993"</f>
        <v>1578729822569993</v>
      </c>
      <c r="C6327" t="s">
        <v>37</v>
      </c>
      <c r="D6327">
        <v>4.4661999999999997</v>
      </c>
      <c r="E6327">
        <v>0.50224089999999999</v>
      </c>
      <c r="F6327" t="s">
        <v>38</v>
      </c>
      <c r="G6327">
        <v>-188.51490000000001</v>
      </c>
      <c r="H6327" s="1">
        <v>-1.273239E-6</v>
      </c>
      <c r="I6327">
        <v>71.986639999999994</v>
      </c>
      <c r="J6327">
        <v>-188.2269</v>
      </c>
      <c r="K6327">
        <v>1.104339</v>
      </c>
      <c r="L6327">
        <v>50.282559999999997</v>
      </c>
      <c r="M6327">
        <v>2.5551790000000001E-2</v>
      </c>
      <c r="N6327">
        <v>0</v>
      </c>
      <c r="O6327">
        <v>0.99961659999999997</v>
      </c>
      <c r="P6327">
        <v>-1.546616E-2</v>
      </c>
      <c r="Q6327">
        <v>-8.4932059999999997E-3</v>
      </c>
      <c r="R6327">
        <v>0.99984430000000002</v>
      </c>
      <c r="S6327">
        <v>-3.8101199999999898E-2</v>
      </c>
      <c r="T6327">
        <v>-0.1502752</v>
      </c>
      <c r="U6327">
        <v>2.9987180000000002</v>
      </c>
      <c r="V6327">
        <v>-4.1012920000000001E-2</v>
      </c>
      <c r="W6327">
        <v>2.1227030000000001E-3</v>
      </c>
      <c r="X6327">
        <v>0.99915639999999994</v>
      </c>
      <c r="Y6327">
        <v>-3.8235940000000003E-2</v>
      </c>
      <c r="Z6327">
        <v>-5.0005529999999999E-2</v>
      </c>
      <c r="AA6327">
        <v>0.99801679999999904</v>
      </c>
      <c r="AB6327">
        <v>32</v>
      </c>
      <c r="AC6327">
        <v>-0.28800000000001003</v>
      </c>
      <c r="AD6327">
        <v>-1.104340273239</v>
      </c>
      <c r="AE6327">
        <v>21.704080000000001</v>
      </c>
      <c r="AF6327">
        <v>-0.84034038514300102</v>
      </c>
      <c r="AG6327">
        <v>-1.104340273239</v>
      </c>
      <c r="AH6327">
        <v>21.633635009899798</v>
      </c>
      <c r="AI6327">
        <v>92.920064227252695</v>
      </c>
      <c r="AJ6327">
        <v>92.224488070744101</v>
      </c>
      <c r="AK6327">
        <v>21.678097313730301</v>
      </c>
    </row>
    <row r="6328" spans="1:37" x14ac:dyDescent="0.2">
      <c r="A6328" t="str">
        <f>"20200111160342603"</f>
        <v>20200111160342603</v>
      </c>
      <c r="B6328" t="str">
        <f>"1578729822599273"</f>
        <v>1578729822599273</v>
      </c>
      <c r="C6328" t="s">
        <v>37</v>
      </c>
      <c r="D6328">
        <v>4.4281540000000001</v>
      </c>
      <c r="E6328">
        <v>0.50251499999999905</v>
      </c>
      <c r="F6328" t="s">
        <v>38</v>
      </c>
      <c r="G6328">
        <v>-188.4692</v>
      </c>
      <c r="H6328" s="1">
        <v>-1.1672090000000001E-6</v>
      </c>
      <c r="I6328">
        <v>71.720600000000005</v>
      </c>
      <c r="J6328">
        <v>-188.2193</v>
      </c>
      <c r="K6328">
        <v>1.1043590000000001</v>
      </c>
      <c r="L6328">
        <v>50.610869999999998</v>
      </c>
      <c r="M6328">
        <v>2.4834910000000002E-2</v>
      </c>
      <c r="N6328">
        <v>0</v>
      </c>
      <c r="O6328">
        <v>0.99963239999999998</v>
      </c>
      <c r="P6328">
        <v>-1.519062E-2</v>
      </c>
      <c r="Q6328">
        <v>-8.5885110000000001E-3</v>
      </c>
      <c r="R6328">
        <v>0.99984769999999901</v>
      </c>
      <c r="S6328">
        <v>-3.388977E-2</v>
      </c>
      <c r="T6328">
        <v>-0.15446869999999999</v>
      </c>
      <c r="U6328">
        <v>2.9986269999999999</v>
      </c>
      <c r="V6328">
        <v>-4.002095E-2</v>
      </c>
      <c r="W6328">
        <v>2.236666E-3</v>
      </c>
      <c r="X6328">
        <v>0.99919639999999998</v>
      </c>
      <c r="Y6328">
        <v>-3.6117400000000001E-2</v>
      </c>
      <c r="Z6328">
        <v>-5.1402709999999997E-2</v>
      </c>
      <c r="AA6328">
        <v>0.99802469999999999</v>
      </c>
      <c r="AB6328">
        <v>32</v>
      </c>
      <c r="AC6328">
        <v>-0.24989999999999599</v>
      </c>
      <c r="AD6328">
        <v>-1.104360167209</v>
      </c>
      <c r="AE6328">
        <v>21.109729999999999</v>
      </c>
      <c r="AF6328">
        <v>-0.77199959256147099</v>
      </c>
      <c r="AG6328">
        <v>-1.104360167209</v>
      </c>
      <c r="AH6328">
        <v>21.039437267707999</v>
      </c>
      <c r="AI6328">
        <v>93.002681276269996</v>
      </c>
      <c r="AJ6328">
        <v>92.101409976328398</v>
      </c>
      <c r="AK6328">
        <v>21.0825405321952</v>
      </c>
    </row>
    <row r="6329" spans="1:37" x14ac:dyDescent="0.2">
      <c r="A6329" t="str">
        <f>"20200111160342624"</f>
        <v>20200111160342624</v>
      </c>
      <c r="B6329" t="str">
        <f>"1578729822619768"</f>
        <v>1578729822619768</v>
      </c>
      <c r="C6329" t="s">
        <v>37</v>
      </c>
      <c r="D6329">
        <v>4.425808</v>
      </c>
      <c r="E6329">
        <v>0.50263170000000001</v>
      </c>
      <c r="F6329" t="s">
        <v>38</v>
      </c>
      <c r="G6329">
        <v>-188.4391</v>
      </c>
      <c r="H6329" s="1">
        <v>-1.2754309999999999E-6</v>
      </c>
      <c r="I6329">
        <v>71.960430000000002</v>
      </c>
      <c r="J6329">
        <v>-188.21250000000001</v>
      </c>
      <c r="K6329">
        <v>1.104368</v>
      </c>
      <c r="L6329">
        <v>50.916350000000001</v>
      </c>
      <c r="M6329">
        <v>2.4169599999999999E-2</v>
      </c>
      <c r="N6329">
        <v>0</v>
      </c>
      <c r="O6329">
        <v>0.99964679999999995</v>
      </c>
      <c r="P6329">
        <v>-1.499412E-2</v>
      </c>
      <c r="Q6329">
        <v>-8.1628729999999993E-3</v>
      </c>
      <c r="R6329">
        <v>0.99985429999999997</v>
      </c>
      <c r="S6329">
        <v>-3.0868530000000002E-2</v>
      </c>
      <c r="T6329">
        <v>-0.15511320000000001</v>
      </c>
      <c r="U6329">
        <v>2.9986570000000001</v>
      </c>
      <c r="V6329">
        <v>-3.9160390000000003E-2</v>
      </c>
      <c r="W6329">
        <v>2.8417709999999999E-3</v>
      </c>
      <c r="X6329">
        <v>0.99922889999999998</v>
      </c>
      <c r="Y6329">
        <v>-3.4446619999999997E-2</v>
      </c>
      <c r="Z6329">
        <v>-5.1619159999999997E-2</v>
      </c>
      <c r="AA6329">
        <v>0.99807259999999998</v>
      </c>
      <c r="AB6329">
        <v>32</v>
      </c>
      <c r="AC6329">
        <v>-0.22659999999999</v>
      </c>
      <c r="AD6329">
        <v>-1.1043692754309999</v>
      </c>
      <c r="AE6329">
        <v>21.044080000000001</v>
      </c>
      <c r="AF6329">
        <v>-0.733172901341266</v>
      </c>
      <c r="AG6329">
        <v>-1.1043692754309999</v>
      </c>
      <c r="AH6329">
        <v>20.974696273897599</v>
      </c>
      <c r="AI6329">
        <v>93.012144116462295</v>
      </c>
      <c r="AJ6329">
        <v>92.001965401671598</v>
      </c>
      <c r="AK6329">
        <v>21.016542479247899</v>
      </c>
    </row>
    <row r="6330" spans="1:37" x14ac:dyDescent="0.2">
      <c r="A6330" t="str">
        <f>"20200111160342647"</f>
        <v>20200111160342647</v>
      </c>
      <c r="B6330" t="str">
        <f>"1578729822639289"</f>
        <v>1578729822639289</v>
      </c>
      <c r="C6330" t="s">
        <v>37</v>
      </c>
      <c r="D6330">
        <v>4.4501049999999998</v>
      </c>
      <c r="E6330">
        <v>0.50273230000000002</v>
      </c>
      <c r="F6330" t="s">
        <v>38</v>
      </c>
      <c r="G6330">
        <v>-188.42080000000001</v>
      </c>
      <c r="H6330" s="1">
        <v>-1.4604349999999999E-6</v>
      </c>
      <c r="I6330">
        <v>72.384119999999996</v>
      </c>
      <c r="J6330">
        <v>-188.2055</v>
      </c>
      <c r="K6330">
        <v>1.1043829999999999</v>
      </c>
      <c r="L6330">
        <v>51.240169999999999</v>
      </c>
      <c r="M6330">
        <v>2.34627E-2</v>
      </c>
      <c r="N6330">
        <v>0</v>
      </c>
      <c r="O6330">
        <v>0.99966169999999999</v>
      </c>
      <c r="P6330">
        <v>-1.5261739999999999E-2</v>
      </c>
      <c r="Q6330">
        <v>-6.8793259999999998E-3</v>
      </c>
      <c r="R6330">
        <v>0.99985990000000002</v>
      </c>
      <c r="S6330">
        <v>-2.9098510000000001E-2</v>
      </c>
      <c r="T6330">
        <v>-0.15426500000000001</v>
      </c>
      <c r="U6330">
        <v>2.9987490000000001</v>
      </c>
      <c r="V6330">
        <v>-3.8722310000000003E-2</v>
      </c>
      <c r="W6330">
        <v>4.3023139999999998E-3</v>
      </c>
      <c r="X6330">
        <v>0.99924080000000004</v>
      </c>
      <c r="Y6330">
        <v>-3.3150689999999997E-2</v>
      </c>
      <c r="Z6330">
        <v>-5.1338670000000003E-2</v>
      </c>
      <c r="AA6330">
        <v>0.99813090000000004</v>
      </c>
      <c r="AB6330">
        <v>32</v>
      </c>
      <c r="AC6330">
        <v>-0.21530000000001301</v>
      </c>
      <c r="AD6330">
        <v>-1.1043844604349999</v>
      </c>
      <c r="AE6330">
        <v>21.14395</v>
      </c>
      <c r="AF6330">
        <v>-0.70943089900035605</v>
      </c>
      <c r="AG6330">
        <v>-1.1043844604349999</v>
      </c>
      <c r="AH6330">
        <v>21.075585365385301</v>
      </c>
      <c r="AI6330">
        <v>92.997925126334707</v>
      </c>
      <c r="AJ6330">
        <v>91.927920569264103</v>
      </c>
      <c r="AK6330">
        <v>21.116421470754702</v>
      </c>
    </row>
    <row r="6331" spans="1:37" x14ac:dyDescent="0.2">
      <c r="A6331" t="str">
        <f>"20200111160342668"</f>
        <v>20200111160342668</v>
      </c>
      <c r="B6331" t="str">
        <f>"1578729822659784"</f>
        <v>1578729822659784</v>
      </c>
      <c r="C6331" t="s">
        <v>37</v>
      </c>
      <c r="D6331">
        <v>4.4916169999999997</v>
      </c>
      <c r="E6331">
        <v>0.50281200000000004</v>
      </c>
      <c r="F6331" t="s">
        <v>38</v>
      </c>
      <c r="G6331">
        <v>-188.42140000000001</v>
      </c>
      <c r="H6331" s="1">
        <v>-1.837707E-6</v>
      </c>
      <c r="I6331">
        <v>73.263779999999997</v>
      </c>
      <c r="J6331">
        <v>-188.19880000000001</v>
      </c>
      <c r="K6331">
        <v>1.104395</v>
      </c>
      <c r="L6331">
        <v>51.557559999999903</v>
      </c>
      <c r="M6331">
        <v>2.2767030000000001E-2</v>
      </c>
      <c r="N6331">
        <v>0</v>
      </c>
      <c r="O6331">
        <v>0.99967600000000001</v>
      </c>
      <c r="P6331">
        <v>-1.542226E-2</v>
      </c>
      <c r="Q6331">
        <v>-5.7160980000000002E-3</v>
      </c>
      <c r="R6331">
        <v>0.9998648</v>
      </c>
      <c r="S6331">
        <v>-2.940369E-2</v>
      </c>
      <c r="T6331">
        <v>-0.15038299999999999</v>
      </c>
      <c r="U6331">
        <v>2.9989319999999999</v>
      </c>
      <c r="V6331">
        <v>-3.8188880000000001E-2</v>
      </c>
      <c r="W6331">
        <v>5.6236130000000004E-3</v>
      </c>
      <c r="X6331">
        <v>0.99925469999999905</v>
      </c>
      <c r="Y6331">
        <v>-3.255682E-2</v>
      </c>
      <c r="Z6331">
        <v>-5.004865E-2</v>
      </c>
      <c r="AA6331">
        <v>0.99821599999999999</v>
      </c>
      <c r="AB6331">
        <v>32</v>
      </c>
      <c r="AC6331">
        <v>-0.22259999999999899</v>
      </c>
      <c r="AD6331">
        <v>-1.1043968377069999</v>
      </c>
      <c r="AE6331">
        <v>21.706219999999998</v>
      </c>
      <c r="AF6331">
        <v>-0.71490997819704505</v>
      </c>
      <c r="AG6331">
        <v>-1.1043968377069999</v>
      </c>
      <c r="AH6331">
        <v>21.639512358183001</v>
      </c>
      <c r="AI6331">
        <v>92.920029284580195</v>
      </c>
      <c r="AJ6331">
        <v>91.892206765520598</v>
      </c>
      <c r="AK6331">
        <v>21.6794668696446</v>
      </c>
    </row>
    <row r="6332" spans="1:37" x14ac:dyDescent="0.2">
      <c r="A6332" t="str">
        <f>"20200111160342692"</f>
        <v>20200111160342692</v>
      </c>
      <c r="B6332" t="str">
        <f>"1578729822690041"</f>
        <v>1578729822690041</v>
      </c>
      <c r="C6332" t="s">
        <v>37</v>
      </c>
      <c r="D6332">
        <v>4.4210839999999996</v>
      </c>
      <c r="E6332">
        <v>0.50279410000000002</v>
      </c>
      <c r="F6332" t="s">
        <v>38</v>
      </c>
      <c r="G6332">
        <v>-188.4187</v>
      </c>
      <c r="H6332" s="1">
        <v>-2.1873039999999999E-6</v>
      </c>
      <c r="I6332">
        <v>74.077569999999994</v>
      </c>
      <c r="J6332">
        <v>-188.1919</v>
      </c>
      <c r="K6332">
        <v>1.1044049999999901</v>
      </c>
      <c r="L6332">
        <v>51.89752</v>
      </c>
      <c r="M6332">
        <v>2.2020930000000001E-2</v>
      </c>
      <c r="N6332">
        <v>0</v>
      </c>
      <c r="O6332">
        <v>0.999691</v>
      </c>
      <c r="P6332">
        <v>-1.5534009999999999E-2</v>
      </c>
      <c r="Q6332">
        <v>-4.7243950000000002E-3</v>
      </c>
      <c r="R6332">
        <v>0.99986819999999899</v>
      </c>
      <c r="S6332">
        <v>-2.9281620000000001E-2</v>
      </c>
      <c r="T6332">
        <v>-0.14707879999999901</v>
      </c>
      <c r="U6332">
        <v>2.9991150000000002</v>
      </c>
      <c r="V6332">
        <v>-3.755584E-2</v>
      </c>
      <c r="W6332">
        <v>6.7660929999999999E-3</v>
      </c>
      <c r="X6332">
        <v>0.99927160000000004</v>
      </c>
      <c r="Y6332">
        <v>-3.1770220000000002E-2</v>
      </c>
      <c r="Z6332">
        <v>-4.8950510000000003E-2</v>
      </c>
      <c r="AA6332">
        <v>0.99829579999999996</v>
      </c>
      <c r="AB6332">
        <v>32</v>
      </c>
      <c r="AC6332">
        <v>-0.226799999999997</v>
      </c>
      <c r="AD6332">
        <v>-1.10440718730399</v>
      </c>
      <c r="AE6332">
        <v>22.180049999999898</v>
      </c>
      <c r="AF6332">
        <v>-0.713434153801629</v>
      </c>
      <c r="AG6332">
        <v>-1.10440718730399</v>
      </c>
      <c r="AH6332">
        <v>22.114851997020001</v>
      </c>
      <c r="AI6332">
        <v>92.857469938715695</v>
      </c>
      <c r="AJ6332">
        <v>91.847744412425698</v>
      </c>
      <c r="AK6332">
        <v>22.1539021930061</v>
      </c>
    </row>
    <row r="6333" spans="1:37" x14ac:dyDescent="0.2">
      <c r="A6333" t="str">
        <f>"20200111160342713"</f>
        <v>20200111160342713</v>
      </c>
      <c r="B6333" t="str">
        <f>"1578729822709560"</f>
        <v>1578729822709560</v>
      </c>
      <c r="C6333" t="s">
        <v>37</v>
      </c>
      <c r="D6333">
        <v>4.4479519999999999</v>
      </c>
      <c r="E6333">
        <v>0.50275539999999996</v>
      </c>
      <c r="F6333" t="s">
        <v>38</v>
      </c>
      <c r="G6333">
        <v>-188.41919999999999</v>
      </c>
      <c r="H6333" s="1">
        <v>-2.3858410000000002E-6</v>
      </c>
      <c r="I6333">
        <v>74.540570000000002</v>
      </c>
      <c r="J6333">
        <v>-188.1859</v>
      </c>
      <c r="K6333">
        <v>1.1044160000000001</v>
      </c>
      <c r="L6333">
        <v>52.203000000000003</v>
      </c>
      <c r="M6333">
        <v>2.1353090000000002E-2</v>
      </c>
      <c r="N6333">
        <v>0</v>
      </c>
      <c r="O6333">
        <v>0.99970409999999899</v>
      </c>
      <c r="P6333">
        <v>-1.529671E-2</v>
      </c>
      <c r="Q6333">
        <v>-3.4915549999999999E-3</v>
      </c>
      <c r="R6333">
        <v>0.99987689999999996</v>
      </c>
      <c r="S6333">
        <v>-3.0105590000000002E-2</v>
      </c>
      <c r="T6333">
        <v>-0.14628679999999999</v>
      </c>
      <c r="U6333">
        <v>2.9992369999999999</v>
      </c>
      <c r="V6333">
        <v>-3.6652980000000002E-2</v>
      </c>
      <c r="W6333">
        <v>8.1202719999999996E-3</v>
      </c>
      <c r="X6333">
        <v>0.99929509999999899</v>
      </c>
      <c r="Y6333">
        <v>-3.1376510000000003E-2</v>
      </c>
      <c r="Z6333">
        <v>-4.8686899999999998E-2</v>
      </c>
      <c r="AA6333">
        <v>0.99832109999999996</v>
      </c>
      <c r="AB6333">
        <v>32</v>
      </c>
      <c r="AC6333">
        <v>-0.23329999999998499</v>
      </c>
      <c r="AD6333">
        <v>-1.1044183858409999</v>
      </c>
      <c r="AE6333">
        <v>22.337569999999999</v>
      </c>
      <c r="AF6333">
        <v>-0.708523504000518</v>
      </c>
      <c r="AG6333">
        <v>-1.1044183858409999</v>
      </c>
      <c r="AH6333">
        <v>22.2730530447643</v>
      </c>
      <c r="AI6333">
        <v>92.837276661085696</v>
      </c>
      <c r="AJ6333">
        <v>91.822009829571499</v>
      </c>
      <c r="AK6333">
        <v>22.311670431897099</v>
      </c>
    </row>
    <row r="6334" spans="1:37" x14ac:dyDescent="0.2">
      <c r="A6334" t="str">
        <f>"20200111160342737"</f>
        <v>20200111160342737</v>
      </c>
      <c r="B6334" t="str">
        <f>"1578729822730056"</f>
        <v>1578729822730056</v>
      </c>
      <c r="C6334" t="s">
        <v>37</v>
      </c>
      <c r="D6334">
        <v>4.6863970000000004</v>
      </c>
      <c r="E6334">
        <v>0.50270959999999998</v>
      </c>
      <c r="F6334" t="s">
        <v>38</v>
      </c>
      <c r="G6334">
        <v>-188.41409999999999</v>
      </c>
      <c r="H6334" s="1">
        <v>-2.6344339999999998E-6</v>
      </c>
      <c r="I6334">
        <v>75.11797</v>
      </c>
      <c r="J6334">
        <v>-188.17920000000001</v>
      </c>
      <c r="K6334">
        <v>1.1044129999999901</v>
      </c>
      <c r="L6334">
        <v>52.554839999999999</v>
      </c>
      <c r="M6334">
        <v>2.059149E-2</v>
      </c>
      <c r="N6334">
        <v>0</v>
      </c>
      <c r="O6334">
        <v>0.99971869999999996</v>
      </c>
      <c r="P6334">
        <v>-1.4836240000000001E-2</v>
      </c>
      <c r="Q6334">
        <v>-1.8768610000000001E-3</v>
      </c>
      <c r="R6334">
        <v>0.9998882</v>
      </c>
      <c r="S6334">
        <v>-2.9876710000000001E-2</v>
      </c>
      <c r="T6334">
        <v>-0.1445612</v>
      </c>
      <c r="U6334">
        <v>2.9994200000000002</v>
      </c>
      <c r="V6334">
        <v>-3.5432079999999998E-2</v>
      </c>
      <c r="W6334">
        <v>9.8582749999999997E-3</v>
      </c>
      <c r="X6334">
        <v>0.99932350000000003</v>
      </c>
      <c r="Y6334">
        <v>-3.0538570000000001E-2</v>
      </c>
      <c r="Z6334">
        <v>-4.8112790000000002E-2</v>
      </c>
      <c r="AA6334">
        <v>0.99837489999999995</v>
      </c>
      <c r="AB6334">
        <v>32</v>
      </c>
      <c r="AC6334">
        <v>-0.23489999999998101</v>
      </c>
      <c r="AD6334">
        <v>-1.1044156344339999</v>
      </c>
      <c r="AE6334">
        <v>22.563129999999902</v>
      </c>
      <c r="AF6334">
        <v>-0.69781911896642901</v>
      </c>
      <c r="AG6334">
        <v>-1.1044156344339999</v>
      </c>
      <c r="AH6334">
        <v>22.499607380245799</v>
      </c>
      <c r="AI6334">
        <v>92.808816444126407</v>
      </c>
      <c r="AJ6334">
        <v>91.776443354449</v>
      </c>
      <c r="AK6334">
        <v>22.537502472137199</v>
      </c>
    </row>
    <row r="6335" spans="1:37" x14ac:dyDescent="0.2">
      <c r="A6335" t="str">
        <f>"20200111160342758"</f>
        <v>20200111160342758</v>
      </c>
      <c r="B6335" t="str">
        <f>"1578729822749575"</f>
        <v>1578729822749575</v>
      </c>
      <c r="C6335" t="s">
        <v>37</v>
      </c>
      <c r="D6335">
        <v>4.5682039999999997</v>
      </c>
      <c r="E6335">
        <v>0.49757820000000003</v>
      </c>
      <c r="F6335" t="s">
        <v>38</v>
      </c>
      <c r="G6335">
        <v>-188.4084</v>
      </c>
      <c r="H6335" s="1">
        <v>-3.064259E-6</v>
      </c>
      <c r="I6335">
        <v>76.117519999999999</v>
      </c>
      <c r="J6335">
        <v>-188.1737</v>
      </c>
      <c r="K6335">
        <v>1.1044069999999999</v>
      </c>
      <c r="L6335">
        <v>52.853879999999997</v>
      </c>
      <c r="M6335">
        <v>1.9959049999999999E-2</v>
      </c>
      <c r="N6335">
        <v>0</v>
      </c>
      <c r="O6335">
        <v>0.99973040000000002</v>
      </c>
      <c r="P6335">
        <v>-1.405234E-2</v>
      </c>
      <c r="Q6335">
        <v>-1.4531029999999901E-3</v>
      </c>
      <c r="R6335">
        <v>0.99990020000000002</v>
      </c>
      <c r="S6335">
        <v>-2.9174800000000001E-2</v>
      </c>
      <c r="T6335">
        <v>-0.1405971</v>
      </c>
      <c r="U6335">
        <v>2.9996339999999999</v>
      </c>
      <c r="V6335">
        <v>-3.4016619999999997E-2</v>
      </c>
      <c r="W6335">
        <v>1.037562E-2</v>
      </c>
      <c r="X6335">
        <v>0.99936740000000002</v>
      </c>
      <c r="Y6335">
        <v>-2.9672569999999999E-2</v>
      </c>
      <c r="Z6335">
        <v>-4.6794620000000002E-2</v>
      </c>
      <c r="AA6335">
        <v>0.99846369999999895</v>
      </c>
      <c r="AB6335">
        <v>32</v>
      </c>
      <c r="AC6335">
        <v>-0.23470000000000299</v>
      </c>
      <c r="AD6335">
        <v>-1.104410064259</v>
      </c>
      <c r="AE6335">
        <v>23.263639999999899</v>
      </c>
      <c r="AF6335">
        <v>-0.69743439639460403</v>
      </c>
      <c r="AG6335">
        <v>-1.104410064259</v>
      </c>
      <c r="AH6335">
        <v>23.202034253735999</v>
      </c>
      <c r="AI6335">
        <v>92.7239769436583</v>
      </c>
      <c r="AJ6335">
        <v>91.721746382983994</v>
      </c>
      <c r="AK6335">
        <v>23.238772124164601</v>
      </c>
    </row>
    <row r="6336" spans="1:37" x14ac:dyDescent="0.2">
      <c r="A6336" t="str">
        <f>"20200111160342781"</f>
        <v>20200111160342781</v>
      </c>
      <c r="B6336" t="str">
        <f>"1578729822770072"</f>
        <v>1578729822770072</v>
      </c>
      <c r="C6336" t="s">
        <v>37</v>
      </c>
      <c r="D6336">
        <v>4.5684670000000001</v>
      </c>
      <c r="E6336">
        <v>0.49819479999999999</v>
      </c>
      <c r="F6336" t="s">
        <v>38</v>
      </c>
      <c r="G6336">
        <v>-188.57599999999999</v>
      </c>
      <c r="H6336" s="1">
        <v>-5.0667220000000001E-7</v>
      </c>
      <c r="I6336">
        <v>70.023569999999907</v>
      </c>
      <c r="J6336">
        <v>-188.1678</v>
      </c>
      <c r="K6336">
        <v>1.1043780000000001</v>
      </c>
      <c r="L6336">
        <v>53.190860000000001</v>
      </c>
      <c r="M6336">
        <v>1.927297E-2</v>
      </c>
      <c r="N6336">
        <v>0</v>
      </c>
      <c r="O6336">
        <v>0.99974280000000004</v>
      </c>
      <c r="P6336">
        <v>-1.268292E-2</v>
      </c>
      <c r="Q6336">
        <v>-2.8898609999999901E-3</v>
      </c>
      <c r="R6336">
        <v>0.99991540000000001</v>
      </c>
      <c r="S6336">
        <v>-7.0266720000000005E-2</v>
      </c>
      <c r="T6336">
        <v>-0.19290650000000001</v>
      </c>
      <c r="U6336">
        <v>2.99902299999999</v>
      </c>
      <c r="V6336">
        <v>-3.1960710000000003E-2</v>
      </c>
      <c r="W6336">
        <v>9.0329039999999996E-3</v>
      </c>
      <c r="X6336">
        <v>0.99944829999999996</v>
      </c>
      <c r="Y6336">
        <v>-4.2639900000000001E-2</v>
      </c>
      <c r="Z6336">
        <v>-6.4134609999999995E-2</v>
      </c>
      <c r="AA6336">
        <v>0.99702990000000002</v>
      </c>
      <c r="AB6336">
        <v>32</v>
      </c>
      <c r="AC6336">
        <v>-0.40819999999999301</v>
      </c>
      <c r="AD6336">
        <v>-1.1043785066722001</v>
      </c>
      <c r="AE6336">
        <v>16.832709999999899</v>
      </c>
      <c r="AF6336">
        <v>-0.72942566019865596</v>
      </c>
      <c r="AG6336">
        <v>-1.1043785066722001</v>
      </c>
      <c r="AH6336">
        <v>16.749657868555701</v>
      </c>
      <c r="AI6336">
        <v>93.768740522114896</v>
      </c>
      <c r="AJ6336">
        <v>92.493580594936901</v>
      </c>
      <c r="AK6336">
        <v>16.801867526957398</v>
      </c>
    </row>
    <row r="6337" spans="1:37" x14ac:dyDescent="0.2">
      <c r="A6337" t="str">
        <f>"20200111160342805"</f>
        <v>20200111160342805</v>
      </c>
      <c r="B6337" t="str">
        <f>"1578729822799352"</f>
        <v>1578729822799352</v>
      </c>
      <c r="C6337" t="s">
        <v>37</v>
      </c>
      <c r="D6337">
        <v>4.5872549999999999</v>
      </c>
      <c r="E6337">
        <v>0.49875180000000002</v>
      </c>
      <c r="F6337" t="s">
        <v>38</v>
      </c>
      <c r="G6337">
        <v>-188.49700000000001</v>
      </c>
      <c r="H6337" s="1">
        <v>-4.3590839999999999E-6</v>
      </c>
      <c r="I6337">
        <v>69.172449999999998</v>
      </c>
      <c r="J6337">
        <v>-188.16200000000001</v>
      </c>
      <c r="K6337">
        <v>1.1043719999999999</v>
      </c>
      <c r="L6337">
        <v>53.528259999999896</v>
      </c>
      <c r="M6337">
        <v>1.862453E-2</v>
      </c>
      <c r="N6337">
        <v>0</v>
      </c>
      <c r="O6337">
        <v>0.99975409999999998</v>
      </c>
      <c r="P6337">
        <v>-1.2156220000000001E-2</v>
      </c>
      <c r="Q6337">
        <v>-4.660511E-3</v>
      </c>
      <c r="R6337">
        <v>0.9999152</v>
      </c>
      <c r="S6337">
        <v>-6.1782839999999999E-2</v>
      </c>
      <c r="T6337">
        <v>-0.20723220000000001</v>
      </c>
      <c r="U6337">
        <v>2.9988709999999998</v>
      </c>
      <c r="V6337">
        <v>-3.078446E-2</v>
      </c>
      <c r="W6337">
        <v>7.342098E-3</v>
      </c>
      <c r="X6337">
        <v>0.99949909999999997</v>
      </c>
      <c r="Y6337">
        <v>-3.9167059999999997E-2</v>
      </c>
      <c r="Z6337">
        <v>-6.888735E-2</v>
      </c>
      <c r="AA6337">
        <v>0.9968553</v>
      </c>
      <c r="AB6337">
        <v>32</v>
      </c>
      <c r="AC6337">
        <v>-0.33500000000000801</v>
      </c>
      <c r="AD6337">
        <v>-1.1043763590839999</v>
      </c>
      <c r="AE6337">
        <v>15.64419</v>
      </c>
      <c r="AF6337">
        <v>-0.62322430921028305</v>
      </c>
      <c r="AG6337">
        <v>-1.1043763590839999</v>
      </c>
      <c r="AH6337">
        <v>15.5577411066587</v>
      </c>
      <c r="AI6337">
        <v>94.057124193294896</v>
      </c>
      <c r="AJ6337">
        <v>92.293973165943399</v>
      </c>
      <c r="AK6337">
        <v>15.609335797012999</v>
      </c>
    </row>
    <row r="6338" spans="1:37" x14ac:dyDescent="0.2">
      <c r="A6338" t="str">
        <f>"20200111160342825"</f>
        <v>20200111160342825</v>
      </c>
      <c r="B6338" t="str">
        <f>"1578729822819848"</f>
        <v>1578729822819848</v>
      </c>
      <c r="C6338" t="s">
        <v>37</v>
      </c>
      <c r="D6338">
        <v>4.6174220000000004</v>
      </c>
      <c r="E6338">
        <v>0.4985444</v>
      </c>
      <c r="F6338" t="s">
        <v>38</v>
      </c>
      <c r="G6338">
        <v>-188.4443</v>
      </c>
      <c r="H6338" s="1">
        <v>-4.1454129999999999E-6</v>
      </c>
      <c r="I6338">
        <v>68.652590000000004</v>
      </c>
      <c r="J6338">
        <v>-188.15690000000001</v>
      </c>
      <c r="K6338">
        <v>1.1041669999999999</v>
      </c>
      <c r="L6338">
        <v>53.826900000000002</v>
      </c>
      <c r="M6338">
        <v>1.8091119999999999E-2</v>
      </c>
      <c r="N6338">
        <v>0</v>
      </c>
      <c r="O6338">
        <v>0.9997722</v>
      </c>
      <c r="P6338">
        <v>-1.2074400000000001E-2</v>
      </c>
      <c r="Q6338">
        <v>-5.4552539999999997E-3</v>
      </c>
      <c r="R6338">
        <v>0.99991219999999903</v>
      </c>
      <c r="S6338">
        <v>-5.59845E-2</v>
      </c>
      <c r="T6338">
        <v>-0.21895479999999901</v>
      </c>
      <c r="U6338">
        <v>2.9985659999999998</v>
      </c>
      <c r="V6338">
        <v>-3.0168029999999998E-2</v>
      </c>
      <c r="W6338">
        <v>5.8415239999999998E-3</v>
      </c>
      <c r="X6338">
        <v>0.99952779999999997</v>
      </c>
      <c r="Y6338">
        <v>-3.6703729999999997E-2</v>
      </c>
      <c r="Z6338">
        <v>-7.2777240000000007E-2</v>
      </c>
      <c r="AA6338">
        <v>0.99667260000000002</v>
      </c>
      <c r="AB6338">
        <v>32</v>
      </c>
      <c r="AC6338">
        <v>-0.287399999999991</v>
      </c>
      <c r="AD6338">
        <v>-1.1041711454129901</v>
      </c>
      <c r="AE6338">
        <v>14.82569</v>
      </c>
      <c r="AF6338">
        <v>-0.55251992825666696</v>
      </c>
      <c r="AG6338">
        <v>-1.1041711454129901</v>
      </c>
      <c r="AH6338">
        <v>14.736354637551001</v>
      </c>
      <c r="AI6338">
        <v>94.282075045663504</v>
      </c>
      <c r="AJ6338">
        <v>92.147222907638096</v>
      </c>
      <c r="AK6338">
        <v>14.787989051698499</v>
      </c>
    </row>
    <row r="6339" spans="1:37" x14ac:dyDescent="0.2">
      <c r="A6339" t="str">
        <f>"20200111160342849"</f>
        <v>20200111160342849</v>
      </c>
      <c r="B6339" t="str">
        <f>"1578729822839368"</f>
        <v>1578729822839368</v>
      </c>
      <c r="C6339" t="s">
        <v>37</v>
      </c>
      <c r="D6339">
        <v>4.6549649999999998</v>
      </c>
      <c r="E6339">
        <v>0.49834099999999998</v>
      </c>
      <c r="F6339" t="s">
        <v>38</v>
      </c>
      <c r="G6339">
        <v>-188.4409</v>
      </c>
      <c r="H6339" s="1">
        <v>-4.147314E-6</v>
      </c>
      <c r="I6339">
        <v>68.655590000000004</v>
      </c>
      <c r="J6339">
        <v>-188.15119999999999</v>
      </c>
      <c r="K6339">
        <v>1.103844</v>
      </c>
      <c r="L6339">
        <v>54.172419999999903</v>
      </c>
      <c r="M6339">
        <v>1.7512409999999999E-2</v>
      </c>
      <c r="N6339">
        <v>0</v>
      </c>
      <c r="O6339">
        <v>0.99979660000000004</v>
      </c>
      <c r="P6339">
        <v>-1.238997E-2</v>
      </c>
      <c r="Q6339">
        <v>-4.9574299999999996E-3</v>
      </c>
      <c r="R6339">
        <v>0.99991099999999999</v>
      </c>
      <c r="S6339">
        <v>-5.7418820000000002E-2</v>
      </c>
      <c r="T6339">
        <v>-0.22326270000000001</v>
      </c>
      <c r="U6339">
        <v>2.9983520000000001</v>
      </c>
      <c r="V6339">
        <v>-2.990365E-2</v>
      </c>
      <c r="W6339">
        <v>5.019946E-3</v>
      </c>
      <c r="X6339">
        <v>0.99954019999999999</v>
      </c>
      <c r="Y6339">
        <v>-3.6600939999999998E-2</v>
      </c>
      <c r="Z6339">
        <v>-7.4207510000000004E-2</v>
      </c>
      <c r="AA6339">
        <v>0.99657090000000004</v>
      </c>
      <c r="AB6339">
        <v>32</v>
      </c>
      <c r="AC6339">
        <v>-0.28970000000001001</v>
      </c>
      <c r="AD6339">
        <v>-1.103848147314</v>
      </c>
      <c r="AE6339">
        <v>14.483169999999999</v>
      </c>
      <c r="AF6339">
        <v>-0.54016696915627405</v>
      </c>
      <c r="AG6339">
        <v>-1.103848147314</v>
      </c>
      <c r="AH6339">
        <v>14.392305578303899</v>
      </c>
      <c r="AI6339">
        <v>94.382760246972097</v>
      </c>
      <c r="AJ6339">
        <v>92.149396265197694</v>
      </c>
      <c r="AK6339">
        <v>14.444677945394799</v>
      </c>
    </row>
    <row r="6340" spans="1:37" x14ac:dyDescent="0.2">
      <c r="A6340" t="str">
        <f>"20200111160342871"</f>
        <v>20200111160342871</v>
      </c>
      <c r="B6340" t="str">
        <f>"1578729822859864"</f>
        <v>1578729822859864</v>
      </c>
      <c r="C6340" t="s">
        <v>37</v>
      </c>
      <c r="D6340">
        <v>4.6524919999999996</v>
      </c>
      <c r="E6340">
        <v>0.4982898</v>
      </c>
      <c r="F6340" t="s">
        <v>38</v>
      </c>
      <c r="G6340">
        <v>-188.4478</v>
      </c>
      <c r="H6340" s="1">
        <v>-4.2821430000000002E-6</v>
      </c>
      <c r="I6340">
        <v>68.972719999999995</v>
      </c>
      <c r="J6340">
        <v>-188.14590000000001</v>
      </c>
      <c r="K6340">
        <v>1.103572</v>
      </c>
      <c r="L6340">
        <v>54.49924</v>
      </c>
      <c r="M6340">
        <v>1.6987370000000002E-2</v>
      </c>
      <c r="N6340">
        <v>0</v>
      </c>
      <c r="O6340">
        <v>0.99981790000000004</v>
      </c>
      <c r="P6340">
        <v>-1.232435E-2</v>
      </c>
      <c r="Q6340">
        <v>-4.1880190000000003E-3</v>
      </c>
      <c r="R6340">
        <v>0.99991529999999995</v>
      </c>
      <c r="S6340">
        <v>-6.0073849999999998E-2</v>
      </c>
      <c r="T6340">
        <v>-0.2236301</v>
      </c>
      <c r="U6340">
        <v>2.9984130000000002</v>
      </c>
      <c r="V6340">
        <v>-2.9312709999999999E-2</v>
      </c>
      <c r="W6340">
        <v>4.4782650000000004E-3</v>
      </c>
      <c r="X6340">
        <v>0.99956019999999901</v>
      </c>
      <c r="Y6340">
        <v>-3.6957480000000001E-2</v>
      </c>
      <c r="Z6340">
        <v>-7.4327329999999997E-2</v>
      </c>
      <c r="AA6340">
        <v>0.99654880000000001</v>
      </c>
      <c r="AB6340">
        <v>33</v>
      </c>
      <c r="AC6340">
        <v>-0.30189999999998901</v>
      </c>
      <c r="AD6340">
        <v>-1.103576282143</v>
      </c>
      <c r="AE6340">
        <v>14.473479999999901</v>
      </c>
      <c r="AF6340">
        <v>-0.544567467600237</v>
      </c>
      <c r="AG6340">
        <v>-1.103576282143</v>
      </c>
      <c r="AH6340">
        <v>14.3826812829187</v>
      </c>
      <c r="AI6340">
        <v>94.384551208906203</v>
      </c>
      <c r="AJ6340">
        <v>92.168338419156001</v>
      </c>
      <c r="AK6340">
        <v>14.435233119811301</v>
      </c>
    </row>
    <row r="6341" spans="1:37" x14ac:dyDescent="0.2">
      <c r="A6341" t="str">
        <f>"20200111160342895"</f>
        <v>20200111160342895</v>
      </c>
      <c r="B6341" t="str">
        <f>"1578729822889144"</f>
        <v>1578729822889144</v>
      </c>
      <c r="C6341" t="s">
        <v>37</v>
      </c>
      <c r="D6341">
        <v>4.6118110000000003</v>
      </c>
      <c r="E6341">
        <v>0.49800659999999902</v>
      </c>
      <c r="F6341" t="s">
        <v>38</v>
      </c>
      <c r="G6341">
        <v>-188.4469</v>
      </c>
      <c r="H6341" s="1">
        <v>-4.4683710000000001E-6</v>
      </c>
      <c r="I6341">
        <v>69.406459999999996</v>
      </c>
      <c r="J6341">
        <v>-188.1403</v>
      </c>
      <c r="K6341">
        <v>1.1033539999999999</v>
      </c>
      <c r="L6341">
        <v>54.853519999999897</v>
      </c>
      <c r="M6341">
        <v>1.6443470000000002E-2</v>
      </c>
      <c r="N6341">
        <v>0</v>
      </c>
      <c r="O6341">
        <v>0.99983799999999901</v>
      </c>
      <c r="P6341">
        <v>-1.177016E-2</v>
      </c>
      <c r="Q6341">
        <v>-2.0285339999999998E-3</v>
      </c>
      <c r="R6341">
        <v>0.9999287</v>
      </c>
      <c r="S6341">
        <v>-6.0531620000000001E-2</v>
      </c>
      <c r="T6341">
        <v>-0.22198280000000001</v>
      </c>
      <c r="U6341">
        <v>2.9985659999999998</v>
      </c>
      <c r="V6341">
        <v>-2.821539E-2</v>
      </c>
      <c r="W6341">
        <v>5.2655130000000003E-3</v>
      </c>
      <c r="X6341">
        <v>0.99958799999999903</v>
      </c>
      <c r="Y6341">
        <v>-3.6565550000000002E-2</v>
      </c>
      <c r="Z6341">
        <v>-7.3780499999999999E-2</v>
      </c>
      <c r="AA6341">
        <v>0.99660389999999999</v>
      </c>
      <c r="AB6341">
        <v>33</v>
      </c>
      <c r="AC6341">
        <v>-0.30660000000000298</v>
      </c>
      <c r="AD6341">
        <v>-1.103358468371</v>
      </c>
      <c r="AE6341">
        <v>14.55294</v>
      </c>
      <c r="AF6341">
        <v>-0.54274735309163802</v>
      </c>
      <c r="AG6341">
        <v>-1.103358468371</v>
      </c>
      <c r="AH6341">
        <v>14.4628322378588</v>
      </c>
      <c r="AI6341">
        <v>94.359544204382502</v>
      </c>
      <c r="AJ6341">
        <v>92.149132802706703</v>
      </c>
      <c r="AK6341">
        <v>14.515009160846599</v>
      </c>
    </row>
    <row r="6342" spans="1:37" x14ac:dyDescent="0.2">
      <c r="A6342" t="str">
        <f>"20200111160342937"</f>
        <v>20200111160342937</v>
      </c>
      <c r="B6342" t="str">
        <f>"1578729822929160"</f>
        <v>1578729822929160</v>
      </c>
      <c r="C6342" t="s">
        <v>37</v>
      </c>
      <c r="D6342">
        <v>4.7020109999999997</v>
      </c>
      <c r="E6342">
        <v>0.49768790000000002</v>
      </c>
      <c r="F6342" t="s">
        <v>38</v>
      </c>
      <c r="G6342">
        <v>-188.45519999999999</v>
      </c>
      <c r="H6342" s="1">
        <v>-6.0183919999999905E-7</v>
      </c>
      <c r="I6342">
        <v>70.208789999999993</v>
      </c>
      <c r="J6342">
        <v>-188.13040000000001</v>
      </c>
      <c r="K6342">
        <v>1.103229</v>
      </c>
      <c r="L6342">
        <v>55.500459999999997</v>
      </c>
      <c r="M6342">
        <v>1.554707E-2</v>
      </c>
      <c r="N6342">
        <v>0</v>
      </c>
      <c r="O6342">
        <v>0.99986419999999998</v>
      </c>
      <c r="P6342">
        <v>-8.3026079999999995E-3</v>
      </c>
      <c r="Q6342">
        <v>4.3032209999999899E-3</v>
      </c>
      <c r="R6342">
        <v>0.99995630000000002</v>
      </c>
      <c r="S6342">
        <v>-6.1508180000000003E-2</v>
      </c>
      <c r="T6342">
        <v>-0.21549740000000001</v>
      </c>
      <c r="U6342">
        <v>2.9990540000000001</v>
      </c>
      <c r="V6342">
        <v>-2.3855930000000001E-2</v>
      </c>
      <c r="W6342">
        <v>9.7495600000000009E-3</v>
      </c>
      <c r="X6342">
        <v>0.99966790000000005</v>
      </c>
      <c r="Y6342">
        <v>-3.5993749999999998E-2</v>
      </c>
      <c r="Z6342">
        <v>-7.1626620000000002E-2</v>
      </c>
      <c r="AA6342">
        <v>0.9967819</v>
      </c>
      <c r="AB6342">
        <v>34</v>
      </c>
      <c r="AC6342">
        <v>-0.32479999999998199</v>
      </c>
      <c r="AD6342">
        <v>-1.1032296018392</v>
      </c>
      <c r="AE6342">
        <v>14.70833</v>
      </c>
      <c r="AF6342">
        <v>-0.55034084728691002</v>
      </c>
      <c r="AG6342">
        <v>-1.1032296018392</v>
      </c>
      <c r="AH6342">
        <v>14.619293420481601</v>
      </c>
      <c r="AI6342">
        <v>94.312542892520099</v>
      </c>
      <c r="AJ6342">
        <v>92.155872002431593</v>
      </c>
      <c r="AK6342">
        <v>14.671187092962301</v>
      </c>
    </row>
    <row r="6343" spans="1:37" x14ac:dyDescent="0.2">
      <c r="A6343" t="str">
        <f>"20200111160342959"</f>
        <v>20200111160342959</v>
      </c>
      <c r="B6343" t="str">
        <f>"1578729822949656"</f>
        <v>1578729822949656</v>
      </c>
      <c r="C6343" t="s">
        <v>37</v>
      </c>
      <c r="D6343">
        <v>4.7855119999999998</v>
      </c>
      <c r="E6343">
        <v>0.49762190000000001</v>
      </c>
      <c r="F6343" t="s">
        <v>38</v>
      </c>
      <c r="G6343">
        <v>-188.43270000000001</v>
      </c>
      <c r="H6343" s="1">
        <v>-1.427176E-6</v>
      </c>
      <c r="I6343">
        <v>72.311509999999998</v>
      </c>
      <c r="J6343">
        <v>-188.12559999999999</v>
      </c>
      <c r="K6343">
        <v>1.1034090000000001</v>
      </c>
      <c r="L6343">
        <v>55.831479999999999</v>
      </c>
      <c r="M6343">
        <v>1.5146389999999999E-2</v>
      </c>
      <c r="N6343">
        <v>0</v>
      </c>
      <c r="O6343">
        <v>0.9998707</v>
      </c>
      <c r="P6343">
        <v>-5.9619779999999997E-3</v>
      </c>
      <c r="Q6343">
        <v>5.73075699999999E-3</v>
      </c>
      <c r="R6343">
        <v>0.99996580000000002</v>
      </c>
      <c r="S6343">
        <v>-5.3955080000000002E-2</v>
      </c>
      <c r="T6343">
        <v>-0.19691</v>
      </c>
      <c r="U6343">
        <v>3.0005189999999899</v>
      </c>
      <c r="V6343">
        <v>-2.111702E-2</v>
      </c>
      <c r="W6343">
        <v>1.1115150000000001E-2</v>
      </c>
      <c r="X6343">
        <v>0.99971520000000003</v>
      </c>
      <c r="Y6343">
        <v>-3.3082559999999997E-2</v>
      </c>
      <c r="Z6343">
        <v>-6.5450010000000003E-2</v>
      </c>
      <c r="AA6343">
        <v>0.99730730000000001</v>
      </c>
      <c r="AB6343">
        <v>34</v>
      </c>
      <c r="AC6343">
        <v>-0.30710000000001902</v>
      </c>
      <c r="AD6343">
        <v>-1.1034104271759999</v>
      </c>
      <c r="AE6343">
        <v>16.4800299999999</v>
      </c>
      <c r="AF6343">
        <v>-0.55419782686906205</v>
      </c>
      <c r="AG6343">
        <v>-1.1034104271759999</v>
      </c>
      <c r="AH6343">
        <v>16.399994080846099</v>
      </c>
      <c r="AI6343">
        <v>93.846935543322203</v>
      </c>
      <c r="AJ6343">
        <v>91.935434725974005</v>
      </c>
      <c r="AK6343">
        <v>16.446411634575298</v>
      </c>
    </row>
    <row r="6344" spans="1:37" x14ac:dyDescent="0.2">
      <c r="A6344" t="str">
        <f>"20200111160342983"</f>
        <v>20200111160342983</v>
      </c>
      <c r="B6344" t="str">
        <f>"1578729822979913"</f>
        <v>1578729822979913</v>
      </c>
      <c r="C6344" t="s">
        <v>37</v>
      </c>
      <c r="D6344">
        <v>4.7512800000000004</v>
      </c>
      <c r="E6344">
        <v>0.49770229999999999</v>
      </c>
      <c r="F6344" t="s">
        <v>38</v>
      </c>
      <c r="G6344">
        <v>-188.39580000000001</v>
      </c>
      <c r="H6344" s="1">
        <v>-1.674007E-6</v>
      </c>
      <c r="I6344">
        <v>72.871600000000001</v>
      </c>
      <c r="J6344">
        <v>-188.1206</v>
      </c>
      <c r="K6344">
        <v>1.103701</v>
      </c>
      <c r="L6344">
        <v>56.194609999999997</v>
      </c>
      <c r="M6344">
        <v>1.4711399999999999E-2</v>
      </c>
      <c r="N6344">
        <v>0</v>
      </c>
      <c r="O6344">
        <v>0.99987420000000005</v>
      </c>
      <c r="P6344">
        <v>-3.6787029999999902E-3</v>
      </c>
      <c r="Q6344">
        <v>6.60363099999999E-3</v>
      </c>
      <c r="R6344">
        <v>0.99997139999999995</v>
      </c>
      <c r="S6344">
        <v>-4.7576899999999998E-2</v>
      </c>
      <c r="T6344">
        <v>-0.1943203</v>
      </c>
      <c r="U6344">
        <v>3.0009160000000001</v>
      </c>
      <c r="V6344">
        <v>-1.8401830000000001E-2</v>
      </c>
      <c r="W6344">
        <v>1.251552E-2</v>
      </c>
      <c r="X6344">
        <v>0.99975230000000004</v>
      </c>
      <c r="Y6344">
        <v>-3.0527120000000001E-2</v>
      </c>
      <c r="Z6344">
        <v>-6.458875E-2</v>
      </c>
      <c r="AA6344">
        <v>0.99744489999999997</v>
      </c>
      <c r="AB6344">
        <v>34</v>
      </c>
      <c r="AC6344">
        <v>-0.27520000000001199</v>
      </c>
      <c r="AD6344">
        <v>-1.103702674007</v>
      </c>
      <c r="AE6344">
        <v>16.67699</v>
      </c>
      <c r="AF6344">
        <v>-0.51824712401532702</v>
      </c>
      <c r="AG6344">
        <v>-1.103702674007</v>
      </c>
      <c r="AH6344">
        <v>16.598455963802401</v>
      </c>
      <c r="AI6344">
        <v>93.802394919042499</v>
      </c>
      <c r="AJ6344">
        <v>91.788342830200705</v>
      </c>
      <c r="AK6344">
        <v>16.643181187995499</v>
      </c>
    </row>
    <row r="6345" spans="1:37" x14ac:dyDescent="0.2">
      <c r="A6345" t="str">
        <f>"20200111160343005"</f>
        <v>20200111160343005</v>
      </c>
      <c r="B6345" t="str">
        <f>"1578729822999432"</f>
        <v>1578729822999432</v>
      </c>
      <c r="C6345" t="s">
        <v>37</v>
      </c>
      <c r="D6345">
        <v>4.7806959999999998</v>
      </c>
      <c r="E6345">
        <v>0.49781160000000002</v>
      </c>
      <c r="F6345" t="s">
        <v>38</v>
      </c>
      <c r="G6345">
        <v>-188.3503</v>
      </c>
      <c r="H6345" s="1">
        <v>-1.8944999999999901E-6</v>
      </c>
      <c r="I6345">
        <v>73.366759999999999</v>
      </c>
      <c r="J6345">
        <v>-188.11609999999999</v>
      </c>
      <c r="K6345">
        <v>1.103961</v>
      </c>
      <c r="L6345">
        <v>56.524479999999997</v>
      </c>
      <c r="M6345">
        <v>1.428714E-2</v>
      </c>
      <c r="N6345">
        <v>0</v>
      </c>
      <c r="O6345">
        <v>0.99987599999999999</v>
      </c>
      <c r="P6345">
        <v>-1.960584E-3</v>
      </c>
      <c r="Q6345">
        <v>6.9988100000000003E-3</v>
      </c>
      <c r="R6345">
        <v>0.99997359999999902</v>
      </c>
      <c r="S6345">
        <v>-4.014587E-2</v>
      </c>
      <c r="T6345">
        <v>-0.19289709999999999</v>
      </c>
      <c r="U6345">
        <v>3.0012209999999899</v>
      </c>
      <c r="V6345">
        <v>-1.626062E-2</v>
      </c>
      <c r="W6345">
        <v>1.35968999999999E-2</v>
      </c>
      <c r="X6345">
        <v>0.99977539999999998</v>
      </c>
      <c r="Y6345">
        <v>-2.76325999999999E-2</v>
      </c>
      <c r="Z6345">
        <v>-6.4115619999999998E-2</v>
      </c>
      <c r="AA6345">
        <v>0.9975598</v>
      </c>
      <c r="AB6345">
        <v>34</v>
      </c>
      <c r="AC6345">
        <v>-0.23420000000001501</v>
      </c>
      <c r="AD6345">
        <v>-1.1039628945</v>
      </c>
      <c r="AE6345">
        <v>16.842279999999899</v>
      </c>
      <c r="AF6345">
        <v>-0.47277852016376498</v>
      </c>
      <c r="AG6345">
        <v>-1.1039628945</v>
      </c>
      <c r="AH6345">
        <v>16.765198288478</v>
      </c>
      <c r="AI6345">
        <v>93.765908542100902</v>
      </c>
      <c r="AJ6345">
        <v>91.615312641490704</v>
      </c>
      <c r="AK6345">
        <v>16.808156569164399</v>
      </c>
    </row>
    <row r="6346" spans="1:37" x14ac:dyDescent="0.2">
      <c r="A6346" t="str">
        <f>"20200111160343026"</f>
        <v>20200111160343026</v>
      </c>
      <c r="B6346" t="str">
        <f>"1578729823019929"</f>
        <v>1578729823019929</v>
      </c>
      <c r="C6346" t="s">
        <v>37</v>
      </c>
      <c r="D6346">
        <v>4.7729480000000004</v>
      </c>
      <c r="E6346">
        <v>0.49780159999999901</v>
      </c>
      <c r="F6346" t="s">
        <v>38</v>
      </c>
      <c r="G6346">
        <v>-188.31219999999999</v>
      </c>
      <c r="H6346" s="1">
        <v>-2.0469720000000001E-6</v>
      </c>
      <c r="I6346">
        <v>73.706450000000004</v>
      </c>
      <c r="J6346">
        <v>-188.11170000000001</v>
      </c>
      <c r="K6346">
        <v>1.1041840000000001</v>
      </c>
      <c r="L6346">
        <v>56.867069999999998</v>
      </c>
      <c r="M6346">
        <v>1.3816490000000001E-2</v>
      </c>
      <c r="N6346">
        <v>0</v>
      </c>
      <c r="O6346">
        <v>0.99987749999999997</v>
      </c>
      <c r="P6346">
        <v>-1.9685779999999999E-3</v>
      </c>
      <c r="Q6346">
        <v>7.801428E-3</v>
      </c>
      <c r="R6346">
        <v>0.99996759999999996</v>
      </c>
      <c r="S6346">
        <v>-3.4255979999999998E-2</v>
      </c>
      <c r="T6346">
        <v>-0.19284000000000001</v>
      </c>
      <c r="U6346">
        <v>3.0013429999999999</v>
      </c>
      <c r="V6346">
        <v>-1.580022E-2</v>
      </c>
      <c r="W6346">
        <v>1.514503E-2</v>
      </c>
      <c r="X6346">
        <v>0.99976039999999899</v>
      </c>
      <c r="Y6346">
        <v>-2.52042E-2</v>
      </c>
      <c r="Z6346">
        <v>-6.4097609999999999E-2</v>
      </c>
      <c r="AA6346">
        <v>0.99762530000000005</v>
      </c>
      <c r="AB6346">
        <v>34</v>
      </c>
      <c r="AC6346">
        <v>-0.200499999999976</v>
      </c>
      <c r="AD6346">
        <v>-1.104186046972</v>
      </c>
      <c r="AE6346">
        <v>16.839379999999998</v>
      </c>
      <c r="AF6346">
        <v>-0.43129413111132803</v>
      </c>
      <c r="AG6346">
        <v>-1.104186046972</v>
      </c>
      <c r="AH6346">
        <v>16.7629378567926</v>
      </c>
      <c r="AI6346">
        <v>93.767424148162803</v>
      </c>
      <c r="AJ6346">
        <v>91.473839668789793</v>
      </c>
      <c r="AK6346">
        <v>16.804800714216999</v>
      </c>
    </row>
    <row r="6347" spans="1:37" x14ac:dyDescent="0.2">
      <c r="A6347" t="str">
        <f>"20200111160343050"</f>
        <v>20200111160343050</v>
      </c>
      <c r="B6347" t="str">
        <f>"1578729823039449"</f>
        <v>1578729823039449</v>
      </c>
      <c r="C6347" t="s">
        <v>37</v>
      </c>
      <c r="D6347">
        <v>4.8281130000000001</v>
      </c>
      <c r="E6347">
        <v>0.49781419999999998</v>
      </c>
      <c r="F6347" t="s">
        <v>38</v>
      </c>
      <c r="G6347">
        <v>-188.3109</v>
      </c>
      <c r="H6347" s="1">
        <v>-2.233028E-6</v>
      </c>
      <c r="I6347">
        <v>74.139619999999994</v>
      </c>
      <c r="J6347">
        <v>-188.10749999999999</v>
      </c>
      <c r="K6347">
        <v>1.104349</v>
      </c>
      <c r="L6347">
        <v>57.203859999999999</v>
      </c>
      <c r="M6347">
        <v>1.3339490000000001E-2</v>
      </c>
      <c r="N6347">
        <v>0</v>
      </c>
      <c r="O6347">
        <v>0.9998783</v>
      </c>
      <c r="P6347">
        <v>-3.2583970000000001E-3</v>
      </c>
      <c r="Q6347">
        <v>8.9692809999999904E-3</v>
      </c>
      <c r="R6347">
        <v>0.99995449999999997</v>
      </c>
      <c r="S6347">
        <v>-3.4622189999999997E-2</v>
      </c>
      <c r="T6347">
        <v>-0.1918792</v>
      </c>
      <c r="U6347">
        <v>3.0015259999999899</v>
      </c>
      <c r="V6347">
        <v>-1.6614420000000001E-2</v>
      </c>
      <c r="W6347">
        <v>1.7038299999999999E-2</v>
      </c>
      <c r="X6347">
        <v>0.99971679999999996</v>
      </c>
      <c r="Y6347">
        <v>-2.484863E-2</v>
      </c>
      <c r="Z6347">
        <v>-6.3776529999999998E-2</v>
      </c>
      <c r="AA6347">
        <v>0.99765479999999995</v>
      </c>
      <c r="AB6347">
        <v>34</v>
      </c>
      <c r="AC6347">
        <v>-0.20340000000001601</v>
      </c>
      <c r="AD6347">
        <v>-1.1043512330280001</v>
      </c>
      <c r="AE6347">
        <v>16.935759999999899</v>
      </c>
      <c r="AF6347">
        <v>-0.42748623638869299</v>
      </c>
      <c r="AG6347">
        <v>-1.1043512330280001</v>
      </c>
      <c r="AH6347">
        <v>16.859859968045001</v>
      </c>
      <c r="AI6347">
        <v>93.746422651502499</v>
      </c>
      <c r="AJ6347">
        <v>91.452438538463994</v>
      </c>
      <c r="AK6347">
        <v>16.9013968141772</v>
      </c>
    </row>
    <row r="6348" spans="1:37" x14ac:dyDescent="0.2">
      <c r="A6348" t="str">
        <f>"20200111160343072"</f>
        <v>20200111160343072</v>
      </c>
      <c r="B6348" t="str">
        <f>"1578729823069705"</f>
        <v>1578729823069705</v>
      </c>
      <c r="C6348" t="s">
        <v>37</v>
      </c>
      <c r="D6348">
        <v>4.8433089999999996</v>
      </c>
      <c r="E6348">
        <v>0.49775760000000002</v>
      </c>
      <c r="F6348" t="s">
        <v>38</v>
      </c>
      <c r="G6348">
        <v>-188.3305</v>
      </c>
      <c r="H6348" s="1">
        <v>-2.4264970000000001E-6</v>
      </c>
      <c r="I6348">
        <v>74.598690000000005</v>
      </c>
      <c r="J6348">
        <v>-188.10329999999999</v>
      </c>
      <c r="K6348">
        <v>1.104476</v>
      </c>
      <c r="L6348">
        <v>57.556179999999998</v>
      </c>
      <c r="M6348">
        <v>1.283927E-2</v>
      </c>
      <c r="N6348">
        <v>0</v>
      </c>
      <c r="O6348">
        <v>0.99987859999999995</v>
      </c>
      <c r="P6348">
        <v>-5.059989E-3</v>
      </c>
      <c r="Q6348">
        <v>9.4771600000000001E-3</v>
      </c>
      <c r="R6348">
        <v>0.99994229999999995</v>
      </c>
      <c r="S6348">
        <v>-3.8482669999999997E-2</v>
      </c>
      <c r="T6348">
        <v>-0.1905705</v>
      </c>
      <c r="U6348">
        <v>3.001709</v>
      </c>
      <c r="V6348">
        <v>-1.7917800000000001E-2</v>
      </c>
      <c r="W6348">
        <v>1.828217E-2</v>
      </c>
      <c r="X6348">
        <v>0.99967229999999996</v>
      </c>
      <c r="Y6348">
        <v>-2.5631109999999999E-2</v>
      </c>
      <c r="Z6348">
        <v>-6.3338939999999996E-2</v>
      </c>
      <c r="AA6348">
        <v>0.99766290000000002</v>
      </c>
      <c r="AB6348">
        <v>34</v>
      </c>
      <c r="AC6348">
        <v>-0.22720000000001001</v>
      </c>
      <c r="AD6348">
        <v>-1.104478426497</v>
      </c>
      <c r="AE6348">
        <v>17.04251</v>
      </c>
      <c r="AF6348">
        <v>-0.44413814556216002</v>
      </c>
      <c r="AG6348">
        <v>-1.104478426497</v>
      </c>
      <c r="AH6348">
        <v>16.9669397670949</v>
      </c>
      <c r="AI6348">
        <v>93.723194407047401</v>
      </c>
      <c r="AJ6348">
        <v>91.499470835158405</v>
      </c>
      <c r="AK6348">
        <v>17.008650044820399</v>
      </c>
    </row>
    <row r="6349" spans="1:37" x14ac:dyDescent="0.2">
      <c r="A6349" t="str">
        <f>"20200111160343097"</f>
        <v>20200111160343097</v>
      </c>
      <c r="B6349" t="str">
        <f>"1578729823089224"</f>
        <v>1578729823089224</v>
      </c>
      <c r="C6349" t="s">
        <v>37</v>
      </c>
      <c r="D6349">
        <v>4.9566410000000003</v>
      </c>
      <c r="E6349">
        <v>0.49203409999999898</v>
      </c>
      <c r="F6349" t="s">
        <v>38</v>
      </c>
      <c r="G6349">
        <v>-188.36170000000001</v>
      </c>
      <c r="H6349" s="1">
        <v>-2.5250450000000001E-6</v>
      </c>
      <c r="I6349">
        <v>74.841319999999996</v>
      </c>
      <c r="J6349">
        <v>-188.0993</v>
      </c>
      <c r="K6349">
        <v>1.1045780000000001</v>
      </c>
      <c r="L6349">
        <v>57.914859999999997</v>
      </c>
      <c r="M6349">
        <v>1.2332320000000001E-2</v>
      </c>
      <c r="N6349">
        <v>0</v>
      </c>
      <c r="O6349">
        <v>0.9998785</v>
      </c>
      <c r="P6349">
        <v>-6.9943030000000003E-3</v>
      </c>
      <c r="Q6349">
        <v>9.4362330000000005E-3</v>
      </c>
      <c r="R6349">
        <v>0.99993099999999902</v>
      </c>
      <c r="S6349">
        <v>-4.4876099999999898E-2</v>
      </c>
      <c r="T6349">
        <v>-0.1918059</v>
      </c>
      <c r="U6349">
        <v>3.00177</v>
      </c>
      <c r="V6349">
        <v>-1.93452E-2</v>
      </c>
      <c r="W6349">
        <v>1.8945819999999999E-2</v>
      </c>
      <c r="X6349">
        <v>0.99963340000000001</v>
      </c>
      <c r="Y6349">
        <v>-2.7248169999999999E-2</v>
      </c>
      <c r="Z6349">
        <v>-6.3744899999999993E-2</v>
      </c>
      <c r="AA6349">
        <v>0.99759419999999899</v>
      </c>
      <c r="AB6349">
        <v>34</v>
      </c>
      <c r="AC6349">
        <v>-0.26240000000001301</v>
      </c>
      <c r="AD6349">
        <v>-1.104580525045</v>
      </c>
      <c r="AE6349">
        <v>16.926459999999999</v>
      </c>
      <c r="AF6349">
        <v>-0.46913469589128398</v>
      </c>
      <c r="AG6349">
        <v>-1.104580525045</v>
      </c>
      <c r="AH6349">
        <v>16.850196262582902</v>
      </c>
      <c r="AI6349">
        <v>93.749094154209303</v>
      </c>
      <c r="AJ6349">
        <v>91.594788316862306</v>
      </c>
      <c r="AK6349">
        <v>16.8928771849783</v>
      </c>
    </row>
    <row r="6350" spans="1:37" x14ac:dyDescent="0.2">
      <c r="A6350" t="str">
        <f>"20200111160343117"</f>
        <v>20200111160343117</v>
      </c>
      <c r="B6350" t="str">
        <f>"1578729823109720"</f>
        <v>1578729823109720</v>
      </c>
      <c r="C6350" t="s">
        <v>37</v>
      </c>
      <c r="D6350">
        <v>4.9194100000000001</v>
      </c>
      <c r="E6350">
        <v>0.49384659999999903</v>
      </c>
      <c r="F6350" t="s">
        <v>38</v>
      </c>
      <c r="G6350">
        <v>-188.6122</v>
      </c>
      <c r="H6350" s="1">
        <v>-1.9874039999999999E-6</v>
      </c>
      <c r="I6350">
        <v>73.691640000000007</v>
      </c>
      <c r="J6350">
        <v>-188.09599999999901</v>
      </c>
      <c r="K6350">
        <v>1.104649</v>
      </c>
      <c r="L6350">
        <v>58.212069999999997</v>
      </c>
      <c r="M6350">
        <v>1.1911100000000001E-2</v>
      </c>
      <c r="N6350">
        <v>0</v>
      </c>
      <c r="O6350">
        <v>0.9998783</v>
      </c>
      <c r="P6350">
        <v>-9.0070029999999995E-3</v>
      </c>
      <c r="Q6350">
        <v>8.3842540000000007E-3</v>
      </c>
      <c r="R6350">
        <v>0.99992429999999999</v>
      </c>
      <c r="S6350">
        <v>-9.7595210000000002E-2</v>
      </c>
      <c r="T6350">
        <v>-0.21014369999999999</v>
      </c>
      <c r="U6350">
        <v>3.0014949999999998</v>
      </c>
      <c r="V6350">
        <v>-2.0936469999999999E-2</v>
      </c>
      <c r="W6350">
        <v>1.8432830000000001E-2</v>
      </c>
      <c r="X6350">
        <v>0.99961089999999997</v>
      </c>
      <c r="Y6350">
        <v>-4.4322220000000002E-2</v>
      </c>
      <c r="Z6350">
        <v>-6.9781910000000003E-2</v>
      </c>
      <c r="AA6350">
        <v>0.99657709999999999</v>
      </c>
      <c r="AB6350">
        <v>34</v>
      </c>
      <c r="AC6350">
        <v>-0.51620000000002597</v>
      </c>
      <c r="AD6350">
        <v>-1.104650987404</v>
      </c>
      <c r="AE6350">
        <v>15.479570000000001</v>
      </c>
      <c r="AF6350">
        <v>-0.69700587176845596</v>
      </c>
      <c r="AG6350">
        <v>-1.104650987404</v>
      </c>
      <c r="AH6350">
        <v>15.3940157628012</v>
      </c>
      <c r="AI6350">
        <v>94.100235684366197</v>
      </c>
      <c r="AJ6350">
        <v>92.592451422350294</v>
      </c>
      <c r="AK6350">
        <v>15.4493298331878</v>
      </c>
    </row>
    <row r="6351" spans="1:37" x14ac:dyDescent="0.2">
      <c r="A6351" t="str">
        <f>"20200111160343139"</f>
        <v>20200111160343139</v>
      </c>
      <c r="B6351" t="str">
        <f>"1578729823129240"</f>
        <v>1578729823129240</v>
      </c>
      <c r="C6351" t="s">
        <v>37</v>
      </c>
      <c r="D6351">
        <v>4.8880549999999996</v>
      </c>
      <c r="E6351">
        <v>0.49509549999999902</v>
      </c>
      <c r="F6351" t="s">
        <v>38</v>
      </c>
      <c r="G6351">
        <v>-188.54339999999999</v>
      </c>
      <c r="H6351" s="1">
        <v>-1.758984E-6</v>
      </c>
      <c r="I6351">
        <v>73.130709999999993</v>
      </c>
      <c r="J6351">
        <v>-188.0925</v>
      </c>
      <c r="K6351">
        <v>1.1046910000000001</v>
      </c>
      <c r="L6351">
        <v>58.548219999999901</v>
      </c>
      <c r="M6351">
        <v>1.143129E-2</v>
      </c>
      <c r="N6351">
        <v>0</v>
      </c>
      <c r="O6351">
        <v>0.99987819999999905</v>
      </c>
      <c r="P6351">
        <v>-1.023285E-2</v>
      </c>
      <c r="Q6351">
        <v>7.2167059999999998E-3</v>
      </c>
      <c r="R6351">
        <v>0.99992159999999997</v>
      </c>
      <c r="S6351">
        <v>-8.9996339999999994E-2</v>
      </c>
      <c r="T6351">
        <v>-0.22222979999999901</v>
      </c>
      <c r="U6351">
        <v>3.0012819999999998</v>
      </c>
      <c r="V6351">
        <v>-2.168219E-2</v>
      </c>
      <c r="W6351">
        <v>1.7821630000000001E-2</v>
      </c>
      <c r="X6351">
        <v>0.99960609999999905</v>
      </c>
      <c r="Y6351">
        <v>-4.1315619999999997E-2</v>
      </c>
      <c r="Z6351">
        <v>-7.3787560000000002E-2</v>
      </c>
      <c r="AA6351">
        <v>0.99641780000000002</v>
      </c>
      <c r="AB6351">
        <v>34</v>
      </c>
      <c r="AC6351">
        <v>-0.45089999999998998</v>
      </c>
      <c r="AD6351">
        <v>-1.1046927589840001</v>
      </c>
      <c r="AE6351">
        <v>14.58249</v>
      </c>
      <c r="AF6351">
        <v>-0.61405605186093404</v>
      </c>
      <c r="AG6351">
        <v>-1.1046927589840001</v>
      </c>
      <c r="AH6351">
        <v>14.493288064046901</v>
      </c>
      <c r="AI6351">
        <v>94.354821391768397</v>
      </c>
      <c r="AJ6351">
        <v>92.4260741063041</v>
      </c>
      <c r="AK6351">
        <v>14.5482923339484</v>
      </c>
    </row>
    <row r="6352" spans="1:37" x14ac:dyDescent="0.2">
      <c r="A6352" t="str">
        <f>"20200111160343160"</f>
        <v>20200111160343160</v>
      </c>
      <c r="B6352" t="str">
        <f>"1578729823149736"</f>
        <v>1578729823149736</v>
      </c>
      <c r="C6352" t="s">
        <v>37</v>
      </c>
      <c r="D6352">
        <v>4.9158080000000002</v>
      </c>
      <c r="E6352">
        <v>0.49603249999999999</v>
      </c>
      <c r="F6352" t="s">
        <v>38</v>
      </c>
      <c r="G6352">
        <v>-188.4932</v>
      </c>
      <c r="H6352" s="1">
        <v>-1.6509909999999999E-6</v>
      </c>
      <c r="I6352">
        <v>72.858249999999998</v>
      </c>
      <c r="J6352">
        <v>-188.08930000000001</v>
      </c>
      <c r="K6352">
        <v>1.104719</v>
      </c>
      <c r="L6352">
        <v>58.875</v>
      </c>
      <c r="M6352">
        <v>1.0961439999999999E-2</v>
      </c>
      <c r="N6352">
        <v>0</v>
      </c>
      <c r="O6352">
        <v>0.99987809999999899</v>
      </c>
      <c r="P6352">
        <v>-9.9241709999999903E-3</v>
      </c>
      <c r="Q6352">
        <v>7.2781149999999999E-3</v>
      </c>
      <c r="R6352">
        <v>0.99992420000000004</v>
      </c>
      <c r="S6352">
        <v>-8.4030149999999998E-2</v>
      </c>
      <c r="T6352">
        <v>-0.2316714</v>
      </c>
      <c r="U6352">
        <v>3.0010379999999999</v>
      </c>
      <c r="V6352">
        <v>-2.0904079999999998E-2</v>
      </c>
      <c r="W6352">
        <v>1.8370379999999999E-2</v>
      </c>
      <c r="X6352">
        <v>0.99961270000000002</v>
      </c>
      <c r="Y6352">
        <v>-3.8862599999999997E-2</v>
      </c>
      <c r="Z6352">
        <v>-7.6917089999999994E-2</v>
      </c>
      <c r="AA6352">
        <v>0.99627980000000005</v>
      </c>
      <c r="AB6352">
        <v>34</v>
      </c>
      <c r="AC6352">
        <v>-0.40389999999999199</v>
      </c>
      <c r="AD6352">
        <v>-1.1047206509909999</v>
      </c>
      <c r="AE6352">
        <v>13.9832499999999</v>
      </c>
      <c r="AF6352">
        <v>-0.55370867350983599</v>
      </c>
      <c r="AG6352">
        <v>-1.1047206509909999</v>
      </c>
      <c r="AH6352">
        <v>13.8913516664154</v>
      </c>
      <c r="AI6352">
        <v>94.543329829275294</v>
      </c>
      <c r="AJ6352">
        <v>92.282598915605703</v>
      </c>
      <c r="AK6352">
        <v>13.946205653577101</v>
      </c>
    </row>
    <row r="6353" spans="1:37" x14ac:dyDescent="0.2">
      <c r="A6353" t="str">
        <f>"20200111160343183"</f>
        <v>20200111160343183</v>
      </c>
      <c r="B6353" t="str">
        <f>"1578729823179991"</f>
        <v>1578729823179991</v>
      </c>
      <c r="C6353" t="s">
        <v>37</v>
      </c>
      <c r="D6353">
        <v>4.961792</v>
      </c>
      <c r="E6353">
        <v>0.4962318</v>
      </c>
      <c r="F6353" t="s">
        <v>38</v>
      </c>
      <c r="G6353">
        <v>-188.4436</v>
      </c>
      <c r="H6353" s="1">
        <v>-1.686005E-6</v>
      </c>
      <c r="I6353">
        <v>72.919330000000002</v>
      </c>
      <c r="J6353">
        <v>-188.08599999999899</v>
      </c>
      <c r="K6353">
        <v>1.104743</v>
      </c>
      <c r="L6353">
        <v>59.226619999999997</v>
      </c>
      <c r="M6353">
        <v>1.0452919999999999E-2</v>
      </c>
      <c r="N6353">
        <v>0</v>
      </c>
      <c r="O6353">
        <v>0.9998783</v>
      </c>
      <c r="P6353">
        <v>-9.1198930000000004E-3</v>
      </c>
      <c r="Q6353">
        <v>8.4285680000000009E-3</v>
      </c>
      <c r="R6353">
        <v>0.99992289999999995</v>
      </c>
      <c r="S6353">
        <v>-7.5714110000000001E-2</v>
      </c>
      <c r="T6353">
        <v>-0.23607210000000001</v>
      </c>
      <c r="U6353">
        <v>3.0011899999999998</v>
      </c>
      <c r="V6353">
        <v>-1.9593139999999998E-2</v>
      </c>
      <c r="W6353">
        <v>1.998751E-2</v>
      </c>
      <c r="X6353">
        <v>0.99960819999999995</v>
      </c>
      <c r="Y6353">
        <v>-3.5591329999999997E-2</v>
      </c>
      <c r="Z6353">
        <v>-7.837363E-2</v>
      </c>
      <c r="AA6353">
        <v>0.99628850000000002</v>
      </c>
      <c r="AB6353">
        <v>34</v>
      </c>
      <c r="AC6353">
        <v>-0.35760000000001901</v>
      </c>
      <c r="AD6353">
        <v>-1.1047446860050001</v>
      </c>
      <c r="AE6353">
        <v>13.69271</v>
      </c>
      <c r="AF6353">
        <v>-0.49748272490679402</v>
      </c>
      <c r="AG6353">
        <v>-1.1047446860050001</v>
      </c>
      <c r="AH6353">
        <v>13.599756860737401</v>
      </c>
      <c r="AI6353">
        <v>94.641002035131905</v>
      </c>
      <c r="AJ6353">
        <v>92.094960760976804</v>
      </c>
      <c r="AK6353">
        <v>13.6536199066039</v>
      </c>
    </row>
    <row r="6354" spans="1:37" x14ac:dyDescent="0.2">
      <c r="A6354" t="str">
        <f>"20200111160343204"</f>
        <v>20200111160343204</v>
      </c>
      <c r="B6354" t="str">
        <f>"1578729823199513"</f>
        <v>1578729823199513</v>
      </c>
      <c r="C6354" t="s">
        <v>37</v>
      </c>
      <c r="D6354">
        <v>4.8937200000000001</v>
      </c>
      <c r="E6354">
        <v>0.49591489999999999</v>
      </c>
      <c r="F6354" t="s">
        <v>38</v>
      </c>
      <c r="G6354">
        <v>-188.42609999999999</v>
      </c>
      <c r="H6354" s="1">
        <v>-1.8997479999999901E-6</v>
      </c>
      <c r="I6354">
        <v>73.410359999999997</v>
      </c>
      <c r="J6354">
        <v>-188.08320000000001</v>
      </c>
      <c r="K6354">
        <v>1.1047579999999999</v>
      </c>
      <c r="L6354">
        <v>59.53546</v>
      </c>
      <c r="M6354">
        <v>1.0004890000000001E-2</v>
      </c>
      <c r="N6354">
        <v>0</v>
      </c>
      <c r="O6354">
        <v>0.99987859999999995</v>
      </c>
      <c r="P6354">
        <v>-7.0839290000000001E-3</v>
      </c>
      <c r="Q6354">
        <v>9.8720049999999997E-3</v>
      </c>
      <c r="R6354">
        <v>0.99992610000000004</v>
      </c>
      <c r="S6354">
        <v>-7.1990970000000001E-2</v>
      </c>
      <c r="T6354">
        <v>-0.23378550000000001</v>
      </c>
      <c r="U6354">
        <v>3.0015559999999999</v>
      </c>
      <c r="V6354">
        <v>-1.711147E-2</v>
      </c>
      <c r="W6354">
        <v>2.1794330000000001E-2</v>
      </c>
      <c r="X6354">
        <v>0.99961599999999995</v>
      </c>
      <c r="Y6354">
        <v>-3.3906829999999999E-2</v>
      </c>
      <c r="Z6354">
        <v>-7.7613650000000006E-2</v>
      </c>
      <c r="AA6354">
        <v>0.99640680000000004</v>
      </c>
      <c r="AB6354">
        <v>34</v>
      </c>
      <c r="AC6354">
        <v>-0.34289999999998599</v>
      </c>
      <c r="AD6354">
        <v>-1.1047598997479999</v>
      </c>
      <c r="AE6354">
        <v>13.874899999999901</v>
      </c>
      <c r="AF6354">
        <v>-0.47867672241477399</v>
      </c>
      <c r="AG6354">
        <v>-1.1047598997479999</v>
      </c>
      <c r="AH6354">
        <v>13.7834434968821</v>
      </c>
      <c r="AI6354">
        <v>94.579781528081</v>
      </c>
      <c r="AJ6354">
        <v>91.988990490960902</v>
      </c>
      <c r="AK6354">
        <v>13.8359293317223</v>
      </c>
    </row>
    <row r="6355" spans="1:37" x14ac:dyDescent="0.2">
      <c r="A6355" t="str">
        <f>"20200111160343226"</f>
        <v>20200111160343226</v>
      </c>
      <c r="B6355" t="str">
        <f>"1578729823220008"</f>
        <v>1578729823220008</v>
      </c>
      <c r="C6355" t="s">
        <v>37</v>
      </c>
      <c r="D6355">
        <v>4.9663539999999999</v>
      </c>
      <c r="E6355">
        <v>0.49572129999999998</v>
      </c>
      <c r="F6355" t="s">
        <v>38</v>
      </c>
      <c r="G6355">
        <v>-188.41589999999999</v>
      </c>
      <c r="H6355" s="1">
        <v>-2.2101370000000002E-6</v>
      </c>
      <c r="I6355">
        <v>74.129639999999995</v>
      </c>
      <c r="J6355">
        <v>-188.0804</v>
      </c>
      <c r="K6355">
        <v>1.1047639999999901</v>
      </c>
      <c r="L6355">
        <v>59.867579999999997</v>
      </c>
      <c r="M6355">
        <v>9.5227780000000008E-3</v>
      </c>
      <c r="N6355">
        <v>0</v>
      </c>
      <c r="O6355">
        <v>0.99987919999999997</v>
      </c>
      <c r="P6355">
        <v>-4.9397089999999996E-3</v>
      </c>
      <c r="Q6355">
        <v>1.121378E-2</v>
      </c>
      <c r="R6355">
        <v>0.99992490000000001</v>
      </c>
      <c r="S6355">
        <v>-6.8435670000000004E-2</v>
      </c>
      <c r="T6355">
        <v>-0.22724620000000001</v>
      </c>
      <c r="U6355">
        <v>3.0019840000000002</v>
      </c>
      <c r="V6355">
        <v>-1.4486880000000001E-2</v>
      </c>
      <c r="W6355">
        <v>2.3482369999999999E-2</v>
      </c>
      <c r="X6355">
        <v>0.99961929999999999</v>
      </c>
      <c r="Y6355">
        <v>-3.2245910000000003E-2</v>
      </c>
      <c r="Z6355">
        <v>-7.5448189999999998E-2</v>
      </c>
      <c r="AA6355">
        <v>0.99662819999999996</v>
      </c>
      <c r="AB6355">
        <v>34</v>
      </c>
      <c r="AC6355">
        <v>-0.33549999999999602</v>
      </c>
      <c r="AD6355">
        <v>-1.1047662101369999</v>
      </c>
      <c r="AE6355">
        <v>14.26206</v>
      </c>
      <c r="AF6355">
        <v>-0.46849985876023298</v>
      </c>
      <c r="AG6355">
        <v>-1.1047662101369999</v>
      </c>
      <c r="AH6355">
        <v>14.1732209045682</v>
      </c>
      <c r="AI6355">
        <v>94.454623684122396</v>
      </c>
      <c r="AJ6355">
        <v>91.893238981197101</v>
      </c>
      <c r="AK6355">
        <v>14.223930234165501</v>
      </c>
    </row>
    <row r="6356" spans="1:37" x14ac:dyDescent="0.2">
      <c r="A6356" t="str">
        <f>"20200111160343251"</f>
        <v>20200111160343251</v>
      </c>
      <c r="B6356" t="str">
        <f>"1578729823239527"</f>
        <v>1578729823239527</v>
      </c>
      <c r="C6356" t="s">
        <v>37</v>
      </c>
      <c r="D6356">
        <v>5.2011849999999997</v>
      </c>
      <c r="E6356">
        <v>0.49589229999999901</v>
      </c>
      <c r="F6356" t="s">
        <v>38</v>
      </c>
      <c r="G6356">
        <v>-188.39510000000001</v>
      </c>
      <c r="H6356" s="1">
        <v>-2.4605969999999999E-6</v>
      </c>
      <c r="I6356">
        <v>74.704880000000003</v>
      </c>
      <c r="J6356">
        <v>-188.07749999999999</v>
      </c>
      <c r="K6356">
        <v>1.104765</v>
      </c>
      <c r="L6356">
        <v>60.222929999999998</v>
      </c>
      <c r="M6356">
        <v>9.0072169999999997E-3</v>
      </c>
      <c r="N6356">
        <v>0</v>
      </c>
      <c r="O6356">
        <v>0.99987999999999899</v>
      </c>
      <c r="P6356">
        <v>-2.9130559999999998E-3</v>
      </c>
      <c r="Q6356">
        <v>1.231373E-2</v>
      </c>
      <c r="R6356">
        <v>0.99992000000000003</v>
      </c>
      <c r="S6356">
        <v>-6.3690189999999994E-2</v>
      </c>
      <c r="T6356">
        <v>-0.2235558</v>
      </c>
      <c r="U6356">
        <v>3.0024109999999999</v>
      </c>
      <c r="V6356">
        <v>-1.194633E-2</v>
      </c>
      <c r="W6356">
        <v>2.490436E-2</v>
      </c>
      <c r="X6356">
        <v>0.99961849999999997</v>
      </c>
      <c r="Y6356">
        <v>-3.0154779999999999E-2</v>
      </c>
      <c r="Z6356">
        <v>-7.4223499999999998E-2</v>
      </c>
      <c r="AA6356">
        <v>0.99678559999999905</v>
      </c>
      <c r="AB6356">
        <v>33</v>
      </c>
      <c r="AC6356">
        <v>-0.31760000000002703</v>
      </c>
      <c r="AD6356">
        <v>-1.1047674605969999</v>
      </c>
      <c r="AE6356">
        <v>14.4819499999999</v>
      </c>
      <c r="AF6356">
        <v>-0.44544848928560199</v>
      </c>
      <c r="AG6356">
        <v>-1.1047674605969999</v>
      </c>
      <c r="AH6356">
        <v>14.3947710326243</v>
      </c>
      <c r="AI6356">
        <v>94.386631836213695</v>
      </c>
      <c r="AJ6356">
        <v>91.772461423492601</v>
      </c>
      <c r="AK6356">
        <v>14.443973434629401</v>
      </c>
    </row>
    <row r="6357" spans="1:37" x14ac:dyDescent="0.2">
      <c r="A6357" t="str">
        <f>"20200111160343272"</f>
        <v>20200111160343272</v>
      </c>
      <c r="B6357" t="str">
        <f>"1578729823269784"</f>
        <v>1578729823269784</v>
      </c>
      <c r="C6357" t="s">
        <v>37</v>
      </c>
      <c r="D6357">
        <v>5.1928199999999904</v>
      </c>
      <c r="E6357">
        <v>0.49564249999999999</v>
      </c>
      <c r="F6357" t="s">
        <v>38</v>
      </c>
      <c r="G6357">
        <v>-188.3604</v>
      </c>
      <c r="H6357" s="1">
        <v>-2.68887699999999E-6</v>
      </c>
      <c r="I6357">
        <v>75.222639999999998</v>
      </c>
      <c r="J6357">
        <v>-188.07499999999999</v>
      </c>
      <c r="K6357">
        <v>1.1047639999999901</v>
      </c>
      <c r="L6357">
        <v>60.553100000000001</v>
      </c>
      <c r="M6357">
        <v>8.5285080000000006E-3</v>
      </c>
      <c r="N6357">
        <v>0</v>
      </c>
      <c r="O6357">
        <v>0.99988089999999996</v>
      </c>
      <c r="P6357">
        <v>-1.503555E-3</v>
      </c>
      <c r="Q6357">
        <v>1.237983E-2</v>
      </c>
      <c r="R6357">
        <v>0.99992219999999998</v>
      </c>
      <c r="S6357">
        <v>-5.6625370000000001E-2</v>
      </c>
      <c r="T6357">
        <v>-0.22116459999999999</v>
      </c>
      <c r="U6357">
        <v>3.0028079999999999</v>
      </c>
      <c r="V6357">
        <v>-1.005819E-2</v>
      </c>
      <c r="W6357">
        <v>2.522804E-2</v>
      </c>
      <c r="X6357">
        <v>0.99963109999999999</v>
      </c>
      <c r="Y6357">
        <v>-2.733023E-2</v>
      </c>
      <c r="Z6357">
        <v>-7.3429410000000001E-2</v>
      </c>
      <c r="AA6357">
        <v>0.99692590000000003</v>
      </c>
      <c r="AB6357">
        <v>33</v>
      </c>
      <c r="AC6357">
        <v>-0.28540000000000898</v>
      </c>
      <c r="AD6357">
        <v>-1.10476668887699</v>
      </c>
      <c r="AE6357">
        <v>14.6695399999999</v>
      </c>
      <c r="AF6357">
        <v>-0.40819500252463797</v>
      </c>
      <c r="AG6357">
        <v>-1.10476668887699</v>
      </c>
      <c r="AH6357">
        <v>14.5838889911913</v>
      </c>
      <c r="AI6357">
        <v>94.330337888905504</v>
      </c>
      <c r="AJ6357">
        <v>91.603258659408596</v>
      </c>
      <c r="AK6357">
        <v>14.631368722861501</v>
      </c>
    </row>
    <row r="6358" spans="1:37" x14ac:dyDescent="0.2">
      <c r="A6358" t="str">
        <f>"20200111160343293"</f>
        <v>20200111160343293</v>
      </c>
      <c r="B6358" t="str">
        <f>"1578729823289304"</f>
        <v>1578729823289304</v>
      </c>
      <c r="C6358" t="s">
        <v>37</v>
      </c>
      <c r="D6358">
        <v>5.1307029999999996</v>
      </c>
      <c r="E6358">
        <v>0.49559769999999997</v>
      </c>
      <c r="F6358" t="s">
        <v>38</v>
      </c>
      <c r="G6358">
        <v>-188.34989999999999</v>
      </c>
      <c r="H6358" s="1">
        <v>-2.8867559999999899E-6</v>
      </c>
      <c r="I6358">
        <v>75.679569999999998</v>
      </c>
      <c r="J6358">
        <v>-188.0728</v>
      </c>
      <c r="K6358">
        <v>1.1047670000000001</v>
      </c>
      <c r="L6358">
        <v>60.865229999999997</v>
      </c>
      <c r="M6358">
        <v>8.0760090000000003E-3</v>
      </c>
      <c r="N6358">
        <v>0</v>
      </c>
      <c r="O6358">
        <v>0.99988189999999999</v>
      </c>
      <c r="P6358">
        <v>-5.4998769999999996E-4</v>
      </c>
      <c r="Q6358">
        <v>1.308991E-2</v>
      </c>
      <c r="R6358">
        <v>0.99991419999999998</v>
      </c>
      <c r="S6358">
        <v>-5.4565429999999998E-2</v>
      </c>
      <c r="T6358">
        <v>-0.2193155</v>
      </c>
      <c r="U6358">
        <v>3.002869</v>
      </c>
      <c r="V6358">
        <v>-8.6527830000000007E-3</v>
      </c>
      <c r="W6358">
        <v>2.6151359999999998E-2</v>
      </c>
      <c r="X6358">
        <v>0.99962059999999997</v>
      </c>
      <c r="Y6358">
        <v>-2.6194640000000002E-2</v>
      </c>
      <c r="Z6358">
        <v>-7.2819289999999995E-2</v>
      </c>
      <c r="AA6358">
        <v>0.99700109999999997</v>
      </c>
      <c r="AB6358">
        <v>33</v>
      </c>
      <c r="AC6358">
        <v>-0.27709999999999002</v>
      </c>
      <c r="AD6358">
        <v>-1.1047698867560001</v>
      </c>
      <c r="AE6358">
        <v>14.8143399999999</v>
      </c>
      <c r="AF6358">
        <v>-0.3945484846392</v>
      </c>
      <c r="AG6358">
        <v>-1.1047698867560001</v>
      </c>
      <c r="AH6358">
        <v>14.729730434285001</v>
      </c>
      <c r="AI6358">
        <v>94.287776266439707</v>
      </c>
      <c r="AJ6358">
        <v>91.534349793508198</v>
      </c>
      <c r="AK6358">
        <v>14.776371126772499</v>
      </c>
    </row>
    <row r="6359" spans="1:37" x14ac:dyDescent="0.2">
      <c r="A6359" t="str">
        <f>"20200111160343316"</f>
        <v>20200111160343316</v>
      </c>
      <c r="B6359" t="str">
        <f>"1578729823309800"</f>
        <v>1578729823309800</v>
      </c>
      <c r="C6359" t="s">
        <v>37</v>
      </c>
      <c r="D6359">
        <v>5.0110809999999999</v>
      </c>
      <c r="E6359">
        <v>0.49553829999999999</v>
      </c>
      <c r="F6359" t="s">
        <v>38</v>
      </c>
      <c r="G6359">
        <v>-188.3372</v>
      </c>
      <c r="H6359" s="1">
        <v>-3.034359E-6</v>
      </c>
      <c r="I6359">
        <v>76.018389999999997</v>
      </c>
      <c r="J6359">
        <v>-188.07060000000001</v>
      </c>
      <c r="K6359">
        <v>1.104776</v>
      </c>
      <c r="L6359">
        <v>61.209719999999997</v>
      </c>
      <c r="M6359">
        <v>7.5766540000000004E-3</v>
      </c>
      <c r="N6359">
        <v>0</v>
      </c>
      <c r="O6359">
        <v>0.99988319999999997</v>
      </c>
      <c r="P6359">
        <v>-1.511312E-4</v>
      </c>
      <c r="Q6359">
        <v>1.392375E-2</v>
      </c>
      <c r="R6359">
        <v>0.99990299999999999</v>
      </c>
      <c r="S6359">
        <v>-5.2398680000000003E-2</v>
      </c>
      <c r="T6359">
        <v>-0.21894759999999999</v>
      </c>
      <c r="U6359">
        <v>3.0031129999999999</v>
      </c>
      <c r="V6359">
        <v>-7.7554969999999897E-3</v>
      </c>
      <c r="W6359">
        <v>2.7188589999999999E-2</v>
      </c>
      <c r="X6359">
        <v>0.99960020000000005</v>
      </c>
      <c r="Y6359">
        <v>-2.4974980000000001E-2</v>
      </c>
      <c r="Z6359">
        <v>-7.2693919999999995E-2</v>
      </c>
      <c r="AA6359">
        <v>0.99704150000000002</v>
      </c>
      <c r="AB6359">
        <v>33</v>
      </c>
      <c r="AC6359">
        <v>-0.26659999999998202</v>
      </c>
      <c r="AD6359">
        <v>-1.104779034359</v>
      </c>
      <c r="AE6359">
        <v>14.808669999999999</v>
      </c>
      <c r="AF6359">
        <v>-0.37670644953544802</v>
      </c>
      <c r="AG6359">
        <v>-1.104779034359</v>
      </c>
      <c r="AH6359">
        <v>14.7243004665706</v>
      </c>
      <c r="AI6359">
        <v>94.289521374589</v>
      </c>
      <c r="AJ6359">
        <v>91.465535319357897</v>
      </c>
      <c r="AK6359">
        <v>14.770493177065299</v>
      </c>
    </row>
    <row r="6360" spans="1:37" x14ac:dyDescent="0.2">
      <c r="A6360" t="str">
        <f>"20200111160343339"</f>
        <v>20200111160343339</v>
      </c>
      <c r="B6360" t="str">
        <f>"1578729823329320"</f>
        <v>1578729823329320</v>
      </c>
      <c r="C6360" t="s">
        <v>37</v>
      </c>
      <c r="D6360">
        <v>5.1855339999999996</v>
      </c>
      <c r="E6360">
        <v>0.49527470000000001</v>
      </c>
      <c r="F6360" t="s">
        <v>38</v>
      </c>
      <c r="G6360">
        <v>-188.33500000000001</v>
      </c>
      <c r="H6360" s="1">
        <v>-3.2059620000000001E-6</v>
      </c>
      <c r="I6360">
        <v>76.417509999999993</v>
      </c>
      <c r="J6360">
        <v>-188.0686</v>
      </c>
      <c r="K6360">
        <v>1.1047769999999999</v>
      </c>
      <c r="L6360">
        <v>61.536159999999903</v>
      </c>
      <c r="M6360">
        <v>7.1034039999999998E-3</v>
      </c>
      <c r="N6360">
        <v>0</v>
      </c>
      <c r="O6360">
        <v>0.99988440000000001</v>
      </c>
      <c r="P6360" s="1">
        <v>9.1201450000000001E-5</v>
      </c>
      <c r="Q6360">
        <v>1.380638E-2</v>
      </c>
      <c r="R6360">
        <v>0.99990469999999898</v>
      </c>
      <c r="S6360">
        <v>-5.2230829999999999E-2</v>
      </c>
      <c r="T6360">
        <v>-0.2181785</v>
      </c>
      <c r="U6360">
        <v>3.0033259999999999</v>
      </c>
      <c r="V6360">
        <v>-7.0400389999999997E-3</v>
      </c>
      <c r="W6360">
        <v>2.7238160000000001E-2</v>
      </c>
      <c r="X6360">
        <v>0.99960419999999905</v>
      </c>
      <c r="Y6360">
        <v>-2.444522E-2</v>
      </c>
      <c r="Z6360">
        <v>-7.2435650000000004E-2</v>
      </c>
      <c r="AA6360">
        <v>0.99707349999999995</v>
      </c>
      <c r="AB6360">
        <v>33</v>
      </c>
      <c r="AC6360">
        <v>-0.26640000000000402</v>
      </c>
      <c r="AD6360">
        <v>-1.104780205962</v>
      </c>
      <c r="AE6360">
        <v>14.8813499999999</v>
      </c>
      <c r="AF6360">
        <v>-0.37007208612317599</v>
      </c>
      <c r="AG6360">
        <v>-1.104780205962</v>
      </c>
      <c r="AH6360">
        <v>14.7975518938149</v>
      </c>
      <c r="AI6360">
        <v>94.268432212198505</v>
      </c>
      <c r="AJ6360">
        <v>91.432611952765399</v>
      </c>
      <c r="AK6360">
        <v>14.8433498477452</v>
      </c>
    </row>
    <row r="6361" spans="1:37" x14ac:dyDescent="0.2">
      <c r="A6361" t="str">
        <f>"20200111160343362"</f>
        <v>20200111160343362</v>
      </c>
      <c r="B6361" t="str">
        <f>"1578729823349816"</f>
        <v>1578729823349816</v>
      </c>
      <c r="C6361" t="s">
        <v>37</v>
      </c>
      <c r="D6361">
        <v>5.0501589999999998</v>
      </c>
      <c r="E6361">
        <v>0.49520890000000001</v>
      </c>
      <c r="F6361" t="s">
        <v>38</v>
      </c>
      <c r="G6361">
        <v>-188.34049999999999</v>
      </c>
      <c r="H6361" s="1">
        <v>-3.3387610000000001E-6</v>
      </c>
      <c r="I6361">
        <v>76.729320000000001</v>
      </c>
      <c r="J6361">
        <v>-188.06659999999999</v>
      </c>
      <c r="K6361">
        <v>1.1047750000000001</v>
      </c>
      <c r="L6361">
        <v>61.885530000000003</v>
      </c>
      <c r="M6361">
        <v>6.5967079999999997E-3</v>
      </c>
      <c r="N6361">
        <v>0</v>
      </c>
      <c r="O6361">
        <v>0.99988580000000005</v>
      </c>
      <c r="P6361">
        <v>2.7239959999999998E-4</v>
      </c>
      <c r="Q6361">
        <v>1.326126E-2</v>
      </c>
      <c r="R6361">
        <v>0.99991200000000002</v>
      </c>
      <c r="S6361">
        <v>-5.3756709999999999E-2</v>
      </c>
      <c r="T6361">
        <v>-0.21838640000000001</v>
      </c>
      <c r="U6361">
        <v>3.00329599999999</v>
      </c>
      <c r="V6361">
        <v>-6.3513479999999997E-3</v>
      </c>
      <c r="W6361">
        <v>2.6847300000000001E-2</v>
      </c>
      <c r="X6361">
        <v>0.99961939999999905</v>
      </c>
      <c r="Y6361">
        <v>-2.4445140000000001E-2</v>
      </c>
      <c r="Z6361">
        <v>-7.2505120000000006E-2</v>
      </c>
      <c r="AA6361">
        <v>0.99706839999999997</v>
      </c>
      <c r="AB6361">
        <v>33</v>
      </c>
      <c r="AC6361">
        <v>-0.27389999999999698</v>
      </c>
      <c r="AD6361">
        <v>-1.104778338761</v>
      </c>
      <c r="AE6361">
        <v>14.843789999999901</v>
      </c>
      <c r="AF6361">
        <v>-0.36977561173448997</v>
      </c>
      <c r="AG6361">
        <v>-1.104778338761</v>
      </c>
      <c r="AH6361">
        <v>14.759927026894699</v>
      </c>
      <c r="AI6361">
        <v>94.279260740616195</v>
      </c>
      <c r="AJ6361">
        <v>91.4351121830925</v>
      </c>
      <c r="AK6361">
        <v>14.805833817117</v>
      </c>
    </row>
    <row r="6362" spans="1:37" x14ac:dyDescent="0.2">
      <c r="A6362" t="str">
        <f>"20200111160343383"</f>
        <v>20200111160343383</v>
      </c>
      <c r="B6362" t="str">
        <f>"1578729823380072"</f>
        <v>1578729823380072</v>
      </c>
      <c r="C6362" t="s">
        <v>37</v>
      </c>
      <c r="D6362">
        <v>5.0877489999999996</v>
      </c>
      <c r="E6362">
        <v>0.49509880000000001</v>
      </c>
      <c r="F6362" t="s">
        <v>38</v>
      </c>
      <c r="G6362">
        <v>-188.3372</v>
      </c>
      <c r="H6362" s="1">
        <v>-3.3925140000000001E-6</v>
      </c>
      <c r="I6362">
        <v>76.853259999999906</v>
      </c>
      <c r="J6362">
        <v>-188.065</v>
      </c>
      <c r="K6362">
        <v>1.104781</v>
      </c>
      <c r="L6362">
        <v>62.205410000000001</v>
      </c>
      <c r="M6362">
        <v>6.1325019999999997E-3</v>
      </c>
      <c r="N6362">
        <v>0</v>
      </c>
      <c r="O6362">
        <v>0.99988709999999903</v>
      </c>
      <c r="P6362" s="1">
        <v>-7.568009E-5</v>
      </c>
      <c r="Q6362">
        <v>1.121668E-2</v>
      </c>
      <c r="R6362">
        <v>0.99993709999999902</v>
      </c>
      <c r="S6362">
        <v>-5.4290770000000002E-2</v>
      </c>
      <c r="T6362">
        <v>-0.22166859999999999</v>
      </c>
      <c r="U6362">
        <v>3.0032040000000002</v>
      </c>
      <c r="V6362">
        <v>-6.2334469999999996E-3</v>
      </c>
      <c r="W6362">
        <v>2.492486E-2</v>
      </c>
      <c r="X6362">
        <v>0.9996699</v>
      </c>
      <c r="Y6362">
        <v>-2.4157390000000001E-2</v>
      </c>
      <c r="Z6362">
        <v>-7.3591669999999998E-2</v>
      </c>
      <c r="AA6362">
        <v>0.99699579999999999</v>
      </c>
      <c r="AB6362">
        <v>33</v>
      </c>
      <c r="AC6362">
        <v>-0.272199999999998</v>
      </c>
      <c r="AD6362">
        <v>-1.104784392514</v>
      </c>
      <c r="AE6362">
        <v>14.647849999999901</v>
      </c>
      <c r="AF6362">
        <v>-0.35998419499773399</v>
      </c>
      <c r="AG6362">
        <v>-1.104784392514</v>
      </c>
      <c r="AH6362">
        <v>14.5630897307389</v>
      </c>
      <c r="AI6362">
        <v>94.336940310739493</v>
      </c>
      <c r="AJ6362">
        <v>91.416002789477801</v>
      </c>
      <c r="AK6362">
        <v>14.6093709542931</v>
      </c>
    </row>
    <row r="6363" spans="1:37" x14ac:dyDescent="0.2">
      <c r="A6363" t="str">
        <f>"20200111160343405"</f>
        <v>20200111160343405</v>
      </c>
      <c r="B6363" t="str">
        <f>"1578729823399593"</f>
        <v>1578729823399593</v>
      </c>
      <c r="C6363" t="s">
        <v>37</v>
      </c>
      <c r="D6363">
        <v>4.957865</v>
      </c>
      <c r="E6363">
        <v>0.49504700000000001</v>
      </c>
      <c r="F6363" t="s">
        <v>38</v>
      </c>
      <c r="G6363">
        <v>-188.33580000000001</v>
      </c>
      <c r="H6363" s="1">
        <v>-3.284174E-6</v>
      </c>
      <c r="I6363">
        <v>76.600129999999993</v>
      </c>
      <c r="J6363">
        <v>-188.0635</v>
      </c>
      <c r="K6363">
        <v>1.1047940000000001</v>
      </c>
      <c r="L6363">
        <v>62.520629999999997</v>
      </c>
      <c r="M6363">
        <v>5.6748769999999896E-3</v>
      </c>
      <c r="N6363">
        <v>0</v>
      </c>
      <c r="O6363">
        <v>0.99988840000000001</v>
      </c>
      <c r="P6363">
        <v>-4.5698679999999999E-4</v>
      </c>
      <c r="Q6363">
        <v>1.039881E-2</v>
      </c>
      <c r="R6363">
        <v>0.9999458</v>
      </c>
      <c r="S6363">
        <v>-5.6488040000000003E-2</v>
      </c>
      <c r="T6363">
        <v>-0.230461099999999</v>
      </c>
      <c r="U6363">
        <v>3.002777</v>
      </c>
      <c r="V6363">
        <v>-6.1563329999999999E-3</v>
      </c>
      <c r="W6363">
        <v>2.42102999999999E-2</v>
      </c>
      <c r="X6363">
        <v>0.99968789999999996</v>
      </c>
      <c r="Y6363">
        <v>-2.4427589999999999E-2</v>
      </c>
      <c r="Z6363">
        <v>-7.6504279999999994E-2</v>
      </c>
      <c r="AA6363">
        <v>0.99677000000000004</v>
      </c>
      <c r="AB6363">
        <v>33</v>
      </c>
      <c r="AC6363">
        <v>-0.27230000000000099</v>
      </c>
      <c r="AD6363">
        <v>-1.1047972841739999</v>
      </c>
      <c r="AE6363">
        <v>14.079499999999999</v>
      </c>
      <c r="AF6363">
        <v>-0.350048128542779</v>
      </c>
      <c r="AG6363">
        <v>-1.1047972841739999</v>
      </c>
      <c r="AH6363">
        <v>13.991609420967499</v>
      </c>
      <c r="AI6363">
        <v>94.513381853341002</v>
      </c>
      <c r="AJ6363">
        <v>91.433151598516105</v>
      </c>
      <c r="AK6363">
        <v>14.039524383693401</v>
      </c>
    </row>
    <row r="6364" spans="1:37" x14ac:dyDescent="0.2">
      <c r="A6364" t="str">
        <f>"20200111160343428"</f>
        <v>20200111160343428</v>
      </c>
      <c r="B6364" t="str">
        <f>"1578729823420089"</f>
        <v>1578729823420089</v>
      </c>
      <c r="C6364" t="s">
        <v>37</v>
      </c>
      <c r="D6364">
        <v>4.9765519999999999</v>
      </c>
      <c r="E6364">
        <v>0.49500359999999999</v>
      </c>
      <c r="F6364" t="s">
        <v>38</v>
      </c>
      <c r="G6364">
        <v>-188.3373</v>
      </c>
      <c r="H6364" s="1">
        <v>-3.307848E-6</v>
      </c>
      <c r="I6364">
        <v>76.655929999999998</v>
      </c>
      <c r="J6364">
        <v>-188.06200000000001</v>
      </c>
      <c r="K6364">
        <v>1.1048069999999901</v>
      </c>
      <c r="L6364">
        <v>62.869450000000001</v>
      </c>
      <c r="M6364">
        <v>5.1682389999999998E-3</v>
      </c>
      <c r="N6364">
        <v>0</v>
      </c>
      <c r="O6364">
        <v>0.99988980000000005</v>
      </c>
      <c r="P6364">
        <v>-7.2919550000000004E-4</v>
      </c>
      <c r="Q6364">
        <v>9.954226E-3</v>
      </c>
      <c r="R6364">
        <v>0.99995020000000001</v>
      </c>
      <c r="S6364">
        <v>-5.8151250000000002E-2</v>
      </c>
      <c r="T6364">
        <v>-0.23467649999999901</v>
      </c>
      <c r="U6364">
        <v>3.0025629999999999</v>
      </c>
      <c r="V6364">
        <v>-5.9218519999999896E-3</v>
      </c>
      <c r="W6364">
        <v>2.3864690000000001E-2</v>
      </c>
      <c r="X6364">
        <v>0.99969769999999902</v>
      </c>
      <c r="Y6364">
        <v>-2.4472230000000001E-2</v>
      </c>
      <c r="Z6364">
        <v>-7.7900570000000002E-2</v>
      </c>
      <c r="AA6364">
        <v>0.99666069999999995</v>
      </c>
      <c r="AB6364">
        <v>33</v>
      </c>
      <c r="AC6364">
        <v>-0.275299999999987</v>
      </c>
      <c r="AD6364">
        <v>-1.1048103078479901</v>
      </c>
      <c r="AE6364">
        <v>13.7864799999999</v>
      </c>
      <c r="AF6364">
        <v>-0.34434455621021298</v>
      </c>
      <c r="AG6364">
        <v>-1.1048103078479901</v>
      </c>
      <c r="AH6364">
        <v>13.696946492038</v>
      </c>
      <c r="AI6364">
        <v>94.610104359396999</v>
      </c>
      <c r="AJ6364">
        <v>91.440126439949296</v>
      </c>
      <c r="AK6364">
        <v>13.745745603475701</v>
      </c>
    </row>
    <row r="6365" spans="1:37" x14ac:dyDescent="0.2">
      <c r="A6365" t="str">
        <f>"20200111160343450"</f>
        <v>20200111160343450</v>
      </c>
      <c r="B6365" t="str">
        <f>"1578729823439609"</f>
        <v>1578729823439609</v>
      </c>
      <c r="C6365" t="s">
        <v>37</v>
      </c>
      <c r="D6365">
        <v>4.9314919999999898</v>
      </c>
      <c r="E6365">
        <v>0.49500889999999997</v>
      </c>
      <c r="F6365" t="s">
        <v>38</v>
      </c>
      <c r="G6365">
        <v>-188.3415</v>
      </c>
      <c r="H6365" s="1">
        <v>-3.399145E-6</v>
      </c>
      <c r="I6365">
        <v>76.870480000000001</v>
      </c>
      <c r="J6365">
        <v>-188.0609</v>
      </c>
      <c r="K6365">
        <v>1.104808</v>
      </c>
      <c r="L6365">
        <v>63.184600000000003</v>
      </c>
      <c r="M6365">
        <v>4.7103020000000004E-3</v>
      </c>
      <c r="N6365">
        <v>0</v>
      </c>
      <c r="O6365">
        <v>0.99989099999999997</v>
      </c>
      <c r="P6365">
        <v>-9.3037149999999999E-4</v>
      </c>
      <c r="Q6365">
        <v>7.9381450000000006E-3</v>
      </c>
      <c r="R6365">
        <v>0.99996810000000003</v>
      </c>
      <c r="S6365">
        <v>-5.9921259999999997E-2</v>
      </c>
      <c r="T6365">
        <v>-0.23692249999999901</v>
      </c>
      <c r="U6365">
        <v>3.002472</v>
      </c>
      <c r="V6365">
        <v>-5.6632590000000003E-3</v>
      </c>
      <c r="W6365">
        <v>2.1924949999999999E-2</v>
      </c>
      <c r="X6365">
        <v>0.99974359999999995</v>
      </c>
      <c r="Y6365">
        <v>-2.4601140000000001E-2</v>
      </c>
      <c r="Z6365">
        <v>-7.8643630000000006E-2</v>
      </c>
      <c r="AA6365">
        <v>0.99659920000000002</v>
      </c>
      <c r="AB6365">
        <v>33</v>
      </c>
      <c r="AC6365">
        <v>-0.28059999999999202</v>
      </c>
      <c r="AD6365">
        <v>-1.1048113991449999</v>
      </c>
      <c r="AE6365">
        <v>13.6858799999999</v>
      </c>
      <c r="AF6365">
        <v>-0.34283459908375402</v>
      </c>
      <c r="AG6365">
        <v>-1.1048113991449999</v>
      </c>
      <c r="AH6365">
        <v>13.5958428710502</v>
      </c>
      <c r="AI6365">
        <v>94.644233089340702</v>
      </c>
      <c r="AJ6365">
        <v>91.444471962595898</v>
      </c>
      <c r="AK6365">
        <v>13.6449656344125</v>
      </c>
    </row>
    <row r="6366" spans="1:37" x14ac:dyDescent="0.2">
      <c r="A6366" t="str">
        <f>"20200111160343472"</f>
        <v>20200111160343472</v>
      </c>
      <c r="B6366" t="str">
        <f>"1578729823469864"</f>
        <v>1578729823469864</v>
      </c>
      <c r="C6366" t="s">
        <v>37</v>
      </c>
      <c r="D6366">
        <v>5.0431480000000004</v>
      </c>
      <c r="E6366">
        <v>0.495042599999999</v>
      </c>
      <c r="F6366" t="s">
        <v>42</v>
      </c>
      <c r="G6366">
        <v>-188.08109999999999</v>
      </c>
      <c r="H6366">
        <v>1.023488</v>
      </c>
      <c r="I6366">
        <v>64.186099999999996</v>
      </c>
      <c r="J6366">
        <v>-188.0598</v>
      </c>
      <c r="K6366">
        <v>1.104805</v>
      </c>
      <c r="L6366">
        <v>63.520899999999997</v>
      </c>
      <c r="M6366">
        <v>4.2217209999999899E-3</v>
      </c>
      <c r="N6366">
        <v>0</v>
      </c>
      <c r="O6366">
        <v>0.99989219999999901</v>
      </c>
      <c r="P6366">
        <v>-1.5180079999999999E-3</v>
      </c>
      <c r="Q6366">
        <v>4.1648650000000002E-3</v>
      </c>
      <c r="R6366">
        <v>0.99999020000000005</v>
      </c>
      <c r="S6366">
        <v>-6.1004639999999999E-2</v>
      </c>
      <c r="T6366">
        <v>-0.24378259999999999</v>
      </c>
      <c r="U6366">
        <v>3.0019840000000002</v>
      </c>
      <c r="V6366">
        <v>-5.7585529999999996E-3</v>
      </c>
      <c r="W6366">
        <v>1.8221629999999999E-2</v>
      </c>
      <c r="X6366">
        <v>0.99981739999999997</v>
      </c>
      <c r="Y6366">
        <v>-2.4471710000000001E-2</v>
      </c>
      <c r="Z6366">
        <v>-8.0919249999999998E-2</v>
      </c>
      <c r="AA6366">
        <v>0.99642019999999998</v>
      </c>
      <c r="AB6366">
        <v>33</v>
      </c>
      <c r="AC6366">
        <v>-2.1299999999996499E-2</v>
      </c>
      <c r="AD6366">
        <v>-8.1317E-2</v>
      </c>
      <c r="AE6366">
        <v>0.66519999999999802</v>
      </c>
      <c r="AF6366">
        <v>-2.3753770981136801E-2</v>
      </c>
      <c r="AG6366">
        <v>-8.1317E-2</v>
      </c>
      <c r="AH6366">
        <v>0.65532124407882997</v>
      </c>
      <c r="AI6366">
        <v>97.068922137339499</v>
      </c>
      <c r="AJ6366">
        <v>92.0759211541816</v>
      </c>
      <c r="AK6366">
        <v>0.66077426483319601</v>
      </c>
    </row>
    <row r="6367" spans="1:37" x14ac:dyDescent="0.2">
      <c r="A6367" t="str">
        <f>"20200111160343495"</f>
        <v>20200111160343495</v>
      </c>
      <c r="B6367" t="str">
        <f>"1578729823489385"</f>
        <v>1578729823489385</v>
      </c>
      <c r="C6367" t="s">
        <v>37</v>
      </c>
      <c r="D6367">
        <v>5.1570419999999997</v>
      </c>
      <c r="E6367">
        <v>0.49484040000000001</v>
      </c>
      <c r="F6367" t="s">
        <v>42</v>
      </c>
      <c r="G6367">
        <v>-188.0797</v>
      </c>
      <c r="H6367">
        <v>1.023042</v>
      </c>
      <c r="I6367">
        <v>64.480050000000006</v>
      </c>
      <c r="J6367">
        <v>-188.059</v>
      </c>
      <c r="K6367">
        <v>1.104803</v>
      </c>
      <c r="L6367">
        <v>63.844019999999901</v>
      </c>
      <c r="M6367">
        <v>3.7518790000000001E-3</v>
      </c>
      <c r="N6367">
        <v>0</v>
      </c>
      <c r="O6367">
        <v>0.99989319999999904</v>
      </c>
      <c r="P6367">
        <v>-2.5258670000000002E-3</v>
      </c>
      <c r="Q6367">
        <v>2.430476E-3</v>
      </c>
      <c r="R6367">
        <v>0.99999389999999999</v>
      </c>
      <c r="S6367">
        <v>-6.2606809999999999E-2</v>
      </c>
      <c r="T6367">
        <v>-0.25585940000000001</v>
      </c>
      <c r="U6367">
        <v>3.001007</v>
      </c>
      <c r="V6367">
        <v>-6.2950799999999998E-3</v>
      </c>
      <c r="W6367">
        <v>1.654342E-2</v>
      </c>
      <c r="X6367">
        <v>0.99984340000000005</v>
      </c>
      <c r="Y6367">
        <v>-2.4533329999999999E-2</v>
      </c>
      <c r="Z6367">
        <v>-8.492682E-2</v>
      </c>
      <c r="AA6367">
        <v>0.99608509999999995</v>
      </c>
      <c r="AB6367">
        <v>33</v>
      </c>
      <c r="AC6367">
        <v>-2.0699999999976602E-2</v>
      </c>
      <c r="AD6367">
        <v>-8.1760999999999903E-2</v>
      </c>
      <c r="AE6367">
        <v>0.63603000000001197</v>
      </c>
      <c r="AF6367">
        <v>-2.2711493341709198E-2</v>
      </c>
      <c r="AG6367">
        <v>-8.1760999999999903E-2</v>
      </c>
      <c r="AH6367">
        <v>0.62562051270874697</v>
      </c>
      <c r="AI6367">
        <v>97.440818277881803</v>
      </c>
      <c r="AJ6367">
        <v>92.079058323895794</v>
      </c>
      <c r="AK6367">
        <v>0.63134911021776696</v>
      </c>
    </row>
    <row r="6368" spans="1:37" x14ac:dyDescent="0.2">
      <c r="A6368" t="str">
        <f>"20200111160343517"</f>
        <v>20200111160343517</v>
      </c>
      <c r="B6368" t="str">
        <f>"1578729823509880"</f>
        <v>1578729823509880</v>
      </c>
      <c r="C6368" t="s">
        <v>37</v>
      </c>
      <c r="D6368">
        <v>5.1654140000000002</v>
      </c>
      <c r="E6368">
        <v>0.49467149999999999</v>
      </c>
      <c r="F6368" t="s">
        <v>42</v>
      </c>
      <c r="G6368">
        <v>-188.0797</v>
      </c>
      <c r="H6368">
        <v>1.0237639999999999</v>
      </c>
      <c r="I6368">
        <v>64.774900000000002</v>
      </c>
      <c r="J6368">
        <v>-188.0582</v>
      </c>
      <c r="K6368">
        <v>1.1048119999999999</v>
      </c>
      <c r="L6368">
        <v>64.181340000000006</v>
      </c>
      <c r="M6368">
        <v>3.261314E-3</v>
      </c>
      <c r="N6368">
        <v>0</v>
      </c>
      <c r="O6368">
        <v>0.99989430000000001</v>
      </c>
      <c r="P6368">
        <v>-2.7143039999999998E-3</v>
      </c>
      <c r="Q6368">
        <v>3.3596199999999998E-3</v>
      </c>
      <c r="R6368">
        <v>0.99999069999999901</v>
      </c>
      <c r="S6368">
        <v>-6.6940310000000003E-2</v>
      </c>
      <c r="T6368">
        <v>-0.26120189999999999</v>
      </c>
      <c r="U6368">
        <v>3.0004580000000001</v>
      </c>
      <c r="V6368">
        <v>-5.9931890000000003E-3</v>
      </c>
      <c r="W6368">
        <v>1.7523650000000002E-2</v>
      </c>
      <c r="X6368">
        <v>0.99982850000000001</v>
      </c>
      <c r="Y6368">
        <v>-2.5481199999999999E-2</v>
      </c>
      <c r="Z6368">
        <v>-8.6700520000000003E-2</v>
      </c>
      <c r="AA6368">
        <v>0.99590849999999898</v>
      </c>
      <c r="AB6368">
        <v>33</v>
      </c>
      <c r="AC6368">
        <v>-2.15000000000031E-2</v>
      </c>
      <c r="AD6368">
        <v>-8.1048000000000203E-2</v>
      </c>
      <c r="AE6368">
        <v>0.59355999999999598</v>
      </c>
      <c r="AF6368">
        <v>-2.3007460446470899E-2</v>
      </c>
      <c r="AG6368">
        <v>-8.1048000000000203E-2</v>
      </c>
      <c r="AH6368">
        <v>0.58263784499680704</v>
      </c>
      <c r="AI6368">
        <v>97.913236868606006</v>
      </c>
      <c r="AJ6368">
        <v>92.261346124505593</v>
      </c>
      <c r="AK6368">
        <v>0.588697698282166</v>
      </c>
    </row>
    <row r="6369" spans="1:37" x14ac:dyDescent="0.2">
      <c r="A6369" t="str">
        <f>"20200111160343540"</f>
        <v>20200111160343540</v>
      </c>
      <c r="B6369" t="str">
        <f>"1578729823529400"</f>
        <v>1578729823529400</v>
      </c>
      <c r="C6369" t="s">
        <v>37</v>
      </c>
      <c r="D6369">
        <v>4.9447839999999896</v>
      </c>
      <c r="E6369">
        <v>0.49469359999999901</v>
      </c>
      <c r="F6369" t="s">
        <v>42</v>
      </c>
      <c r="G6369">
        <v>-188.07849999999999</v>
      </c>
      <c r="H6369">
        <v>1.028416</v>
      </c>
      <c r="I6369">
        <v>65.072360000000003</v>
      </c>
      <c r="J6369">
        <v>-188.05760000000001</v>
      </c>
      <c r="K6369">
        <v>1.1048180000000001</v>
      </c>
      <c r="L6369">
        <v>64.507109999999997</v>
      </c>
      <c r="M6369">
        <v>2.7872840000000001E-3</v>
      </c>
      <c r="N6369">
        <v>0</v>
      </c>
      <c r="O6369">
        <v>0.99989509999999904</v>
      </c>
      <c r="P6369">
        <v>-2.6423940000000002E-3</v>
      </c>
      <c r="Q6369">
        <v>5.0743819999999997E-3</v>
      </c>
      <c r="R6369">
        <v>0.99998359999999997</v>
      </c>
      <c r="S6369">
        <v>-6.8832400000000002E-2</v>
      </c>
      <c r="T6369">
        <v>-0.257335799999999</v>
      </c>
      <c r="U6369">
        <v>3.000702</v>
      </c>
      <c r="V6369">
        <v>-5.4495109999999998E-3</v>
      </c>
      <c r="W6369">
        <v>1.9280499999999999E-2</v>
      </c>
      <c r="X6369">
        <v>0.99979929999999995</v>
      </c>
      <c r="Y6369">
        <v>-2.5635649999999999E-2</v>
      </c>
      <c r="Z6369">
        <v>-8.5419200000000001E-2</v>
      </c>
      <c r="AA6369">
        <v>0.99601530000000005</v>
      </c>
      <c r="AB6369">
        <v>33</v>
      </c>
      <c r="AC6369">
        <v>-2.0899999999983199E-2</v>
      </c>
      <c r="AD6369">
        <v>-7.6401999999999998E-2</v>
      </c>
      <c r="AE6369">
        <v>0.56525000000000503</v>
      </c>
      <c r="AF6369">
        <v>-2.20728788139186E-2</v>
      </c>
      <c r="AG6369">
        <v>-7.6401999999999998E-2</v>
      </c>
      <c r="AH6369">
        <v>0.555062633256589</v>
      </c>
      <c r="AI6369">
        <v>97.831158341107596</v>
      </c>
      <c r="AJ6369">
        <v>92.277250726809399</v>
      </c>
      <c r="AK6369">
        <v>0.56073077713005204</v>
      </c>
    </row>
    <row r="6370" spans="1:37" x14ac:dyDescent="0.2">
      <c r="A6370" t="str">
        <f>"20200111160343563"</f>
        <v>20200111160343563</v>
      </c>
      <c r="B6370" t="str">
        <f>"1578729823559656"</f>
        <v>1578729823559656</v>
      </c>
      <c r="C6370" t="s">
        <v>37</v>
      </c>
      <c r="D6370">
        <v>4.932105</v>
      </c>
      <c r="E6370">
        <v>0.49471499999999902</v>
      </c>
      <c r="F6370" t="s">
        <v>38</v>
      </c>
      <c r="G6370">
        <v>-188.3588</v>
      </c>
      <c r="H6370" s="1">
        <v>-3.730441E-6</v>
      </c>
      <c r="I6370">
        <v>77.649919999999995</v>
      </c>
      <c r="J6370">
        <v>-188.05719999999999</v>
      </c>
      <c r="K6370">
        <v>1.1048249999999999</v>
      </c>
      <c r="L6370">
        <v>64.844819999999999</v>
      </c>
      <c r="M6370">
        <v>2.2957170000000001E-3</v>
      </c>
      <c r="N6370">
        <v>0</v>
      </c>
      <c r="O6370">
        <v>0.9998958</v>
      </c>
      <c r="P6370">
        <v>-1.9795709999999998E-3</v>
      </c>
      <c r="Q6370">
        <v>5.6384950000000003E-3</v>
      </c>
      <c r="R6370">
        <v>0.99998209999999998</v>
      </c>
      <c r="S6370">
        <v>-6.8771360000000004E-2</v>
      </c>
      <c r="T6370">
        <v>-0.25228610000000001</v>
      </c>
      <c r="U6370">
        <v>3.00116</v>
      </c>
      <c r="V6370">
        <v>-4.2952659999999998E-3</v>
      </c>
      <c r="W6370">
        <v>1.98830999999999E-2</v>
      </c>
      <c r="X6370">
        <v>0.99979309999999999</v>
      </c>
      <c r="Y6370">
        <v>-2.512373E-2</v>
      </c>
      <c r="Z6370">
        <v>-8.3742949999999997E-2</v>
      </c>
      <c r="AA6370">
        <v>0.99617060000000002</v>
      </c>
      <c r="AB6370">
        <v>33</v>
      </c>
      <c r="AC6370">
        <v>-0.30160000000000697</v>
      </c>
      <c r="AD6370">
        <v>-1.1048287304410001</v>
      </c>
      <c r="AE6370">
        <v>12.8050999999999</v>
      </c>
      <c r="AF6370">
        <v>-0.32855457350918399</v>
      </c>
      <c r="AG6370">
        <v>-1.1048287304410001</v>
      </c>
      <c r="AH6370">
        <v>12.7098105845003</v>
      </c>
      <c r="AI6370">
        <v>94.966424665243196</v>
      </c>
      <c r="AJ6370">
        <v>91.480793026398004</v>
      </c>
      <c r="AK6370">
        <v>12.7619700565883</v>
      </c>
    </row>
    <row r="6371" spans="1:37" x14ac:dyDescent="0.2">
      <c r="A6371" t="str">
        <f>"20200111160343584"</f>
        <v>20200111160343584</v>
      </c>
      <c r="B6371" t="str">
        <f>"1578729823579176"</f>
        <v>1578729823579176</v>
      </c>
      <c r="C6371" t="s">
        <v>37</v>
      </c>
      <c r="D6371">
        <v>4.8969959999999997</v>
      </c>
      <c r="E6371">
        <v>0.49468139999999999</v>
      </c>
      <c r="F6371" t="s">
        <v>38</v>
      </c>
      <c r="G6371">
        <v>-188.35290000000001</v>
      </c>
      <c r="H6371" s="1">
        <v>-3.9281389999999997E-6</v>
      </c>
      <c r="I6371">
        <v>78.108310000000003</v>
      </c>
      <c r="J6371">
        <v>-188.05699999999999</v>
      </c>
      <c r="K6371">
        <v>1.1048209999999901</v>
      </c>
      <c r="L6371">
        <v>65.154910000000001</v>
      </c>
      <c r="M6371">
        <v>1.844149E-3</v>
      </c>
      <c r="N6371">
        <v>0</v>
      </c>
      <c r="O6371">
        <v>0.99989629999999996</v>
      </c>
      <c r="P6371">
        <v>-1.503435E-3</v>
      </c>
      <c r="Q6371">
        <v>5.0198990000000004E-3</v>
      </c>
      <c r="R6371">
        <v>0.99998629999999999</v>
      </c>
      <c r="S6371">
        <v>-6.6909789999999997E-2</v>
      </c>
      <c r="T6371">
        <v>-0.25000479999999897</v>
      </c>
      <c r="U6371">
        <v>3.001312</v>
      </c>
      <c r="V6371">
        <v>-3.3666170000000001E-3</v>
      </c>
      <c r="W6371">
        <v>1.929384E-2</v>
      </c>
      <c r="X6371">
        <v>0.99980820000000004</v>
      </c>
      <c r="Y6371">
        <v>-2.4054929999999999E-2</v>
      </c>
      <c r="Z6371">
        <v>-8.2988530000000005E-2</v>
      </c>
      <c r="AA6371">
        <v>0.99626019999999904</v>
      </c>
      <c r="AB6371">
        <v>33</v>
      </c>
      <c r="AC6371">
        <v>-0.29589999999998801</v>
      </c>
      <c r="AD6371">
        <v>-1.1048249281389999</v>
      </c>
      <c r="AE6371">
        <v>12.9534</v>
      </c>
      <c r="AF6371">
        <v>-0.31748153207346003</v>
      </c>
      <c r="AG6371">
        <v>-1.1048249281389999</v>
      </c>
      <c r="AH6371">
        <v>12.859332311591899</v>
      </c>
      <c r="AI6371">
        <v>94.909087952360807</v>
      </c>
      <c r="AJ6371">
        <v>91.414276952634097</v>
      </c>
      <c r="AK6371">
        <v>12.910610370737601</v>
      </c>
    </row>
    <row r="6372" spans="1:37" x14ac:dyDescent="0.2">
      <c r="A6372" t="str">
        <f>"20200111160343607"</f>
        <v>20200111160343607</v>
      </c>
      <c r="B6372" t="str">
        <f>"1578729823599672"</f>
        <v>1578729823599672</v>
      </c>
      <c r="C6372" t="s">
        <v>37</v>
      </c>
      <c r="D6372">
        <v>4.8825949999999896</v>
      </c>
      <c r="E6372">
        <v>0.49467240000000001</v>
      </c>
      <c r="F6372" t="s">
        <v>38</v>
      </c>
      <c r="G6372">
        <v>-188.34370000000001</v>
      </c>
      <c r="H6372" s="1">
        <v>-4.0208160000000001E-6</v>
      </c>
      <c r="I6372">
        <v>78.320530000000005</v>
      </c>
      <c r="J6372">
        <v>-188.05690000000001</v>
      </c>
      <c r="K6372">
        <v>1.1048129999999901</v>
      </c>
      <c r="L6372">
        <v>65.492310000000003</v>
      </c>
      <c r="M6372">
        <v>1.352678E-3</v>
      </c>
      <c r="N6372">
        <v>0</v>
      </c>
      <c r="O6372">
        <v>0.99989680000000003</v>
      </c>
      <c r="P6372">
        <v>-1.5839910000000001E-3</v>
      </c>
      <c r="Q6372">
        <v>2.498737E-3</v>
      </c>
      <c r="R6372">
        <v>0.99999559999999998</v>
      </c>
      <c r="S6372">
        <v>-6.5353389999999997E-2</v>
      </c>
      <c r="T6372">
        <v>-0.25185469999999999</v>
      </c>
      <c r="U6372">
        <v>3.0012209999999899</v>
      </c>
      <c r="V6372">
        <v>-2.9534100000000001E-3</v>
      </c>
      <c r="W6372">
        <v>1.6800389999999998E-2</v>
      </c>
      <c r="X6372">
        <v>0.99985449999999998</v>
      </c>
      <c r="Y6372">
        <v>-2.30467E-2</v>
      </c>
      <c r="Z6372">
        <v>-8.3602410000000002E-2</v>
      </c>
      <c r="AA6372">
        <v>0.99623259999999902</v>
      </c>
      <c r="AB6372">
        <v>33</v>
      </c>
      <c r="AC6372">
        <v>-0.286799999999999</v>
      </c>
      <c r="AD6372">
        <v>-1.10481702081599</v>
      </c>
      <c r="AE6372">
        <v>12.82822</v>
      </c>
      <c r="AF6372">
        <v>-0.301915672597656</v>
      </c>
      <c r="AG6372">
        <v>-1.10481702081599</v>
      </c>
      <c r="AH6372">
        <v>12.733419416602599</v>
      </c>
      <c r="AI6372">
        <v>94.957471559691697</v>
      </c>
      <c r="AJ6372">
        <v>91.358256778472395</v>
      </c>
      <c r="AK6372">
        <v>12.7848247450623</v>
      </c>
    </row>
    <row r="6373" spans="1:37" x14ac:dyDescent="0.2">
      <c r="A6373" t="str">
        <f>"20200111160343628"</f>
        <v>20200111160343628</v>
      </c>
      <c r="B6373" t="str">
        <f>"1578729823619191"</f>
        <v>1578729823619191</v>
      </c>
      <c r="C6373" t="s">
        <v>37</v>
      </c>
      <c r="D6373">
        <v>4.9075119999999997</v>
      </c>
      <c r="E6373">
        <v>0.49466679999999902</v>
      </c>
      <c r="F6373" t="s">
        <v>38</v>
      </c>
      <c r="G6373">
        <v>-188.3349</v>
      </c>
      <c r="H6373" s="1">
        <v>-4.0055509999999902E-6</v>
      </c>
      <c r="I6373">
        <v>78.281300000000002</v>
      </c>
      <c r="J6373">
        <v>-188.05690000000001</v>
      </c>
      <c r="K6373">
        <v>1.1048069999999901</v>
      </c>
      <c r="L6373">
        <v>65.813509999999994</v>
      </c>
      <c r="M6373">
        <v>8.8466009999999895E-4</v>
      </c>
      <c r="N6373">
        <v>0</v>
      </c>
      <c r="O6373">
        <v>0.99989699999999904</v>
      </c>
      <c r="P6373">
        <v>-2.2233190000000001E-3</v>
      </c>
      <c r="Q6373">
        <v>1.1562219999999999E-3</v>
      </c>
      <c r="R6373">
        <v>0.99999680000000002</v>
      </c>
      <c r="S6373">
        <v>-6.5216060000000006E-2</v>
      </c>
      <c r="T6373">
        <v>-0.2592121</v>
      </c>
      <c r="U6373">
        <v>3.0005489999999999</v>
      </c>
      <c r="V6373">
        <v>-3.1236829999999999E-3</v>
      </c>
      <c r="W6373">
        <v>1.547925E-2</v>
      </c>
      <c r="X6373">
        <v>0.99987530000000002</v>
      </c>
      <c r="Y6373">
        <v>-2.2533520000000001E-2</v>
      </c>
      <c r="Z6373">
        <v>-8.6046600000000001E-2</v>
      </c>
      <c r="AA6373">
        <v>0.99603619999999904</v>
      </c>
      <c r="AB6373">
        <v>33</v>
      </c>
      <c r="AC6373">
        <v>-0.27799999999999098</v>
      </c>
      <c r="AD6373">
        <v>-1.1048110055509901</v>
      </c>
      <c r="AE6373">
        <v>12.467790000000001</v>
      </c>
      <c r="AF6373">
        <v>-0.286780014981665</v>
      </c>
      <c r="AG6373">
        <v>-1.1048110055509901</v>
      </c>
      <c r="AH6373">
        <v>12.3704509059079</v>
      </c>
      <c r="AI6373">
        <v>95.102209812334905</v>
      </c>
      <c r="AJ6373">
        <v>91.328030966156405</v>
      </c>
      <c r="AK6373">
        <v>12.4229990642541</v>
      </c>
    </row>
    <row r="6374" spans="1:37" x14ac:dyDescent="0.2">
      <c r="A6374" t="str">
        <f>"20200111160343653"</f>
        <v>20200111160343653</v>
      </c>
      <c r="B6374" t="str">
        <f>"1578729823650084"</f>
        <v>1578729823650084</v>
      </c>
      <c r="C6374" t="s">
        <v>37</v>
      </c>
      <c r="D6374">
        <v>5.2263010000000003</v>
      </c>
      <c r="E6374">
        <v>0.52283999999999997</v>
      </c>
      <c r="F6374" t="s">
        <v>38</v>
      </c>
      <c r="G6374">
        <v>-188.3382</v>
      </c>
      <c r="H6374" s="1">
        <v>-4.0624030000000001E-6</v>
      </c>
      <c r="I6374">
        <v>78.415219999999906</v>
      </c>
      <c r="J6374">
        <v>-188.05719999999999</v>
      </c>
      <c r="K6374">
        <v>1.104814</v>
      </c>
      <c r="L6374">
        <v>66.156980000000004</v>
      </c>
      <c r="M6374">
        <v>3.8400430000000001E-4</v>
      </c>
      <c r="N6374">
        <v>0</v>
      </c>
      <c r="O6374">
        <v>0.99989699999999904</v>
      </c>
      <c r="P6374">
        <v>-2.884649E-3</v>
      </c>
      <c r="Q6374">
        <v>2.5778889999999999E-4</v>
      </c>
      <c r="R6374">
        <v>0.99999579999999999</v>
      </c>
      <c r="S6374">
        <v>-6.6970829999999995E-2</v>
      </c>
      <c r="T6374">
        <v>-0.26302769999999998</v>
      </c>
      <c r="U6374">
        <v>3.0001530000000001</v>
      </c>
      <c r="V6374">
        <v>-3.2834470000000001E-3</v>
      </c>
      <c r="W6374">
        <v>1.4599590000000001E-2</v>
      </c>
      <c r="X6374">
        <v>0.999887999999999</v>
      </c>
      <c r="Y6374">
        <v>-2.2615630000000001E-2</v>
      </c>
      <c r="Z6374">
        <v>-8.731448E-2</v>
      </c>
      <c r="AA6374">
        <v>0.99592409999999998</v>
      </c>
      <c r="AB6374">
        <v>33</v>
      </c>
      <c r="AC6374">
        <v>-0.28100000000000502</v>
      </c>
      <c r="AD6374">
        <v>-1.104818062403</v>
      </c>
      <c r="AE6374">
        <v>12.258239999999899</v>
      </c>
      <c r="AF6374">
        <v>-0.28340673007897599</v>
      </c>
      <c r="AG6374">
        <v>-1.104818062403</v>
      </c>
      <c r="AH6374">
        <v>12.1594101568319</v>
      </c>
      <c r="AI6374">
        <v>95.190303028501802</v>
      </c>
      <c r="AJ6374">
        <v>91.335185659903999</v>
      </c>
      <c r="AK6374">
        <v>12.2127882847339</v>
      </c>
    </row>
    <row r="6375" spans="1:37" x14ac:dyDescent="0.2">
      <c r="A6375" t="str">
        <f>"20200111160343674"</f>
        <v>20200111160343674</v>
      </c>
      <c r="B6375" t="str">
        <f>"1578729823669604"</f>
        <v>1578729823669604</v>
      </c>
      <c r="C6375" t="s">
        <v>37</v>
      </c>
      <c r="D6375">
        <v>5.0076640000000001</v>
      </c>
      <c r="E6375">
        <v>0.53942100000000004</v>
      </c>
      <c r="F6375" t="s">
        <v>42</v>
      </c>
      <c r="G6375">
        <v>-188.00799999999899</v>
      </c>
      <c r="H6375">
        <v>1.0147569999999999</v>
      </c>
      <c r="I6375">
        <v>67.108109999999996</v>
      </c>
      <c r="J6375">
        <v>-188.05760000000001</v>
      </c>
      <c r="K6375">
        <v>1.104827</v>
      </c>
      <c r="L6375">
        <v>66.46893</v>
      </c>
      <c r="M6375" s="1">
        <v>-7.0832980000000003E-5</v>
      </c>
      <c r="N6375">
        <v>0</v>
      </c>
      <c r="O6375">
        <v>0.99989689999999998</v>
      </c>
      <c r="P6375">
        <v>-4.6675939999999997E-3</v>
      </c>
      <c r="Q6375" s="1">
        <v>-3.1306190000000001E-5</v>
      </c>
      <c r="R6375">
        <v>0.99998909999999996</v>
      </c>
      <c r="S6375">
        <v>0.1550446</v>
      </c>
      <c r="T6375">
        <v>-0.28411429999999999</v>
      </c>
      <c r="U6375">
        <v>3.0005489999999999</v>
      </c>
      <c r="V6375">
        <v>-4.6113040000000001E-3</v>
      </c>
      <c r="W6375">
        <v>1.4323519999999999E-2</v>
      </c>
      <c r="X6375">
        <v>0.99988679999999996</v>
      </c>
      <c r="Y6375">
        <v>5.1444780000000002E-2</v>
      </c>
      <c r="Z6375">
        <v>-9.4141139999999998E-2</v>
      </c>
      <c r="AA6375">
        <v>0.99422880000000002</v>
      </c>
      <c r="AB6375">
        <v>33</v>
      </c>
      <c r="AC6375">
        <v>4.9600000000026498E-2</v>
      </c>
      <c r="AD6375">
        <v>-9.0070000000000094E-2</v>
      </c>
      <c r="AE6375">
        <v>0.63917999999999597</v>
      </c>
      <c r="AF6375">
        <v>4.8684340336053497E-2</v>
      </c>
      <c r="AG6375">
        <v>-9.0070000000000094E-2</v>
      </c>
      <c r="AH6375">
        <v>0.62680451772313295</v>
      </c>
      <c r="AI6375">
        <v>98.153037064404103</v>
      </c>
      <c r="AJ6375">
        <v>85.558713897943306</v>
      </c>
      <c r="AK6375">
        <v>0.63511154400789005</v>
      </c>
    </row>
    <row r="6376" spans="1:37" x14ac:dyDescent="0.2">
      <c r="A6376" t="str">
        <f>"20200111160343695"</f>
        <v>20200111160343695</v>
      </c>
      <c r="B6376" t="str">
        <f>"1578729823690100"</f>
        <v>1578729823690100</v>
      </c>
      <c r="C6376" t="s">
        <v>37</v>
      </c>
      <c r="D6376">
        <v>5.2716589999999997</v>
      </c>
      <c r="E6376">
        <v>0.54486610000000002</v>
      </c>
      <c r="F6376" t="s">
        <v>42</v>
      </c>
      <c r="G6376">
        <v>-187.97</v>
      </c>
      <c r="H6376">
        <v>1.0144420000000001</v>
      </c>
      <c r="I6376">
        <v>67.399059999999906</v>
      </c>
      <c r="J6376">
        <v>-188.0581</v>
      </c>
      <c r="K6376">
        <v>1.104832</v>
      </c>
      <c r="L6376">
        <v>66.787629999999993</v>
      </c>
      <c r="M6376">
        <v>-5.3559199999999999E-4</v>
      </c>
      <c r="N6376">
        <v>0</v>
      </c>
      <c r="O6376">
        <v>0.99989660000000002</v>
      </c>
      <c r="P6376">
        <v>-7.1172639999999999E-3</v>
      </c>
      <c r="Q6376" s="1">
        <v>-8.0080380000000005E-5</v>
      </c>
      <c r="R6376">
        <v>0.99997469999999999</v>
      </c>
      <c r="S6376">
        <v>0.28182979999999902</v>
      </c>
      <c r="T6376">
        <v>-0.29170099999999999</v>
      </c>
      <c r="U6376">
        <v>3.0013429999999999</v>
      </c>
      <c r="V6376">
        <v>-6.5961469999999897E-3</v>
      </c>
      <c r="W6376">
        <v>1.428491E-2</v>
      </c>
      <c r="X6376">
        <v>0.99987619999999899</v>
      </c>
      <c r="Y6376">
        <v>9.3588660000000004E-2</v>
      </c>
      <c r="Z6376">
        <v>-9.6312179999999997E-2</v>
      </c>
      <c r="AA6376">
        <v>0.99094150000000003</v>
      </c>
      <c r="AB6376">
        <v>33</v>
      </c>
      <c r="AC6376">
        <v>8.8099999999997097E-2</v>
      </c>
      <c r="AD6376">
        <v>-9.0389999999999901E-2</v>
      </c>
      <c r="AE6376">
        <v>0.61142999999998404</v>
      </c>
      <c r="AF6376">
        <v>8.6573923415815698E-2</v>
      </c>
      <c r="AG6376">
        <v>-9.0389999999999901E-2</v>
      </c>
      <c r="AH6376">
        <v>0.59856721055412299</v>
      </c>
      <c r="AI6376">
        <v>98.500249087610001</v>
      </c>
      <c r="AJ6376">
        <v>81.770081625680405</v>
      </c>
      <c r="AK6376">
        <v>0.61151296132310295</v>
      </c>
    </row>
    <row r="6377" spans="1:37" x14ac:dyDescent="0.2">
      <c r="A6377" t="str">
        <f>"20200111160343720"</f>
        <v>20200111160343720</v>
      </c>
      <c r="B6377" t="str">
        <f>"1578729823709620"</f>
        <v>1578729823709620</v>
      </c>
      <c r="C6377" t="s">
        <v>37</v>
      </c>
      <c r="D6377">
        <v>5.0243089999999997</v>
      </c>
      <c r="E6377">
        <v>0.54809929999999996</v>
      </c>
      <c r="F6377" t="s">
        <v>42</v>
      </c>
      <c r="G6377">
        <v>-187.9623</v>
      </c>
      <c r="H6377">
        <v>1.016626</v>
      </c>
      <c r="I6377">
        <v>67.690989999999999</v>
      </c>
      <c r="J6377">
        <v>-188.05889999999999</v>
      </c>
      <c r="K6377">
        <v>1.104846</v>
      </c>
      <c r="L6377">
        <v>67.131259999999997</v>
      </c>
      <c r="M6377">
        <v>-1.036831E-3</v>
      </c>
      <c r="N6377">
        <v>0</v>
      </c>
      <c r="O6377">
        <v>0.99989599999999901</v>
      </c>
      <c r="P6377">
        <v>-9.5077089999999996E-3</v>
      </c>
      <c r="Q6377">
        <v>8.4011329999999996E-4</v>
      </c>
      <c r="R6377">
        <v>0.99995449999999997</v>
      </c>
      <c r="S6377">
        <v>0.31835940000000001</v>
      </c>
      <c r="T6377">
        <v>-0.29318270000000002</v>
      </c>
      <c r="U6377">
        <v>3.002319</v>
      </c>
      <c r="V6377">
        <v>-8.4859669999999901E-3</v>
      </c>
      <c r="W6377">
        <v>1.5214159999999999E-2</v>
      </c>
      <c r="X6377">
        <v>0.99984819999999996</v>
      </c>
      <c r="Y6377">
        <v>0.1059841</v>
      </c>
      <c r="Z6377">
        <v>-9.6647620000000004E-2</v>
      </c>
      <c r="AA6377">
        <v>0.98965979999999998</v>
      </c>
      <c r="AB6377">
        <v>33</v>
      </c>
      <c r="AC6377">
        <v>9.6599999999995106E-2</v>
      </c>
      <c r="AD6377">
        <v>-8.8219999999999896E-2</v>
      </c>
      <c r="AE6377">
        <v>0.55973000000000095</v>
      </c>
      <c r="AF6377">
        <v>9.4891295683882507E-2</v>
      </c>
      <c r="AG6377">
        <v>-8.8219999999999896E-2</v>
      </c>
      <c r="AH6377">
        <v>0.54644760339365295</v>
      </c>
      <c r="AI6377">
        <v>99.037884809401902</v>
      </c>
      <c r="AJ6377">
        <v>80.1487543993385</v>
      </c>
      <c r="AK6377">
        <v>0.56159781841744405</v>
      </c>
    </row>
    <row r="6378" spans="1:37" x14ac:dyDescent="0.2">
      <c r="A6378" t="str">
        <f>"20200111160343743"</f>
        <v>20200111160343743</v>
      </c>
      <c r="B6378" t="str">
        <f>"1578729823739526"</f>
        <v>1578729823739526</v>
      </c>
      <c r="C6378" t="s">
        <v>37</v>
      </c>
      <c r="D6378">
        <v>5.1190429999999996</v>
      </c>
      <c r="E6378">
        <v>0.55067060000000001</v>
      </c>
      <c r="F6378" t="s">
        <v>42</v>
      </c>
      <c r="G6378">
        <v>-187.9631</v>
      </c>
      <c r="H6378">
        <v>1.0219959999999999</v>
      </c>
      <c r="I6378">
        <v>67.984089999999995</v>
      </c>
      <c r="J6378">
        <v>-188.05969999999999</v>
      </c>
      <c r="K6378">
        <v>1.104857</v>
      </c>
      <c r="L6378">
        <v>67.464359999999999</v>
      </c>
      <c r="M6378">
        <v>-1.5228869999999999E-3</v>
      </c>
      <c r="N6378">
        <v>0</v>
      </c>
      <c r="O6378">
        <v>0.99989530000000004</v>
      </c>
      <c r="P6378">
        <v>-1.124587E-2</v>
      </c>
      <c r="Q6378">
        <v>1.8387289999999899E-3</v>
      </c>
      <c r="R6378">
        <v>0.99993509999999997</v>
      </c>
      <c r="S6378">
        <v>0.33680729999999998</v>
      </c>
      <c r="T6378">
        <v>-0.2918501</v>
      </c>
      <c r="U6378">
        <v>3.003571</v>
      </c>
      <c r="V6378">
        <v>-9.7387429999999994E-3</v>
      </c>
      <c r="W6378">
        <v>1.621968E-2</v>
      </c>
      <c r="X6378">
        <v>0.99982099999999996</v>
      </c>
      <c r="Y6378">
        <v>0.1124348</v>
      </c>
      <c r="Z6378">
        <v>-9.6107040000000005E-2</v>
      </c>
      <c r="AA6378">
        <v>0.9890004</v>
      </c>
      <c r="AB6378">
        <v>33</v>
      </c>
      <c r="AC6378">
        <v>9.6599999999995106E-2</v>
      </c>
      <c r="AD6378">
        <v>-8.2861000000000004E-2</v>
      </c>
      <c r="AE6378">
        <v>0.51973000000000902</v>
      </c>
      <c r="AF6378">
        <v>9.5055989306392197E-2</v>
      </c>
      <c r="AG6378">
        <v>-8.2861000000000004E-2</v>
      </c>
      <c r="AH6378">
        <v>0.507122563044207</v>
      </c>
      <c r="AI6378">
        <v>99.123655079474005</v>
      </c>
      <c r="AJ6378">
        <v>79.3835635813913</v>
      </c>
      <c r="AK6378">
        <v>0.52256567087069805</v>
      </c>
    </row>
    <row r="6379" spans="1:37" x14ac:dyDescent="0.2">
      <c r="A6379" t="str">
        <f>"20200111160343765"</f>
        <v>20200111160343765</v>
      </c>
      <c r="B6379" t="str">
        <f>"1578729823760022"</f>
        <v>1578729823760022</v>
      </c>
      <c r="C6379" t="s">
        <v>37</v>
      </c>
      <c r="D6379">
        <v>5.0030669999999997</v>
      </c>
      <c r="E6379">
        <v>0.55165640000000005</v>
      </c>
      <c r="F6379" t="s">
        <v>42</v>
      </c>
      <c r="G6379">
        <v>-187.96440000000001</v>
      </c>
      <c r="H6379">
        <v>1.027164</v>
      </c>
      <c r="I6379">
        <v>68.276730000000001</v>
      </c>
      <c r="J6379">
        <v>-188.0608</v>
      </c>
      <c r="K6379">
        <v>1.1048849999999999</v>
      </c>
      <c r="L6379">
        <v>67.796199999999999</v>
      </c>
      <c r="M6379">
        <v>-2.0008600000000001E-3</v>
      </c>
      <c r="N6379">
        <v>0</v>
      </c>
      <c r="O6379">
        <v>0.99989380000000005</v>
      </c>
      <c r="P6379">
        <v>-1.2488930000000001E-2</v>
      </c>
      <c r="Q6379">
        <v>3.7913079999999902E-3</v>
      </c>
      <c r="R6379">
        <v>0.99991479999999999</v>
      </c>
      <c r="S6379">
        <v>0.35214229999999902</v>
      </c>
      <c r="T6379">
        <v>-0.28739359999999903</v>
      </c>
      <c r="U6379">
        <v>3.0046689999999998</v>
      </c>
      <c r="V6379">
        <v>-1.050595E-2</v>
      </c>
      <c r="W6379">
        <v>1.8217819999999999E-2</v>
      </c>
      <c r="X6379">
        <v>0.99977890000000003</v>
      </c>
      <c r="Y6379">
        <v>0.11786729999999999</v>
      </c>
      <c r="Z6379">
        <v>-9.4561599999999996E-2</v>
      </c>
      <c r="AA6379">
        <v>0.98851669999999903</v>
      </c>
      <c r="AB6379">
        <v>32</v>
      </c>
      <c r="AC6379">
        <v>9.6399999999988495E-2</v>
      </c>
      <c r="AD6379">
        <v>-7.7721000000000096E-2</v>
      </c>
      <c r="AE6379">
        <v>0.48053000000000101</v>
      </c>
      <c r="AF6379">
        <v>9.4973017612972194E-2</v>
      </c>
      <c r="AG6379">
        <v>-7.7721000000000096E-2</v>
      </c>
      <c r="AH6379">
        <v>0.46855305453637303</v>
      </c>
      <c r="AI6379">
        <v>99.233712507381199</v>
      </c>
      <c r="AJ6379">
        <v>78.541711947967002</v>
      </c>
      <c r="AK6379">
        <v>0.484357711645927</v>
      </c>
    </row>
    <row r="6380" spans="1:37" x14ac:dyDescent="0.2">
      <c r="A6380" t="str">
        <f>"20200111160343808"</f>
        <v>20200111160343808</v>
      </c>
      <c r="B6380" t="str">
        <f>"1578729823800038"</f>
        <v>1578729823800038</v>
      </c>
      <c r="C6380" t="s">
        <v>37</v>
      </c>
      <c r="D6380">
        <v>5.1012810000000002</v>
      </c>
      <c r="E6380">
        <v>0.55313710000000005</v>
      </c>
      <c r="F6380" t="s">
        <v>42</v>
      </c>
      <c r="G6380">
        <v>-187.96889999999999</v>
      </c>
      <c r="H6380">
        <v>1.0327360000000001</v>
      </c>
      <c r="I6380">
        <v>68.569050000000004</v>
      </c>
      <c r="J6380">
        <v>-188.06309999999999</v>
      </c>
      <c r="K6380">
        <v>1.1049799999999901</v>
      </c>
      <c r="L6380">
        <v>68.415859999999995</v>
      </c>
      <c r="M6380">
        <v>-2.8769970000000001E-3</v>
      </c>
      <c r="N6380">
        <v>0</v>
      </c>
      <c r="O6380">
        <v>0.99988699999999997</v>
      </c>
      <c r="P6380">
        <v>-1.242446E-2</v>
      </c>
      <c r="Q6380">
        <v>7.2611669999999998E-3</v>
      </c>
      <c r="R6380">
        <v>0.99989649999999997</v>
      </c>
      <c r="S6380">
        <v>0.35659790000000002</v>
      </c>
      <c r="T6380">
        <v>-0.28066439999999998</v>
      </c>
      <c r="U6380">
        <v>3.0057680000000002</v>
      </c>
      <c r="V6380">
        <v>-9.5689150000000008E-3</v>
      </c>
      <c r="W6380">
        <v>2.200504E-2</v>
      </c>
      <c r="X6380">
        <v>0.99971200000000005</v>
      </c>
      <c r="Y6380">
        <v>0.12016540000000001</v>
      </c>
      <c r="Z6380">
        <v>-9.2312489999999997E-2</v>
      </c>
      <c r="AA6380">
        <v>0.98845269999999996</v>
      </c>
      <c r="AB6380">
        <v>32</v>
      </c>
      <c r="AC6380">
        <v>9.42000000000007E-2</v>
      </c>
      <c r="AD6380">
        <v>-7.2243999999999697E-2</v>
      </c>
      <c r="AE6380">
        <v>0.15319000000000901</v>
      </c>
      <c r="AF6380">
        <v>8.1489519320855297E-2</v>
      </c>
      <c r="AG6380">
        <v>-7.2243999999999697E-2</v>
      </c>
      <c r="AH6380">
        <v>0.13166937802197201</v>
      </c>
      <c r="AI6380">
        <v>115.011547992994</v>
      </c>
      <c r="AJ6380">
        <v>58.2468422605996</v>
      </c>
      <c r="AK6380">
        <v>0.17087001610533301</v>
      </c>
    </row>
    <row r="6381" spans="1:37" x14ac:dyDescent="0.2">
      <c r="A6381" t="str">
        <f>"20200111160343832"</f>
        <v>20200111160343832</v>
      </c>
      <c r="B6381" t="str">
        <f>"1578729823829318"</f>
        <v>1578729823829318</v>
      </c>
      <c r="C6381" t="s">
        <v>37</v>
      </c>
      <c r="D6381">
        <v>5.1717820000000003</v>
      </c>
      <c r="E6381">
        <v>0.55369330000000005</v>
      </c>
      <c r="F6381" t="s">
        <v>42</v>
      </c>
      <c r="G6381">
        <v>-187.97309999999999</v>
      </c>
      <c r="H6381">
        <v>1.0386709999999999</v>
      </c>
      <c r="I6381">
        <v>69.149050000000003</v>
      </c>
      <c r="J6381">
        <v>-188.06469999999999</v>
      </c>
      <c r="K6381">
        <v>1.1050229999999901</v>
      </c>
      <c r="L6381">
        <v>68.751559999999998</v>
      </c>
      <c r="M6381">
        <v>-3.354564E-3</v>
      </c>
      <c r="N6381">
        <v>0</v>
      </c>
      <c r="O6381">
        <v>0.99988180000000004</v>
      </c>
      <c r="P6381">
        <v>-1.2081389999999999E-2</v>
      </c>
      <c r="Q6381">
        <v>7.5578329999999999E-3</v>
      </c>
      <c r="R6381">
        <v>0.99989839999999997</v>
      </c>
      <c r="S6381">
        <v>0.36853029999999998</v>
      </c>
      <c r="T6381">
        <v>-0.27201500000000001</v>
      </c>
      <c r="U6381">
        <v>3.006866</v>
      </c>
      <c r="V6381">
        <v>-8.748881E-3</v>
      </c>
      <c r="W6381">
        <v>2.2553739999999999E-2</v>
      </c>
      <c r="X6381">
        <v>0.99970729999999997</v>
      </c>
      <c r="Y6381">
        <v>0.1244946</v>
      </c>
      <c r="Z6381">
        <v>-8.9413610000000004E-2</v>
      </c>
      <c r="AA6381">
        <v>0.98818329999999999</v>
      </c>
      <c r="AB6381">
        <v>32</v>
      </c>
      <c r="AC6381">
        <v>9.1599999999999598E-2</v>
      </c>
      <c r="AD6381">
        <v>-6.6351999999999897E-2</v>
      </c>
      <c r="AE6381">
        <v>0.39749000000000401</v>
      </c>
      <c r="AF6381">
        <v>9.0537452634202306E-2</v>
      </c>
      <c r="AG6381">
        <v>-6.6351999999999897E-2</v>
      </c>
      <c r="AH6381">
        <v>0.38694210487492697</v>
      </c>
      <c r="AI6381">
        <v>99.479131115392903</v>
      </c>
      <c r="AJ6381">
        <v>76.830740796767103</v>
      </c>
      <c r="AK6381">
        <v>0.402894292288348</v>
      </c>
    </row>
    <row r="6382" spans="1:37" x14ac:dyDescent="0.2">
      <c r="A6382" t="str">
        <f>"20200111160343875"</f>
        <v>20200111160343875</v>
      </c>
      <c r="B6382" t="str">
        <f>"1578729823869336"</f>
        <v>1578729823869336</v>
      </c>
      <c r="C6382" t="s">
        <v>37</v>
      </c>
      <c r="D6382">
        <v>5.1772580000000001</v>
      </c>
      <c r="E6382">
        <v>0.55449159999999997</v>
      </c>
      <c r="F6382" t="s">
        <v>42</v>
      </c>
      <c r="G6382">
        <v>-187.94489999999999</v>
      </c>
      <c r="H6382">
        <v>1.0180009999999999</v>
      </c>
      <c r="I6382">
        <v>69.713290000000001</v>
      </c>
      <c r="J6382">
        <v>-188.06780000000001</v>
      </c>
      <c r="K6382">
        <v>1.1051040000000001</v>
      </c>
      <c r="L6382">
        <v>69.364069999999998</v>
      </c>
      <c r="M6382">
        <v>-4.2378520000000003E-3</v>
      </c>
      <c r="N6382">
        <v>0</v>
      </c>
      <c r="O6382">
        <v>0.9998705</v>
      </c>
      <c r="P6382">
        <v>-1.007765E-2</v>
      </c>
      <c r="Q6382">
        <v>6.0047619999999899E-3</v>
      </c>
      <c r="R6382">
        <v>0.99993120000000002</v>
      </c>
      <c r="S6382">
        <v>0.37382509999999902</v>
      </c>
      <c r="T6382">
        <v>-0.27212609999999998</v>
      </c>
      <c r="U6382">
        <v>3.006866</v>
      </c>
      <c r="V6382">
        <v>-5.8597160000000001E-3</v>
      </c>
      <c r="W6382">
        <v>2.1525450000000002E-2</v>
      </c>
      <c r="X6382">
        <v>0.99975119999999895</v>
      </c>
      <c r="Y6382">
        <v>0.12708449999999999</v>
      </c>
      <c r="Z6382">
        <v>-8.9425099999999993E-2</v>
      </c>
      <c r="AA6382">
        <v>0.98785259999999997</v>
      </c>
      <c r="AB6382">
        <v>32</v>
      </c>
      <c r="AC6382">
        <v>0.122900000000015</v>
      </c>
      <c r="AD6382">
        <v>-8.7103000000000097E-2</v>
      </c>
      <c r="AE6382">
        <v>0.34922000000000197</v>
      </c>
      <c r="AF6382">
        <v>0.11785512062891</v>
      </c>
      <c r="AG6382">
        <v>-8.7103000000000097E-2</v>
      </c>
      <c r="AH6382">
        <v>0.33040625635514298</v>
      </c>
      <c r="AI6382">
        <v>103.94457215915</v>
      </c>
      <c r="AJ6382">
        <v>70.368804285478305</v>
      </c>
      <c r="AK6382">
        <v>0.36144855277905802</v>
      </c>
    </row>
    <row r="6383" spans="1:37" x14ac:dyDescent="0.2">
      <c r="A6383" t="str">
        <f>"20200111160343897"</f>
        <v>20200111160343897</v>
      </c>
      <c r="B6383" t="str">
        <f>"1578729823889832"</f>
        <v>1578729823889832</v>
      </c>
      <c r="C6383" t="s">
        <v>37</v>
      </c>
      <c r="D6383">
        <v>5.1990080000000001</v>
      </c>
      <c r="E6383">
        <v>0.5548843</v>
      </c>
      <c r="F6383" t="s">
        <v>42</v>
      </c>
      <c r="G6383">
        <v>-187.94970000000001</v>
      </c>
      <c r="H6383">
        <v>1.018902</v>
      </c>
      <c r="I6383">
        <v>70.284169999999904</v>
      </c>
      <c r="J6383">
        <v>-188.06970000000001</v>
      </c>
      <c r="K6383">
        <v>1.1051530000000001</v>
      </c>
      <c r="L6383">
        <v>69.688450000000003</v>
      </c>
      <c r="M6383">
        <v>-4.7090980000000001E-3</v>
      </c>
      <c r="N6383">
        <v>0</v>
      </c>
      <c r="O6383">
        <v>0.99986359999999996</v>
      </c>
      <c r="P6383">
        <v>-8.8891830000000002E-3</v>
      </c>
      <c r="Q6383">
        <v>6.0734500000000002E-3</v>
      </c>
      <c r="R6383">
        <v>0.99994209999999994</v>
      </c>
      <c r="S6383">
        <v>0.38549800000000001</v>
      </c>
      <c r="T6383">
        <v>-0.2816399</v>
      </c>
      <c r="U6383">
        <v>3.005798</v>
      </c>
      <c r="V6383">
        <v>-4.1997409999999999E-3</v>
      </c>
      <c r="W6383">
        <v>2.1902069999999999E-2</v>
      </c>
      <c r="X6383">
        <v>0.99975130000000001</v>
      </c>
      <c r="Y6383">
        <v>0.13133399999999901</v>
      </c>
      <c r="Z6383">
        <v>-9.2509040000000001E-2</v>
      </c>
      <c r="AA6383">
        <v>0.98701240000000001</v>
      </c>
      <c r="AB6383">
        <v>32</v>
      </c>
      <c r="AC6383">
        <v>0.12000000000000401</v>
      </c>
      <c r="AD6383">
        <v>-8.6250999999999994E-2</v>
      </c>
      <c r="AE6383">
        <v>0.59571999999998504</v>
      </c>
      <c r="AF6383">
        <v>0.12037927024473501</v>
      </c>
      <c r="AG6383">
        <v>-8.6250999999999994E-2</v>
      </c>
      <c r="AH6383">
        <v>0.58339565752753397</v>
      </c>
      <c r="AI6383">
        <v>98.238757233889203</v>
      </c>
      <c r="AJ6383">
        <v>78.341080441705401</v>
      </c>
      <c r="AK6383">
        <v>0.60189774623904202</v>
      </c>
    </row>
    <row r="6384" spans="1:37" x14ac:dyDescent="0.2">
      <c r="A6384" t="str">
        <f>"20200111160343920"</f>
        <v>20200111160343920</v>
      </c>
      <c r="B6384" t="str">
        <f>"1578729823909350"</f>
        <v>1578729823909350</v>
      </c>
      <c r="C6384" t="s">
        <v>37</v>
      </c>
      <c r="D6384">
        <v>5.2270880000000002</v>
      </c>
      <c r="E6384">
        <v>0.55520649999999905</v>
      </c>
      <c r="F6384" t="s">
        <v>42</v>
      </c>
      <c r="G6384">
        <v>-187.9547</v>
      </c>
      <c r="H6384">
        <v>1.022273</v>
      </c>
      <c r="I6384">
        <v>70.569599999999994</v>
      </c>
      <c r="J6384">
        <v>-188.07169999999999</v>
      </c>
      <c r="K6384">
        <v>1.1051930000000001</v>
      </c>
      <c r="L6384">
        <v>70.001459999999994</v>
      </c>
      <c r="M6384">
        <v>-5.1619420000000001E-3</v>
      </c>
      <c r="N6384">
        <v>0</v>
      </c>
      <c r="O6384">
        <v>0.99985669999999904</v>
      </c>
      <c r="P6384">
        <v>-8.3640769999999993E-3</v>
      </c>
      <c r="Q6384">
        <v>6.7856660000000001E-3</v>
      </c>
      <c r="R6384">
        <v>0.999942</v>
      </c>
      <c r="S6384">
        <v>0.39215090000000002</v>
      </c>
      <c r="T6384">
        <v>-0.28270380000000001</v>
      </c>
      <c r="U6384">
        <v>3.0053709999999998</v>
      </c>
      <c r="V6384">
        <v>-3.2228690000000002E-3</v>
      </c>
      <c r="W6384">
        <v>2.2908890000000001E-2</v>
      </c>
      <c r="X6384">
        <v>0.99973239999999997</v>
      </c>
      <c r="Y6384">
        <v>0.13394510000000001</v>
      </c>
      <c r="Z6384">
        <v>-9.2838779999999996E-2</v>
      </c>
      <c r="AA6384">
        <v>0.98663040000000002</v>
      </c>
      <c r="AB6384">
        <v>32</v>
      </c>
      <c r="AC6384">
        <v>0.11699999999999</v>
      </c>
      <c r="AD6384">
        <v>-8.2920000000000105E-2</v>
      </c>
      <c r="AE6384">
        <v>0.56813999999999898</v>
      </c>
      <c r="AF6384">
        <v>0.11752983361330099</v>
      </c>
      <c r="AG6384">
        <v>-8.2920000000000105E-2</v>
      </c>
      <c r="AH6384">
        <v>0.55616333768705495</v>
      </c>
      <c r="AI6384">
        <v>98.299278407921406</v>
      </c>
      <c r="AJ6384">
        <v>78.067666366842801</v>
      </c>
      <c r="AK6384">
        <v>0.57446204955277502</v>
      </c>
    </row>
    <row r="6385" spans="1:37" x14ac:dyDescent="0.2">
      <c r="A6385" t="str">
        <f>"20200111160343942"</f>
        <v>20200111160343942</v>
      </c>
      <c r="B6385" t="str">
        <f>"1578729823939605"</f>
        <v>1578729823939605</v>
      </c>
      <c r="C6385" t="s">
        <v>37</v>
      </c>
      <c r="D6385">
        <v>5.1987740000000002</v>
      </c>
      <c r="E6385">
        <v>0.55564930000000001</v>
      </c>
      <c r="F6385" t="s">
        <v>42</v>
      </c>
      <c r="G6385">
        <v>-187.95910000000001</v>
      </c>
      <c r="H6385">
        <v>1.025169</v>
      </c>
      <c r="I6385">
        <v>70.853809999999996</v>
      </c>
      <c r="J6385">
        <v>-188.07400000000001</v>
      </c>
      <c r="K6385">
        <v>1.1052329999999999</v>
      </c>
      <c r="L6385">
        <v>70.325869999999995</v>
      </c>
      <c r="M6385">
        <v>-5.6290840000000003E-3</v>
      </c>
      <c r="N6385">
        <v>0</v>
      </c>
      <c r="O6385">
        <v>0.99984930000000005</v>
      </c>
      <c r="P6385">
        <v>-8.0195990000000005E-3</v>
      </c>
      <c r="Q6385">
        <v>7.1190940000000003E-3</v>
      </c>
      <c r="R6385">
        <v>0.99994249999999996</v>
      </c>
      <c r="S6385">
        <v>0.39660640000000003</v>
      </c>
      <c r="T6385">
        <v>-0.28221679999999999</v>
      </c>
      <c r="U6385">
        <v>3.0054020000000001</v>
      </c>
      <c r="V6385">
        <v>-2.4114739999999998E-3</v>
      </c>
      <c r="W6385">
        <v>2.3536720000000001E-2</v>
      </c>
      <c r="X6385">
        <v>0.99972000000000005</v>
      </c>
      <c r="Y6385">
        <v>0.13584669999999999</v>
      </c>
      <c r="Z6385">
        <v>-9.2658119999999997E-2</v>
      </c>
      <c r="AA6385">
        <v>0.98638740000000003</v>
      </c>
      <c r="AB6385">
        <v>32</v>
      </c>
      <c r="AC6385">
        <v>0.114900000000005</v>
      </c>
      <c r="AD6385">
        <v>-8.0063999999999899E-2</v>
      </c>
      <c r="AE6385">
        <v>0.52794000000000096</v>
      </c>
      <c r="AF6385">
        <v>0.115337731050681</v>
      </c>
      <c r="AG6385">
        <v>-8.0063999999999899E-2</v>
      </c>
      <c r="AH6385">
        <v>0.51595505829450705</v>
      </c>
      <c r="AI6385">
        <v>98.611363355175399</v>
      </c>
      <c r="AJ6385">
        <v>77.399142097331406</v>
      </c>
      <c r="AK6385">
        <v>0.53471736317386198</v>
      </c>
    </row>
    <row r="6386" spans="1:37" x14ac:dyDescent="0.2">
      <c r="A6386" t="str">
        <f>"20200111160343964"</f>
        <v>20200111160343964</v>
      </c>
      <c r="B6386" t="str">
        <f>"1578729823960102"</f>
        <v>1578729823960102</v>
      </c>
      <c r="C6386" t="s">
        <v>37</v>
      </c>
      <c r="D6386">
        <v>5.2068849999999998</v>
      </c>
      <c r="E6386">
        <v>0.55592710000000001</v>
      </c>
      <c r="F6386" t="s">
        <v>42</v>
      </c>
      <c r="G6386">
        <v>-187.96559999999999</v>
      </c>
      <c r="H6386">
        <v>1.0286439999999999</v>
      </c>
      <c r="I6386">
        <v>71.137280000000004</v>
      </c>
      <c r="J6386">
        <v>-188.0761</v>
      </c>
      <c r="K6386">
        <v>1.105261</v>
      </c>
      <c r="L6386">
        <v>70.625150000000005</v>
      </c>
      <c r="M6386">
        <v>-6.0596299999999999E-3</v>
      </c>
      <c r="N6386">
        <v>0</v>
      </c>
      <c r="O6386">
        <v>0.99984249999999997</v>
      </c>
      <c r="P6386">
        <v>-8.6326110000000001E-3</v>
      </c>
      <c r="Q6386">
        <v>7.2225459999999998E-3</v>
      </c>
      <c r="R6386">
        <v>0.99993659999999995</v>
      </c>
      <c r="S6386">
        <v>0.40109250000000002</v>
      </c>
      <c r="T6386">
        <v>-0.2836998</v>
      </c>
      <c r="U6386">
        <v>3.0054020000000001</v>
      </c>
      <c r="V6386">
        <v>-2.5945059999999999E-3</v>
      </c>
      <c r="W6386">
        <v>2.3898530000000001E-2</v>
      </c>
      <c r="X6386">
        <v>0.99971100000000002</v>
      </c>
      <c r="Y6386">
        <v>0.13771420000000001</v>
      </c>
      <c r="Z6386">
        <v>-9.3119279999999999E-2</v>
      </c>
      <c r="AA6386">
        <v>0.98608499999999999</v>
      </c>
      <c r="AB6386">
        <v>32</v>
      </c>
      <c r="AC6386">
        <v>0.110500000000001</v>
      </c>
      <c r="AD6386">
        <v>-7.6616999999999894E-2</v>
      </c>
      <c r="AE6386">
        <v>0.51212999999999897</v>
      </c>
      <c r="AF6386">
        <v>0.111223112506428</v>
      </c>
      <c r="AG6386">
        <v>-7.6616999999999894E-2</v>
      </c>
      <c r="AH6386">
        <v>0.50074208349454896</v>
      </c>
      <c r="AI6386">
        <v>98.495275860182701</v>
      </c>
      <c r="AJ6386">
        <v>77.476961146471893</v>
      </c>
      <c r="AK6386">
        <v>0.51863607628767905</v>
      </c>
    </row>
    <row r="6387" spans="1:37" x14ac:dyDescent="0.2">
      <c r="A6387" t="str">
        <f>"20200111160343987"</f>
        <v>20200111160343987</v>
      </c>
      <c r="B6387" t="str">
        <f>"1578729823979621"</f>
        <v>1578729823979621</v>
      </c>
      <c r="C6387" t="s">
        <v>37</v>
      </c>
      <c r="D6387">
        <v>5.1610820000000004</v>
      </c>
      <c r="E6387">
        <v>0.55621189999999998</v>
      </c>
      <c r="F6387" t="s">
        <v>42</v>
      </c>
      <c r="G6387">
        <v>-187.97</v>
      </c>
      <c r="H6387">
        <v>1.0302209999999901</v>
      </c>
      <c r="I6387">
        <v>71.418880000000001</v>
      </c>
      <c r="J6387">
        <v>-188.07859999999999</v>
      </c>
      <c r="K6387">
        <v>1.105294</v>
      </c>
      <c r="L6387">
        <v>70.942750000000004</v>
      </c>
      <c r="M6387">
        <v>-6.5177960000000002E-3</v>
      </c>
      <c r="N6387">
        <v>0</v>
      </c>
      <c r="O6387">
        <v>0.99983559999999905</v>
      </c>
      <c r="P6387">
        <v>-9.7777269999999999E-3</v>
      </c>
      <c r="Q6387">
        <v>8.0097039999999994E-3</v>
      </c>
      <c r="R6387">
        <v>0.99992009999999898</v>
      </c>
      <c r="S6387">
        <v>0.40148929999999999</v>
      </c>
      <c r="T6387">
        <v>-0.28421089999999999</v>
      </c>
      <c r="U6387">
        <v>3.0057070000000001</v>
      </c>
      <c r="V6387">
        <v>-3.2823009999999901E-3</v>
      </c>
      <c r="W6387">
        <v>2.492629E-2</v>
      </c>
      <c r="X6387">
        <v>0.99968389999999996</v>
      </c>
      <c r="Y6387">
        <v>0.13828089999999901</v>
      </c>
      <c r="Z6387">
        <v>-9.3271370000000006E-2</v>
      </c>
      <c r="AA6387">
        <v>0.98599130000000001</v>
      </c>
      <c r="AB6387">
        <v>32</v>
      </c>
      <c r="AC6387">
        <v>0.10859999999999501</v>
      </c>
      <c r="AD6387">
        <v>-7.5073000000000098E-2</v>
      </c>
      <c r="AE6387">
        <v>0.476129999999997</v>
      </c>
      <c r="AF6387">
        <v>0.10912272570697799</v>
      </c>
      <c r="AG6387">
        <v>-7.5073000000000098E-2</v>
      </c>
      <c r="AH6387">
        <v>0.464436633634216</v>
      </c>
      <c r="AI6387">
        <v>98.942621038593302</v>
      </c>
      <c r="AJ6387">
        <v>76.777773371474098</v>
      </c>
      <c r="AK6387">
        <v>0.48295456438075401</v>
      </c>
    </row>
    <row r="6388" spans="1:37" x14ac:dyDescent="0.2">
      <c r="A6388" t="str">
        <f>"20200111160344010"</f>
        <v>20200111160344010</v>
      </c>
      <c r="B6388" t="str">
        <f>"1578729824000118"</f>
        <v>1578729824000118</v>
      </c>
      <c r="C6388" t="s">
        <v>37</v>
      </c>
      <c r="D6388">
        <v>5.2111739999999998</v>
      </c>
      <c r="E6388">
        <v>0.55650100000000002</v>
      </c>
      <c r="F6388" t="s">
        <v>42</v>
      </c>
      <c r="G6388">
        <v>-187.9776</v>
      </c>
      <c r="H6388">
        <v>1.034044</v>
      </c>
      <c r="I6388">
        <v>71.700550000000007</v>
      </c>
      <c r="J6388">
        <v>-188.0813</v>
      </c>
      <c r="K6388">
        <v>1.1053040000000001</v>
      </c>
      <c r="L6388">
        <v>71.274929999999998</v>
      </c>
      <c r="M6388">
        <v>-6.9979839999999996E-3</v>
      </c>
      <c r="N6388">
        <v>0</v>
      </c>
      <c r="O6388">
        <v>0.99982929999999903</v>
      </c>
      <c r="P6388">
        <v>-1.1464520000000001E-2</v>
      </c>
      <c r="Q6388">
        <v>9.5935900000000008E-3</v>
      </c>
      <c r="R6388">
        <v>0.9998882</v>
      </c>
      <c r="S6388">
        <v>0.40055849999999998</v>
      </c>
      <c r="T6388">
        <v>-0.28266929999999901</v>
      </c>
      <c r="U6388">
        <v>3.0064090000000001</v>
      </c>
      <c r="V6388">
        <v>-4.4904929999999999E-3</v>
      </c>
      <c r="W6388">
        <v>2.6688569999999998E-2</v>
      </c>
      <c r="X6388">
        <v>0.99963369999999996</v>
      </c>
      <c r="Y6388">
        <v>0.1384329</v>
      </c>
      <c r="Z6388">
        <v>-9.2749010000000007E-2</v>
      </c>
      <c r="AA6388">
        <v>0.98601930000000004</v>
      </c>
      <c r="AB6388">
        <v>31</v>
      </c>
      <c r="AC6388">
        <v>0.103700000000003</v>
      </c>
      <c r="AD6388">
        <v>-7.1260000000000101E-2</v>
      </c>
      <c r="AE6388">
        <v>0.42562000000000899</v>
      </c>
      <c r="AF6388">
        <v>0.10392640214961101</v>
      </c>
      <c r="AG6388">
        <v>-7.1260000000000101E-2</v>
      </c>
      <c r="AH6388">
        <v>0.41393083836169398</v>
      </c>
      <c r="AI6388">
        <v>99.4793466090686</v>
      </c>
      <c r="AJ6388">
        <v>75.905968435682595</v>
      </c>
      <c r="AK6388">
        <v>0.43268628775427698</v>
      </c>
    </row>
    <row r="6389" spans="1:37" x14ac:dyDescent="0.2">
      <c r="A6389" t="str">
        <f>"20200111160344031"</f>
        <v>20200111160344031</v>
      </c>
      <c r="B6389" t="str">
        <f>"1578729824019637"</f>
        <v>1578729824019637</v>
      </c>
      <c r="C6389" t="s">
        <v>37</v>
      </c>
      <c r="D6389">
        <v>5.1841860000000004</v>
      </c>
      <c r="E6389">
        <v>0.55673479999999997</v>
      </c>
      <c r="F6389" t="s">
        <v>42</v>
      </c>
      <c r="G6389">
        <v>-187.95230000000001</v>
      </c>
      <c r="H6389">
        <v>1.014918</v>
      </c>
      <c r="I6389">
        <v>72.249189999999999</v>
      </c>
      <c r="J6389">
        <v>-188.0838</v>
      </c>
      <c r="K6389">
        <v>1.1052879999999901</v>
      </c>
      <c r="L6389">
        <v>71.564580000000007</v>
      </c>
      <c r="M6389">
        <v>-7.4142359999999899E-3</v>
      </c>
      <c r="N6389">
        <v>0</v>
      </c>
      <c r="O6389">
        <v>0.99982530000000003</v>
      </c>
      <c r="P6389">
        <v>-1.3257669999999999E-2</v>
      </c>
      <c r="Q6389">
        <v>1.0218720000000001E-2</v>
      </c>
      <c r="R6389">
        <v>0.99985990000000002</v>
      </c>
      <c r="S6389">
        <v>0.3977966</v>
      </c>
      <c r="T6389">
        <v>-0.2790514</v>
      </c>
      <c r="U6389">
        <v>3.007568</v>
      </c>
      <c r="V6389">
        <v>-5.8679350000000003E-3</v>
      </c>
      <c r="W6389">
        <v>2.7369250000000001E-2</v>
      </c>
      <c r="X6389">
        <v>0.99960819999999995</v>
      </c>
      <c r="Y6389">
        <v>0.13792019999999999</v>
      </c>
      <c r="Z6389">
        <v>-9.1545630000000003E-2</v>
      </c>
      <c r="AA6389">
        <v>0.98620359999999996</v>
      </c>
      <c r="AB6389">
        <v>31</v>
      </c>
      <c r="AC6389">
        <v>0.13149999999998799</v>
      </c>
      <c r="AD6389">
        <v>-9.0369999999999798E-2</v>
      </c>
      <c r="AE6389">
        <v>0.68460999999999195</v>
      </c>
      <c r="AF6389">
        <v>0.13431587156341401</v>
      </c>
      <c r="AG6389">
        <v>-9.0369999999999798E-2</v>
      </c>
      <c r="AH6389">
        <v>0.67231804635315595</v>
      </c>
      <c r="AI6389">
        <v>97.5089186194691</v>
      </c>
      <c r="AJ6389">
        <v>78.702174182626493</v>
      </c>
      <c r="AK6389">
        <v>0.69153383554672498</v>
      </c>
    </row>
    <row r="6390" spans="1:37" x14ac:dyDescent="0.2">
      <c r="A6390" t="str">
        <f>"20200111160344053"</f>
        <v>20200111160344053</v>
      </c>
      <c r="B6390" t="str">
        <f>"1578729824049455"</f>
        <v>1578729824049455</v>
      </c>
      <c r="C6390" t="s">
        <v>37</v>
      </c>
      <c r="D6390">
        <v>5.1929550000000004</v>
      </c>
      <c r="E6390">
        <v>0.55717439999999996</v>
      </c>
      <c r="F6390" t="s">
        <v>42</v>
      </c>
      <c r="G6390">
        <v>-187.95740000000001</v>
      </c>
      <c r="H6390">
        <v>1.016151</v>
      </c>
      <c r="I6390">
        <v>72.527659999999997</v>
      </c>
      <c r="J6390">
        <v>-188.0866</v>
      </c>
      <c r="K6390">
        <v>1.10524</v>
      </c>
      <c r="L6390">
        <v>71.870359999999906</v>
      </c>
      <c r="M6390">
        <v>-7.8577549999999993E-3</v>
      </c>
      <c r="N6390">
        <v>0</v>
      </c>
      <c r="O6390">
        <v>0.99982329999999997</v>
      </c>
      <c r="P6390">
        <v>-1.5192550000000001E-2</v>
      </c>
      <c r="Q6390">
        <v>1.097543E-2</v>
      </c>
      <c r="R6390">
        <v>0.9998243</v>
      </c>
      <c r="S6390">
        <v>0.39424130000000002</v>
      </c>
      <c r="T6390">
        <v>-0.27849559999999901</v>
      </c>
      <c r="U6390">
        <v>3.0084840000000002</v>
      </c>
      <c r="V6390">
        <v>-7.3601839999999997E-3</v>
      </c>
      <c r="W6390">
        <v>2.8040849999999999E-2</v>
      </c>
      <c r="X6390">
        <v>0.99957969999999896</v>
      </c>
      <c r="Y6390">
        <v>0.1371772</v>
      </c>
      <c r="Z6390">
        <v>-9.1348719999999994E-2</v>
      </c>
      <c r="AA6390">
        <v>0.98632540000000002</v>
      </c>
      <c r="AB6390">
        <v>31</v>
      </c>
      <c r="AC6390">
        <v>0.12919999999999701</v>
      </c>
      <c r="AD6390">
        <v>-8.9088999999999904E-2</v>
      </c>
      <c r="AE6390">
        <v>0.65730000000000599</v>
      </c>
      <c r="AF6390">
        <v>0.13202649616124101</v>
      </c>
      <c r="AG6390">
        <v>-8.9088999999999904E-2</v>
      </c>
      <c r="AH6390">
        <v>0.64485863415632305</v>
      </c>
      <c r="AI6390">
        <v>97.707872865743497</v>
      </c>
      <c r="AJ6390">
        <v>78.429329278217693</v>
      </c>
      <c r="AK6390">
        <v>0.66423678282339405</v>
      </c>
    </row>
    <row r="6391" spans="1:37" x14ac:dyDescent="0.2">
      <c r="A6391" t="str">
        <f>"20200111160344075"</f>
        <v>20200111160344075</v>
      </c>
      <c r="B6391" t="str">
        <f>"1578729824069952"</f>
        <v>1578729824069952</v>
      </c>
      <c r="C6391" t="s">
        <v>37</v>
      </c>
      <c r="D6391">
        <v>5.1563780000000001</v>
      </c>
      <c r="E6391">
        <v>0.55743319999999996</v>
      </c>
      <c r="F6391" t="s">
        <v>42</v>
      </c>
      <c r="G6391">
        <v>-187.96449999999999</v>
      </c>
      <c r="H6391">
        <v>1.018999</v>
      </c>
      <c r="I6391">
        <v>72.8065</v>
      </c>
      <c r="J6391">
        <v>-188.08949999999999</v>
      </c>
      <c r="K6391">
        <v>1.105175</v>
      </c>
      <c r="L6391">
        <v>72.179259999999999</v>
      </c>
      <c r="M6391">
        <v>-8.3084749999999992E-3</v>
      </c>
      <c r="N6391">
        <v>0</v>
      </c>
      <c r="O6391">
        <v>0.99982260000000001</v>
      </c>
      <c r="P6391">
        <v>-1.7163899999999999E-2</v>
      </c>
      <c r="Q6391">
        <v>1.161158E-2</v>
      </c>
      <c r="R6391">
        <v>0.99978519999999904</v>
      </c>
      <c r="S6391">
        <v>0.39201350000000001</v>
      </c>
      <c r="T6391">
        <v>-0.277285</v>
      </c>
      <c r="U6391">
        <v>3.0095209999999999</v>
      </c>
      <c r="V6391">
        <v>-8.8810050000000008E-3</v>
      </c>
      <c r="W6391">
        <v>2.8504149999999999E-2</v>
      </c>
      <c r="X6391">
        <v>0.99955419999999995</v>
      </c>
      <c r="Y6391">
        <v>0.13686689999999899</v>
      </c>
      <c r="Z6391">
        <v>-9.0929910000000003E-2</v>
      </c>
      <c r="AA6391">
        <v>0.98640720000000004</v>
      </c>
      <c r="AB6391">
        <v>31</v>
      </c>
      <c r="AC6391">
        <v>0.125</v>
      </c>
      <c r="AD6391">
        <v>-8.6176000000000003E-2</v>
      </c>
      <c r="AE6391">
        <v>0.62724000000000002</v>
      </c>
      <c r="AF6391">
        <v>0.127886093223161</v>
      </c>
      <c r="AG6391">
        <v>-8.6176000000000003E-2</v>
      </c>
      <c r="AH6391">
        <v>0.61501419022503501</v>
      </c>
      <c r="AI6391">
        <v>97.811409476402403</v>
      </c>
      <c r="AJ6391">
        <v>78.253307855608895</v>
      </c>
      <c r="AK6391">
        <v>0.63405331794261499</v>
      </c>
    </row>
    <row r="6392" spans="1:37" x14ac:dyDescent="0.2">
      <c r="A6392" t="str">
        <f>"20200111160344100"</f>
        <v>20200111160344100</v>
      </c>
      <c r="B6392" t="str">
        <f>"1578729824089471"</f>
        <v>1578729824089471</v>
      </c>
      <c r="C6392" t="s">
        <v>37</v>
      </c>
      <c r="D6392">
        <v>5.1755250000000004</v>
      </c>
      <c r="E6392">
        <v>0.55775620000000004</v>
      </c>
      <c r="F6392" t="s">
        <v>42</v>
      </c>
      <c r="G6392">
        <v>-187.9725</v>
      </c>
      <c r="H6392">
        <v>1.022224</v>
      </c>
      <c r="I6392">
        <v>73.085139999999996</v>
      </c>
      <c r="J6392">
        <v>-188.09289999999999</v>
      </c>
      <c r="K6392">
        <v>1.1050990000000001</v>
      </c>
      <c r="L6392">
        <v>72.511469999999903</v>
      </c>
      <c r="M6392">
        <v>-8.7961949999999997E-3</v>
      </c>
      <c r="N6392">
        <v>0</v>
      </c>
      <c r="O6392">
        <v>0.99982229999999905</v>
      </c>
      <c r="P6392">
        <v>-1.8880580000000001E-2</v>
      </c>
      <c r="Q6392">
        <v>1.132669E-2</v>
      </c>
      <c r="R6392">
        <v>0.99975759999999902</v>
      </c>
      <c r="S6392">
        <v>0.38851929999999901</v>
      </c>
      <c r="T6392">
        <v>-0.27572269999999999</v>
      </c>
      <c r="U6392">
        <v>3.0104980000000001</v>
      </c>
      <c r="V6392">
        <v>-1.0109409999999999E-2</v>
      </c>
      <c r="W6392">
        <v>2.798985E-2</v>
      </c>
      <c r="X6392">
        <v>0.99955709999999998</v>
      </c>
      <c r="Y6392">
        <v>0.13618920000000001</v>
      </c>
      <c r="Z6392">
        <v>-9.0403300000000006E-2</v>
      </c>
      <c r="AA6392">
        <v>0.98654940000000002</v>
      </c>
      <c r="AB6392">
        <v>31</v>
      </c>
      <c r="AC6392">
        <v>0.120399999999989</v>
      </c>
      <c r="AD6392">
        <v>-8.2875000000000004E-2</v>
      </c>
      <c r="AE6392">
        <v>0.57367000000000701</v>
      </c>
      <c r="AF6392">
        <v>0.12298376971233201</v>
      </c>
      <c r="AG6392">
        <v>-8.2875000000000004E-2</v>
      </c>
      <c r="AH6392">
        <v>0.56136713483728296</v>
      </c>
      <c r="AI6392">
        <v>98.206077634530899</v>
      </c>
      <c r="AJ6392">
        <v>77.642922603430307</v>
      </c>
      <c r="AK6392">
        <v>0.58062581178679595</v>
      </c>
    </row>
    <row r="6393" spans="1:37" x14ac:dyDescent="0.2">
      <c r="A6393" t="str">
        <f>"20200111160344123"</f>
        <v>20200111160344123</v>
      </c>
      <c r="B6393" t="str">
        <f>"1578729824119727"</f>
        <v>1578729824119727</v>
      </c>
      <c r="C6393" t="s">
        <v>37</v>
      </c>
      <c r="D6393">
        <v>4.9597579999999999</v>
      </c>
      <c r="E6393">
        <v>0.55775699999999995</v>
      </c>
      <c r="F6393" t="s">
        <v>42</v>
      </c>
      <c r="G6393">
        <v>-187.98349999999999</v>
      </c>
      <c r="H6393">
        <v>1.0265949999999999</v>
      </c>
      <c r="I6393">
        <v>73.363959999999906</v>
      </c>
      <c r="J6393">
        <v>-188.09630000000001</v>
      </c>
      <c r="K6393">
        <v>1.1050260000000001</v>
      </c>
      <c r="L6393">
        <v>72.837190000000007</v>
      </c>
      <c r="M6393">
        <v>-9.2773990000000004E-3</v>
      </c>
      <c r="N6393">
        <v>0</v>
      </c>
      <c r="O6393">
        <v>0.99982179999999998</v>
      </c>
      <c r="P6393">
        <v>-2.0230140000000001E-2</v>
      </c>
      <c r="Q6393">
        <v>9.6035210000000003E-3</v>
      </c>
      <c r="R6393">
        <v>0.9997492</v>
      </c>
      <c r="S6393">
        <v>0.38607789999999997</v>
      </c>
      <c r="T6393">
        <v>-0.2773196</v>
      </c>
      <c r="U6393">
        <v>3.01116899999999</v>
      </c>
      <c r="V6393">
        <v>-1.097601E-2</v>
      </c>
      <c r="W6393">
        <v>2.602838E-2</v>
      </c>
      <c r="X6393">
        <v>0.99960090000000001</v>
      </c>
      <c r="Y6393">
        <v>0.1358453</v>
      </c>
      <c r="Z6393">
        <v>-9.0908790000000003E-2</v>
      </c>
      <c r="AA6393">
        <v>0.98655040000000005</v>
      </c>
      <c r="AB6393">
        <v>31</v>
      </c>
      <c r="AC6393">
        <v>0.11280000000002099</v>
      </c>
      <c r="AD6393">
        <v>-7.8430999999999904E-2</v>
      </c>
      <c r="AE6393">
        <v>0.52676999999998397</v>
      </c>
      <c r="AF6393">
        <v>0.115240181545333</v>
      </c>
      <c r="AG6393">
        <v>-7.8430999999999904E-2</v>
      </c>
      <c r="AH6393">
        <v>0.51478900999117005</v>
      </c>
      <c r="AI6393">
        <v>98.456553719053005</v>
      </c>
      <c r="AJ6393">
        <v>77.381853040862893</v>
      </c>
      <c r="AK6393">
        <v>0.53332864728166496</v>
      </c>
    </row>
    <row r="6394" spans="1:37" x14ac:dyDescent="0.2">
      <c r="A6394" t="str">
        <f>"20200111160344145"</f>
        <v>20200111160344145</v>
      </c>
      <c r="B6394" t="str">
        <f>"1578729824139885"</f>
        <v>1578729824139885</v>
      </c>
      <c r="C6394" t="s">
        <v>37</v>
      </c>
      <c r="D6394">
        <v>5.151484</v>
      </c>
      <c r="E6394">
        <v>0.4952666</v>
      </c>
      <c r="F6394" t="s">
        <v>42</v>
      </c>
      <c r="G6394">
        <v>-187.9941</v>
      </c>
      <c r="H6394">
        <v>1.0293239999999999</v>
      </c>
      <c r="I6394">
        <v>73.641649999999998</v>
      </c>
      <c r="J6394">
        <v>-188.09970000000001</v>
      </c>
      <c r="K6394">
        <v>1.1049789999999999</v>
      </c>
      <c r="L6394">
        <v>73.148069999999905</v>
      </c>
      <c r="M6394">
        <v>-9.7379990000000007E-3</v>
      </c>
      <c r="N6394">
        <v>0</v>
      </c>
      <c r="O6394">
        <v>0.99982119999999997</v>
      </c>
      <c r="P6394">
        <v>-2.1676730000000002E-2</v>
      </c>
      <c r="Q6394">
        <v>8.8004829999999996E-3</v>
      </c>
      <c r="R6394">
        <v>0.99972629999999996</v>
      </c>
      <c r="S6394">
        <v>0.38180540000000002</v>
      </c>
      <c r="T6394">
        <v>-0.28340939999999998</v>
      </c>
      <c r="U6394">
        <v>3.0112000000000001</v>
      </c>
      <c r="V6394">
        <v>-1.1961080000000001E-2</v>
      </c>
      <c r="W6394">
        <v>2.49977999999999E-2</v>
      </c>
      <c r="X6394">
        <v>0.99961599999999995</v>
      </c>
      <c r="Y6394">
        <v>0.13489970000000001</v>
      </c>
      <c r="Z6394">
        <v>-9.29006E-2</v>
      </c>
      <c r="AA6394">
        <v>0.98649449999999905</v>
      </c>
      <c r="AB6394">
        <v>31</v>
      </c>
      <c r="AC6394">
        <v>0.10560000000000901</v>
      </c>
      <c r="AD6394">
        <v>-7.5655000000000194E-2</v>
      </c>
      <c r="AE6394">
        <v>0.49358000000000801</v>
      </c>
      <c r="AF6394">
        <v>0.107976326228929</v>
      </c>
      <c r="AG6394">
        <v>-7.5655000000000194E-2</v>
      </c>
      <c r="AH6394">
        <v>0.48170619025398698</v>
      </c>
      <c r="AI6394">
        <v>98.712981949811905</v>
      </c>
      <c r="AJ6394">
        <v>77.365766310343901</v>
      </c>
      <c r="AK6394">
        <v>0.49942308695123999</v>
      </c>
    </row>
    <row r="6395" spans="1:37" x14ac:dyDescent="0.2">
      <c r="A6395" t="str">
        <f>"20200111160344167"</f>
        <v>20200111160344167</v>
      </c>
      <c r="B6395" t="str">
        <f>"1578729824159406"</f>
        <v>1578729824159406</v>
      </c>
      <c r="C6395" t="s">
        <v>37</v>
      </c>
      <c r="D6395">
        <v>5.3242760000000002</v>
      </c>
      <c r="E6395">
        <v>0.49364350000000001</v>
      </c>
      <c r="F6395" t="s">
        <v>38</v>
      </c>
      <c r="G6395">
        <v>-188.87029999999999</v>
      </c>
      <c r="H6395" s="1">
        <v>-1.794417E-6</v>
      </c>
      <c r="I6395">
        <v>93.348500000000001</v>
      </c>
      <c r="J6395">
        <v>-188.10290000000001</v>
      </c>
      <c r="K6395">
        <v>1.104946</v>
      </c>
      <c r="L6395">
        <v>73.435550000000006</v>
      </c>
      <c r="M6395">
        <v>-1.0163169999999999E-2</v>
      </c>
      <c r="N6395">
        <v>0</v>
      </c>
      <c r="O6395">
        <v>0.99982019999999905</v>
      </c>
      <c r="P6395">
        <v>-2.2493229999999999E-2</v>
      </c>
      <c r="Q6395">
        <v>9.3535069999999901E-3</v>
      </c>
      <c r="R6395">
        <v>0.99970319999999901</v>
      </c>
      <c r="S6395">
        <v>-0.114440899999999</v>
      </c>
      <c r="T6395">
        <v>-0.16409089999999901</v>
      </c>
      <c r="U6395">
        <v>2.9997859999999998</v>
      </c>
      <c r="V6395">
        <v>-1.2352780000000001E-2</v>
      </c>
      <c r="W6395">
        <v>2.5348639999999999E-2</v>
      </c>
      <c r="X6395">
        <v>0.999602399999999</v>
      </c>
      <c r="Y6395">
        <v>-2.7906070000000002E-2</v>
      </c>
      <c r="Z6395">
        <v>-5.4584550000000003E-2</v>
      </c>
      <c r="AA6395">
        <v>0.99811909999999904</v>
      </c>
      <c r="AB6395">
        <v>31</v>
      </c>
      <c r="AC6395">
        <v>-0.76739999999997999</v>
      </c>
      <c r="AD6395">
        <v>-1.1049477944170001</v>
      </c>
      <c r="AE6395">
        <v>19.912949999999899</v>
      </c>
      <c r="AF6395">
        <v>-0.56322411700446295</v>
      </c>
      <c r="AG6395">
        <v>-1.1049477944170001</v>
      </c>
      <c r="AH6395">
        <v>19.858666992052999</v>
      </c>
      <c r="AI6395">
        <v>93.183409332039702</v>
      </c>
      <c r="AJ6395">
        <v>91.624566062004504</v>
      </c>
      <c r="AK6395">
        <v>19.8973562499046</v>
      </c>
    </row>
    <row r="6396" spans="1:37" x14ac:dyDescent="0.2">
      <c r="A6396" t="str">
        <f>"20200111160344188"</f>
        <v>20200111160344188</v>
      </c>
      <c r="B6396" t="str">
        <f>"1578729824179901"</f>
        <v>1578729824179901</v>
      </c>
      <c r="C6396" t="s">
        <v>37</v>
      </c>
      <c r="D6396">
        <v>5.0546189999999998</v>
      </c>
      <c r="E6396">
        <v>0.49353079999999999</v>
      </c>
      <c r="F6396" t="s">
        <v>38</v>
      </c>
      <c r="G6396">
        <v>-188.82820000000001</v>
      </c>
      <c r="H6396" s="1">
        <v>-4.0499309999999899E-7</v>
      </c>
      <c r="I6396">
        <v>89.921970000000002</v>
      </c>
      <c r="J6396">
        <v>-188.10650000000001</v>
      </c>
      <c r="K6396">
        <v>1.1049199999999999</v>
      </c>
      <c r="L6396">
        <v>73.743069999999904</v>
      </c>
      <c r="M6396">
        <v>-1.06167E-2</v>
      </c>
      <c r="N6396">
        <v>0</v>
      </c>
      <c r="O6396">
        <v>0.99981869999999995</v>
      </c>
      <c r="P6396">
        <v>-2.2966099999999899E-2</v>
      </c>
      <c r="Q6396">
        <v>9.5872839999999997E-3</v>
      </c>
      <c r="R6396">
        <v>0.99969030000000003</v>
      </c>
      <c r="S6396">
        <v>-0.13197329999999999</v>
      </c>
      <c r="T6396">
        <v>-0.2010525</v>
      </c>
      <c r="U6396">
        <v>2.99981699999999</v>
      </c>
      <c r="V6396">
        <v>-1.237183E-2</v>
      </c>
      <c r="W6396">
        <v>2.5380570000000002E-2</v>
      </c>
      <c r="X6396">
        <v>0.99960130000000003</v>
      </c>
      <c r="Y6396">
        <v>-3.3242809999999998E-2</v>
      </c>
      <c r="Z6396">
        <v>-6.6815310000000003E-2</v>
      </c>
      <c r="AA6396">
        <v>0.99721150000000003</v>
      </c>
      <c r="AB6396">
        <v>31</v>
      </c>
      <c r="AC6396">
        <v>-0.72169999999999801</v>
      </c>
      <c r="AD6396">
        <v>-1.1049204049931001</v>
      </c>
      <c r="AE6396">
        <v>16.178899999999999</v>
      </c>
      <c r="AF6396">
        <v>-0.547323645738925</v>
      </c>
      <c r="AG6396">
        <v>-1.1049204049931001</v>
      </c>
      <c r="AH6396">
        <v>16.110659140435299</v>
      </c>
      <c r="AI6396">
        <v>93.921128577520705</v>
      </c>
      <c r="AJ6396">
        <v>91.945747753501195</v>
      </c>
      <c r="AK6396">
        <v>16.157776772001998</v>
      </c>
    </row>
    <row r="6397" spans="1:37" x14ac:dyDescent="0.2">
      <c r="A6397" t="str">
        <f>"20200111160344212"</f>
        <v>20200111160344212</v>
      </c>
      <c r="B6397" t="str">
        <f>"1578729824209182"</f>
        <v>1578729824209182</v>
      </c>
      <c r="C6397" t="s">
        <v>37</v>
      </c>
      <c r="D6397">
        <v>5.0547589999999998</v>
      </c>
      <c r="E6397">
        <v>0.49352229999999903</v>
      </c>
      <c r="F6397" t="s">
        <v>38</v>
      </c>
      <c r="G6397">
        <v>-188.8099</v>
      </c>
      <c r="H6397" s="1">
        <v>-4.3827660000000001E-6</v>
      </c>
      <c r="I6397">
        <v>89.357010000000002</v>
      </c>
      <c r="J6397">
        <v>-188.1103</v>
      </c>
      <c r="K6397">
        <v>1.1049059999999999</v>
      </c>
      <c r="L6397">
        <v>74.048649999999995</v>
      </c>
      <c r="M6397">
        <v>-1.1066070000000001E-2</v>
      </c>
      <c r="N6397">
        <v>0</v>
      </c>
      <c r="O6397">
        <v>0.999816699999999</v>
      </c>
      <c r="P6397">
        <v>-2.3293370000000001E-2</v>
      </c>
      <c r="Q6397">
        <v>9.2402279999999996E-3</v>
      </c>
      <c r="R6397">
        <v>0.99968590000000002</v>
      </c>
      <c r="S6397">
        <v>-0.1351318</v>
      </c>
      <c r="T6397">
        <v>-0.2122849</v>
      </c>
      <c r="U6397">
        <v>2.9998469999999999</v>
      </c>
      <c r="V6397">
        <v>-1.22495E-2</v>
      </c>
      <c r="W6397">
        <v>2.4850500000000001E-2</v>
      </c>
      <c r="X6397">
        <v>0.99961610000000001</v>
      </c>
      <c r="Y6397">
        <v>-3.3829579999999998E-2</v>
      </c>
      <c r="Z6397">
        <v>-7.0526469999999994E-2</v>
      </c>
      <c r="AA6397">
        <v>0.99693609999999899</v>
      </c>
      <c r="AB6397">
        <v>31</v>
      </c>
      <c r="AC6397">
        <v>-0.699600000000003</v>
      </c>
      <c r="AD6397">
        <v>-1.1049103827659901</v>
      </c>
      <c r="AE6397">
        <v>15.30836</v>
      </c>
      <c r="AF6397">
        <v>-0.52739136515635499</v>
      </c>
      <c r="AG6397">
        <v>-1.1049103827659901</v>
      </c>
      <c r="AH6397">
        <v>15.2359587596717</v>
      </c>
      <c r="AI6397">
        <v>94.145349654573494</v>
      </c>
      <c r="AJ6397">
        <v>91.982496790040202</v>
      </c>
      <c r="AK6397">
        <v>15.285071407500901</v>
      </c>
    </row>
    <row r="6398" spans="1:37" x14ac:dyDescent="0.2">
      <c r="A6398" t="str">
        <f>"20200111160344254"</f>
        <v>20200111160344254</v>
      </c>
      <c r="B6398" t="str">
        <f>"1578729824249729"</f>
        <v>1578729824249729</v>
      </c>
      <c r="C6398" t="s">
        <v>37</v>
      </c>
      <c r="D6398">
        <v>5.0571339999999996</v>
      </c>
      <c r="E6398">
        <v>0.49371389999999998</v>
      </c>
      <c r="F6398" t="s">
        <v>38</v>
      </c>
      <c r="G6398">
        <v>-188.78870000000001</v>
      </c>
      <c r="H6398" s="1">
        <v>-4.2139499999999997E-6</v>
      </c>
      <c r="I6398">
        <v>88.954740000000001</v>
      </c>
      <c r="J6398">
        <v>-188.11779999999999</v>
      </c>
      <c r="K6398">
        <v>1.1048899999999999</v>
      </c>
      <c r="L6398">
        <v>74.635800000000003</v>
      </c>
      <c r="M6398">
        <v>-1.192996E-2</v>
      </c>
      <c r="N6398">
        <v>0</v>
      </c>
      <c r="O6398">
        <v>0.99981149999999996</v>
      </c>
      <c r="P6398">
        <v>-2.4013219999999998E-2</v>
      </c>
      <c r="Q6398">
        <v>6.8664879999999996E-3</v>
      </c>
      <c r="R6398">
        <v>0.99968809999999997</v>
      </c>
      <c r="S6398">
        <v>-0.13653560000000001</v>
      </c>
      <c r="T6398">
        <v>-0.22236059999999999</v>
      </c>
      <c r="U6398">
        <v>2.99981699999999</v>
      </c>
      <c r="V6398">
        <v>-1.2102969999999999E-2</v>
      </c>
      <c r="W6398">
        <v>2.2174280000000001E-2</v>
      </c>
      <c r="X6398">
        <v>0.99968089999999998</v>
      </c>
      <c r="Y6398">
        <v>-3.3421159999999998E-2</v>
      </c>
      <c r="Z6398">
        <v>-7.3855409999999996E-2</v>
      </c>
      <c r="AA6398">
        <v>0.99670879999999995</v>
      </c>
      <c r="AB6398">
        <v>31</v>
      </c>
      <c r="AC6398">
        <v>-0.67090000000001704</v>
      </c>
      <c r="AD6398">
        <v>-1.10489421395</v>
      </c>
      <c r="AE6398">
        <v>14.3189399999999</v>
      </c>
      <c r="AF6398">
        <v>-0.49705476337790799</v>
      </c>
      <c r="AG6398">
        <v>-1.10489421395</v>
      </c>
      <c r="AH6398">
        <v>14.2413163404571</v>
      </c>
      <c r="AI6398">
        <v>94.433643635727293</v>
      </c>
      <c r="AJ6398">
        <v>91.998943337802501</v>
      </c>
      <c r="AK6398">
        <v>14.2927585080973</v>
      </c>
    </row>
    <row r="6399" spans="1:37" x14ac:dyDescent="0.2">
      <c r="A6399" t="str">
        <f>"20200111160344276"</f>
        <v>20200111160344276</v>
      </c>
      <c r="B6399" t="str">
        <f>"1578729824269249"</f>
        <v>1578729824269249</v>
      </c>
      <c r="C6399" t="s">
        <v>37</v>
      </c>
      <c r="D6399">
        <v>4.9920019999999896</v>
      </c>
      <c r="E6399">
        <v>0.49401689999999998</v>
      </c>
      <c r="F6399" t="s">
        <v>38</v>
      </c>
      <c r="G6399">
        <v>-188.7645</v>
      </c>
      <c r="H6399" s="1">
        <v>-4.1082619999999902E-6</v>
      </c>
      <c r="I6399">
        <v>88.698350000000005</v>
      </c>
      <c r="J6399">
        <v>-188.12209999999999</v>
      </c>
      <c r="K6399">
        <v>1.104897</v>
      </c>
      <c r="L6399">
        <v>74.948359999999994</v>
      </c>
      <c r="M6399">
        <v>-1.2391050000000001E-2</v>
      </c>
      <c r="N6399">
        <v>0</v>
      </c>
      <c r="O6399">
        <v>0.99980789999999997</v>
      </c>
      <c r="P6399">
        <v>-2.4948720000000001E-2</v>
      </c>
      <c r="Q6399">
        <v>8.5185299999999999E-3</v>
      </c>
      <c r="R6399">
        <v>0.9996524</v>
      </c>
      <c r="S6399">
        <v>-0.1379089</v>
      </c>
      <c r="T6399">
        <v>-0.2356501</v>
      </c>
      <c r="U6399">
        <v>2.9992369999999999</v>
      </c>
      <c r="V6399">
        <v>-1.257922E-2</v>
      </c>
      <c r="W6399">
        <v>2.3689740000000001E-2</v>
      </c>
      <c r="X6399">
        <v>0.99964019999999998</v>
      </c>
      <c r="Y6399">
        <v>-3.3409019999999998E-2</v>
      </c>
      <c r="Z6399">
        <v>-7.825667E-2</v>
      </c>
      <c r="AA6399">
        <v>0.99637330000000002</v>
      </c>
      <c r="AB6399">
        <v>31</v>
      </c>
      <c r="AC6399">
        <v>-0.64240000000000896</v>
      </c>
      <c r="AD6399">
        <v>-1.1049011082619999</v>
      </c>
      <c r="AE6399">
        <v>13.74999</v>
      </c>
      <c r="AF6399">
        <v>-0.46893282388048702</v>
      </c>
      <c r="AG6399">
        <v>-1.1049011082619999</v>
      </c>
      <c r="AH6399">
        <v>13.6688254102801</v>
      </c>
      <c r="AI6399">
        <v>94.618673813301299</v>
      </c>
      <c r="AJ6399">
        <v>91.964860738207904</v>
      </c>
      <c r="AK6399">
        <v>13.7214245816195</v>
      </c>
    </row>
    <row r="6400" spans="1:37" x14ac:dyDescent="0.2">
      <c r="A6400" t="str">
        <f>"20200111160344300"</f>
        <v>20200111160344300</v>
      </c>
      <c r="B6400" t="str">
        <f>"1578729824289745"</f>
        <v>1578729824289745</v>
      </c>
      <c r="C6400" t="s">
        <v>37</v>
      </c>
      <c r="D6400">
        <v>5.0446989999999996</v>
      </c>
      <c r="E6400">
        <v>0.49427139999999897</v>
      </c>
      <c r="F6400" t="s">
        <v>38</v>
      </c>
      <c r="G6400">
        <v>-188.77760000000001</v>
      </c>
      <c r="H6400" s="1">
        <v>-4.3173789999999996E-6</v>
      </c>
      <c r="I6400">
        <v>89.191230000000004</v>
      </c>
      <c r="J6400">
        <v>-188.1266</v>
      </c>
      <c r="K6400">
        <v>1.104905</v>
      </c>
      <c r="L6400">
        <v>75.271550000000005</v>
      </c>
      <c r="M6400">
        <v>-1.2868279999999999E-2</v>
      </c>
      <c r="N6400">
        <v>0</v>
      </c>
      <c r="O6400">
        <v>0.99980380000000002</v>
      </c>
      <c r="P6400">
        <v>-2.647936E-2</v>
      </c>
      <c r="Q6400">
        <v>1.087163E-2</v>
      </c>
      <c r="R6400">
        <v>0.99959019999999998</v>
      </c>
      <c r="S6400">
        <v>-0.13804629999999901</v>
      </c>
      <c r="T6400">
        <v>-0.23269429999999899</v>
      </c>
      <c r="U6400">
        <v>2.9995729999999998</v>
      </c>
      <c r="V6400">
        <v>-1.363522E-2</v>
      </c>
      <c r="W6400">
        <v>2.5917320000000001E-2</v>
      </c>
      <c r="X6400">
        <v>0.99957109999999905</v>
      </c>
      <c r="Y6400">
        <v>-3.2975909999999997E-2</v>
      </c>
      <c r="Z6400">
        <v>-7.7272179999999996E-2</v>
      </c>
      <c r="AA6400">
        <v>0.99646460000000003</v>
      </c>
      <c r="AB6400">
        <v>31</v>
      </c>
      <c r="AC6400">
        <v>-0.65100000000001002</v>
      </c>
      <c r="AD6400">
        <v>-1.1049093173790001</v>
      </c>
      <c r="AE6400">
        <v>13.91968</v>
      </c>
      <c r="AF6400">
        <v>-0.46885571988386099</v>
      </c>
      <c r="AG6400">
        <v>-1.1049093173790001</v>
      </c>
      <c r="AH6400">
        <v>13.8398934967984</v>
      </c>
      <c r="AI6400">
        <v>94.5619273318799</v>
      </c>
      <c r="AJ6400">
        <v>91.940273913968994</v>
      </c>
      <c r="AK6400">
        <v>13.8918430126611</v>
      </c>
    </row>
    <row r="6401" spans="1:37" x14ac:dyDescent="0.2">
      <c r="A6401" t="str">
        <f>"20200111160344321"</f>
        <v>20200111160344321</v>
      </c>
      <c r="B6401" t="str">
        <f>"1578729824320001"</f>
        <v>1578729824320001</v>
      </c>
      <c r="C6401" t="s">
        <v>37</v>
      </c>
      <c r="D6401">
        <v>5.1084440000000004</v>
      </c>
      <c r="E6401">
        <v>0.49442019999999998</v>
      </c>
      <c r="F6401" t="s">
        <v>38</v>
      </c>
      <c r="G6401">
        <v>-188.81099999999901</v>
      </c>
      <c r="H6401" s="1">
        <v>-3.9179679999999999E-7</v>
      </c>
      <c r="I6401">
        <v>89.869709999999998</v>
      </c>
      <c r="J6401">
        <v>-188.1309</v>
      </c>
      <c r="K6401">
        <v>1.1049059999999999</v>
      </c>
      <c r="L6401">
        <v>75.570949999999996</v>
      </c>
      <c r="M6401">
        <v>-1.3310519999999999E-2</v>
      </c>
      <c r="N6401">
        <v>0</v>
      </c>
      <c r="O6401">
        <v>0.99979949999999995</v>
      </c>
      <c r="P6401">
        <v>-2.7400359999999999E-2</v>
      </c>
      <c r="Q6401">
        <v>1.250394E-2</v>
      </c>
      <c r="R6401">
        <v>0.9995463</v>
      </c>
      <c r="S6401">
        <v>-0.140640299999999</v>
      </c>
      <c r="T6401">
        <v>-0.227061499999999</v>
      </c>
      <c r="U6401">
        <v>2.9999689999999899</v>
      </c>
      <c r="V6401">
        <v>-1.411605E-2</v>
      </c>
      <c r="W6401">
        <v>2.744694E-2</v>
      </c>
      <c r="X6401">
        <v>0.99952359999999896</v>
      </c>
      <c r="Y6401">
        <v>-3.3394269999999997E-2</v>
      </c>
      <c r="Z6401">
        <v>-7.5399880000000002E-2</v>
      </c>
      <c r="AA6401">
        <v>0.99659399999999998</v>
      </c>
      <c r="AB6401">
        <v>31</v>
      </c>
      <c r="AC6401">
        <v>-0.68009999999998105</v>
      </c>
      <c r="AD6401">
        <v>-1.1049063917967901</v>
      </c>
      <c r="AE6401">
        <v>14.29876</v>
      </c>
      <c r="AF6401">
        <v>-0.48679437032848</v>
      </c>
      <c r="AG6401">
        <v>-1.1049063917967901</v>
      </c>
      <c r="AH6401">
        <v>14.2218183081762</v>
      </c>
      <c r="AI6401">
        <v>94.439849425482606</v>
      </c>
      <c r="AJ6401">
        <v>91.960394757691901</v>
      </c>
      <c r="AK6401">
        <v>14.272978066416</v>
      </c>
    </row>
    <row r="6402" spans="1:37" x14ac:dyDescent="0.2">
      <c r="A6402" t="str">
        <f>"20200111160344343"</f>
        <v>20200111160344343</v>
      </c>
      <c r="B6402" t="str">
        <f>"1578729824339221"</f>
        <v>1578729824339221</v>
      </c>
      <c r="C6402" t="s">
        <v>37</v>
      </c>
      <c r="D6402">
        <v>5.1208689999999999</v>
      </c>
      <c r="E6402">
        <v>0.49441059999999998</v>
      </c>
      <c r="F6402" t="s">
        <v>38</v>
      </c>
      <c r="G6402">
        <v>-188.8323</v>
      </c>
      <c r="H6402" s="1">
        <v>-5.4455239999999996E-7</v>
      </c>
      <c r="I6402">
        <v>90.335279999999997</v>
      </c>
      <c r="J6402">
        <v>-188.1352</v>
      </c>
      <c r="K6402">
        <v>1.1049009999999999</v>
      </c>
      <c r="L6402">
        <v>75.857819999999904</v>
      </c>
      <c r="M6402">
        <v>-1.373445E-2</v>
      </c>
      <c r="N6402">
        <v>0</v>
      </c>
      <c r="O6402">
        <v>0.99979499999999999</v>
      </c>
      <c r="P6402">
        <v>-2.847601E-2</v>
      </c>
      <c r="Q6402">
        <v>1.212297E-2</v>
      </c>
      <c r="R6402">
        <v>0.99952099999999899</v>
      </c>
      <c r="S6402">
        <v>-0.142532299999999</v>
      </c>
      <c r="T6402">
        <v>-0.22452910000000001</v>
      </c>
      <c r="U6402">
        <v>3.0002749999999998</v>
      </c>
      <c r="V6402">
        <v>-1.4767280000000001E-2</v>
      </c>
      <c r="W6402">
        <v>2.6979820000000002E-2</v>
      </c>
      <c r="X6402">
        <v>0.9995269</v>
      </c>
      <c r="Y6402">
        <v>-3.359587E-2</v>
      </c>
      <c r="Z6402">
        <v>-7.4554110000000007E-2</v>
      </c>
      <c r="AA6402">
        <v>0.99665090000000001</v>
      </c>
      <c r="AB6402">
        <v>31</v>
      </c>
      <c r="AC6402">
        <v>-0.69710000000000505</v>
      </c>
      <c r="AD6402">
        <v>-1.1049015445524</v>
      </c>
      <c r="AE6402">
        <v>14.477460000000001</v>
      </c>
      <c r="AF6402">
        <v>-0.49529408317982498</v>
      </c>
      <c r="AG6402">
        <v>-1.1049015445524</v>
      </c>
      <c r="AH6402">
        <v>14.401978485467801</v>
      </c>
      <c r="AI6402">
        <v>94.384484083205507</v>
      </c>
      <c r="AJ6402">
        <v>91.969665535824006</v>
      </c>
      <c r="AK6402">
        <v>14.452788933208099</v>
      </c>
    </row>
    <row r="6403" spans="1:37" x14ac:dyDescent="0.2">
      <c r="A6403" t="str">
        <f>"20200111160344367"</f>
        <v>20200111160344367</v>
      </c>
      <c r="B6403" t="str">
        <f>"1578729824359704"</f>
        <v>1578729824359704</v>
      </c>
      <c r="C6403" t="s">
        <v>37</v>
      </c>
      <c r="D6403">
        <v>5.0517240000000001</v>
      </c>
      <c r="E6403">
        <v>0.49443290000000001</v>
      </c>
      <c r="F6403" t="s">
        <v>38</v>
      </c>
      <c r="G6403">
        <v>-188.8476</v>
      </c>
      <c r="H6403" s="1">
        <v>-5.8796559999999996E-7</v>
      </c>
      <c r="I6403">
        <v>90.474779999999996</v>
      </c>
      <c r="J6403">
        <v>-188.1404</v>
      </c>
      <c r="K6403">
        <v>1.1048910000000001</v>
      </c>
      <c r="L6403">
        <v>76.196659999999994</v>
      </c>
      <c r="M6403">
        <v>-1.4235080000000001E-2</v>
      </c>
      <c r="N6403">
        <v>0</v>
      </c>
      <c r="O6403">
        <v>0.99978940000000005</v>
      </c>
      <c r="P6403">
        <v>-2.9114109999999999E-2</v>
      </c>
      <c r="Q6403">
        <v>1.1081479999999999E-2</v>
      </c>
      <c r="R6403">
        <v>0.99951460000000003</v>
      </c>
      <c r="S6403">
        <v>-0.1462097</v>
      </c>
      <c r="T6403">
        <v>-0.22677359999999999</v>
      </c>
      <c r="U6403">
        <v>3.0000309999999999</v>
      </c>
      <c r="V6403">
        <v>-1.490403E-2</v>
      </c>
      <c r="W6403">
        <v>2.5849629999999998E-2</v>
      </c>
      <c r="X6403">
        <v>0.99955479999999997</v>
      </c>
      <c r="Y6403">
        <v>-3.4315409999999998E-2</v>
      </c>
      <c r="Z6403">
        <v>-7.5297349999999999E-2</v>
      </c>
      <c r="AA6403">
        <v>0.99657050000000003</v>
      </c>
      <c r="AB6403">
        <v>31</v>
      </c>
      <c r="AC6403">
        <v>-0.70720000000000005</v>
      </c>
      <c r="AD6403">
        <v>-1.1048915879656001</v>
      </c>
      <c r="AE6403">
        <v>14.278119999999999</v>
      </c>
      <c r="AF6403">
        <v>-0.50086399649402502</v>
      </c>
      <c r="AG6403">
        <v>-1.1048915879656001</v>
      </c>
      <c r="AH6403">
        <v>14.201905200873799</v>
      </c>
      <c r="AI6403">
        <v>94.445830831462004</v>
      </c>
      <c r="AJ6403">
        <v>92.019834926995401</v>
      </c>
      <c r="AK6403">
        <v>14.25362274998</v>
      </c>
    </row>
    <row r="6404" spans="1:37" x14ac:dyDescent="0.2">
      <c r="A6404" t="str">
        <f>"20200111160344388"</f>
        <v>20200111160344388</v>
      </c>
      <c r="B6404" t="str">
        <f>"1578729824379224"</f>
        <v>1578729824379224</v>
      </c>
      <c r="C6404" t="s">
        <v>37</v>
      </c>
      <c r="D6404">
        <v>5.1197900000000001</v>
      </c>
      <c r="E6404">
        <v>0.49436980000000003</v>
      </c>
      <c r="F6404" t="s">
        <v>38</v>
      </c>
      <c r="G6404">
        <v>-188.85220000000001</v>
      </c>
      <c r="H6404" s="1">
        <v>-6.3849440000000002E-7</v>
      </c>
      <c r="I6404">
        <v>90.626909999999995</v>
      </c>
      <c r="J6404">
        <v>-188.1448</v>
      </c>
      <c r="K6404">
        <v>1.1048849999999999</v>
      </c>
      <c r="L6404">
        <v>76.479129999999998</v>
      </c>
      <c r="M6404">
        <v>-1.465261E-2</v>
      </c>
      <c r="N6404">
        <v>0</v>
      </c>
      <c r="O6404">
        <v>0.99978429999999996</v>
      </c>
      <c r="P6404">
        <v>-2.9133360000000001E-2</v>
      </c>
      <c r="Q6404">
        <v>9.5228469999999992E-3</v>
      </c>
      <c r="R6404">
        <v>0.99953019999999904</v>
      </c>
      <c r="S6404">
        <v>-0.14797969999999999</v>
      </c>
      <c r="T6404">
        <v>-0.22967960000000001</v>
      </c>
      <c r="U6404">
        <v>2.999695</v>
      </c>
      <c r="V6404">
        <v>-1.450426E-2</v>
      </c>
      <c r="W6404">
        <v>2.4227459999999999E-2</v>
      </c>
      <c r="X6404">
        <v>0.99960119999999897</v>
      </c>
      <c r="Y6404">
        <v>-3.4486490000000002E-2</v>
      </c>
      <c r="Z6404">
        <v>-7.6263150000000002E-2</v>
      </c>
      <c r="AA6404">
        <v>0.99649109999999996</v>
      </c>
      <c r="AB6404">
        <v>31</v>
      </c>
      <c r="AC6404">
        <v>-0.70740000000000602</v>
      </c>
      <c r="AD6404">
        <v>-1.1048856384943999</v>
      </c>
      <c r="AE6404">
        <v>14.1477799999999</v>
      </c>
      <c r="AF6404">
        <v>-0.49697618286106499</v>
      </c>
      <c r="AG6404">
        <v>-1.1048856384943999</v>
      </c>
      <c r="AH6404">
        <v>14.0710221796671</v>
      </c>
      <c r="AI6404">
        <v>94.486983860492302</v>
      </c>
      <c r="AJ6404">
        <v>92.022795938191095</v>
      </c>
      <c r="AK6404">
        <v>14.1230812070584</v>
      </c>
    </row>
    <row r="6405" spans="1:37" x14ac:dyDescent="0.2">
      <c r="A6405" t="str">
        <f>"20200111160344412"</f>
        <v>20200111160344412</v>
      </c>
      <c r="B6405" t="str">
        <f>"1578729824409480"</f>
        <v>1578729824409480</v>
      </c>
      <c r="C6405" t="s">
        <v>37</v>
      </c>
      <c r="D6405">
        <v>5.1413739999999999</v>
      </c>
      <c r="E6405">
        <v>0.49406889999999998</v>
      </c>
      <c r="F6405" t="s">
        <v>38</v>
      </c>
      <c r="G6405">
        <v>-188.84520000000001</v>
      </c>
      <c r="H6405" s="1">
        <v>-6.295719E-7</v>
      </c>
      <c r="I6405">
        <v>90.595159999999893</v>
      </c>
      <c r="J6405">
        <v>-188.15010000000001</v>
      </c>
      <c r="K6405">
        <v>1.1048789999999999</v>
      </c>
      <c r="L6405">
        <v>76.801150000000007</v>
      </c>
      <c r="M6405">
        <v>-1.5128809999999999E-2</v>
      </c>
      <c r="N6405">
        <v>0</v>
      </c>
      <c r="O6405">
        <v>0.999778099999999</v>
      </c>
      <c r="P6405">
        <v>-2.8624239999999999E-2</v>
      </c>
      <c r="Q6405">
        <v>8.5446359999999996E-3</v>
      </c>
      <c r="R6405">
        <v>0.99955369999999999</v>
      </c>
      <c r="S6405">
        <v>-0.14880370000000001</v>
      </c>
      <c r="T6405">
        <v>-0.23476250000000001</v>
      </c>
      <c r="U6405">
        <v>2.9993289999999999</v>
      </c>
      <c r="V6405">
        <v>-1.351745E-2</v>
      </c>
      <c r="W6405">
        <v>2.318777E-2</v>
      </c>
      <c r="X6405">
        <v>0.99963969999999902</v>
      </c>
      <c r="Y6405">
        <v>-3.4283109999999999E-2</v>
      </c>
      <c r="Z6405">
        <v>-7.7949099999999993E-2</v>
      </c>
      <c r="AA6405">
        <v>0.99636769999999997</v>
      </c>
      <c r="AB6405">
        <v>31</v>
      </c>
      <c r="AC6405">
        <v>-0.69509999999999605</v>
      </c>
      <c r="AD6405">
        <v>-1.1048796295718999</v>
      </c>
      <c r="AE6405">
        <v>13.794009999999901</v>
      </c>
      <c r="AF6405">
        <v>-0.48321868247169603</v>
      </c>
      <c r="AG6405">
        <v>-1.1048796295718999</v>
      </c>
      <c r="AH6405">
        <v>13.7151775792157</v>
      </c>
      <c r="AI6405">
        <v>94.602895187472498</v>
      </c>
      <c r="AJ6405">
        <v>92.017833421453503</v>
      </c>
      <c r="AK6405">
        <v>13.768091927364299</v>
      </c>
    </row>
    <row r="6406" spans="1:37" x14ac:dyDescent="0.2">
      <c r="A6406" t="str">
        <f>"20200111160344433"</f>
        <v>20200111160344433</v>
      </c>
      <c r="B6406" t="str">
        <f>"1578729824429977"</f>
        <v>1578729824429977</v>
      </c>
      <c r="C6406" t="s">
        <v>37</v>
      </c>
      <c r="D6406">
        <v>5.1468550000000004</v>
      </c>
      <c r="E6406">
        <v>0.49401719999999999</v>
      </c>
      <c r="F6406" t="s">
        <v>38</v>
      </c>
      <c r="G6406">
        <v>-188.8466</v>
      </c>
      <c r="H6406" s="1">
        <v>-6.9234569999999904E-7</v>
      </c>
      <c r="I6406">
        <v>90.769719999999893</v>
      </c>
      <c r="J6406">
        <v>-188.15479999999999</v>
      </c>
      <c r="K6406">
        <v>1.1048770000000001</v>
      </c>
      <c r="L6406">
        <v>77.085629999999995</v>
      </c>
      <c r="M6406">
        <v>-1.554959E-2</v>
      </c>
      <c r="N6406">
        <v>0</v>
      </c>
      <c r="O6406">
        <v>0.99977240000000001</v>
      </c>
      <c r="P6406">
        <v>-2.8001060000000001E-2</v>
      </c>
      <c r="Q6406">
        <v>8.5022780000000003E-3</v>
      </c>
      <c r="R6406">
        <v>0.99957169999999895</v>
      </c>
      <c r="S6406">
        <v>-0.14953610000000001</v>
      </c>
      <c r="T6406">
        <v>-0.23722019999999999</v>
      </c>
      <c r="U6406">
        <v>2.9990839999999999</v>
      </c>
      <c r="V6406">
        <v>-1.2473089999999999E-2</v>
      </c>
      <c r="W6406">
        <v>2.309719E-2</v>
      </c>
      <c r="X6406">
        <v>0.99965539999999997</v>
      </c>
      <c r="Y6406">
        <v>-3.4106030000000002E-2</v>
      </c>
      <c r="Z6406">
        <v>-7.8765479999999999E-2</v>
      </c>
      <c r="AA6406">
        <v>0.99630959999999902</v>
      </c>
      <c r="AB6406">
        <v>30</v>
      </c>
      <c r="AC6406">
        <v>-0.69179999999999997</v>
      </c>
      <c r="AD6406">
        <v>-1.1048776923457</v>
      </c>
      <c r="AE6406">
        <v>13.6840899999999</v>
      </c>
      <c r="AF6406">
        <v>-0.47581759158556802</v>
      </c>
      <c r="AG6406">
        <v>-1.1048776923457</v>
      </c>
      <c r="AH6406">
        <v>13.6047272681643</v>
      </c>
      <c r="AI6406">
        <v>94.640135065507295</v>
      </c>
      <c r="AJ6406">
        <v>92.003070812593407</v>
      </c>
      <c r="AK6406">
        <v>13.6578095292268</v>
      </c>
    </row>
    <row r="6407" spans="1:37" x14ac:dyDescent="0.2">
      <c r="A6407" t="str">
        <f>"20200111160344456"</f>
        <v>20200111160344456</v>
      </c>
      <c r="B6407" t="str">
        <f>"1578729824449500"</f>
        <v>1578729824449500</v>
      </c>
      <c r="C6407" t="s">
        <v>37</v>
      </c>
      <c r="D6407">
        <v>5.1223470000000004</v>
      </c>
      <c r="E6407">
        <v>0.49412829999999902</v>
      </c>
      <c r="F6407" t="s">
        <v>38</v>
      </c>
      <c r="G6407">
        <v>-188.84379999999999</v>
      </c>
      <c r="H6407" s="1">
        <v>-8.0595699999999997E-7</v>
      </c>
      <c r="I6407">
        <v>91.033379999999994</v>
      </c>
      <c r="J6407">
        <v>-188.1601</v>
      </c>
      <c r="K6407">
        <v>1.1048629999999999</v>
      </c>
      <c r="L6407">
        <v>77.390289999999993</v>
      </c>
      <c r="M6407">
        <v>-1.6000399999999901E-2</v>
      </c>
      <c r="N6407">
        <v>0</v>
      </c>
      <c r="O6407">
        <v>0.99976589999999999</v>
      </c>
      <c r="P6407">
        <v>-2.7926389999999999E-2</v>
      </c>
      <c r="Q6407">
        <v>8.5771590000000009E-3</v>
      </c>
      <c r="R6407">
        <v>0.99957320000000005</v>
      </c>
      <c r="S6407">
        <v>-0.14813229999999999</v>
      </c>
      <c r="T6407">
        <v>-0.2375787</v>
      </c>
      <c r="U6407">
        <v>2.9991460000000001</v>
      </c>
      <c r="V6407">
        <v>-1.194779E-2</v>
      </c>
      <c r="W6407">
        <v>2.3126270000000001E-2</v>
      </c>
      <c r="X6407">
        <v>0.99966109999999897</v>
      </c>
      <c r="Y6407">
        <v>-3.3188719999999998E-2</v>
      </c>
      <c r="Z6407">
        <v>-7.8883480000000006E-2</v>
      </c>
      <c r="AA6407">
        <v>0.99633119999999997</v>
      </c>
      <c r="AB6407">
        <v>30</v>
      </c>
      <c r="AC6407">
        <v>-0.68369999999998698</v>
      </c>
      <c r="AD6407">
        <v>-1.104863805957</v>
      </c>
      <c r="AE6407">
        <v>13.643090000000001</v>
      </c>
      <c r="AF6407">
        <v>-0.46227028552513499</v>
      </c>
      <c r="AG6407">
        <v>-1.104863805957</v>
      </c>
      <c r="AH6407">
        <v>13.5635525872001</v>
      </c>
      <c r="AI6407">
        <v>94.654243675794604</v>
      </c>
      <c r="AJ6407">
        <v>91.951987738237406</v>
      </c>
      <c r="AK6407">
        <v>13.6163275750966</v>
      </c>
    </row>
    <row r="6408" spans="1:37" x14ac:dyDescent="0.2">
      <c r="A6408" t="str">
        <f>"20200111160344477"</f>
        <v>20200111160344477</v>
      </c>
      <c r="B6408" t="str">
        <f>"1578729824469997"</f>
        <v>1578729824469997</v>
      </c>
      <c r="C6408" t="s">
        <v>37</v>
      </c>
      <c r="D6408">
        <v>5.1261609999999997</v>
      </c>
      <c r="E6408">
        <v>0.49422890000000003</v>
      </c>
      <c r="F6408" t="s">
        <v>38</v>
      </c>
      <c r="G6408">
        <v>-188.8398</v>
      </c>
      <c r="H6408" s="1">
        <v>-9.0400000000000005E-7</v>
      </c>
      <c r="I6408">
        <v>91.260300000000001</v>
      </c>
      <c r="J6408">
        <v>-188.16540000000001</v>
      </c>
      <c r="K6408">
        <v>1.1048579999999999</v>
      </c>
      <c r="L6408">
        <v>77.693330000000003</v>
      </c>
      <c r="M6408">
        <v>-1.6448910000000001E-2</v>
      </c>
      <c r="N6408">
        <v>0</v>
      </c>
      <c r="O6408">
        <v>0.99975930000000002</v>
      </c>
      <c r="P6408">
        <v>-2.7682740000000001E-2</v>
      </c>
      <c r="Q6408">
        <v>7.3848480000000003E-3</v>
      </c>
      <c r="R6408">
        <v>0.99958950000000002</v>
      </c>
      <c r="S6408">
        <v>-0.14698789999999901</v>
      </c>
      <c r="T6408">
        <v>-0.2389145</v>
      </c>
      <c r="U6408">
        <v>2.9992369999999999</v>
      </c>
      <c r="V6408">
        <v>-1.1253579999999999E-2</v>
      </c>
      <c r="W6408">
        <v>2.1894919999999998E-2</v>
      </c>
      <c r="X6408">
        <v>0.9996969</v>
      </c>
      <c r="Y6408">
        <v>-3.2357900000000002E-2</v>
      </c>
      <c r="Z6408">
        <v>-7.9322760000000006E-2</v>
      </c>
      <c r="AA6408">
        <v>0.99632369999999904</v>
      </c>
      <c r="AB6408">
        <v>30</v>
      </c>
      <c r="AC6408">
        <v>-0.67439999999999101</v>
      </c>
      <c r="AD6408">
        <v>-1.1048589040000001</v>
      </c>
      <c r="AE6408">
        <v>13.5669699999999</v>
      </c>
      <c r="AF6408">
        <v>-0.44815846479197902</v>
      </c>
      <c r="AG6408">
        <v>-1.1048589040000001</v>
      </c>
      <c r="AH6408">
        <v>13.4870023953528</v>
      </c>
      <c r="AI6408">
        <v>94.680656350146705</v>
      </c>
      <c r="AJ6408">
        <v>91.903176358996902</v>
      </c>
      <c r="AK6408">
        <v>13.539600910646</v>
      </c>
    </row>
    <row r="6409" spans="1:37" x14ac:dyDescent="0.2">
      <c r="A6409" t="str">
        <f>"20200111160344500"</f>
        <v>20200111160344500</v>
      </c>
      <c r="B6409" t="str">
        <f>"1578729824489516"</f>
        <v>1578729824489516</v>
      </c>
      <c r="C6409" t="s">
        <v>37</v>
      </c>
      <c r="D6409">
        <v>5.2308389999999996</v>
      </c>
      <c r="E6409">
        <v>0.49431740000000002</v>
      </c>
      <c r="F6409" t="s">
        <v>38</v>
      </c>
      <c r="G6409">
        <v>-188.82599999999999</v>
      </c>
      <c r="H6409" s="1">
        <v>-9.1591700000000003E-7</v>
      </c>
      <c r="I6409">
        <v>91.282380000000003</v>
      </c>
      <c r="J6409">
        <v>-188.17070000000001</v>
      </c>
      <c r="K6409">
        <v>1.104868</v>
      </c>
      <c r="L6409">
        <v>77.983429999999998</v>
      </c>
      <c r="M6409">
        <v>-1.6878259999999999E-2</v>
      </c>
      <c r="N6409">
        <v>0</v>
      </c>
      <c r="O6409">
        <v>0.99975259999999999</v>
      </c>
      <c r="P6409">
        <v>-2.803916E-2</v>
      </c>
      <c r="Q6409">
        <v>7.9551799999999992E-3</v>
      </c>
      <c r="R6409">
        <v>0.9995752</v>
      </c>
      <c r="S6409">
        <v>-0.1457977</v>
      </c>
      <c r="T6409">
        <v>-0.2438333</v>
      </c>
      <c r="U6409">
        <v>2.998993</v>
      </c>
      <c r="V6409">
        <v>-1.118195E-2</v>
      </c>
      <c r="W6409">
        <v>2.243123E-2</v>
      </c>
      <c r="X6409">
        <v>0.99968579999999996</v>
      </c>
      <c r="Y6409">
        <v>-3.1531799999999999E-2</v>
      </c>
      <c r="Z6409">
        <v>-8.0952769999999993E-2</v>
      </c>
      <c r="AA6409">
        <v>0.99621899999999997</v>
      </c>
      <c r="AB6409">
        <v>30</v>
      </c>
      <c r="AC6409">
        <v>-0.65529999999998201</v>
      </c>
      <c r="AD6409">
        <v>-1.104868915917</v>
      </c>
      <c r="AE6409">
        <v>13.29895</v>
      </c>
      <c r="AF6409">
        <v>-0.42777451264875099</v>
      </c>
      <c r="AG6409">
        <v>-1.104868915917</v>
      </c>
      <c r="AH6409">
        <v>13.217110652659001</v>
      </c>
      <c r="AI6409">
        <v>94.775974660525605</v>
      </c>
      <c r="AJ6409">
        <v>91.853742634202106</v>
      </c>
      <c r="AK6409">
        <v>13.270107021409499</v>
      </c>
    </row>
    <row r="6410" spans="1:37" x14ac:dyDescent="0.2">
      <c r="A6410" t="str">
        <f>"20200111160344522"</f>
        <v>20200111160344522</v>
      </c>
      <c r="B6410" t="str">
        <f>"1578729824519772"</f>
        <v>1578729824519772</v>
      </c>
      <c r="C6410" t="s">
        <v>37</v>
      </c>
      <c r="D6410">
        <v>5.1618029999999999</v>
      </c>
      <c r="E6410">
        <v>0.494214599999999</v>
      </c>
      <c r="F6410" t="s">
        <v>38</v>
      </c>
      <c r="G6410">
        <v>-188.83619999999999</v>
      </c>
      <c r="H6410" s="1">
        <v>-1.074934E-6</v>
      </c>
      <c r="I6410">
        <v>91.657259999999994</v>
      </c>
      <c r="J6410">
        <v>-188.1763</v>
      </c>
      <c r="K6410">
        <v>1.1048750000000001</v>
      </c>
      <c r="L6410">
        <v>78.290559999999999</v>
      </c>
      <c r="M6410">
        <v>-1.733289E-2</v>
      </c>
      <c r="N6410">
        <v>0</v>
      </c>
      <c r="O6410">
        <v>0.999745199999999</v>
      </c>
      <c r="P6410">
        <v>-2.8508039999999998E-2</v>
      </c>
      <c r="Q6410">
        <v>8.9106569999999902E-3</v>
      </c>
      <c r="R6410">
        <v>0.9995539</v>
      </c>
      <c r="S6410">
        <v>-0.14598079999999999</v>
      </c>
      <c r="T6410">
        <v>-0.24233350000000001</v>
      </c>
      <c r="U6410">
        <v>2.9991150000000002</v>
      </c>
      <c r="V6410">
        <v>-1.1196960000000001E-2</v>
      </c>
      <c r="W6410">
        <v>2.3355089999999998E-2</v>
      </c>
      <c r="X6410">
        <v>0.99966449999999996</v>
      </c>
      <c r="Y6410">
        <v>-3.1137959999999999E-2</v>
      </c>
      <c r="Z6410">
        <v>-8.0454280000000003E-2</v>
      </c>
      <c r="AA6410">
        <v>0.99627180000000004</v>
      </c>
      <c r="AB6410">
        <v>30</v>
      </c>
      <c r="AC6410">
        <v>-0.65989999999999305</v>
      </c>
      <c r="AD6410">
        <v>-1.1048760749340001</v>
      </c>
      <c r="AE6410">
        <v>13.3666999999999</v>
      </c>
      <c r="AF6410">
        <v>-0.42519500212428202</v>
      </c>
      <c r="AG6410">
        <v>-1.1048760749340001</v>
      </c>
      <c r="AH6410">
        <v>13.2855779082361</v>
      </c>
      <c r="AI6410">
        <v>94.751560180723999</v>
      </c>
      <c r="AJ6410">
        <v>91.833082959273298</v>
      </c>
      <c r="AK6410">
        <v>13.3382203568019</v>
      </c>
    </row>
    <row r="6411" spans="1:37" x14ac:dyDescent="0.2">
      <c r="A6411" t="str">
        <f>"20200111160344544"</f>
        <v>20200111160344544</v>
      </c>
      <c r="B6411" t="str">
        <f>"1578729824539292"</f>
        <v>1578729824539292</v>
      </c>
      <c r="C6411" t="s">
        <v>37</v>
      </c>
      <c r="D6411">
        <v>5.0924430000000003</v>
      </c>
      <c r="E6411">
        <v>0.494303299999999</v>
      </c>
      <c r="F6411" t="s">
        <v>38</v>
      </c>
      <c r="G6411">
        <v>-188.85730000000001</v>
      </c>
      <c r="H6411" s="1">
        <v>-1.2528140000000001E-6</v>
      </c>
      <c r="I6411">
        <v>92.080609999999993</v>
      </c>
      <c r="J6411">
        <v>-188.18190000000001</v>
      </c>
      <c r="K6411">
        <v>1.104865</v>
      </c>
      <c r="L6411">
        <v>78.584590000000006</v>
      </c>
      <c r="M6411">
        <v>-1.7768269999999999E-2</v>
      </c>
      <c r="N6411">
        <v>0</v>
      </c>
      <c r="O6411">
        <v>0.99973799999999902</v>
      </c>
      <c r="P6411">
        <v>-2.9280569999999999E-2</v>
      </c>
      <c r="Q6411">
        <v>8.6651239999999997E-3</v>
      </c>
      <c r="R6411">
        <v>0.99953369999999997</v>
      </c>
      <c r="S6411">
        <v>-0.14810179999999901</v>
      </c>
      <c r="T6411">
        <v>-0.24030509999999999</v>
      </c>
      <c r="U6411">
        <v>2.9992679999999998</v>
      </c>
      <c r="V6411">
        <v>-1.1534050000000001E-2</v>
      </c>
      <c r="W6411">
        <v>2.3082889999999998E-2</v>
      </c>
      <c r="X6411">
        <v>0.99966699999999997</v>
      </c>
      <c r="Y6411">
        <v>-3.1405750000000003E-2</v>
      </c>
      <c r="Z6411">
        <v>-7.9778500000000002E-2</v>
      </c>
      <c r="AA6411">
        <v>0.99631769999999997</v>
      </c>
      <c r="AB6411">
        <v>30</v>
      </c>
      <c r="AC6411">
        <v>-0.675399999999996</v>
      </c>
      <c r="AD6411">
        <v>-1.1048662528140001</v>
      </c>
      <c r="AE6411">
        <v>13.4960199999999</v>
      </c>
      <c r="AF6411">
        <v>-0.432575554196995</v>
      </c>
      <c r="AG6411">
        <v>-1.1048662528140001</v>
      </c>
      <c r="AH6411">
        <v>13.4161994232298</v>
      </c>
      <c r="AI6411">
        <v>94.705429747066503</v>
      </c>
      <c r="AJ6411">
        <v>91.846735385400194</v>
      </c>
      <c r="AK6411">
        <v>13.4685655513335</v>
      </c>
    </row>
    <row r="6412" spans="1:37" x14ac:dyDescent="0.2">
      <c r="A6412" t="str">
        <f>"20200111160344567"</f>
        <v>20200111160344567</v>
      </c>
      <c r="B6412" t="str">
        <f>"1578729824559788"</f>
        <v>1578729824559788</v>
      </c>
      <c r="C6412" t="s">
        <v>37</v>
      </c>
      <c r="D6412">
        <v>5.0760269999999998</v>
      </c>
      <c r="E6412">
        <v>0.51022990000000001</v>
      </c>
      <c r="F6412" t="s">
        <v>38</v>
      </c>
      <c r="G6412">
        <v>-188.86750000000001</v>
      </c>
      <c r="H6412" s="1">
        <v>-1.350061E-6</v>
      </c>
      <c r="I6412">
        <v>92.311539999999994</v>
      </c>
      <c r="J6412">
        <v>-188.18799999999999</v>
      </c>
      <c r="K6412">
        <v>1.1048530000000001</v>
      </c>
      <c r="L6412">
        <v>78.900300000000001</v>
      </c>
      <c r="M6412">
        <v>-1.8235790000000002E-2</v>
      </c>
      <c r="N6412">
        <v>0</v>
      </c>
      <c r="O6412">
        <v>0.99972989999999995</v>
      </c>
      <c r="P6412">
        <v>-3.0753539999999999E-2</v>
      </c>
      <c r="Q6412">
        <v>7.062151E-3</v>
      </c>
      <c r="R6412">
        <v>0.99950209999999995</v>
      </c>
      <c r="S6412">
        <v>-0.1497955</v>
      </c>
      <c r="T6412">
        <v>-0.241393</v>
      </c>
      <c r="U6412">
        <v>2.9990839999999999</v>
      </c>
      <c r="V6412">
        <v>-1.253838E-2</v>
      </c>
      <c r="W6412">
        <v>2.1454419999999998E-2</v>
      </c>
      <c r="X6412">
        <v>0.9996912</v>
      </c>
      <c r="Y6412">
        <v>-3.1501170000000002E-2</v>
      </c>
      <c r="Z6412">
        <v>-8.0139970000000005E-2</v>
      </c>
      <c r="AA6412">
        <v>0.99628570000000005</v>
      </c>
      <c r="AB6412">
        <v>30</v>
      </c>
      <c r="AC6412">
        <v>-0.67950000000001798</v>
      </c>
      <c r="AD6412">
        <v>-1.104854350061</v>
      </c>
      <c r="AE6412">
        <v>13.411239999999999</v>
      </c>
      <c r="AF6412">
        <v>-0.43187345946768901</v>
      </c>
      <c r="AG6412">
        <v>-1.104854350061</v>
      </c>
      <c r="AH6412">
        <v>13.3311562334651</v>
      </c>
      <c r="AI6412">
        <v>94.735236863742003</v>
      </c>
      <c r="AJ6412">
        <v>91.8554936395021</v>
      </c>
      <c r="AK6412">
        <v>13.3838314521999</v>
      </c>
    </row>
    <row r="6413" spans="1:37" x14ac:dyDescent="0.2">
      <c r="A6413" t="str">
        <f>"20200111160344591"</f>
        <v>20200111160344591</v>
      </c>
      <c r="B6413" t="str">
        <f>"1578729824579308"</f>
        <v>1578729824579308</v>
      </c>
      <c r="C6413" t="s">
        <v>37</v>
      </c>
      <c r="D6413">
        <v>6.5788679999999902</v>
      </c>
      <c r="E6413">
        <v>0.51070379999999904</v>
      </c>
      <c r="F6413" t="s">
        <v>42</v>
      </c>
      <c r="G6413">
        <v>-188.1953</v>
      </c>
      <c r="H6413">
        <v>1.0334760000000001</v>
      </c>
      <c r="I6413">
        <v>79.644869999999997</v>
      </c>
      <c r="J6413">
        <v>-188.19409999999999</v>
      </c>
      <c r="K6413">
        <v>1.1048450000000001</v>
      </c>
      <c r="L6413">
        <v>79.203699999999998</v>
      </c>
      <c r="M6413">
        <v>-1.8685299999999998E-2</v>
      </c>
      <c r="N6413">
        <v>0</v>
      </c>
      <c r="O6413">
        <v>0.99972190000000005</v>
      </c>
      <c r="P6413">
        <v>-3.1979870000000001E-2</v>
      </c>
      <c r="Q6413">
        <v>6.5828600000000003E-3</v>
      </c>
      <c r="R6413">
        <v>0.99946679999999999</v>
      </c>
      <c r="S6413">
        <v>-2.9586790000000002E-2</v>
      </c>
      <c r="T6413">
        <v>-0.28788900000000001</v>
      </c>
      <c r="U6413">
        <v>3.0026250000000001</v>
      </c>
      <c r="V6413">
        <v>-1.331457E-2</v>
      </c>
      <c r="W6413">
        <v>2.0953380000000001E-2</v>
      </c>
      <c r="X6413">
        <v>0.99969180000000002</v>
      </c>
      <c r="Y6413">
        <v>8.8798439999999996E-3</v>
      </c>
      <c r="Z6413">
        <v>-9.5412339999999998E-2</v>
      </c>
      <c r="AA6413">
        <v>0.99539820000000001</v>
      </c>
      <c r="AB6413">
        <v>30</v>
      </c>
      <c r="AC6413">
        <v>-1.20000000001141E-3</v>
      </c>
      <c r="AD6413">
        <v>-7.1369000000000002E-2</v>
      </c>
      <c r="AE6413">
        <v>0.44116999999999901</v>
      </c>
      <c r="AF6413">
        <v>6.86480452125263E-3</v>
      </c>
      <c r="AG6413">
        <v>-7.1369000000000002E-2</v>
      </c>
      <c r="AH6413">
        <v>0.42986579025765997</v>
      </c>
      <c r="AI6413">
        <v>99.425436133653207</v>
      </c>
      <c r="AJ6413">
        <v>89.085084452331202</v>
      </c>
      <c r="AK6413">
        <v>0.43580415020506302</v>
      </c>
    </row>
    <row r="6414" spans="1:37" x14ac:dyDescent="0.2">
      <c r="A6414" t="str">
        <f>"20200111160344614"</f>
        <v>20200111160344614</v>
      </c>
      <c r="B6414" t="str">
        <f>"1578729824609564"</f>
        <v>1578729824609564</v>
      </c>
      <c r="C6414" t="s">
        <v>37</v>
      </c>
      <c r="D6414">
        <v>5.042306</v>
      </c>
      <c r="E6414">
        <v>0.51082459999999996</v>
      </c>
      <c r="F6414" t="s">
        <v>42</v>
      </c>
      <c r="G6414">
        <v>-188.20359999999999</v>
      </c>
      <c r="H6414">
        <v>1.011404</v>
      </c>
      <c r="I6414">
        <v>80.171719999999993</v>
      </c>
      <c r="J6414">
        <v>-188.20079999999999</v>
      </c>
      <c r="K6414">
        <v>1.104851</v>
      </c>
      <c r="L6414">
        <v>79.53143</v>
      </c>
      <c r="M6414">
        <v>-1.917116E-2</v>
      </c>
      <c r="N6414">
        <v>0</v>
      </c>
      <c r="O6414">
        <v>0.99971299999999996</v>
      </c>
      <c r="P6414">
        <v>-3.2897299999999997E-2</v>
      </c>
      <c r="Q6414">
        <v>7.3019280000000001E-3</v>
      </c>
      <c r="R6414">
        <v>0.99943210000000005</v>
      </c>
      <c r="S6414">
        <v>-2.99529999999999E-2</v>
      </c>
      <c r="T6414">
        <v>-0.28989870000000001</v>
      </c>
      <c r="U6414">
        <v>3.0025330000000001</v>
      </c>
      <c r="V6414">
        <v>-1.3747199999999999E-2</v>
      </c>
      <c r="W6414">
        <v>2.1651779999999999E-2</v>
      </c>
      <c r="X6414">
        <v>0.99967099999999898</v>
      </c>
      <c r="Y6414">
        <v>9.2447569999999993E-3</v>
      </c>
      <c r="Z6414">
        <v>-9.6073610000000004E-2</v>
      </c>
      <c r="AA6414">
        <v>0.99533130000000003</v>
      </c>
      <c r="AB6414">
        <v>30</v>
      </c>
      <c r="AC6414">
        <v>-2.80000000000768E-3</v>
      </c>
      <c r="AD6414">
        <v>-9.3446999999999794E-2</v>
      </c>
      <c r="AE6414">
        <v>0.64028999999999303</v>
      </c>
      <c r="AF6414">
        <v>9.2792406341504E-3</v>
      </c>
      <c r="AG6414">
        <v>-9.3446999999999794E-2</v>
      </c>
      <c r="AH6414">
        <v>0.62687389817973205</v>
      </c>
      <c r="AI6414">
        <v>98.477633109238894</v>
      </c>
      <c r="AJ6414">
        <v>89.151946665678395</v>
      </c>
      <c r="AK6414">
        <v>0.63386854341795495</v>
      </c>
    </row>
    <row r="6415" spans="1:37" x14ac:dyDescent="0.2">
      <c r="A6415" t="str">
        <f>"20200111160344634"</f>
        <v>20200111160344634</v>
      </c>
      <c r="B6415" t="str">
        <f>"1578729824630060"</f>
        <v>1578729824630060</v>
      </c>
      <c r="C6415" t="s">
        <v>37</v>
      </c>
      <c r="D6415">
        <v>5.150436</v>
      </c>
      <c r="E6415">
        <v>0.51055379999999995</v>
      </c>
      <c r="F6415" t="s">
        <v>42</v>
      </c>
      <c r="G6415">
        <v>-188.2106</v>
      </c>
      <c r="H6415">
        <v>1.016885</v>
      </c>
      <c r="I6415">
        <v>80.442909999999998</v>
      </c>
      <c r="J6415">
        <v>-188.20660000000001</v>
      </c>
      <c r="K6415">
        <v>1.1048639999999901</v>
      </c>
      <c r="L6415">
        <v>79.812469999999905</v>
      </c>
      <c r="M6415">
        <v>-1.95877E-2</v>
      </c>
      <c r="N6415">
        <v>0</v>
      </c>
      <c r="O6415">
        <v>0.99970519999999996</v>
      </c>
      <c r="P6415">
        <v>-3.3786990000000003E-2</v>
      </c>
      <c r="Q6415">
        <v>9.2242039999999997E-3</v>
      </c>
      <c r="R6415">
        <v>0.99938649999999996</v>
      </c>
      <c r="S6415">
        <v>-3.22876E-2</v>
      </c>
      <c r="T6415">
        <v>-0.28979899999999997</v>
      </c>
      <c r="U6415">
        <v>3.0027469999999998</v>
      </c>
      <c r="V6415">
        <v>-1.4222790000000001E-2</v>
      </c>
      <c r="W6415">
        <v>2.3557689999999999E-2</v>
      </c>
      <c r="X6415">
        <v>0.99962129999999905</v>
      </c>
      <c r="Y6415">
        <v>8.8882849999999992E-3</v>
      </c>
      <c r="Z6415">
        <v>-9.6032720000000002E-2</v>
      </c>
      <c r="AA6415">
        <v>0.99533850000000001</v>
      </c>
      <c r="AB6415">
        <v>30</v>
      </c>
      <c r="AC6415">
        <v>-3.9999999999906699E-3</v>
      </c>
      <c r="AD6415">
        <v>-8.7978999999999793E-2</v>
      </c>
      <c r="AE6415">
        <v>0.63044000000000699</v>
      </c>
      <c r="AF6415">
        <v>8.1913899406130895E-3</v>
      </c>
      <c r="AG6415">
        <v>-8.7978999999999793E-2</v>
      </c>
      <c r="AH6415">
        <v>0.61835558174254601</v>
      </c>
      <c r="AI6415">
        <v>98.096934842438202</v>
      </c>
      <c r="AJ6415">
        <v>89.241044093080205</v>
      </c>
      <c r="AK6415">
        <v>0.62463671744648597</v>
      </c>
    </row>
    <row r="6416" spans="1:37" x14ac:dyDescent="0.2">
      <c r="A6416" t="str">
        <f>"20200111160344656"</f>
        <v>20200111160344656</v>
      </c>
      <c r="B6416" t="str">
        <f>"1578729824650088"</f>
        <v>1578729824650088</v>
      </c>
      <c r="C6416" t="s">
        <v>37</v>
      </c>
      <c r="D6416">
        <v>5.0939889999999997</v>
      </c>
      <c r="E6416">
        <v>0.51068930000000001</v>
      </c>
      <c r="F6416" t="s">
        <v>42</v>
      </c>
      <c r="G6416">
        <v>-188.2175</v>
      </c>
      <c r="H6416">
        <v>1.020311</v>
      </c>
      <c r="I6416">
        <v>80.712779999999995</v>
      </c>
      <c r="J6416">
        <v>-188.21279999999999</v>
      </c>
      <c r="K6416">
        <v>1.104873</v>
      </c>
      <c r="L6416">
        <v>80.10333</v>
      </c>
      <c r="M6416">
        <v>-2.0018899999999999E-2</v>
      </c>
      <c r="N6416">
        <v>0</v>
      </c>
      <c r="O6416">
        <v>0.9996969</v>
      </c>
      <c r="P6416">
        <v>-3.424671E-2</v>
      </c>
      <c r="Q6416">
        <v>1.1021319999999999E-2</v>
      </c>
      <c r="R6416">
        <v>0.99935260000000004</v>
      </c>
      <c r="S6416">
        <v>-3.6621090000000002E-2</v>
      </c>
      <c r="T6416">
        <v>-0.28207369999999998</v>
      </c>
      <c r="U6416">
        <v>3.0032040000000002</v>
      </c>
      <c r="V6416">
        <v>-1.4253149999999999E-2</v>
      </c>
      <c r="W6416">
        <v>2.534053E-2</v>
      </c>
      <c r="X6416">
        <v>0.9995773</v>
      </c>
      <c r="Y6416">
        <v>7.8822149999999997E-3</v>
      </c>
      <c r="Z6416">
        <v>-9.347975E-2</v>
      </c>
      <c r="AA6416">
        <v>0.99558999999999997</v>
      </c>
      <c r="AB6416">
        <v>30</v>
      </c>
      <c r="AC6416">
        <v>-4.7000000000139101E-3</v>
      </c>
      <c r="AD6416">
        <v>-8.4561999999999998E-2</v>
      </c>
      <c r="AE6416">
        <v>0.60945000000000904</v>
      </c>
      <c r="AF6416">
        <v>7.36100835428682E-3</v>
      </c>
      <c r="AG6416">
        <v>-8.4561999999999998E-2</v>
      </c>
      <c r="AH6416">
        <v>0.59791167014715696</v>
      </c>
      <c r="AI6416">
        <v>98.049289704150794</v>
      </c>
      <c r="AJ6416">
        <v>89.294656005520594</v>
      </c>
      <c r="AK6416">
        <v>0.60390668284607896</v>
      </c>
    </row>
    <row r="6417" spans="1:37" x14ac:dyDescent="0.2">
      <c r="A6417" t="str">
        <f>"20200111160344702"</f>
        <v>20200111160344702</v>
      </c>
      <c r="B6417" t="str">
        <f>"1578729824699863"</f>
        <v>1578729824699863</v>
      </c>
      <c r="C6417" t="s">
        <v>37</v>
      </c>
      <c r="D6417">
        <v>5.0066809999999897</v>
      </c>
      <c r="E6417">
        <v>0.51117990000000002</v>
      </c>
      <c r="F6417" t="s">
        <v>42</v>
      </c>
      <c r="G6417">
        <v>-188.2235</v>
      </c>
      <c r="H6417">
        <v>1.024052</v>
      </c>
      <c r="I6417">
        <v>80.982479999999995</v>
      </c>
      <c r="J6417">
        <v>-188.2259</v>
      </c>
      <c r="K6417">
        <v>1.1048579999999999</v>
      </c>
      <c r="L6417">
        <v>80.704160000000002</v>
      </c>
      <c r="M6417">
        <v>-2.090968E-2</v>
      </c>
      <c r="N6417">
        <v>0</v>
      </c>
      <c r="O6417">
        <v>0.99967899999999998</v>
      </c>
      <c r="P6417">
        <v>-3.4290170000000002E-2</v>
      </c>
      <c r="Q6417">
        <v>1.0482470000000001E-2</v>
      </c>
      <c r="R6417">
        <v>0.99935689999999999</v>
      </c>
      <c r="S6417">
        <v>-3.6621090000000002E-2</v>
      </c>
      <c r="T6417">
        <v>-0.27614359999999999</v>
      </c>
      <c r="U6417">
        <v>3.0037229999999999</v>
      </c>
      <c r="V6417">
        <v>-1.3404920000000001E-2</v>
      </c>
      <c r="W6417">
        <v>2.4778040000000001E-2</v>
      </c>
      <c r="X6417">
        <v>0.99960309999999897</v>
      </c>
      <c r="Y6417">
        <v>8.7731030000000008E-3</v>
      </c>
      <c r="Z6417">
        <v>-9.1512609999999994E-2</v>
      </c>
      <c r="AA6417">
        <v>0.99576529999999996</v>
      </c>
      <c r="AB6417">
        <v>30</v>
      </c>
      <c r="AC6417">
        <v>2.3999999999944001E-3</v>
      </c>
      <c r="AD6417">
        <v>-8.0805999999999906E-2</v>
      </c>
      <c r="AE6417">
        <v>0.27832000000000701</v>
      </c>
      <c r="AF6417">
        <v>7.5806911825725097E-3</v>
      </c>
      <c r="AG6417">
        <v>-8.0805999999999906E-2</v>
      </c>
      <c r="AH6417">
        <v>0.25658213732951901</v>
      </c>
      <c r="AI6417">
        <v>107.47373752833001</v>
      </c>
      <c r="AJ6417">
        <v>88.307694751437793</v>
      </c>
      <c r="AK6417">
        <v>0.26911237376120301</v>
      </c>
    </row>
    <row r="6418" spans="1:37" x14ac:dyDescent="0.2">
      <c r="A6418" t="str">
        <f>"20200111160344724"</f>
        <v>20200111160344724</v>
      </c>
      <c r="B6418" t="str">
        <f>"1578729824719383"</f>
        <v>1578729824719383</v>
      </c>
      <c r="C6418" t="s">
        <v>37</v>
      </c>
      <c r="D6418">
        <v>5.0083630000000001</v>
      </c>
      <c r="E6418">
        <v>0.51109599999999999</v>
      </c>
      <c r="F6418" t="s">
        <v>42</v>
      </c>
      <c r="G6418">
        <v>-188.23490000000001</v>
      </c>
      <c r="H6418">
        <v>1.0296099999999999</v>
      </c>
      <c r="I6418">
        <v>81.52</v>
      </c>
      <c r="J6418">
        <v>-188.23240000000001</v>
      </c>
      <c r="K6418">
        <v>1.1048469999999999</v>
      </c>
      <c r="L6418">
        <v>80.991699999999994</v>
      </c>
      <c r="M6418">
        <v>-2.1336040000000001E-2</v>
      </c>
      <c r="N6418">
        <v>0</v>
      </c>
      <c r="O6418">
        <v>0.99967009999999901</v>
      </c>
      <c r="P6418">
        <v>-3.4194290000000002E-2</v>
      </c>
      <c r="Q6418">
        <v>8.8114939999999996E-3</v>
      </c>
      <c r="R6418">
        <v>0.99937640000000005</v>
      </c>
      <c r="S6418">
        <v>-3.3172609999999998E-2</v>
      </c>
      <c r="T6418">
        <v>-0.27705400000000002</v>
      </c>
      <c r="U6418">
        <v>3.0036930000000002</v>
      </c>
      <c r="V6418">
        <v>-1.2881129999999999E-2</v>
      </c>
      <c r="W6418">
        <v>2.3098150000000001E-2</v>
      </c>
      <c r="X6418">
        <v>0.99965020000000004</v>
      </c>
      <c r="Y6418">
        <v>1.0342820000000001E-2</v>
      </c>
      <c r="Z6418">
        <v>-9.1811379999999998E-2</v>
      </c>
      <c r="AA6418">
        <v>0.99572269999999896</v>
      </c>
      <c r="AB6418">
        <v>30</v>
      </c>
      <c r="AC6418">
        <v>-2.4999999999977202E-3</v>
      </c>
      <c r="AD6418">
        <v>-7.5236999999999707E-2</v>
      </c>
      <c r="AE6418">
        <v>0.52830000000000099</v>
      </c>
      <c r="AF6418">
        <v>8.5991512264210306E-3</v>
      </c>
      <c r="AG6418">
        <v>-7.5236999999999707E-2</v>
      </c>
      <c r="AH6418">
        <v>0.51773285556196202</v>
      </c>
      <c r="AI6418">
        <v>98.267225686517804</v>
      </c>
      <c r="AJ6418">
        <v>89.048447922952505</v>
      </c>
      <c r="AK6418">
        <v>0.52324168536075</v>
      </c>
    </row>
    <row r="6419" spans="1:37" x14ac:dyDescent="0.2">
      <c r="A6419" t="str">
        <f>"20200111160344744"</f>
        <v>20200111160344744</v>
      </c>
      <c r="B6419" t="str">
        <f>"1578729824739879"</f>
        <v>1578729824739879</v>
      </c>
      <c r="C6419" t="s">
        <v>37</v>
      </c>
      <c r="D6419">
        <v>4.9582360000000003</v>
      </c>
      <c r="E6419">
        <v>0.5113375</v>
      </c>
      <c r="F6419" t="s">
        <v>42</v>
      </c>
      <c r="G6419">
        <v>-188.24109999999999</v>
      </c>
      <c r="H6419">
        <v>1.0303910000000001</v>
      </c>
      <c r="I6419">
        <v>81.787289999999999</v>
      </c>
      <c r="J6419">
        <v>-188.23910000000001</v>
      </c>
      <c r="K6419">
        <v>1.1048439999999999</v>
      </c>
      <c r="L6419">
        <v>81.280879999999996</v>
      </c>
      <c r="M6419">
        <v>-2.176502E-2</v>
      </c>
      <c r="N6419">
        <v>0</v>
      </c>
      <c r="O6419">
        <v>0.99966100000000002</v>
      </c>
      <c r="P6419">
        <v>-3.3988959999999999E-2</v>
      </c>
      <c r="Q6419">
        <v>8.1767739999999995E-3</v>
      </c>
      <c r="R6419">
        <v>0.99938879999999997</v>
      </c>
      <c r="S6419">
        <v>-3.3203129999999997E-2</v>
      </c>
      <c r="T6419">
        <v>-0.2811303</v>
      </c>
      <c r="U6419">
        <v>3.0032040000000002</v>
      </c>
      <c r="V6419">
        <v>-1.224542E-2</v>
      </c>
      <c r="W6419">
        <v>2.2455059999999999E-2</v>
      </c>
      <c r="X6419">
        <v>0.99967280000000003</v>
      </c>
      <c r="Y6419">
        <v>1.07613999999999E-2</v>
      </c>
      <c r="Z6419">
        <v>-9.3164079999999996E-2</v>
      </c>
      <c r="AA6419">
        <v>0.99559259999999905</v>
      </c>
      <c r="AB6419">
        <v>30</v>
      </c>
      <c r="AC6419">
        <v>-1.9999999999811202E-3</v>
      </c>
      <c r="AD6419">
        <v>-7.4453000000000102E-2</v>
      </c>
      <c r="AE6419">
        <v>0.50640999999998804</v>
      </c>
      <c r="AF6419">
        <v>8.8327050259144405E-3</v>
      </c>
      <c r="AG6419">
        <v>-7.4453000000000102E-2</v>
      </c>
      <c r="AH6419">
        <v>0.495620758971557</v>
      </c>
      <c r="AI6419">
        <v>98.541852608157001</v>
      </c>
      <c r="AJ6419">
        <v>88.979011385063302</v>
      </c>
      <c r="AK6419">
        <v>0.50125961597820401</v>
      </c>
    </row>
    <row r="6420" spans="1:37" x14ac:dyDescent="0.2">
      <c r="A6420" t="str">
        <f>"20200111160344769"</f>
        <v>20200111160344769</v>
      </c>
      <c r="B6420" t="str">
        <f>"1578729824759399"</f>
        <v>1578729824759399</v>
      </c>
      <c r="C6420" t="s">
        <v>37</v>
      </c>
      <c r="D6420">
        <v>5.0069900000000001</v>
      </c>
      <c r="E6420">
        <v>0.51142879999999902</v>
      </c>
      <c r="F6420" t="s">
        <v>42</v>
      </c>
      <c r="G6420">
        <v>-188.24690000000001</v>
      </c>
      <c r="H6420">
        <v>1.031917</v>
      </c>
      <c r="I6420">
        <v>82.054630000000003</v>
      </c>
      <c r="J6420">
        <v>-188.2465</v>
      </c>
      <c r="K6420">
        <v>1.104843</v>
      </c>
      <c r="L6420">
        <v>81.599879999999999</v>
      </c>
      <c r="M6420">
        <v>-2.223839E-2</v>
      </c>
      <c r="N6420">
        <v>0</v>
      </c>
      <c r="O6420">
        <v>0.9996507</v>
      </c>
      <c r="P6420">
        <v>-3.3628440000000002E-2</v>
      </c>
      <c r="Q6420">
        <v>8.6849560000000006E-3</v>
      </c>
      <c r="R6420">
        <v>0.99939669999999903</v>
      </c>
      <c r="S6420">
        <v>-3.0685420000000001E-2</v>
      </c>
      <c r="T6420">
        <v>-0.28307739999999998</v>
      </c>
      <c r="U6420">
        <v>3.0031129999999999</v>
      </c>
      <c r="V6420">
        <v>-1.141205E-2</v>
      </c>
      <c r="W6420">
        <v>2.2954660000000002E-2</v>
      </c>
      <c r="X6420">
        <v>0.99967139999999999</v>
      </c>
      <c r="Y6420">
        <v>1.2069750000000001E-2</v>
      </c>
      <c r="Z6420">
        <v>-9.3804739999999998E-2</v>
      </c>
      <c r="AA6420">
        <v>0.9955174</v>
      </c>
      <c r="AB6420">
        <v>30</v>
      </c>
      <c r="AC6420">
        <v>-4.0000000001327803E-4</v>
      </c>
      <c r="AD6420">
        <v>-7.2926000000000005E-2</v>
      </c>
      <c r="AE6420">
        <v>0.45475000000000398</v>
      </c>
      <c r="AF6420">
        <v>9.4704863396908399E-3</v>
      </c>
      <c r="AG6420">
        <v>-7.2926000000000005E-2</v>
      </c>
      <c r="AH6420">
        <v>0.44324745066909799</v>
      </c>
      <c r="AI6420">
        <v>99.340884362188007</v>
      </c>
      <c r="AJ6420">
        <v>88.775996684615507</v>
      </c>
      <c r="AK6420">
        <v>0.44930634773188399</v>
      </c>
    </row>
    <row r="6421" spans="1:37" x14ac:dyDescent="0.2">
      <c r="A6421" t="str">
        <f>"20200111160344791"</f>
        <v>20200111160344791</v>
      </c>
      <c r="B6421" t="str">
        <f>"1578729824789655"</f>
        <v>1578729824789655</v>
      </c>
      <c r="C6421" t="s">
        <v>37</v>
      </c>
      <c r="D6421">
        <v>4.9478249999999999</v>
      </c>
      <c r="E6421">
        <v>0.51167269999999998</v>
      </c>
      <c r="F6421" t="s">
        <v>42</v>
      </c>
      <c r="G6421">
        <v>-188.2533</v>
      </c>
      <c r="H6421">
        <v>1.0369409999999999</v>
      </c>
      <c r="I6421">
        <v>82.324569999999994</v>
      </c>
      <c r="J6421">
        <v>-188.25370000000001</v>
      </c>
      <c r="K6421">
        <v>1.104849</v>
      </c>
      <c r="L6421">
        <v>81.898250000000004</v>
      </c>
      <c r="M6421">
        <v>-2.2681369999999999E-2</v>
      </c>
      <c r="N6421">
        <v>0</v>
      </c>
      <c r="O6421">
        <v>0.9996408</v>
      </c>
      <c r="P6421">
        <v>-3.4129859999999998E-2</v>
      </c>
      <c r="Q6421">
        <v>9.4420709999999998E-3</v>
      </c>
      <c r="R6421">
        <v>0.99937279999999995</v>
      </c>
      <c r="S6421">
        <v>-2.8549189999999999E-2</v>
      </c>
      <c r="T6421">
        <v>-0.28145170000000003</v>
      </c>
      <c r="U6421">
        <v>3.00329599999999</v>
      </c>
      <c r="V6421">
        <v>-1.1471439999999999E-2</v>
      </c>
      <c r="W6421">
        <v>2.370357E-2</v>
      </c>
      <c r="X6421">
        <v>0.99965319999999902</v>
      </c>
      <c r="Y6421">
        <v>1.322101E-2</v>
      </c>
      <c r="Z6421">
        <v>-9.326334E-2</v>
      </c>
      <c r="AA6421">
        <v>0.99555369999999999</v>
      </c>
      <c r="AB6421">
        <v>30</v>
      </c>
      <c r="AC6421">
        <v>4.0000000001327803E-4</v>
      </c>
      <c r="AD6421">
        <v>-6.7907999999999996E-2</v>
      </c>
      <c r="AE6421">
        <v>0.42631999999998899</v>
      </c>
      <c r="AF6421">
        <v>9.8212117290608792E-3</v>
      </c>
      <c r="AG6421">
        <v>-6.7907999999999996E-2</v>
      </c>
      <c r="AH6421">
        <v>0.41565486239962901</v>
      </c>
      <c r="AI6421">
        <v>99.276231371172202</v>
      </c>
      <c r="AJ6421">
        <v>88.646450823890902</v>
      </c>
      <c r="AK6421">
        <v>0.42128009364350599</v>
      </c>
    </row>
    <row r="6422" spans="1:37" x14ac:dyDescent="0.2">
      <c r="A6422" t="str">
        <f>"20200111160344815"</f>
        <v>20200111160344815</v>
      </c>
      <c r="B6422" t="str">
        <f>"1578729824810151"</f>
        <v>1578729824810151</v>
      </c>
      <c r="C6422" t="s">
        <v>37</v>
      </c>
      <c r="D6422">
        <v>4.9904330000000003</v>
      </c>
      <c r="E6422">
        <v>0.511853</v>
      </c>
      <c r="F6422" t="s">
        <v>42</v>
      </c>
      <c r="G6422">
        <v>-188.26240000000001</v>
      </c>
      <c r="H6422">
        <v>1.017045</v>
      </c>
      <c r="I6422">
        <v>82.845209999999994</v>
      </c>
      <c r="J6422">
        <v>-188.26089999999999</v>
      </c>
      <c r="K6422">
        <v>1.1048500000000001</v>
      </c>
      <c r="L6422">
        <v>82.195619999999906</v>
      </c>
      <c r="M6422">
        <v>-2.312285E-2</v>
      </c>
      <c r="N6422">
        <v>0</v>
      </c>
      <c r="O6422">
        <v>0.99963080000000004</v>
      </c>
      <c r="P6422">
        <v>-3.5097429999999999E-2</v>
      </c>
      <c r="Q6422">
        <v>1.049228E-2</v>
      </c>
      <c r="R6422">
        <v>0.99932880000000002</v>
      </c>
      <c r="S6422">
        <v>-2.8091430000000001E-2</v>
      </c>
      <c r="T6422">
        <v>-0.27854289999999998</v>
      </c>
      <c r="U6422">
        <v>3.0035400000000001</v>
      </c>
      <c r="V6422">
        <v>-1.199881E-2</v>
      </c>
      <c r="W6422">
        <v>2.4746110000000002E-2</v>
      </c>
      <c r="X6422">
        <v>0.99962169999999895</v>
      </c>
      <c r="Y6422">
        <v>1.381426E-2</v>
      </c>
      <c r="Z6422">
        <v>-9.2298599999999995E-2</v>
      </c>
      <c r="AA6422">
        <v>0.99563559999999995</v>
      </c>
      <c r="AB6422">
        <v>30</v>
      </c>
      <c r="AC6422">
        <v>-1.5000000000213701E-3</v>
      </c>
      <c r="AD6422">
        <v>-8.7805000000000105E-2</v>
      </c>
      <c r="AE6422">
        <v>0.649590000000003</v>
      </c>
      <c r="AF6422">
        <v>1.32796723433737E-2</v>
      </c>
      <c r="AG6422">
        <v>-8.7805000000000105E-2</v>
      </c>
      <c r="AH6422">
        <v>0.63779789575388701</v>
      </c>
      <c r="AI6422">
        <v>97.836902311276603</v>
      </c>
      <c r="AJ6422">
        <v>88.807209522442704</v>
      </c>
      <c r="AK6422">
        <v>0.64395048221942797</v>
      </c>
    </row>
    <row r="6423" spans="1:37" x14ac:dyDescent="0.2">
      <c r="A6423" t="str">
        <f>"20200111160344836"</f>
        <v>20200111160344836</v>
      </c>
      <c r="B6423" t="str">
        <f>"1578729824829671"</f>
        <v>1578729824829671</v>
      </c>
      <c r="C6423" t="s">
        <v>37</v>
      </c>
      <c r="D6423">
        <v>4.9573960000000001</v>
      </c>
      <c r="E6423">
        <v>0.51198169999999998</v>
      </c>
      <c r="F6423" t="s">
        <v>42</v>
      </c>
      <c r="G6423">
        <v>-188.26990000000001</v>
      </c>
      <c r="H6423">
        <v>1.0208429999999999</v>
      </c>
      <c r="I6423">
        <v>83.112399999999994</v>
      </c>
      <c r="J6423">
        <v>-188.2681</v>
      </c>
      <c r="K6423">
        <v>1.1048469999999999</v>
      </c>
      <c r="L6423">
        <v>82.484800000000007</v>
      </c>
      <c r="M6423">
        <v>-2.355237E-2</v>
      </c>
      <c r="N6423">
        <v>0</v>
      </c>
      <c r="O6423">
        <v>0.99962090000000003</v>
      </c>
      <c r="P6423">
        <v>-3.6607420000000002E-2</v>
      </c>
      <c r="Q6423">
        <v>1.09943E-2</v>
      </c>
      <c r="R6423">
        <v>0.99926919999999897</v>
      </c>
      <c r="S6423">
        <v>-2.94341999999999E-2</v>
      </c>
      <c r="T6423">
        <v>-0.2752637</v>
      </c>
      <c r="U6423">
        <v>3.0038450000000001</v>
      </c>
      <c r="V6423">
        <v>-1.3080649999999999E-2</v>
      </c>
      <c r="W6423">
        <v>2.5240430000000001E-2</v>
      </c>
      <c r="X6423">
        <v>0.99959580000000003</v>
      </c>
      <c r="Y6423">
        <v>1.379883E-2</v>
      </c>
      <c r="Z6423">
        <v>-9.1210369999999999E-2</v>
      </c>
      <c r="AA6423">
        <v>0.99573609999999901</v>
      </c>
      <c r="AB6423">
        <v>30</v>
      </c>
      <c r="AC6423">
        <v>-1.8000000000029099E-3</v>
      </c>
      <c r="AD6423">
        <v>-8.4003999999999898E-2</v>
      </c>
      <c r="AE6423">
        <v>0.62759999999998595</v>
      </c>
      <c r="AF6423">
        <v>1.2754957639634501E-2</v>
      </c>
      <c r="AG6423">
        <v>-8.4003999999999898E-2</v>
      </c>
      <c r="AH6423">
        <v>0.61642467388626099</v>
      </c>
      <c r="AI6423">
        <v>97.758606053924595</v>
      </c>
      <c r="AJ6423">
        <v>88.814614340120499</v>
      </c>
      <c r="AK6423">
        <v>0.62225295462229202</v>
      </c>
    </row>
    <row r="6424" spans="1:37" x14ac:dyDescent="0.2">
      <c r="A6424" t="str">
        <f>"20200111160344859"</f>
        <v>20200111160344859</v>
      </c>
      <c r="B6424" t="str">
        <f>"1578729824850167"</f>
        <v>1578729824850167</v>
      </c>
      <c r="C6424" t="s">
        <v>37</v>
      </c>
      <c r="D6424">
        <v>4.9708399999999999</v>
      </c>
      <c r="E6424">
        <v>0.51211419999999996</v>
      </c>
      <c r="F6424" t="s">
        <v>42</v>
      </c>
      <c r="G6424">
        <v>-188.27770000000001</v>
      </c>
      <c r="H6424">
        <v>1.0235540000000001</v>
      </c>
      <c r="I6424">
        <v>83.378720000000001</v>
      </c>
      <c r="J6424">
        <v>-188.27599999999899</v>
      </c>
      <c r="K6424">
        <v>1.104846</v>
      </c>
      <c r="L6424">
        <v>82.796660000000003</v>
      </c>
      <c r="M6424">
        <v>-2.4015580000000002E-2</v>
      </c>
      <c r="N6424">
        <v>0</v>
      </c>
      <c r="O6424">
        <v>0.99960990000000005</v>
      </c>
      <c r="P6424">
        <v>-3.8208510000000001E-2</v>
      </c>
      <c r="Q6424">
        <v>1.144331E-2</v>
      </c>
      <c r="R6424">
        <v>0.99920429999999905</v>
      </c>
      <c r="S6424">
        <v>-3.2745360000000001E-2</v>
      </c>
      <c r="T6424">
        <v>-0.27322379999999902</v>
      </c>
      <c r="U6424">
        <v>3.0039980000000002</v>
      </c>
      <c r="V6424">
        <v>-1.421966E-2</v>
      </c>
      <c r="W6424">
        <v>2.5681840000000001E-2</v>
      </c>
      <c r="X6424">
        <v>0.99956909999999899</v>
      </c>
      <c r="Y6424">
        <v>1.316457E-2</v>
      </c>
      <c r="Z6424">
        <v>-9.0533820000000001E-2</v>
      </c>
      <c r="AA6424">
        <v>0.99580639999999998</v>
      </c>
      <c r="AB6424">
        <v>30</v>
      </c>
      <c r="AC6424">
        <v>-1.7000000000280101E-3</v>
      </c>
      <c r="AD6424">
        <v>-8.1291999999999906E-2</v>
      </c>
      <c r="AE6424">
        <v>0.58205999999999802</v>
      </c>
      <c r="AF6424">
        <v>1.2045467534900701E-2</v>
      </c>
      <c r="AG6424">
        <v>-8.1291999999999906E-2</v>
      </c>
      <c r="AH6424">
        <v>0.57079921476956197</v>
      </c>
      <c r="AI6424">
        <v>98.1036546833367</v>
      </c>
      <c r="AJ6424">
        <v>88.791077469947396</v>
      </c>
      <c r="AK6424">
        <v>0.57668468519086102</v>
      </c>
    </row>
    <row r="6425" spans="1:37" x14ac:dyDescent="0.2">
      <c r="A6425" t="str">
        <f>"20200111160344882"</f>
        <v>20200111160344882</v>
      </c>
      <c r="B6425" t="str">
        <f>"1578729824879447"</f>
        <v>1578729824879447</v>
      </c>
      <c r="C6425" t="s">
        <v>37</v>
      </c>
      <c r="D6425">
        <v>4.9992769999999904</v>
      </c>
      <c r="E6425">
        <v>0.51226380000000005</v>
      </c>
      <c r="F6425" t="s">
        <v>42</v>
      </c>
      <c r="G6425">
        <v>-188.28620000000001</v>
      </c>
      <c r="H6425">
        <v>1.0280860000000001</v>
      </c>
      <c r="I6425">
        <v>83.645629999999997</v>
      </c>
      <c r="J6425">
        <v>-188.28370000000001</v>
      </c>
      <c r="K6425">
        <v>1.104841</v>
      </c>
      <c r="L6425">
        <v>83.097169999999906</v>
      </c>
      <c r="M6425">
        <v>-2.4462029999999999E-2</v>
      </c>
      <c r="N6425">
        <v>0</v>
      </c>
      <c r="O6425">
        <v>0.99959920000000002</v>
      </c>
      <c r="P6425">
        <v>-3.9819599999999997E-2</v>
      </c>
      <c r="Q6425">
        <v>1.1972109999999999E-2</v>
      </c>
      <c r="R6425">
        <v>0.99913510000000005</v>
      </c>
      <c r="S6425">
        <v>-3.645325E-2</v>
      </c>
      <c r="T6425">
        <v>-0.27165809999999901</v>
      </c>
      <c r="U6425">
        <v>3.0041199999999999</v>
      </c>
      <c r="V6425">
        <v>-1.5386230000000001E-2</v>
      </c>
      <c r="W6425">
        <v>2.6203799999999999E-2</v>
      </c>
      <c r="X6425">
        <v>0.99953819999999904</v>
      </c>
      <c r="Y6425">
        <v>1.238209E-2</v>
      </c>
      <c r="Z6425">
        <v>-9.0013940000000001E-2</v>
      </c>
      <c r="AA6425">
        <v>0.99586359999999996</v>
      </c>
      <c r="AB6425">
        <v>30</v>
      </c>
      <c r="AC6425">
        <v>-2.4999999999977202E-3</v>
      </c>
      <c r="AD6425">
        <v>-7.6754999999999907E-2</v>
      </c>
      <c r="AE6425">
        <v>0.54846000000001904</v>
      </c>
      <c r="AF6425">
        <v>1.07088275664624E-2</v>
      </c>
      <c r="AG6425">
        <v>-7.6754999999999907E-2</v>
      </c>
      <c r="AH6425">
        <v>0.53782394695637004</v>
      </c>
      <c r="AI6425">
        <v>98.120475931153806</v>
      </c>
      <c r="AJ6425">
        <v>88.859311565320198</v>
      </c>
      <c r="AK6425">
        <v>0.54337887972626997</v>
      </c>
    </row>
    <row r="6426" spans="1:37" x14ac:dyDescent="0.2">
      <c r="A6426" t="str">
        <f>"20200111160344904"</f>
        <v>20200111160344904</v>
      </c>
      <c r="B6426" t="str">
        <f>"1578729824899942"</f>
        <v>1578729824899942</v>
      </c>
      <c r="C6426" t="s">
        <v>37</v>
      </c>
      <c r="D6426">
        <v>4.999225</v>
      </c>
      <c r="E6426">
        <v>0.51240719999999995</v>
      </c>
      <c r="F6426" t="s">
        <v>42</v>
      </c>
      <c r="G6426">
        <v>-188.29429999999999</v>
      </c>
      <c r="H6426">
        <v>1.031766</v>
      </c>
      <c r="I6426">
        <v>83.911799999999999</v>
      </c>
      <c r="J6426">
        <v>-188.29140000000001</v>
      </c>
      <c r="K6426">
        <v>1.104838</v>
      </c>
      <c r="L6426">
        <v>83.390810000000002</v>
      </c>
      <c r="M6426">
        <v>-2.4898440000000001E-2</v>
      </c>
      <c r="N6426">
        <v>0</v>
      </c>
      <c r="O6426">
        <v>0.99958849999999999</v>
      </c>
      <c r="P6426">
        <v>-4.113373E-2</v>
      </c>
      <c r="Q6426">
        <v>1.203222E-2</v>
      </c>
      <c r="R6426">
        <v>0.9990812</v>
      </c>
      <c r="S6426">
        <v>-3.9703370000000002E-2</v>
      </c>
      <c r="T6426">
        <v>-0.26953139999999998</v>
      </c>
      <c r="U6426">
        <v>3.0042419999999899</v>
      </c>
      <c r="V6426">
        <v>-1.6264609999999999E-2</v>
      </c>
      <c r="W6426">
        <v>2.6258139999999999E-2</v>
      </c>
      <c r="X6426">
        <v>0.99952289999999899</v>
      </c>
      <c r="Y6426">
        <v>1.1741089999999999E-2</v>
      </c>
      <c r="Z6426">
        <v>-8.9309630000000001E-2</v>
      </c>
      <c r="AA6426">
        <v>0.99593469999999995</v>
      </c>
      <c r="AB6426">
        <v>30</v>
      </c>
      <c r="AC6426">
        <v>-2.8999999999825801E-3</v>
      </c>
      <c r="AD6426">
        <v>-7.3071999999999998E-2</v>
      </c>
      <c r="AE6426">
        <v>0.52098999999999696</v>
      </c>
      <c r="AF6426">
        <v>9.8797084319738292E-3</v>
      </c>
      <c r="AG6426">
        <v>-7.3071999999999998E-2</v>
      </c>
      <c r="AH6426">
        <v>0.51085162656485295</v>
      </c>
      <c r="AI6426">
        <v>98.138844161248898</v>
      </c>
      <c r="AJ6426">
        <v>88.892055915143203</v>
      </c>
      <c r="AK6426">
        <v>0.51614582259925001</v>
      </c>
    </row>
    <row r="6427" spans="1:37" x14ac:dyDescent="0.2">
      <c r="A6427" t="str">
        <f>"20200111160344925"</f>
        <v>20200111160344925</v>
      </c>
      <c r="B6427" t="str">
        <f>"1578729824919463"</f>
        <v>1578729824919463</v>
      </c>
      <c r="C6427" t="s">
        <v>37</v>
      </c>
      <c r="D6427">
        <v>5.0215259999999997</v>
      </c>
      <c r="E6427">
        <v>0.51261229999999902</v>
      </c>
      <c r="F6427" t="s">
        <v>42</v>
      </c>
      <c r="G6427">
        <v>-188.30240000000001</v>
      </c>
      <c r="H6427">
        <v>1.035644</v>
      </c>
      <c r="I6427">
        <v>84.178519999999907</v>
      </c>
      <c r="J6427">
        <v>-188.29859999999999</v>
      </c>
      <c r="K6427">
        <v>1.104832</v>
      </c>
      <c r="L6427">
        <v>83.661799999999999</v>
      </c>
      <c r="M6427">
        <v>-2.530145E-2</v>
      </c>
      <c r="N6427">
        <v>0</v>
      </c>
      <c r="O6427">
        <v>0.99957850000000004</v>
      </c>
      <c r="P6427">
        <v>-4.2418570000000003E-2</v>
      </c>
      <c r="Q6427">
        <v>1.172831E-2</v>
      </c>
      <c r="R6427">
        <v>0.99903109999999995</v>
      </c>
      <c r="S6427">
        <v>-4.2205810000000003E-2</v>
      </c>
      <c r="T6427">
        <v>-0.26393030000000001</v>
      </c>
      <c r="U6427">
        <v>3.004181</v>
      </c>
      <c r="V6427">
        <v>-1.7146950000000001E-2</v>
      </c>
      <c r="W6427">
        <v>2.5948780000000001E-2</v>
      </c>
      <c r="X6427">
        <v>0.99951619999999997</v>
      </c>
      <c r="Y6427">
        <v>1.1312239999999999E-2</v>
      </c>
      <c r="Z6427">
        <v>-8.7468199999999996E-2</v>
      </c>
      <c r="AA6427">
        <v>0.99610309999999902</v>
      </c>
      <c r="AB6427">
        <v>30</v>
      </c>
      <c r="AC6427">
        <v>-3.8000000000124601E-3</v>
      </c>
      <c r="AD6427">
        <v>-6.9188E-2</v>
      </c>
      <c r="AE6427">
        <v>0.51671999999999196</v>
      </c>
      <c r="AF6427">
        <v>9.1129319364464199E-3</v>
      </c>
      <c r="AG6427">
        <v>-6.9188E-2</v>
      </c>
      <c r="AH6427">
        <v>0.50755141144358795</v>
      </c>
      <c r="AI6427">
        <v>97.761319715005698</v>
      </c>
      <c r="AJ6427">
        <v>88.971382147297504</v>
      </c>
      <c r="AK6427">
        <v>0.51232651710687105</v>
      </c>
    </row>
    <row r="6428" spans="1:37" x14ac:dyDescent="0.2">
      <c r="A6428" t="str">
        <f>"20200111160344946"</f>
        <v>20200111160344946</v>
      </c>
      <c r="B6428" t="str">
        <f>"1578729824939958"</f>
        <v>1578729824939958</v>
      </c>
      <c r="C6428" t="s">
        <v>37</v>
      </c>
      <c r="D6428">
        <v>5.0653879999999996</v>
      </c>
      <c r="E6428">
        <v>0.51270039999999995</v>
      </c>
      <c r="F6428" t="s">
        <v>42</v>
      </c>
      <c r="G6428">
        <v>-188.31</v>
      </c>
      <c r="H6428">
        <v>1.036459</v>
      </c>
      <c r="I6428">
        <v>84.442999999999998</v>
      </c>
      <c r="J6428">
        <v>-188.3065</v>
      </c>
      <c r="K6428">
        <v>1.1048229999999899</v>
      </c>
      <c r="L6428">
        <v>83.955290000000005</v>
      </c>
      <c r="M6428">
        <v>-2.5737909999999999E-2</v>
      </c>
      <c r="N6428">
        <v>0</v>
      </c>
      <c r="O6428">
        <v>0.99956739999999999</v>
      </c>
      <c r="P6428">
        <v>-4.3371220000000002E-2</v>
      </c>
      <c r="Q6428">
        <v>1.1067159999999999E-2</v>
      </c>
      <c r="R6428">
        <v>0.99899769999999899</v>
      </c>
      <c r="S6428">
        <v>-4.4296259999999997E-2</v>
      </c>
      <c r="T6428">
        <v>-0.26294899999999999</v>
      </c>
      <c r="U6428">
        <v>3.0041199999999999</v>
      </c>
      <c r="V6428">
        <v>-1.7662939999999999E-2</v>
      </c>
      <c r="W6428">
        <v>2.528238E-2</v>
      </c>
      <c r="X6428">
        <v>0.99952430000000003</v>
      </c>
      <c r="Y6428">
        <v>1.105514E-2</v>
      </c>
      <c r="Z6428">
        <v>-8.7145470000000003E-2</v>
      </c>
      <c r="AA6428">
        <v>0.99613430000000003</v>
      </c>
      <c r="AB6428">
        <v>30</v>
      </c>
      <c r="AC6428">
        <v>-3.5000000000024998E-3</v>
      </c>
      <c r="AD6428">
        <v>-6.83639999999998E-2</v>
      </c>
      <c r="AE6428">
        <v>0.48770999999999198</v>
      </c>
      <c r="AF6428">
        <v>8.8805853059980497E-3</v>
      </c>
      <c r="AG6428">
        <v>-6.83639999999998E-2</v>
      </c>
      <c r="AH6428">
        <v>0.47824218750021802</v>
      </c>
      <c r="AI6428">
        <v>98.133848136503204</v>
      </c>
      <c r="AJ6428">
        <v>88.936184218092293</v>
      </c>
      <c r="AK6428">
        <v>0.483185359045957</v>
      </c>
    </row>
    <row r="6429" spans="1:37" x14ac:dyDescent="0.2">
      <c r="A6429" t="str">
        <f>"20200111160344971"</f>
        <v>20200111160344971</v>
      </c>
      <c r="B6429" t="str">
        <f>"1578729824959479"</f>
        <v>1578729824959479</v>
      </c>
      <c r="C6429" t="s">
        <v>37</v>
      </c>
      <c r="D6429">
        <v>5.0879339999999997</v>
      </c>
      <c r="E6429">
        <v>0.51287340000000003</v>
      </c>
      <c r="F6429" t="s">
        <v>42</v>
      </c>
      <c r="G6429">
        <v>-188.31809999999999</v>
      </c>
      <c r="H6429">
        <v>1.038392</v>
      </c>
      <c r="I6429">
        <v>84.708200000000005</v>
      </c>
      <c r="J6429">
        <v>-188.31489999999999</v>
      </c>
      <c r="K6429">
        <v>1.1048199999999999</v>
      </c>
      <c r="L6429">
        <v>84.260589999999993</v>
      </c>
      <c r="M6429">
        <v>-2.6191989999999998E-2</v>
      </c>
      <c r="N6429">
        <v>0</v>
      </c>
      <c r="O6429">
        <v>0.99955559999999999</v>
      </c>
      <c r="P6429">
        <v>-4.3757450000000003E-2</v>
      </c>
      <c r="Q6429">
        <v>1.033884E-2</v>
      </c>
      <c r="R6429">
        <v>0.99898869999999895</v>
      </c>
      <c r="S6429">
        <v>-4.6432500000000002E-2</v>
      </c>
      <c r="T6429">
        <v>-0.26504620000000001</v>
      </c>
      <c r="U6429">
        <v>3.0039370000000001</v>
      </c>
      <c r="V6429">
        <v>-1.7594149999999999E-2</v>
      </c>
      <c r="W6429">
        <v>2.4549700000000001E-2</v>
      </c>
      <c r="X6429">
        <v>0.99954379999999998</v>
      </c>
      <c r="Y6429">
        <v>1.08012E-2</v>
      </c>
      <c r="Z6429">
        <v>-8.7838609999999998E-2</v>
      </c>
      <c r="AA6429">
        <v>0.99607619999999897</v>
      </c>
      <c r="AB6429">
        <v>30</v>
      </c>
      <c r="AC6429">
        <v>-3.19999999999254E-3</v>
      </c>
      <c r="AD6429">
        <v>-6.6428000000000098E-2</v>
      </c>
      <c r="AE6429">
        <v>0.44760999999999701</v>
      </c>
      <c r="AF6429">
        <v>8.3423569152302601E-3</v>
      </c>
      <c r="AG6429">
        <v>-6.6428000000000098E-2</v>
      </c>
      <c r="AH6429">
        <v>0.43789634789598603</v>
      </c>
      <c r="AI6429">
        <v>98.624347839623994</v>
      </c>
      <c r="AJ6429">
        <v>88.908590968913501</v>
      </c>
      <c r="AK6429">
        <v>0.44298474646825398</v>
      </c>
    </row>
    <row r="6430" spans="1:37" x14ac:dyDescent="0.2">
      <c r="A6430" t="str">
        <f>"20200111160344994"</f>
        <v>20200111160344994</v>
      </c>
      <c r="B6430" t="str">
        <f>"1578729824989735"</f>
        <v>1578729824989735</v>
      </c>
      <c r="C6430" t="s">
        <v>37</v>
      </c>
      <c r="D6430">
        <v>5.0623680000000002</v>
      </c>
      <c r="E6430">
        <v>0.51325639999999995</v>
      </c>
      <c r="F6430" t="s">
        <v>42</v>
      </c>
      <c r="G6430">
        <v>-188.3296</v>
      </c>
      <c r="H6430">
        <v>1.0190779999999999</v>
      </c>
      <c r="I6430">
        <v>85.222660000000005</v>
      </c>
      <c r="J6430">
        <v>-188.3237</v>
      </c>
      <c r="K6430">
        <v>1.104814</v>
      </c>
      <c r="L6430">
        <v>84.575559999999996</v>
      </c>
      <c r="M6430">
        <v>-2.6660489999999998E-2</v>
      </c>
      <c r="N6430">
        <v>0</v>
      </c>
      <c r="O6430">
        <v>0.99954330000000002</v>
      </c>
      <c r="P6430">
        <v>-4.3859589999999997E-2</v>
      </c>
      <c r="Q6430">
        <v>1.006167E-2</v>
      </c>
      <c r="R6430">
        <v>0.99898699999999996</v>
      </c>
      <c r="S6430">
        <v>-4.6112060000000003E-2</v>
      </c>
      <c r="T6430">
        <v>-0.26775139999999997</v>
      </c>
      <c r="U6430">
        <v>3.0038149999999999</v>
      </c>
      <c r="V6430">
        <v>-1.7227269999999999E-2</v>
      </c>
      <c r="W6430">
        <v>2.4267980000000001E-2</v>
      </c>
      <c r="X6430">
        <v>0.99955699999999903</v>
      </c>
      <c r="Y6430">
        <v>1.137671E-2</v>
      </c>
      <c r="Z6430">
        <v>-8.8729790000000003E-2</v>
      </c>
      <c r="AA6430">
        <v>0.99599079999999995</v>
      </c>
      <c r="AB6430">
        <v>29</v>
      </c>
      <c r="AC6430">
        <v>-5.8999999999968999E-3</v>
      </c>
      <c r="AD6430">
        <v>-8.5735999999999798E-2</v>
      </c>
      <c r="AE6430">
        <v>0.647100000000008</v>
      </c>
      <c r="AF6430">
        <v>1.11599579151154E-2</v>
      </c>
      <c r="AG6430">
        <v>-8.5735999999999798E-2</v>
      </c>
      <c r="AH6430">
        <v>0.63586599427414703</v>
      </c>
      <c r="AI6430">
        <v>97.677906927369804</v>
      </c>
      <c r="AJ6430">
        <v>88.994516372201701</v>
      </c>
      <c r="AK6430">
        <v>0.64171704748348202</v>
      </c>
    </row>
    <row r="6431" spans="1:37" x14ac:dyDescent="0.2">
      <c r="A6431" t="str">
        <f>"20200111160345018"</f>
        <v>20200111160345018</v>
      </c>
      <c r="B6431" t="str">
        <f>"1578729825009255"</f>
        <v>1578729825009255</v>
      </c>
      <c r="C6431" t="s">
        <v>37</v>
      </c>
      <c r="D6431">
        <v>5.1417900000000003</v>
      </c>
      <c r="E6431">
        <v>0.51337749999999904</v>
      </c>
      <c r="F6431" t="s">
        <v>42</v>
      </c>
      <c r="G6431">
        <v>-188.33670000000001</v>
      </c>
      <c r="H6431">
        <v>1.0229469999999901</v>
      </c>
      <c r="I6431">
        <v>85.487049999999996</v>
      </c>
      <c r="J6431">
        <v>-188.33250000000001</v>
      </c>
      <c r="K6431">
        <v>1.1048129999999901</v>
      </c>
      <c r="L6431">
        <v>84.885469999999998</v>
      </c>
      <c r="M6431">
        <v>-2.7121579999999999E-2</v>
      </c>
      <c r="N6431">
        <v>0</v>
      </c>
      <c r="O6431">
        <v>0.99953099999999995</v>
      </c>
      <c r="P6431">
        <v>-4.3236629999999998E-2</v>
      </c>
      <c r="Q6431">
        <v>1.012918E-2</v>
      </c>
      <c r="R6431">
        <v>0.9990135</v>
      </c>
      <c r="S6431">
        <v>-4.3319699999999899E-2</v>
      </c>
      <c r="T6431">
        <v>-0.26982840000000002</v>
      </c>
      <c r="U6431">
        <v>3.0038450000000001</v>
      </c>
      <c r="V6431">
        <v>-1.614291E-2</v>
      </c>
      <c r="W6431">
        <v>2.4332329999999999E-2</v>
      </c>
      <c r="X6431">
        <v>0.99957359999999995</v>
      </c>
      <c r="Y6431">
        <v>1.2764660000000001E-2</v>
      </c>
      <c r="Z6431">
        <v>-8.9409899999999903E-2</v>
      </c>
      <c r="AA6431">
        <v>0.9959131</v>
      </c>
      <c r="AB6431">
        <v>29</v>
      </c>
      <c r="AC6431">
        <v>-4.1999999999973101E-3</v>
      </c>
      <c r="AD6431">
        <v>-8.1865999999999994E-2</v>
      </c>
      <c r="AE6431">
        <v>0.60157999999999801</v>
      </c>
      <c r="AF6431">
        <v>1.18986533306341E-2</v>
      </c>
      <c r="AG6431">
        <v>-8.1865999999999994E-2</v>
      </c>
      <c r="AH6431">
        <v>0.59053689059967696</v>
      </c>
      <c r="AI6431">
        <v>97.891015934392499</v>
      </c>
      <c r="AJ6431">
        <v>88.845710752790893</v>
      </c>
      <c r="AK6431">
        <v>0.59630314359914005</v>
      </c>
    </row>
    <row r="6432" spans="1:37" x14ac:dyDescent="0.2">
      <c r="A6432" t="str">
        <f>"20200111160345039"</f>
        <v>20200111160345039</v>
      </c>
      <c r="B6432" t="str">
        <f>"1578729825029751"</f>
        <v>1578729825029751</v>
      </c>
      <c r="C6432" t="s">
        <v>37</v>
      </c>
      <c r="D6432">
        <v>5.1275500000000003</v>
      </c>
      <c r="E6432">
        <v>0.5135113</v>
      </c>
      <c r="F6432" t="s">
        <v>42</v>
      </c>
      <c r="G6432">
        <v>-188.3442</v>
      </c>
      <c r="H6432">
        <v>1.0271299999999901</v>
      </c>
      <c r="I6432">
        <v>85.751260000000002</v>
      </c>
      <c r="J6432">
        <v>-188.34049999999999</v>
      </c>
      <c r="K6432">
        <v>1.1048119999999999</v>
      </c>
      <c r="L6432">
        <v>85.166899999999998</v>
      </c>
      <c r="M6432">
        <v>-2.7540370000000002E-2</v>
      </c>
      <c r="N6432">
        <v>0</v>
      </c>
      <c r="O6432">
        <v>0.99951959999999995</v>
      </c>
      <c r="P6432">
        <v>-4.2260560000000003E-2</v>
      </c>
      <c r="Q6432">
        <v>9.5362139999999995E-3</v>
      </c>
      <c r="R6432">
        <v>0.99906109999999904</v>
      </c>
      <c r="S6432">
        <v>-4.0756229999999997E-2</v>
      </c>
      <c r="T6432">
        <v>-0.26953250000000001</v>
      </c>
      <c r="U6432">
        <v>3.0039060000000002</v>
      </c>
      <c r="V6432">
        <v>-1.4746570000000001E-2</v>
      </c>
      <c r="W6432">
        <v>2.3737890000000001E-2</v>
      </c>
      <c r="X6432">
        <v>0.99960949999999904</v>
      </c>
      <c r="Y6432">
        <v>1.4033500000000001E-2</v>
      </c>
      <c r="Z6432">
        <v>-8.9309079999999999E-2</v>
      </c>
      <c r="AA6432">
        <v>0.99590509999999999</v>
      </c>
      <c r="AB6432">
        <v>29</v>
      </c>
      <c r="AC6432">
        <v>-3.70000000000914E-3</v>
      </c>
      <c r="AD6432">
        <v>-7.7682000000000195E-2</v>
      </c>
      <c r="AE6432">
        <v>0.58436000000000299</v>
      </c>
      <c r="AF6432">
        <v>1.2181265029944099E-2</v>
      </c>
      <c r="AG6432">
        <v>-7.7682000000000195E-2</v>
      </c>
      <c r="AH6432">
        <v>0.57409534333460699</v>
      </c>
      <c r="AI6432">
        <v>97.704291179315405</v>
      </c>
      <c r="AJ6432">
        <v>88.784469562016895</v>
      </c>
      <c r="AK6432">
        <v>0.57945520929594696</v>
      </c>
    </row>
    <row r="6433" spans="1:37" x14ac:dyDescent="0.2">
      <c r="A6433" t="str">
        <f>"20200111160345060"</f>
        <v>20200111160345060</v>
      </c>
      <c r="B6433" t="str">
        <f>"1578729825049272"</f>
        <v>1578729825049272</v>
      </c>
      <c r="C6433" t="s">
        <v>37</v>
      </c>
      <c r="D6433">
        <v>5.124117</v>
      </c>
      <c r="E6433">
        <v>0.51361759999999901</v>
      </c>
      <c r="F6433" t="s">
        <v>42</v>
      </c>
      <c r="G6433">
        <v>-188.35079999999999</v>
      </c>
      <c r="H6433">
        <v>1.0281549999999999</v>
      </c>
      <c r="I6433">
        <v>86.01361</v>
      </c>
      <c r="J6433">
        <v>-188.3486</v>
      </c>
      <c r="K6433">
        <v>1.1048020000000001</v>
      </c>
      <c r="L6433">
        <v>85.442169999999905</v>
      </c>
      <c r="M6433">
        <v>-2.795013E-2</v>
      </c>
      <c r="N6433">
        <v>0</v>
      </c>
      <c r="O6433">
        <v>0.99950830000000002</v>
      </c>
      <c r="P6433">
        <v>-4.1362599999999999E-2</v>
      </c>
      <c r="Q6433">
        <v>7.8232349999999996E-3</v>
      </c>
      <c r="R6433">
        <v>0.99911360000000005</v>
      </c>
      <c r="S6433">
        <v>-3.7048339999999999E-2</v>
      </c>
      <c r="T6433">
        <v>-0.2720089</v>
      </c>
      <c r="U6433">
        <v>3.0038450000000001</v>
      </c>
      <c r="V6433">
        <v>-1.343629E-2</v>
      </c>
      <c r="W6433">
        <v>2.2022679999999999E-2</v>
      </c>
      <c r="X6433">
        <v>0.99966719999999898</v>
      </c>
      <c r="Y6433">
        <v>1.5673139999999999E-2</v>
      </c>
      <c r="Z6433">
        <v>-9.0122880000000002E-2</v>
      </c>
      <c r="AA6433">
        <v>0.99580729999999995</v>
      </c>
      <c r="AB6433">
        <v>29</v>
      </c>
      <c r="AC6433">
        <v>-2.1999999999877599E-3</v>
      </c>
      <c r="AD6433">
        <v>-7.6647000000000104E-2</v>
      </c>
      <c r="AE6433">
        <v>0.57144000000000905</v>
      </c>
      <c r="AF6433">
        <v>1.35308682108417E-2</v>
      </c>
      <c r="AG6433">
        <v>-7.6647000000000104E-2</v>
      </c>
      <c r="AH6433">
        <v>0.56118226545989702</v>
      </c>
      <c r="AI6433">
        <v>97.775176765114196</v>
      </c>
      <c r="AJ6433">
        <v>88.618788392051002</v>
      </c>
      <c r="AK6433">
        <v>0.566553953362115</v>
      </c>
    </row>
    <row r="6434" spans="1:37" x14ac:dyDescent="0.2">
      <c r="A6434" t="str">
        <f>"20200111160345081"</f>
        <v>20200111160345081</v>
      </c>
      <c r="B6434" t="str">
        <f>"1578729825069767"</f>
        <v>1578729825069767</v>
      </c>
      <c r="C6434" t="s">
        <v>37</v>
      </c>
      <c r="D6434">
        <v>5.1925140000000001</v>
      </c>
      <c r="E6434">
        <v>0.51371619999999996</v>
      </c>
      <c r="F6434" t="s">
        <v>42</v>
      </c>
      <c r="G6434">
        <v>-188.3578</v>
      </c>
      <c r="H6434">
        <v>1.027989</v>
      </c>
      <c r="I6434">
        <v>86.275059999999996</v>
      </c>
      <c r="J6434">
        <v>-188.35669999999999</v>
      </c>
      <c r="K6434">
        <v>1.1047940000000001</v>
      </c>
      <c r="L6434">
        <v>85.716459999999998</v>
      </c>
      <c r="M6434">
        <v>-2.8358459999999999E-2</v>
      </c>
      <c r="N6434">
        <v>0</v>
      </c>
      <c r="O6434">
        <v>0.99949679999999996</v>
      </c>
      <c r="P6434">
        <v>-4.1542629999999997E-2</v>
      </c>
      <c r="Q6434">
        <v>5.9838969999999898E-3</v>
      </c>
      <c r="R6434">
        <v>0.99911879999999997</v>
      </c>
      <c r="S6434">
        <v>-3.3676150000000002E-2</v>
      </c>
      <c r="T6434">
        <v>-0.27701709999999902</v>
      </c>
      <c r="U6434">
        <v>3.0034480000000001</v>
      </c>
      <c r="V6434">
        <v>-1.320562E-2</v>
      </c>
      <c r="W6434">
        <v>2.0180590000000002E-2</v>
      </c>
      <c r="X6434">
        <v>0.99970910000000002</v>
      </c>
      <c r="Y6434">
        <v>1.7199590000000001E-2</v>
      </c>
      <c r="Z6434">
        <v>-9.177826E-2</v>
      </c>
      <c r="AA6434">
        <v>0.99563089999999999</v>
      </c>
      <c r="AB6434">
        <v>29</v>
      </c>
      <c r="AC6434">
        <v>-1.1000000000080899E-3</v>
      </c>
      <c r="AD6434">
        <v>-7.6804999999999998E-2</v>
      </c>
      <c r="AE6434">
        <v>0.55859999999999799</v>
      </c>
      <c r="AF6434">
        <v>1.4469532267660399E-2</v>
      </c>
      <c r="AG6434">
        <v>-7.6804999999999998E-2</v>
      </c>
      <c r="AH6434">
        <v>0.54804571851348505</v>
      </c>
      <c r="AI6434">
        <v>97.974926220369298</v>
      </c>
      <c r="AJ6434">
        <v>88.487625120073304</v>
      </c>
      <c r="AK6434">
        <v>0.55359053909004596</v>
      </c>
    </row>
    <row r="6435" spans="1:37" x14ac:dyDescent="0.2">
      <c r="A6435" t="str">
        <f>"20200111160345103"</f>
        <v>20200111160345103</v>
      </c>
      <c r="B6435" t="str">
        <f>"1578729825100023"</f>
        <v>1578729825100023</v>
      </c>
      <c r="C6435" t="s">
        <v>37</v>
      </c>
      <c r="D6435">
        <v>5.1217759999999997</v>
      </c>
      <c r="E6435">
        <v>0.51382890000000003</v>
      </c>
      <c r="F6435" t="s">
        <v>42</v>
      </c>
      <c r="G6435">
        <v>-188.3656</v>
      </c>
      <c r="H6435">
        <v>1.027773</v>
      </c>
      <c r="I6435">
        <v>86.536159999999995</v>
      </c>
      <c r="J6435">
        <v>-188.36539999999999</v>
      </c>
      <c r="K6435">
        <v>1.1047979999999999</v>
      </c>
      <c r="L6435">
        <v>86.008240000000001</v>
      </c>
      <c r="M6435">
        <v>-2.8793010000000001E-2</v>
      </c>
      <c r="N6435">
        <v>0</v>
      </c>
      <c r="O6435">
        <v>0.999484499999999</v>
      </c>
      <c r="P6435">
        <v>-4.2285839999999998E-2</v>
      </c>
      <c r="Q6435">
        <v>5.3117590000000001E-3</v>
      </c>
      <c r="R6435">
        <v>0.99909139999999996</v>
      </c>
      <c r="S6435">
        <v>-3.2867430000000003E-2</v>
      </c>
      <c r="T6435">
        <v>-0.28217100000000001</v>
      </c>
      <c r="U6435">
        <v>3.0029599999999999</v>
      </c>
      <c r="V6435">
        <v>-1.351422E-2</v>
      </c>
      <c r="W6435">
        <v>1.9504569999999999E-2</v>
      </c>
      <c r="X6435">
        <v>0.99971840000000001</v>
      </c>
      <c r="Y6435">
        <v>1.7902310000000001E-2</v>
      </c>
      <c r="Z6435">
        <v>-9.3483849999999993E-2</v>
      </c>
      <c r="AA6435">
        <v>0.99545989999999995</v>
      </c>
      <c r="AB6435">
        <v>29</v>
      </c>
      <c r="AC6435">
        <v>-2.0000000000663901E-4</v>
      </c>
      <c r="AD6435">
        <v>-7.7024999999999899E-2</v>
      </c>
      <c r="AE6435">
        <v>0.52791999999999395</v>
      </c>
      <c r="AF6435">
        <v>1.46893212483655E-2</v>
      </c>
      <c r="AG6435">
        <v>-7.7024999999999899E-2</v>
      </c>
      <c r="AH6435">
        <v>0.51670736655563099</v>
      </c>
      <c r="AI6435">
        <v>98.475210105771396</v>
      </c>
      <c r="AJ6435">
        <v>88.371593785050607</v>
      </c>
      <c r="AK6435">
        <v>0.52262331505262205</v>
      </c>
    </row>
    <row r="6436" spans="1:37" x14ac:dyDescent="0.2">
      <c r="A6436" t="str">
        <f>"20200111160345128"</f>
        <v>20200111160345128</v>
      </c>
      <c r="B6436" t="str">
        <f>"1578729825119544"</f>
        <v>1578729825119544</v>
      </c>
      <c r="C6436" t="s">
        <v>37</v>
      </c>
      <c r="D6436">
        <v>5.1597299999999997</v>
      </c>
      <c r="E6436">
        <v>0.51391249999999999</v>
      </c>
      <c r="F6436" t="s">
        <v>42</v>
      </c>
      <c r="G6436">
        <v>-188.37430000000001</v>
      </c>
      <c r="H6436">
        <v>1.0300940000000001</v>
      </c>
      <c r="I6436">
        <v>86.798190000000005</v>
      </c>
      <c r="J6436">
        <v>-188.3749</v>
      </c>
      <c r="K6436">
        <v>1.1048020000000001</v>
      </c>
      <c r="L6436">
        <v>86.319000000000003</v>
      </c>
      <c r="M6436">
        <v>-2.9255699999999999E-2</v>
      </c>
      <c r="N6436">
        <v>0</v>
      </c>
      <c r="O6436">
        <v>0.99947109999999995</v>
      </c>
      <c r="P6436">
        <v>-4.3147699999999997E-2</v>
      </c>
      <c r="Q6436">
        <v>6.4072590000000002E-3</v>
      </c>
      <c r="R6436">
        <v>0.99904819999999905</v>
      </c>
      <c r="S6436">
        <v>-3.3767699999999998E-2</v>
      </c>
      <c r="T6436">
        <v>-0.28399239999999998</v>
      </c>
      <c r="U6436">
        <v>3.0028079999999999</v>
      </c>
      <c r="V6436">
        <v>-1.391482E-2</v>
      </c>
      <c r="W6436">
        <v>2.0595349999999998E-2</v>
      </c>
      <c r="X6436">
        <v>0.99969110000000005</v>
      </c>
      <c r="Y6436">
        <v>1.8066840000000001E-2</v>
      </c>
      <c r="Z6436">
        <v>-9.4084509999999996E-2</v>
      </c>
      <c r="AA6436">
        <v>0.99540019999999996</v>
      </c>
      <c r="AB6436">
        <v>29</v>
      </c>
      <c r="AC6436">
        <v>5.9999999999149601E-4</v>
      </c>
      <c r="AD6436">
        <v>-7.4707999999999997E-2</v>
      </c>
      <c r="AE6436">
        <v>0.479190000000002</v>
      </c>
      <c r="AF6436">
        <v>1.42732658731031E-2</v>
      </c>
      <c r="AG6436">
        <v>-7.4707999999999997E-2</v>
      </c>
      <c r="AH6436">
        <v>0.46760164637109902</v>
      </c>
      <c r="AI6436">
        <v>99.073186336932906</v>
      </c>
      <c r="AJ6436">
        <v>88.251622826772405</v>
      </c>
      <c r="AK6436">
        <v>0.47374709610893301</v>
      </c>
    </row>
    <row r="6437" spans="1:37" x14ac:dyDescent="0.2">
      <c r="A6437" t="str">
        <f>"20200111160345147"</f>
        <v>20200111160345147</v>
      </c>
      <c r="B6437" t="str">
        <f>"1578729825140039"</f>
        <v>1578729825140039</v>
      </c>
      <c r="C6437" t="s">
        <v>37</v>
      </c>
      <c r="D6437">
        <v>5.2058530000000003</v>
      </c>
      <c r="E6437">
        <v>0.51394980000000001</v>
      </c>
      <c r="F6437" t="s">
        <v>42</v>
      </c>
      <c r="G6437">
        <v>-188.3837</v>
      </c>
      <c r="H6437">
        <v>1.0353459999999901</v>
      </c>
      <c r="I6437">
        <v>87.061449999999994</v>
      </c>
      <c r="J6437">
        <v>-188.38299999999899</v>
      </c>
      <c r="K6437">
        <v>1.104797</v>
      </c>
      <c r="L6437">
        <v>86.58023</v>
      </c>
      <c r="M6437">
        <v>-2.9644839999999999E-2</v>
      </c>
      <c r="N6437">
        <v>0</v>
      </c>
      <c r="O6437">
        <v>0.9994596</v>
      </c>
      <c r="P6437">
        <v>-4.4156500000000001E-2</v>
      </c>
      <c r="Q6437">
        <v>7.4301669999999997E-3</v>
      </c>
      <c r="R6437">
        <v>0.99899699999999902</v>
      </c>
      <c r="S6437">
        <v>-3.5598749999999998E-2</v>
      </c>
      <c r="T6437">
        <v>-0.28097470000000002</v>
      </c>
      <c r="U6437">
        <v>3.0031430000000001</v>
      </c>
      <c r="V6437">
        <v>-1.453659E-2</v>
      </c>
      <c r="W6437">
        <v>2.1614599999999901E-2</v>
      </c>
      <c r="X6437">
        <v>0.99966069999999996</v>
      </c>
      <c r="Y6437">
        <v>1.7849429999999999E-2</v>
      </c>
      <c r="Z6437">
        <v>-9.3081430000000007E-2</v>
      </c>
      <c r="AA6437">
        <v>0.99549849999999995</v>
      </c>
      <c r="AB6437">
        <v>29</v>
      </c>
      <c r="AC6437">
        <v>-7.0000000002323705E-4</v>
      </c>
      <c r="AD6437">
        <v>-6.9451000000000096E-2</v>
      </c>
      <c r="AE6437">
        <v>0.48121999999999299</v>
      </c>
      <c r="AF6437">
        <v>1.32906062240364E-2</v>
      </c>
      <c r="AG6437">
        <v>-6.9451000000000096E-2</v>
      </c>
      <c r="AH6437">
        <v>0.47121428252615299</v>
      </c>
      <c r="AI6437">
        <v>98.381021455642994</v>
      </c>
      <c r="AJ6437">
        <v>88.384399965598405</v>
      </c>
      <c r="AK6437">
        <v>0.47649027447728598</v>
      </c>
    </row>
    <row r="6438" spans="1:37" x14ac:dyDescent="0.2">
      <c r="A6438" t="str">
        <f>"20200111160345172"</f>
        <v>20200111160345172</v>
      </c>
      <c r="B6438" t="str">
        <f>"1578729825169318"</f>
        <v>1578729825169318</v>
      </c>
      <c r="C6438" t="s">
        <v>37</v>
      </c>
      <c r="D6438">
        <v>5.2078309999999997</v>
      </c>
      <c r="E6438">
        <v>0.51414700000000002</v>
      </c>
      <c r="F6438" t="s">
        <v>42</v>
      </c>
      <c r="G6438">
        <v>-188.39250000000001</v>
      </c>
      <c r="H6438">
        <v>1.036532</v>
      </c>
      <c r="I6438">
        <v>87.322810000000004</v>
      </c>
      <c r="J6438">
        <v>-188.39279999999999</v>
      </c>
      <c r="K6438">
        <v>1.1048020000000001</v>
      </c>
      <c r="L6438">
        <v>86.891850000000005</v>
      </c>
      <c r="M6438">
        <v>-3.0108940000000001E-2</v>
      </c>
      <c r="N6438">
        <v>0</v>
      </c>
      <c r="O6438">
        <v>0.9994459</v>
      </c>
      <c r="P6438">
        <v>-4.5702199999999998E-2</v>
      </c>
      <c r="Q6438">
        <v>7.2819549999999997E-3</v>
      </c>
      <c r="R6438">
        <v>0.9989285</v>
      </c>
      <c r="S6438">
        <v>-3.8391109999999999E-2</v>
      </c>
      <c r="T6438">
        <v>-0.276117</v>
      </c>
      <c r="U6438">
        <v>3.003387</v>
      </c>
      <c r="V6438">
        <v>-1.561916E-2</v>
      </c>
      <c r="W6438">
        <v>2.1461569999999999E-2</v>
      </c>
      <c r="X6438">
        <v>0.99964769999999903</v>
      </c>
      <c r="Y6438">
        <v>1.7387349999999999E-2</v>
      </c>
      <c r="Z6438">
        <v>-9.1476329999999995E-2</v>
      </c>
      <c r="AA6438">
        <v>0.99565539999999997</v>
      </c>
      <c r="AB6438">
        <v>29</v>
      </c>
      <c r="AC6438">
        <v>2.9999999998153699E-4</v>
      </c>
      <c r="AD6438">
        <v>-6.8269999999999997E-2</v>
      </c>
      <c r="AE6438">
        <v>0.43095999999999801</v>
      </c>
      <c r="AF6438">
        <v>1.2951892637562501E-2</v>
      </c>
      <c r="AG6438">
        <v>-6.8269999999999997E-2</v>
      </c>
      <c r="AH6438">
        <v>0.42021039697291901</v>
      </c>
      <c r="AI6438">
        <v>99.223696297533294</v>
      </c>
      <c r="AJ6438">
        <v>88.234565531357006</v>
      </c>
      <c r="AK6438">
        <v>0.42591703669498099</v>
      </c>
    </row>
    <row r="6439" spans="1:37" x14ac:dyDescent="0.2">
      <c r="A6439" t="str">
        <f>"20200111160345194"</f>
        <v>20200111160345194</v>
      </c>
      <c r="B6439" t="str">
        <f>"1578729825189815"</f>
        <v>1578729825189815</v>
      </c>
      <c r="C6439" t="s">
        <v>37</v>
      </c>
      <c r="D6439">
        <v>5.1663059999999996</v>
      </c>
      <c r="E6439">
        <v>0.51418640000000004</v>
      </c>
      <c r="F6439" t="s">
        <v>42</v>
      </c>
      <c r="G6439">
        <v>-188.4058</v>
      </c>
      <c r="H6439">
        <v>1.0203389999999899</v>
      </c>
      <c r="I6439">
        <v>87.833879999999994</v>
      </c>
      <c r="J6439">
        <v>-188.40199999999999</v>
      </c>
      <c r="K6439">
        <v>1.1047979999999999</v>
      </c>
      <c r="L6439">
        <v>87.183260000000004</v>
      </c>
      <c r="M6439">
        <v>-3.0543379999999998E-2</v>
      </c>
      <c r="N6439">
        <v>0</v>
      </c>
      <c r="O6439">
        <v>0.99943269999999995</v>
      </c>
      <c r="P6439">
        <v>-4.6513980000000003E-2</v>
      </c>
      <c r="Q6439">
        <v>6.2567889999999996E-3</v>
      </c>
      <c r="R6439">
        <v>0.99889799999999995</v>
      </c>
      <c r="S6439">
        <v>-4.1397089999999998E-2</v>
      </c>
      <c r="T6439">
        <v>-0.26925079999999901</v>
      </c>
      <c r="U6439">
        <v>3.0032649999999999</v>
      </c>
      <c r="V6439">
        <v>-1.5995599999999999E-2</v>
      </c>
      <c r="W6439">
        <v>2.0433260000000002E-2</v>
      </c>
      <c r="X6439">
        <v>0.99966319999999997</v>
      </c>
      <c r="Y6439">
        <v>1.682225E-2</v>
      </c>
      <c r="Z6439">
        <v>-8.922165E-2</v>
      </c>
      <c r="AA6439">
        <v>0.99586969999999997</v>
      </c>
      <c r="AB6439">
        <v>29</v>
      </c>
      <c r="AC6439">
        <v>-3.7999999999840301E-3</v>
      </c>
      <c r="AD6439">
        <v>-8.4459000000000006E-2</v>
      </c>
      <c r="AE6439">
        <v>0.65062000000000297</v>
      </c>
      <c r="AF6439">
        <v>1.5809504551243501E-2</v>
      </c>
      <c r="AG6439">
        <v>-8.4459000000000006E-2</v>
      </c>
      <c r="AH6439">
        <v>0.63965374368134298</v>
      </c>
      <c r="AI6439">
        <v>97.519475334561704</v>
      </c>
      <c r="AJ6439">
        <v>88.584181647082801</v>
      </c>
      <c r="AK6439">
        <v>0.64539923684546796</v>
      </c>
    </row>
    <row r="6440" spans="1:37" x14ac:dyDescent="0.2">
      <c r="A6440" t="str">
        <f>"20200111160345217"</f>
        <v>20200111160345217</v>
      </c>
      <c r="B6440" t="str">
        <f>"1578729825209334"</f>
        <v>1578729825209334</v>
      </c>
      <c r="C6440" t="s">
        <v>37</v>
      </c>
      <c r="D6440">
        <v>5.2048719999999999</v>
      </c>
      <c r="E6440">
        <v>0.51421549999999905</v>
      </c>
      <c r="F6440" t="s">
        <v>42</v>
      </c>
      <c r="G6440">
        <v>-188.4151</v>
      </c>
      <c r="H6440">
        <v>1.0240279999999999</v>
      </c>
      <c r="I6440">
        <v>88.095010000000002</v>
      </c>
      <c r="J6440">
        <v>-188.4117</v>
      </c>
      <c r="K6440">
        <v>1.1047910000000001</v>
      </c>
      <c r="L6440">
        <v>87.482600000000005</v>
      </c>
      <c r="M6440">
        <v>-3.098944E-2</v>
      </c>
      <c r="N6440">
        <v>0</v>
      </c>
      <c r="O6440">
        <v>0.99941899999999995</v>
      </c>
      <c r="P6440">
        <v>-4.6802839999999998E-2</v>
      </c>
      <c r="Q6440">
        <v>4.5687449999999999E-3</v>
      </c>
      <c r="R6440">
        <v>0.9988937</v>
      </c>
      <c r="S6440">
        <v>-4.3457030000000001E-2</v>
      </c>
      <c r="T6440">
        <v>-0.26608029999999999</v>
      </c>
      <c r="U6440">
        <v>3.0029599999999999</v>
      </c>
      <c r="V6440">
        <v>-1.5836909999999999E-2</v>
      </c>
      <c r="W6440">
        <v>1.8741770000000001E-2</v>
      </c>
      <c r="X6440">
        <v>0.99969889999999995</v>
      </c>
      <c r="Y6440">
        <v>1.6582779999999998E-2</v>
      </c>
      <c r="Z6440">
        <v>-8.8186089999999995E-2</v>
      </c>
      <c r="AA6440">
        <v>0.99596600000000002</v>
      </c>
      <c r="AB6440">
        <v>29</v>
      </c>
      <c r="AC6440">
        <v>-3.3999999999991802E-3</v>
      </c>
      <c r="AD6440">
        <v>-8.0762999999999904E-2</v>
      </c>
      <c r="AE6440">
        <v>0.61240999999999701</v>
      </c>
      <c r="AF6440">
        <v>1.5315434674442499E-2</v>
      </c>
      <c r="AG6440">
        <v>-8.0762999999999904E-2</v>
      </c>
      <c r="AH6440">
        <v>0.60175598614994696</v>
      </c>
      <c r="AI6440">
        <v>97.641668583120705</v>
      </c>
      <c r="AJ6440">
        <v>88.542066238584994</v>
      </c>
      <c r="AK6440">
        <v>0.60734462340220197</v>
      </c>
    </row>
    <row r="6441" spans="1:37" x14ac:dyDescent="0.2">
      <c r="A6441" t="str">
        <f>"20200111160345238"</f>
        <v>20200111160345238</v>
      </c>
      <c r="B6441" t="str">
        <f>"1578729825229831"</f>
        <v>1578729825229831</v>
      </c>
      <c r="C6441" t="s">
        <v>37</v>
      </c>
      <c r="D6441">
        <v>5.2390470000000002</v>
      </c>
      <c r="E6441">
        <v>0.51416620000000002</v>
      </c>
      <c r="F6441" t="s">
        <v>42</v>
      </c>
      <c r="G6441">
        <v>-188.42449999999999</v>
      </c>
      <c r="H6441">
        <v>1.025741</v>
      </c>
      <c r="I6441">
        <v>88.354849999999999</v>
      </c>
      <c r="J6441">
        <v>-188.4205</v>
      </c>
      <c r="K6441">
        <v>1.104795</v>
      </c>
      <c r="L6441">
        <v>87.753079999999997</v>
      </c>
      <c r="M6441">
        <v>-3.1392490000000002E-2</v>
      </c>
      <c r="N6441">
        <v>0</v>
      </c>
      <c r="O6441">
        <v>0.99940649999999998</v>
      </c>
      <c r="P6441">
        <v>-4.6795530000000002E-2</v>
      </c>
      <c r="Q6441">
        <v>4.3335409999999998E-3</v>
      </c>
      <c r="R6441">
        <v>0.99889509999999904</v>
      </c>
      <c r="S6441">
        <v>-4.405212E-2</v>
      </c>
      <c r="T6441">
        <v>-0.27213009999999999</v>
      </c>
      <c r="U6441">
        <v>3.0025019999999998</v>
      </c>
      <c r="V6441">
        <v>-1.542607E-2</v>
      </c>
      <c r="W6441">
        <v>1.8504340000000001E-2</v>
      </c>
      <c r="X6441">
        <v>0.99970979999999998</v>
      </c>
      <c r="Y6441">
        <v>1.678909E-2</v>
      </c>
      <c r="Z6441">
        <v>-9.0186660000000002E-2</v>
      </c>
      <c r="AA6441">
        <v>0.99578330000000004</v>
      </c>
      <c r="AB6441">
        <v>29</v>
      </c>
      <c r="AC6441">
        <v>-3.9999999999906699E-3</v>
      </c>
      <c r="AD6441">
        <v>-7.9053999999999902E-2</v>
      </c>
      <c r="AE6441">
        <v>0.60176999999998704</v>
      </c>
      <c r="AF6441">
        <v>1.46422483812924E-2</v>
      </c>
      <c r="AG6441">
        <v>-7.9053999999999902E-2</v>
      </c>
      <c r="AH6441">
        <v>0.59139320812011298</v>
      </c>
      <c r="AI6441">
        <v>97.611525034067</v>
      </c>
      <c r="AJ6441">
        <v>88.581708984513895</v>
      </c>
      <c r="AK6441">
        <v>0.59683319023346704</v>
      </c>
    </row>
    <row r="6442" spans="1:37" x14ac:dyDescent="0.2">
      <c r="A6442" t="str">
        <f>"20200111160345261"</f>
        <v>20200111160345261</v>
      </c>
      <c r="B6442" t="str">
        <f>"1578729825249351"</f>
        <v>1578729825249351</v>
      </c>
      <c r="C6442" t="s">
        <v>37</v>
      </c>
      <c r="D6442">
        <v>5.2307940000000004</v>
      </c>
      <c r="E6442">
        <v>0.51427429999999996</v>
      </c>
      <c r="F6442" t="s">
        <v>42</v>
      </c>
      <c r="G6442">
        <v>-188.4331</v>
      </c>
      <c r="H6442">
        <v>1.0274700000000001</v>
      </c>
      <c r="I6442">
        <v>88.614400000000003</v>
      </c>
      <c r="J6442">
        <v>-188.43029999999999</v>
      </c>
      <c r="K6442">
        <v>1.104792</v>
      </c>
      <c r="L6442">
        <v>88.047060000000002</v>
      </c>
      <c r="M6442">
        <v>-3.1830780000000003E-2</v>
      </c>
      <c r="N6442">
        <v>0</v>
      </c>
      <c r="O6442">
        <v>0.99939259999999996</v>
      </c>
      <c r="P6442">
        <v>-4.6881350000000002E-2</v>
      </c>
      <c r="Q6442">
        <v>4.3151750000000001E-3</v>
      </c>
      <c r="R6442">
        <v>0.99889110000000003</v>
      </c>
      <c r="S6442">
        <v>-4.3899540000000001E-2</v>
      </c>
      <c r="T6442">
        <v>-0.26957579999999998</v>
      </c>
      <c r="U6442">
        <v>3.0024410000000001</v>
      </c>
      <c r="V6442">
        <v>-1.507379E-2</v>
      </c>
      <c r="W6442">
        <v>1.8482889999999998E-2</v>
      </c>
      <c r="X6442">
        <v>0.99971559999999904</v>
      </c>
      <c r="Y6442">
        <v>1.727677E-2</v>
      </c>
      <c r="Z6442">
        <v>-8.934657E-2</v>
      </c>
      <c r="AA6442">
        <v>0.99585069999999998</v>
      </c>
      <c r="AB6442">
        <v>29</v>
      </c>
      <c r="AC6442">
        <v>-2.80000000000768E-3</v>
      </c>
      <c r="AD6442">
        <v>-7.7321999999999794E-2</v>
      </c>
      <c r="AE6442">
        <v>0.56734000000000095</v>
      </c>
      <c r="AF6442">
        <v>1.4983799905630899E-2</v>
      </c>
      <c r="AG6442">
        <v>-7.7321999999999794E-2</v>
      </c>
      <c r="AH6442">
        <v>0.55679951688158702</v>
      </c>
      <c r="AI6442">
        <v>97.903200345562595</v>
      </c>
      <c r="AJ6442">
        <v>88.458509173315704</v>
      </c>
      <c r="AK6442">
        <v>0.56234234052148402</v>
      </c>
    </row>
    <row r="6443" spans="1:37" x14ac:dyDescent="0.2">
      <c r="A6443" t="str">
        <f>"20200111160345282"</f>
        <v>20200111160345282</v>
      </c>
      <c r="B6443" t="str">
        <f>"1578729825279608"</f>
        <v>1578729825279608</v>
      </c>
      <c r="C6443" t="s">
        <v>37</v>
      </c>
      <c r="D6443">
        <v>5.3534040000000003</v>
      </c>
      <c r="E6443">
        <v>0.51373789999999997</v>
      </c>
      <c r="F6443" t="s">
        <v>42</v>
      </c>
      <c r="G6443">
        <v>-188.44200000000001</v>
      </c>
      <c r="H6443">
        <v>1.031649</v>
      </c>
      <c r="I6443">
        <v>88.874840000000006</v>
      </c>
      <c r="J6443">
        <v>-188.43940000000001</v>
      </c>
      <c r="K6443">
        <v>1.104784</v>
      </c>
      <c r="L6443">
        <v>88.319950000000006</v>
      </c>
      <c r="M6443">
        <v>-3.2237879999999997E-2</v>
      </c>
      <c r="N6443">
        <v>0</v>
      </c>
      <c r="O6443">
        <v>0.99937960000000003</v>
      </c>
      <c r="P6443">
        <v>-4.6602699999999997E-2</v>
      </c>
      <c r="Q6443">
        <v>3.2426019999999998E-3</v>
      </c>
      <c r="R6443">
        <v>0.99890820000000002</v>
      </c>
      <c r="S6443">
        <v>-4.2739869999999999E-2</v>
      </c>
      <c r="T6443">
        <v>-0.26532280000000003</v>
      </c>
      <c r="U6443">
        <v>3.002472</v>
      </c>
      <c r="V6443">
        <v>-1.4386660000000001E-2</v>
      </c>
      <c r="W6443">
        <v>1.7407800000000001E-2</v>
      </c>
      <c r="X6443">
        <v>0.99974499999999999</v>
      </c>
      <c r="Y6443">
        <v>1.806698E-2</v>
      </c>
      <c r="Z6443">
        <v>-8.7944990000000001E-2</v>
      </c>
      <c r="AA6443">
        <v>0.99596149999999894</v>
      </c>
      <c r="AB6443">
        <v>29</v>
      </c>
      <c r="AC6443">
        <v>-2.6000000000010398E-3</v>
      </c>
      <c r="AD6443">
        <v>-7.3134999999999895E-2</v>
      </c>
      <c r="AE6443">
        <v>0.55488999999999999</v>
      </c>
      <c r="AF6443">
        <v>1.50305313935678E-2</v>
      </c>
      <c r="AG6443">
        <v>-7.3134999999999895E-2</v>
      </c>
      <c r="AH6443">
        <v>0.54521437974225095</v>
      </c>
      <c r="AI6443">
        <v>97.637176657682204</v>
      </c>
      <c r="AJ6443">
        <v>88.420863468116494</v>
      </c>
      <c r="AK6443">
        <v>0.55030297562043096</v>
      </c>
    </row>
    <row r="6444" spans="1:37" x14ac:dyDescent="0.2">
      <c r="A6444" t="str">
        <f>"20200111160345304"</f>
        <v>20200111160345304</v>
      </c>
      <c r="B6444" t="str">
        <f>"1578729825300103"</f>
        <v>1578729825300103</v>
      </c>
      <c r="C6444" t="s">
        <v>37</v>
      </c>
      <c r="D6444">
        <v>5.2143600000000001</v>
      </c>
      <c r="E6444">
        <v>0.51343660000000002</v>
      </c>
      <c r="F6444" t="s">
        <v>42</v>
      </c>
      <c r="G6444">
        <v>-188.45179999999999</v>
      </c>
      <c r="H6444">
        <v>1.0319309999999999</v>
      </c>
      <c r="I6444">
        <v>89.133049999999997</v>
      </c>
      <c r="J6444">
        <v>-188.44890000000001</v>
      </c>
      <c r="K6444">
        <v>1.104781</v>
      </c>
      <c r="L6444">
        <v>88.600980000000007</v>
      </c>
      <c r="M6444">
        <v>-3.265734E-2</v>
      </c>
      <c r="N6444">
        <v>0</v>
      </c>
      <c r="O6444">
        <v>0.99936610000000003</v>
      </c>
      <c r="P6444">
        <v>-4.7043660000000001E-2</v>
      </c>
      <c r="Q6444">
        <v>2.5468460000000002E-3</v>
      </c>
      <c r="R6444">
        <v>0.99888960000000004</v>
      </c>
      <c r="S6444">
        <v>-4.6401980000000002E-2</v>
      </c>
      <c r="T6444">
        <v>-0.26903559999999999</v>
      </c>
      <c r="U6444">
        <v>3.002014</v>
      </c>
      <c r="V6444">
        <v>-1.4407329999999999E-2</v>
      </c>
      <c r="W6444">
        <v>1.6708850000000001E-2</v>
      </c>
      <c r="X6444">
        <v>0.999756599999999</v>
      </c>
      <c r="Y6444">
        <v>1.7271470000000001E-2</v>
      </c>
      <c r="Z6444">
        <v>-8.9177409999999999E-2</v>
      </c>
      <c r="AA6444">
        <v>0.99586600000000003</v>
      </c>
      <c r="AB6444">
        <v>29</v>
      </c>
      <c r="AC6444">
        <v>-2.8999999999825801E-3</v>
      </c>
      <c r="AD6444">
        <v>-7.2849999999999998E-2</v>
      </c>
      <c r="AE6444">
        <v>0.53206999999999005</v>
      </c>
      <c r="AF6444">
        <v>1.42128495834071E-2</v>
      </c>
      <c r="AG6444">
        <v>-7.2849999999999998E-2</v>
      </c>
      <c r="AH6444">
        <v>0.52209368680039803</v>
      </c>
      <c r="AI6444">
        <v>97.940537266931202</v>
      </c>
      <c r="AJ6444">
        <v>88.440633849774201</v>
      </c>
      <c r="AK6444">
        <v>0.527343289888203</v>
      </c>
    </row>
    <row r="6445" spans="1:37" x14ac:dyDescent="0.2">
      <c r="A6445" t="str">
        <f>"20200111160345326"</f>
        <v>20200111160345326</v>
      </c>
      <c r="B6445" t="str">
        <f>"1578729825319622"</f>
        <v>1578729825319622</v>
      </c>
      <c r="C6445" t="s">
        <v>37</v>
      </c>
      <c r="D6445">
        <v>5.2293479999999999</v>
      </c>
      <c r="E6445">
        <v>0.51316090000000003</v>
      </c>
      <c r="F6445" t="s">
        <v>42</v>
      </c>
      <c r="G6445">
        <v>-188.46209999999999</v>
      </c>
      <c r="H6445">
        <v>1.03284</v>
      </c>
      <c r="I6445">
        <v>89.391229999999993</v>
      </c>
      <c r="J6445">
        <v>-188.459</v>
      </c>
      <c r="K6445">
        <v>1.1047819999999999</v>
      </c>
      <c r="L6445">
        <v>88.893429999999995</v>
      </c>
      <c r="M6445">
        <v>-3.3094110000000003E-2</v>
      </c>
      <c r="N6445">
        <v>0</v>
      </c>
      <c r="O6445">
        <v>0.99935169999999995</v>
      </c>
      <c r="P6445">
        <v>-4.7543149999999999E-2</v>
      </c>
      <c r="Q6445">
        <v>2.635096E-3</v>
      </c>
      <c r="R6445">
        <v>0.99886569999999997</v>
      </c>
      <c r="S6445">
        <v>-5.0170899999999997E-2</v>
      </c>
      <c r="T6445">
        <v>-0.2732716</v>
      </c>
      <c r="U6445">
        <v>3.0016780000000001</v>
      </c>
      <c r="V6445">
        <v>-1.4470240000000001E-2</v>
      </c>
      <c r="W6445">
        <v>1.6794199999999999E-2</v>
      </c>
      <c r="X6445">
        <v>0.99975429999999998</v>
      </c>
      <c r="Y6445">
        <v>1.6458739999999999E-2</v>
      </c>
      <c r="Z6445">
        <v>-9.057788E-2</v>
      </c>
      <c r="AA6445">
        <v>0.99575329999999995</v>
      </c>
      <c r="AB6445">
        <v>29</v>
      </c>
      <c r="AC6445">
        <v>-3.0999999999892199E-3</v>
      </c>
      <c r="AD6445">
        <v>-7.1941999999999895E-2</v>
      </c>
      <c r="AE6445">
        <v>0.49779999999999802</v>
      </c>
      <c r="AF6445">
        <v>1.3103924018298499E-2</v>
      </c>
      <c r="AG6445">
        <v>-7.1941999999999895E-2</v>
      </c>
      <c r="AH6445">
        <v>0.487449399929269</v>
      </c>
      <c r="AI6445">
        <v>98.392609382730996</v>
      </c>
      <c r="AJ6445">
        <v>88.460109381223603</v>
      </c>
      <c r="AK6445">
        <v>0.49290392743422301</v>
      </c>
    </row>
    <row r="6446" spans="1:37" x14ac:dyDescent="0.2">
      <c r="A6446" t="str">
        <f>"20200111160345350"</f>
        <v>20200111160345350</v>
      </c>
      <c r="B6446" t="str">
        <f>"1578729825340119"</f>
        <v>1578729825340119</v>
      </c>
      <c r="C6446" t="s">
        <v>37</v>
      </c>
      <c r="D6446">
        <v>5.2946410000000004</v>
      </c>
      <c r="E6446">
        <v>0.51285979999999998</v>
      </c>
      <c r="F6446" t="s">
        <v>42</v>
      </c>
      <c r="G6446">
        <v>-188.4725</v>
      </c>
      <c r="H6446">
        <v>1.0354209999999999</v>
      </c>
      <c r="I6446">
        <v>89.650239999999997</v>
      </c>
      <c r="J6446">
        <v>-188.46969999999999</v>
      </c>
      <c r="K6446">
        <v>1.1047849999999999</v>
      </c>
      <c r="L6446">
        <v>89.201779999999999</v>
      </c>
      <c r="M6446">
        <v>-3.3554609999999999E-2</v>
      </c>
      <c r="N6446">
        <v>0</v>
      </c>
      <c r="O6446">
        <v>0.99933639999999901</v>
      </c>
      <c r="P6446">
        <v>-4.7778479999999998E-2</v>
      </c>
      <c r="Q6446">
        <v>3.1524509999999901E-3</v>
      </c>
      <c r="R6446">
        <v>0.99885299999999999</v>
      </c>
      <c r="S6446">
        <v>-5.4153439999999997E-2</v>
      </c>
      <c r="T6446">
        <v>-0.27517849999999999</v>
      </c>
      <c r="U6446">
        <v>3.0015559999999999</v>
      </c>
      <c r="V6446">
        <v>-1.424606E-2</v>
      </c>
      <c r="W6446">
        <v>1.7308150000000001E-2</v>
      </c>
      <c r="X6446">
        <v>0.99974869999999905</v>
      </c>
      <c r="Y6446">
        <v>1.559905E-2</v>
      </c>
      <c r="Z6446">
        <v>-9.1205869999999994E-2</v>
      </c>
      <c r="AA6446">
        <v>0.99570990000000004</v>
      </c>
      <c r="AB6446">
        <v>29</v>
      </c>
      <c r="AC6446">
        <v>-2.80000000000768E-3</v>
      </c>
      <c r="AD6446">
        <v>-6.9364000000000203E-2</v>
      </c>
      <c r="AE6446">
        <v>0.44845999999999703</v>
      </c>
      <c r="AF6446">
        <v>1.1964763531093801E-2</v>
      </c>
      <c r="AG6446">
        <v>-6.9364000000000203E-2</v>
      </c>
      <c r="AH6446">
        <v>0.437827512731089</v>
      </c>
      <c r="AI6446">
        <v>98.999112565909797</v>
      </c>
      <c r="AJ6446">
        <v>88.434634966579907</v>
      </c>
      <c r="AK6446">
        <v>0.44344949088554197</v>
      </c>
    </row>
    <row r="6447" spans="1:37" x14ac:dyDescent="0.2">
      <c r="A6447" t="str">
        <f>"20200111160345372"</f>
        <v>20200111160345372</v>
      </c>
      <c r="B6447" t="str">
        <f>"1578729825369399"</f>
        <v>1578729825369399</v>
      </c>
      <c r="C6447" t="s">
        <v>37</v>
      </c>
      <c r="D6447">
        <v>5.343763</v>
      </c>
      <c r="E6447">
        <v>0.51247940000000003</v>
      </c>
      <c r="F6447" t="s">
        <v>42</v>
      </c>
      <c r="G6447">
        <v>-188.48779999999999</v>
      </c>
      <c r="H6447">
        <v>1.017347</v>
      </c>
      <c r="I6447">
        <v>90.155079999999998</v>
      </c>
      <c r="J6447">
        <v>-188.4794</v>
      </c>
      <c r="K6447">
        <v>1.1047849999999999</v>
      </c>
      <c r="L6447">
        <v>89.476469999999907</v>
      </c>
      <c r="M6447">
        <v>-3.3964620000000001E-2</v>
      </c>
      <c r="N6447">
        <v>0</v>
      </c>
      <c r="O6447">
        <v>0.99932269999999901</v>
      </c>
      <c r="P6447">
        <v>-4.772212E-2</v>
      </c>
      <c r="Q6447">
        <v>3.703965E-3</v>
      </c>
      <c r="R6447">
        <v>0.99885380000000001</v>
      </c>
      <c r="S6447">
        <v>-5.7418820000000002E-2</v>
      </c>
      <c r="T6447">
        <v>-0.27537699999999998</v>
      </c>
      <c r="U6447">
        <v>3.0015869999999998</v>
      </c>
      <c r="V6447">
        <v>-1.377922E-2</v>
      </c>
      <c r="W6447">
        <v>1.785643E-2</v>
      </c>
      <c r="X6447">
        <v>0.99974560000000001</v>
      </c>
      <c r="Y6447">
        <v>1.4926729999999999E-2</v>
      </c>
      <c r="Z6447">
        <v>-9.1267879999999996E-2</v>
      </c>
      <c r="AA6447">
        <v>0.99571449999999995</v>
      </c>
      <c r="AB6447">
        <v>29</v>
      </c>
      <c r="AC6447">
        <v>-8.3999999999946305E-3</v>
      </c>
      <c r="AD6447">
        <v>-8.7438000000000099E-2</v>
      </c>
      <c r="AE6447">
        <v>0.67861000000000604</v>
      </c>
      <c r="AF6447">
        <v>1.44165825931041E-2</v>
      </c>
      <c r="AG6447">
        <v>-8.7438000000000099E-2</v>
      </c>
      <c r="AH6447">
        <v>0.66742484199035301</v>
      </c>
      <c r="AI6447">
        <v>97.461978690436695</v>
      </c>
      <c r="AJ6447">
        <v>88.762585901910498</v>
      </c>
      <c r="AK6447">
        <v>0.67328237865216001</v>
      </c>
    </row>
    <row r="6448" spans="1:37" x14ac:dyDescent="0.2">
      <c r="A6448" t="str">
        <f>"20200111160345393"</f>
        <v>20200111160345393</v>
      </c>
      <c r="B6448" t="str">
        <f>"1578729825389894"</f>
        <v>1578729825389894</v>
      </c>
      <c r="C6448" t="s">
        <v>37</v>
      </c>
      <c r="D6448">
        <v>5.3548419999999997</v>
      </c>
      <c r="E6448">
        <v>0.51218949999999996</v>
      </c>
      <c r="F6448" t="s">
        <v>42</v>
      </c>
      <c r="G6448">
        <v>-188.49809999999999</v>
      </c>
      <c r="H6448">
        <v>1.0186469999999901</v>
      </c>
      <c r="I6448">
        <v>90.412210000000002</v>
      </c>
      <c r="J6448">
        <v>-188.48920000000001</v>
      </c>
      <c r="K6448">
        <v>1.1047879999999899</v>
      </c>
      <c r="L6448">
        <v>89.750399999999999</v>
      </c>
      <c r="M6448">
        <v>-3.4373670000000002E-2</v>
      </c>
      <c r="N6448">
        <v>0</v>
      </c>
      <c r="O6448">
        <v>0.99930869999999905</v>
      </c>
      <c r="P6448">
        <v>-4.7530070000000001E-2</v>
      </c>
      <c r="Q6448">
        <v>4.9105219999999996E-3</v>
      </c>
      <c r="R6448">
        <v>0.99885769999999996</v>
      </c>
      <c r="S6448">
        <v>-6.0333249999999998E-2</v>
      </c>
      <c r="T6448">
        <v>-0.27635009999999999</v>
      </c>
      <c r="U6448">
        <v>3.0015869999999998</v>
      </c>
      <c r="V6448">
        <v>-1.317874E-2</v>
      </c>
      <c r="W6448">
        <v>1.9060710000000002E-2</v>
      </c>
      <c r="X6448">
        <v>0.9997315</v>
      </c>
      <c r="Y6448">
        <v>1.437017E-2</v>
      </c>
      <c r="Z6448">
        <v>-9.1585269999999996E-2</v>
      </c>
      <c r="AA6448">
        <v>0.99569359999999996</v>
      </c>
      <c r="AB6448">
        <v>29</v>
      </c>
      <c r="AC6448">
        <v>-8.8999999999828001E-3</v>
      </c>
      <c r="AD6448">
        <v>-8.6140999999999995E-2</v>
      </c>
      <c r="AE6448">
        <v>0.66181000000000201</v>
      </c>
      <c r="AF6448">
        <v>1.36255840022752E-2</v>
      </c>
      <c r="AG6448">
        <v>-8.6140999999999995E-2</v>
      </c>
      <c r="AH6448">
        <v>0.65070285937114003</v>
      </c>
      <c r="AI6448">
        <v>97.539417759590293</v>
      </c>
      <c r="AJ6448">
        <v>88.800413473861298</v>
      </c>
      <c r="AK6448">
        <v>0.65652124079437102</v>
      </c>
    </row>
    <row r="6449" spans="1:37" x14ac:dyDescent="0.2">
      <c r="A6449" t="str">
        <f>"20200111160345418"</f>
        <v>20200111160345418</v>
      </c>
      <c r="B6449" t="str">
        <f>"1578729825409415"</f>
        <v>1578729825409415</v>
      </c>
      <c r="C6449" t="s">
        <v>37</v>
      </c>
      <c r="D6449">
        <v>5.2662469999999999</v>
      </c>
      <c r="E6449">
        <v>0.51195089999999999</v>
      </c>
      <c r="F6449" t="s">
        <v>42</v>
      </c>
      <c r="G6449">
        <v>-188.50810000000001</v>
      </c>
      <c r="H6449">
        <v>1.020788</v>
      </c>
      <c r="I6449">
        <v>90.669460000000001</v>
      </c>
      <c r="J6449">
        <v>-188.50040000000001</v>
      </c>
      <c r="K6449">
        <v>1.104792</v>
      </c>
      <c r="L6449">
        <v>90.06241</v>
      </c>
      <c r="M6449">
        <v>-3.4839710000000003E-2</v>
      </c>
      <c r="N6449">
        <v>0</v>
      </c>
      <c r="O6449">
        <v>0.99929259999999998</v>
      </c>
      <c r="P6449">
        <v>-4.7458680000000003E-2</v>
      </c>
      <c r="Q6449">
        <v>5.1326509999999898E-3</v>
      </c>
      <c r="R6449">
        <v>0.99885999999999997</v>
      </c>
      <c r="S6449">
        <v>-6.2255860000000003E-2</v>
      </c>
      <c r="T6449">
        <v>-0.2744046</v>
      </c>
      <c r="U6449">
        <v>3.0018009999999999</v>
      </c>
      <c r="V6449">
        <v>-1.264143E-2</v>
      </c>
      <c r="W6449">
        <v>1.9279540000000001E-2</v>
      </c>
      <c r="X6449">
        <v>0.99973419999999902</v>
      </c>
      <c r="Y6449">
        <v>1.419921E-2</v>
      </c>
      <c r="Z6449">
        <v>-9.093677E-2</v>
      </c>
      <c r="AA6449">
        <v>0.99575539999999996</v>
      </c>
      <c r="AB6449">
        <v>29</v>
      </c>
      <c r="AC6449">
        <v>-7.6999999999998103E-3</v>
      </c>
      <c r="AD6449">
        <v>-8.4003999999999898E-2</v>
      </c>
      <c r="AE6449">
        <v>0.60705000000000098</v>
      </c>
      <c r="AF6449">
        <v>1.3203446962514499E-2</v>
      </c>
      <c r="AG6449">
        <v>-8.4003999999999898E-2</v>
      </c>
      <c r="AH6449">
        <v>0.59554725786152496</v>
      </c>
      <c r="AI6449">
        <v>98.026853483072202</v>
      </c>
      <c r="AJ6449">
        <v>88.729944824704901</v>
      </c>
      <c r="AK6449">
        <v>0.60158751597259197</v>
      </c>
    </row>
    <row r="6450" spans="1:37" x14ac:dyDescent="0.2">
      <c r="A6450" t="str">
        <f>"20200111160345438"</f>
        <v>20200111160345438</v>
      </c>
      <c r="B6450" t="str">
        <f>"1578729825429910"</f>
        <v>1578729825429910</v>
      </c>
      <c r="C6450" t="s">
        <v>37</v>
      </c>
      <c r="D6450">
        <v>5.3029839999999897</v>
      </c>
      <c r="E6450">
        <v>0.5117273</v>
      </c>
      <c r="F6450" t="s">
        <v>42</v>
      </c>
      <c r="G6450">
        <v>-188.5188</v>
      </c>
      <c r="H6450">
        <v>1.02546</v>
      </c>
      <c r="I6450">
        <v>90.927639999999997</v>
      </c>
      <c r="J6450">
        <v>-188.51009999999999</v>
      </c>
      <c r="K6450">
        <v>1.104789</v>
      </c>
      <c r="L6450">
        <v>90.326449999999994</v>
      </c>
      <c r="M6450">
        <v>-3.5234309999999998E-2</v>
      </c>
      <c r="N6450">
        <v>0</v>
      </c>
      <c r="O6450">
        <v>0.99927880000000002</v>
      </c>
      <c r="P6450">
        <v>-4.7393909999999997E-2</v>
      </c>
      <c r="Q6450">
        <v>4.8520079999999997E-3</v>
      </c>
      <c r="R6450">
        <v>0.99886450000000004</v>
      </c>
      <c r="S6450">
        <v>-6.3980099999999998E-2</v>
      </c>
      <c r="T6450">
        <v>-0.27523920000000002</v>
      </c>
      <c r="U6450">
        <v>3.0018009999999999</v>
      </c>
      <c r="V6450">
        <v>-1.218147E-2</v>
      </c>
      <c r="W6450">
        <v>1.8996349999999999E-2</v>
      </c>
      <c r="X6450">
        <v>0.99974540000000001</v>
      </c>
      <c r="Y6450">
        <v>1.402287E-2</v>
      </c>
      <c r="Z6450">
        <v>-9.1208709999999998E-2</v>
      </c>
      <c r="AA6450">
        <v>0.99573310000000004</v>
      </c>
      <c r="AB6450">
        <v>29</v>
      </c>
      <c r="AC6450">
        <v>-8.7000000000045895E-3</v>
      </c>
      <c r="AD6450">
        <v>-7.93289999999999E-2</v>
      </c>
      <c r="AE6450">
        <v>0.601190000000002</v>
      </c>
      <c r="AF6450">
        <v>1.2276334235024699E-2</v>
      </c>
      <c r="AG6450">
        <v>-7.93289999999999E-2</v>
      </c>
      <c r="AH6450">
        <v>0.59083788169389595</v>
      </c>
      <c r="AI6450">
        <v>97.645468928469199</v>
      </c>
      <c r="AJ6450">
        <v>88.809688805485806</v>
      </c>
      <c r="AK6450">
        <v>0.59626604889745405</v>
      </c>
    </row>
    <row r="6451" spans="1:37" x14ac:dyDescent="0.2">
      <c r="A6451" t="str">
        <f>"20200111160345461"</f>
        <v>20200111160345461</v>
      </c>
      <c r="B6451" t="str">
        <f>"1578729825449430"</f>
        <v>1578729825449430</v>
      </c>
      <c r="C6451" t="s">
        <v>37</v>
      </c>
      <c r="D6451">
        <v>5.3534649999999999</v>
      </c>
      <c r="E6451">
        <v>0.51151869999999999</v>
      </c>
      <c r="F6451" t="s">
        <v>42</v>
      </c>
      <c r="G6451">
        <v>-188.52879999999999</v>
      </c>
      <c r="H6451">
        <v>1.0254540000000001</v>
      </c>
      <c r="I6451">
        <v>91.183219999999906</v>
      </c>
      <c r="J6451">
        <v>-188.52080000000001</v>
      </c>
      <c r="K6451">
        <v>1.1047819999999999</v>
      </c>
      <c r="L6451">
        <v>90.618650000000002</v>
      </c>
      <c r="M6451">
        <v>-3.5670939999999998E-2</v>
      </c>
      <c r="N6451">
        <v>0</v>
      </c>
      <c r="O6451">
        <v>0.99926340000000002</v>
      </c>
      <c r="P6451">
        <v>-4.760839E-2</v>
      </c>
      <c r="Q6451">
        <v>4.7828050000000002E-3</v>
      </c>
      <c r="R6451">
        <v>0.99885460000000004</v>
      </c>
      <c r="S6451">
        <v>-6.5856929999999994E-2</v>
      </c>
      <c r="T6451">
        <v>-0.27796920000000003</v>
      </c>
      <c r="U6451">
        <v>3.0016479999999999</v>
      </c>
      <c r="V6451">
        <v>-1.195886E-2</v>
      </c>
      <c r="W6451">
        <v>1.8923889999999999E-2</v>
      </c>
      <c r="X6451">
        <v>0.99974940000000001</v>
      </c>
      <c r="Y6451">
        <v>1.38382E-2</v>
      </c>
      <c r="Z6451">
        <v>-9.210778E-2</v>
      </c>
      <c r="AA6451">
        <v>0.99565289999999995</v>
      </c>
      <c r="AB6451">
        <v>29</v>
      </c>
      <c r="AC6451">
        <v>-7.9999999999813502E-3</v>
      </c>
      <c r="AD6451">
        <v>-7.9327999999999801E-2</v>
      </c>
      <c r="AE6451">
        <v>0.56456999999998903</v>
      </c>
      <c r="AF6451">
        <v>1.1910742612160101E-2</v>
      </c>
      <c r="AG6451">
        <v>-7.9327999999999801E-2</v>
      </c>
      <c r="AH6451">
        <v>0.55356899965706396</v>
      </c>
      <c r="AI6451">
        <v>98.153263954321403</v>
      </c>
      <c r="AJ6451">
        <v>88.767398461521296</v>
      </c>
      <c r="AK6451">
        <v>0.55935090484855399</v>
      </c>
    </row>
    <row r="6452" spans="1:37" x14ac:dyDescent="0.2">
      <c r="A6452" t="str">
        <f>"20200111160345482"</f>
        <v>20200111160345482</v>
      </c>
      <c r="B6452" t="str">
        <f>"1578729825479687"</f>
        <v>1578729825479687</v>
      </c>
      <c r="C6452" t="s">
        <v>37</v>
      </c>
      <c r="D6452">
        <v>5.434329</v>
      </c>
      <c r="E6452">
        <v>0.51198699999999997</v>
      </c>
      <c r="F6452" t="s">
        <v>42</v>
      </c>
      <c r="G6452">
        <v>-188.53960000000001</v>
      </c>
      <c r="H6452">
        <v>1.0283040000000001</v>
      </c>
      <c r="I6452">
        <v>91.439869999999999</v>
      </c>
      <c r="J6452">
        <v>-188.53099999999901</v>
      </c>
      <c r="K6452">
        <v>1.1047799999999901</v>
      </c>
      <c r="L6452">
        <v>90.890929999999997</v>
      </c>
      <c r="M6452">
        <v>-3.607805E-2</v>
      </c>
      <c r="N6452">
        <v>0</v>
      </c>
      <c r="O6452">
        <v>0.99924880000000005</v>
      </c>
      <c r="P6452">
        <v>-4.7880440000000003E-2</v>
      </c>
      <c r="Q6452">
        <v>4.6521430000000001E-3</v>
      </c>
      <c r="R6452">
        <v>0.99884219999999901</v>
      </c>
      <c r="S6452">
        <v>-6.8374630000000006E-2</v>
      </c>
      <c r="T6452">
        <v>-0.27951110000000001</v>
      </c>
      <c r="U6452">
        <v>3.0015259999999899</v>
      </c>
      <c r="V6452">
        <v>-1.1823500000000001E-2</v>
      </c>
      <c r="W6452">
        <v>1.8790870000000001E-2</v>
      </c>
      <c r="X6452">
        <v>0.99975349999999996</v>
      </c>
      <c r="Y6452">
        <v>1.3411030000000001E-2</v>
      </c>
      <c r="Z6452">
        <v>-9.2615429999999999E-2</v>
      </c>
      <c r="AA6452">
        <v>0.99561160000000004</v>
      </c>
      <c r="AB6452">
        <v>29</v>
      </c>
      <c r="AC6452">
        <v>-8.6000000000296898E-3</v>
      </c>
      <c r="AD6452">
        <v>-7.6475999999999697E-2</v>
      </c>
      <c r="AE6452">
        <v>0.54893999999998699</v>
      </c>
      <c r="AF6452">
        <v>1.09988446262226E-2</v>
      </c>
      <c r="AG6452">
        <v>-7.6475999999999697E-2</v>
      </c>
      <c r="AH6452">
        <v>0.53844480851572496</v>
      </c>
      <c r="AI6452">
        <v>98.082060634721401</v>
      </c>
      <c r="AJ6452">
        <v>88.829778397142903</v>
      </c>
      <c r="AK6452">
        <v>0.54395989280152601</v>
      </c>
    </row>
    <row r="6453" spans="1:37" x14ac:dyDescent="0.2">
      <c r="A6453" t="str">
        <f>"20200111160345505"</f>
        <v>20200111160345505</v>
      </c>
      <c r="B6453" t="str">
        <f>"1578729825500183"</f>
        <v>1578729825500183</v>
      </c>
      <c r="C6453" t="s">
        <v>37</v>
      </c>
      <c r="D6453">
        <v>5.1925889999999999</v>
      </c>
      <c r="E6453">
        <v>0.58936540000000004</v>
      </c>
      <c r="F6453" t="s">
        <v>42</v>
      </c>
      <c r="G6453">
        <v>-188.54859999999999</v>
      </c>
      <c r="H6453">
        <v>1.0291969999999999</v>
      </c>
      <c r="I6453">
        <v>91.695269999999994</v>
      </c>
      <c r="J6453">
        <v>-188.54179999999999</v>
      </c>
      <c r="K6453">
        <v>1.1047769999999999</v>
      </c>
      <c r="L6453">
        <v>91.175539999999998</v>
      </c>
      <c r="M6453">
        <v>-3.6501390000000002E-2</v>
      </c>
      <c r="N6453">
        <v>0</v>
      </c>
      <c r="O6453">
        <v>0.999233499999999</v>
      </c>
      <c r="P6453">
        <v>-4.8167969999999997E-2</v>
      </c>
      <c r="Q6453">
        <v>5.74253099999999E-3</v>
      </c>
      <c r="R6453">
        <v>0.99882269999999895</v>
      </c>
      <c r="S6453">
        <v>-6.5750119999999995E-2</v>
      </c>
      <c r="T6453">
        <v>-0.28207280000000001</v>
      </c>
      <c r="U6453">
        <v>3.0016479999999999</v>
      </c>
      <c r="V6453">
        <v>-1.1689299999999901E-2</v>
      </c>
      <c r="W6453">
        <v>1.9877860000000001E-2</v>
      </c>
      <c r="X6453">
        <v>0.99973409999999996</v>
      </c>
      <c r="Y6453">
        <v>1.4707359999999999E-2</v>
      </c>
      <c r="Z6453">
        <v>-9.345096E-2</v>
      </c>
      <c r="AA6453">
        <v>0.99551520000000004</v>
      </c>
      <c r="AB6453">
        <v>29</v>
      </c>
      <c r="AC6453">
        <v>-6.7999999999983603E-3</v>
      </c>
      <c r="AD6453">
        <v>-7.5580000000000203E-2</v>
      </c>
      <c r="AE6453">
        <v>0.51972999999999503</v>
      </c>
      <c r="AF6453">
        <v>1.1925154232819901E-2</v>
      </c>
      <c r="AG6453">
        <v>-7.5580000000000203E-2</v>
      </c>
      <c r="AH6453">
        <v>0.50887230343392698</v>
      </c>
      <c r="AI6453">
        <v>98.445782319417305</v>
      </c>
      <c r="AJ6453">
        <v>88.657549315107403</v>
      </c>
      <c r="AK6453">
        <v>0.51459262228060298</v>
      </c>
    </row>
    <row r="6454" spans="1:37" x14ac:dyDescent="0.2">
      <c r="A6454" t="str">
        <f>"20200111160345528"</f>
        <v>20200111160345528</v>
      </c>
      <c r="B6454" t="str">
        <f>"1578729825519703"</f>
        <v>1578729825519703</v>
      </c>
      <c r="C6454" t="s">
        <v>37</v>
      </c>
      <c r="D6454">
        <v>5.0984439999999998</v>
      </c>
      <c r="E6454">
        <v>0.59451540000000003</v>
      </c>
      <c r="F6454" t="s">
        <v>42</v>
      </c>
      <c r="G6454">
        <v>-188.40180000000001</v>
      </c>
      <c r="H6454">
        <v>1.0167709999999901</v>
      </c>
      <c r="I6454">
        <v>91.951329999999999</v>
      </c>
      <c r="J6454">
        <v>-188.5532</v>
      </c>
      <c r="K6454">
        <v>1.1047689999999999</v>
      </c>
      <c r="L6454">
        <v>91.474819999999994</v>
      </c>
      <c r="M6454">
        <v>-3.6932739999999999E-2</v>
      </c>
      <c r="N6454">
        <v>0</v>
      </c>
      <c r="O6454">
        <v>0.99921769999999999</v>
      </c>
      <c r="P6454">
        <v>-4.7980469999999997E-2</v>
      </c>
      <c r="Q6454">
        <v>6.377743E-3</v>
      </c>
      <c r="R6454">
        <v>0.99882789999999999</v>
      </c>
      <c r="S6454">
        <v>0.54676819999999904</v>
      </c>
      <c r="T6454">
        <v>-0.34396149999999998</v>
      </c>
      <c r="U6454">
        <v>3.0318909999999999</v>
      </c>
      <c r="V6454">
        <v>-1.1069910000000001E-2</v>
      </c>
      <c r="W6454">
        <v>2.051097E-2</v>
      </c>
      <c r="X6454">
        <v>0.99972830000000001</v>
      </c>
      <c r="Y6454">
        <v>0.2126161</v>
      </c>
      <c r="Z6454">
        <v>-0.1104401</v>
      </c>
      <c r="AA6454">
        <v>0.97087449999999997</v>
      </c>
      <c r="AB6454">
        <v>29</v>
      </c>
      <c r="AC6454">
        <v>0.15139999999999501</v>
      </c>
      <c r="AD6454">
        <v>-8.7998000000000201E-2</v>
      </c>
      <c r="AE6454">
        <v>0.47651000000000399</v>
      </c>
      <c r="AF6454">
        <v>0.16382259875752</v>
      </c>
      <c r="AG6454">
        <v>-8.7998000000000201E-2</v>
      </c>
      <c r="AH6454">
        <v>0.45645328778494598</v>
      </c>
      <c r="AI6454">
        <v>100.284627938146</v>
      </c>
      <c r="AJ6454">
        <v>70.256769265600397</v>
      </c>
      <c r="AK6454">
        <v>0.49288040719565501</v>
      </c>
    </row>
    <row r="6455" spans="1:37" x14ac:dyDescent="0.2">
      <c r="A6455" t="str">
        <f>"20200111160345550"</f>
        <v>20200111160345550</v>
      </c>
      <c r="B6455" t="str">
        <f>"1578729825540200"</f>
        <v>1578729825540200</v>
      </c>
      <c r="C6455" t="s">
        <v>37</v>
      </c>
      <c r="D6455">
        <v>5.0516730000000001</v>
      </c>
      <c r="E6455">
        <v>0.59724370000000004</v>
      </c>
      <c r="F6455" t="s">
        <v>42</v>
      </c>
      <c r="G6455">
        <v>-188.40809999999999</v>
      </c>
      <c r="H6455">
        <v>1.024661</v>
      </c>
      <c r="I6455">
        <v>92.221620000000001</v>
      </c>
      <c r="J6455">
        <v>-188.5641</v>
      </c>
      <c r="K6455">
        <v>1.104741</v>
      </c>
      <c r="L6455">
        <v>91.756839999999997</v>
      </c>
      <c r="M6455">
        <v>-3.730166E-2</v>
      </c>
      <c r="N6455">
        <v>0</v>
      </c>
      <c r="O6455">
        <v>0.99920399999999998</v>
      </c>
      <c r="P6455">
        <v>-4.7342370000000002E-2</v>
      </c>
      <c r="Q6455">
        <v>5.5225309999999998E-3</v>
      </c>
      <c r="R6455">
        <v>0.99886350000000002</v>
      </c>
      <c r="S6455">
        <v>0.58941650000000001</v>
      </c>
      <c r="T6455">
        <v>-0.32545400000000002</v>
      </c>
      <c r="U6455">
        <v>3.0339049999999999</v>
      </c>
      <c r="V6455">
        <v>-1.005993E-2</v>
      </c>
      <c r="W6455">
        <v>1.9653790000000001E-2</v>
      </c>
      <c r="X6455">
        <v>0.99975619999999998</v>
      </c>
      <c r="Y6455">
        <v>0.2261572</v>
      </c>
      <c r="Z6455">
        <v>-0.10420309999999899</v>
      </c>
      <c r="AA6455">
        <v>0.96850119999999895</v>
      </c>
      <c r="AB6455">
        <v>29</v>
      </c>
      <c r="AC6455">
        <v>0.156000000000005</v>
      </c>
      <c r="AD6455">
        <v>-8.0079999999999901E-2</v>
      </c>
      <c r="AE6455">
        <v>0.46478000000000402</v>
      </c>
      <c r="AF6455">
        <v>0.16872846619158399</v>
      </c>
      <c r="AG6455">
        <v>-8.0079999999999901E-2</v>
      </c>
      <c r="AH6455">
        <v>0.44671821031673598</v>
      </c>
      <c r="AI6455">
        <v>99.519883256100201</v>
      </c>
      <c r="AJ6455">
        <v>69.308112611980704</v>
      </c>
      <c r="AK6455">
        <v>0.484189282338996</v>
      </c>
    </row>
    <row r="6456" spans="1:37" x14ac:dyDescent="0.2">
      <c r="A6456" t="str">
        <f>"20200111160345572"</f>
        <v>20200111160345572</v>
      </c>
      <c r="B6456" t="str">
        <f>"1578729825569478"</f>
        <v>1578729825569478</v>
      </c>
      <c r="C6456" t="s">
        <v>37</v>
      </c>
      <c r="D6456">
        <v>5.0306069999999998</v>
      </c>
      <c r="E6456">
        <v>0.59708000000000006</v>
      </c>
      <c r="F6456" t="s">
        <v>38</v>
      </c>
      <c r="G6456">
        <v>-186.45820000000001</v>
      </c>
      <c r="H6456" s="1">
        <v>-1.80278E-6</v>
      </c>
      <c r="I6456">
        <v>102.1764</v>
      </c>
      <c r="J6456">
        <v>-188.57480000000001</v>
      </c>
      <c r="K6456">
        <v>1.104697</v>
      </c>
      <c r="L6456">
        <v>92.035889999999995</v>
      </c>
      <c r="M6456">
        <v>-3.7610360000000002E-2</v>
      </c>
      <c r="N6456">
        <v>0</v>
      </c>
      <c r="O6456">
        <v>0.99919249999999904</v>
      </c>
      <c r="P6456">
        <v>-4.6696019999999998E-2</v>
      </c>
      <c r="Q6456">
        <v>3.3341629999999998E-3</v>
      </c>
      <c r="R6456">
        <v>0.9989036</v>
      </c>
      <c r="S6456">
        <v>0.61325069999999904</v>
      </c>
      <c r="T6456">
        <v>-0.32171230000000001</v>
      </c>
      <c r="U6456">
        <v>3.0342709999999999</v>
      </c>
      <c r="V6456">
        <v>-9.1006579999999993E-3</v>
      </c>
      <c r="W6456">
        <v>1.7464049999999998E-2</v>
      </c>
      <c r="X6456">
        <v>0.99980599999999997</v>
      </c>
      <c r="Y6456">
        <v>0.23377729999999899</v>
      </c>
      <c r="Z6456">
        <v>-0.1028333</v>
      </c>
      <c r="AA6456">
        <v>0.9668369</v>
      </c>
      <c r="AB6456">
        <v>28</v>
      </c>
      <c r="AC6456">
        <v>2.1166</v>
      </c>
      <c r="AD6456">
        <v>-1.10469880278</v>
      </c>
      <c r="AE6456">
        <v>10.1405099999999</v>
      </c>
      <c r="AF6456">
        <v>2.46845650735944</v>
      </c>
      <c r="AG6456">
        <v>-1.10469880278</v>
      </c>
      <c r="AH6456">
        <v>9.9406717367808994</v>
      </c>
      <c r="AI6456">
        <v>96.155765332692894</v>
      </c>
      <c r="AJ6456">
        <v>76.054447273490098</v>
      </c>
      <c r="AK6456">
        <v>10.301970275244599</v>
      </c>
    </row>
    <row r="6457" spans="1:37" x14ac:dyDescent="0.2">
      <c r="A6457" t="str">
        <f>"20200111160345593"</f>
        <v>20200111160345593</v>
      </c>
      <c r="B6457" t="str">
        <f>"1578729825589975"</f>
        <v>1578729825589975</v>
      </c>
      <c r="C6457" t="s">
        <v>37</v>
      </c>
      <c r="D6457">
        <v>4.9077589999999898</v>
      </c>
      <c r="E6457">
        <v>0.59721740000000001</v>
      </c>
      <c r="F6457" t="s">
        <v>38</v>
      </c>
      <c r="G6457">
        <v>-186.49170000000001</v>
      </c>
      <c r="H6457" s="1">
        <v>-1.8421900000000001E-6</v>
      </c>
      <c r="I6457">
        <v>102.3184</v>
      </c>
      <c r="J6457">
        <v>-188.58529999999999</v>
      </c>
      <c r="K6457">
        <v>1.104643</v>
      </c>
      <c r="L6457">
        <v>92.305300000000003</v>
      </c>
      <c r="M6457">
        <v>-3.7858309999999999E-2</v>
      </c>
      <c r="N6457">
        <v>0</v>
      </c>
      <c r="O6457">
        <v>0.99918320000000005</v>
      </c>
      <c r="P6457">
        <v>-4.5700369999999997E-2</v>
      </c>
      <c r="Q6457">
        <v>1.183005E-3</v>
      </c>
      <c r="R6457">
        <v>0.99895449999999997</v>
      </c>
      <c r="S6457">
        <v>0.61448669999999905</v>
      </c>
      <c r="T6457">
        <v>-0.3258625</v>
      </c>
      <c r="U6457">
        <v>3.033112</v>
      </c>
      <c r="V6457">
        <v>-7.8528090000000005E-3</v>
      </c>
      <c r="W6457">
        <v>1.53119E-2</v>
      </c>
      <c r="X6457">
        <v>0.99985190000000002</v>
      </c>
      <c r="Y6457">
        <v>0.23444090000000001</v>
      </c>
      <c r="Z6457">
        <v>-0.104169699999999</v>
      </c>
      <c r="AA6457">
        <v>0.96653310000000003</v>
      </c>
      <c r="AB6457">
        <v>28</v>
      </c>
      <c r="AC6457">
        <v>2.0935999999999799</v>
      </c>
      <c r="AD6457">
        <v>-1.1046448421899999</v>
      </c>
      <c r="AE6457">
        <v>10.0130999999999</v>
      </c>
      <c r="AF6457">
        <v>2.44273171369493</v>
      </c>
      <c r="AG6457">
        <v>-1.1046448421899999</v>
      </c>
      <c r="AH6457">
        <v>9.8122345265273392</v>
      </c>
      <c r="AI6457">
        <v>96.234497699382302</v>
      </c>
      <c r="AJ6457">
        <v>76.020524574428904</v>
      </c>
      <c r="AK6457">
        <v>10.1718791211871</v>
      </c>
    </row>
    <row r="6458" spans="1:37" x14ac:dyDescent="0.2">
      <c r="A6458" t="str">
        <f>"20200111160345618"</f>
        <v>20200111160345618</v>
      </c>
      <c r="B6458" t="str">
        <f>"1578729825609495"</f>
        <v>1578729825609495</v>
      </c>
      <c r="C6458" t="s">
        <v>37</v>
      </c>
      <c r="D6458">
        <v>4.8866889999999996</v>
      </c>
      <c r="E6458">
        <v>0.59738840000000004</v>
      </c>
      <c r="F6458" t="s">
        <v>38</v>
      </c>
      <c r="G6458">
        <v>-186.51390000000001</v>
      </c>
      <c r="H6458" s="1">
        <v>-1.880506E-6</v>
      </c>
      <c r="I6458">
        <v>102.44840000000001</v>
      </c>
      <c r="J6458">
        <v>-188.59729999999999</v>
      </c>
      <c r="K6458">
        <v>1.1045879999999999</v>
      </c>
      <c r="L6458">
        <v>92.614409999999907</v>
      </c>
      <c r="M6458">
        <v>-3.8067900000000002E-2</v>
      </c>
      <c r="N6458">
        <v>0</v>
      </c>
      <c r="O6458">
        <v>0.99917529999999999</v>
      </c>
      <c r="P6458">
        <v>-4.4681650000000003E-2</v>
      </c>
      <c r="Q6458">
        <v>-9.1873140000000002E-4</v>
      </c>
      <c r="R6458">
        <v>0.99900080000000002</v>
      </c>
      <c r="S6458">
        <v>0.61915589999999998</v>
      </c>
      <c r="T6458">
        <v>-0.33018920000000002</v>
      </c>
      <c r="U6458">
        <v>3.03186</v>
      </c>
      <c r="V6458">
        <v>-6.6200829999999997E-3</v>
      </c>
      <c r="W6458">
        <v>1.320879E-2</v>
      </c>
      <c r="X6458">
        <v>0.99989089999999903</v>
      </c>
      <c r="Y6458">
        <v>0.23612230000000001</v>
      </c>
      <c r="Z6458">
        <v>-0.1055402</v>
      </c>
      <c r="AA6458">
        <v>0.96597489999999997</v>
      </c>
      <c r="AB6458">
        <v>28</v>
      </c>
      <c r="AC6458">
        <v>2.0833999999999802</v>
      </c>
      <c r="AD6458">
        <v>-1.1045898805059999</v>
      </c>
      <c r="AE6458">
        <v>9.8339900000000107</v>
      </c>
      <c r="AF6458">
        <v>2.4269812979893399</v>
      </c>
      <c r="AG6458">
        <v>-1.1045898805059999</v>
      </c>
      <c r="AH6458">
        <v>9.6312478745739902</v>
      </c>
      <c r="AI6458">
        <v>96.345876776546206</v>
      </c>
      <c r="AJ6458">
        <v>75.856477657906396</v>
      </c>
      <c r="AK6458">
        <v>9.9935625602881206</v>
      </c>
    </row>
    <row r="6459" spans="1:37" x14ac:dyDescent="0.2">
      <c r="A6459" t="str">
        <f>"20200111160345639"</f>
        <v>20200111160345639</v>
      </c>
      <c r="B6459" t="str">
        <f>"1578729825629991"</f>
        <v>1578729825629991</v>
      </c>
      <c r="C6459" t="s">
        <v>37</v>
      </c>
      <c r="D6459">
        <v>4.8932510000000002</v>
      </c>
      <c r="E6459">
        <v>0.59752059999999996</v>
      </c>
      <c r="F6459" t="s">
        <v>38</v>
      </c>
      <c r="G6459">
        <v>-186.53229999999999</v>
      </c>
      <c r="H6459" s="1">
        <v>-1.9422589999999999E-6</v>
      </c>
      <c r="I6459">
        <v>102.64409999999999</v>
      </c>
      <c r="J6459">
        <v>-188.608</v>
      </c>
      <c r="K6459">
        <v>1.104541</v>
      </c>
      <c r="L6459">
        <v>92.892849999999996</v>
      </c>
      <c r="M6459">
        <v>-3.8185400000000001E-2</v>
      </c>
      <c r="N6459">
        <v>0</v>
      </c>
      <c r="O6459">
        <v>0.99917080000000003</v>
      </c>
      <c r="P6459">
        <v>-4.3858040000000001E-2</v>
      </c>
      <c r="Q6459">
        <v>-1.078554E-3</v>
      </c>
      <c r="R6459">
        <v>0.99903719999999996</v>
      </c>
      <c r="S6459">
        <v>0.62397769999999997</v>
      </c>
      <c r="T6459">
        <v>-0.33376529999999999</v>
      </c>
      <c r="U6459">
        <v>3.0306090000000001</v>
      </c>
      <c r="V6459">
        <v>-5.67701199999999E-3</v>
      </c>
      <c r="W6459">
        <v>1.304715E-2</v>
      </c>
      <c r="X6459">
        <v>0.99989879999999998</v>
      </c>
      <c r="Y6459">
        <v>0.2377647</v>
      </c>
      <c r="Z6459">
        <v>-0.106673399999999</v>
      </c>
      <c r="AA6459">
        <v>0.96544739999999996</v>
      </c>
      <c r="AB6459">
        <v>28</v>
      </c>
      <c r="AC6459">
        <v>2.0757000000000101</v>
      </c>
      <c r="AD6459">
        <v>-1.1045429422589901</v>
      </c>
      <c r="AE6459">
        <v>9.7512500000000006</v>
      </c>
      <c r="AF6459">
        <v>2.4169123224793698</v>
      </c>
      <c r="AG6459">
        <v>-1.1045429422589901</v>
      </c>
      <c r="AH6459">
        <v>9.5476757517400195</v>
      </c>
      <c r="AI6459">
        <v>96.398959775465698</v>
      </c>
      <c r="AJ6459">
        <v>75.794478988081593</v>
      </c>
      <c r="AK6459">
        <v>9.9105798289611204</v>
      </c>
    </row>
    <row r="6460" spans="1:37" x14ac:dyDescent="0.2">
      <c r="A6460" t="str">
        <f>"20200111160345662"</f>
        <v>20200111160345662</v>
      </c>
      <c r="B6460" t="str">
        <f>"1578729825649510"</f>
        <v>1578729825649510</v>
      </c>
      <c r="C6460" t="s">
        <v>37</v>
      </c>
      <c r="D6460">
        <v>4.8325110000000002</v>
      </c>
      <c r="E6460">
        <v>0.59768739999999998</v>
      </c>
      <c r="F6460" t="s">
        <v>38</v>
      </c>
      <c r="G6460">
        <v>-186.53599999999901</v>
      </c>
      <c r="H6460" s="1">
        <v>-2.0295790000000001E-6</v>
      </c>
      <c r="I6460">
        <v>102.9037</v>
      </c>
      <c r="J6460">
        <v>-188.61850000000001</v>
      </c>
      <c r="K6460">
        <v>1.104508</v>
      </c>
      <c r="L6460">
        <v>93.164369999999906</v>
      </c>
      <c r="M6460">
        <v>-3.8243029999999997E-2</v>
      </c>
      <c r="N6460">
        <v>0</v>
      </c>
      <c r="O6460">
        <v>0.99916859999999996</v>
      </c>
      <c r="P6460">
        <v>-4.3424570000000003E-2</v>
      </c>
      <c r="Q6460">
        <v>5.3676929999999998E-4</v>
      </c>
      <c r="R6460">
        <v>0.99905659999999896</v>
      </c>
      <c r="S6460">
        <v>0.62715149999999997</v>
      </c>
      <c r="T6460">
        <v>-0.33432059999999902</v>
      </c>
      <c r="U6460">
        <v>3.03005999999999</v>
      </c>
      <c r="V6460">
        <v>-5.1838959999999899E-3</v>
      </c>
      <c r="W6460">
        <v>1.466014E-2</v>
      </c>
      <c r="X6460">
        <v>0.99987909999999902</v>
      </c>
      <c r="Y6460">
        <v>0.23882129999999999</v>
      </c>
      <c r="Z6460">
        <v>-0.1068421</v>
      </c>
      <c r="AA6460">
        <v>0.96516789999999997</v>
      </c>
      <c r="AB6460">
        <v>28</v>
      </c>
      <c r="AC6460">
        <v>2.0825000000000302</v>
      </c>
      <c r="AD6460">
        <v>-1.104510029579</v>
      </c>
      <c r="AE6460">
        <v>9.7393300000000096</v>
      </c>
      <c r="AF6460">
        <v>2.4236665625440299</v>
      </c>
      <c r="AG6460">
        <v>-1.104510029579</v>
      </c>
      <c r="AH6460">
        <v>9.5352816166079801</v>
      </c>
      <c r="AI6460">
        <v>96.405448134821597</v>
      </c>
      <c r="AJ6460">
        <v>75.738634717138297</v>
      </c>
      <c r="AK6460">
        <v>9.90028774934631</v>
      </c>
    </row>
    <row r="6461" spans="1:37" x14ac:dyDescent="0.2">
      <c r="A6461" t="str">
        <f>"20200111160345684"</f>
        <v>20200111160345684</v>
      </c>
      <c r="B6461" t="str">
        <f>"1578729825679769"</f>
        <v>1578729825679769</v>
      </c>
      <c r="C6461" t="s">
        <v>37</v>
      </c>
      <c r="D6461">
        <v>4.7987459999999897</v>
      </c>
      <c r="E6461">
        <v>0.59803729999999999</v>
      </c>
      <c r="F6461" t="s">
        <v>38</v>
      </c>
      <c r="G6461">
        <v>-186.49270000000001</v>
      </c>
      <c r="H6461" s="1">
        <v>-2.2358050000000002E-6</v>
      </c>
      <c r="I6461">
        <v>103.3943</v>
      </c>
      <c r="J6461">
        <v>-188.6293</v>
      </c>
      <c r="K6461">
        <v>1.104481</v>
      </c>
      <c r="L6461">
        <v>93.443479999999994</v>
      </c>
      <c r="M6461">
        <v>-3.8261080000000003E-2</v>
      </c>
      <c r="N6461">
        <v>0</v>
      </c>
      <c r="O6461">
        <v>0.99916799999999995</v>
      </c>
      <c r="P6461">
        <v>-4.3314949999999998E-2</v>
      </c>
      <c r="Q6461">
        <v>2.0317389999999999E-3</v>
      </c>
      <c r="R6461">
        <v>0.99905940000000004</v>
      </c>
      <c r="S6461">
        <v>0.62974549999999996</v>
      </c>
      <c r="T6461">
        <v>-0.32718849999999999</v>
      </c>
      <c r="U6461">
        <v>3.0303960000000001</v>
      </c>
      <c r="V6461">
        <v>-5.0550489999999998E-3</v>
      </c>
      <c r="W6461">
        <v>1.615246E-2</v>
      </c>
      <c r="X6461">
        <v>0.99985679999999999</v>
      </c>
      <c r="Y6461">
        <v>0.23965919999999999</v>
      </c>
      <c r="Z6461">
        <v>-0.1045576</v>
      </c>
      <c r="AA6461">
        <v>0.96521039999999902</v>
      </c>
      <c r="AB6461">
        <v>28</v>
      </c>
      <c r="AC6461">
        <v>2.1365999999999801</v>
      </c>
      <c r="AD6461">
        <v>-1.1044832358050001</v>
      </c>
      <c r="AE6461">
        <v>9.9508199999999896</v>
      </c>
      <c r="AF6461">
        <v>2.4865191466826899</v>
      </c>
      <c r="AG6461">
        <v>-1.1044832358050001</v>
      </c>
      <c r="AH6461">
        <v>9.74698754700146</v>
      </c>
      <c r="AI6461">
        <v>96.265910352002294</v>
      </c>
      <c r="AJ6461">
        <v>75.688722895903297</v>
      </c>
      <c r="AK6461">
        <v>10.119606065771301</v>
      </c>
    </row>
    <row r="6462" spans="1:37" x14ac:dyDescent="0.2">
      <c r="A6462" t="str">
        <f>"20200111160345706"</f>
        <v>20200111160345706</v>
      </c>
      <c r="B6462" t="str">
        <f>"1578729825699287"</f>
        <v>1578729825699287</v>
      </c>
      <c r="C6462" t="s">
        <v>37</v>
      </c>
      <c r="D6462">
        <v>4.8259359999999996</v>
      </c>
      <c r="E6462">
        <v>0.5978656</v>
      </c>
      <c r="F6462" t="s">
        <v>38</v>
      </c>
      <c r="G6462">
        <v>-186.4419</v>
      </c>
      <c r="H6462" s="1">
        <v>-2.4685959999999999E-6</v>
      </c>
      <c r="I6462">
        <v>103.91589999999999</v>
      </c>
      <c r="J6462">
        <v>-188.64</v>
      </c>
      <c r="K6462">
        <v>1.1044609999999999</v>
      </c>
      <c r="L6462">
        <v>93.723140000000001</v>
      </c>
      <c r="M6462">
        <v>-3.8253120000000002E-2</v>
      </c>
      <c r="N6462">
        <v>0</v>
      </c>
      <c r="O6462">
        <v>0.99916830000000001</v>
      </c>
      <c r="P6462">
        <v>-4.307035E-2</v>
      </c>
      <c r="Q6462">
        <v>3.2168040000000002E-3</v>
      </c>
      <c r="R6462">
        <v>0.99906689999999998</v>
      </c>
      <c r="S6462">
        <v>0.63307190000000002</v>
      </c>
      <c r="T6462">
        <v>-0.31965840000000001</v>
      </c>
      <c r="U6462">
        <v>3.0309140000000001</v>
      </c>
      <c r="V6462">
        <v>-4.8175229999999998E-3</v>
      </c>
      <c r="W6462">
        <v>1.7334849999999999E-2</v>
      </c>
      <c r="X6462">
        <v>0.99983809999999995</v>
      </c>
      <c r="Y6462">
        <v>0.24068529999999999</v>
      </c>
      <c r="Z6462">
        <v>-0.1021363</v>
      </c>
      <c r="AA6462">
        <v>0.96521440000000003</v>
      </c>
      <c r="AB6462">
        <v>28</v>
      </c>
      <c r="AC6462">
        <v>2.1980999999999802</v>
      </c>
      <c r="AD6462">
        <v>-1.104463468596</v>
      </c>
      <c r="AE6462">
        <v>10.1927599999999</v>
      </c>
      <c r="AF6462">
        <v>2.5577378116207199</v>
      </c>
      <c r="AG6462">
        <v>-1.104463468596</v>
      </c>
      <c r="AH6462">
        <v>9.9891316351428205</v>
      </c>
      <c r="AI6462">
        <v>96.113699673815006</v>
      </c>
      <c r="AJ6462">
        <v>75.637863706970407</v>
      </c>
      <c r="AK6462">
        <v>10.3703718877708</v>
      </c>
    </row>
    <row r="6463" spans="1:37" x14ac:dyDescent="0.2">
      <c r="A6463" t="str">
        <f>"20200111160345728"</f>
        <v>20200111160345728</v>
      </c>
      <c r="B6463" t="str">
        <f>"1578729825719782"</f>
        <v>1578729825719782</v>
      </c>
      <c r="C6463" t="s">
        <v>37</v>
      </c>
      <c r="D6463">
        <v>4.9275830000000003</v>
      </c>
      <c r="E6463">
        <v>0.55094189999999998</v>
      </c>
      <c r="F6463" t="s">
        <v>38</v>
      </c>
      <c r="G6463">
        <v>-186.42230000000001</v>
      </c>
      <c r="H6463" s="1">
        <v>-2.6587719999999999E-6</v>
      </c>
      <c r="I6463">
        <v>104.3511</v>
      </c>
      <c r="J6463">
        <v>-188.65099999999899</v>
      </c>
      <c r="K6463">
        <v>1.104449</v>
      </c>
      <c r="L6463">
        <v>94.010679999999994</v>
      </c>
      <c r="M6463">
        <v>-3.8230979999999998E-2</v>
      </c>
      <c r="N6463">
        <v>0</v>
      </c>
      <c r="O6463">
        <v>0.99916919999999898</v>
      </c>
      <c r="P6463">
        <v>-4.2741710000000002E-2</v>
      </c>
      <c r="Q6463">
        <v>3.7394749999999999E-3</v>
      </c>
      <c r="R6463">
        <v>0.99907919999999995</v>
      </c>
      <c r="S6463">
        <v>0.632492099999999</v>
      </c>
      <c r="T6463">
        <v>-0.31499349999999998</v>
      </c>
      <c r="U6463">
        <v>3.0310969999999999</v>
      </c>
      <c r="V6463">
        <v>-4.5099709999999998E-3</v>
      </c>
      <c r="W6463">
        <v>1.785405E-2</v>
      </c>
      <c r="X6463">
        <v>0.99983040000000001</v>
      </c>
      <c r="Y6463">
        <v>0.2405061</v>
      </c>
      <c r="Z6463">
        <v>-0.10066</v>
      </c>
      <c r="AA6463">
        <v>0.96541409999999905</v>
      </c>
      <c r="AB6463">
        <v>28</v>
      </c>
      <c r="AC6463">
        <v>2.2286999999999701</v>
      </c>
      <c r="AD6463">
        <v>-1.1044516587719999</v>
      </c>
      <c r="AE6463">
        <v>10.3404199999999</v>
      </c>
      <c r="AF6463">
        <v>2.5941532817956001</v>
      </c>
      <c r="AG6463">
        <v>-1.1044516587719999</v>
      </c>
      <c r="AH6463">
        <v>10.137132412379</v>
      </c>
      <c r="AI6463">
        <v>96.025247740428398</v>
      </c>
      <c r="AJ6463">
        <v>75.645716661233806</v>
      </c>
      <c r="AK6463">
        <v>10.521924646285999</v>
      </c>
    </row>
    <row r="6464" spans="1:37" x14ac:dyDescent="0.2">
      <c r="A6464" t="str">
        <f>"20200111160345751"</f>
        <v>20200111160345751</v>
      </c>
      <c r="B6464" t="str">
        <f>"1578729825750040"</f>
        <v>1578729825750040</v>
      </c>
      <c r="C6464" t="s">
        <v>37</v>
      </c>
      <c r="D6464">
        <v>4.7937459999999996</v>
      </c>
      <c r="E6464">
        <v>0.54947729999999995</v>
      </c>
      <c r="F6464" t="s">
        <v>42</v>
      </c>
      <c r="G6464">
        <v>-188.58920000000001</v>
      </c>
      <c r="H6464">
        <v>1.025331</v>
      </c>
      <c r="I6464">
        <v>94.732830000000007</v>
      </c>
      <c r="J6464">
        <v>-188.66200000000001</v>
      </c>
      <c r="K6464">
        <v>1.104449</v>
      </c>
      <c r="L6464">
        <v>94.298429999999996</v>
      </c>
      <c r="M6464">
        <v>-3.8205870000000003E-2</v>
      </c>
      <c r="N6464">
        <v>0</v>
      </c>
      <c r="O6464">
        <v>0.99917019999999901</v>
      </c>
      <c r="P6464">
        <v>-4.2182400000000002E-2</v>
      </c>
      <c r="Q6464">
        <v>4.3128070000000001E-3</v>
      </c>
      <c r="R6464">
        <v>0.99910059999999901</v>
      </c>
      <c r="S6464">
        <v>0.25759890000000002</v>
      </c>
      <c r="T6464">
        <v>-0.33035549999999902</v>
      </c>
      <c r="U6464">
        <v>3.015015</v>
      </c>
      <c r="V6464">
        <v>-3.975485E-3</v>
      </c>
      <c r="W6464">
        <v>1.842425E-2</v>
      </c>
      <c r="X6464">
        <v>0.9998224</v>
      </c>
      <c r="Y6464">
        <v>0.12263640000000001</v>
      </c>
      <c r="Z6464">
        <v>-0.10819280000000001</v>
      </c>
      <c r="AA6464">
        <v>0.98653670000000004</v>
      </c>
      <c r="AB6464">
        <v>28</v>
      </c>
      <c r="AC6464">
        <v>7.2800000000000795E-2</v>
      </c>
      <c r="AD6464">
        <v>-7.9117999999999994E-2</v>
      </c>
      <c r="AE6464">
        <v>0.43439999999999601</v>
      </c>
      <c r="AF6464">
        <v>8.6552441654040704E-2</v>
      </c>
      <c r="AG6464">
        <v>-7.9117999999999994E-2</v>
      </c>
      <c r="AH6464">
        <v>0.41781984338754202</v>
      </c>
      <c r="AI6464">
        <v>100.50462127861</v>
      </c>
      <c r="AJ6464">
        <v>78.296566581277702</v>
      </c>
      <c r="AK6464">
        <v>0.43396359825297098</v>
      </c>
    </row>
    <row r="6465" spans="1:37" x14ac:dyDescent="0.2">
      <c r="A6465" t="str">
        <f>"20200111160345773"</f>
        <v>20200111160345773</v>
      </c>
      <c r="B6465" t="str">
        <f>"1578729825769559"</f>
        <v>1578729825769559</v>
      </c>
      <c r="C6465" t="s">
        <v>37</v>
      </c>
      <c r="D6465">
        <v>4.7624579999999996</v>
      </c>
      <c r="E6465">
        <v>0.54758909999999905</v>
      </c>
      <c r="F6465" t="s">
        <v>42</v>
      </c>
      <c r="G6465">
        <v>-188.58269999999999</v>
      </c>
      <c r="H6465">
        <v>1.033952</v>
      </c>
      <c r="I6465">
        <v>95.240399999999994</v>
      </c>
      <c r="J6465">
        <v>-188.6721</v>
      </c>
      <c r="K6465">
        <v>1.1044579999999999</v>
      </c>
      <c r="L6465">
        <v>94.561890000000005</v>
      </c>
      <c r="M6465">
        <v>-3.8186480000000002E-2</v>
      </c>
      <c r="N6465">
        <v>0</v>
      </c>
      <c r="O6465">
        <v>0.99917099999999903</v>
      </c>
      <c r="P6465">
        <v>-4.2671830000000001E-2</v>
      </c>
      <c r="Q6465">
        <v>5.6301559999999999E-3</v>
      </c>
      <c r="R6465">
        <v>0.99907330000000005</v>
      </c>
      <c r="S6465">
        <v>0.2539978</v>
      </c>
      <c r="T6465">
        <v>-0.22558890000000001</v>
      </c>
      <c r="U6465">
        <v>3.0143740000000001</v>
      </c>
      <c r="V6465">
        <v>-4.484544E-3</v>
      </c>
      <c r="W6465">
        <v>1.973865E-2</v>
      </c>
      <c r="X6465">
        <v>0.99979509999999905</v>
      </c>
      <c r="Y6465">
        <v>0.12172719999999999</v>
      </c>
      <c r="Z6465">
        <v>-7.4139109999999994E-2</v>
      </c>
      <c r="AA6465">
        <v>0.98979089999999903</v>
      </c>
      <c r="AB6465">
        <v>28</v>
      </c>
      <c r="AC6465">
        <v>8.9400000000011901E-2</v>
      </c>
      <c r="AD6465">
        <v>-7.0505999999999902E-2</v>
      </c>
      <c r="AE6465">
        <v>0.67850999999998796</v>
      </c>
      <c r="AF6465">
        <v>0.11403692170017</v>
      </c>
      <c r="AG6465">
        <v>-7.0505999999999902E-2</v>
      </c>
      <c r="AH6465">
        <v>0.66751602401535404</v>
      </c>
      <c r="AI6465">
        <v>95.943992173686496</v>
      </c>
      <c r="AJ6465">
        <v>80.305310996307298</v>
      </c>
      <c r="AK6465">
        <v>0.68084738221140095</v>
      </c>
    </row>
    <row r="6466" spans="1:37" x14ac:dyDescent="0.2">
      <c r="A6466" t="str">
        <f>"20200111160345794"</f>
        <v>20200111160345794</v>
      </c>
      <c r="B6466" t="str">
        <f>"1578729825790055"</f>
        <v>1578729825790055</v>
      </c>
      <c r="C6466" t="s">
        <v>37</v>
      </c>
      <c r="D6466">
        <v>4.9029150000000001</v>
      </c>
      <c r="E6466">
        <v>0.54200360000000003</v>
      </c>
      <c r="F6466" t="s">
        <v>42</v>
      </c>
      <c r="G6466">
        <v>-188.5986</v>
      </c>
      <c r="H6466">
        <v>1.0392429999999999</v>
      </c>
      <c r="I6466">
        <v>95.49324</v>
      </c>
      <c r="J6466">
        <v>-188.68260000000001</v>
      </c>
      <c r="K6466">
        <v>1.104471</v>
      </c>
      <c r="L6466">
        <v>94.836399999999998</v>
      </c>
      <c r="M6466">
        <v>-3.8172789999999998E-2</v>
      </c>
      <c r="N6466">
        <v>0</v>
      </c>
      <c r="O6466">
        <v>0.99917160000000005</v>
      </c>
      <c r="P6466">
        <v>-4.2844380000000001E-2</v>
      </c>
      <c r="Q6466">
        <v>6.2474519999999997E-3</v>
      </c>
      <c r="R6466">
        <v>0.99906219999999901</v>
      </c>
      <c r="S6466">
        <v>0.23800660000000001</v>
      </c>
      <c r="T6466">
        <v>-0.21105499999999999</v>
      </c>
      <c r="U6466">
        <v>3.01412999999999</v>
      </c>
      <c r="V6466">
        <v>-4.67136799999999E-3</v>
      </c>
      <c r="W6466">
        <v>2.035317E-2</v>
      </c>
      <c r="X6466">
        <v>0.99978199999999995</v>
      </c>
      <c r="Y6466">
        <v>0.1165289</v>
      </c>
      <c r="Z6466">
        <v>-6.9428909999999996E-2</v>
      </c>
      <c r="AA6466">
        <v>0.99075759999999902</v>
      </c>
      <c r="AB6466">
        <v>28</v>
      </c>
      <c r="AC6466">
        <v>8.40000000000031E-2</v>
      </c>
      <c r="AD6466">
        <v>-6.52279999999998E-2</v>
      </c>
      <c r="AE6466">
        <v>0.65684000000000198</v>
      </c>
      <c r="AF6466">
        <v>0.10796707576643</v>
      </c>
      <c r="AG6466">
        <v>-6.52279999999998E-2</v>
      </c>
      <c r="AH6466">
        <v>0.64687771509353897</v>
      </c>
      <c r="AI6466">
        <v>95.679919332998196</v>
      </c>
      <c r="AJ6466">
        <v>80.524396124803303</v>
      </c>
      <c r="AK6466">
        <v>0.65906172678907105</v>
      </c>
    </row>
    <row r="6467" spans="1:37" x14ac:dyDescent="0.2">
      <c r="A6467" t="str">
        <f>"20200111160345818"</f>
        <v>20200111160345818</v>
      </c>
      <c r="B6467" t="str">
        <f>"1578729825809575"</f>
        <v>1578729825809575</v>
      </c>
      <c r="C6467" t="s">
        <v>37</v>
      </c>
      <c r="D6467">
        <v>4.7438339999999997</v>
      </c>
      <c r="E6467">
        <v>0.53946769999999999</v>
      </c>
      <c r="F6467" t="s">
        <v>42</v>
      </c>
      <c r="G6467">
        <v>-188.62450000000001</v>
      </c>
      <c r="H6467">
        <v>1.0401989999999901</v>
      </c>
      <c r="I6467">
        <v>95.743209999999905</v>
      </c>
      <c r="J6467">
        <v>-188.69399999999999</v>
      </c>
      <c r="K6467">
        <v>1.104484</v>
      </c>
      <c r="L6467">
        <v>95.134640000000005</v>
      </c>
      <c r="M6467">
        <v>-3.8164860000000002E-2</v>
      </c>
      <c r="N6467">
        <v>0</v>
      </c>
      <c r="O6467">
        <v>0.9991719</v>
      </c>
      <c r="P6467">
        <v>-4.3167789999999998E-2</v>
      </c>
      <c r="Q6467">
        <v>6.95464699999999E-3</v>
      </c>
      <c r="R6467">
        <v>0.99904359999999903</v>
      </c>
      <c r="S6467">
        <v>0.19262699999999999</v>
      </c>
      <c r="T6467">
        <v>-0.2135534</v>
      </c>
      <c r="U6467">
        <v>3.0124209999999998</v>
      </c>
      <c r="V6467">
        <v>-5.0030999999999999E-3</v>
      </c>
      <c r="W6467">
        <v>2.1056829999999999E-2</v>
      </c>
      <c r="X6467">
        <v>0.99976580000000004</v>
      </c>
      <c r="Y6467">
        <v>0.101699699999999</v>
      </c>
      <c r="Z6467">
        <v>-7.0381319999999997E-2</v>
      </c>
      <c r="AA6467">
        <v>0.99232229999999999</v>
      </c>
      <c r="AB6467">
        <v>28</v>
      </c>
      <c r="AC6467">
        <v>6.9500000000005002E-2</v>
      </c>
      <c r="AD6467">
        <v>-6.4285000000000106E-2</v>
      </c>
      <c r="AE6467">
        <v>0.60856999999998596</v>
      </c>
      <c r="AF6467">
        <v>9.1667965252628894E-2</v>
      </c>
      <c r="AG6467">
        <v>-6.4285000000000106E-2</v>
      </c>
      <c r="AH6467">
        <v>0.59887739522087502</v>
      </c>
      <c r="AI6467">
        <v>96.056803437563801</v>
      </c>
      <c r="AJ6467">
        <v>81.297490359369306</v>
      </c>
      <c r="AK6467">
        <v>0.60925340506647696</v>
      </c>
    </row>
    <row r="6468" spans="1:37" x14ac:dyDescent="0.2">
      <c r="A6468" t="str">
        <f>"20200111160345841"</f>
        <v>20200111160345841</v>
      </c>
      <c r="B6468" t="str">
        <f>"1578729825830071"</f>
        <v>1578729825830071</v>
      </c>
      <c r="C6468" t="s">
        <v>37</v>
      </c>
      <c r="D6468">
        <v>4.7636839999999996</v>
      </c>
      <c r="E6468">
        <v>0.53789679999999995</v>
      </c>
      <c r="F6468" t="s">
        <v>42</v>
      </c>
      <c r="G6468">
        <v>-188.64529999999999</v>
      </c>
      <c r="H6468">
        <v>1.0423910000000001</v>
      </c>
      <c r="I6468">
        <v>95.993769999999998</v>
      </c>
      <c r="J6468">
        <v>-188.70490000000001</v>
      </c>
      <c r="K6468">
        <v>1.1044969999999901</v>
      </c>
      <c r="L6468">
        <v>95.420349999999999</v>
      </c>
      <c r="M6468">
        <v>-3.8162120000000001E-2</v>
      </c>
      <c r="N6468">
        <v>0</v>
      </c>
      <c r="O6468">
        <v>0.99917210000000001</v>
      </c>
      <c r="P6468">
        <v>-4.4041539999999997E-2</v>
      </c>
      <c r="Q6468">
        <v>8.3813359999999996E-3</v>
      </c>
      <c r="R6468">
        <v>0.99899450000000001</v>
      </c>
      <c r="S6468">
        <v>0.17094419999999999</v>
      </c>
      <c r="T6468">
        <v>-0.2176497</v>
      </c>
      <c r="U6468">
        <v>3.0117799999999999</v>
      </c>
      <c r="V6468">
        <v>-5.8810449999999997E-3</v>
      </c>
      <c r="W6468">
        <v>2.2479849999999999E-2</v>
      </c>
      <c r="X6468">
        <v>0.99972999999999901</v>
      </c>
      <c r="Y6468">
        <v>9.4584119999999994E-2</v>
      </c>
      <c r="Z6468">
        <v>-7.178031E-2</v>
      </c>
      <c r="AA6468">
        <v>0.99292569999999902</v>
      </c>
      <c r="AB6468">
        <v>28</v>
      </c>
      <c r="AC6468">
        <v>5.9600000000017403E-2</v>
      </c>
      <c r="AD6468">
        <v>-6.2105999999999703E-2</v>
      </c>
      <c r="AE6468">
        <v>0.57341999999999804</v>
      </c>
      <c r="AF6468">
        <v>8.0507365423886507E-2</v>
      </c>
      <c r="AG6468">
        <v>-6.2105999999999703E-2</v>
      </c>
      <c r="AH6468">
        <v>0.56418007026711803</v>
      </c>
      <c r="AI6468">
        <v>96.219431508758007</v>
      </c>
      <c r="AJ6468">
        <v>81.878833917892507</v>
      </c>
      <c r="AK6468">
        <v>0.57326934577919497</v>
      </c>
    </row>
    <row r="6469" spans="1:37" x14ac:dyDescent="0.2">
      <c r="A6469" t="str">
        <f>"20200111160345867"</f>
        <v>20200111160345867</v>
      </c>
      <c r="B6469" t="str">
        <f>"1578729825859351"</f>
        <v>1578729825859351</v>
      </c>
      <c r="C6469" t="s">
        <v>37</v>
      </c>
      <c r="D6469">
        <v>4.7323469999999999</v>
      </c>
      <c r="E6469">
        <v>0.53606830000000005</v>
      </c>
      <c r="F6469" t="s">
        <v>42</v>
      </c>
      <c r="G6469">
        <v>-188.66220000000001</v>
      </c>
      <c r="H6469">
        <v>1.044689</v>
      </c>
      <c r="I6469">
        <v>96.244450000000001</v>
      </c>
      <c r="J6469">
        <v>-188.71639999999999</v>
      </c>
      <c r="K6469">
        <v>1.104514</v>
      </c>
      <c r="L6469">
        <v>95.72269</v>
      </c>
      <c r="M6469">
        <v>-3.8162050000000003E-2</v>
      </c>
      <c r="N6469">
        <v>0</v>
      </c>
      <c r="O6469">
        <v>0.99917219999999995</v>
      </c>
      <c r="P6469">
        <v>-4.5943129999999999E-2</v>
      </c>
      <c r="Q6469">
        <v>1.0130119999999999E-2</v>
      </c>
      <c r="R6469">
        <v>0.99889269999999997</v>
      </c>
      <c r="S6469">
        <v>0.15551760000000001</v>
      </c>
      <c r="T6469">
        <v>-0.21860209999999999</v>
      </c>
      <c r="U6469">
        <v>3.0117189999999998</v>
      </c>
      <c r="V6469">
        <v>-7.7846879999999997E-3</v>
      </c>
      <c r="W6469">
        <v>2.4225549999999998E-2</v>
      </c>
      <c r="X6469">
        <v>0.99967619999999902</v>
      </c>
      <c r="Y6469">
        <v>8.95117E-2</v>
      </c>
      <c r="Z6469">
        <v>-7.212114E-2</v>
      </c>
      <c r="AA6469">
        <v>0.99337109999999995</v>
      </c>
      <c r="AB6469">
        <v>28</v>
      </c>
      <c r="AC6469">
        <v>5.4199999999980202E-2</v>
      </c>
      <c r="AD6469">
        <v>-5.9825000000000003E-2</v>
      </c>
      <c r="AE6469">
        <v>0.52176</v>
      </c>
      <c r="AF6469">
        <v>7.3122842513581296E-2</v>
      </c>
      <c r="AG6469">
        <v>-5.9825000000000003E-2</v>
      </c>
      <c r="AH6469">
        <v>0.51264353678953001</v>
      </c>
      <c r="AI6469">
        <v>96.59014624628</v>
      </c>
      <c r="AJ6469">
        <v>81.882159738749806</v>
      </c>
      <c r="AK6469">
        <v>0.52127667944609202</v>
      </c>
    </row>
    <row r="6470" spans="1:37" x14ac:dyDescent="0.2">
      <c r="A6470" t="str">
        <f>"20200111160345886"</f>
        <v>20200111160345886</v>
      </c>
      <c r="B6470" t="str">
        <f>"1578729825879847"</f>
        <v>1578729825879847</v>
      </c>
      <c r="C6470" t="s">
        <v>37</v>
      </c>
      <c r="D6470">
        <v>4.7600800000000003</v>
      </c>
      <c r="E6470">
        <v>0.53538719999999995</v>
      </c>
      <c r="F6470" t="s">
        <v>42</v>
      </c>
      <c r="G6470">
        <v>-188.6816</v>
      </c>
      <c r="H6470">
        <v>1.048681</v>
      </c>
      <c r="I6470">
        <v>96.497029999999995</v>
      </c>
      <c r="J6470">
        <v>-188.72620000000001</v>
      </c>
      <c r="K6470">
        <v>1.104519</v>
      </c>
      <c r="L6470">
        <v>95.978639999999999</v>
      </c>
      <c r="M6470">
        <v>-3.8162979999999999E-2</v>
      </c>
      <c r="N6470">
        <v>0</v>
      </c>
      <c r="O6470">
        <v>0.99917219999999995</v>
      </c>
      <c r="P6470">
        <v>-4.714115E-2</v>
      </c>
      <c r="Q6470">
        <v>1.17751E-2</v>
      </c>
      <c r="R6470">
        <v>0.99881880000000001</v>
      </c>
      <c r="S6470">
        <v>0.13562009999999999</v>
      </c>
      <c r="T6470">
        <v>-0.2171409</v>
      </c>
      <c r="U6470">
        <v>3.0117799999999999</v>
      </c>
      <c r="V6470">
        <v>-8.9841239999999996E-3</v>
      </c>
      <c r="W6470">
        <v>2.586726E-2</v>
      </c>
      <c r="X6470">
        <v>0.99962499999999999</v>
      </c>
      <c r="Y6470">
        <v>8.2963729999999999E-2</v>
      </c>
      <c r="Z6470">
        <v>-7.1671840000000001E-2</v>
      </c>
      <c r="AA6470">
        <v>0.99397190000000002</v>
      </c>
      <c r="AB6470">
        <v>28</v>
      </c>
      <c r="AC6470">
        <v>4.4600000000002603E-2</v>
      </c>
      <c r="AD6470">
        <v>-5.5837999999999999E-2</v>
      </c>
      <c r="AE6470">
        <v>0.51839000000001001</v>
      </c>
      <c r="AF6470">
        <v>6.3620055361700303E-2</v>
      </c>
      <c r="AG6470">
        <v>-5.5837999999999999E-2</v>
      </c>
      <c r="AH6470">
        <v>0.510431359136303</v>
      </c>
      <c r="AI6470">
        <v>96.195415311381296</v>
      </c>
      <c r="AJ6470">
        <v>82.895305774988501</v>
      </c>
      <c r="AK6470">
        <v>0.51740271170332996</v>
      </c>
    </row>
    <row r="6471" spans="1:37" x14ac:dyDescent="0.2">
      <c r="A6471" t="str">
        <f>"20200111160345908"</f>
        <v>20200111160345908</v>
      </c>
      <c r="B6471" t="str">
        <f>"1578729825899367"</f>
        <v>1578729825899367</v>
      </c>
      <c r="C6471" t="s">
        <v>37</v>
      </c>
      <c r="D6471">
        <v>4.7895190000000003</v>
      </c>
      <c r="E6471">
        <v>0.53513250000000001</v>
      </c>
      <c r="F6471" t="s">
        <v>42</v>
      </c>
      <c r="G6471">
        <v>-188.6935</v>
      </c>
      <c r="H6471">
        <v>1.0496000000000001</v>
      </c>
      <c r="I6471">
        <v>96.746949999999998</v>
      </c>
      <c r="J6471">
        <v>-188.73650000000001</v>
      </c>
      <c r="K6471">
        <v>1.104503</v>
      </c>
      <c r="L6471">
        <v>96.250519999999995</v>
      </c>
      <c r="M6471">
        <v>-3.8164240000000002E-2</v>
      </c>
      <c r="N6471">
        <v>0</v>
      </c>
      <c r="O6471">
        <v>0.99917210000000001</v>
      </c>
      <c r="P6471">
        <v>-4.6413709999999997E-2</v>
      </c>
      <c r="Q6471">
        <v>1.059993E-2</v>
      </c>
      <c r="R6471">
        <v>0.99886609999999998</v>
      </c>
      <c r="S6471">
        <v>0.1277008</v>
      </c>
      <c r="T6471">
        <v>-0.21534690000000001</v>
      </c>
      <c r="U6471">
        <v>3.0121150000000001</v>
      </c>
      <c r="V6471">
        <v>-8.2541279999999995E-3</v>
      </c>
      <c r="W6471">
        <v>2.468938E-2</v>
      </c>
      <c r="X6471">
        <v>0.99966109999999897</v>
      </c>
      <c r="Y6471">
        <v>8.0353190000000005E-2</v>
      </c>
      <c r="Z6471">
        <v>-7.1086540000000004E-2</v>
      </c>
      <c r="AA6471">
        <v>0.99422840000000001</v>
      </c>
      <c r="AB6471">
        <v>28</v>
      </c>
      <c r="AC6471">
        <v>4.3000000000006297E-2</v>
      </c>
      <c r="AD6471">
        <v>-5.4902999999999903E-2</v>
      </c>
      <c r="AE6471">
        <v>0.49643000000000298</v>
      </c>
      <c r="AF6471">
        <v>6.11737542336857E-2</v>
      </c>
      <c r="AG6471">
        <v>-5.4902999999999903E-2</v>
      </c>
      <c r="AH6471">
        <v>0.488496542898889</v>
      </c>
      <c r="AI6471">
        <v>96.3633747172113</v>
      </c>
      <c r="AJ6471">
        <v>82.862085849020104</v>
      </c>
      <c r="AK6471">
        <v>0.49536394705328401</v>
      </c>
    </row>
    <row r="6472" spans="1:37" x14ac:dyDescent="0.2">
      <c r="A6472" t="str">
        <f>"20200111160345930"</f>
        <v>20200111160345930</v>
      </c>
      <c r="B6472" t="str">
        <f>"1578729825919863"</f>
        <v>1578729825919863</v>
      </c>
      <c r="C6472" t="s">
        <v>37</v>
      </c>
      <c r="D6472">
        <v>4.6614180000000003</v>
      </c>
      <c r="E6472">
        <v>0.53575379999999995</v>
      </c>
      <c r="F6472" t="s">
        <v>42</v>
      </c>
      <c r="G6472">
        <v>-188.70480000000001</v>
      </c>
      <c r="H6472">
        <v>1.04945</v>
      </c>
      <c r="I6472">
        <v>96.995540000000005</v>
      </c>
      <c r="J6472">
        <v>-188.7467</v>
      </c>
      <c r="K6472">
        <v>1.1044959999999999</v>
      </c>
      <c r="L6472">
        <v>96.518769999999904</v>
      </c>
      <c r="M6472">
        <v>-3.8180329999999998E-2</v>
      </c>
      <c r="N6472">
        <v>0</v>
      </c>
      <c r="O6472">
        <v>0.99917160000000005</v>
      </c>
      <c r="P6472">
        <v>-4.2383379999999998E-2</v>
      </c>
      <c r="Q6472">
        <v>9.0045669999999998E-3</v>
      </c>
      <c r="R6472">
        <v>0.99906090000000003</v>
      </c>
      <c r="S6472">
        <v>0.12840270000000001</v>
      </c>
      <c r="T6472">
        <v>-0.22254499999999999</v>
      </c>
      <c r="U6472">
        <v>3.011749</v>
      </c>
      <c r="V6472">
        <v>-4.2034419999999999E-3</v>
      </c>
      <c r="W6472">
        <v>2.309195E-2</v>
      </c>
      <c r="X6472">
        <v>0.99972450000000002</v>
      </c>
      <c r="Y6472">
        <v>8.0598299999999998E-2</v>
      </c>
      <c r="Z6472">
        <v>-7.3457670000000003E-2</v>
      </c>
      <c r="AA6472">
        <v>0.99403609999999898</v>
      </c>
      <c r="AB6472">
        <v>28</v>
      </c>
      <c r="AC6472">
        <v>4.1899999999998203E-2</v>
      </c>
      <c r="AD6472">
        <v>-5.5045999999999901E-2</v>
      </c>
      <c r="AE6472">
        <v>0.47677000000001601</v>
      </c>
      <c r="AF6472">
        <v>5.9290197552471002E-2</v>
      </c>
      <c r="AG6472">
        <v>-5.5045999999999901E-2</v>
      </c>
      <c r="AH6472">
        <v>0.46862346222808199</v>
      </c>
      <c r="AI6472">
        <v>96.646935960651106</v>
      </c>
      <c r="AJ6472">
        <v>82.789255169909197</v>
      </c>
      <c r="AK6472">
        <v>0.47555582111088301</v>
      </c>
    </row>
    <row r="6473" spans="1:37" x14ac:dyDescent="0.2">
      <c r="A6473" t="str">
        <f>"20200111160345952"</f>
        <v>20200111160345952</v>
      </c>
      <c r="B6473" t="str">
        <f>"1578729825950119"</f>
        <v>1578729825950119</v>
      </c>
      <c r="C6473" t="s">
        <v>37</v>
      </c>
      <c r="D6473">
        <v>4.7589410000000001</v>
      </c>
      <c r="E6473">
        <v>0.53543739999999995</v>
      </c>
      <c r="F6473" t="s">
        <v>42</v>
      </c>
      <c r="G6473">
        <v>-188.70050000000001</v>
      </c>
      <c r="H6473">
        <v>1.0311379999999899</v>
      </c>
      <c r="I6473">
        <v>97.481669999999994</v>
      </c>
      <c r="J6473">
        <v>-188.75739999999999</v>
      </c>
      <c r="K6473">
        <v>1.104509</v>
      </c>
      <c r="L6473">
        <v>96.798429999999996</v>
      </c>
      <c r="M6473">
        <v>-3.8225259999999997E-2</v>
      </c>
      <c r="N6473">
        <v>0</v>
      </c>
      <c r="O6473">
        <v>0.99916990000000006</v>
      </c>
      <c r="P6473">
        <v>-3.6011550000000003E-2</v>
      </c>
      <c r="Q6473">
        <v>8.4356850000000001E-3</v>
      </c>
      <c r="R6473">
        <v>0.99931579999999998</v>
      </c>
      <c r="S6473">
        <v>0.1447754</v>
      </c>
      <c r="T6473">
        <v>-0.22938629999999999</v>
      </c>
      <c r="U6473">
        <v>3.011047</v>
      </c>
      <c r="V6473">
        <v>2.2172439999999902E-3</v>
      </c>
      <c r="W6473">
        <v>2.2519890000000001E-2</v>
      </c>
      <c r="X6473">
        <v>0.99974390000000002</v>
      </c>
      <c r="Y6473">
        <v>8.6037660000000002E-2</v>
      </c>
      <c r="Z6473">
        <v>-7.5693819999999995E-2</v>
      </c>
      <c r="AA6473">
        <v>0.99341229999999903</v>
      </c>
      <c r="AB6473">
        <v>28</v>
      </c>
      <c r="AC6473">
        <v>5.6899999999984602E-2</v>
      </c>
      <c r="AD6473">
        <v>-7.3371000000000006E-2</v>
      </c>
      <c r="AE6473">
        <v>0.68323999999998297</v>
      </c>
      <c r="AF6473">
        <v>8.2038476885756606E-2</v>
      </c>
      <c r="AG6473">
        <v>-7.3371000000000006E-2</v>
      </c>
      <c r="AH6473">
        <v>0.67285939186541399</v>
      </c>
      <c r="AI6473">
        <v>96.177758021455304</v>
      </c>
      <c r="AJ6473">
        <v>83.048514773714999</v>
      </c>
      <c r="AK6473">
        <v>0.68180156684495097</v>
      </c>
    </row>
    <row r="6474" spans="1:37" x14ac:dyDescent="0.2">
      <c r="A6474" t="str">
        <f>"20200111160345975"</f>
        <v>20200111160345975</v>
      </c>
      <c r="B6474" t="str">
        <f>"1578729825969638"</f>
        <v>1578729825969638</v>
      </c>
      <c r="C6474" t="s">
        <v>37</v>
      </c>
      <c r="D6474">
        <v>4.7594469999999998</v>
      </c>
      <c r="E6474">
        <v>0.53537840000000003</v>
      </c>
      <c r="F6474" t="s">
        <v>42</v>
      </c>
      <c r="G6474">
        <v>-188.70760000000001</v>
      </c>
      <c r="H6474">
        <v>1.031433</v>
      </c>
      <c r="I6474">
        <v>97.729759999999999</v>
      </c>
      <c r="J6474">
        <v>-188.76779999999999</v>
      </c>
      <c r="K6474">
        <v>1.10453</v>
      </c>
      <c r="L6474">
        <v>97.070099999999996</v>
      </c>
      <c r="M6474">
        <v>-3.8291930000000002E-2</v>
      </c>
      <c r="N6474">
        <v>0</v>
      </c>
      <c r="O6474">
        <v>0.99916740000000004</v>
      </c>
      <c r="P6474">
        <v>-2.8213249999999999E-2</v>
      </c>
      <c r="Q6474">
        <v>6.4747719999999898E-3</v>
      </c>
      <c r="R6474">
        <v>0.99958099999999905</v>
      </c>
      <c r="S6474">
        <v>0.15995789999999999</v>
      </c>
      <c r="T6474">
        <v>-0.2362803</v>
      </c>
      <c r="U6474">
        <v>3.0097959999999899</v>
      </c>
      <c r="V6474">
        <v>1.008567E-2</v>
      </c>
      <c r="W6474">
        <v>2.055674E-2</v>
      </c>
      <c r="X6474">
        <v>0.99973780000000001</v>
      </c>
      <c r="Y6474">
        <v>9.1111800000000007E-2</v>
      </c>
      <c r="Z6474">
        <v>-7.7959329999999993E-2</v>
      </c>
      <c r="AA6474">
        <v>0.99278440000000001</v>
      </c>
      <c r="AB6474">
        <v>28</v>
      </c>
      <c r="AC6474">
        <v>6.0199999999980401E-2</v>
      </c>
      <c r="AD6474">
        <v>-7.3096999999999898E-2</v>
      </c>
      <c r="AE6474">
        <v>0.65966000000000202</v>
      </c>
      <c r="AF6474">
        <v>8.4390338487625602E-2</v>
      </c>
      <c r="AG6474">
        <v>-7.3096999999999898E-2</v>
      </c>
      <c r="AH6474">
        <v>0.64896791952677202</v>
      </c>
      <c r="AI6474">
        <v>96.373255971267895</v>
      </c>
      <c r="AJ6474">
        <v>82.590960008078497</v>
      </c>
      <c r="AK6474">
        <v>0.65850152711589305</v>
      </c>
    </row>
    <row r="6475" spans="1:37" x14ac:dyDescent="0.2">
      <c r="A6475" t="str">
        <f>"20200111160345995"</f>
        <v>20200111160345995</v>
      </c>
      <c r="B6475" t="str">
        <f>"1578729825990135"</f>
        <v>1578729825990135</v>
      </c>
      <c r="C6475" t="s">
        <v>37</v>
      </c>
      <c r="D6475">
        <v>4.7507950000000001</v>
      </c>
      <c r="E6475">
        <v>0.53565560000000001</v>
      </c>
      <c r="F6475" t="s">
        <v>42</v>
      </c>
      <c r="G6475">
        <v>-188.71289999999999</v>
      </c>
      <c r="H6475">
        <v>1.030673</v>
      </c>
      <c r="I6475">
        <v>97.977080000000001</v>
      </c>
      <c r="J6475">
        <v>-188.77799999999999</v>
      </c>
      <c r="K6475">
        <v>1.10453</v>
      </c>
      <c r="L6475">
        <v>97.334689999999995</v>
      </c>
      <c r="M6475">
        <v>-3.8375630000000001E-2</v>
      </c>
      <c r="N6475">
        <v>0</v>
      </c>
      <c r="O6475">
        <v>0.99916419999999995</v>
      </c>
      <c r="P6475">
        <v>-2.0901309999999999E-2</v>
      </c>
      <c r="Q6475">
        <v>2.824282E-3</v>
      </c>
      <c r="R6475">
        <v>0.99977759999999904</v>
      </c>
      <c r="S6475">
        <v>0.181594799999999</v>
      </c>
      <c r="T6475">
        <v>-0.24496850000000001</v>
      </c>
      <c r="U6475">
        <v>3.007965</v>
      </c>
      <c r="V6475">
        <v>1.748299E-2</v>
      </c>
      <c r="W6475">
        <v>1.6903850000000002E-2</v>
      </c>
      <c r="X6475">
        <v>0.99970419999999904</v>
      </c>
      <c r="Y6475">
        <v>9.8329360000000005E-2</v>
      </c>
      <c r="Z6475">
        <v>-8.0811659999999993E-2</v>
      </c>
      <c r="AA6475">
        <v>0.99186739999999995</v>
      </c>
      <c r="AB6475">
        <v>28</v>
      </c>
      <c r="AC6475">
        <v>6.5100000000001004E-2</v>
      </c>
      <c r="AD6475">
        <v>-7.3857000000000006E-2</v>
      </c>
      <c r="AE6475">
        <v>0.64238999999999102</v>
      </c>
      <c r="AF6475">
        <v>8.8548018085172195E-2</v>
      </c>
      <c r="AG6475">
        <v>-7.3857000000000006E-2</v>
      </c>
      <c r="AH6475">
        <v>0.63115996412560804</v>
      </c>
      <c r="AI6475">
        <v>96.610123534395001</v>
      </c>
      <c r="AJ6475">
        <v>82.013863601722093</v>
      </c>
      <c r="AK6475">
        <v>0.64160619407145003</v>
      </c>
    </row>
    <row r="6476" spans="1:37" x14ac:dyDescent="0.2">
      <c r="A6476" t="str">
        <f>"20200111160346018"</f>
        <v>20200111160346018</v>
      </c>
      <c r="B6476" t="str">
        <f>"1578729826009655"</f>
        <v>1578729826009655</v>
      </c>
      <c r="C6476" t="s">
        <v>37</v>
      </c>
      <c r="D6476">
        <v>4.7473479999999997</v>
      </c>
      <c r="E6476">
        <v>0.53572649999999999</v>
      </c>
      <c r="F6476" t="s">
        <v>42</v>
      </c>
      <c r="G6476">
        <v>-188.71709999999999</v>
      </c>
      <c r="H6476">
        <v>1.0286729999999999</v>
      </c>
      <c r="I6476">
        <v>98.223550000000003</v>
      </c>
      <c r="J6476">
        <v>-188.78899999999999</v>
      </c>
      <c r="K6476">
        <v>1.104533</v>
      </c>
      <c r="L6476">
        <v>97.620699999999999</v>
      </c>
      <c r="M6476">
        <v>-3.8485449999999997E-2</v>
      </c>
      <c r="N6476">
        <v>0</v>
      </c>
      <c r="O6476">
        <v>0.99916000000000005</v>
      </c>
      <c r="P6476">
        <v>-1.530916E-2</v>
      </c>
      <c r="Q6476">
        <v>-1.4969199999999999E-4</v>
      </c>
      <c r="R6476">
        <v>0.99988279999999996</v>
      </c>
      <c r="S6476">
        <v>0.2055969</v>
      </c>
      <c r="T6476">
        <v>-0.25654660000000001</v>
      </c>
      <c r="U6476">
        <v>3.0057070000000001</v>
      </c>
      <c r="V6476">
        <v>2.3184779999999999E-2</v>
      </c>
      <c r="W6476">
        <v>1.392731E-2</v>
      </c>
      <c r="X6476">
        <v>0.99963419999999903</v>
      </c>
      <c r="Y6476">
        <v>0.10634639999999999</v>
      </c>
      <c r="Z6476">
        <v>-8.4610009999999999E-2</v>
      </c>
      <c r="AA6476">
        <v>0.99072280000000001</v>
      </c>
      <c r="AB6476">
        <v>28</v>
      </c>
      <c r="AC6476">
        <v>7.1900000000027803E-2</v>
      </c>
      <c r="AD6476">
        <v>-7.5859999999999997E-2</v>
      </c>
      <c r="AE6476">
        <v>0.60285000000000299</v>
      </c>
      <c r="AF6476">
        <v>9.3588818433992901E-2</v>
      </c>
      <c r="AG6476">
        <v>-7.5859999999999997E-2</v>
      </c>
      <c r="AH6476">
        <v>0.59041800525351595</v>
      </c>
      <c r="AI6476">
        <v>97.232226668214693</v>
      </c>
      <c r="AJ6476">
        <v>80.992824964899199</v>
      </c>
      <c r="AK6476">
        <v>0.60258362694601297</v>
      </c>
    </row>
    <row r="6477" spans="1:37" x14ac:dyDescent="0.2">
      <c r="A6477" t="str">
        <f>"20200111160346042"</f>
        <v>20200111160346042</v>
      </c>
      <c r="B6477" t="str">
        <f>"1578729826039910"</f>
        <v>1578729826039910</v>
      </c>
      <c r="C6477" t="s">
        <v>37</v>
      </c>
      <c r="D6477">
        <v>4.7890040000000003</v>
      </c>
      <c r="E6477">
        <v>0.53561409999999998</v>
      </c>
      <c r="F6477" t="s">
        <v>42</v>
      </c>
      <c r="G6477">
        <v>-188.726</v>
      </c>
      <c r="H6477">
        <v>1.02911</v>
      </c>
      <c r="I6477">
        <v>98.470709999999997</v>
      </c>
      <c r="J6477">
        <v>-188.80029999999999</v>
      </c>
      <c r="K6477">
        <v>1.1045399999999901</v>
      </c>
      <c r="L6477">
        <v>97.910399999999996</v>
      </c>
      <c r="M6477">
        <v>-3.8612649999999998E-2</v>
      </c>
      <c r="N6477">
        <v>0</v>
      </c>
      <c r="O6477">
        <v>0.99915520000000002</v>
      </c>
      <c r="P6477">
        <v>-1.0307449999999999E-2</v>
      </c>
      <c r="Q6477">
        <v>-8.9291179999999998E-4</v>
      </c>
      <c r="R6477">
        <v>0.99994649999999996</v>
      </c>
      <c r="S6477">
        <v>0.22267149999999999</v>
      </c>
      <c r="T6477">
        <v>-0.26653640000000001</v>
      </c>
      <c r="U6477">
        <v>3.0037229999999999</v>
      </c>
      <c r="V6477">
        <v>2.831233E-2</v>
      </c>
      <c r="W6477">
        <v>1.318065E-2</v>
      </c>
      <c r="X6477">
        <v>0.99951219999999996</v>
      </c>
      <c r="Y6477">
        <v>0.1120978</v>
      </c>
      <c r="Z6477">
        <v>-8.7890800000000005E-2</v>
      </c>
      <c r="AA6477">
        <v>0.98980270000000004</v>
      </c>
      <c r="AB6477">
        <v>28</v>
      </c>
      <c r="AC6477">
        <v>7.4299999999993802E-2</v>
      </c>
      <c r="AD6477">
        <v>-7.5429999999999803E-2</v>
      </c>
      <c r="AE6477">
        <v>0.56031000000000097</v>
      </c>
      <c r="AF6477">
        <v>9.4204012884802402E-2</v>
      </c>
      <c r="AG6477">
        <v>-7.5429999999999803E-2</v>
      </c>
      <c r="AH6477">
        <v>0.54727594194429297</v>
      </c>
      <c r="AI6477">
        <v>97.735173955926399</v>
      </c>
      <c r="AJ6477">
        <v>80.233241601305195</v>
      </c>
      <c r="AK6477">
        <v>0.56042398019232997</v>
      </c>
    </row>
    <row r="6478" spans="1:37" x14ac:dyDescent="0.2">
      <c r="A6478" t="str">
        <f>"20200111160346063"</f>
        <v>20200111160346063</v>
      </c>
      <c r="B6478" t="str">
        <f>"1578729826060176"</f>
        <v>1578729826060176</v>
      </c>
      <c r="C6478" t="s">
        <v>37</v>
      </c>
      <c r="D6478">
        <v>4.8765510000000001</v>
      </c>
      <c r="E6478">
        <v>0.50722319999999999</v>
      </c>
      <c r="F6478" t="s">
        <v>42</v>
      </c>
      <c r="G6478">
        <v>-188.73650000000001</v>
      </c>
      <c r="H6478">
        <v>1.0331219999999901</v>
      </c>
      <c r="I6478">
        <v>98.719279999999998</v>
      </c>
      <c r="J6478">
        <v>-188.81020000000001</v>
      </c>
      <c r="K6478">
        <v>1.1045419999999999</v>
      </c>
      <c r="L6478">
        <v>98.162750000000003</v>
      </c>
      <c r="M6478">
        <v>-3.8731460000000002E-2</v>
      </c>
      <c r="N6478">
        <v>0</v>
      </c>
      <c r="O6478">
        <v>0.999150599999999</v>
      </c>
      <c r="P6478">
        <v>-6.89010199999999E-3</v>
      </c>
      <c r="Q6478">
        <v>-1.5045079999999899E-3</v>
      </c>
      <c r="R6478">
        <v>0.99997510000000001</v>
      </c>
      <c r="S6478">
        <v>0.2364502</v>
      </c>
      <c r="T6478">
        <v>-0.26512839999999999</v>
      </c>
      <c r="U6478">
        <v>3.00238</v>
      </c>
      <c r="V6478">
        <v>3.1847100000000003E-2</v>
      </c>
      <c r="W6478">
        <v>1.256558E-2</v>
      </c>
      <c r="X6478">
        <v>0.99941380000000002</v>
      </c>
      <c r="Y6478">
        <v>0.1167666</v>
      </c>
      <c r="Z6478">
        <v>-8.7429380000000001E-2</v>
      </c>
      <c r="AA6478">
        <v>0.98930359999999995</v>
      </c>
      <c r="AB6478">
        <v>28</v>
      </c>
      <c r="AC6478">
        <v>7.3700000000002305E-2</v>
      </c>
      <c r="AD6478">
        <v>-7.1419999999999997E-2</v>
      </c>
      <c r="AE6478">
        <v>0.55652999999999497</v>
      </c>
      <c r="AF6478">
        <v>9.3685739652728001E-2</v>
      </c>
      <c r="AG6478">
        <v>-7.1419999999999997E-2</v>
      </c>
      <c r="AH6478">
        <v>0.54444569200332604</v>
      </c>
      <c r="AI6478">
        <v>97.366300243142305</v>
      </c>
      <c r="AJ6478">
        <v>80.236419809603305</v>
      </c>
      <c r="AK6478">
        <v>0.55704483280545702</v>
      </c>
    </row>
    <row r="6479" spans="1:37" x14ac:dyDescent="0.2">
      <c r="A6479" t="str">
        <f>"20200111160346086"</f>
        <v>20200111160346086</v>
      </c>
      <c r="B6479" t="str">
        <f>"1578729826079696"</f>
        <v>1578729826079696</v>
      </c>
      <c r="C6479" t="s">
        <v>37</v>
      </c>
      <c r="D6479">
        <v>4.9185419999999898</v>
      </c>
      <c r="E6479">
        <v>0.49918170000000001</v>
      </c>
      <c r="F6479" t="s">
        <v>42</v>
      </c>
      <c r="G6479">
        <v>-188.80539999999999</v>
      </c>
      <c r="H6479">
        <v>1.026883</v>
      </c>
      <c r="I6479">
        <v>98.960229999999996</v>
      </c>
      <c r="J6479">
        <v>-188.82130000000001</v>
      </c>
      <c r="K6479">
        <v>1.104538</v>
      </c>
      <c r="L6479">
        <v>98.447940000000003</v>
      </c>
      <c r="M6479">
        <v>-3.886804E-2</v>
      </c>
      <c r="N6479">
        <v>0</v>
      </c>
      <c r="O6479">
        <v>0.99914530000000001</v>
      </c>
      <c r="P6479">
        <v>-4.331059E-3</v>
      </c>
      <c r="Q6479">
        <v>-2.3847410000000001E-3</v>
      </c>
      <c r="R6479">
        <v>0.99998779999999998</v>
      </c>
      <c r="S6479">
        <v>1.7807010000000002E-2</v>
      </c>
      <c r="T6479">
        <v>-0.29211799999999999</v>
      </c>
      <c r="U6479">
        <v>2.9997250000000002</v>
      </c>
      <c r="V6479">
        <v>3.4541469999999998E-2</v>
      </c>
      <c r="W6479">
        <v>1.1682069999999999E-2</v>
      </c>
      <c r="X6479">
        <v>0.99933499999999997</v>
      </c>
      <c r="Y6479">
        <v>4.477486E-2</v>
      </c>
      <c r="Z6479">
        <v>-9.6763890000000005E-2</v>
      </c>
      <c r="AA6479">
        <v>0.99429969999999901</v>
      </c>
      <c r="AB6479">
        <v>28</v>
      </c>
      <c r="AC6479">
        <v>1.59000000000162E-2</v>
      </c>
      <c r="AD6479">
        <v>-7.7655000000000002E-2</v>
      </c>
      <c r="AE6479">
        <v>0.51229000000000702</v>
      </c>
      <c r="AF6479">
        <v>3.4998255549774003E-2</v>
      </c>
      <c r="AG6479">
        <v>-7.7655000000000002E-2</v>
      </c>
      <c r="AH6479">
        <v>0.49981127424911098</v>
      </c>
      <c r="AI6479">
        <v>98.810125152004503</v>
      </c>
      <c r="AJ6479">
        <v>85.994519027418406</v>
      </c>
      <c r="AK6479">
        <v>0.50701724505488699</v>
      </c>
    </row>
    <row r="6480" spans="1:37" x14ac:dyDescent="0.2">
      <c r="A6480" t="str">
        <f>"20200111160346108"</f>
        <v>20200111160346108</v>
      </c>
      <c r="B6480" t="str">
        <f>"1578729826100192"</f>
        <v>1578729826100192</v>
      </c>
      <c r="C6480" t="s">
        <v>37</v>
      </c>
      <c r="D6480">
        <v>5.0086969999999997</v>
      </c>
      <c r="E6480">
        <v>0.49494519999999997</v>
      </c>
      <c r="F6480" t="s">
        <v>42</v>
      </c>
      <c r="G6480">
        <v>-188.83080000000001</v>
      </c>
      <c r="H6480">
        <v>1.0331059999999901</v>
      </c>
      <c r="I6480">
        <v>99.208929999999995</v>
      </c>
      <c r="J6480">
        <v>-188.83199999999999</v>
      </c>
      <c r="K6480">
        <v>1.1045419999999999</v>
      </c>
      <c r="L6480">
        <v>98.720249999999993</v>
      </c>
      <c r="M6480">
        <v>-3.8996240000000001E-2</v>
      </c>
      <c r="N6480">
        <v>0</v>
      </c>
      <c r="O6480">
        <v>0.99914040000000004</v>
      </c>
      <c r="P6480">
        <v>-3.070115E-3</v>
      </c>
      <c r="Q6480">
        <v>-2.822045E-3</v>
      </c>
      <c r="R6480">
        <v>0.99999130000000003</v>
      </c>
      <c r="S6480">
        <v>-3.80249E-2</v>
      </c>
      <c r="T6480">
        <v>-0.28156540000000002</v>
      </c>
      <c r="U6480">
        <v>2.9992070000000002</v>
      </c>
      <c r="V6480">
        <v>3.5929870000000003E-2</v>
      </c>
      <c r="W6480">
        <v>1.12415E-2</v>
      </c>
      <c r="X6480">
        <v>0.99929109999999999</v>
      </c>
      <c r="Y6480">
        <v>2.6384669999999999E-2</v>
      </c>
      <c r="Z6480">
        <v>-9.3342549999999996E-2</v>
      </c>
      <c r="AA6480">
        <v>0.99528439999999996</v>
      </c>
      <c r="AB6480">
        <v>28</v>
      </c>
      <c r="AC6480">
        <v>1.1999999999829901E-3</v>
      </c>
      <c r="AD6480">
        <v>-7.1435999999999999E-2</v>
      </c>
      <c r="AE6480">
        <v>0.48868000000001599</v>
      </c>
      <c r="AF6480">
        <v>1.9833826767955001E-2</v>
      </c>
      <c r="AG6480">
        <v>-7.1435999999999999E-2</v>
      </c>
      <c r="AH6480">
        <v>0.478046088394602</v>
      </c>
      <c r="AI6480">
        <v>98.491808443952294</v>
      </c>
      <c r="AJ6480">
        <v>87.624197300508101</v>
      </c>
      <c r="AK6480">
        <v>0.48376083492738597</v>
      </c>
    </row>
    <row r="6481" spans="1:37" x14ac:dyDescent="0.2">
      <c r="A6481" t="str">
        <f>"20200111160346132"</f>
        <v>20200111160346132</v>
      </c>
      <c r="B6481" t="str">
        <f>"1578729826119713"</f>
        <v>1578729826119713</v>
      </c>
      <c r="C6481" t="s">
        <v>37</v>
      </c>
      <c r="D6481">
        <v>4.8376919999999997</v>
      </c>
      <c r="E6481">
        <v>0.49340630000000002</v>
      </c>
      <c r="F6481" t="s">
        <v>42</v>
      </c>
      <c r="G6481">
        <v>-188.8486</v>
      </c>
      <c r="H6481">
        <v>1.0370330000000001</v>
      </c>
      <c r="I6481">
        <v>99.4572</v>
      </c>
      <c r="J6481">
        <v>-188.8433</v>
      </c>
      <c r="K6481">
        <v>1.1045399999999901</v>
      </c>
      <c r="L6481">
        <v>99.005340000000004</v>
      </c>
      <c r="M6481">
        <v>-3.9126090000000002E-2</v>
      </c>
      <c r="N6481">
        <v>0</v>
      </c>
      <c r="O6481">
        <v>0.99913529999999995</v>
      </c>
      <c r="P6481">
        <v>-2.4523819999999999E-3</v>
      </c>
      <c r="Q6481">
        <v>-2.5730290000000001E-3</v>
      </c>
      <c r="R6481">
        <v>0.99999369999999999</v>
      </c>
      <c r="S6481">
        <v>-6.8176269999999997E-2</v>
      </c>
      <c r="T6481">
        <v>-0.27478049999999998</v>
      </c>
      <c r="U6481">
        <v>2.99902299999999</v>
      </c>
      <c r="V6481">
        <v>3.6677019999999998E-2</v>
      </c>
      <c r="W6481">
        <v>1.148706E-2</v>
      </c>
      <c r="X6481">
        <v>0.99926109999999901</v>
      </c>
      <c r="Y6481">
        <v>1.6504919999999999E-2</v>
      </c>
      <c r="Z6481">
        <v>-9.1118699999999997E-2</v>
      </c>
      <c r="AA6481">
        <v>0.99570329999999996</v>
      </c>
      <c r="AB6481">
        <v>28</v>
      </c>
      <c r="AC6481">
        <v>-5.3000000000054098E-3</v>
      </c>
      <c r="AD6481">
        <v>-6.7506999999999706E-2</v>
      </c>
      <c r="AE6481">
        <v>0.45185999999999599</v>
      </c>
      <c r="AF6481">
        <v>1.2114956991335701E-2</v>
      </c>
      <c r="AG6481">
        <v>-6.7506999999999706E-2</v>
      </c>
      <c r="AH6481">
        <v>0.44186045322325801</v>
      </c>
      <c r="AI6481">
        <v>98.683209817240893</v>
      </c>
      <c r="AJ6481">
        <v>88.429454278996104</v>
      </c>
      <c r="AK6481">
        <v>0.44715168271467398</v>
      </c>
    </row>
    <row r="6482" spans="1:37" x14ac:dyDescent="0.2">
      <c r="A6482" t="str">
        <f>"20200111160346152"</f>
        <v>20200111160346152</v>
      </c>
      <c r="B6482" t="str">
        <f>"1578729826149969"</f>
        <v>1578729826149969</v>
      </c>
      <c r="C6482" t="s">
        <v>37</v>
      </c>
      <c r="D6482">
        <v>4.9476420000000001</v>
      </c>
      <c r="E6482">
        <v>0.49210039999999999</v>
      </c>
      <c r="F6482" t="s">
        <v>42</v>
      </c>
      <c r="G6482">
        <v>-188.86789999999999</v>
      </c>
      <c r="H6482">
        <v>1.0200639999999901</v>
      </c>
      <c r="I6482">
        <v>99.938569999999999</v>
      </c>
      <c r="J6482">
        <v>-188.8536</v>
      </c>
      <c r="K6482">
        <v>1.1045370000000001</v>
      </c>
      <c r="L6482">
        <v>99.265869999999893</v>
      </c>
      <c r="M6482">
        <v>-3.9242020000000002E-2</v>
      </c>
      <c r="N6482">
        <v>0</v>
      </c>
      <c r="O6482">
        <v>0.99913079999999999</v>
      </c>
      <c r="P6482">
        <v>-2.9358380000000001E-3</v>
      </c>
      <c r="Q6482">
        <v>-1.022888E-3</v>
      </c>
      <c r="R6482">
        <v>0.99999519999999997</v>
      </c>
      <c r="S6482">
        <v>-7.9193120000000006E-2</v>
      </c>
      <c r="T6482">
        <v>-0.27149489999999998</v>
      </c>
      <c r="U6482">
        <v>2.9991150000000002</v>
      </c>
      <c r="V6482">
        <v>3.6309630000000002E-2</v>
      </c>
      <c r="W6482">
        <v>1.3034280000000001E-2</v>
      </c>
      <c r="X6482">
        <v>0.99925560000000002</v>
      </c>
      <c r="Y6482">
        <v>1.2963540000000001E-2</v>
      </c>
      <c r="Z6482">
        <v>-9.0033059999999998E-2</v>
      </c>
      <c r="AA6482">
        <v>0.99585440000000003</v>
      </c>
      <c r="AB6482">
        <v>27</v>
      </c>
      <c r="AC6482">
        <v>-1.42999999999915E-2</v>
      </c>
      <c r="AD6482">
        <v>-8.4473000000000201E-2</v>
      </c>
      <c r="AE6482">
        <v>0.67270000000000596</v>
      </c>
      <c r="AF6482">
        <v>1.1923797173978399E-2</v>
      </c>
      <c r="AG6482">
        <v>-8.4473000000000201E-2</v>
      </c>
      <c r="AH6482">
        <v>0.662304069767083</v>
      </c>
      <c r="AI6482">
        <v>97.267331680897996</v>
      </c>
      <c r="AJ6482">
        <v>88.968586353590894</v>
      </c>
      <c r="AK6482">
        <v>0.66777581979140799</v>
      </c>
    </row>
    <row r="6483" spans="1:37" x14ac:dyDescent="0.2">
      <c r="A6483" t="str">
        <f>"20200111160346174"</f>
        <v>20200111160346174</v>
      </c>
      <c r="B6483" t="str">
        <f>"1578729826169488"</f>
        <v>1578729826169488</v>
      </c>
      <c r="C6483" t="s">
        <v>37</v>
      </c>
      <c r="D6483">
        <v>4.9650509999999999</v>
      </c>
      <c r="E6483">
        <v>0.49156620000000001</v>
      </c>
      <c r="F6483" t="s">
        <v>42</v>
      </c>
      <c r="G6483">
        <v>-188.8817</v>
      </c>
      <c r="H6483">
        <v>1.0226200000000001</v>
      </c>
      <c r="I6483">
        <v>100.1845</v>
      </c>
      <c r="J6483">
        <v>-188.86429999999999</v>
      </c>
      <c r="K6483">
        <v>1.104544</v>
      </c>
      <c r="L6483">
        <v>99.532259999999994</v>
      </c>
      <c r="M6483">
        <v>-3.9359159999999997E-2</v>
      </c>
      <c r="N6483">
        <v>0</v>
      </c>
      <c r="O6483">
        <v>0.99912630000000002</v>
      </c>
      <c r="P6483">
        <v>-3.640154E-3</v>
      </c>
      <c r="Q6483">
        <v>1.032207E-3</v>
      </c>
      <c r="R6483">
        <v>0.99999280000000002</v>
      </c>
      <c r="S6483">
        <v>-9.1903689999999996E-2</v>
      </c>
      <c r="T6483">
        <v>-0.26751399999999997</v>
      </c>
      <c r="U6483">
        <v>2.9994509999999899</v>
      </c>
      <c r="V6483">
        <v>3.5722549999999999E-2</v>
      </c>
      <c r="W6483">
        <v>1.508638E-2</v>
      </c>
      <c r="X6483">
        <v>0.99924780000000002</v>
      </c>
      <c r="Y6483">
        <v>8.8633519999999997E-3</v>
      </c>
      <c r="Z6483">
        <v>-8.8709640000000006E-2</v>
      </c>
      <c r="AA6483">
        <v>0.99601810000000002</v>
      </c>
      <c r="AB6483">
        <v>27</v>
      </c>
      <c r="AC6483">
        <v>-1.7400000000009099E-2</v>
      </c>
      <c r="AD6483">
        <v>-8.1923999999999803E-2</v>
      </c>
      <c r="AE6483">
        <v>0.65224000000000604</v>
      </c>
      <c r="AF6483">
        <v>8.15901117212239E-3</v>
      </c>
      <c r="AG6483">
        <v>-8.1923999999999803E-2</v>
      </c>
      <c r="AH6483">
        <v>0.64229355199064198</v>
      </c>
      <c r="AI6483">
        <v>97.268199648929098</v>
      </c>
      <c r="AJ6483">
        <v>89.272214766244701</v>
      </c>
      <c r="AK6483">
        <v>0.64754854502814096</v>
      </c>
    </row>
    <row r="6484" spans="1:37" x14ac:dyDescent="0.2">
      <c r="A6484" t="str">
        <f>"20200111160346197"</f>
        <v>20200111160346197</v>
      </c>
      <c r="B6484" t="str">
        <f>"1578729826189984"</f>
        <v>1578729826189984</v>
      </c>
      <c r="C6484" t="s">
        <v>37</v>
      </c>
      <c r="D6484">
        <v>4.9964269999999997</v>
      </c>
      <c r="E6484">
        <v>0.49105690000000002</v>
      </c>
      <c r="F6484" t="s">
        <v>42</v>
      </c>
      <c r="G6484">
        <v>-188.89400000000001</v>
      </c>
      <c r="H6484">
        <v>1.026016</v>
      </c>
      <c r="I6484">
        <v>100.4307</v>
      </c>
      <c r="J6484">
        <v>-188.87569999999999</v>
      </c>
      <c r="K6484">
        <v>1.1045529999999999</v>
      </c>
      <c r="L6484">
        <v>99.818820000000002</v>
      </c>
      <c r="M6484">
        <v>-3.9484890000000002E-2</v>
      </c>
      <c r="N6484">
        <v>0</v>
      </c>
      <c r="O6484">
        <v>0.99912140000000005</v>
      </c>
      <c r="P6484">
        <v>-3.7744649999999999E-3</v>
      </c>
      <c r="Q6484">
        <v>3.9621120000000003E-3</v>
      </c>
      <c r="R6484">
        <v>0.99998500000000001</v>
      </c>
      <c r="S6484">
        <v>-9.9334720000000001E-2</v>
      </c>
      <c r="T6484">
        <v>-0.26223299999999999</v>
      </c>
      <c r="U6484">
        <v>2.9999389999999999</v>
      </c>
      <c r="V6484">
        <v>3.5713269999999998E-2</v>
      </c>
      <c r="W6484">
        <v>1.8012810000000001E-2</v>
      </c>
      <c r="X6484">
        <v>0.99919969999999902</v>
      </c>
      <c r="Y6484">
        <v>6.5243130000000003E-3</v>
      </c>
      <c r="Z6484">
        <v>-8.6954530000000002E-2</v>
      </c>
      <c r="AA6484">
        <v>0.99619089999999999</v>
      </c>
      <c r="AB6484">
        <v>27</v>
      </c>
      <c r="AC6484">
        <v>-1.8300000000010599E-2</v>
      </c>
      <c r="AD6484">
        <v>-7.8536999999999996E-2</v>
      </c>
      <c r="AE6484">
        <v>0.61187999999999898</v>
      </c>
      <c r="AF6484">
        <v>5.7815096406664303E-3</v>
      </c>
      <c r="AG6484">
        <v>-7.8536999999999996E-2</v>
      </c>
      <c r="AH6484">
        <v>0.602213006873903</v>
      </c>
      <c r="AI6484">
        <v>97.429897902437105</v>
      </c>
      <c r="AJ6484">
        <v>89.449952224069193</v>
      </c>
      <c r="AK6484">
        <v>0.60734009572136105</v>
      </c>
    </row>
    <row r="6485" spans="1:37" x14ac:dyDescent="0.2">
      <c r="A6485" t="str">
        <f>"20200111160346221"</f>
        <v>20200111160346221</v>
      </c>
      <c r="B6485" t="str">
        <f>"1578729826209504"</f>
        <v>1578729826209504</v>
      </c>
      <c r="C6485" t="s">
        <v>37</v>
      </c>
      <c r="D6485">
        <v>4.9835859999999998</v>
      </c>
      <c r="E6485">
        <v>0.49020649999999899</v>
      </c>
      <c r="F6485" t="s">
        <v>42</v>
      </c>
      <c r="G6485">
        <v>-188.90549999999999</v>
      </c>
      <c r="H6485">
        <v>1.0318069999999999</v>
      </c>
      <c r="I6485">
        <v>100.6777</v>
      </c>
      <c r="J6485">
        <v>-188.88669999999999</v>
      </c>
      <c r="K6485">
        <v>1.1045739999999999</v>
      </c>
      <c r="L6485">
        <v>100.0949</v>
      </c>
      <c r="M6485">
        <v>-3.9605929999999998E-2</v>
      </c>
      <c r="N6485">
        <v>0</v>
      </c>
      <c r="O6485">
        <v>0.99911659999999902</v>
      </c>
      <c r="P6485">
        <v>-3.4582549999999999E-3</v>
      </c>
      <c r="Q6485">
        <v>7.5987609999999999E-3</v>
      </c>
      <c r="R6485">
        <v>0.99996509999999905</v>
      </c>
      <c r="S6485">
        <v>-0.1044769</v>
      </c>
      <c r="T6485">
        <v>-0.25418869999999999</v>
      </c>
      <c r="U6485">
        <v>3.0006710000000001</v>
      </c>
      <c r="V6485">
        <v>3.6148859999999998E-2</v>
      </c>
      <c r="W6485">
        <v>2.1645109999999999E-2</v>
      </c>
      <c r="X6485">
        <v>0.999112</v>
      </c>
      <c r="Y6485">
        <v>4.9403049999999999E-3</v>
      </c>
      <c r="Z6485">
        <v>-8.4283319999999995E-2</v>
      </c>
      <c r="AA6485">
        <v>0.99642960000000003</v>
      </c>
      <c r="AB6485">
        <v>27</v>
      </c>
      <c r="AC6485">
        <v>-1.87999999999988E-2</v>
      </c>
      <c r="AD6485">
        <v>-7.2766999999999998E-2</v>
      </c>
      <c r="AE6485">
        <v>0.58280000000000598</v>
      </c>
      <c r="AF6485">
        <v>4.2334400159156904E-3</v>
      </c>
      <c r="AG6485">
        <v>-7.2766999999999998E-2</v>
      </c>
      <c r="AH6485">
        <v>0.57414599973097302</v>
      </c>
      <c r="AI6485">
        <v>97.2229359274926</v>
      </c>
      <c r="AJ6485">
        <v>89.577539771763696</v>
      </c>
      <c r="AK6485">
        <v>0.578754341072658</v>
      </c>
    </row>
    <row r="6486" spans="1:37" x14ac:dyDescent="0.2">
      <c r="A6486" t="str">
        <f>"20200111160346244"</f>
        <v>20200111160346244</v>
      </c>
      <c r="B6486" t="str">
        <f>"1578729826239760"</f>
        <v>1578729826239760</v>
      </c>
      <c r="C6486" t="s">
        <v>37</v>
      </c>
      <c r="D6486">
        <v>5.2532870000000003</v>
      </c>
      <c r="E6486">
        <v>0.48958409999999902</v>
      </c>
      <c r="F6486" t="s">
        <v>42</v>
      </c>
      <c r="G6486">
        <v>-188.91739999999999</v>
      </c>
      <c r="H6486">
        <v>1.0373030000000001</v>
      </c>
      <c r="I6486">
        <v>100.9264</v>
      </c>
      <c r="J6486">
        <v>-188.8982</v>
      </c>
      <c r="K6486">
        <v>1.104579</v>
      </c>
      <c r="L6486">
        <v>100.38120000000001</v>
      </c>
      <c r="M6486">
        <v>-3.9727779999999997E-2</v>
      </c>
      <c r="N6486">
        <v>0</v>
      </c>
      <c r="O6486">
        <v>0.99911179999999999</v>
      </c>
      <c r="P6486">
        <v>-2.7498609999999902E-3</v>
      </c>
      <c r="Q6486">
        <v>9.416743E-3</v>
      </c>
      <c r="R6486">
        <v>0.9999519</v>
      </c>
      <c r="S6486">
        <v>-0.1107635</v>
      </c>
      <c r="T6486">
        <v>-0.24287249999999999</v>
      </c>
      <c r="U6486">
        <v>3.0015559999999999</v>
      </c>
      <c r="V6486">
        <v>3.6977830000000003E-2</v>
      </c>
      <c r="W6486">
        <v>2.345949E-2</v>
      </c>
      <c r="X6486">
        <v>0.999040699999999</v>
      </c>
      <c r="Y6486">
        <v>2.9767159999999999E-3</v>
      </c>
      <c r="Z6486">
        <v>-8.0529249999999997E-2</v>
      </c>
      <c r="AA6486">
        <v>0.99674779999999996</v>
      </c>
      <c r="AB6486">
        <v>27</v>
      </c>
      <c r="AC6486">
        <v>-1.9199999999983602E-2</v>
      </c>
      <c r="AD6486">
        <v>-6.7275999999999794E-2</v>
      </c>
      <c r="AE6486">
        <v>0.54519999999999402</v>
      </c>
      <c r="AF6486">
        <v>2.4397794543999599E-3</v>
      </c>
      <c r="AG6486">
        <v>-6.7275999999999794E-2</v>
      </c>
      <c r="AH6486">
        <v>0.53736020903798298</v>
      </c>
      <c r="AI6486">
        <v>97.136068861531797</v>
      </c>
      <c r="AJ6486">
        <v>89.739861450874201</v>
      </c>
      <c r="AK6486">
        <v>0.54156071400825501</v>
      </c>
    </row>
    <row r="6487" spans="1:37" x14ac:dyDescent="0.2">
      <c r="A6487" t="str">
        <f>"20200111160346266"</f>
        <v>20200111160346266</v>
      </c>
      <c r="B6487" t="str">
        <f>"1578729826260257"</f>
        <v>1578729826260257</v>
      </c>
      <c r="C6487" t="s">
        <v>37</v>
      </c>
      <c r="D6487">
        <v>5.0819369999999999</v>
      </c>
      <c r="E6487">
        <v>0.48921599999999998</v>
      </c>
      <c r="F6487" t="s">
        <v>42</v>
      </c>
      <c r="G6487">
        <v>-188.9281</v>
      </c>
      <c r="H6487">
        <v>1.0414969999999999</v>
      </c>
      <c r="I6487">
        <v>101.17440000000001</v>
      </c>
      <c r="J6487">
        <v>-188.90880000000001</v>
      </c>
      <c r="K6487">
        <v>1.1045590000000001</v>
      </c>
      <c r="L6487">
        <v>100.6442</v>
      </c>
      <c r="M6487">
        <v>-3.981883E-2</v>
      </c>
      <c r="N6487">
        <v>0</v>
      </c>
      <c r="O6487">
        <v>0.9991082</v>
      </c>
      <c r="P6487">
        <v>-1.037264E-3</v>
      </c>
      <c r="Q6487">
        <v>7.5802119999999898E-3</v>
      </c>
      <c r="R6487">
        <v>0.99997069999999999</v>
      </c>
      <c r="S6487">
        <v>-0.113525399999999</v>
      </c>
      <c r="T6487">
        <v>-0.23877559999999901</v>
      </c>
      <c r="U6487">
        <v>3.002075</v>
      </c>
      <c r="V6487">
        <v>3.8781799999999998E-2</v>
      </c>
      <c r="W6487">
        <v>2.1618410000000001E-2</v>
      </c>
      <c r="X6487">
        <v>0.99901379999999995</v>
      </c>
      <c r="Y6487">
        <v>2.1543560000000001E-3</v>
      </c>
      <c r="Z6487">
        <v>-7.9164129999999999E-2</v>
      </c>
      <c r="AA6487">
        <v>0.9968593</v>
      </c>
      <c r="AB6487">
        <v>27</v>
      </c>
      <c r="AC6487">
        <v>-1.9299999999987001E-2</v>
      </c>
      <c r="AD6487">
        <v>-6.3062000000000104E-2</v>
      </c>
      <c r="AE6487">
        <v>0.530200000000007</v>
      </c>
      <c r="AF6487">
        <v>1.8038510246278399E-3</v>
      </c>
      <c r="AG6487">
        <v>-6.3062000000000104E-2</v>
      </c>
      <c r="AH6487">
        <v>0.52315683875439101</v>
      </c>
      <c r="AI6487">
        <v>96.8733043381024</v>
      </c>
      <c r="AJ6487">
        <v>89.802444251231094</v>
      </c>
      <c r="AK6487">
        <v>0.52694700649876303</v>
      </c>
    </row>
    <row r="6488" spans="1:37" x14ac:dyDescent="0.2">
      <c r="A6488" t="str">
        <f>"20200111160346288"</f>
        <v>20200111160346288</v>
      </c>
      <c r="B6488" t="str">
        <f>"1578729826279777"</f>
        <v>1578729826279777</v>
      </c>
      <c r="C6488" t="s">
        <v>37</v>
      </c>
      <c r="D6488">
        <v>5.0659359999999998</v>
      </c>
      <c r="E6488">
        <v>0.4889754</v>
      </c>
      <c r="F6488" t="s">
        <v>42</v>
      </c>
      <c r="G6488">
        <v>-188.93719999999999</v>
      </c>
      <c r="H6488">
        <v>1.0412110000000001</v>
      </c>
      <c r="I6488">
        <v>101.41670000000001</v>
      </c>
      <c r="J6488">
        <v>-188.91990000000001</v>
      </c>
      <c r="K6488">
        <v>1.1045100000000001</v>
      </c>
      <c r="L6488">
        <v>100.9212</v>
      </c>
      <c r="M6488">
        <v>-3.9876199999999903E-2</v>
      </c>
      <c r="N6488">
        <v>0</v>
      </c>
      <c r="O6488">
        <v>0.99910599999999905</v>
      </c>
      <c r="P6488">
        <v>1.5327989999999901E-3</v>
      </c>
      <c r="Q6488">
        <v>3.867395E-3</v>
      </c>
      <c r="R6488">
        <v>0.99999139999999997</v>
      </c>
      <c r="S6488">
        <v>-0.1107788</v>
      </c>
      <c r="T6488">
        <v>-0.24620010000000001</v>
      </c>
      <c r="U6488">
        <v>3.0018310000000001</v>
      </c>
      <c r="V6488">
        <v>4.1409670000000003E-2</v>
      </c>
      <c r="W6488">
        <v>1.789934E-2</v>
      </c>
      <c r="X6488">
        <v>0.99898189999999998</v>
      </c>
      <c r="Y6488">
        <v>3.1268309999999901E-3</v>
      </c>
      <c r="Z6488">
        <v>-8.1617060000000005E-2</v>
      </c>
      <c r="AA6488">
        <v>0.99665890000000001</v>
      </c>
      <c r="AB6488">
        <v>27</v>
      </c>
      <c r="AC6488">
        <v>-1.7299999999977399E-2</v>
      </c>
      <c r="AD6488">
        <v>-6.3298999999999994E-2</v>
      </c>
      <c r="AE6488">
        <v>0.49550000000000599</v>
      </c>
      <c r="AF6488">
        <v>2.4346827607662001E-3</v>
      </c>
      <c r="AG6488">
        <v>-6.3298999999999994E-2</v>
      </c>
      <c r="AH6488">
        <v>0.48784407207846903</v>
      </c>
      <c r="AI6488">
        <v>97.392876995154893</v>
      </c>
      <c r="AJ6488">
        <v>89.714056403486097</v>
      </c>
      <c r="AK6488">
        <v>0.491939559034692</v>
      </c>
    </row>
    <row r="6489" spans="1:37" x14ac:dyDescent="0.2">
      <c r="A6489" t="str">
        <f>"20200111160346311"</f>
        <v>20200111160346311</v>
      </c>
      <c r="B6489" t="str">
        <f>"1578729826299297"</f>
        <v>1578729826299297</v>
      </c>
      <c r="C6489" t="s">
        <v>37</v>
      </c>
      <c r="D6489">
        <v>5.205832</v>
      </c>
      <c r="E6489">
        <v>0.48874269999999997</v>
      </c>
      <c r="F6489" t="s">
        <v>42</v>
      </c>
      <c r="G6489">
        <v>-188.9453</v>
      </c>
      <c r="H6489">
        <v>1.040578</v>
      </c>
      <c r="I6489">
        <v>101.658999999999</v>
      </c>
      <c r="J6489">
        <v>-188.93090000000001</v>
      </c>
      <c r="K6489">
        <v>1.1044259999999999</v>
      </c>
      <c r="L6489">
        <v>101.19629999999999</v>
      </c>
      <c r="M6489">
        <v>-3.9850190000000001E-2</v>
      </c>
      <c r="N6489">
        <v>0</v>
      </c>
      <c r="O6489">
        <v>0.99910710000000003</v>
      </c>
      <c r="P6489">
        <v>3.5398500000000002E-3</v>
      </c>
      <c r="Q6489">
        <v>-1.6064199999999999E-3</v>
      </c>
      <c r="R6489">
        <v>0.9999924</v>
      </c>
      <c r="S6489">
        <v>-0.10394289999999901</v>
      </c>
      <c r="T6489">
        <v>-0.26011679999999998</v>
      </c>
      <c r="U6489">
        <v>3.0011899999999998</v>
      </c>
      <c r="V6489">
        <v>4.3391239999999998E-2</v>
      </c>
      <c r="W6489">
        <v>1.241682E-2</v>
      </c>
      <c r="X6489">
        <v>0.99898099999999901</v>
      </c>
      <c r="Y6489">
        <v>5.3736019999999999E-3</v>
      </c>
      <c r="Z6489">
        <v>-8.6218600000000006E-2</v>
      </c>
      <c r="AA6489">
        <v>0.99626179999999998</v>
      </c>
      <c r="AB6489">
        <v>27</v>
      </c>
      <c r="AC6489">
        <v>-1.4399999999994801E-2</v>
      </c>
      <c r="AD6489">
        <v>-6.3848000000000099E-2</v>
      </c>
      <c r="AE6489">
        <v>0.462699999999998</v>
      </c>
      <c r="AF6489">
        <v>3.9762992671391502E-3</v>
      </c>
      <c r="AG6489">
        <v>-6.3848000000000099E-2</v>
      </c>
      <c r="AH6489">
        <v>0.454264884006716</v>
      </c>
      <c r="AI6489">
        <v>98.000344855178994</v>
      </c>
      <c r="AJ6489">
        <v>89.498487874028697</v>
      </c>
      <c r="AK6489">
        <v>0.45874716664138299</v>
      </c>
    </row>
    <row r="6490" spans="1:37" x14ac:dyDescent="0.2">
      <c r="A6490" t="str">
        <f>"20200111160346354"</f>
        <v>20200111160346354</v>
      </c>
      <c r="B6490" t="str">
        <f>"1578729826349902"</f>
        <v>1578729826349902</v>
      </c>
      <c r="C6490" t="s">
        <v>37</v>
      </c>
      <c r="D6490">
        <v>5.1678889999999997</v>
      </c>
      <c r="E6490">
        <v>0.48792819999999998</v>
      </c>
      <c r="F6490" t="s">
        <v>42</v>
      </c>
      <c r="G6490">
        <v>-188.96170000000001</v>
      </c>
      <c r="H6490">
        <v>1.0175289999999999</v>
      </c>
      <c r="I6490">
        <v>102.1301</v>
      </c>
      <c r="J6490">
        <v>-188.95150000000001</v>
      </c>
      <c r="K6490">
        <v>1.104231</v>
      </c>
      <c r="L6490">
        <v>101.7229</v>
      </c>
      <c r="M6490">
        <v>-3.9442959999999999E-2</v>
      </c>
      <c r="N6490">
        <v>0</v>
      </c>
      <c r="O6490">
        <v>0.99912330000000005</v>
      </c>
      <c r="P6490">
        <v>7.3448480000000002E-3</v>
      </c>
      <c r="Q6490">
        <v>-8.8059639999999995E-3</v>
      </c>
      <c r="R6490">
        <v>0.99993430000000005</v>
      </c>
      <c r="S6490">
        <v>-9.9105830000000006E-2</v>
      </c>
      <c r="T6490">
        <v>-0.2791498</v>
      </c>
      <c r="U6490">
        <v>2.9999389999999999</v>
      </c>
      <c r="V6490">
        <v>4.6785760000000003E-2</v>
      </c>
      <c r="W6490">
        <v>5.1906510000000001E-3</v>
      </c>
      <c r="X6490">
        <v>0.99889150000000004</v>
      </c>
      <c r="Y6490">
        <v>6.5748169999999898E-3</v>
      </c>
      <c r="Z6490">
        <v>-9.2517669999999996E-2</v>
      </c>
      <c r="AA6490">
        <v>0.9956893</v>
      </c>
      <c r="AB6490">
        <v>27</v>
      </c>
      <c r="AC6490">
        <v>-1.0199999999997499E-2</v>
      </c>
      <c r="AD6490">
        <v>-8.6701999999999793E-2</v>
      </c>
      <c r="AE6490">
        <v>0.407200000000003</v>
      </c>
      <c r="AF6490">
        <v>5.6162358925125298E-3</v>
      </c>
      <c r="AG6490">
        <v>-8.6701999999999793E-2</v>
      </c>
      <c r="AH6490">
        <v>0.38963215586550398</v>
      </c>
      <c r="AI6490">
        <v>102.54395088932</v>
      </c>
      <c r="AJ6490">
        <v>89.174184354278907</v>
      </c>
      <c r="AK6490">
        <v>0.39920169813516698</v>
      </c>
    </row>
    <row r="6491" spans="1:37" x14ac:dyDescent="0.2">
      <c r="A6491" t="str">
        <f>"20200111160346376"</f>
        <v>20200111160346376</v>
      </c>
      <c r="B6491" t="str">
        <f>"1578729826369421"</f>
        <v>1578729826369421</v>
      </c>
      <c r="C6491" t="s">
        <v>37</v>
      </c>
      <c r="D6491">
        <v>5.1345679999999998</v>
      </c>
      <c r="E6491">
        <v>0.48754570000000003</v>
      </c>
      <c r="F6491" t="s">
        <v>42</v>
      </c>
      <c r="G6491">
        <v>-188.97909999999999</v>
      </c>
      <c r="H6491">
        <v>1.013773</v>
      </c>
      <c r="I6491">
        <v>102.61279999999999</v>
      </c>
      <c r="J6491">
        <v>-188.9615</v>
      </c>
      <c r="K6491">
        <v>1.1041159999999901</v>
      </c>
      <c r="L6491">
        <v>101.9868</v>
      </c>
      <c r="M6491">
        <v>-3.903508E-2</v>
      </c>
      <c r="N6491">
        <v>0</v>
      </c>
      <c r="O6491">
        <v>0.99913929999999995</v>
      </c>
      <c r="P6491">
        <v>8.3654100000000002E-3</v>
      </c>
      <c r="Q6491">
        <v>-1.258012E-2</v>
      </c>
      <c r="R6491">
        <v>0.99988589999999999</v>
      </c>
      <c r="S6491">
        <v>-9.3170169999999997E-2</v>
      </c>
      <c r="T6491">
        <v>-0.30477359999999998</v>
      </c>
      <c r="U6491">
        <v>2.9981990000000001</v>
      </c>
      <c r="V6491">
        <v>4.7394539999999999E-2</v>
      </c>
      <c r="W6491">
        <v>1.400772E-3</v>
      </c>
      <c r="X6491">
        <v>0.99887530000000002</v>
      </c>
      <c r="Y6491">
        <v>8.1423050000000007E-3</v>
      </c>
      <c r="Z6491">
        <v>-0.10099</v>
      </c>
      <c r="AA6491">
        <v>0.99485419999999902</v>
      </c>
      <c r="AB6491">
        <v>27</v>
      </c>
      <c r="AC6491">
        <v>-1.75999999999874E-2</v>
      </c>
      <c r="AD6491">
        <v>-9.0342999999999798E-2</v>
      </c>
      <c r="AE6491">
        <v>0.62599999999999001</v>
      </c>
      <c r="AF6491">
        <v>6.71209626463123E-3</v>
      </c>
      <c r="AG6491">
        <v>-9.0342999999999798E-2</v>
      </c>
      <c r="AH6491">
        <v>0.61344338432069601</v>
      </c>
      <c r="AI6491">
        <v>98.377343860957296</v>
      </c>
      <c r="AJ6491">
        <v>89.373113393250605</v>
      </c>
      <c r="AK6491">
        <v>0.62009652123850401</v>
      </c>
    </row>
    <row r="6492" spans="1:37" x14ac:dyDescent="0.2">
      <c r="A6492" t="str">
        <f>"20200111160346398"</f>
        <v>20200111160346398</v>
      </c>
      <c r="B6492" t="str">
        <f>"1578729826389917"</f>
        <v>1578729826389917</v>
      </c>
      <c r="C6492" t="s">
        <v>37</v>
      </c>
      <c r="D6492">
        <v>5.0980160000000003</v>
      </c>
      <c r="E6492">
        <v>0.48716870000000001</v>
      </c>
      <c r="F6492" t="s">
        <v>42</v>
      </c>
      <c r="G6492">
        <v>-188.98830000000001</v>
      </c>
      <c r="H6492">
        <v>1.012359</v>
      </c>
      <c r="I6492">
        <v>102.8539</v>
      </c>
      <c r="J6492">
        <v>-188.97120000000001</v>
      </c>
      <c r="K6492">
        <v>1.104001</v>
      </c>
      <c r="L6492">
        <v>102.24720000000001</v>
      </c>
      <c r="M6492">
        <v>-3.8466260000000002E-2</v>
      </c>
      <c r="N6492">
        <v>0</v>
      </c>
      <c r="O6492">
        <v>0.99916139999999998</v>
      </c>
      <c r="P6492">
        <v>8.9985499999999993E-3</v>
      </c>
      <c r="Q6492">
        <v>-1.483311E-2</v>
      </c>
      <c r="R6492">
        <v>0.99984949999999995</v>
      </c>
      <c r="S6492">
        <v>-9.2575069999999995E-2</v>
      </c>
      <c r="T6492">
        <v>-0.31716450000000002</v>
      </c>
      <c r="U6492">
        <v>2.9971009999999998</v>
      </c>
      <c r="V6492">
        <v>4.7455289999999997E-2</v>
      </c>
      <c r="W6492">
        <v>-8.6787759999999996E-4</v>
      </c>
      <c r="X6492">
        <v>0.99887300000000001</v>
      </c>
      <c r="Y6492">
        <v>7.7721650000000001E-3</v>
      </c>
      <c r="Z6492">
        <v>-0.1050934</v>
      </c>
      <c r="AA6492">
        <v>0.99443199999999998</v>
      </c>
      <c r="AB6492">
        <v>27</v>
      </c>
      <c r="AC6492">
        <v>-1.7099999999999199E-2</v>
      </c>
      <c r="AD6492">
        <v>-9.1642000000000001E-2</v>
      </c>
      <c r="AE6492">
        <v>0.60669999999998903</v>
      </c>
      <c r="AF6492">
        <v>6.1130698008907101E-3</v>
      </c>
      <c r="AG6492">
        <v>-9.1642000000000001E-2</v>
      </c>
      <c r="AH6492">
        <v>0.59338084915103695</v>
      </c>
      <c r="AI6492">
        <v>98.778963544963403</v>
      </c>
      <c r="AJ6492">
        <v>89.409753938675493</v>
      </c>
      <c r="AK6492">
        <v>0.60044688185183903</v>
      </c>
    </row>
    <row r="6493" spans="1:37" x14ac:dyDescent="0.2">
      <c r="A6493" t="str">
        <f>"20200111160346421"</f>
        <v>20200111160346421</v>
      </c>
      <c r="B6493" t="str">
        <f>"1578729826409437"</f>
        <v>1578729826409437</v>
      </c>
      <c r="C6493" t="s">
        <v>37</v>
      </c>
      <c r="D6493">
        <v>5.1640860000000002</v>
      </c>
      <c r="E6493">
        <v>0.48674729999999999</v>
      </c>
      <c r="F6493" t="s">
        <v>42</v>
      </c>
      <c r="G6493">
        <v>-188.9973</v>
      </c>
      <c r="H6493">
        <v>1.012195</v>
      </c>
      <c r="I6493">
        <v>103.0955</v>
      </c>
      <c r="J6493">
        <v>-188.9812</v>
      </c>
      <c r="K6493">
        <v>1.103828</v>
      </c>
      <c r="L6493">
        <v>102.5294</v>
      </c>
      <c r="M6493">
        <v>-3.7586540000000002E-2</v>
      </c>
      <c r="N6493">
        <v>0</v>
      </c>
      <c r="O6493">
        <v>0.9991949</v>
      </c>
      <c r="P6493">
        <v>8.908114E-3</v>
      </c>
      <c r="Q6493">
        <v>-1.474781E-2</v>
      </c>
      <c r="R6493">
        <v>0.99985159999999995</v>
      </c>
      <c r="S6493">
        <v>-9.3048099999999995E-2</v>
      </c>
      <c r="T6493">
        <v>-0.32428220000000002</v>
      </c>
      <c r="U6493">
        <v>2.9964599999999999</v>
      </c>
      <c r="V6493">
        <v>4.6485390000000001E-2</v>
      </c>
      <c r="W6493">
        <v>-8.0098679999999903E-4</v>
      </c>
      <c r="X6493">
        <v>0.99891869999999905</v>
      </c>
      <c r="Y6493">
        <v>6.7361779999999998E-3</v>
      </c>
      <c r="Z6493">
        <v>-0.1074531</v>
      </c>
      <c r="AA6493">
        <v>0.99418739999999906</v>
      </c>
      <c r="AB6493">
        <v>27</v>
      </c>
      <c r="AC6493">
        <v>-1.60999999999944E-2</v>
      </c>
      <c r="AD6493">
        <v>-9.1632999999999798E-2</v>
      </c>
      <c r="AE6493">
        <v>0.56610000000000504</v>
      </c>
      <c r="AF6493">
        <v>5.0587755107336201E-3</v>
      </c>
      <c r="AG6493">
        <v>-9.1632999999999798E-2</v>
      </c>
      <c r="AH6493">
        <v>0.55185758193288503</v>
      </c>
      <c r="AI6493">
        <v>99.427254125980298</v>
      </c>
      <c r="AJ6493">
        <v>89.474794987833704</v>
      </c>
      <c r="AK6493">
        <v>0.55943631329712495</v>
      </c>
    </row>
    <row r="6494" spans="1:37" x14ac:dyDescent="0.2">
      <c r="A6494" t="str">
        <f>"20200111160346443"</f>
        <v>20200111160346443</v>
      </c>
      <c r="B6494" t="str">
        <f>"1578729826439693"</f>
        <v>1578729826439693</v>
      </c>
      <c r="C6494" t="s">
        <v>37</v>
      </c>
      <c r="D6494">
        <v>5.1866490000000001</v>
      </c>
      <c r="E6494">
        <v>0.4863497</v>
      </c>
      <c r="F6494" t="s">
        <v>42</v>
      </c>
      <c r="G6494">
        <v>-189.00729999999999</v>
      </c>
      <c r="H6494">
        <v>1.01641</v>
      </c>
      <c r="I6494">
        <v>103.339</v>
      </c>
      <c r="J6494">
        <v>-188.99010000000001</v>
      </c>
      <c r="K6494">
        <v>1.1036319999999999</v>
      </c>
      <c r="L6494">
        <v>102.7962</v>
      </c>
      <c r="M6494">
        <v>-3.6481319999999998E-2</v>
      </c>
      <c r="N6494">
        <v>0</v>
      </c>
      <c r="O6494">
        <v>0.99923589999999995</v>
      </c>
      <c r="P6494">
        <v>9.0916959999999998E-3</v>
      </c>
      <c r="Q6494">
        <v>-1.523093E-2</v>
      </c>
      <c r="R6494">
        <v>0.99984259999999903</v>
      </c>
      <c r="S6494">
        <v>-9.6603389999999997E-2</v>
      </c>
      <c r="T6494">
        <v>-0.32355489999999998</v>
      </c>
      <c r="U6494">
        <v>2.9965519999999999</v>
      </c>
      <c r="V6494">
        <v>4.5562430000000001E-2</v>
      </c>
      <c r="W6494">
        <v>-1.3034159999999999E-3</v>
      </c>
      <c r="X6494">
        <v>0.99896059999999998</v>
      </c>
      <c r="Y6494">
        <v>4.4518270000000002E-3</v>
      </c>
      <c r="Z6494">
        <v>-0.107216899999999</v>
      </c>
      <c r="AA6494">
        <v>0.99422569999999999</v>
      </c>
      <c r="AB6494">
        <v>27</v>
      </c>
      <c r="AC6494">
        <v>-1.7199999999974101E-2</v>
      </c>
      <c r="AD6494">
        <v>-8.7221999999999897E-2</v>
      </c>
      <c r="AE6494">
        <v>0.54279999999999895</v>
      </c>
      <c r="AF6494">
        <v>2.5496908680645099E-3</v>
      </c>
      <c r="AG6494">
        <v>-8.7221999999999897E-2</v>
      </c>
      <c r="AH6494">
        <v>0.52940998395237804</v>
      </c>
      <c r="AI6494">
        <v>99.355513308823404</v>
      </c>
      <c r="AJ6494">
        <v>89.724059989867897</v>
      </c>
      <c r="AK6494">
        <v>0.53655298835807397</v>
      </c>
    </row>
    <row r="6495" spans="1:37" x14ac:dyDescent="0.2">
      <c r="A6495" t="str">
        <f>"20200111160346465"</f>
        <v>20200111160346465</v>
      </c>
      <c r="B6495" t="str">
        <f>"1578729826459911"</f>
        <v>1578729826459911</v>
      </c>
      <c r="C6495" t="s">
        <v>37</v>
      </c>
      <c r="D6495">
        <v>5.3296799999999998</v>
      </c>
      <c r="E6495">
        <v>0.4861374</v>
      </c>
      <c r="F6495" t="s">
        <v>42</v>
      </c>
      <c r="G6495">
        <v>-189.01589999999999</v>
      </c>
      <c r="H6495">
        <v>1.0188200000000001</v>
      </c>
      <c r="I6495">
        <v>103.5814</v>
      </c>
      <c r="J6495">
        <v>-188.99850000000001</v>
      </c>
      <c r="K6495">
        <v>1.1034170000000001</v>
      </c>
      <c r="L6495">
        <v>103.0629</v>
      </c>
      <c r="M6495">
        <v>-3.5101590000000002E-2</v>
      </c>
      <c r="N6495">
        <v>0</v>
      </c>
      <c r="O6495">
        <v>0.99928530000000004</v>
      </c>
      <c r="P6495">
        <v>7.6198339999999998E-3</v>
      </c>
      <c r="Q6495">
        <v>-1.515993E-2</v>
      </c>
      <c r="R6495">
        <v>0.99985609999999903</v>
      </c>
      <c r="S6495">
        <v>-9.9014279999999996E-2</v>
      </c>
      <c r="T6495">
        <v>-0.32361489999999998</v>
      </c>
      <c r="U6495">
        <v>2.996429</v>
      </c>
      <c r="V6495">
        <v>4.271225E-2</v>
      </c>
      <c r="W6495">
        <v>-1.245641E-3</v>
      </c>
      <c r="X6495">
        <v>0.99908660000000005</v>
      </c>
      <c r="Y6495">
        <v>2.2707809999999999E-3</v>
      </c>
      <c r="Z6495">
        <v>-0.1072478</v>
      </c>
      <c r="AA6495">
        <v>0.99422969999999899</v>
      </c>
      <c r="AB6495">
        <v>27</v>
      </c>
      <c r="AC6495">
        <v>-1.7399999999980698E-2</v>
      </c>
      <c r="AD6495">
        <v>-8.4597000000000006E-2</v>
      </c>
      <c r="AE6495">
        <v>0.51850000000000296</v>
      </c>
      <c r="AF6495">
        <v>7.9164018721611298E-4</v>
      </c>
      <c r="AG6495">
        <v>-8.4597000000000006E-2</v>
      </c>
      <c r="AH6495">
        <v>0.50535372084935504</v>
      </c>
      <c r="AI6495">
        <v>99.503274015678201</v>
      </c>
      <c r="AJ6495">
        <v>89.910245828520701</v>
      </c>
      <c r="AK6495">
        <v>0.51238624325744098</v>
      </c>
    </row>
    <row r="6496" spans="1:37" x14ac:dyDescent="0.2">
      <c r="A6496" t="str">
        <f>"20200111160346488"</f>
        <v>20200111160346488</v>
      </c>
      <c r="B6496" t="str">
        <f>"1578729826479432"</f>
        <v>1578729826479432</v>
      </c>
      <c r="C6496" t="s">
        <v>37</v>
      </c>
      <c r="D6496">
        <v>5.147602</v>
      </c>
      <c r="E6496">
        <v>0.47838130000000001</v>
      </c>
      <c r="F6496" t="s">
        <v>42</v>
      </c>
      <c r="G6496">
        <v>-189.02510000000001</v>
      </c>
      <c r="H6496">
        <v>1.021415</v>
      </c>
      <c r="I6496">
        <v>103.82380000000001</v>
      </c>
      <c r="J6496">
        <v>-189.00630000000001</v>
      </c>
      <c r="K6496">
        <v>1.103197</v>
      </c>
      <c r="L6496">
        <v>103.3359</v>
      </c>
      <c r="M6496">
        <v>-3.3391160000000003E-2</v>
      </c>
      <c r="N6496">
        <v>0</v>
      </c>
      <c r="O6496">
        <v>0.9993438</v>
      </c>
      <c r="P6496">
        <v>5.9791559999999898E-3</v>
      </c>
      <c r="Q6496">
        <v>-1.4816009999999999E-2</v>
      </c>
      <c r="R6496">
        <v>0.99987239999999999</v>
      </c>
      <c r="S6496">
        <v>-0.105072</v>
      </c>
      <c r="T6496">
        <v>-0.32290180000000002</v>
      </c>
      <c r="U6496">
        <v>2.9963229999999998</v>
      </c>
      <c r="V6496">
        <v>3.9363490000000001E-2</v>
      </c>
      <c r="W6496">
        <v>-9.1039300000000001E-4</v>
      </c>
      <c r="X6496">
        <v>0.99922449999999996</v>
      </c>
      <c r="Y6496">
        <v>-1.4505659999999999E-3</v>
      </c>
      <c r="Z6496">
        <v>-0.1070238</v>
      </c>
      <c r="AA6496">
        <v>0.99425540000000001</v>
      </c>
      <c r="AB6496">
        <v>27</v>
      </c>
      <c r="AC6496">
        <v>-1.87999999999988E-2</v>
      </c>
      <c r="AD6496">
        <v>-8.1781999999999994E-2</v>
      </c>
      <c r="AE6496">
        <v>0.48790000000000999</v>
      </c>
      <c r="AF6496">
        <v>-2.4282382796180901E-3</v>
      </c>
      <c r="AG6496">
        <v>-8.1781999999999994E-2</v>
      </c>
      <c r="AH6496">
        <v>0.47493151026104102</v>
      </c>
      <c r="AI6496">
        <v>99.770244235620396</v>
      </c>
      <c r="AJ6496">
        <v>90.292940328822993</v>
      </c>
      <c r="AK6496">
        <v>0.48192751664952299</v>
      </c>
    </row>
    <row r="6497" spans="1:37" x14ac:dyDescent="0.2">
      <c r="A6497" t="str">
        <f>"20200111160346511"</f>
        <v>20200111160346511</v>
      </c>
      <c r="B6497" t="str">
        <f>"1578729826499926"</f>
        <v>1578729826499926</v>
      </c>
      <c r="C6497" t="s">
        <v>37</v>
      </c>
      <c r="D6497">
        <v>5.3498779999999897</v>
      </c>
      <c r="E6497">
        <v>0.47843950000000002</v>
      </c>
      <c r="F6497" t="s">
        <v>42</v>
      </c>
      <c r="G6497">
        <v>-189.0479</v>
      </c>
      <c r="H6497">
        <v>1.030627</v>
      </c>
      <c r="I6497">
        <v>104.072</v>
      </c>
      <c r="J6497">
        <v>-189.01329999999999</v>
      </c>
      <c r="K6497">
        <v>1.1029799999999901</v>
      </c>
      <c r="L6497">
        <v>103.6126</v>
      </c>
      <c r="M6497">
        <v>-3.1322019999999999E-2</v>
      </c>
      <c r="N6497">
        <v>0</v>
      </c>
      <c r="O6497">
        <v>0.99941069999999999</v>
      </c>
      <c r="P6497">
        <v>4.3003800000000003E-3</v>
      </c>
      <c r="Q6497">
        <v>-1.3792820000000001E-2</v>
      </c>
      <c r="R6497">
        <v>0.9998956</v>
      </c>
      <c r="S6497">
        <v>-0.1698761</v>
      </c>
      <c r="T6497">
        <v>-0.29541859999999998</v>
      </c>
      <c r="U6497">
        <v>2.9970400000000001</v>
      </c>
      <c r="V6497">
        <v>3.5620699999999998E-2</v>
      </c>
      <c r="W6497">
        <v>1.109283E-4</v>
      </c>
      <c r="X6497">
        <v>0.99936539999999996</v>
      </c>
      <c r="Y6497">
        <v>-2.5015659999999999E-2</v>
      </c>
      <c r="Z6497">
        <v>-9.7929669999999996E-2</v>
      </c>
      <c r="AA6497">
        <v>0.99487890000000001</v>
      </c>
      <c r="AB6497">
        <v>27</v>
      </c>
      <c r="AC6497">
        <v>-3.4600000000011698E-2</v>
      </c>
      <c r="AD6497">
        <v>-7.2352999999999806E-2</v>
      </c>
      <c r="AE6497">
        <v>0.45940000000000197</v>
      </c>
      <c r="AF6497">
        <v>-1.97062185903241E-2</v>
      </c>
      <c r="AG6497">
        <v>-7.2352999999999806E-2</v>
      </c>
      <c r="AH6497">
        <v>0.44917955131272902</v>
      </c>
      <c r="AI6497">
        <v>99.141852091885895</v>
      </c>
      <c r="AJ6497">
        <v>92.512045794114599</v>
      </c>
      <c r="AK6497">
        <v>0.455396048487066</v>
      </c>
    </row>
    <row r="6498" spans="1:37" x14ac:dyDescent="0.2">
      <c r="A6498" t="str">
        <f>"20200111160346532"</f>
        <v>20200111160346532</v>
      </c>
      <c r="B6498" t="str">
        <f>"1578729826530184"</f>
        <v>1578729826530184</v>
      </c>
      <c r="C6498" t="s">
        <v>37</v>
      </c>
      <c r="D6498">
        <v>5.2150280000000002</v>
      </c>
      <c r="E6498">
        <v>0.4789968</v>
      </c>
      <c r="F6498" t="s">
        <v>42</v>
      </c>
      <c r="G6498">
        <v>-189.06739999999999</v>
      </c>
      <c r="H6498">
        <v>1.0121869999999999</v>
      </c>
      <c r="I6498">
        <v>104.5415</v>
      </c>
      <c r="J6498">
        <v>-189.0189</v>
      </c>
      <c r="K6498">
        <v>1.1028039999999999</v>
      </c>
      <c r="L6498">
        <v>103.8604</v>
      </c>
      <c r="M6498">
        <v>-2.921232E-2</v>
      </c>
      <c r="N6498">
        <v>0</v>
      </c>
      <c r="O6498">
        <v>0.99947459999999899</v>
      </c>
      <c r="P6498">
        <v>2.85124099999999E-3</v>
      </c>
      <c r="Q6498">
        <v>-1.234116E-2</v>
      </c>
      <c r="R6498">
        <v>0.99991980000000003</v>
      </c>
      <c r="S6498">
        <v>-0.1744995</v>
      </c>
      <c r="T6498">
        <v>-0.29292499999999999</v>
      </c>
      <c r="U6498">
        <v>2.9970249999999998</v>
      </c>
      <c r="V6498">
        <v>3.2069309999999997E-2</v>
      </c>
      <c r="W6498">
        <v>1.56575799999999E-3</v>
      </c>
      <c r="X6498">
        <v>0.99948440000000005</v>
      </c>
      <c r="Y6498">
        <v>-2.8660370000000001E-2</v>
      </c>
      <c r="Z6498">
        <v>-9.7111669999999997E-2</v>
      </c>
      <c r="AA6498">
        <v>0.99486079999999999</v>
      </c>
      <c r="AB6498">
        <v>27</v>
      </c>
      <c r="AC6498">
        <v>-4.8499999999989898E-2</v>
      </c>
      <c r="AD6498">
        <v>-9.0616999999999906E-2</v>
      </c>
      <c r="AE6498">
        <v>0.68110000000000004</v>
      </c>
      <c r="AF6498">
        <v>-2.80861795741515E-2</v>
      </c>
      <c r="AG6498">
        <v>-9.0616999999999906E-2</v>
      </c>
      <c r="AH6498">
        <v>0.67041899509348601</v>
      </c>
      <c r="AI6498">
        <v>97.691051430698394</v>
      </c>
      <c r="AJ6498">
        <v>92.398916389439606</v>
      </c>
      <c r="AK6498">
        <v>0.677098148833853</v>
      </c>
    </row>
    <row r="6499" spans="1:37" x14ac:dyDescent="0.2">
      <c r="A6499" t="str">
        <f>"20200111160346555"</f>
        <v>20200111160346555</v>
      </c>
      <c r="B6499" t="str">
        <f>"1578729826549633"</f>
        <v>1578729826549633</v>
      </c>
      <c r="C6499" t="s">
        <v>37</v>
      </c>
      <c r="D6499">
        <v>5.2311319999999997</v>
      </c>
      <c r="E6499">
        <v>0.47945840000000001</v>
      </c>
      <c r="F6499" t="s">
        <v>42</v>
      </c>
      <c r="G6499">
        <v>-189.0727</v>
      </c>
      <c r="H6499">
        <v>1.012311</v>
      </c>
      <c r="I6499">
        <v>104.782</v>
      </c>
      <c r="J6499">
        <v>-189.02430000000001</v>
      </c>
      <c r="K6499">
        <v>1.102643</v>
      </c>
      <c r="L6499">
        <v>104.14319999999999</v>
      </c>
      <c r="M6499">
        <v>-2.6571230000000001E-2</v>
      </c>
      <c r="N6499">
        <v>0</v>
      </c>
      <c r="O6499">
        <v>0.99954829999999995</v>
      </c>
      <c r="P6499">
        <v>2.8719279999999902E-3</v>
      </c>
      <c r="Q6499">
        <v>-1.142636E-2</v>
      </c>
      <c r="R6499">
        <v>0.9999306</v>
      </c>
      <c r="S6499">
        <v>-0.17500309999999999</v>
      </c>
      <c r="T6499">
        <v>-0.29428799999999999</v>
      </c>
      <c r="U6499">
        <v>2.9971009999999998</v>
      </c>
      <c r="V6499">
        <v>2.9454029999999999E-2</v>
      </c>
      <c r="W6499">
        <v>2.4841439999999898E-3</v>
      </c>
      <c r="X6499">
        <v>0.99956299999999898</v>
      </c>
      <c r="Y6499">
        <v>-3.1464099999999898E-2</v>
      </c>
      <c r="Z6499">
        <v>-9.7562990000000002E-2</v>
      </c>
      <c r="AA6499">
        <v>0.99473180000000005</v>
      </c>
      <c r="AB6499">
        <v>27</v>
      </c>
      <c r="AC6499">
        <v>-4.83999999999866E-2</v>
      </c>
      <c r="AD6499">
        <v>-9.0331999999999996E-2</v>
      </c>
      <c r="AE6499">
        <v>0.63880000000001702</v>
      </c>
      <c r="AF6499">
        <v>-3.0795250833124E-2</v>
      </c>
      <c r="AG6499">
        <v>-9.0331999999999996E-2</v>
      </c>
      <c r="AH6499">
        <v>0.62738667065488796</v>
      </c>
      <c r="AI6499">
        <v>98.183499506385104</v>
      </c>
      <c r="AJ6499">
        <v>92.810105775956302</v>
      </c>
      <c r="AK6499">
        <v>0.63460401213142303</v>
      </c>
    </row>
    <row r="6500" spans="1:37" x14ac:dyDescent="0.2">
      <c r="A6500" t="str">
        <f>"20200111160346576"</f>
        <v>20200111160346576</v>
      </c>
      <c r="B6500" t="str">
        <f>"1578729826570117"</f>
        <v>1578729826570117</v>
      </c>
      <c r="C6500" t="s">
        <v>37</v>
      </c>
      <c r="D6500">
        <v>5.1445150000000002</v>
      </c>
      <c r="E6500">
        <v>0.48022179999999998</v>
      </c>
      <c r="F6500" t="s">
        <v>42</v>
      </c>
      <c r="G6500">
        <v>-189.07470000000001</v>
      </c>
      <c r="H6500">
        <v>1.015774</v>
      </c>
      <c r="I6500">
        <v>105.02419999999999</v>
      </c>
      <c r="J6500">
        <v>-189.0284</v>
      </c>
      <c r="K6500">
        <v>1.1025199999999999</v>
      </c>
      <c r="L6500">
        <v>104.4055</v>
      </c>
      <c r="M6500">
        <v>-2.3944440000000001E-2</v>
      </c>
      <c r="N6500">
        <v>0</v>
      </c>
      <c r="O6500">
        <v>0.99961460000000002</v>
      </c>
      <c r="P6500">
        <v>4.9088529999999899E-3</v>
      </c>
      <c r="Q6500">
        <v>-1.1932089999999999E-2</v>
      </c>
      <c r="R6500">
        <v>0.99991669999999999</v>
      </c>
      <c r="S6500">
        <v>-0.17198179999999999</v>
      </c>
      <c r="T6500">
        <v>-0.29548009999999902</v>
      </c>
      <c r="U6500">
        <v>2.9973299999999998</v>
      </c>
      <c r="V6500">
        <v>2.88618E-2</v>
      </c>
      <c r="W6500">
        <v>1.9753599999999998E-3</v>
      </c>
      <c r="X6500">
        <v>0.99958150000000001</v>
      </c>
      <c r="Y6500">
        <v>-3.3084669999999997E-2</v>
      </c>
      <c r="Z6500">
        <v>-9.7956989999999994E-2</v>
      </c>
      <c r="AA6500">
        <v>0.99464050000000004</v>
      </c>
      <c r="AB6500">
        <v>27</v>
      </c>
      <c r="AC6500">
        <v>-4.6300000000002201E-2</v>
      </c>
      <c r="AD6500">
        <v>-8.6746000000000198E-2</v>
      </c>
      <c r="AE6500">
        <v>0.61869999999998904</v>
      </c>
      <c r="AF6500">
        <v>-3.0867424233973501E-2</v>
      </c>
      <c r="AG6500">
        <v>-8.6746000000000198E-2</v>
      </c>
      <c r="AH6500">
        <v>0.60775070297324796</v>
      </c>
      <c r="AI6500">
        <v>98.112806515541095</v>
      </c>
      <c r="AJ6500">
        <v>92.907532225867897</v>
      </c>
      <c r="AK6500">
        <v>0.61468575984751495</v>
      </c>
    </row>
    <row r="6501" spans="1:37" x14ac:dyDescent="0.2">
      <c r="A6501" t="str">
        <f>"20200111160346599"</f>
        <v>20200111160346599</v>
      </c>
      <c r="B6501" t="str">
        <f>"1578729826589638"</f>
        <v>1578729826589638</v>
      </c>
      <c r="C6501" t="s">
        <v>37</v>
      </c>
      <c r="D6501">
        <v>5.125343</v>
      </c>
      <c r="E6501">
        <v>0.48057849999999902</v>
      </c>
      <c r="F6501" t="s">
        <v>42</v>
      </c>
      <c r="G6501">
        <v>-189.07429999999999</v>
      </c>
      <c r="H6501">
        <v>1.016894</v>
      </c>
      <c r="I6501">
        <v>105.2646</v>
      </c>
      <c r="J6501">
        <v>-189.0318</v>
      </c>
      <c r="K6501">
        <v>1.1024240000000001</v>
      </c>
      <c r="L6501">
        <v>104.6742</v>
      </c>
      <c r="M6501">
        <v>-2.1101499999999999E-2</v>
      </c>
      <c r="N6501">
        <v>0</v>
      </c>
      <c r="O6501">
        <v>0.99967859999999997</v>
      </c>
      <c r="P6501">
        <v>8.2104169999999994E-3</v>
      </c>
      <c r="Q6501">
        <v>-1.208326E-2</v>
      </c>
      <c r="R6501">
        <v>0.99989329999999998</v>
      </c>
      <c r="S6501">
        <v>-0.16027829999999901</v>
      </c>
      <c r="T6501">
        <v>-0.29872939999999998</v>
      </c>
      <c r="U6501">
        <v>2.99748199999999</v>
      </c>
      <c r="V6501">
        <v>2.931924E-2</v>
      </c>
      <c r="W6501">
        <v>1.8170510000000001E-3</v>
      </c>
      <c r="X6501">
        <v>0.99956849999999997</v>
      </c>
      <c r="Y6501">
        <v>-3.2046789999999999E-2</v>
      </c>
      <c r="Z6501">
        <v>-9.9040420000000004E-2</v>
      </c>
      <c r="AA6501">
        <v>0.99456719999999899</v>
      </c>
      <c r="AB6501">
        <v>27</v>
      </c>
      <c r="AC6501">
        <v>-4.2499999999989699E-2</v>
      </c>
      <c r="AD6501">
        <v>-8.5530000000000106E-2</v>
      </c>
      <c r="AE6501">
        <v>0.59040000000000203</v>
      </c>
      <c r="AF6501">
        <v>-2.94168003471122E-2</v>
      </c>
      <c r="AG6501">
        <v>-8.5530000000000106E-2</v>
      </c>
      <c r="AH6501">
        <v>0.579075187017005</v>
      </c>
      <c r="AI6501">
        <v>98.391233561794394</v>
      </c>
      <c r="AJ6501">
        <v>92.908104081957902</v>
      </c>
      <c r="AK6501">
        <v>0.58609623890743501</v>
      </c>
    </row>
    <row r="6502" spans="1:37" x14ac:dyDescent="0.2">
      <c r="A6502" t="str">
        <f>"20200111160346621"</f>
        <v>20200111160346621</v>
      </c>
      <c r="B6502" t="str">
        <f>"1578729826619893"</f>
        <v>1578729826619893</v>
      </c>
      <c r="C6502" t="s">
        <v>37</v>
      </c>
      <c r="D6502">
        <v>5.0961600000000002</v>
      </c>
      <c r="E6502">
        <v>0.48122929999999903</v>
      </c>
      <c r="F6502" t="s">
        <v>42</v>
      </c>
      <c r="G6502">
        <v>-189.0727</v>
      </c>
      <c r="H6502">
        <v>1.019485</v>
      </c>
      <c r="I6502">
        <v>105.5059</v>
      </c>
      <c r="J6502">
        <v>-189.0342</v>
      </c>
      <c r="K6502">
        <v>1.1023449999999999</v>
      </c>
      <c r="L6502">
        <v>104.94240000000001</v>
      </c>
      <c r="M6502">
        <v>-1.8145129999999999E-2</v>
      </c>
      <c r="N6502">
        <v>0</v>
      </c>
      <c r="O6502">
        <v>0.99973659999999998</v>
      </c>
      <c r="P6502">
        <v>1.172526E-2</v>
      </c>
      <c r="Q6502">
        <v>-9.7792290000000004E-3</v>
      </c>
      <c r="R6502">
        <v>0.99988339999999998</v>
      </c>
      <c r="S6502">
        <v>-0.14785770000000001</v>
      </c>
      <c r="T6502">
        <v>-0.29889539999999998</v>
      </c>
      <c r="U6502">
        <v>2.997925</v>
      </c>
      <c r="V6502">
        <v>2.9889699999999901E-2</v>
      </c>
      <c r="W6502">
        <v>4.1134880000000002E-3</v>
      </c>
      <c r="X6502">
        <v>0.99954469999999995</v>
      </c>
      <c r="Y6502">
        <v>-3.088461E-2</v>
      </c>
      <c r="Z6502">
        <v>-9.9101250000000002E-2</v>
      </c>
      <c r="AA6502">
        <v>0.99459799999999998</v>
      </c>
      <c r="AB6502">
        <v>27</v>
      </c>
      <c r="AC6502">
        <v>-3.8499999999999E-2</v>
      </c>
      <c r="AD6502">
        <v>-8.28600000000001E-2</v>
      </c>
      <c r="AE6502">
        <v>0.56349999999999001</v>
      </c>
      <c r="AF6502">
        <v>-2.7672310629683401E-2</v>
      </c>
      <c r="AG6502">
        <v>-8.28600000000001E-2</v>
      </c>
      <c r="AH6502">
        <v>0.55222105143812406</v>
      </c>
      <c r="AI6502">
        <v>98.522952379047496</v>
      </c>
      <c r="AJ6502">
        <v>92.8687451801744</v>
      </c>
      <c r="AK6502">
        <v>0.55908820952244498</v>
      </c>
    </row>
    <row r="6503" spans="1:37" x14ac:dyDescent="0.2">
      <c r="A6503" t="str">
        <f>"20200111160346644"</f>
        <v>20200111160346644</v>
      </c>
      <c r="B6503" t="str">
        <f>"1578729826639413"</f>
        <v>1578729826639413</v>
      </c>
      <c r="C6503" t="s">
        <v>37</v>
      </c>
      <c r="D6503">
        <v>5.3552980000000003</v>
      </c>
      <c r="E6503">
        <v>0.4837882</v>
      </c>
      <c r="F6503" t="s">
        <v>42</v>
      </c>
      <c r="G6503">
        <v>-189.06970000000001</v>
      </c>
      <c r="H6503">
        <v>1.024178</v>
      </c>
      <c r="I6503">
        <v>105.7488</v>
      </c>
      <c r="J6503">
        <v>-189.03579999999999</v>
      </c>
      <c r="K6503">
        <v>1.1022889999999901</v>
      </c>
      <c r="L6503">
        <v>105.20310000000001</v>
      </c>
      <c r="M6503">
        <v>-1.519088E-2</v>
      </c>
      <c r="N6503">
        <v>0</v>
      </c>
      <c r="O6503">
        <v>0.99978579999999995</v>
      </c>
      <c r="P6503">
        <v>1.5651700000000001E-2</v>
      </c>
      <c r="Q6503">
        <v>-7.2154659999999898E-3</v>
      </c>
      <c r="R6503">
        <v>0.999851499999999</v>
      </c>
      <c r="S6503">
        <v>-0.13208010000000001</v>
      </c>
      <c r="T6503">
        <v>-0.2907112</v>
      </c>
      <c r="U6503">
        <v>2.9990540000000001</v>
      </c>
      <c r="V6503">
        <v>3.0875860000000001E-2</v>
      </c>
      <c r="W6503">
        <v>6.6683439999999997E-3</v>
      </c>
      <c r="X6503">
        <v>0.99950099999999997</v>
      </c>
      <c r="Y6503">
        <v>-2.861027E-2</v>
      </c>
      <c r="Z6503">
        <v>-9.6399449999999998E-2</v>
      </c>
      <c r="AA6503">
        <v>0.99493149999999997</v>
      </c>
      <c r="AB6503">
        <v>27</v>
      </c>
      <c r="AC6503">
        <v>-3.3900000000016903E-2</v>
      </c>
      <c r="AD6503">
        <v>-7.8110999999999806E-2</v>
      </c>
      <c r="AE6503">
        <v>0.54569999999999597</v>
      </c>
      <c r="AF6503">
        <v>-2.5093447166518099E-2</v>
      </c>
      <c r="AG6503">
        <v>-7.8110999999999806E-2</v>
      </c>
      <c r="AH6503">
        <v>0.53522802044100104</v>
      </c>
      <c r="AI6503">
        <v>98.294126961797005</v>
      </c>
      <c r="AJ6503">
        <v>92.684270106924998</v>
      </c>
      <c r="AK6503">
        <v>0.54147949478894497</v>
      </c>
    </row>
    <row r="6504" spans="1:37" x14ac:dyDescent="0.2">
      <c r="A6504" t="str">
        <f>"20200111160346666"</f>
        <v>20200111160346666</v>
      </c>
      <c r="B6504" t="str">
        <f>"1578729826659442"</f>
        <v>1578729826659442</v>
      </c>
      <c r="C6504" t="s">
        <v>37</v>
      </c>
      <c r="D6504">
        <v>5.2732839999999896</v>
      </c>
      <c r="E6504">
        <v>0.48647790000000002</v>
      </c>
      <c r="F6504" t="s">
        <v>42</v>
      </c>
      <c r="G6504">
        <v>-189.06180000000001</v>
      </c>
      <c r="H6504">
        <v>1.030653</v>
      </c>
      <c r="I6504">
        <v>105.9922</v>
      </c>
      <c r="J6504">
        <v>-189.03639999999999</v>
      </c>
      <c r="K6504">
        <v>1.102233</v>
      </c>
      <c r="L6504">
        <v>105.47369999999999</v>
      </c>
      <c r="M6504">
        <v>-1.2064170000000001E-2</v>
      </c>
      <c r="N6504">
        <v>0</v>
      </c>
      <c r="O6504">
        <v>0.99982850000000001</v>
      </c>
      <c r="P6504">
        <v>1.9767420000000001E-2</v>
      </c>
      <c r="Q6504">
        <v>-6.6080469999999997E-3</v>
      </c>
      <c r="R6504">
        <v>0.99978269999999902</v>
      </c>
      <c r="S6504">
        <v>-9.9365229999999999E-2</v>
      </c>
      <c r="T6504">
        <v>-0.27231650000000002</v>
      </c>
      <c r="U6504">
        <v>3.0000309999999999</v>
      </c>
      <c r="V6504">
        <v>3.1868760000000003E-2</v>
      </c>
      <c r="W6504">
        <v>7.2672369999999898E-3</v>
      </c>
      <c r="X6504">
        <v>0.99946559999999995</v>
      </c>
      <c r="Y6504">
        <v>-2.0906689999999999E-2</v>
      </c>
      <c r="Z6504">
        <v>-9.03553E-2</v>
      </c>
      <c r="AA6504">
        <v>0.99569010000000002</v>
      </c>
      <c r="AB6504">
        <v>27</v>
      </c>
      <c r="AC6504">
        <v>-2.5400000000018901E-2</v>
      </c>
      <c r="AD6504">
        <v>-7.1579999999999894E-2</v>
      </c>
      <c r="AE6504">
        <v>0.51850000000000296</v>
      </c>
      <c r="AF6504">
        <v>-1.87851049624135E-2</v>
      </c>
      <c r="AG6504">
        <v>-7.1579999999999894E-2</v>
      </c>
      <c r="AH6504">
        <v>0.50908952776412697</v>
      </c>
      <c r="AI6504">
        <v>97.998173667610303</v>
      </c>
      <c r="AJ6504">
        <v>92.113221907011294</v>
      </c>
      <c r="AK6504">
        <v>0.51444020434599702</v>
      </c>
    </row>
    <row r="6505" spans="1:37" x14ac:dyDescent="0.2">
      <c r="A6505" t="str">
        <f>"20200111160346688"</f>
        <v>20200111160346688</v>
      </c>
      <c r="B6505" t="str">
        <f>"1578729826679937"</f>
        <v>1578729826679937</v>
      </c>
      <c r="C6505" t="s">
        <v>37</v>
      </c>
      <c r="D6505">
        <v>5.3682230000000004</v>
      </c>
      <c r="E6505">
        <v>0.5616198</v>
      </c>
      <c r="F6505" t="s">
        <v>42</v>
      </c>
      <c r="G6505">
        <v>-189.05289999999999</v>
      </c>
      <c r="H6505">
        <v>1.0333909999999999</v>
      </c>
      <c r="I6505">
        <v>106.2321</v>
      </c>
      <c r="J6505">
        <v>-189.03620000000001</v>
      </c>
      <c r="K6505">
        <v>1.1021829999999999</v>
      </c>
      <c r="L6505">
        <v>105.74160000000001</v>
      </c>
      <c r="M6505">
        <v>-8.9182879999999999E-3</v>
      </c>
      <c r="N6505">
        <v>0</v>
      </c>
      <c r="O6505">
        <v>0.99986140000000001</v>
      </c>
      <c r="P6505">
        <v>2.447326E-2</v>
      </c>
      <c r="Q6505">
        <v>-8.2971390000000003E-3</v>
      </c>
      <c r="R6505">
        <v>0.99966599999999906</v>
      </c>
      <c r="S6505">
        <v>-6.5628049999999993E-2</v>
      </c>
      <c r="T6505">
        <v>-0.27227380000000001</v>
      </c>
      <c r="U6505">
        <v>3.0001530000000001</v>
      </c>
      <c r="V6505">
        <v>3.3419820000000003E-2</v>
      </c>
      <c r="W6505">
        <v>5.5663939999999997E-3</v>
      </c>
      <c r="X6505">
        <v>0.99942589999999998</v>
      </c>
      <c r="Y6505">
        <v>-1.28622999999999E-2</v>
      </c>
      <c r="Z6505">
        <v>-9.0362059999999994E-2</v>
      </c>
      <c r="AA6505">
        <v>0.99582590000000004</v>
      </c>
      <c r="AB6505">
        <v>27</v>
      </c>
      <c r="AC6505">
        <v>-1.66999999999859E-2</v>
      </c>
      <c r="AD6505">
        <v>-6.8791999999999895E-2</v>
      </c>
      <c r="AE6505">
        <v>0.49049999999999699</v>
      </c>
      <c r="AF6505">
        <v>-1.20870104570224E-2</v>
      </c>
      <c r="AG6505">
        <v>-6.8791999999999895E-2</v>
      </c>
      <c r="AH6505">
        <v>0.48117581195852699</v>
      </c>
      <c r="AI6505">
        <v>98.1337086776756</v>
      </c>
      <c r="AJ6505">
        <v>91.438952375859003</v>
      </c>
      <c r="AK6505">
        <v>0.486218672101079</v>
      </c>
    </row>
    <row r="6506" spans="1:37" x14ac:dyDescent="0.2">
      <c r="A6506" t="str">
        <f>"20200111160346712"</f>
        <v>20200111160346712</v>
      </c>
      <c r="B6506" t="str">
        <f>"1578729826710195"</f>
        <v>1578729826710195</v>
      </c>
      <c r="C6506" t="s">
        <v>37</v>
      </c>
      <c r="D6506">
        <v>5.8072480000000004</v>
      </c>
      <c r="E6506">
        <v>0.56627109999999903</v>
      </c>
      <c r="F6506" t="s">
        <v>42</v>
      </c>
      <c r="G6506">
        <v>-188.90369999999999</v>
      </c>
      <c r="H6506">
        <v>1.025139</v>
      </c>
      <c r="I6506">
        <v>106.46510000000001</v>
      </c>
      <c r="J6506">
        <v>-189.035</v>
      </c>
      <c r="K6506">
        <v>1.1021399999999999</v>
      </c>
      <c r="L6506">
        <v>106.0123</v>
      </c>
      <c r="M6506">
        <v>-5.6941689999999998E-3</v>
      </c>
      <c r="N6506">
        <v>0</v>
      </c>
      <c r="O6506">
        <v>0.99988500000000002</v>
      </c>
      <c r="P6506">
        <v>2.9392740000000001E-2</v>
      </c>
      <c r="Q6506">
        <v>-1.026085E-2</v>
      </c>
      <c r="R6506">
        <v>0.9995153</v>
      </c>
      <c r="S6506">
        <v>0.54626459999999999</v>
      </c>
      <c r="T6506">
        <v>-0.31785150000000001</v>
      </c>
      <c r="U6506">
        <v>2.984985</v>
      </c>
      <c r="V6506">
        <v>3.5104919999999998E-2</v>
      </c>
      <c r="W6506">
        <v>3.59040099999999E-3</v>
      </c>
      <c r="X6506">
        <v>0.99937719999999897</v>
      </c>
      <c r="Y6506">
        <v>0.18463470000000001</v>
      </c>
      <c r="Z6506">
        <v>-0.104116899999999</v>
      </c>
      <c r="AA6506">
        <v>0.9772767</v>
      </c>
      <c r="AB6506">
        <v>27</v>
      </c>
      <c r="AC6506">
        <v>0.13130000000000999</v>
      </c>
      <c r="AD6506">
        <v>-7.7000999999999806E-2</v>
      </c>
      <c r="AE6506">
        <v>0.45280000000000997</v>
      </c>
      <c r="AF6506">
        <v>0.13039798091736701</v>
      </c>
      <c r="AG6506">
        <v>-7.7000999999999806E-2</v>
      </c>
      <c r="AH6506">
        <v>0.44029961522352901</v>
      </c>
      <c r="AI6506">
        <v>99.519027103990197</v>
      </c>
      <c r="AJ6506">
        <v>73.502955791694902</v>
      </c>
      <c r="AK6506">
        <v>0.46561415205544798</v>
      </c>
    </row>
    <row r="6507" spans="1:37" x14ac:dyDescent="0.2">
      <c r="A6507" t="str">
        <f>"20200111160346732"</f>
        <v>20200111160346732</v>
      </c>
      <c r="B6507" t="str">
        <f>"1578729826729714"</f>
        <v>1578729826729714</v>
      </c>
      <c r="C6507" t="s">
        <v>37</v>
      </c>
      <c r="D6507">
        <v>5.396687</v>
      </c>
      <c r="E6507">
        <v>0.56467590000000001</v>
      </c>
      <c r="F6507" t="s">
        <v>38</v>
      </c>
      <c r="G6507">
        <v>-186.75110000000001</v>
      </c>
      <c r="H6507" s="1">
        <v>-3.8860429999999999E-6</v>
      </c>
      <c r="I6507">
        <v>117.3479</v>
      </c>
      <c r="J6507">
        <v>-189.03309999999999</v>
      </c>
      <c r="K6507">
        <v>1.102112</v>
      </c>
      <c r="L6507">
        <v>106.262</v>
      </c>
      <c r="M6507">
        <v>-2.6893080000000001E-3</v>
      </c>
      <c r="N6507">
        <v>0</v>
      </c>
      <c r="O6507">
        <v>0.99989760000000005</v>
      </c>
      <c r="P6507">
        <v>3.4530789999999999E-2</v>
      </c>
      <c r="Q6507">
        <v>-1.135281E-2</v>
      </c>
      <c r="R6507">
        <v>0.99933919999999998</v>
      </c>
      <c r="S6507">
        <v>0.60058590000000001</v>
      </c>
      <c r="T6507">
        <v>-0.28982409999999997</v>
      </c>
      <c r="U6507">
        <v>2.9808349999999999</v>
      </c>
      <c r="V6507">
        <v>3.7233099999999998E-2</v>
      </c>
      <c r="W6507">
        <v>2.4841439999999898E-3</v>
      </c>
      <c r="X6507">
        <v>0.99930350000000001</v>
      </c>
      <c r="Y6507">
        <v>0.199258399999999</v>
      </c>
      <c r="Z6507">
        <v>-9.4857689999999995E-2</v>
      </c>
      <c r="AA6507">
        <v>0.97534509999999996</v>
      </c>
      <c r="AB6507">
        <v>27</v>
      </c>
      <c r="AC6507">
        <v>2.28199999999998</v>
      </c>
      <c r="AD6507">
        <v>-1.102115886043</v>
      </c>
      <c r="AE6507">
        <v>11.085899999999899</v>
      </c>
      <c r="AF6507">
        <v>2.2900939453050899</v>
      </c>
      <c r="AG6507">
        <v>-1.102115886043</v>
      </c>
      <c r="AH6507">
        <v>10.975653664084</v>
      </c>
      <c r="AI6507">
        <v>95.614006112736206</v>
      </c>
      <c r="AJ6507">
        <v>78.214204132053695</v>
      </c>
      <c r="AK6507">
        <v>11.266062446947201</v>
      </c>
    </row>
    <row r="6508" spans="1:37" x14ac:dyDescent="0.2">
      <c r="A6508" t="str">
        <f>"20200111160346755"</f>
        <v>20200111160346755</v>
      </c>
      <c r="B6508" t="str">
        <f>"1578729826750210"</f>
        <v>1578729826750210</v>
      </c>
      <c r="C6508" t="s">
        <v>37</v>
      </c>
      <c r="D6508">
        <v>5.3578239999999999</v>
      </c>
      <c r="E6508">
        <v>0.56302289999999999</v>
      </c>
      <c r="F6508" t="s">
        <v>42</v>
      </c>
      <c r="G6508">
        <v>-188.84819999999999</v>
      </c>
      <c r="H6508">
        <v>1.010858</v>
      </c>
      <c r="I6508">
        <v>107.17489999999999</v>
      </c>
      <c r="J6508">
        <v>-189.03020000000001</v>
      </c>
      <c r="K6508">
        <v>1.102106</v>
      </c>
      <c r="L6508">
        <v>106.52589999999999</v>
      </c>
      <c r="M6508">
        <v>5.105954E-4</v>
      </c>
      <c r="N6508">
        <v>0</v>
      </c>
      <c r="O6508">
        <v>0.99990109999999999</v>
      </c>
      <c r="P6508">
        <v>3.9971279999999998E-2</v>
      </c>
      <c r="Q6508">
        <v>-1.13599999999999E-2</v>
      </c>
      <c r="R6508">
        <v>0.99913629999999998</v>
      </c>
      <c r="S6508">
        <v>0.60296629999999996</v>
      </c>
      <c r="T6508">
        <v>-0.29768909999999998</v>
      </c>
      <c r="U6508">
        <v>2.9777529999999999</v>
      </c>
      <c r="V6508">
        <v>3.9475719999999999E-2</v>
      </c>
      <c r="W6508">
        <v>2.4612560000000002E-3</v>
      </c>
      <c r="X6508">
        <v>0.99921749999999998</v>
      </c>
      <c r="Y6508">
        <v>0.1970161</v>
      </c>
      <c r="Z6508">
        <v>-9.7520460000000003E-2</v>
      </c>
      <c r="AA6508">
        <v>0.97553799999999902</v>
      </c>
      <c r="AB6508">
        <v>26</v>
      </c>
      <c r="AC6508">
        <v>0.18200000000001601</v>
      </c>
      <c r="AD6508">
        <v>-9.1247999999999996E-2</v>
      </c>
      <c r="AE6508">
        <v>0.64900000000000002</v>
      </c>
      <c r="AF6508">
        <v>0.17839913136185201</v>
      </c>
      <c r="AG6508">
        <v>-9.1247999999999996E-2</v>
      </c>
      <c r="AH6508">
        <v>0.63741131979451504</v>
      </c>
      <c r="AI6508">
        <v>97.849119690892906</v>
      </c>
      <c r="AJ6508">
        <v>74.364091775032094</v>
      </c>
      <c r="AK6508">
        <v>0.66816587624395196</v>
      </c>
    </row>
    <row r="6509" spans="1:37" x14ac:dyDescent="0.2">
      <c r="A6509" t="str">
        <f>"20200111160346778"</f>
        <v>20200111160346778</v>
      </c>
      <c r="B6509" t="str">
        <f>"1578729826769730"</f>
        <v>1578729826769730</v>
      </c>
      <c r="C6509" t="s">
        <v>37</v>
      </c>
      <c r="D6509">
        <v>5.400506</v>
      </c>
      <c r="E6509">
        <v>0.56266070000000001</v>
      </c>
      <c r="F6509" t="s">
        <v>42</v>
      </c>
      <c r="G6509">
        <v>-188.84790000000001</v>
      </c>
      <c r="H6509">
        <v>1.0176190000000001</v>
      </c>
      <c r="I6509">
        <v>107.4191</v>
      </c>
      <c r="J6509">
        <v>-189.02610000000001</v>
      </c>
      <c r="K6509">
        <v>1.1021030000000001</v>
      </c>
      <c r="L6509">
        <v>106.8069</v>
      </c>
      <c r="M6509">
        <v>3.9438750000000003E-3</v>
      </c>
      <c r="N6509">
        <v>0</v>
      </c>
      <c r="O6509">
        <v>0.99989340000000004</v>
      </c>
      <c r="P6509">
        <v>4.5396180000000001E-2</v>
      </c>
      <c r="Q6509">
        <v>-1.136275E-2</v>
      </c>
      <c r="R6509">
        <v>0.99890449999999997</v>
      </c>
      <c r="S6509">
        <v>0.60667419999999905</v>
      </c>
      <c r="T6509">
        <v>-0.28137479999999998</v>
      </c>
      <c r="U6509">
        <v>2.9751129999999999</v>
      </c>
      <c r="V6509">
        <v>4.1470550000000002E-2</v>
      </c>
      <c r="W6509">
        <v>2.445044E-3</v>
      </c>
      <c r="X6509">
        <v>0.99913669999999999</v>
      </c>
      <c r="Y6509">
        <v>0.19508539999999999</v>
      </c>
      <c r="Z6509">
        <v>-9.2308979999999999E-2</v>
      </c>
      <c r="AA6509">
        <v>0.97643269999999904</v>
      </c>
      <c r="AB6509">
        <v>26</v>
      </c>
      <c r="AC6509">
        <v>0.17820000000000299</v>
      </c>
      <c r="AD6509">
        <v>-8.4484000000000004E-2</v>
      </c>
      <c r="AE6509">
        <v>0.61220000000000097</v>
      </c>
      <c r="AF6509">
        <v>0.17275100844740399</v>
      </c>
      <c r="AG6509">
        <v>-8.4484000000000004E-2</v>
      </c>
      <c r="AH6509">
        <v>0.60232333461729404</v>
      </c>
      <c r="AI6509">
        <v>97.6787541382744</v>
      </c>
      <c r="AJ6509">
        <v>73.996697615011897</v>
      </c>
      <c r="AK6509">
        <v>0.63227672470216101</v>
      </c>
    </row>
    <row r="6510" spans="1:37" x14ac:dyDescent="0.2">
      <c r="A6510" t="str">
        <f>"20200111160346800"</f>
        <v>20200111160346800</v>
      </c>
      <c r="B6510" t="str">
        <f>"1578729826790225"</f>
        <v>1578729826790225</v>
      </c>
      <c r="C6510" t="s">
        <v>37</v>
      </c>
      <c r="D6510">
        <v>5.397303</v>
      </c>
      <c r="E6510">
        <v>0.56201449999999997</v>
      </c>
      <c r="F6510" t="s">
        <v>42</v>
      </c>
      <c r="G6510">
        <v>-188.84970000000001</v>
      </c>
      <c r="H6510">
        <v>1.020194</v>
      </c>
      <c r="I6510">
        <v>107.6527</v>
      </c>
      <c r="J6510">
        <v>-189.0215</v>
      </c>
      <c r="K6510">
        <v>1.102101</v>
      </c>
      <c r="L6510">
        <v>107.06950000000001</v>
      </c>
      <c r="M6510">
        <v>7.1760900000000004E-3</v>
      </c>
      <c r="N6510">
        <v>0</v>
      </c>
      <c r="O6510">
        <v>0.99987549999999903</v>
      </c>
      <c r="P6510">
        <v>4.9466490000000002E-2</v>
      </c>
      <c r="Q6510">
        <v>-1.124199E-2</v>
      </c>
      <c r="R6510">
        <v>0.9987125</v>
      </c>
      <c r="S6510">
        <v>0.61932369999999903</v>
      </c>
      <c r="T6510">
        <v>-0.28773109999999902</v>
      </c>
      <c r="U6510">
        <v>2.9718779999999998</v>
      </c>
      <c r="V6510">
        <v>4.2313049999999998E-2</v>
      </c>
      <c r="W6510">
        <v>2.5590079999999898E-3</v>
      </c>
      <c r="X6510">
        <v>0.99910109999999996</v>
      </c>
      <c r="Y6510">
        <v>0.19606960000000001</v>
      </c>
      <c r="Z6510">
        <v>-9.4423590000000002E-2</v>
      </c>
      <c r="AA6510">
        <v>0.97603329999999999</v>
      </c>
      <c r="AB6510">
        <v>26</v>
      </c>
      <c r="AC6510">
        <v>0.17179999999998999</v>
      </c>
      <c r="AD6510">
        <v>-8.1906999999999897E-2</v>
      </c>
      <c r="AE6510">
        <v>0.58319999999998995</v>
      </c>
      <c r="AF6510">
        <v>0.16462224564550099</v>
      </c>
      <c r="AG6510">
        <v>-8.1906999999999897E-2</v>
      </c>
      <c r="AH6510">
        <v>0.574000106679732</v>
      </c>
      <c r="AI6510">
        <v>97.810260603595296</v>
      </c>
      <c r="AJ6510">
        <v>73.997199461567405</v>
      </c>
      <c r="AK6510">
        <v>0.60273158443764296</v>
      </c>
    </row>
    <row r="6511" spans="1:37" x14ac:dyDescent="0.2">
      <c r="A6511" t="str">
        <f>"20200111160346822"</f>
        <v>20200111160346822</v>
      </c>
      <c r="B6511" t="str">
        <f>"1578729826819506"</f>
        <v>1578729826819506</v>
      </c>
      <c r="C6511" t="s">
        <v>37</v>
      </c>
      <c r="D6511">
        <v>5.3626370000000003</v>
      </c>
      <c r="E6511">
        <v>0.5606236</v>
      </c>
      <c r="F6511" t="s">
        <v>42</v>
      </c>
      <c r="G6511">
        <v>-188.8485</v>
      </c>
      <c r="H6511">
        <v>1.0218609999999999</v>
      </c>
      <c r="I6511">
        <v>107.8891</v>
      </c>
      <c r="J6511">
        <v>-189.01599999999999</v>
      </c>
      <c r="K6511">
        <v>1.1020969999999899</v>
      </c>
      <c r="L6511">
        <v>107.3312</v>
      </c>
      <c r="M6511">
        <v>1.0422499999999999E-2</v>
      </c>
      <c r="N6511">
        <v>0</v>
      </c>
      <c r="O6511">
        <v>0.99984689999999998</v>
      </c>
      <c r="P6511">
        <v>5.2209699999999998E-2</v>
      </c>
      <c r="Q6511">
        <v>-1.146616E-2</v>
      </c>
      <c r="R6511">
        <v>0.99857030000000002</v>
      </c>
      <c r="S6511">
        <v>0.62625120000000001</v>
      </c>
      <c r="T6511">
        <v>-0.29064269999999998</v>
      </c>
      <c r="U6511">
        <v>2.9695740000000002</v>
      </c>
      <c r="V6511">
        <v>4.18124E-2</v>
      </c>
      <c r="W6511">
        <v>2.3363250000000002E-3</v>
      </c>
      <c r="X6511">
        <v>0.99912269999999903</v>
      </c>
      <c r="Y6511">
        <v>0.19519890000000001</v>
      </c>
      <c r="Z6511">
        <v>-9.5423939999999999E-2</v>
      </c>
      <c r="AA6511">
        <v>0.97611049999999999</v>
      </c>
      <c r="AB6511">
        <v>26</v>
      </c>
      <c r="AC6511">
        <v>0.16749999999998899</v>
      </c>
      <c r="AD6511">
        <v>-8.0235999999999696E-2</v>
      </c>
      <c r="AE6511">
        <v>0.55790000000000295</v>
      </c>
      <c r="AF6511">
        <v>0.1586652055927</v>
      </c>
      <c r="AG6511">
        <v>-8.0235999999999696E-2</v>
      </c>
      <c r="AH6511">
        <v>0.54919556299028605</v>
      </c>
      <c r="AI6511">
        <v>97.989680579109404</v>
      </c>
      <c r="AJ6511">
        <v>73.885743115900596</v>
      </c>
      <c r="AK6511">
        <v>0.57725923948429902</v>
      </c>
    </row>
    <row r="6512" spans="1:37" x14ac:dyDescent="0.2">
      <c r="A6512" t="str">
        <f>"20200111160346844"</f>
        <v>20200111160346844</v>
      </c>
      <c r="B6512" t="str">
        <f>"1578729826840002"</f>
        <v>1578729826840002</v>
      </c>
      <c r="C6512" t="s">
        <v>37</v>
      </c>
      <c r="D6512">
        <v>5.5271280000000003</v>
      </c>
      <c r="E6512">
        <v>0.55937000000000003</v>
      </c>
      <c r="F6512" t="s">
        <v>42</v>
      </c>
      <c r="G6512">
        <v>-188.8486</v>
      </c>
      <c r="H6512">
        <v>1.0265610000000001</v>
      </c>
      <c r="I6512">
        <v>108.1272</v>
      </c>
      <c r="J6512">
        <v>-189.00970000000001</v>
      </c>
      <c r="K6512">
        <v>1.102079</v>
      </c>
      <c r="L6512">
        <v>107.58710000000001</v>
      </c>
      <c r="M6512">
        <v>1.361629E-2</v>
      </c>
      <c r="N6512">
        <v>0</v>
      </c>
      <c r="O6512">
        <v>0.99980849999999899</v>
      </c>
      <c r="P6512">
        <v>5.3828519999999998E-2</v>
      </c>
      <c r="Q6512">
        <v>-1.1354370000000001E-2</v>
      </c>
      <c r="R6512">
        <v>0.99848559999999997</v>
      </c>
      <c r="S6512">
        <v>0.62403869999999995</v>
      </c>
      <c r="T6512">
        <v>-0.28167529999999902</v>
      </c>
      <c r="U6512">
        <v>2.9684300000000001</v>
      </c>
      <c r="V6512">
        <v>4.0241409999999998E-2</v>
      </c>
      <c r="W6512">
        <v>2.4564879999999902E-3</v>
      </c>
      <c r="X6512">
        <v>0.99918700000000005</v>
      </c>
      <c r="Y6512">
        <v>0.1914999</v>
      </c>
      <c r="Z6512">
        <v>-9.2576179999999994E-2</v>
      </c>
      <c r="AA6512">
        <v>0.97711689999999995</v>
      </c>
      <c r="AB6512">
        <v>26</v>
      </c>
      <c r="AC6512">
        <v>0.16110000000000399</v>
      </c>
      <c r="AD6512">
        <v>-7.5517999999999905E-2</v>
      </c>
      <c r="AE6512">
        <v>0.54009999999999503</v>
      </c>
      <c r="AF6512">
        <v>0.151018936068615</v>
      </c>
      <c r="AG6512">
        <v>-7.5517999999999905E-2</v>
      </c>
      <c r="AH6512">
        <v>0.53268051335371902</v>
      </c>
      <c r="AI6512">
        <v>97.766888724175203</v>
      </c>
      <c r="AJ6512">
        <v>74.171567485680995</v>
      </c>
      <c r="AK6512">
        <v>0.55880069495490003</v>
      </c>
    </row>
    <row r="6513" spans="1:37" x14ac:dyDescent="0.2">
      <c r="A6513" t="str">
        <f>"20200111160346869"</f>
        <v>20200111160346869</v>
      </c>
      <c r="B6513" t="str">
        <f>"1578729826859521"</f>
        <v>1578729826859521</v>
      </c>
      <c r="C6513" t="s">
        <v>37</v>
      </c>
      <c r="D6513">
        <v>5.3816540000000002</v>
      </c>
      <c r="E6513">
        <v>0.55841640000000003</v>
      </c>
      <c r="F6513" t="s">
        <v>42</v>
      </c>
      <c r="G6513">
        <v>-188.84829999999999</v>
      </c>
      <c r="H6513">
        <v>1.0271330000000001</v>
      </c>
      <c r="I6513">
        <v>108.3616</v>
      </c>
      <c r="J6513">
        <v>-189.0016</v>
      </c>
      <c r="K6513">
        <v>1.102069</v>
      </c>
      <c r="L6513">
        <v>107.878999999999</v>
      </c>
      <c r="M6513">
        <v>1.7278539999999998E-2</v>
      </c>
      <c r="N6513">
        <v>0</v>
      </c>
      <c r="O6513">
        <v>0.99975190000000003</v>
      </c>
      <c r="P6513">
        <v>5.559323E-2</v>
      </c>
      <c r="Q6513">
        <v>-1.055437E-2</v>
      </c>
      <c r="R6513">
        <v>0.99839769999999906</v>
      </c>
      <c r="S6513">
        <v>0.61845399999999995</v>
      </c>
      <c r="T6513">
        <v>-0.28717779999999998</v>
      </c>
      <c r="U6513">
        <v>2.9679570000000002</v>
      </c>
      <c r="V6513">
        <v>3.8351959999999997E-2</v>
      </c>
      <c r="W6513">
        <v>3.2666309999999999E-3</v>
      </c>
      <c r="X6513">
        <v>0.99925889999999995</v>
      </c>
      <c r="Y6513">
        <v>0.18613669999999999</v>
      </c>
      <c r="Z6513">
        <v>-9.444197E-2</v>
      </c>
      <c r="AA6513">
        <v>0.97797440000000002</v>
      </c>
      <c r="AB6513">
        <v>26</v>
      </c>
      <c r="AC6513">
        <v>0.15330000000000099</v>
      </c>
      <c r="AD6513">
        <v>-7.4935999999999794E-2</v>
      </c>
      <c r="AE6513">
        <v>0.48260000000000502</v>
      </c>
      <c r="AF6513">
        <v>0.14183146288224099</v>
      </c>
      <c r="AG6513">
        <v>-7.4935999999999794E-2</v>
      </c>
      <c r="AH6513">
        <v>0.47477903777192498</v>
      </c>
      <c r="AI6513">
        <v>98.5996591097025</v>
      </c>
      <c r="AJ6513">
        <v>73.3674566733321</v>
      </c>
      <c r="AK6513">
        <v>0.50114539074698805</v>
      </c>
    </row>
    <row r="6514" spans="1:37" x14ac:dyDescent="0.2">
      <c r="A6514" t="str">
        <f>"20200111160346913"</f>
        <v>20200111160346913</v>
      </c>
      <c r="B6514" t="str">
        <f>"1578729826909297"</f>
        <v>1578729826909297</v>
      </c>
      <c r="C6514" t="s">
        <v>37</v>
      </c>
      <c r="D6514">
        <v>5.7559979999999999</v>
      </c>
      <c r="E6514">
        <v>0.55744179999999999</v>
      </c>
      <c r="F6514" t="s">
        <v>42</v>
      </c>
      <c r="G6514">
        <v>-188.85220000000001</v>
      </c>
      <c r="H6514">
        <v>1.03194599999999</v>
      </c>
      <c r="I6514">
        <v>108.5992</v>
      </c>
      <c r="J6514">
        <v>-188.98480000000001</v>
      </c>
      <c r="K6514">
        <v>1.102069</v>
      </c>
      <c r="L6514">
        <v>108.38890000000001</v>
      </c>
      <c r="M6514">
        <v>2.3710470000000001E-2</v>
      </c>
      <c r="N6514">
        <v>0</v>
      </c>
      <c r="O6514">
        <v>0.99962009999999901</v>
      </c>
      <c r="P6514">
        <v>5.9963219999999998E-2</v>
      </c>
      <c r="Q6514">
        <v>-1.012206E-2</v>
      </c>
      <c r="R6514">
        <v>0.99814930000000002</v>
      </c>
      <c r="S6514">
        <v>0.61569209999999996</v>
      </c>
      <c r="T6514">
        <v>-0.28891790000000001</v>
      </c>
      <c r="U6514">
        <v>2.9674680000000002</v>
      </c>
      <c r="V6514">
        <v>3.629955E-2</v>
      </c>
      <c r="W6514">
        <v>3.7096109999999998E-3</v>
      </c>
      <c r="X6514">
        <v>0.9993341</v>
      </c>
      <c r="Y6514">
        <v>0.1789588</v>
      </c>
      <c r="Z6514">
        <v>-9.5078099999999999E-2</v>
      </c>
      <c r="AA6514">
        <v>0.97925169999999995</v>
      </c>
      <c r="AB6514">
        <v>26</v>
      </c>
      <c r="AC6514">
        <v>0.132599999999996</v>
      </c>
      <c r="AD6514">
        <v>-7.0123000000000102E-2</v>
      </c>
      <c r="AE6514">
        <v>0.210299999999989</v>
      </c>
      <c r="AF6514">
        <v>0.118174478273466</v>
      </c>
      <c r="AG6514">
        <v>-7.0123000000000102E-2</v>
      </c>
      <c r="AH6514">
        <v>0.19766022328992</v>
      </c>
      <c r="AI6514">
        <v>106.935229316727</v>
      </c>
      <c r="AJ6514">
        <v>59.126199643407197</v>
      </c>
      <c r="AK6514">
        <v>0.240732229490002</v>
      </c>
    </row>
    <row r="6515" spans="1:37" x14ac:dyDescent="0.2">
      <c r="A6515" t="str">
        <f>"20200111160346933"</f>
        <v>20200111160346933</v>
      </c>
      <c r="B6515" t="str">
        <f>"1578729826929793"</f>
        <v>1578729826929793</v>
      </c>
      <c r="C6515" t="s">
        <v>37</v>
      </c>
      <c r="D6515">
        <v>6.7983440000000002</v>
      </c>
      <c r="E6515">
        <v>0.55744179999999999</v>
      </c>
      <c r="F6515" t="s">
        <v>42</v>
      </c>
      <c r="G6515">
        <v>-188.79480000000001</v>
      </c>
      <c r="H6515">
        <v>1.015085</v>
      </c>
      <c r="I6515">
        <v>109.2942</v>
      </c>
      <c r="J6515">
        <v>-188.97540000000001</v>
      </c>
      <c r="K6515">
        <v>1.1020729999999901</v>
      </c>
      <c r="L6515">
        <v>108.6375</v>
      </c>
      <c r="M6515">
        <v>2.6853180000000001E-2</v>
      </c>
      <c r="N6515">
        <v>0</v>
      </c>
      <c r="O6515">
        <v>0.999540599999999</v>
      </c>
      <c r="P6515">
        <v>6.2652120000000006E-2</v>
      </c>
      <c r="Q6515">
        <v>-1.054503E-2</v>
      </c>
      <c r="R6515">
        <v>0.99797969999999903</v>
      </c>
      <c r="S6515">
        <v>0.62162779999999995</v>
      </c>
      <c r="T6515">
        <v>-0.28481220000000002</v>
      </c>
      <c r="U6515">
        <v>2.9653320000000001</v>
      </c>
      <c r="V6515">
        <v>3.5847560000000001E-2</v>
      </c>
      <c r="W6515">
        <v>3.2885649999999998E-3</v>
      </c>
      <c r="X6515">
        <v>0.99935189999999996</v>
      </c>
      <c r="Y6515">
        <v>0.17790989999999901</v>
      </c>
      <c r="Z6515">
        <v>-9.3783679999999994E-2</v>
      </c>
      <c r="AA6515">
        <v>0.97956759999999998</v>
      </c>
      <c r="AB6515">
        <v>26</v>
      </c>
      <c r="AC6515">
        <v>0.18059999999999801</v>
      </c>
      <c r="AD6515">
        <v>-8.6987999999999802E-2</v>
      </c>
      <c r="AE6515">
        <v>0.65669999999999995</v>
      </c>
      <c r="AF6515">
        <v>0.16028399872990301</v>
      </c>
      <c r="AG6515">
        <v>-8.6987999999999802E-2</v>
      </c>
      <c r="AH6515">
        <v>0.65069876189408105</v>
      </c>
      <c r="AI6515">
        <v>97.395865486411495</v>
      </c>
      <c r="AJ6515">
        <v>76.162051257396101</v>
      </c>
      <c r="AK6515">
        <v>0.67577122691287905</v>
      </c>
    </row>
    <row r="6516" spans="1:37" x14ac:dyDescent="0.2">
      <c r="A6516" t="str">
        <f>"20200111160346956"</f>
        <v>20200111160346956</v>
      </c>
      <c r="B6516" t="str">
        <f>"1578729826949313"</f>
        <v>1578729826949313</v>
      </c>
      <c r="C6516" t="s">
        <v>37</v>
      </c>
      <c r="D6516">
        <v>6.0436040000000002</v>
      </c>
      <c r="E6516">
        <v>0.55987200000000004</v>
      </c>
      <c r="F6516" t="s">
        <v>42</v>
      </c>
      <c r="G6516">
        <v>-188.78579999999999</v>
      </c>
      <c r="H6516">
        <v>1.0164040000000001</v>
      </c>
      <c r="I6516">
        <v>109.5288</v>
      </c>
      <c r="J6516">
        <v>-188.96430000000001</v>
      </c>
      <c r="K6516">
        <v>1.1020779999999999</v>
      </c>
      <c r="L6516">
        <v>108.90430000000001</v>
      </c>
      <c r="M6516">
        <v>3.022828E-2</v>
      </c>
      <c r="N6516">
        <v>0</v>
      </c>
      <c r="O6516">
        <v>0.99944429999999995</v>
      </c>
      <c r="P6516">
        <v>6.6019770000000005E-2</v>
      </c>
      <c r="Q6516">
        <v>-1.060937E-2</v>
      </c>
      <c r="R6516">
        <v>0.99776189999999998</v>
      </c>
      <c r="S6516">
        <v>0.63038640000000001</v>
      </c>
      <c r="T6516">
        <v>-0.28483779999999997</v>
      </c>
      <c r="U6516">
        <v>2.96347</v>
      </c>
      <c r="V6516">
        <v>3.5845170000000003E-2</v>
      </c>
      <c r="W6516">
        <v>3.2222850000000001E-3</v>
      </c>
      <c r="X6516">
        <v>0.99935219999999902</v>
      </c>
      <c r="Y6516">
        <v>0.177482</v>
      </c>
      <c r="Z6516">
        <v>-9.3811210000000006E-2</v>
      </c>
      <c r="AA6516">
        <v>0.97964259999999903</v>
      </c>
      <c r="AB6516">
        <v>26</v>
      </c>
      <c r="AC6516">
        <v>0.17850000000001301</v>
      </c>
      <c r="AD6516">
        <v>-8.5674E-2</v>
      </c>
      <c r="AE6516">
        <v>0.62449999999999695</v>
      </c>
      <c r="AF6516">
        <v>0.15681062324782</v>
      </c>
      <c r="AG6516">
        <v>-8.5674E-2</v>
      </c>
      <c r="AH6516">
        <v>0.61884351121547398</v>
      </c>
      <c r="AI6516">
        <v>97.643468936891097</v>
      </c>
      <c r="AJ6516">
        <v>75.780933274812398</v>
      </c>
      <c r="AK6516">
        <v>0.64412490808294898</v>
      </c>
    </row>
    <row r="6517" spans="1:37" x14ac:dyDescent="0.2">
      <c r="A6517" t="str">
        <f>"20200111160347001"</f>
        <v>20200111160347001</v>
      </c>
      <c r="B6517" t="str">
        <f>"1578729826990305"</f>
        <v>1578729826990305</v>
      </c>
      <c r="C6517" t="s">
        <v>37</v>
      </c>
      <c r="D6517">
        <v>6.09335</v>
      </c>
      <c r="E6517">
        <v>0.62752680000000005</v>
      </c>
      <c r="F6517" t="s">
        <v>42</v>
      </c>
      <c r="G6517">
        <v>-188.7715</v>
      </c>
      <c r="H6517">
        <v>1.0217540000000001</v>
      </c>
      <c r="I6517">
        <v>109.76730000000001</v>
      </c>
      <c r="J6517">
        <v>-188.94049999999999</v>
      </c>
      <c r="K6517">
        <v>1.1021019999999999</v>
      </c>
      <c r="L6517">
        <v>109.4213</v>
      </c>
      <c r="M6517">
        <v>3.6762379999999997E-2</v>
      </c>
      <c r="N6517">
        <v>0</v>
      </c>
      <c r="O6517">
        <v>0.99922540000000004</v>
      </c>
      <c r="P6517">
        <v>7.2776549999999995E-2</v>
      </c>
      <c r="Q6517">
        <v>-8.1713759999999993E-3</v>
      </c>
      <c r="R6517">
        <v>0.99731479999999995</v>
      </c>
      <c r="S6517">
        <v>0.66076659999999998</v>
      </c>
      <c r="T6517">
        <v>-0.27542349999999999</v>
      </c>
      <c r="U6517">
        <v>2.9600979999999999</v>
      </c>
      <c r="V6517">
        <v>3.6093090000000001E-2</v>
      </c>
      <c r="W6517">
        <v>5.6555609999999999E-3</v>
      </c>
      <c r="X6517">
        <v>0.99933240000000001</v>
      </c>
      <c r="Y6517">
        <v>0.1809355</v>
      </c>
      <c r="Z6517">
        <v>-9.0681339999999999E-2</v>
      </c>
      <c r="AA6517">
        <v>0.97930550000000005</v>
      </c>
      <c r="AB6517">
        <v>26</v>
      </c>
      <c r="AC6517">
        <v>0.168999999999982</v>
      </c>
      <c r="AD6517">
        <v>-8.0348000000000003E-2</v>
      </c>
      <c r="AE6517">
        <v>0.34600000000000303</v>
      </c>
      <c r="AF6517">
        <v>0.14964915881253599</v>
      </c>
      <c r="AG6517">
        <v>-8.0348000000000003E-2</v>
      </c>
      <c r="AH6517">
        <v>0.33729414588850098</v>
      </c>
      <c r="AI6517">
        <v>102.28408416683099</v>
      </c>
      <c r="AJ6517">
        <v>66.074310197482703</v>
      </c>
      <c r="AK6517">
        <v>0.37764800103794199</v>
      </c>
    </row>
    <row r="6518" spans="1:37" x14ac:dyDescent="0.2">
      <c r="A6518" t="str">
        <f>"20200111160347022"</f>
        <v>20200111160347022</v>
      </c>
      <c r="B6518" t="str">
        <f>"1578729827019586"</f>
        <v>1578729827019586</v>
      </c>
      <c r="C6518" t="s">
        <v>37</v>
      </c>
      <c r="D6518">
        <v>5.4627850000000002</v>
      </c>
      <c r="E6518">
        <v>0.62490919999999905</v>
      </c>
      <c r="F6518" t="s">
        <v>78</v>
      </c>
      <c r="G6518">
        <v>-165.12010000000001</v>
      </c>
      <c r="H6518">
        <v>5.0096989999999897</v>
      </c>
      <c r="I6518">
        <v>165.14429999999999</v>
      </c>
      <c r="J6518">
        <v>-188.92750000000001</v>
      </c>
      <c r="K6518">
        <v>1.1021099999999999</v>
      </c>
      <c r="L6518">
        <v>109.6751</v>
      </c>
      <c r="M6518">
        <v>3.9968459999999997E-2</v>
      </c>
      <c r="N6518">
        <v>0</v>
      </c>
      <c r="O6518">
        <v>0.9991023</v>
      </c>
      <c r="P6518">
        <v>7.6391689999999998E-2</v>
      </c>
      <c r="Q6518">
        <v>-7.8021729999999999E-3</v>
      </c>
      <c r="R6518">
        <v>0.99704740000000003</v>
      </c>
      <c r="S6518">
        <v>1.247681</v>
      </c>
      <c r="T6518">
        <v>0.204675</v>
      </c>
      <c r="U6518">
        <v>2.918701</v>
      </c>
      <c r="V6518">
        <v>3.6511269999999998E-2</v>
      </c>
      <c r="W6518">
        <v>6.0203349999999999E-3</v>
      </c>
      <c r="X6518">
        <v>0.99931510000000001</v>
      </c>
      <c r="Y6518">
        <v>0.35517729999999997</v>
      </c>
      <c r="Z6518">
        <v>6.4768640000000002E-2</v>
      </c>
      <c r="AA6518">
        <v>0.93255250000000001</v>
      </c>
      <c r="AB6518">
        <v>26</v>
      </c>
      <c r="AC6518">
        <v>23.807400000000001</v>
      </c>
      <c r="AD6518">
        <v>3.90758899999999</v>
      </c>
      <c r="AE6518">
        <v>55.469200000000001</v>
      </c>
      <c r="AF6518">
        <v>21.481115304196599</v>
      </c>
      <c r="AG6518">
        <v>3.90758899999999</v>
      </c>
      <c r="AH6518">
        <v>56.1412372820729</v>
      </c>
      <c r="AI6518">
        <v>86.280622567117305</v>
      </c>
      <c r="AJ6518">
        <v>69.061833626060803</v>
      </c>
      <c r="AK6518">
        <v>60.2374143706976</v>
      </c>
    </row>
    <row r="6519" spans="1:37" x14ac:dyDescent="0.2">
      <c r="A6519" t="str">
        <f>"20200111160347045"</f>
        <v>20200111160347045</v>
      </c>
      <c r="B6519" t="str">
        <f>"1578729827040082"</f>
        <v>1578729827040082</v>
      </c>
      <c r="C6519" t="s">
        <v>37</v>
      </c>
      <c r="D6519">
        <v>5.4248479999999999</v>
      </c>
      <c r="E6519">
        <v>0.61428179999999999</v>
      </c>
      <c r="F6519" t="s">
        <v>67</v>
      </c>
      <c r="G6519">
        <v>-163.9838</v>
      </c>
      <c r="H6519">
        <v>4.6321639999999897</v>
      </c>
      <c r="I6519">
        <v>168.52189999999999</v>
      </c>
      <c r="J6519">
        <v>-188.91329999999999</v>
      </c>
      <c r="K6519">
        <v>1.10212</v>
      </c>
      <c r="L6519">
        <v>109.9379</v>
      </c>
      <c r="M6519">
        <v>4.3288449999999999E-2</v>
      </c>
      <c r="N6519">
        <v>0</v>
      </c>
      <c r="O6519">
        <v>0.99896399999999996</v>
      </c>
      <c r="P6519">
        <v>8.0355739999999995E-2</v>
      </c>
      <c r="Q6519">
        <v>-8.625977E-3</v>
      </c>
      <c r="R6519">
        <v>0.99672890000000003</v>
      </c>
      <c r="S6519">
        <v>1.23584</v>
      </c>
      <c r="T6519">
        <v>0.17489869999999999</v>
      </c>
      <c r="U6519">
        <v>2.91557299999999</v>
      </c>
      <c r="V6519">
        <v>3.715951E-2</v>
      </c>
      <c r="W6519">
        <v>5.1906510000000001E-3</v>
      </c>
      <c r="X6519">
        <v>0.99929590000000001</v>
      </c>
      <c r="Y6519">
        <v>0.3494372</v>
      </c>
      <c r="Z6519">
        <v>5.5526350000000002E-2</v>
      </c>
      <c r="AA6519">
        <v>0.93531299999999995</v>
      </c>
      <c r="AB6519">
        <v>26</v>
      </c>
      <c r="AC6519">
        <v>24.929499999999901</v>
      </c>
      <c r="AD6519">
        <v>3.5300440000000002</v>
      </c>
      <c r="AE6519">
        <v>58.583999999999897</v>
      </c>
      <c r="AF6519">
        <v>22.301309175277499</v>
      </c>
      <c r="AG6519">
        <v>3.5300440000000002</v>
      </c>
      <c r="AH6519">
        <v>59.4256566405614</v>
      </c>
      <c r="AI6519">
        <v>86.816755163674301</v>
      </c>
      <c r="AJ6519">
        <v>69.429849937453398</v>
      </c>
      <c r="AK6519">
        <v>63.570577067816103</v>
      </c>
    </row>
    <row r="6520" spans="1:37" x14ac:dyDescent="0.2">
      <c r="A6520" t="str">
        <f>"20200111160347068"</f>
        <v>20200111160347068</v>
      </c>
      <c r="B6520" t="str">
        <f>"1578729827059601"</f>
        <v>1578729827059601</v>
      </c>
      <c r="C6520" t="s">
        <v>37</v>
      </c>
      <c r="D6520">
        <v>5.467263</v>
      </c>
      <c r="E6520">
        <v>0.61454339999999996</v>
      </c>
      <c r="F6520" t="s">
        <v>38</v>
      </c>
      <c r="G6520">
        <v>-185.6448</v>
      </c>
      <c r="H6520" s="1">
        <v>-4.5213140000000002E-6</v>
      </c>
      <c r="I6520">
        <v>118.3712</v>
      </c>
      <c r="J6520">
        <v>-188.8974</v>
      </c>
      <c r="K6520">
        <v>1.1021289999999999</v>
      </c>
      <c r="L6520">
        <v>110.21380000000001</v>
      </c>
      <c r="M6520">
        <v>4.6772460000000002E-2</v>
      </c>
      <c r="N6520">
        <v>0</v>
      </c>
      <c r="O6520">
        <v>0.998807</v>
      </c>
      <c r="P6520">
        <v>8.4035650000000003E-2</v>
      </c>
      <c r="Q6520">
        <v>-9.0473429999999994E-3</v>
      </c>
      <c r="R6520">
        <v>0.99642169999999897</v>
      </c>
      <c r="S6520">
        <v>1.1299440000000001</v>
      </c>
      <c r="T6520">
        <v>-0.38101220000000002</v>
      </c>
      <c r="U6520">
        <v>2.915451</v>
      </c>
      <c r="V6520">
        <v>3.7361650000000003E-2</v>
      </c>
      <c r="W6520">
        <v>4.7653180000000002E-3</v>
      </c>
      <c r="X6520">
        <v>0.99929049999999997</v>
      </c>
      <c r="Y6520">
        <v>0.31468469999999998</v>
      </c>
      <c r="Z6520">
        <v>-0.1217463</v>
      </c>
      <c r="AA6520">
        <v>0.94135609999999903</v>
      </c>
      <c r="AB6520">
        <v>26</v>
      </c>
      <c r="AC6520">
        <v>3.2526000000000002</v>
      </c>
      <c r="AD6520">
        <v>-1.102133521314</v>
      </c>
      <c r="AE6520">
        <v>8.1573999999999902</v>
      </c>
      <c r="AF6520">
        <v>2.8229974623364602</v>
      </c>
      <c r="AG6520">
        <v>-1.102133521314</v>
      </c>
      <c r="AH6520">
        <v>8.1719081950554795</v>
      </c>
      <c r="AI6520">
        <v>97.264687342156193</v>
      </c>
      <c r="AJ6520">
        <v>70.942454394267401</v>
      </c>
      <c r="AK6520">
        <v>8.7157384379969205</v>
      </c>
    </row>
    <row r="6521" spans="1:37" x14ac:dyDescent="0.2">
      <c r="A6521" t="str">
        <f>"20200111160347091"</f>
        <v>20200111160347091</v>
      </c>
      <c r="B6521" t="str">
        <f>"1578729827080097"</f>
        <v>1578729827080097</v>
      </c>
      <c r="C6521" t="s">
        <v>37</v>
      </c>
      <c r="D6521">
        <v>5.4859559999999998</v>
      </c>
      <c r="E6521">
        <v>0.61443239999999999</v>
      </c>
      <c r="F6521" t="s">
        <v>38</v>
      </c>
      <c r="G6521">
        <v>-185.61599999999899</v>
      </c>
      <c r="H6521" s="1">
        <v>-4.6127190000000002E-6</v>
      </c>
      <c r="I6521">
        <v>118.5724</v>
      </c>
      <c r="J6521">
        <v>-188.88120000000001</v>
      </c>
      <c r="K6521">
        <v>1.1021369999999999</v>
      </c>
      <c r="L6521">
        <v>110.4769</v>
      </c>
      <c r="M6521">
        <v>5.0096710000000003E-2</v>
      </c>
      <c r="N6521">
        <v>0</v>
      </c>
      <c r="O6521">
        <v>0.99864580000000003</v>
      </c>
      <c r="P6521">
        <v>8.6900489999999997E-2</v>
      </c>
      <c r="Q6521">
        <v>-8.5215159999999998E-3</v>
      </c>
      <c r="R6521">
        <v>0.99618050000000002</v>
      </c>
      <c r="S6521">
        <v>1.1427309999999999</v>
      </c>
      <c r="T6521">
        <v>-0.38381920000000003</v>
      </c>
      <c r="U6521">
        <v>2.9109039999999999</v>
      </c>
      <c r="V6521">
        <v>3.6911649999999997E-2</v>
      </c>
      <c r="W6521">
        <v>5.2922159999999998E-3</v>
      </c>
      <c r="X6521">
        <v>0.99930450000000004</v>
      </c>
      <c r="Y6521">
        <v>0.31557079999999998</v>
      </c>
      <c r="Z6521">
        <v>-0.1226633</v>
      </c>
      <c r="AA6521">
        <v>0.94094040000000001</v>
      </c>
      <c r="AB6521">
        <v>26</v>
      </c>
      <c r="AC6521">
        <v>3.2652000000000201</v>
      </c>
      <c r="AD6521">
        <v>-1.102141612719</v>
      </c>
      <c r="AE6521">
        <v>8.0954999999999995</v>
      </c>
      <c r="AF6521">
        <v>2.8106949466089399</v>
      </c>
      <c r="AG6521">
        <v>-1.102141612719</v>
      </c>
      <c r="AH6521">
        <v>8.1194886088512099</v>
      </c>
      <c r="AI6521">
        <v>97.3095384465839</v>
      </c>
      <c r="AJ6521">
        <v>70.905860610830999</v>
      </c>
      <c r="AK6521">
        <v>8.6626103159870098</v>
      </c>
    </row>
    <row r="6522" spans="1:37" x14ac:dyDescent="0.2">
      <c r="A6522" t="str">
        <f>"20200111160347112"</f>
        <v>20200111160347112</v>
      </c>
      <c r="B6522" t="str">
        <f>"1578729827110353"</f>
        <v>1578729827110353</v>
      </c>
      <c r="C6522" t="s">
        <v>37</v>
      </c>
      <c r="D6522">
        <v>5.5159370000000001</v>
      </c>
      <c r="E6522">
        <v>0.61455139999999997</v>
      </c>
      <c r="F6522" t="s">
        <v>38</v>
      </c>
      <c r="G6522">
        <v>-185.63210000000001</v>
      </c>
      <c r="H6522" s="1">
        <v>-4.6609900000000001E-6</v>
      </c>
      <c r="I6522">
        <v>118.69159999999999</v>
      </c>
      <c r="J6522">
        <v>-188.86580000000001</v>
      </c>
      <c r="K6522">
        <v>1.102144</v>
      </c>
      <c r="L6522">
        <v>110.71639999999999</v>
      </c>
      <c r="M6522">
        <v>5.312215E-2</v>
      </c>
      <c r="N6522">
        <v>0</v>
      </c>
      <c r="O6522">
        <v>0.99848939999999997</v>
      </c>
      <c r="P6522">
        <v>8.9144539999999994E-2</v>
      </c>
      <c r="Q6522">
        <v>-8.2612039999999994E-3</v>
      </c>
      <c r="R6522">
        <v>0.99598439999999999</v>
      </c>
      <c r="S6522">
        <v>1.1501159999999999</v>
      </c>
      <c r="T6522">
        <v>-0.39013680000000001</v>
      </c>
      <c r="U6522">
        <v>2.9078369999999998</v>
      </c>
      <c r="V6522">
        <v>3.6136559999999998E-2</v>
      </c>
      <c r="W6522">
        <v>5.5554269999999999E-3</v>
      </c>
      <c r="X6522">
        <v>0.99933139999999998</v>
      </c>
      <c r="Y6522">
        <v>0.3150116</v>
      </c>
      <c r="Z6522">
        <v>-0.1246973</v>
      </c>
      <c r="AA6522">
        <v>0.94086039999999904</v>
      </c>
      <c r="AB6522">
        <v>26</v>
      </c>
      <c r="AC6522">
        <v>3.23369999999999</v>
      </c>
      <c r="AD6522">
        <v>-1.10214866099</v>
      </c>
      <c r="AE6522">
        <v>7.9752000000000001</v>
      </c>
      <c r="AF6522">
        <v>2.7601599468228302</v>
      </c>
      <c r="AG6522">
        <v>-1.10214866099</v>
      </c>
      <c r="AH6522">
        <v>8.0044472102201691</v>
      </c>
      <c r="AI6522">
        <v>97.416507518769194</v>
      </c>
      <c r="AJ6522">
        <v>70.974357264874698</v>
      </c>
      <c r="AK6522">
        <v>8.5384067450648207</v>
      </c>
    </row>
    <row r="6523" spans="1:37" x14ac:dyDescent="0.2">
      <c r="A6523" t="str">
        <f>"20200111160347134"</f>
        <v>20200111160347134</v>
      </c>
      <c r="B6523" t="str">
        <f>"1578729827129873"</f>
        <v>1578729827129873</v>
      </c>
      <c r="C6523" t="s">
        <v>37</v>
      </c>
      <c r="D6523">
        <v>6.050999</v>
      </c>
      <c r="E6523">
        <v>0.6145024</v>
      </c>
      <c r="F6523" t="s">
        <v>38</v>
      </c>
      <c r="G6523">
        <v>-185.59979999999999</v>
      </c>
      <c r="H6523" s="1">
        <v>-4.7615820000000002E-6</v>
      </c>
      <c r="I6523">
        <v>118.9127</v>
      </c>
      <c r="J6523">
        <v>-188.84790000000001</v>
      </c>
      <c r="K6523">
        <v>1.102147</v>
      </c>
      <c r="L6523">
        <v>110.9798</v>
      </c>
      <c r="M6523">
        <v>5.6450430000000003E-2</v>
      </c>
      <c r="N6523">
        <v>0</v>
      </c>
      <c r="O6523">
        <v>0.9983069</v>
      </c>
      <c r="P6523">
        <v>9.1037419999999994E-2</v>
      </c>
      <c r="Q6523">
        <v>-8.4510890000000002E-3</v>
      </c>
      <c r="R6523">
        <v>0.99581160000000002</v>
      </c>
      <c r="S6523">
        <v>1.1576690000000001</v>
      </c>
      <c r="T6523">
        <v>-0.39066649999999897</v>
      </c>
      <c r="U6523">
        <v>2.9052579999999999</v>
      </c>
      <c r="V6523">
        <v>3.4703530000000003E-2</v>
      </c>
      <c r="W6523">
        <v>5.3718469999999999E-3</v>
      </c>
      <c r="X6523">
        <v>0.99938320000000003</v>
      </c>
      <c r="Y6523">
        <v>0.31424020000000003</v>
      </c>
      <c r="Z6523">
        <v>-0.12489020000000001</v>
      </c>
      <c r="AA6523">
        <v>0.9410927</v>
      </c>
      <c r="AB6523">
        <v>26</v>
      </c>
      <c r="AC6523">
        <v>3.24810000000002</v>
      </c>
      <c r="AD6523">
        <v>-1.102151761582</v>
      </c>
      <c r="AE6523">
        <v>7.9329000000000001</v>
      </c>
      <c r="AF6523">
        <v>2.7496053163251801</v>
      </c>
      <c r="AG6523">
        <v>-1.102151761582</v>
      </c>
      <c r="AH6523">
        <v>7.9718374493072197</v>
      </c>
      <c r="AI6523">
        <v>97.446330090967194</v>
      </c>
      <c r="AJ6523">
        <v>70.969924295399906</v>
      </c>
      <c r="AK6523">
        <v>8.5044259194432996</v>
      </c>
    </row>
    <row r="6524" spans="1:37" x14ac:dyDescent="0.2">
      <c r="A6524" t="str">
        <f>"20200111160347157"</f>
        <v>20200111160347157</v>
      </c>
      <c r="B6524" t="str">
        <f>"1578729827150371"</f>
        <v>1578729827150371</v>
      </c>
      <c r="C6524" t="s">
        <v>37</v>
      </c>
      <c r="D6524">
        <v>5.5405449999999998</v>
      </c>
      <c r="E6524">
        <v>0.61447580000000002</v>
      </c>
      <c r="F6524" t="s">
        <v>38</v>
      </c>
      <c r="G6524">
        <v>-185.5745</v>
      </c>
      <c r="H6524" s="1">
        <v>-4.8685799999999997E-6</v>
      </c>
      <c r="I6524">
        <v>119.15170000000001</v>
      </c>
      <c r="J6524">
        <v>-188.8295</v>
      </c>
      <c r="K6524">
        <v>1.1021479999999999</v>
      </c>
      <c r="L6524">
        <v>111.2397</v>
      </c>
      <c r="M6524">
        <v>5.9735969999999999E-2</v>
      </c>
      <c r="N6524">
        <v>0</v>
      </c>
      <c r="O6524">
        <v>0.99811569999999905</v>
      </c>
      <c r="P6524">
        <v>9.3119339999999995E-2</v>
      </c>
      <c r="Q6524">
        <v>-9.0324919999999996E-3</v>
      </c>
      <c r="R6524">
        <v>0.995613999999999</v>
      </c>
      <c r="S6524">
        <v>1.1628719999999999</v>
      </c>
      <c r="T6524">
        <v>-0.39152989999999999</v>
      </c>
      <c r="U6524">
        <v>2.903</v>
      </c>
      <c r="V6524">
        <v>3.3500699999999897E-2</v>
      </c>
      <c r="W6524">
        <v>4.7953589999999999E-3</v>
      </c>
      <c r="X6524">
        <v>0.99942719999999896</v>
      </c>
      <c r="Y6524">
        <v>0.31280970000000002</v>
      </c>
      <c r="Z6524">
        <v>-0.12520529999999999</v>
      </c>
      <c r="AA6524">
        <v>0.94152729999999996</v>
      </c>
      <c r="AB6524">
        <v>26</v>
      </c>
      <c r="AC6524">
        <v>3.2549999999999901</v>
      </c>
      <c r="AD6524">
        <v>-1.1021528685799999</v>
      </c>
      <c r="AE6524">
        <v>7.9119999999999999</v>
      </c>
      <c r="AF6524">
        <v>2.73118192486446</v>
      </c>
      <c r="AG6524">
        <v>-1.1021528685799999</v>
      </c>
      <c r="AH6524">
        <v>7.9602199015037796</v>
      </c>
      <c r="AI6524">
        <v>97.461191436691294</v>
      </c>
      <c r="AJ6524">
        <v>71.062709196451195</v>
      </c>
      <c r="AK6524">
        <v>8.48759073781968</v>
      </c>
    </row>
    <row r="6525" spans="1:37" x14ac:dyDescent="0.2">
      <c r="A6525" t="str">
        <f>"20200111160347179"</f>
        <v>20200111160347179</v>
      </c>
      <c r="B6525" t="str">
        <f>"1578729827170865"</f>
        <v>1578729827170865</v>
      </c>
      <c r="C6525" t="s">
        <v>37</v>
      </c>
      <c r="D6525">
        <v>5.4780040000000003</v>
      </c>
      <c r="E6525">
        <v>0.61461030000000005</v>
      </c>
      <c r="F6525" t="s">
        <v>38</v>
      </c>
      <c r="G6525">
        <v>-185.5635</v>
      </c>
      <c r="H6525" s="1">
        <v>-4.9534559999999997E-6</v>
      </c>
      <c r="I6525">
        <v>119.345</v>
      </c>
      <c r="J6525">
        <v>-188.81010000000001</v>
      </c>
      <c r="K6525">
        <v>1.102149</v>
      </c>
      <c r="L6525">
        <v>111.5001</v>
      </c>
      <c r="M6525">
        <v>6.302866E-2</v>
      </c>
      <c r="N6525">
        <v>0</v>
      </c>
      <c r="O6525">
        <v>0.99791319999999994</v>
      </c>
      <c r="P6525">
        <v>9.5451019999999998E-2</v>
      </c>
      <c r="Q6525">
        <v>-9.9398390000000007E-3</v>
      </c>
      <c r="R6525">
        <v>0.99538449999999901</v>
      </c>
      <c r="S6525">
        <v>1.168671</v>
      </c>
      <c r="T6525">
        <v>-0.39438519999999999</v>
      </c>
      <c r="U6525">
        <v>2.9003299999999999</v>
      </c>
      <c r="V6525">
        <v>3.253959E-2</v>
      </c>
      <c r="W6525">
        <v>3.8917600000000002E-3</v>
      </c>
      <c r="X6525">
        <v>0.99946279999999998</v>
      </c>
      <c r="Y6525">
        <v>0.31155389999999999</v>
      </c>
      <c r="Z6525">
        <v>-0.12615270000000001</v>
      </c>
      <c r="AA6525">
        <v>0.94181719999999902</v>
      </c>
      <c r="AB6525">
        <v>26</v>
      </c>
      <c r="AC6525">
        <v>3.2465999999999999</v>
      </c>
      <c r="AD6525">
        <v>-1.1021539534560001</v>
      </c>
      <c r="AE6525">
        <v>7.8448999999999902</v>
      </c>
      <c r="AF6525">
        <v>2.7001385736943599</v>
      </c>
      <c r="AG6525">
        <v>-1.1021539534560001</v>
      </c>
      <c r="AH6525">
        <v>7.9008033687996102</v>
      </c>
      <c r="AI6525">
        <v>97.519742655146999</v>
      </c>
      <c r="AJ6525">
        <v>71.131883623323901</v>
      </c>
      <c r="AK6525">
        <v>8.42188729007378</v>
      </c>
    </row>
    <row r="6526" spans="1:37" x14ac:dyDescent="0.2">
      <c r="A6526" t="str">
        <f>"20200111160347201"</f>
        <v>20200111160347201</v>
      </c>
      <c r="B6526" t="str">
        <f>"1578729827189409"</f>
        <v>1578729827189409</v>
      </c>
      <c r="C6526" t="s">
        <v>37</v>
      </c>
      <c r="D6526">
        <v>5.4974739999999898</v>
      </c>
      <c r="E6526">
        <v>0.61473169999999899</v>
      </c>
      <c r="F6526" t="s">
        <v>38</v>
      </c>
      <c r="G6526">
        <v>-185.56569999999999</v>
      </c>
      <c r="H6526" s="1">
        <v>-5.016032E-6</v>
      </c>
      <c r="I6526">
        <v>119.49169999999999</v>
      </c>
      <c r="J6526">
        <v>-188.7912</v>
      </c>
      <c r="K6526">
        <v>1.102155</v>
      </c>
      <c r="L6526">
        <v>111.74469999999999</v>
      </c>
      <c r="M6526">
        <v>6.6121559999999996E-2</v>
      </c>
      <c r="N6526">
        <v>0</v>
      </c>
      <c r="O6526">
        <v>0.99771309999999902</v>
      </c>
      <c r="P6526">
        <v>9.8747829999999995E-2</v>
      </c>
      <c r="Q6526">
        <v>-1.023496E-2</v>
      </c>
      <c r="R6526">
        <v>0.99505980000000005</v>
      </c>
      <c r="S6526">
        <v>1.1761779999999999</v>
      </c>
      <c r="T6526">
        <v>-0.39955370000000001</v>
      </c>
      <c r="U6526">
        <v>2.897125</v>
      </c>
      <c r="V6526">
        <v>3.2750899999999999E-2</v>
      </c>
      <c r="W6526">
        <v>3.5932629999999902E-3</v>
      </c>
      <c r="X6526">
        <v>0.99945709999999999</v>
      </c>
      <c r="Y6526">
        <v>0.31098940000000003</v>
      </c>
      <c r="Z6526">
        <v>-0.1278212</v>
      </c>
      <c r="AA6526">
        <v>0.94177880000000003</v>
      </c>
      <c r="AB6526">
        <v>26</v>
      </c>
      <c r="AC6526">
        <v>3.22550000000001</v>
      </c>
      <c r="AD6526">
        <v>-1.102160016032</v>
      </c>
      <c r="AE6526">
        <v>7.7469999999999999</v>
      </c>
      <c r="AF6526">
        <v>2.6602558363990698</v>
      </c>
      <c r="AG6526">
        <v>-1.102160016032</v>
      </c>
      <c r="AH6526">
        <v>7.8086384069546897</v>
      </c>
      <c r="AI6526">
        <v>97.609973493971495</v>
      </c>
      <c r="AJ6526">
        <v>71.186991555460907</v>
      </c>
      <c r="AK6526">
        <v>8.3226529175860104</v>
      </c>
    </row>
    <row r="6527" spans="1:37" x14ac:dyDescent="0.2">
      <c r="A6527" t="str">
        <f>"20200111160347223"</f>
        <v>20200111160347223</v>
      </c>
      <c r="B6527" t="str">
        <f>"1578729827219665"</f>
        <v>1578729827219665</v>
      </c>
      <c r="C6527" t="s">
        <v>37</v>
      </c>
      <c r="D6527">
        <v>5.5479320000000003</v>
      </c>
      <c r="E6527">
        <v>0.61513019999999996</v>
      </c>
      <c r="F6527" t="s">
        <v>77</v>
      </c>
      <c r="G6527">
        <v>-185.5438</v>
      </c>
      <c r="H6527" s="1">
        <v>-1.187552E-6</v>
      </c>
      <c r="I6527">
        <v>119.66079999999999</v>
      </c>
      <c r="J6527">
        <v>-188.77019999999999</v>
      </c>
      <c r="K6527">
        <v>1.102163</v>
      </c>
      <c r="L6527">
        <v>112.0046</v>
      </c>
      <c r="M6527">
        <v>6.9409390000000001E-2</v>
      </c>
      <c r="N6527">
        <v>0</v>
      </c>
      <c r="O6527">
        <v>0.99748979999999998</v>
      </c>
      <c r="P6527">
        <v>0.10304339999999999</v>
      </c>
      <c r="Q6527">
        <v>-1.018432E-2</v>
      </c>
      <c r="R6527">
        <v>0.99462469999999903</v>
      </c>
      <c r="S6527">
        <v>1.186768</v>
      </c>
      <c r="T6527">
        <v>-0.40278829999999999</v>
      </c>
      <c r="U6527">
        <v>2.8929749999999999</v>
      </c>
      <c r="V6527">
        <v>3.377256E-2</v>
      </c>
      <c r="W6527">
        <v>3.6352239999999998E-3</v>
      </c>
      <c r="X6527">
        <v>0.999422899999999</v>
      </c>
      <c r="Y6527">
        <v>0.31123429999999902</v>
      </c>
      <c r="Z6527">
        <v>-0.12887309999999999</v>
      </c>
      <c r="AA6527">
        <v>0.94155449999999996</v>
      </c>
      <c r="AB6527">
        <v>26</v>
      </c>
      <c r="AC6527">
        <v>3.22639999999998</v>
      </c>
      <c r="AD6527">
        <v>-1.1021641875520001</v>
      </c>
      <c r="AE6527">
        <v>7.6561999999999903</v>
      </c>
      <c r="AF6527">
        <v>2.6406810896554802</v>
      </c>
      <c r="AG6527">
        <v>-1.1021641875520001</v>
      </c>
      <c r="AH6527">
        <v>7.7257354572915</v>
      </c>
      <c r="AI6527">
        <v>97.688085173886805</v>
      </c>
      <c r="AJ6527">
        <v>71.129407774343704</v>
      </c>
      <c r="AK6527">
        <v>8.2386255449338996</v>
      </c>
    </row>
    <row r="6528" spans="1:37" x14ac:dyDescent="0.2">
      <c r="A6528" t="str">
        <f>"20200111160347246"</f>
        <v>20200111160347246</v>
      </c>
      <c r="B6528" t="str">
        <f>"1578729827240161"</f>
        <v>1578729827240161</v>
      </c>
      <c r="C6528" t="s">
        <v>37</v>
      </c>
      <c r="D6528">
        <v>5.4568490000000001</v>
      </c>
      <c r="E6528">
        <v>0.61536809999999997</v>
      </c>
      <c r="F6528" t="s">
        <v>77</v>
      </c>
      <c r="G6528">
        <v>-185.5034</v>
      </c>
      <c r="H6528" s="1">
        <v>-1.2541129999999999E-6</v>
      </c>
      <c r="I6528">
        <v>119.8503</v>
      </c>
      <c r="J6528">
        <v>-188.74850000000001</v>
      </c>
      <c r="K6528">
        <v>1.1021570000000001</v>
      </c>
      <c r="L6528">
        <v>112.2632</v>
      </c>
      <c r="M6528">
        <v>7.2682259999999999E-2</v>
      </c>
      <c r="N6528">
        <v>0</v>
      </c>
      <c r="O6528">
        <v>0.997256699999999</v>
      </c>
      <c r="P6528">
        <v>0.10874489999999901</v>
      </c>
      <c r="Q6528">
        <v>-1.055264E-2</v>
      </c>
      <c r="R6528">
        <v>0.994013699999999</v>
      </c>
      <c r="S6528">
        <v>1.2023159999999999</v>
      </c>
      <c r="T6528">
        <v>-0.4056399</v>
      </c>
      <c r="U6528">
        <v>2.8875120000000001</v>
      </c>
      <c r="V6528">
        <v>3.6221620000000003E-2</v>
      </c>
      <c r="W6528">
        <v>3.249465E-3</v>
      </c>
      <c r="X6528">
        <v>0.99933850000000002</v>
      </c>
      <c r="Y6528">
        <v>0.31302779999999902</v>
      </c>
      <c r="Z6528">
        <v>-0.12978110000000001</v>
      </c>
      <c r="AA6528">
        <v>0.94083499999999998</v>
      </c>
      <c r="AB6528">
        <v>26</v>
      </c>
      <c r="AC6528">
        <v>3.2450999999999999</v>
      </c>
      <c r="AD6528">
        <v>-1.1021582541129999</v>
      </c>
      <c r="AE6528">
        <v>7.5871000000000004</v>
      </c>
      <c r="AF6528">
        <v>2.6379548947505098</v>
      </c>
      <c r="AG6528">
        <v>-1.1021582541129999</v>
      </c>
      <c r="AH6528">
        <v>7.6661559265482699</v>
      </c>
      <c r="AI6528">
        <v>97.741669714547299</v>
      </c>
      <c r="AJ6528">
        <v>71.011455034320804</v>
      </c>
      <c r="AK6528">
        <v>8.1819010953444593</v>
      </c>
    </row>
    <row r="6529" spans="1:37" x14ac:dyDescent="0.2">
      <c r="A6529" t="str">
        <f>"20200111160347270"</f>
        <v>20200111160347270</v>
      </c>
      <c r="B6529" t="str">
        <f>"1578729827259682"</f>
        <v>1578729827259682</v>
      </c>
      <c r="C6529" t="s">
        <v>37</v>
      </c>
      <c r="D6529">
        <v>5.5064269999999897</v>
      </c>
      <c r="E6529">
        <v>0.6155079</v>
      </c>
      <c r="F6529" t="s">
        <v>77</v>
      </c>
      <c r="G6529">
        <v>-185.45429999999999</v>
      </c>
      <c r="H6529" s="1">
        <v>-1.3222090000000001E-6</v>
      </c>
      <c r="I6529">
        <v>120.0372</v>
      </c>
      <c r="J6529">
        <v>-188.72489999999999</v>
      </c>
      <c r="K6529">
        <v>1.102166</v>
      </c>
      <c r="L6529">
        <v>112.53270000000001</v>
      </c>
      <c r="M6529">
        <v>7.6099310000000003E-2</v>
      </c>
      <c r="N6529">
        <v>0</v>
      </c>
      <c r="O6529">
        <v>0.99700180000000005</v>
      </c>
      <c r="P6529">
        <v>0.11550099999999899</v>
      </c>
      <c r="Q6529">
        <v>-1.100273E-2</v>
      </c>
      <c r="R6529">
        <v>0.99324639999999997</v>
      </c>
      <c r="S6529">
        <v>1.2204740000000001</v>
      </c>
      <c r="T6529">
        <v>-0.4083447</v>
      </c>
      <c r="U6529">
        <v>2.8802029999999998</v>
      </c>
      <c r="V6529">
        <v>3.9589289999999999E-2</v>
      </c>
      <c r="W6529">
        <v>2.7764439999999999E-3</v>
      </c>
      <c r="X6529">
        <v>0.999212199999999</v>
      </c>
      <c r="Y6529">
        <v>0.31561689999999998</v>
      </c>
      <c r="Z6529">
        <v>-0.1306726</v>
      </c>
      <c r="AA6529">
        <v>0.93984599999999996</v>
      </c>
      <c r="AB6529">
        <v>26</v>
      </c>
      <c r="AC6529">
        <v>3.2706</v>
      </c>
      <c r="AD6529">
        <v>-1.102167322209</v>
      </c>
      <c r="AE6529">
        <v>7.5044999999999904</v>
      </c>
      <c r="AF6529">
        <v>2.6420777638936599</v>
      </c>
      <c r="AG6529">
        <v>-1.102167322209</v>
      </c>
      <c r="AH6529">
        <v>7.5939926001253601</v>
      </c>
      <c r="AI6529">
        <v>97.805307052714198</v>
      </c>
      <c r="AJ6529">
        <v>70.816354500083406</v>
      </c>
      <c r="AK6529">
        <v>8.1156682612934308</v>
      </c>
    </row>
    <row r="6530" spans="1:37" x14ac:dyDescent="0.2">
      <c r="A6530" t="str">
        <f>"20200111160347292"</f>
        <v>20200111160347292</v>
      </c>
      <c r="B6530" t="str">
        <f>"1578729827289937"</f>
        <v>1578729827289937</v>
      </c>
      <c r="C6530" t="s">
        <v>37</v>
      </c>
      <c r="D6530">
        <v>5.4544290000000002</v>
      </c>
      <c r="E6530">
        <v>0.61587009999999998</v>
      </c>
      <c r="F6530" t="s">
        <v>77</v>
      </c>
      <c r="G6530">
        <v>-185.39250000000001</v>
      </c>
      <c r="H6530" s="1">
        <v>-1.39928E-6</v>
      </c>
      <c r="I6530">
        <v>120.24299999999999</v>
      </c>
      <c r="J6530">
        <v>-188.7013</v>
      </c>
      <c r="K6530">
        <v>1.1021650000000001</v>
      </c>
      <c r="L6530">
        <v>112.7915</v>
      </c>
      <c r="M6530">
        <v>7.9395519999999997E-2</v>
      </c>
      <c r="N6530">
        <v>0</v>
      </c>
      <c r="O6530">
        <v>0.99674479999999999</v>
      </c>
      <c r="P6530">
        <v>0.1224768</v>
      </c>
      <c r="Q6530">
        <v>-1.114475E-2</v>
      </c>
      <c r="R6530">
        <v>0.99240879999999998</v>
      </c>
      <c r="S6530">
        <v>1.241074</v>
      </c>
      <c r="T6530">
        <v>-0.41047790000000001</v>
      </c>
      <c r="U6530">
        <v>2.8715359999999999</v>
      </c>
      <c r="V6530">
        <v>4.3304719999999998E-2</v>
      </c>
      <c r="W6530">
        <v>2.6095519999999998E-3</v>
      </c>
      <c r="X6530">
        <v>0.99905849999999996</v>
      </c>
      <c r="Y6530">
        <v>0.31915749999999998</v>
      </c>
      <c r="Z6530">
        <v>-0.1313947</v>
      </c>
      <c r="AA6530">
        <v>0.93854879999999996</v>
      </c>
      <c r="AB6530">
        <v>26</v>
      </c>
      <c r="AC6530">
        <v>3.30879999999999</v>
      </c>
      <c r="AD6530">
        <v>-1.1021663992799999</v>
      </c>
      <c r="AE6530">
        <v>7.4514999999999896</v>
      </c>
      <c r="AF6530">
        <v>2.6581030598955402</v>
      </c>
      <c r="AG6530">
        <v>-1.1021663992799999</v>
      </c>
      <c r="AH6530">
        <v>7.55267954506016</v>
      </c>
      <c r="AI6530">
        <v>97.837746680362201</v>
      </c>
      <c r="AJ6530">
        <v>70.610902410116793</v>
      </c>
      <c r="AK6530">
        <v>8.0822800594323603</v>
      </c>
    </row>
    <row r="6531" spans="1:37" x14ac:dyDescent="0.2">
      <c r="A6531" t="str">
        <f>"20200111160347313"</f>
        <v>20200111160347313</v>
      </c>
      <c r="B6531" t="str">
        <f>"1578729827309457"</f>
        <v>1578729827309457</v>
      </c>
      <c r="C6531" t="s">
        <v>37</v>
      </c>
      <c r="D6531">
        <v>6.4340999999999999</v>
      </c>
      <c r="E6531">
        <v>0.61584619999999901</v>
      </c>
      <c r="F6531" t="s">
        <v>77</v>
      </c>
      <c r="G6531">
        <v>-185.322</v>
      </c>
      <c r="H6531" s="1">
        <v>-1.4777780000000001E-6</v>
      </c>
      <c r="I6531">
        <v>120.44580000000001</v>
      </c>
      <c r="J6531">
        <v>-188.67910000000001</v>
      </c>
      <c r="K6531">
        <v>1.1021609999999999</v>
      </c>
      <c r="L6531">
        <v>113.0275</v>
      </c>
      <c r="M6531">
        <v>8.2413559999999997E-2</v>
      </c>
      <c r="N6531">
        <v>0</v>
      </c>
      <c r="O6531">
        <v>0.99649979999999905</v>
      </c>
      <c r="P6531">
        <v>0.12831999999999999</v>
      </c>
      <c r="Q6531">
        <v>-1.158318E-2</v>
      </c>
      <c r="R6531">
        <v>0.99166520000000002</v>
      </c>
      <c r="S6531">
        <v>1.2637179999999999</v>
      </c>
      <c r="T6531">
        <v>-0.412160999999999</v>
      </c>
      <c r="U6531">
        <v>2.8623660000000002</v>
      </c>
      <c r="V6531">
        <v>4.6161430000000003E-2</v>
      </c>
      <c r="W6531">
        <v>2.1503590000000001E-3</v>
      </c>
      <c r="X6531">
        <v>0.99893169999999898</v>
      </c>
      <c r="Y6531">
        <v>0.32358409999999999</v>
      </c>
      <c r="Z6531">
        <v>-0.1319562</v>
      </c>
      <c r="AA6531">
        <v>0.93695289999999998</v>
      </c>
      <c r="AB6531">
        <v>26</v>
      </c>
      <c r="AC6531">
        <v>3.3571</v>
      </c>
      <c r="AD6531">
        <v>-1.1021624777779999</v>
      </c>
      <c r="AE6531">
        <v>7.4183000000000003</v>
      </c>
      <c r="AF6531">
        <v>2.68505400005873</v>
      </c>
      <c r="AG6531">
        <v>-1.1021624777779999</v>
      </c>
      <c r="AH6531">
        <v>7.5317615160390803</v>
      </c>
      <c r="AI6531">
        <v>97.848094996096407</v>
      </c>
      <c r="AJ6531">
        <v>70.378977070214702</v>
      </c>
      <c r="AK6531">
        <v>8.0716608356112491</v>
      </c>
    </row>
    <row r="6532" spans="1:37" x14ac:dyDescent="0.2">
      <c r="A6532" t="str">
        <f>"20200111160347335"</f>
        <v>20200111160347335</v>
      </c>
      <c r="B6532" t="str">
        <f>"1578729827329953"</f>
        <v>1578729827329953</v>
      </c>
      <c r="C6532" t="s">
        <v>37</v>
      </c>
      <c r="D6532">
        <v>5.4908299999999999</v>
      </c>
      <c r="E6532">
        <v>0.61575440000000004</v>
      </c>
      <c r="F6532" t="s">
        <v>77</v>
      </c>
      <c r="G6532">
        <v>-185.27080000000001</v>
      </c>
      <c r="H6532" s="1">
        <v>-1.5440960000000001E-6</v>
      </c>
      <c r="I6532">
        <v>120.62479999999999</v>
      </c>
      <c r="J6532">
        <v>-188.65379999999999</v>
      </c>
      <c r="K6532">
        <v>1.1021430000000001</v>
      </c>
      <c r="L6532">
        <v>113.2861</v>
      </c>
      <c r="M6532">
        <v>8.5753570000000001E-2</v>
      </c>
      <c r="N6532">
        <v>0</v>
      </c>
      <c r="O6532">
        <v>0.99621800000000005</v>
      </c>
      <c r="P6532">
        <v>0.13367850000000001</v>
      </c>
      <c r="Q6532">
        <v>-1.245129E-2</v>
      </c>
      <c r="R6532">
        <v>0.99094649999999995</v>
      </c>
      <c r="S6532">
        <v>1.28064</v>
      </c>
      <c r="T6532">
        <v>-0.41413369999999999</v>
      </c>
      <c r="U6532">
        <v>2.85466</v>
      </c>
      <c r="V6532">
        <v>4.8208300000000003E-2</v>
      </c>
      <c r="W6532">
        <v>1.266304E-3</v>
      </c>
      <c r="X6532">
        <v>0.99883650000000002</v>
      </c>
      <c r="Y6532">
        <v>0.32594629999999902</v>
      </c>
      <c r="Z6532">
        <v>-0.1326348</v>
      </c>
      <c r="AA6532">
        <v>0.93603799999999904</v>
      </c>
      <c r="AB6532">
        <v>26</v>
      </c>
      <c r="AC6532">
        <v>3.38299999999998</v>
      </c>
      <c r="AD6532">
        <v>-1.102144544096</v>
      </c>
      <c r="AE6532">
        <v>7.3386999999999798</v>
      </c>
      <c r="AF6532">
        <v>2.6910951250616302</v>
      </c>
      <c r="AG6532">
        <v>-1.102144544096</v>
      </c>
      <c r="AH6532">
        <v>7.4629694946235396</v>
      </c>
      <c r="AI6532">
        <v>97.909228561771002</v>
      </c>
      <c r="AJ6532">
        <v>70.171047230249499</v>
      </c>
      <c r="AK6532">
        <v>8.0095336472164593</v>
      </c>
    </row>
    <row r="6533" spans="1:37" x14ac:dyDescent="0.2">
      <c r="A6533" t="str">
        <f>"20200111160347357"</f>
        <v>20200111160347357</v>
      </c>
      <c r="B6533" t="str">
        <f>"1578729827349475"</f>
        <v>1578729827349475</v>
      </c>
      <c r="C6533" t="s">
        <v>37</v>
      </c>
      <c r="D6533">
        <v>5.4480680000000001</v>
      </c>
      <c r="E6533">
        <v>0.61561540000000003</v>
      </c>
      <c r="F6533" t="s">
        <v>77</v>
      </c>
      <c r="G6533">
        <v>-185.2379</v>
      </c>
      <c r="H6533" s="1">
        <v>-1.603515E-6</v>
      </c>
      <c r="I6533">
        <v>120.7968</v>
      </c>
      <c r="J6533">
        <v>-188.6283</v>
      </c>
      <c r="K6533">
        <v>1.102114</v>
      </c>
      <c r="L6533">
        <v>113.5389</v>
      </c>
      <c r="M6533">
        <v>8.9071339999999999E-2</v>
      </c>
      <c r="N6533">
        <v>0</v>
      </c>
      <c r="O6533">
        <v>0.9959268</v>
      </c>
      <c r="P6533">
        <v>0.13852439999999999</v>
      </c>
      <c r="Q6533">
        <v>-1.2176879999999999E-2</v>
      </c>
      <c r="R6533">
        <v>0.9902841</v>
      </c>
      <c r="S6533">
        <v>1.2950440000000001</v>
      </c>
      <c r="T6533">
        <v>-0.41784539999999998</v>
      </c>
      <c r="U6533">
        <v>2.8474430000000002</v>
      </c>
      <c r="V6533">
        <v>4.97685E-2</v>
      </c>
      <c r="W6533">
        <v>1.52618E-3</v>
      </c>
      <c r="X6533">
        <v>0.99875959999999997</v>
      </c>
      <c r="Y6533">
        <v>0.32754870000000003</v>
      </c>
      <c r="Z6533">
        <v>-0.13387639999999901</v>
      </c>
      <c r="AA6533">
        <v>0.93530149999999901</v>
      </c>
      <c r="AB6533">
        <v>26</v>
      </c>
      <c r="AC6533">
        <v>3.3904000000000001</v>
      </c>
      <c r="AD6533">
        <v>-1.1021156035149999</v>
      </c>
      <c r="AE6533">
        <v>7.2579000000000002</v>
      </c>
      <c r="AF6533">
        <v>2.6796658373775299</v>
      </c>
      <c r="AG6533">
        <v>-1.1021156035149999</v>
      </c>
      <c r="AH6533">
        <v>7.39116170844206</v>
      </c>
      <c r="AI6533">
        <v>97.9799453898856</v>
      </c>
      <c r="AJ6533">
        <v>70.071886225872802</v>
      </c>
      <c r="AK6533">
        <v>7.9387996072365796</v>
      </c>
    </row>
    <row r="6534" spans="1:37" x14ac:dyDescent="0.2">
      <c r="A6534" t="str">
        <f>"20200111160347381"</f>
        <v>20200111160347381</v>
      </c>
      <c r="B6534" t="str">
        <f>"1578729827369969"</f>
        <v>1578729827369969</v>
      </c>
      <c r="C6534" t="s">
        <v>37</v>
      </c>
      <c r="D6534">
        <v>5.4186319999999997</v>
      </c>
      <c r="E6534">
        <v>0.61553939999999996</v>
      </c>
      <c r="F6534" t="s">
        <v>77</v>
      </c>
      <c r="G6534">
        <v>-185.1704</v>
      </c>
      <c r="H6534" s="1">
        <v>-1.695695E-6</v>
      </c>
      <c r="I6534">
        <v>121.0488</v>
      </c>
      <c r="J6534">
        <v>-188.6</v>
      </c>
      <c r="K6534">
        <v>1.102074</v>
      </c>
      <c r="L6534">
        <v>113.807999999999</v>
      </c>
      <c r="M6534">
        <v>9.2696710000000002E-2</v>
      </c>
      <c r="N6534">
        <v>0</v>
      </c>
      <c r="O6534">
        <v>0.99559589999999998</v>
      </c>
      <c r="P6534">
        <v>0.14402679999999901</v>
      </c>
      <c r="Q6534">
        <v>-9.4043630000000007E-3</v>
      </c>
      <c r="R6534">
        <v>0.98952909999999905</v>
      </c>
      <c r="S6534">
        <v>1.308273</v>
      </c>
      <c r="T6534">
        <v>-0.41697799999999902</v>
      </c>
      <c r="U6534">
        <v>2.8413089999999999</v>
      </c>
      <c r="V6534">
        <v>5.1697079999999999E-2</v>
      </c>
      <c r="W6534">
        <v>4.2794259999999898E-3</v>
      </c>
      <c r="X6534">
        <v>0.99865369999999998</v>
      </c>
      <c r="Y6534">
        <v>0.3284859</v>
      </c>
      <c r="Z6534">
        <v>-0.1336504</v>
      </c>
      <c r="AA6534">
        <v>0.93500509999999903</v>
      </c>
      <c r="AB6534">
        <v>25</v>
      </c>
      <c r="AC6534">
        <v>3.42959999999999</v>
      </c>
      <c r="AD6534">
        <v>-1.102075695695</v>
      </c>
      <c r="AE6534">
        <v>7.2408000000000001</v>
      </c>
      <c r="AF6534">
        <v>2.6926190957637699</v>
      </c>
      <c r="AG6534">
        <v>-1.102075695695</v>
      </c>
      <c r="AH6534">
        <v>7.3877767628625701</v>
      </c>
      <c r="AI6534">
        <v>97.978413941771294</v>
      </c>
      <c r="AJ6534">
        <v>69.974745897839199</v>
      </c>
      <c r="AK6534">
        <v>7.9400260661918196</v>
      </c>
    </row>
    <row r="6535" spans="1:37" x14ac:dyDescent="0.2">
      <c r="A6535" t="str">
        <f>"20200111160347402"</f>
        <v>20200111160347402</v>
      </c>
      <c r="B6535" t="str">
        <f>"1578729827389489"</f>
        <v>1578729827389489</v>
      </c>
      <c r="C6535" t="s">
        <v>37</v>
      </c>
      <c r="D6535">
        <v>5.3872939999999998</v>
      </c>
      <c r="E6535">
        <v>0.61557580000000001</v>
      </c>
      <c r="F6535" t="s">
        <v>77</v>
      </c>
      <c r="G6535">
        <v>-185.0342</v>
      </c>
      <c r="H6535" s="1">
        <v>-1.8488819999999999E-6</v>
      </c>
      <c r="I6535">
        <v>121.44580000000001</v>
      </c>
      <c r="J6535">
        <v>-188.57480000000001</v>
      </c>
      <c r="K6535">
        <v>1.1020129999999999</v>
      </c>
      <c r="L6535">
        <v>114.0403</v>
      </c>
      <c r="M6535">
        <v>9.5938510000000005E-2</v>
      </c>
      <c r="N6535">
        <v>0</v>
      </c>
      <c r="O6535">
        <v>0.99528879999999997</v>
      </c>
      <c r="P6535">
        <v>0.14980570000000001</v>
      </c>
      <c r="Q6535">
        <v>-7.0478419999999899E-3</v>
      </c>
      <c r="R6535">
        <v>0.98869030000000002</v>
      </c>
      <c r="S6535">
        <v>1.323669</v>
      </c>
      <c r="T6535">
        <v>-0.40909899999999999</v>
      </c>
      <c r="U6535">
        <v>2.83520499999999</v>
      </c>
      <c r="V6535">
        <v>5.4292159999999999E-2</v>
      </c>
      <c r="W6535">
        <v>6.6111260000000002E-3</v>
      </c>
      <c r="X6535">
        <v>0.99850319999999904</v>
      </c>
      <c r="Y6535">
        <v>0.33049509999999899</v>
      </c>
      <c r="Z6535">
        <v>-0.13117419999999999</v>
      </c>
      <c r="AA6535">
        <v>0.93464769999999897</v>
      </c>
      <c r="AB6535">
        <v>25</v>
      </c>
      <c r="AC6535">
        <v>3.5406000000000102</v>
      </c>
      <c r="AD6535">
        <v>-1.1020148488820001</v>
      </c>
      <c r="AE6535">
        <v>7.4055</v>
      </c>
      <c r="AF6535">
        <v>2.7639048607296401</v>
      </c>
      <c r="AG6535">
        <v>-1.1020148488820001</v>
      </c>
      <c r="AH6535">
        <v>7.5745204645947704</v>
      </c>
      <c r="AI6535">
        <v>97.782676407948102</v>
      </c>
      <c r="AJ6535">
        <v>69.953225385774005</v>
      </c>
      <c r="AK6535">
        <v>8.1379952737075492</v>
      </c>
    </row>
    <row r="6536" spans="1:37" x14ac:dyDescent="0.2">
      <c r="A6536" t="str">
        <f>"20200111160347423"</f>
        <v>20200111160347423</v>
      </c>
      <c r="B6536" t="str">
        <f>"1578729827419745"</f>
        <v>1578729827419745</v>
      </c>
      <c r="C6536" t="s">
        <v>37</v>
      </c>
      <c r="D6536">
        <v>5.3022410000000004</v>
      </c>
      <c r="E6536">
        <v>0.61557649999999997</v>
      </c>
      <c r="F6536" t="s">
        <v>77</v>
      </c>
      <c r="G6536">
        <v>-184.89590000000001</v>
      </c>
      <c r="H6536" s="1">
        <v>-1.9907240000000001E-6</v>
      </c>
      <c r="I6536">
        <v>121.80249999999999</v>
      </c>
      <c r="J6536">
        <v>-188.54689999999999</v>
      </c>
      <c r="K6536">
        <v>1.101907</v>
      </c>
      <c r="L6536">
        <v>114.2871</v>
      </c>
      <c r="M6536">
        <v>9.9541489999999996E-2</v>
      </c>
      <c r="N6536">
        <v>0</v>
      </c>
      <c r="O6536">
        <v>0.99493489999999996</v>
      </c>
      <c r="P6536">
        <v>0.15628049999999999</v>
      </c>
      <c r="Q6536">
        <v>-8.3069819999999992E-3</v>
      </c>
      <c r="R6536">
        <v>0.98767780000000005</v>
      </c>
      <c r="S6536">
        <v>1.3404849999999999</v>
      </c>
      <c r="T6536">
        <v>-0.40154529999999999</v>
      </c>
      <c r="U6536">
        <v>2.828354</v>
      </c>
      <c r="V6536">
        <v>5.721387E-2</v>
      </c>
      <c r="W6536">
        <v>5.3198730000000001E-3</v>
      </c>
      <c r="X6536">
        <v>0.99834780000000001</v>
      </c>
      <c r="Y6536">
        <v>0.33263009999999998</v>
      </c>
      <c r="Z6536">
        <v>-0.128801</v>
      </c>
      <c r="AA6536">
        <v>0.9342203</v>
      </c>
      <c r="AB6536">
        <v>25</v>
      </c>
      <c r="AC6536">
        <v>3.6509999999999798</v>
      </c>
      <c r="AD6536">
        <v>-1.1019089907240001</v>
      </c>
      <c r="AE6536">
        <v>7.5153999999999996</v>
      </c>
      <c r="AF6536">
        <v>2.8353810017386301</v>
      </c>
      <c r="AG6536">
        <v>-1.1019089907240001</v>
      </c>
      <c r="AH6536">
        <v>7.7074744785244098</v>
      </c>
      <c r="AI6536">
        <v>97.642031871413707</v>
      </c>
      <c r="AJ6536">
        <v>69.802733251337202</v>
      </c>
      <c r="AK6536">
        <v>8.2860576685154594</v>
      </c>
    </row>
    <row r="6537" spans="1:37" x14ac:dyDescent="0.2">
      <c r="A6537" t="str">
        <f>"20200111160347449"</f>
        <v>20200111160347449</v>
      </c>
      <c r="B6537" t="str">
        <f>"1578729827440242"</f>
        <v>1578729827440242</v>
      </c>
      <c r="C6537" t="s">
        <v>37</v>
      </c>
      <c r="D6537">
        <v>5.3206280000000001</v>
      </c>
      <c r="E6537">
        <v>0.61545899999999998</v>
      </c>
      <c r="F6537" t="s">
        <v>77</v>
      </c>
      <c r="G6537">
        <v>-184.8596</v>
      </c>
      <c r="H6537" s="1">
        <v>-2.0402369999999999E-6</v>
      </c>
      <c r="I6537">
        <v>121.9378</v>
      </c>
      <c r="J6537">
        <v>-188.51439999999999</v>
      </c>
      <c r="K6537">
        <v>1.1017349999999999</v>
      </c>
      <c r="L6537">
        <v>114.5637</v>
      </c>
      <c r="M6537">
        <v>0.1038051</v>
      </c>
      <c r="N6537">
        <v>0</v>
      </c>
      <c r="O6537">
        <v>0.99449900000000002</v>
      </c>
      <c r="P6537">
        <v>0.1628443</v>
      </c>
      <c r="Q6537">
        <v>-1.145993E-2</v>
      </c>
      <c r="R6537">
        <v>0.9865853</v>
      </c>
      <c r="S6537">
        <v>1.358673</v>
      </c>
      <c r="T6537">
        <v>-0.406022099999999</v>
      </c>
      <c r="U6537">
        <v>2.8190459999999899</v>
      </c>
      <c r="V6537">
        <v>5.9557140000000001E-2</v>
      </c>
      <c r="W6537">
        <v>2.1341469999999999E-3</v>
      </c>
      <c r="X6537">
        <v>0.99822259999999996</v>
      </c>
      <c r="Y6537">
        <v>0.33460469999999998</v>
      </c>
      <c r="Z6537">
        <v>-0.13028960000000001</v>
      </c>
      <c r="AA6537">
        <v>0.93330820000000003</v>
      </c>
      <c r="AB6537">
        <v>25</v>
      </c>
      <c r="AC6537">
        <v>3.6547999999999901</v>
      </c>
      <c r="AD6537">
        <v>-1.1017370402369999</v>
      </c>
      <c r="AE6537">
        <v>7.3740999999999897</v>
      </c>
      <c r="AF6537">
        <v>2.8189904014628899</v>
      </c>
      <c r="AG6537">
        <v>-1.1017370402369999</v>
      </c>
      <c r="AH6537">
        <v>7.5778815606286498</v>
      </c>
      <c r="AI6537">
        <v>97.759636722972004</v>
      </c>
      <c r="AJ6537">
        <v>69.594676345285905</v>
      </c>
      <c r="AK6537">
        <v>8.1599522263482491</v>
      </c>
    </row>
    <row r="6538" spans="1:37" x14ac:dyDescent="0.2">
      <c r="A6538" t="str">
        <f>"20200111160347471"</f>
        <v>20200111160347471</v>
      </c>
      <c r="B6538" t="str">
        <f>"1578729827459762"</f>
        <v>1578729827459762</v>
      </c>
      <c r="C6538" t="s">
        <v>37</v>
      </c>
      <c r="D6538">
        <v>5.311229</v>
      </c>
      <c r="E6538">
        <v>0.61541290000000004</v>
      </c>
      <c r="F6538" t="s">
        <v>77</v>
      </c>
      <c r="G6538">
        <v>-184.88050000000001</v>
      </c>
      <c r="H6538" s="1">
        <v>-2.0478530000000001E-6</v>
      </c>
      <c r="I6538">
        <v>121.9825</v>
      </c>
      <c r="J6538">
        <v>-188.48339999999999</v>
      </c>
      <c r="K6538">
        <v>1.1015520000000001</v>
      </c>
      <c r="L6538">
        <v>114.8158</v>
      </c>
      <c r="M6538">
        <v>0.10796219999999999</v>
      </c>
      <c r="N6538">
        <v>0</v>
      </c>
      <c r="O6538">
        <v>0.9940561</v>
      </c>
      <c r="P6538">
        <v>0.16845839999999901</v>
      </c>
      <c r="Q6538">
        <v>-1.4270400000000001E-2</v>
      </c>
      <c r="R6538">
        <v>0.98560550000000002</v>
      </c>
      <c r="S6538">
        <v>1.3758539999999999</v>
      </c>
      <c r="T6538">
        <v>-0.41713149999999899</v>
      </c>
      <c r="U6538">
        <v>2.808853</v>
      </c>
      <c r="V6538">
        <v>6.1051569999999999E-2</v>
      </c>
      <c r="W6538">
        <v>-7.0414860000000002E-4</v>
      </c>
      <c r="X6538">
        <v>0.99813439999999998</v>
      </c>
      <c r="Y6538">
        <v>0.33639590000000003</v>
      </c>
      <c r="Z6538">
        <v>-0.13391510000000001</v>
      </c>
      <c r="AA6538">
        <v>0.93215049999999899</v>
      </c>
      <c r="AB6538">
        <v>25</v>
      </c>
      <c r="AC6538">
        <v>3.6028999999999698</v>
      </c>
      <c r="AD6538">
        <v>-1.1015540478529999</v>
      </c>
      <c r="AE6538">
        <v>7.1666999999999996</v>
      </c>
      <c r="AF6538">
        <v>2.7560522997988399</v>
      </c>
      <c r="AG6538">
        <v>-1.1015540478529999</v>
      </c>
      <c r="AH6538">
        <v>7.3747389727616302</v>
      </c>
      <c r="AI6538">
        <v>97.964954064321503</v>
      </c>
      <c r="AJ6538">
        <v>69.508518289630103</v>
      </c>
      <c r="AK6538">
        <v>7.9495924748339899</v>
      </c>
    </row>
    <row r="6539" spans="1:37" x14ac:dyDescent="0.2">
      <c r="A6539" t="str">
        <f>"20200111160347491"</f>
        <v>20200111160347491</v>
      </c>
      <c r="B6539" t="str">
        <f>"1578729827480257"</f>
        <v>1578729827480257</v>
      </c>
      <c r="C6539" t="s">
        <v>37</v>
      </c>
      <c r="D6539">
        <v>5.2936110000000003</v>
      </c>
      <c r="E6539">
        <v>0.61539600000000005</v>
      </c>
      <c r="F6539" t="s">
        <v>77</v>
      </c>
      <c r="G6539">
        <v>-184.88079999999999</v>
      </c>
      <c r="H6539" s="1">
        <v>-2.0723999999999998E-6</v>
      </c>
      <c r="I6539">
        <v>122.06610000000001</v>
      </c>
      <c r="J6539">
        <v>-188.4529</v>
      </c>
      <c r="K6539">
        <v>1.1013649999999999</v>
      </c>
      <c r="L6539">
        <v>115.05370000000001</v>
      </c>
      <c r="M6539">
        <v>0.11214919999999901</v>
      </c>
      <c r="N6539">
        <v>0</v>
      </c>
      <c r="O6539">
        <v>0.99359229999999998</v>
      </c>
      <c r="P6539">
        <v>0.17250689999999999</v>
      </c>
      <c r="Q6539">
        <v>-1.6488630000000001E-2</v>
      </c>
      <c r="R6539">
        <v>0.98487029999999998</v>
      </c>
      <c r="S6539">
        <v>1.391251</v>
      </c>
      <c r="T6539">
        <v>-0.42538969999999998</v>
      </c>
      <c r="U6539">
        <v>2.7998660000000002</v>
      </c>
      <c r="V6539">
        <v>6.0935030000000001E-2</v>
      </c>
      <c r="W6539">
        <v>-2.9377100000000001E-3</v>
      </c>
      <c r="X6539">
        <v>0.99813739999999995</v>
      </c>
      <c r="Y6539">
        <v>0.3375705</v>
      </c>
      <c r="Z6539">
        <v>-0.13661909999999999</v>
      </c>
      <c r="AA6539">
        <v>0.93133310000000002</v>
      </c>
      <c r="AB6539">
        <v>25</v>
      </c>
      <c r="AC6539">
        <v>3.5720999999999998</v>
      </c>
      <c r="AD6539">
        <v>-1.1013670724</v>
      </c>
      <c r="AE6539">
        <v>7.0124000000000004</v>
      </c>
      <c r="AF6539">
        <v>2.7099715452456699</v>
      </c>
      <c r="AG6539">
        <v>-1.1013670724</v>
      </c>
      <c r="AH6539">
        <v>7.2272500636673298</v>
      </c>
      <c r="AI6539">
        <v>98.1206969702572</v>
      </c>
      <c r="AJ6539">
        <v>69.4456731252059</v>
      </c>
      <c r="AK6539">
        <v>7.79680054169578</v>
      </c>
    </row>
    <row r="6540" spans="1:37" x14ac:dyDescent="0.2">
      <c r="A6540" t="str">
        <f>"20200111160347513"</f>
        <v>20200111160347513</v>
      </c>
      <c r="B6540" t="str">
        <f>"1578729827509537"</f>
        <v>1578729827509537</v>
      </c>
      <c r="C6540" t="s">
        <v>37</v>
      </c>
      <c r="D6540">
        <v>5.2667909999999996</v>
      </c>
      <c r="E6540">
        <v>0.61525269999999899</v>
      </c>
      <c r="F6540" t="s">
        <v>77</v>
      </c>
      <c r="G6540">
        <v>-184.8648</v>
      </c>
      <c r="H6540" s="1">
        <v>-2.1241440000000001E-6</v>
      </c>
      <c r="I6540">
        <v>122.19750000000001</v>
      </c>
      <c r="J6540">
        <v>-188.42089999999999</v>
      </c>
      <c r="K6540">
        <v>1.1011869999999999</v>
      </c>
      <c r="L6540">
        <v>115.2928</v>
      </c>
      <c r="M6540">
        <v>0.1165838</v>
      </c>
      <c r="N6540">
        <v>0</v>
      </c>
      <c r="O6540">
        <v>0.99308159999999901</v>
      </c>
      <c r="P6540">
        <v>0.1758325</v>
      </c>
      <c r="Q6540">
        <v>-1.8805639999999998E-2</v>
      </c>
      <c r="R6540">
        <v>0.98424049999999996</v>
      </c>
      <c r="S6540">
        <v>1.4029240000000001</v>
      </c>
      <c r="T6540">
        <v>-0.43062319999999998</v>
      </c>
      <c r="U6540">
        <v>2.79313699999999</v>
      </c>
      <c r="V6540">
        <v>5.9835909999999999E-2</v>
      </c>
      <c r="W6540">
        <v>-5.2589029999999997E-3</v>
      </c>
      <c r="X6540">
        <v>0.99819439999999904</v>
      </c>
      <c r="Y6540">
        <v>0.33727379999999901</v>
      </c>
      <c r="Z6540">
        <v>-0.1383385</v>
      </c>
      <c r="AA6540">
        <v>0.93118679999999998</v>
      </c>
      <c r="AB6540">
        <v>25</v>
      </c>
      <c r="AC6540">
        <v>3.5560999999999798</v>
      </c>
      <c r="AD6540">
        <v>-1.1011891241439999</v>
      </c>
      <c r="AE6540">
        <v>6.9047000000000001</v>
      </c>
      <c r="AF6540">
        <v>2.6730541661863598</v>
      </c>
      <c r="AG6540">
        <v>-1.1011891241439999</v>
      </c>
      <c r="AH6540">
        <v>7.1289196090539004</v>
      </c>
      <c r="AI6540">
        <v>98.229888428402404</v>
      </c>
      <c r="AJ6540">
        <v>69.446003053097996</v>
      </c>
      <c r="AK6540">
        <v>7.6928103352970103</v>
      </c>
    </row>
    <row r="6541" spans="1:37" x14ac:dyDescent="0.2">
      <c r="A6541" t="str">
        <f>"20200111160347537"</f>
        <v>20200111160347537</v>
      </c>
      <c r="B6541" t="str">
        <f>"1578729827530034"</f>
        <v>1578729827530034</v>
      </c>
      <c r="C6541" t="s">
        <v>37</v>
      </c>
      <c r="D6541">
        <v>5.2505759999999997</v>
      </c>
      <c r="E6541">
        <v>0.61517049999999995</v>
      </c>
      <c r="F6541" t="s">
        <v>77</v>
      </c>
      <c r="G6541">
        <v>-184.8595</v>
      </c>
      <c r="H6541" s="1">
        <v>-2.1963180000000001E-6</v>
      </c>
      <c r="I6541">
        <v>122.3278</v>
      </c>
      <c r="J6541">
        <v>-188.38249999999999</v>
      </c>
      <c r="K6541">
        <v>1.100986</v>
      </c>
      <c r="L6541">
        <v>115.5673</v>
      </c>
      <c r="M6541">
        <v>0.1219734</v>
      </c>
      <c r="N6541">
        <v>0</v>
      </c>
      <c r="O6541">
        <v>0.99243379999999903</v>
      </c>
      <c r="P6541">
        <v>0.1797059</v>
      </c>
      <c r="Q6541">
        <v>-2.2142459999999999E-2</v>
      </c>
      <c r="R6541">
        <v>0.98347119999999999</v>
      </c>
      <c r="S6541">
        <v>1.4111940000000001</v>
      </c>
      <c r="T6541">
        <v>-0.43633670000000002</v>
      </c>
      <c r="U6541">
        <v>2.7875669999999899</v>
      </c>
      <c r="V6541">
        <v>5.832532E-2</v>
      </c>
      <c r="W6541">
        <v>-8.5959119999999903E-3</v>
      </c>
      <c r="X6541">
        <v>0.99826059999999905</v>
      </c>
      <c r="Y6541">
        <v>0.3349973</v>
      </c>
      <c r="Z6541">
        <v>-0.14021510000000001</v>
      </c>
      <c r="AA6541">
        <v>0.93172770000000005</v>
      </c>
      <c r="AB6541">
        <v>25</v>
      </c>
      <c r="AC6541">
        <v>3.5229999999999899</v>
      </c>
      <c r="AD6541">
        <v>-1.1009881963179999</v>
      </c>
      <c r="AE6541">
        <v>6.7604999999999897</v>
      </c>
      <c r="AF6541">
        <v>2.61741344070122</v>
      </c>
      <c r="AG6541">
        <v>-1.1009881963179999</v>
      </c>
      <c r="AH6541">
        <v>6.9938888025823802</v>
      </c>
      <c r="AI6541">
        <v>98.386980456386098</v>
      </c>
      <c r="AJ6541">
        <v>69.481993296991803</v>
      </c>
      <c r="AK6541">
        <v>7.5483447662969203</v>
      </c>
    </row>
    <row r="6542" spans="1:37" x14ac:dyDescent="0.2">
      <c r="A6542" t="str">
        <f>"20200111160347560"</f>
        <v>20200111160347560</v>
      </c>
      <c r="B6542" t="str">
        <f>"1578729827550530"</f>
        <v>1578729827550530</v>
      </c>
      <c r="C6542" t="s">
        <v>37</v>
      </c>
      <c r="D6542">
        <v>5.570735</v>
      </c>
      <c r="E6542">
        <v>0.5935222</v>
      </c>
      <c r="F6542" t="s">
        <v>77</v>
      </c>
      <c r="G6542">
        <v>-184.87350000000001</v>
      </c>
      <c r="H6542" s="1">
        <v>-2.2519629999999998E-6</v>
      </c>
      <c r="I6542">
        <v>122.4329</v>
      </c>
      <c r="J6542">
        <v>-188.34549999999999</v>
      </c>
      <c r="K6542">
        <v>1.1007940000000001</v>
      </c>
      <c r="L6542">
        <v>115.8206</v>
      </c>
      <c r="M6542">
        <v>0.12723219999999999</v>
      </c>
      <c r="N6542">
        <v>0</v>
      </c>
      <c r="O6542">
        <v>0.99177320000000002</v>
      </c>
      <c r="P6542">
        <v>0.18250259999999999</v>
      </c>
      <c r="Q6542">
        <v>-2.623634E-2</v>
      </c>
      <c r="R6542">
        <v>0.98285529999999999</v>
      </c>
      <c r="S6542">
        <v>1.4212340000000001</v>
      </c>
      <c r="T6542">
        <v>-0.44591979999999998</v>
      </c>
      <c r="U6542">
        <v>2.7806850000000001</v>
      </c>
      <c r="V6542">
        <v>5.5847519999999998E-2</v>
      </c>
      <c r="W6542">
        <v>-1.2678119999999999E-2</v>
      </c>
      <c r="X6542">
        <v>0.99835879999999999</v>
      </c>
      <c r="Y6542">
        <v>0.33340639999999999</v>
      </c>
      <c r="Z6542">
        <v>-0.14332700000000001</v>
      </c>
      <c r="AA6542">
        <v>0.93182489999999996</v>
      </c>
      <c r="AB6542">
        <v>25</v>
      </c>
      <c r="AC6542">
        <v>3.4719999999999702</v>
      </c>
      <c r="AD6542">
        <v>-1.1007962519629999</v>
      </c>
      <c r="AE6542">
        <v>6.6123000000000003</v>
      </c>
      <c r="AF6542">
        <v>2.5470620807108801</v>
      </c>
      <c r="AG6542">
        <v>-1.1007962519629999</v>
      </c>
      <c r="AH6542">
        <v>6.8514971744367497</v>
      </c>
      <c r="AI6542">
        <v>98.564134845599199</v>
      </c>
      <c r="AJ6542">
        <v>69.607250393573494</v>
      </c>
      <c r="AK6542">
        <v>7.3920424215940299</v>
      </c>
    </row>
    <row r="6543" spans="1:37" x14ac:dyDescent="0.2">
      <c r="A6543" t="str">
        <f>"20200111160347582"</f>
        <v>20200111160347582</v>
      </c>
      <c r="B6543" t="str">
        <f>"1578729827570051"</f>
        <v>1578729827570051</v>
      </c>
      <c r="C6543" t="s">
        <v>37</v>
      </c>
      <c r="D6543">
        <v>5.1820250000000003</v>
      </c>
      <c r="E6543">
        <v>0.52476250000000002</v>
      </c>
      <c r="F6543" t="s">
        <v>77</v>
      </c>
      <c r="G6543">
        <v>-184.2868</v>
      </c>
      <c r="H6543" s="1">
        <v>-3.5850829999999999E-6</v>
      </c>
      <c r="I6543">
        <v>124.82599999999999</v>
      </c>
      <c r="J6543">
        <v>-188.3074</v>
      </c>
      <c r="K6543">
        <v>1.1005940000000001</v>
      </c>
      <c r="L6543">
        <v>116.0698</v>
      </c>
      <c r="M6543">
        <v>0.13267989999999999</v>
      </c>
      <c r="N6543">
        <v>0</v>
      </c>
      <c r="O6543">
        <v>0.99105880000000002</v>
      </c>
      <c r="P6543">
        <v>0.18551879999999901</v>
      </c>
      <c r="Q6543">
        <v>-2.9803530000000002E-2</v>
      </c>
      <c r="R6543">
        <v>0.98218859999999997</v>
      </c>
      <c r="S6543">
        <v>1.265625</v>
      </c>
      <c r="T6543">
        <v>-0.34326329999999999</v>
      </c>
      <c r="U6543">
        <v>2.8081669999999899</v>
      </c>
      <c r="V6543">
        <v>5.340255E-2</v>
      </c>
      <c r="W6543">
        <v>-1.623053E-2</v>
      </c>
      <c r="X6543">
        <v>0.99844120000000003</v>
      </c>
      <c r="Y6543">
        <v>0.2836958</v>
      </c>
      <c r="Z6543">
        <v>-0.111918899999999</v>
      </c>
      <c r="AA6543">
        <v>0.95236069999999995</v>
      </c>
      <c r="AB6543">
        <v>25</v>
      </c>
      <c r="AC6543">
        <v>4.0206</v>
      </c>
      <c r="AD6543">
        <v>-1.1005975850830001</v>
      </c>
      <c r="AE6543">
        <v>8.7561999999999998</v>
      </c>
      <c r="AF6543">
        <v>2.7867977210321402</v>
      </c>
      <c r="AG6543">
        <v>-1.1005975850830001</v>
      </c>
      <c r="AH6543">
        <v>9.0936238516950691</v>
      </c>
      <c r="AI6543">
        <v>96.600776087259604</v>
      </c>
      <c r="AJ6543">
        <v>72.961990154153895</v>
      </c>
      <c r="AK6543">
        <v>9.5745261678245992</v>
      </c>
    </row>
    <row r="6544" spans="1:37" x14ac:dyDescent="0.2">
      <c r="A6544" t="str">
        <f>"20200111160347602"</f>
        <v>20200111160347602</v>
      </c>
      <c r="B6544" t="str">
        <f>"1578729827600305"</f>
        <v>1578729827600305</v>
      </c>
      <c r="C6544" t="s">
        <v>37</v>
      </c>
      <c r="D6544">
        <v>4.7369669999999999</v>
      </c>
      <c r="E6544">
        <v>0.44805820000000002</v>
      </c>
      <c r="F6544" t="s">
        <v>77</v>
      </c>
      <c r="G6544">
        <v>-183.59139999999999</v>
      </c>
      <c r="H6544" s="1">
        <v>-6.8086579999999998E-6</v>
      </c>
      <c r="I6544">
        <v>134.46600000000001</v>
      </c>
      <c r="J6544">
        <v>-188.27119999999999</v>
      </c>
      <c r="K6544">
        <v>1.1004100000000001</v>
      </c>
      <c r="L6544">
        <v>116.297</v>
      </c>
      <c r="M6544">
        <v>0.13788810000000001</v>
      </c>
      <c r="N6544">
        <v>0</v>
      </c>
      <c r="O6544">
        <v>0.99034739999999999</v>
      </c>
      <c r="P6544">
        <v>0.1892374</v>
      </c>
      <c r="Q6544">
        <v>-3.1959359999999999E-2</v>
      </c>
      <c r="R6544">
        <v>0.98141109999999898</v>
      </c>
      <c r="S6544">
        <v>0.74557499999999999</v>
      </c>
      <c r="T6544">
        <v>-0.17399700000000001</v>
      </c>
      <c r="U6544">
        <v>2.90830999999999</v>
      </c>
      <c r="V6544">
        <v>5.1918029999999997E-2</v>
      </c>
      <c r="W6544">
        <v>-1.837743E-2</v>
      </c>
      <c r="X6544">
        <v>0.99848219999999999</v>
      </c>
      <c r="Y6544">
        <v>0.1119575</v>
      </c>
      <c r="Z6544">
        <v>-5.7752959999999999E-2</v>
      </c>
      <c r="AA6544">
        <v>0.99203330000000001</v>
      </c>
      <c r="AB6544">
        <v>25</v>
      </c>
      <c r="AC6544">
        <v>4.6798000000000002</v>
      </c>
      <c r="AD6544">
        <v>-1.100416808658</v>
      </c>
      <c r="AE6544">
        <v>18.169</v>
      </c>
      <c r="AF6544">
        <v>2.1222501739751798</v>
      </c>
      <c r="AG6544">
        <v>-1.100416808658</v>
      </c>
      <c r="AH6544">
        <v>18.576860564837801</v>
      </c>
      <c r="AI6544">
        <v>93.368148046262505</v>
      </c>
      <c r="AJ6544">
        <v>83.482693539953004</v>
      </c>
      <c r="AK6544">
        <v>18.7300456859865</v>
      </c>
    </row>
    <row r="6545" spans="1:37" x14ac:dyDescent="0.2">
      <c r="A6545" t="str">
        <f>"20200111160347624"</f>
        <v>20200111160347624</v>
      </c>
      <c r="B6545" t="str">
        <f>"1578729827619826"</f>
        <v>1578729827619826</v>
      </c>
      <c r="C6545" t="s">
        <v>37</v>
      </c>
      <c r="D6545">
        <v>8.2044529999999902</v>
      </c>
      <c r="E6545">
        <v>0.41848639999999998</v>
      </c>
      <c r="F6545" t="s">
        <v>43</v>
      </c>
      <c r="G6545">
        <v>0</v>
      </c>
      <c r="H6545">
        <v>0</v>
      </c>
      <c r="I6545">
        <v>0</v>
      </c>
      <c r="J6545">
        <v>-188.22989999999999</v>
      </c>
      <c r="K6545">
        <v>1.100212</v>
      </c>
      <c r="L6545">
        <v>116.5455</v>
      </c>
      <c r="M6545">
        <v>0.14383570000000001</v>
      </c>
      <c r="N6545">
        <v>0</v>
      </c>
      <c r="O6545">
        <v>0.98950079999999996</v>
      </c>
      <c r="P6545">
        <v>0.19410079999999999</v>
      </c>
      <c r="Q6545">
        <v>-3.472563E-2</v>
      </c>
      <c r="R6545">
        <v>0.98036679999999998</v>
      </c>
      <c r="S6545">
        <v>0.17134089999999999</v>
      </c>
      <c r="T6545">
        <v>7.6355220000000001E-2</v>
      </c>
      <c r="U6545">
        <v>3.02627599999999</v>
      </c>
      <c r="V6545">
        <v>5.084731E-2</v>
      </c>
      <c r="W6545">
        <v>-2.113779E-2</v>
      </c>
      <c r="X6545">
        <v>0.99848269999999995</v>
      </c>
      <c r="Y6545">
        <v>-8.7698170000000006E-2</v>
      </c>
      <c r="Z6545">
        <v>2.4761419999999999E-2</v>
      </c>
      <c r="AA6545">
        <v>0.99583929999999998</v>
      </c>
      <c r="AB6545">
        <v>25</v>
      </c>
      <c r="AC6545">
        <v>0.17134089999999999</v>
      </c>
      <c r="AD6545">
        <v>7.6355220000000001E-2</v>
      </c>
      <c r="AE6545">
        <v>3.02627599999999</v>
      </c>
      <c r="AF6545">
        <v>-0.26560253578273502</v>
      </c>
      <c r="AG6545">
        <v>7.6355220000000001E-2</v>
      </c>
      <c r="AH6545">
        <v>3.0175338067989199</v>
      </c>
      <c r="AI6545">
        <v>88.556085728846</v>
      </c>
      <c r="AJ6545">
        <v>95.030195806754094</v>
      </c>
      <c r="AK6545">
        <v>3.0301625536940899</v>
      </c>
    </row>
    <row r="6546" spans="1:37" x14ac:dyDescent="0.2">
      <c r="A6546" t="str">
        <f>"20200111160347648"</f>
        <v>20200111160347648</v>
      </c>
      <c r="B6546" t="str">
        <f>"1578729827640321"</f>
        <v>1578729827640321</v>
      </c>
      <c r="C6546" t="s">
        <v>37</v>
      </c>
      <c r="D6546">
        <v>5.8874449999999996</v>
      </c>
      <c r="E6546">
        <v>0.35331319999999999</v>
      </c>
      <c r="F6546" t="s">
        <v>77</v>
      </c>
      <c r="G6546">
        <v>-188.4974</v>
      </c>
      <c r="H6546" s="1">
        <v>-4.5179709999999996E-6</v>
      </c>
      <c r="I6546">
        <v>128.62520000000001</v>
      </c>
      <c r="J6546">
        <v>-188.185</v>
      </c>
      <c r="K6546">
        <v>1.10002</v>
      </c>
      <c r="L6546">
        <v>116.8047</v>
      </c>
      <c r="M6546">
        <v>0.15031439999999999</v>
      </c>
      <c r="N6546">
        <v>0</v>
      </c>
      <c r="O6546">
        <v>0.98853709999999995</v>
      </c>
      <c r="P6546">
        <v>0.20011679999999901</v>
      </c>
      <c r="Q6546">
        <v>-3.6497889999999998E-2</v>
      </c>
      <c r="R6546">
        <v>0.97909199999999996</v>
      </c>
      <c r="S6546">
        <v>-6.7840579999999998E-2</v>
      </c>
      <c r="T6546">
        <v>-0.27903429999999901</v>
      </c>
      <c r="U6546">
        <v>3.0636290000000002</v>
      </c>
      <c r="V6546">
        <v>5.0419169999999999E-2</v>
      </c>
      <c r="W6546">
        <v>-2.290872E-2</v>
      </c>
      <c r="X6546">
        <v>0.99846539999999995</v>
      </c>
      <c r="Y6546">
        <v>-0.17208699999999999</v>
      </c>
      <c r="Z6546">
        <v>-8.84717E-2</v>
      </c>
      <c r="AA6546">
        <v>0.9811008</v>
      </c>
      <c r="AB6546">
        <v>25</v>
      </c>
      <c r="AC6546">
        <v>-0.31239999999999601</v>
      </c>
      <c r="AD6546">
        <v>-1.100024517971</v>
      </c>
      <c r="AE6546">
        <v>11.820499999999999</v>
      </c>
      <c r="AF6546">
        <v>-2.0679225959037901</v>
      </c>
      <c r="AG6546">
        <v>-1.100024517971</v>
      </c>
      <c r="AH6546">
        <v>11.5393440016671</v>
      </c>
      <c r="AI6546">
        <v>95.3605590414532</v>
      </c>
      <c r="AJ6546">
        <v>100.15991651309901</v>
      </c>
      <c r="AK6546">
        <v>11.7746684790527</v>
      </c>
    </row>
    <row r="6547" spans="1:37" x14ac:dyDescent="0.2">
      <c r="A6547" t="str">
        <f>"20200111160347671"</f>
        <v>20200111160347671</v>
      </c>
      <c r="B6547" t="str">
        <f>"1578729827659841"</f>
        <v>1578729827659841</v>
      </c>
      <c r="C6547" t="s">
        <v>37</v>
      </c>
      <c r="D6547">
        <v>5.0354229999999998</v>
      </c>
      <c r="E6547">
        <v>0.423372999999999</v>
      </c>
      <c r="F6547" t="s">
        <v>101</v>
      </c>
      <c r="G6547">
        <v>-231.0521</v>
      </c>
      <c r="H6547">
        <v>56.142819999999901</v>
      </c>
      <c r="I6547">
        <v>391.00349999999997</v>
      </c>
      <c r="J6547">
        <v>-188.13990000000001</v>
      </c>
      <c r="K6547">
        <v>1.0998540000000001</v>
      </c>
      <c r="L6547">
        <v>117.05249999999999</v>
      </c>
      <c r="M6547">
        <v>0.15677049999999901</v>
      </c>
      <c r="N6547">
        <v>0</v>
      </c>
      <c r="O6547">
        <v>0.98753349999999995</v>
      </c>
      <c r="P6547">
        <v>0.2064404</v>
      </c>
      <c r="Q6547">
        <v>-3.6611079999999997E-2</v>
      </c>
      <c r="R6547">
        <v>0.97777400000000003</v>
      </c>
      <c r="S6547">
        <v>-0.49868770000000001</v>
      </c>
      <c r="T6547">
        <v>0.64033200000000001</v>
      </c>
      <c r="U6547">
        <v>3.1898499999999999</v>
      </c>
      <c r="V6547">
        <v>5.0338149999999998E-2</v>
      </c>
      <c r="W6547">
        <v>-2.3021340000000001E-2</v>
      </c>
      <c r="X6547">
        <v>0.99846679999999999</v>
      </c>
      <c r="Y6547">
        <v>-0.30461109999999902</v>
      </c>
      <c r="Z6547">
        <v>0.1873783</v>
      </c>
      <c r="AA6547">
        <v>0.93386369999999896</v>
      </c>
      <c r="AB6547">
        <v>25</v>
      </c>
      <c r="AC6547">
        <v>-42.912199999999899</v>
      </c>
      <c r="AD6547">
        <v>55.0429659999999</v>
      </c>
      <c r="AE6547">
        <v>273.950999999999</v>
      </c>
      <c r="AF6547">
        <v>-82.098302103480705</v>
      </c>
      <c r="AG6547">
        <v>55.0429659999999</v>
      </c>
      <c r="AH6547">
        <v>253.833076834059</v>
      </c>
      <c r="AI6547">
        <v>78.342107202438498</v>
      </c>
      <c r="AJ6547">
        <v>107.922982103496</v>
      </c>
      <c r="AK6547">
        <v>272.39877057247702</v>
      </c>
    </row>
    <row r="6548" spans="1:37" x14ac:dyDescent="0.2">
      <c r="A6548" t="str">
        <f>"20200111160347692"</f>
        <v>20200111160347692</v>
      </c>
      <c r="B6548" t="str">
        <f>"1578729827680338"</f>
        <v>1578729827680338</v>
      </c>
      <c r="C6548" t="s">
        <v>37</v>
      </c>
      <c r="D6548">
        <v>5.0409259999999998</v>
      </c>
      <c r="E6548">
        <v>0.42550090000000002</v>
      </c>
      <c r="F6548" t="s">
        <v>77</v>
      </c>
      <c r="G6548">
        <v>-187.96459999999999</v>
      </c>
      <c r="H6548" s="1">
        <v>-9.5109879999999997E-6</v>
      </c>
      <c r="I6548">
        <v>144.49100000000001</v>
      </c>
      <c r="J6548">
        <v>-188.09530000000001</v>
      </c>
      <c r="K6548">
        <v>1.0997159999999999</v>
      </c>
      <c r="L6548">
        <v>117.2877</v>
      </c>
      <c r="M6548">
        <v>0.16312670000000001</v>
      </c>
      <c r="N6548">
        <v>0</v>
      </c>
      <c r="O6548">
        <v>0.98650319999999903</v>
      </c>
      <c r="P6548">
        <v>0.2132935</v>
      </c>
      <c r="Q6548">
        <v>-3.4956470000000003E-2</v>
      </c>
      <c r="R6548">
        <v>0.97636259999999997</v>
      </c>
      <c r="S6548">
        <v>1.954651E-2</v>
      </c>
      <c r="T6548">
        <v>-0.1226371</v>
      </c>
      <c r="U6548">
        <v>3.0594480000000002</v>
      </c>
      <c r="V6548">
        <v>5.0912199999999998E-2</v>
      </c>
      <c r="W6548">
        <v>-2.1371250000000001E-2</v>
      </c>
      <c r="X6548">
        <v>0.99847439999999998</v>
      </c>
      <c r="Y6548">
        <v>-0.1568407</v>
      </c>
      <c r="Z6548">
        <v>-3.899975E-2</v>
      </c>
      <c r="AA6548">
        <v>0.9868536</v>
      </c>
      <c r="AB6548">
        <v>25</v>
      </c>
      <c r="AC6548">
        <v>0.130700000000018</v>
      </c>
      <c r="AD6548">
        <v>-1.099725510988</v>
      </c>
      <c r="AE6548">
        <v>27.203299999999999</v>
      </c>
      <c r="AF6548">
        <v>-4.3020513474023296</v>
      </c>
      <c r="AG6548">
        <v>-1.099725510988</v>
      </c>
      <c r="AH6548">
        <v>26.8163400115785</v>
      </c>
      <c r="AI6548">
        <v>92.318741336891705</v>
      </c>
      <c r="AJ6548">
        <v>99.114101555511297</v>
      </c>
      <c r="AK6548">
        <v>27.181485125205999</v>
      </c>
    </row>
    <row r="6549" spans="1:37" x14ac:dyDescent="0.2">
      <c r="A6549" t="str">
        <f>"20200111160347713"</f>
        <v>20200111160347713</v>
      </c>
      <c r="B6549" t="str">
        <f>"1578729827709617"</f>
        <v>1578729827709617</v>
      </c>
      <c r="C6549" t="s">
        <v>37</v>
      </c>
      <c r="D6549">
        <v>4.7068260000000004</v>
      </c>
      <c r="E6549">
        <v>0.42340139999999998</v>
      </c>
      <c r="F6549" t="s">
        <v>77</v>
      </c>
      <c r="G6549">
        <v>-187.7998</v>
      </c>
      <c r="H6549" s="1">
        <v>-6.5205429999999998E-6</v>
      </c>
      <c r="I6549">
        <v>134.44220000000001</v>
      </c>
      <c r="J6549">
        <v>-188.0479</v>
      </c>
      <c r="K6549">
        <v>1.099607</v>
      </c>
      <c r="L6549">
        <v>117.5279</v>
      </c>
      <c r="M6549">
        <v>0.1697941</v>
      </c>
      <c r="N6549">
        <v>0</v>
      </c>
      <c r="O6549">
        <v>0.98537730000000001</v>
      </c>
      <c r="P6549">
        <v>0.2206021</v>
      </c>
      <c r="Q6549">
        <v>-3.2502799999999998E-2</v>
      </c>
      <c r="R6549">
        <v>0.97482219999999997</v>
      </c>
      <c r="S6549">
        <v>5.2612300000000001E-2</v>
      </c>
      <c r="T6549">
        <v>-0.1957904</v>
      </c>
      <c r="U6549">
        <v>3.0541230000000001</v>
      </c>
      <c r="V6549">
        <v>5.1647890000000002E-2</v>
      </c>
      <c r="W6549">
        <v>-1.8921480000000001E-2</v>
      </c>
      <c r="X6549">
        <v>0.99848609999999904</v>
      </c>
      <c r="Y6549">
        <v>-0.15284389999999901</v>
      </c>
      <c r="Z6549">
        <v>-6.2203170000000002E-2</v>
      </c>
      <c r="AA6549">
        <v>0.98629080000000002</v>
      </c>
      <c r="AB6549">
        <v>25</v>
      </c>
      <c r="AC6549">
        <v>0.24809999999999299</v>
      </c>
      <c r="AD6549">
        <v>-1.099613520543</v>
      </c>
      <c r="AE6549">
        <v>16.914300000000001</v>
      </c>
      <c r="AF6549">
        <v>-2.6166842354319302</v>
      </c>
      <c r="AG6549">
        <v>-1.099613520543</v>
      </c>
      <c r="AH6549">
        <v>16.6404628489645</v>
      </c>
      <c r="AI6549">
        <v>93.734886928214394</v>
      </c>
      <c r="AJ6549">
        <v>98.936484975092995</v>
      </c>
      <c r="AK6549">
        <v>16.880793527268999</v>
      </c>
    </row>
    <row r="6550" spans="1:37" x14ac:dyDescent="0.2">
      <c r="A6550" t="str">
        <f>"20200111160347803"</f>
        <v>20200111160347803</v>
      </c>
      <c r="B6550" t="str">
        <f>"1578729827799409"</f>
        <v>1578729827799409</v>
      </c>
      <c r="C6550" t="s">
        <v>37</v>
      </c>
      <c r="D6550">
        <v>4.7918570000000003</v>
      </c>
      <c r="E6550">
        <v>0.420626099999999</v>
      </c>
      <c r="F6550" t="s">
        <v>77</v>
      </c>
      <c r="G6550">
        <v>-187.7567</v>
      </c>
      <c r="H6550" s="1">
        <v>-6.0891419999999997E-6</v>
      </c>
      <c r="I6550">
        <v>133.08580000000001</v>
      </c>
      <c r="J6550">
        <v>-187.8349</v>
      </c>
      <c r="K6550">
        <v>1.0992979999999899</v>
      </c>
      <c r="L6550">
        <v>118.50700000000001</v>
      </c>
      <c r="M6550">
        <v>0.19861289999999901</v>
      </c>
      <c r="N6550">
        <v>0</v>
      </c>
      <c r="O6550">
        <v>0.97997420000000002</v>
      </c>
      <c r="P6550">
        <v>0.2447722</v>
      </c>
      <c r="Q6550">
        <v>-1.8421750000000001E-2</v>
      </c>
      <c r="R6550">
        <v>0.96940559999999998</v>
      </c>
      <c r="S6550">
        <v>5.7235719999999997E-2</v>
      </c>
      <c r="T6550">
        <v>-0.21608809999999901</v>
      </c>
      <c r="U6550">
        <v>3.0573269999999999</v>
      </c>
      <c r="V6550">
        <v>4.7283310000000002E-2</v>
      </c>
      <c r="W6550">
        <v>-4.7571339999999997E-3</v>
      </c>
      <c r="X6550">
        <v>0.99887019999999904</v>
      </c>
      <c r="Y6550">
        <v>-0.1802936</v>
      </c>
      <c r="Z6550">
        <v>-6.7815239999999999E-2</v>
      </c>
      <c r="AA6550">
        <v>0.98127229999999999</v>
      </c>
      <c r="AB6550">
        <v>25</v>
      </c>
      <c r="AC6550">
        <v>7.8200000000009595E-2</v>
      </c>
      <c r="AD6550">
        <v>-1.0993040891419901</v>
      </c>
      <c r="AE6550">
        <v>14.578799999999999</v>
      </c>
      <c r="AF6550">
        <v>-2.8032523140885601</v>
      </c>
      <c r="AG6550">
        <v>-1.0993040891419901</v>
      </c>
      <c r="AH6550">
        <v>14.2229680377776</v>
      </c>
      <c r="AI6550">
        <v>94.336549423631396</v>
      </c>
      <c r="AJ6550">
        <v>101.149709490666</v>
      </c>
      <c r="AK6550">
        <v>14.5382087211764</v>
      </c>
    </row>
    <row r="6551" spans="1:37" x14ac:dyDescent="0.2">
      <c r="A6551" t="str">
        <f>"20200111160347825"</f>
        <v>20200111160347825</v>
      </c>
      <c r="B6551" t="str">
        <f>"1578729827819905"</f>
        <v>1578729827819905</v>
      </c>
      <c r="C6551" t="s">
        <v>37</v>
      </c>
      <c r="D6551">
        <v>4.8489000000000004</v>
      </c>
      <c r="E6551">
        <v>0.41646070000000002</v>
      </c>
      <c r="F6551" t="s">
        <v>77</v>
      </c>
      <c r="G6551">
        <v>-187.1302</v>
      </c>
      <c r="H6551" s="1">
        <v>-7.6442649999999999E-6</v>
      </c>
      <c r="I6551">
        <v>137.74459999999999</v>
      </c>
      <c r="J6551">
        <v>-187.77529999999999</v>
      </c>
      <c r="K6551">
        <v>1.0992</v>
      </c>
      <c r="L6551">
        <v>118.7565</v>
      </c>
      <c r="M6551">
        <v>0.20637129999999901</v>
      </c>
      <c r="N6551">
        <v>0</v>
      </c>
      <c r="O6551">
        <v>0.97836939999999994</v>
      </c>
      <c r="P6551">
        <v>0.249729799999999</v>
      </c>
      <c r="Q6551">
        <v>-1.5800930000000001E-2</v>
      </c>
      <c r="R6551">
        <v>0.96818660000000001</v>
      </c>
      <c r="S6551">
        <v>0.1122131</v>
      </c>
      <c r="T6551">
        <v>-0.1750321</v>
      </c>
      <c r="U6551">
        <v>3.063034</v>
      </c>
      <c r="V6551">
        <v>4.4503599999999997E-2</v>
      </c>
      <c r="W6551">
        <v>-2.0915930000000001E-3</v>
      </c>
      <c r="X6551">
        <v>0.99900699999999998</v>
      </c>
      <c r="Y6551">
        <v>-0.1704859</v>
      </c>
      <c r="Z6551">
        <v>-5.4775379999999999E-2</v>
      </c>
      <c r="AA6551">
        <v>0.9838365</v>
      </c>
      <c r="AB6551">
        <v>25</v>
      </c>
      <c r="AC6551">
        <v>0.64509999999998502</v>
      </c>
      <c r="AD6551">
        <v>-1.0992076442649901</v>
      </c>
      <c r="AE6551">
        <v>18.9880999999999</v>
      </c>
      <c r="AF6551">
        <v>-3.27681996737331</v>
      </c>
      <c r="AG6551">
        <v>-1.0992076442649901</v>
      </c>
      <c r="AH6551">
        <v>18.649989569139102</v>
      </c>
      <c r="AI6551">
        <v>93.322267118200699</v>
      </c>
      <c r="AJ6551">
        <v>99.965206208348903</v>
      </c>
      <c r="AK6551">
        <v>18.967549063407802</v>
      </c>
    </row>
    <row r="6552" spans="1:37" x14ac:dyDescent="0.2">
      <c r="A6552" t="str">
        <f>"20200111160348003"</f>
        <v>20200111160348003</v>
      </c>
      <c r="B6552" t="str">
        <f>"1578729827999489"</f>
        <v>1578729827999489</v>
      </c>
      <c r="C6552" t="s">
        <v>37</v>
      </c>
      <c r="D6552">
        <v>4.7527379999999999</v>
      </c>
      <c r="E6552">
        <v>0.61373109999999997</v>
      </c>
      <c r="F6552" t="s">
        <v>77</v>
      </c>
      <c r="G6552">
        <v>-187.15989999999999</v>
      </c>
      <c r="H6552" s="1">
        <v>-7.9277780000000004E-6</v>
      </c>
      <c r="I6552">
        <v>138.56290000000001</v>
      </c>
      <c r="J6552">
        <v>-187.24090000000001</v>
      </c>
      <c r="K6552">
        <v>1.0985229999999999</v>
      </c>
      <c r="L6552">
        <v>120.65389999999999</v>
      </c>
      <c r="M6552">
        <v>0.27124480000000001</v>
      </c>
      <c r="N6552">
        <v>0</v>
      </c>
      <c r="O6552">
        <v>0.96240219999999899</v>
      </c>
      <c r="P6552">
        <v>0.30740009999999901</v>
      </c>
      <c r="Q6552">
        <v>-1.228403E-2</v>
      </c>
      <c r="R6552">
        <v>0.95150109999999999</v>
      </c>
      <c r="S6552">
        <v>9.5428470000000001E-2</v>
      </c>
      <c r="T6552">
        <v>-0.17044309999999999</v>
      </c>
      <c r="U6552">
        <v>3.0711819999999999</v>
      </c>
      <c r="V6552">
        <v>3.7783659999999997E-2</v>
      </c>
      <c r="W6552">
        <v>1.5986589999999899E-3</v>
      </c>
      <c r="X6552">
        <v>0.99928470000000003</v>
      </c>
      <c r="Y6552">
        <v>-0.2412859</v>
      </c>
      <c r="Z6552">
        <v>-5.1470719999999998E-2</v>
      </c>
      <c r="AA6552">
        <v>0.96908809999999901</v>
      </c>
      <c r="AB6552">
        <v>24</v>
      </c>
      <c r="AC6552">
        <v>8.1000000000017197E-2</v>
      </c>
      <c r="AD6552">
        <v>-1.098530927778</v>
      </c>
      <c r="AE6552">
        <v>17.908999999999999</v>
      </c>
      <c r="AF6552">
        <v>-4.7623481583831699</v>
      </c>
      <c r="AG6552">
        <v>-1.098530927778</v>
      </c>
      <c r="AH6552">
        <v>17.194734511352401</v>
      </c>
      <c r="AI6552">
        <v>93.523239901065693</v>
      </c>
      <c r="AJ6552">
        <v>105.48089542478399</v>
      </c>
      <c r="AK6552">
        <v>17.8758391438509</v>
      </c>
    </row>
    <row r="6553" spans="1:37" x14ac:dyDescent="0.2">
      <c r="A6553" t="str">
        <f>"20200111160348027"</f>
        <v>20200111160348027</v>
      </c>
      <c r="B6553" t="str">
        <f>"1578729828019985"</f>
        <v>1578729828019985</v>
      </c>
      <c r="C6553" t="s">
        <v>37</v>
      </c>
      <c r="D6553">
        <v>5.0054129999999999</v>
      </c>
      <c r="E6553">
        <v>0.62556109999999998</v>
      </c>
      <c r="F6553" t="s">
        <v>67</v>
      </c>
      <c r="G6553">
        <v>-158.10169999999999</v>
      </c>
      <c r="H6553">
        <v>0.56323809999999996</v>
      </c>
      <c r="I6553">
        <v>162.64869999999999</v>
      </c>
      <c r="J6553">
        <v>-187.15819999999999</v>
      </c>
      <c r="K6553">
        <v>1.0984700000000001</v>
      </c>
      <c r="L6553">
        <v>120.9074</v>
      </c>
      <c r="M6553">
        <v>0.2805202</v>
      </c>
      <c r="N6553">
        <v>0</v>
      </c>
      <c r="O6553">
        <v>0.95973929999999996</v>
      </c>
      <c r="P6553">
        <v>0.31644729999999999</v>
      </c>
      <c r="Q6553">
        <v>-1.149711E-2</v>
      </c>
      <c r="R6553">
        <v>0.94854039999999995</v>
      </c>
      <c r="S6553">
        <v>1.78688</v>
      </c>
      <c r="T6553">
        <v>-3.2822850000000001E-2</v>
      </c>
      <c r="U6553">
        <v>2.5752109999999999</v>
      </c>
      <c r="V6553">
        <v>3.7664780000000002E-2</v>
      </c>
      <c r="W6553">
        <v>2.3983139999999999E-3</v>
      </c>
      <c r="X6553">
        <v>0.9992875</v>
      </c>
      <c r="Y6553">
        <v>0.3166582</v>
      </c>
      <c r="Z6553">
        <v>-1.0528050000000001E-2</v>
      </c>
      <c r="AA6553">
        <v>0.94848129999999997</v>
      </c>
      <c r="AB6553">
        <v>24</v>
      </c>
      <c r="AC6553">
        <v>29.0565</v>
      </c>
      <c r="AD6553">
        <v>-0.53523189999999998</v>
      </c>
      <c r="AE6553">
        <v>41.741300000000003</v>
      </c>
      <c r="AF6553">
        <v>16.177285417564001</v>
      </c>
      <c r="AG6553">
        <v>-0.53523189999999998</v>
      </c>
      <c r="AH6553">
        <v>48.2113980636693</v>
      </c>
      <c r="AI6553">
        <v>90.603018555578203</v>
      </c>
      <c r="AJ6553">
        <v>71.450874767023393</v>
      </c>
      <c r="AK6553">
        <v>50.855972509840797</v>
      </c>
    </row>
    <row r="6554" spans="1:37" x14ac:dyDescent="0.2">
      <c r="A6554" t="str">
        <f>"20200111160348052"</f>
        <v>20200111160348052</v>
      </c>
      <c r="B6554" t="str">
        <f>"1578729828039506"</f>
        <v>1578729828039506</v>
      </c>
      <c r="C6554" t="s">
        <v>37</v>
      </c>
      <c r="D6554">
        <v>4.6257720000000004</v>
      </c>
      <c r="E6554">
        <v>0.62836159999999996</v>
      </c>
      <c r="F6554" t="s">
        <v>67</v>
      </c>
      <c r="G6554">
        <v>-156.82669999999999</v>
      </c>
      <c r="H6554">
        <v>0.30743979999999999</v>
      </c>
      <c r="I6554">
        <v>161.2681</v>
      </c>
      <c r="J6554">
        <v>-187.07390000000001</v>
      </c>
      <c r="K6554">
        <v>1.0984350000000001</v>
      </c>
      <c r="L6554">
        <v>121.1566</v>
      </c>
      <c r="M6554">
        <v>0.28973589999999999</v>
      </c>
      <c r="N6554">
        <v>0</v>
      </c>
      <c r="O6554">
        <v>0.95699730000000005</v>
      </c>
      <c r="P6554">
        <v>0.3241309</v>
      </c>
      <c r="Q6554">
        <v>-9.7393689999999995E-3</v>
      </c>
      <c r="R6554">
        <v>0.94596209999999903</v>
      </c>
      <c r="S6554">
        <v>1.9000239999999999</v>
      </c>
      <c r="T6554">
        <v>-4.9549820000000001E-2</v>
      </c>
      <c r="U6554">
        <v>2.5282749999999998</v>
      </c>
      <c r="V6554">
        <v>3.6182020000000002E-2</v>
      </c>
      <c r="W6554">
        <v>4.188827E-3</v>
      </c>
      <c r="X6554">
        <v>0.99933639999999901</v>
      </c>
      <c r="Y6554">
        <v>0.34327570000000002</v>
      </c>
      <c r="Z6554">
        <v>-1.5796919999999999E-2</v>
      </c>
      <c r="AA6554">
        <v>0.93910179999999999</v>
      </c>
      <c r="AB6554">
        <v>24</v>
      </c>
      <c r="AC6554">
        <v>30.247199999999999</v>
      </c>
      <c r="AD6554">
        <v>-0.79099519999999901</v>
      </c>
      <c r="AE6554">
        <v>40.111499999999999</v>
      </c>
      <c r="AF6554">
        <v>17.3222659847765</v>
      </c>
      <c r="AG6554">
        <v>-0.79099519999999901</v>
      </c>
      <c r="AH6554">
        <v>47.143544198564904</v>
      </c>
      <c r="AI6554">
        <v>90.902274251834001</v>
      </c>
      <c r="AJ6554">
        <v>69.824817757439902</v>
      </c>
      <c r="AK6554">
        <v>50.231467546308103</v>
      </c>
    </row>
    <row r="6555" spans="1:37" x14ac:dyDescent="0.2">
      <c r="A6555" t="str">
        <f>"20200111160348073"</f>
        <v>20200111160348073</v>
      </c>
      <c r="B6555" t="str">
        <f>"1578729828069761"</f>
        <v>1578729828069761</v>
      </c>
      <c r="C6555" t="s">
        <v>37</v>
      </c>
      <c r="D6555">
        <v>4.7351599999999996</v>
      </c>
      <c r="E6555">
        <v>0.62906039999999996</v>
      </c>
      <c r="F6555" t="s">
        <v>38</v>
      </c>
      <c r="G6555">
        <v>-165.05760000000001</v>
      </c>
      <c r="H6555">
        <v>3.6162720000000002E-2</v>
      </c>
      <c r="I6555">
        <v>149.6163</v>
      </c>
      <c r="J6555">
        <v>-186.99359999999999</v>
      </c>
      <c r="K6555">
        <v>1.0984020000000001</v>
      </c>
      <c r="L6555">
        <v>121.3867</v>
      </c>
      <c r="M6555">
        <v>0.29832379999999997</v>
      </c>
      <c r="N6555">
        <v>0</v>
      </c>
      <c r="O6555">
        <v>0.95435490000000001</v>
      </c>
      <c r="P6555">
        <v>0.33066820000000002</v>
      </c>
      <c r="Q6555">
        <v>-9.3177030000000001E-3</v>
      </c>
      <c r="R6555">
        <v>0.94370109999999996</v>
      </c>
      <c r="S6555">
        <v>1.9387049999999999</v>
      </c>
      <c r="T6555">
        <v>-9.3541379999999993E-2</v>
      </c>
      <c r="U6555">
        <v>2.5061040000000001</v>
      </c>
      <c r="V6555">
        <v>3.4121850000000002E-2</v>
      </c>
      <c r="W6555">
        <v>4.6504019999999997E-3</v>
      </c>
      <c r="X6555">
        <v>0.99940689999999999</v>
      </c>
      <c r="Y6555">
        <v>0.347744</v>
      </c>
      <c r="Z6555">
        <v>-2.9746939999999999E-2</v>
      </c>
      <c r="AA6555">
        <v>0.93711749999999905</v>
      </c>
      <c r="AB6555">
        <v>24</v>
      </c>
      <c r="AC6555">
        <v>21.9359999999999</v>
      </c>
      <c r="AD6555">
        <v>-1.06223928</v>
      </c>
      <c r="AE6555">
        <v>28.229599999999898</v>
      </c>
      <c r="AF6555">
        <v>12.503440850889399</v>
      </c>
      <c r="AG6555">
        <v>-1.06223928</v>
      </c>
      <c r="AH6555">
        <v>33.459059451980799</v>
      </c>
      <c r="AI6555">
        <v>91.703405727802902</v>
      </c>
      <c r="AJ6555">
        <v>69.509599205339796</v>
      </c>
      <c r="AK6555">
        <v>35.734759615965601</v>
      </c>
    </row>
    <row r="6556" spans="1:37" x14ac:dyDescent="0.2">
      <c r="A6556" t="str">
        <f>"20200111160348096"</f>
        <v>20200111160348096</v>
      </c>
      <c r="B6556" t="str">
        <f>"1578729828090257"</f>
        <v>1578729828090257</v>
      </c>
      <c r="C6556" t="s">
        <v>37</v>
      </c>
      <c r="D6556">
        <v>4.648498</v>
      </c>
      <c r="E6556">
        <v>0.62945859999999998</v>
      </c>
      <c r="F6556" t="s">
        <v>77</v>
      </c>
      <c r="G6556">
        <v>-171.13229999999999</v>
      </c>
      <c r="H6556" s="1">
        <v>-4.7467650000000001E-6</v>
      </c>
      <c r="I6556">
        <v>141.55430000000001</v>
      </c>
      <c r="J6556">
        <v>-186.91059999999999</v>
      </c>
      <c r="K6556">
        <v>1.0983810000000001</v>
      </c>
      <c r="L6556">
        <v>121.6172</v>
      </c>
      <c r="M6556">
        <v>0.3069868</v>
      </c>
      <c r="N6556">
        <v>0</v>
      </c>
      <c r="O6556">
        <v>0.95160349999999905</v>
      </c>
      <c r="P6556">
        <v>0.33802589999999999</v>
      </c>
      <c r="Q6556">
        <v>-1.166765E-2</v>
      </c>
      <c r="R6556">
        <v>0.94106449999999997</v>
      </c>
      <c r="S6556">
        <v>1.9592130000000001</v>
      </c>
      <c r="T6556">
        <v>-0.1356772</v>
      </c>
      <c r="U6556">
        <v>2.4911349999999999</v>
      </c>
      <c r="V6556">
        <v>3.2813549999999997E-2</v>
      </c>
      <c r="W6556">
        <v>2.3277429999999902E-3</v>
      </c>
      <c r="X6556">
        <v>0.99945879999999998</v>
      </c>
      <c r="Y6556">
        <v>0.34641529999999998</v>
      </c>
      <c r="Z6556">
        <v>-4.3055679999999999E-2</v>
      </c>
      <c r="AA6556">
        <v>0.9370927</v>
      </c>
      <c r="AB6556">
        <v>24</v>
      </c>
      <c r="AC6556">
        <v>15.7783</v>
      </c>
      <c r="AD6556">
        <v>-1.098385746765</v>
      </c>
      <c r="AE6556">
        <v>19.937100000000001</v>
      </c>
      <c r="AF6556">
        <v>8.8786223920634697</v>
      </c>
      <c r="AG6556">
        <v>-1.098385746765</v>
      </c>
      <c r="AH6556">
        <v>23.7740742664257</v>
      </c>
      <c r="AI6556">
        <v>92.4782853120943</v>
      </c>
      <c r="AJ6556">
        <v>69.521442827422305</v>
      </c>
      <c r="AK6556">
        <v>25.401633688703399</v>
      </c>
    </row>
    <row r="6557" spans="1:37" x14ac:dyDescent="0.2">
      <c r="A6557" t="str">
        <f>"20200111160348117"</f>
        <v>20200111160348117</v>
      </c>
      <c r="B6557" t="str">
        <f>"1578729828109778"</f>
        <v>1578729828109778</v>
      </c>
      <c r="C6557" t="s">
        <v>37</v>
      </c>
      <c r="D6557">
        <v>4.8749979999999997</v>
      </c>
      <c r="E6557">
        <v>0.62777709999999998</v>
      </c>
      <c r="F6557" t="s">
        <v>77</v>
      </c>
      <c r="G6557">
        <v>-173.1891</v>
      </c>
      <c r="H6557" s="1">
        <v>-4.7067579999999997E-6</v>
      </c>
      <c r="I6557">
        <v>138.75980000000001</v>
      </c>
      <c r="J6557">
        <v>-186.82830000000001</v>
      </c>
      <c r="K6557">
        <v>1.0983609999999999</v>
      </c>
      <c r="L6557">
        <v>121.83969999999999</v>
      </c>
      <c r="M6557">
        <v>0.31540059999999998</v>
      </c>
      <c r="N6557">
        <v>0</v>
      </c>
      <c r="O6557">
        <v>0.94884789999999997</v>
      </c>
      <c r="P6557">
        <v>0.34596569999999999</v>
      </c>
      <c r="Q6557">
        <v>-1.382602E-2</v>
      </c>
      <c r="R6557">
        <v>0.93814529999999996</v>
      </c>
      <c r="S6557">
        <v>1.980637</v>
      </c>
      <c r="T6557">
        <v>-0.1585464</v>
      </c>
      <c r="U6557">
        <v>2.4744570000000001</v>
      </c>
      <c r="V6557">
        <v>3.2386900000000003E-2</v>
      </c>
      <c r="W6557">
        <v>1.829306E-4</v>
      </c>
      <c r="X6557">
        <v>0.99947540000000001</v>
      </c>
      <c r="Y6557">
        <v>0.34591939999999999</v>
      </c>
      <c r="Z6557">
        <v>-5.0226970000000003E-2</v>
      </c>
      <c r="AA6557">
        <v>0.9369189</v>
      </c>
      <c r="AB6557">
        <v>24</v>
      </c>
      <c r="AC6557">
        <v>13.639200000000001</v>
      </c>
      <c r="AD6557">
        <v>-1.0983657067579999</v>
      </c>
      <c r="AE6557">
        <v>16.920100000000001</v>
      </c>
      <c r="AF6557">
        <v>7.5863384540810701</v>
      </c>
      <c r="AG6557">
        <v>-1.0983657067579999</v>
      </c>
      <c r="AH6557">
        <v>20.306684318151</v>
      </c>
      <c r="AI6557">
        <v>92.9006089529165</v>
      </c>
      <c r="AJ6557">
        <v>69.514903085688701</v>
      </c>
      <c r="AK6557">
        <v>21.705307331680199</v>
      </c>
    </row>
    <row r="6558" spans="1:37" x14ac:dyDescent="0.2">
      <c r="A6558" t="str">
        <f>"20200111160348141"</f>
        <v>20200111160348141</v>
      </c>
      <c r="B6558" t="str">
        <f>"1578729828130273"</f>
        <v>1578729828130273</v>
      </c>
      <c r="C6558" t="s">
        <v>37</v>
      </c>
      <c r="D6558">
        <v>4.8831920000000002</v>
      </c>
      <c r="E6558">
        <v>0.62606189999999995</v>
      </c>
      <c r="F6558" t="s">
        <v>77</v>
      </c>
      <c r="G6558">
        <v>-175.2687</v>
      </c>
      <c r="H6558" s="1">
        <v>-4.7164439999999998E-6</v>
      </c>
      <c r="I6558">
        <v>136.15969999999999</v>
      </c>
      <c r="J6558">
        <v>-186.73679999999999</v>
      </c>
      <c r="K6558">
        <v>1.0983510000000001</v>
      </c>
      <c r="L6558">
        <v>122.08</v>
      </c>
      <c r="M6558">
        <v>0.32454840000000001</v>
      </c>
      <c r="N6558">
        <v>0</v>
      </c>
      <c r="O6558">
        <v>0.94575789999999904</v>
      </c>
      <c r="P6558">
        <v>0.35581809999999903</v>
      </c>
      <c r="Q6558">
        <v>-1.5330720000000001E-2</v>
      </c>
      <c r="R6558">
        <v>0.93442950000000002</v>
      </c>
      <c r="S6558">
        <v>1.9874879999999999</v>
      </c>
      <c r="T6558">
        <v>-0.18884519999999999</v>
      </c>
      <c r="U6558">
        <v>2.4620820000000001</v>
      </c>
      <c r="V6558">
        <v>3.3237709999999997E-2</v>
      </c>
      <c r="W6558">
        <v>-1.328175E-3</v>
      </c>
      <c r="X6558">
        <v>0.99944659999999996</v>
      </c>
      <c r="Y6558">
        <v>0.34038420000000003</v>
      </c>
      <c r="Z6558">
        <v>-5.9752439999999997E-2</v>
      </c>
      <c r="AA6558">
        <v>0.93838600000000005</v>
      </c>
      <c r="AB6558">
        <v>24</v>
      </c>
      <c r="AC6558">
        <v>11.4680999999999</v>
      </c>
      <c r="AD6558">
        <v>-1.0983557164440001</v>
      </c>
      <c r="AE6558">
        <v>14.0796999999999</v>
      </c>
      <c r="AF6558">
        <v>6.2542814137592897</v>
      </c>
      <c r="AG6558">
        <v>-1.0983557164440001</v>
      </c>
      <c r="AH6558">
        <v>16.977621719798101</v>
      </c>
      <c r="AI6558">
        <v>93.473946023065395</v>
      </c>
      <c r="AJ6558">
        <v>69.777018109445706</v>
      </c>
      <c r="AK6558">
        <v>18.126280935230501</v>
      </c>
    </row>
    <row r="6559" spans="1:37" x14ac:dyDescent="0.2">
      <c r="A6559" t="str">
        <f>"20200111160348162"</f>
        <v>20200111160348162</v>
      </c>
      <c r="B6559" t="str">
        <f>"1578729828149794"</f>
        <v>1578729828149794</v>
      </c>
      <c r="C6559" t="s">
        <v>37</v>
      </c>
      <c r="D6559">
        <v>4.8728189999999998</v>
      </c>
      <c r="E6559">
        <v>0.62449880000000002</v>
      </c>
      <c r="F6559" t="s">
        <v>77</v>
      </c>
      <c r="G6559">
        <v>-176.51570000000001</v>
      </c>
      <c r="H6559" s="1">
        <v>-4.9688650000000001E-6</v>
      </c>
      <c r="I6559">
        <v>134.58330000000001</v>
      </c>
      <c r="J6559">
        <v>-186.6507</v>
      </c>
      <c r="K6559">
        <v>1.09833799999999</v>
      </c>
      <c r="L6559">
        <v>122.2997</v>
      </c>
      <c r="M6559">
        <v>0.3329626</v>
      </c>
      <c r="N6559">
        <v>0</v>
      </c>
      <c r="O6559">
        <v>0.94282840000000001</v>
      </c>
      <c r="P6559">
        <v>0.36589690000000002</v>
      </c>
      <c r="Q6559">
        <v>-1.419367E-2</v>
      </c>
      <c r="R6559">
        <v>0.93054720000000002</v>
      </c>
      <c r="S6559">
        <v>1.9992829999999999</v>
      </c>
      <c r="T6559">
        <v>-0.21484210000000001</v>
      </c>
      <c r="U6559">
        <v>2.4456790000000002</v>
      </c>
      <c r="V6559">
        <v>3.5144880000000003E-2</v>
      </c>
      <c r="W6559">
        <v>-2.1397610000000001E-4</v>
      </c>
      <c r="X6559">
        <v>0.9993822</v>
      </c>
      <c r="Y6559">
        <v>0.33744639999999998</v>
      </c>
      <c r="Z6559">
        <v>-6.7924639999999994E-2</v>
      </c>
      <c r="AA6559">
        <v>0.93889089999999997</v>
      </c>
      <c r="AB6559">
        <v>24</v>
      </c>
      <c r="AC6559">
        <v>10.1349999999999</v>
      </c>
      <c r="AD6559">
        <v>-1.0983429688649899</v>
      </c>
      <c r="AE6559">
        <v>12.2836</v>
      </c>
      <c r="AF6559">
        <v>5.4402832984362304</v>
      </c>
      <c r="AG6559">
        <v>-1.0983429688649899</v>
      </c>
      <c r="AH6559">
        <v>14.8866639588044</v>
      </c>
      <c r="AI6559">
        <v>93.964139021977402</v>
      </c>
      <c r="AJ6559">
        <v>69.925332312952193</v>
      </c>
      <c r="AK6559">
        <v>15.887599046642199</v>
      </c>
    </row>
    <row r="6560" spans="1:37" x14ac:dyDescent="0.2">
      <c r="A6560" t="str">
        <f>"20200111160348184"</f>
        <v>20200111160348184</v>
      </c>
      <c r="B6560" t="str">
        <f>"1578729828179960"</f>
        <v>1578729828179960</v>
      </c>
      <c r="C6560" t="s">
        <v>37</v>
      </c>
      <c r="D6560">
        <v>4.8502450000000001</v>
      </c>
      <c r="E6560">
        <v>0.62256789999999995</v>
      </c>
      <c r="F6560" t="s">
        <v>77</v>
      </c>
      <c r="G6560">
        <v>-176.94030000000001</v>
      </c>
      <c r="H6560" s="1">
        <v>-5.0430300000000002E-6</v>
      </c>
      <c r="I6560">
        <v>134.0153</v>
      </c>
      <c r="J6560">
        <v>-186.5583</v>
      </c>
      <c r="K6560">
        <v>1.098333</v>
      </c>
      <c r="L6560">
        <v>122.5292</v>
      </c>
      <c r="M6560">
        <v>0.34180129999999997</v>
      </c>
      <c r="N6560">
        <v>0</v>
      </c>
      <c r="O6560">
        <v>0.9396601</v>
      </c>
      <c r="P6560">
        <v>0.37626769999999998</v>
      </c>
      <c r="Q6560">
        <v>-1.2250280000000001E-2</v>
      </c>
      <c r="R6560">
        <v>0.92642999999999998</v>
      </c>
      <c r="S6560">
        <v>2.0131380000000001</v>
      </c>
      <c r="T6560">
        <v>-0.2277072</v>
      </c>
      <c r="U6560">
        <v>2.4288639999999999</v>
      </c>
      <c r="V6560">
        <v>3.6942040000000002E-2</v>
      </c>
      <c r="W6560">
        <v>1.7083319999999999E-3</v>
      </c>
      <c r="X6560">
        <v>0.99931599999999998</v>
      </c>
      <c r="Y6560">
        <v>0.33477879999999999</v>
      </c>
      <c r="Z6560">
        <v>-7.1915599999999996E-2</v>
      </c>
      <c r="AA6560">
        <v>0.93954839999999995</v>
      </c>
      <c r="AB6560">
        <v>24</v>
      </c>
      <c r="AC6560">
        <v>9.6179999999999897</v>
      </c>
      <c r="AD6560">
        <v>-1.0983380430299901</v>
      </c>
      <c r="AE6560">
        <v>11.486099999999899</v>
      </c>
      <c r="AF6560">
        <v>5.0848943810274099</v>
      </c>
      <c r="AG6560">
        <v>-1.0983380430299901</v>
      </c>
      <c r="AH6560">
        <v>14.006672956147099</v>
      </c>
      <c r="AI6560">
        <v>94.215561458633104</v>
      </c>
      <c r="AJ6560">
        <v>70.047396487657593</v>
      </c>
      <c r="AK6560">
        <v>14.9415322046782</v>
      </c>
    </row>
    <row r="6561" spans="1:37" x14ac:dyDescent="0.2">
      <c r="A6561" t="str">
        <f>"20200111160348212"</f>
        <v>20200111160348212</v>
      </c>
      <c r="B6561" t="str">
        <f>"1578729828199479"</f>
        <v>1578729828199479</v>
      </c>
      <c r="C6561" t="s">
        <v>37</v>
      </c>
      <c r="D6561">
        <v>4.930237</v>
      </c>
      <c r="E6561">
        <v>0.6215562</v>
      </c>
      <c r="F6561" t="s">
        <v>77</v>
      </c>
      <c r="G6561">
        <v>-177.29669999999999</v>
      </c>
      <c r="H6561" s="1">
        <v>-5.1144039999999998E-6</v>
      </c>
      <c r="I6561">
        <v>133.56290000000001</v>
      </c>
      <c r="J6561">
        <v>-186.44450000000001</v>
      </c>
      <c r="K6561">
        <v>1.0983229999999999</v>
      </c>
      <c r="L6561">
        <v>122.8038</v>
      </c>
      <c r="M6561">
        <v>0.35244799999999998</v>
      </c>
      <c r="N6561">
        <v>0</v>
      </c>
      <c r="O6561">
        <v>0.93571870000000001</v>
      </c>
      <c r="P6561">
        <v>0.38848830000000001</v>
      </c>
      <c r="Q6561">
        <v>-9.5005109999999997E-3</v>
      </c>
      <c r="R6561">
        <v>0.92140469999999897</v>
      </c>
      <c r="S6561">
        <v>2.0251009999999998</v>
      </c>
      <c r="T6561">
        <v>-0.2401558</v>
      </c>
      <c r="U6561">
        <v>2.4125519999999998</v>
      </c>
      <c r="V6561">
        <v>3.8843000000000003E-2</v>
      </c>
      <c r="W6561">
        <v>4.4353509999999997E-3</v>
      </c>
      <c r="X6561">
        <v>0.99923549999999906</v>
      </c>
      <c r="Y6561">
        <v>0.32973750000000002</v>
      </c>
      <c r="Z6561">
        <v>-7.5710620000000006E-2</v>
      </c>
      <c r="AA6561">
        <v>0.94103189999999903</v>
      </c>
      <c r="AB6561">
        <v>24</v>
      </c>
      <c r="AC6561">
        <v>9.1478000000000108</v>
      </c>
      <c r="AD6561">
        <v>-1.098328114404</v>
      </c>
      <c r="AE6561">
        <v>10.7591</v>
      </c>
      <c r="AF6561">
        <v>4.7395795781283203</v>
      </c>
      <c r="AG6561">
        <v>-1.098328114404</v>
      </c>
      <c r="AH6561">
        <v>13.2130968397482</v>
      </c>
      <c r="AI6561">
        <v>94.473867509795795</v>
      </c>
      <c r="AJ6561">
        <v>70.266929416474596</v>
      </c>
      <c r="AK6561">
        <v>14.0803361934602</v>
      </c>
    </row>
    <row r="6562" spans="1:37" x14ac:dyDescent="0.2">
      <c r="A6562" t="str">
        <f>"20200111160348230"</f>
        <v>20200111160348230</v>
      </c>
      <c r="B6562" t="str">
        <f>"1578729828219975"</f>
        <v>1578729828219975</v>
      </c>
      <c r="C6562" t="s">
        <v>37</v>
      </c>
      <c r="D6562">
        <v>4.92157</v>
      </c>
      <c r="E6562">
        <v>0.62057929999999994</v>
      </c>
      <c r="F6562" t="s">
        <v>77</v>
      </c>
      <c r="G6562">
        <v>-177.10210000000001</v>
      </c>
      <c r="H6562" s="1">
        <v>-5.0328859999999997E-6</v>
      </c>
      <c r="I6562">
        <v>133.6979</v>
      </c>
      <c r="J6562">
        <v>-186.36279999999999</v>
      </c>
      <c r="K6562">
        <v>1.0983149999999999</v>
      </c>
      <c r="L6562">
        <v>122.995</v>
      </c>
      <c r="M6562">
        <v>0.35991259999999903</v>
      </c>
      <c r="N6562">
        <v>0</v>
      </c>
      <c r="O6562">
        <v>0.93287289999999901</v>
      </c>
      <c r="P6562">
        <v>0.39725090000000002</v>
      </c>
      <c r="Q6562">
        <v>-7.9290460000000004E-3</v>
      </c>
      <c r="R6562">
        <v>0.91767579999999904</v>
      </c>
      <c r="S6562">
        <v>2.0491029999999899</v>
      </c>
      <c r="T6562">
        <v>-0.2409009</v>
      </c>
      <c r="U6562">
        <v>2.3894500000000001</v>
      </c>
      <c r="V6562">
        <v>4.0399829999999998E-2</v>
      </c>
      <c r="W6562">
        <v>5.9869559999999999E-3</v>
      </c>
      <c r="X6562">
        <v>0.99916569999999905</v>
      </c>
      <c r="Y6562">
        <v>0.33212059999999999</v>
      </c>
      <c r="Z6562">
        <v>-7.5910350000000001E-2</v>
      </c>
      <c r="AA6562">
        <v>0.94017739999999905</v>
      </c>
      <c r="AB6562">
        <v>24</v>
      </c>
      <c r="AC6562">
        <v>9.2606999999999804</v>
      </c>
      <c r="AD6562">
        <v>-1.0983200328859899</v>
      </c>
      <c r="AE6562">
        <v>10.7029</v>
      </c>
      <c r="AF6562">
        <v>4.7587947384123703</v>
      </c>
      <c r="AG6562">
        <v>-1.0983200328859899</v>
      </c>
      <c r="AH6562">
        <v>13.239165821255501</v>
      </c>
      <c r="AI6562">
        <v>94.464007306176896</v>
      </c>
      <c r="AJ6562">
        <v>70.229115478996107</v>
      </c>
      <c r="AK6562">
        <v>14.1112701731517</v>
      </c>
    </row>
    <row r="6563" spans="1:37" x14ac:dyDescent="0.2">
      <c r="A6563" t="str">
        <f>"20200111160348250"</f>
        <v>20200111160348250</v>
      </c>
      <c r="B6563" t="str">
        <f>"1578729828239495"</f>
        <v>1578729828239495</v>
      </c>
      <c r="C6563" t="s">
        <v>37</v>
      </c>
      <c r="D6563">
        <v>4.9306729999999996</v>
      </c>
      <c r="E6563">
        <v>0.62007829999999997</v>
      </c>
      <c r="F6563" t="s">
        <v>77</v>
      </c>
      <c r="G6563">
        <v>-177.1643</v>
      </c>
      <c r="H6563" s="1">
        <v>-5.0282599999999902E-6</v>
      </c>
      <c r="I6563">
        <v>133.57390000000001</v>
      </c>
      <c r="J6563">
        <v>-186.2792</v>
      </c>
      <c r="K6563">
        <v>1.098309</v>
      </c>
      <c r="L6563">
        <v>123.18680000000001</v>
      </c>
      <c r="M6563">
        <v>0.36742669999999999</v>
      </c>
      <c r="N6563">
        <v>0</v>
      </c>
      <c r="O6563">
        <v>0.92993890000000001</v>
      </c>
      <c r="P6563">
        <v>0.40548410000000001</v>
      </c>
      <c r="Q6563">
        <v>-7.54288599999999E-3</v>
      </c>
      <c r="R6563">
        <v>0.91407099999999997</v>
      </c>
      <c r="S6563">
        <v>2.0638890000000001</v>
      </c>
      <c r="T6563">
        <v>-0.24643089999999901</v>
      </c>
      <c r="U6563">
        <v>2.3735810000000002</v>
      </c>
      <c r="V6563">
        <v>4.1325699999999903E-2</v>
      </c>
      <c r="W6563">
        <v>6.36222099999999E-3</v>
      </c>
      <c r="X6563">
        <v>0.999125499999999</v>
      </c>
      <c r="Y6563">
        <v>0.33086579999999999</v>
      </c>
      <c r="Z6563">
        <v>-7.755339E-2</v>
      </c>
      <c r="AA6563">
        <v>0.94048569999999998</v>
      </c>
      <c r="AB6563">
        <v>24</v>
      </c>
      <c r="AC6563">
        <v>9.1149000000000004</v>
      </c>
      <c r="AD6563">
        <v>-1.0983140282599999</v>
      </c>
      <c r="AE6563">
        <v>10.3871</v>
      </c>
      <c r="AF6563">
        <v>4.6310422530013096</v>
      </c>
      <c r="AG6563">
        <v>-1.0983140282599999</v>
      </c>
      <c r="AH6563">
        <v>12.9281389428415</v>
      </c>
      <c r="AI6563">
        <v>94.572714292490005</v>
      </c>
      <c r="AJ6563">
        <v>70.291757561061104</v>
      </c>
      <c r="AK6563">
        <v>13.7764154473931</v>
      </c>
    </row>
    <row r="6564" spans="1:37" x14ac:dyDescent="0.2">
      <c r="A6564" t="str">
        <f>"20200111160348272"</f>
        <v>20200111160348272</v>
      </c>
      <c r="B6564" t="str">
        <f>"1578729828269751"</f>
        <v>1578729828269751</v>
      </c>
      <c r="C6564" t="s">
        <v>37</v>
      </c>
      <c r="D6564">
        <v>4.9310179999999999</v>
      </c>
      <c r="E6564">
        <v>0.60556339999999997</v>
      </c>
      <c r="F6564" t="s">
        <v>77</v>
      </c>
      <c r="G6564">
        <v>-177.17599999999999</v>
      </c>
      <c r="H6564" s="1">
        <v>-5.0065530000000002E-6</v>
      </c>
      <c r="I6564">
        <v>133.4956</v>
      </c>
      <c r="J6564">
        <v>-186.17850000000001</v>
      </c>
      <c r="K6564">
        <v>1.0982989999999999</v>
      </c>
      <c r="L6564">
        <v>123.4115</v>
      </c>
      <c r="M6564">
        <v>0.37627519999999998</v>
      </c>
      <c r="N6564">
        <v>0</v>
      </c>
      <c r="O6564">
        <v>0.92639389999999999</v>
      </c>
      <c r="P6564">
        <v>0.41497060000000002</v>
      </c>
      <c r="Q6564">
        <v>-8.333409E-3</v>
      </c>
      <c r="R6564">
        <v>0.90979669999999901</v>
      </c>
      <c r="S6564">
        <v>2.0811160000000002</v>
      </c>
      <c r="T6564">
        <v>-0.25109009999999998</v>
      </c>
      <c r="U6564">
        <v>2.3567499999999999</v>
      </c>
      <c r="V6564">
        <v>4.2184819999999998E-2</v>
      </c>
      <c r="W6564">
        <v>5.5621019999999898E-3</v>
      </c>
      <c r="X6564">
        <v>0.99909439999999905</v>
      </c>
      <c r="Y6564">
        <v>0.32898909999999998</v>
      </c>
      <c r="Z6564">
        <v>-7.8851999999999894E-2</v>
      </c>
      <c r="AA6564">
        <v>0.94103590000000004</v>
      </c>
      <c r="AB6564">
        <v>24</v>
      </c>
      <c r="AC6564">
        <v>9.0025000000000208</v>
      </c>
      <c r="AD6564">
        <v>-1.0983040065530001</v>
      </c>
      <c r="AE6564">
        <v>10.0840999999999</v>
      </c>
      <c r="AF6564">
        <v>4.5161326014290104</v>
      </c>
      <c r="AG6564">
        <v>-1.0983040065530001</v>
      </c>
      <c r="AH6564">
        <v>12.647124658852</v>
      </c>
      <c r="AI6564">
        <v>94.675492843798096</v>
      </c>
      <c r="AJ6564">
        <v>70.348978985069607</v>
      </c>
      <c r="AK6564">
        <v>13.474104330197299</v>
      </c>
    </row>
    <row r="6565" spans="1:37" x14ac:dyDescent="0.2">
      <c r="A6565" t="str">
        <f>"20200111160348296"</f>
        <v>20200111160348296</v>
      </c>
      <c r="B6565" t="str">
        <f>"1578729828290248"</f>
        <v>1578729828290248</v>
      </c>
      <c r="C6565" t="s">
        <v>37</v>
      </c>
      <c r="D6565">
        <v>4.9039190000000001</v>
      </c>
      <c r="E6565">
        <v>0.60441480000000003</v>
      </c>
      <c r="F6565" t="s">
        <v>77</v>
      </c>
      <c r="G6565">
        <v>-180.15539999999999</v>
      </c>
      <c r="H6565" s="1">
        <v>-5.7636149999999902E-6</v>
      </c>
      <c r="I6565">
        <v>130.61429999999999</v>
      </c>
      <c r="J6565">
        <v>-186.07480000000001</v>
      </c>
      <c r="K6565">
        <v>1.0982940000000001</v>
      </c>
      <c r="L6565">
        <v>123.6373</v>
      </c>
      <c r="M6565">
        <v>0.3852042</v>
      </c>
      <c r="N6565">
        <v>0</v>
      </c>
      <c r="O6565">
        <v>0.9227168</v>
      </c>
      <c r="P6565">
        <v>0.42491119999999999</v>
      </c>
      <c r="Q6565">
        <v>-1.044118E-2</v>
      </c>
      <c r="R6565">
        <v>0.9051749</v>
      </c>
      <c r="S6565">
        <v>1.9940340000000001</v>
      </c>
      <c r="T6565">
        <v>-0.36360679999999901</v>
      </c>
      <c r="U6565">
        <v>2.384598</v>
      </c>
      <c r="V6565">
        <v>4.3456500000000002E-2</v>
      </c>
      <c r="W6565">
        <v>3.4378149999999999E-3</v>
      </c>
      <c r="X6565">
        <v>0.99904939999999998</v>
      </c>
      <c r="Y6565">
        <v>0.2919697</v>
      </c>
      <c r="Z6565">
        <v>-0.11397690000000001</v>
      </c>
      <c r="AA6565">
        <v>0.94961200000000001</v>
      </c>
      <c r="AB6565">
        <v>24</v>
      </c>
      <c r="AC6565">
        <v>5.91940000000002</v>
      </c>
      <c r="AD6565">
        <v>-1.098299763615</v>
      </c>
      <c r="AE6565">
        <v>6.9769999999999897</v>
      </c>
      <c r="AF6565">
        <v>2.73524226400313</v>
      </c>
      <c r="AG6565">
        <v>-1.098299763615</v>
      </c>
      <c r="AH6565">
        <v>8.5950513835915192</v>
      </c>
      <c r="AI6565">
        <v>96.942481975632703</v>
      </c>
      <c r="AJ6565">
        <v>72.347132541846705</v>
      </c>
      <c r="AK6565">
        <v>9.0864030782331202</v>
      </c>
    </row>
    <row r="6566" spans="1:37" x14ac:dyDescent="0.2">
      <c r="A6566" t="str">
        <f>"20200111160348317"</f>
        <v>20200111160348317</v>
      </c>
      <c r="B6566" t="str">
        <f>"1578729828309768"</f>
        <v>1578729828309768</v>
      </c>
      <c r="C6566" t="s">
        <v>37</v>
      </c>
      <c r="D6566">
        <v>5.0000080000000002</v>
      </c>
      <c r="E6566">
        <v>0.60320059999999998</v>
      </c>
      <c r="F6566" t="s">
        <v>77</v>
      </c>
      <c r="G6566">
        <v>-180.13990000000001</v>
      </c>
      <c r="H6566" s="1">
        <v>-5.7664899999999999E-6</v>
      </c>
      <c r="I6566">
        <v>130.61869999999999</v>
      </c>
      <c r="J6566">
        <v>-185.97329999999999</v>
      </c>
      <c r="K6566">
        <v>1.0982940000000001</v>
      </c>
      <c r="L6566">
        <v>123.8528</v>
      </c>
      <c r="M6566">
        <v>0.39374549999999903</v>
      </c>
      <c r="N6566">
        <v>0</v>
      </c>
      <c r="O6566">
        <v>0.91910449999999999</v>
      </c>
      <c r="P6566">
        <v>0.43518570000000001</v>
      </c>
      <c r="Q6566">
        <v>-1.234129E-2</v>
      </c>
      <c r="R6566">
        <v>0.90025619999999995</v>
      </c>
      <c r="S6566">
        <v>2.0112459999999999</v>
      </c>
      <c r="T6566">
        <v>-0.37219580000000002</v>
      </c>
      <c r="U6566">
        <v>2.3658600000000001</v>
      </c>
      <c r="V6566">
        <v>4.5541810000000002E-2</v>
      </c>
      <c r="W6566">
        <v>1.5080600000000001E-3</v>
      </c>
      <c r="X6566">
        <v>0.99896130000000005</v>
      </c>
      <c r="Y6566">
        <v>0.29060979999999997</v>
      </c>
      <c r="Z6566">
        <v>-0.1164462</v>
      </c>
      <c r="AA6566">
        <v>0.94972959999999995</v>
      </c>
      <c r="AB6566">
        <v>24</v>
      </c>
      <c r="AC6566">
        <v>5.8333999999999797</v>
      </c>
      <c r="AD6566">
        <v>-1.0982997664899901</v>
      </c>
      <c r="AE6566">
        <v>6.7658999999999798</v>
      </c>
      <c r="AF6566">
        <v>2.65757754912832</v>
      </c>
      <c r="AG6566">
        <v>-1.0982997664899901</v>
      </c>
      <c r="AH6566">
        <v>8.3895369991150694</v>
      </c>
      <c r="AI6566">
        <v>97.113795909327806</v>
      </c>
      <c r="AJ6566">
        <v>72.423211984817101</v>
      </c>
      <c r="AK6566">
        <v>8.8686702422755399</v>
      </c>
    </row>
    <row r="6567" spans="1:37" x14ac:dyDescent="0.2">
      <c r="A6567" t="str">
        <f>"20200111160348343"</f>
        <v>20200111160348343</v>
      </c>
      <c r="B6567" t="str">
        <f>"1578729828340024"</f>
        <v>1578729828340024</v>
      </c>
      <c r="C6567" t="s">
        <v>37</v>
      </c>
      <c r="D6567">
        <v>4.990399</v>
      </c>
      <c r="E6567">
        <v>0.59559319999999905</v>
      </c>
      <c r="F6567" t="s">
        <v>77</v>
      </c>
      <c r="G6567">
        <v>-180.11799999999999</v>
      </c>
      <c r="H6567" s="1">
        <v>-5.7709169999999898E-6</v>
      </c>
      <c r="I6567">
        <v>130.6258</v>
      </c>
      <c r="J6567">
        <v>-185.85149999999999</v>
      </c>
      <c r="K6567">
        <v>1.098306</v>
      </c>
      <c r="L6567">
        <v>124.1049</v>
      </c>
      <c r="M6567">
        <v>0.40375859999999902</v>
      </c>
      <c r="N6567">
        <v>0</v>
      </c>
      <c r="O6567">
        <v>0.9147499</v>
      </c>
      <c r="P6567">
        <v>0.44753320000000002</v>
      </c>
      <c r="Q6567">
        <v>-1.3474949999999999E-2</v>
      </c>
      <c r="R6567">
        <v>0.89416580000000001</v>
      </c>
      <c r="S6567">
        <v>2.0285799999999998</v>
      </c>
      <c r="T6567">
        <v>-0.38050879999999998</v>
      </c>
      <c r="U6567">
        <v>2.3465419999999999</v>
      </c>
      <c r="V6567">
        <v>4.8369370000000002E-2</v>
      </c>
      <c r="W6567">
        <v>3.33134199999999E-4</v>
      </c>
      <c r="X6567">
        <v>0.99882950000000004</v>
      </c>
      <c r="Y6567">
        <v>0.2878387</v>
      </c>
      <c r="Z6567">
        <v>-0.118723</v>
      </c>
      <c r="AA6567">
        <v>0.95029140000000001</v>
      </c>
      <c r="AB6567">
        <v>24</v>
      </c>
      <c r="AC6567">
        <v>5.7334999999999896</v>
      </c>
      <c r="AD6567">
        <v>-1.0983117709170001</v>
      </c>
      <c r="AE6567">
        <v>6.5208999999999904</v>
      </c>
      <c r="AF6567">
        <v>2.5709907917588599</v>
      </c>
      <c r="AG6567">
        <v>-1.0983117709170001</v>
      </c>
      <c r="AH6567">
        <v>8.1504157698003805</v>
      </c>
      <c r="AI6567">
        <v>97.323119397379003</v>
      </c>
      <c r="AJ6567">
        <v>72.492489945709494</v>
      </c>
      <c r="AK6567">
        <v>8.6165863088612102</v>
      </c>
    </row>
    <row r="6568" spans="1:37" x14ac:dyDescent="0.2">
      <c r="A6568" t="str">
        <f>"20200111160348362"</f>
        <v>20200111160348362</v>
      </c>
      <c r="B6568" t="str">
        <f>"1578729828349783"</f>
        <v>1578729828349783</v>
      </c>
      <c r="C6568" t="s">
        <v>37</v>
      </c>
      <c r="D6568">
        <v>5.0329350000000002</v>
      </c>
      <c r="E6568">
        <v>0.59519909999999998</v>
      </c>
      <c r="F6568" t="s">
        <v>77</v>
      </c>
      <c r="G6568">
        <v>-180.2706</v>
      </c>
      <c r="H6568" s="1">
        <v>-5.76004699999999E-6</v>
      </c>
      <c r="I6568">
        <v>130.63310000000001</v>
      </c>
      <c r="J6568">
        <v>-185.7629</v>
      </c>
      <c r="K6568">
        <v>1.0983160000000001</v>
      </c>
      <c r="L6568">
        <v>124.283999999999</v>
      </c>
      <c r="M6568">
        <v>0.4108792</v>
      </c>
      <c r="N6568">
        <v>0</v>
      </c>
      <c r="O6568">
        <v>0.91157369999999904</v>
      </c>
      <c r="P6568">
        <v>0.45719709999999902</v>
      </c>
      <c r="Q6568">
        <v>-1.307873E-2</v>
      </c>
      <c r="R6568">
        <v>0.88926919999999898</v>
      </c>
      <c r="S6568">
        <v>2.0052029999999998</v>
      </c>
      <c r="T6568">
        <v>-0.39461740000000001</v>
      </c>
      <c r="U6568">
        <v>2.3455349999999999</v>
      </c>
      <c r="V6568">
        <v>5.1407880000000003E-2</v>
      </c>
      <c r="W6568">
        <v>6.8360969999999997E-4</v>
      </c>
      <c r="X6568">
        <v>0.9986775</v>
      </c>
      <c r="Y6568">
        <v>0.27472020000000003</v>
      </c>
      <c r="Z6568">
        <v>-0.1230604</v>
      </c>
      <c r="AA6568">
        <v>0.95361679999999904</v>
      </c>
      <c r="AB6568">
        <v>24</v>
      </c>
      <c r="AC6568">
        <v>5.4923000000000002</v>
      </c>
      <c r="AD6568">
        <v>-1.0983217600470001</v>
      </c>
      <c r="AE6568">
        <v>6.3491000000000204</v>
      </c>
      <c r="AF6568">
        <v>2.3578192882009099</v>
      </c>
      <c r="AG6568">
        <v>-1.0983217600470001</v>
      </c>
      <c r="AH6568">
        <v>7.9098076072966998</v>
      </c>
      <c r="AI6568">
        <v>97.579787244508196</v>
      </c>
      <c r="AJ6568">
        <v>73.401309022974601</v>
      </c>
      <c r="AK6568">
        <v>8.3265046009026999</v>
      </c>
    </row>
    <row r="6569" spans="1:37" x14ac:dyDescent="0.2">
      <c r="A6569" t="str">
        <f>"20200111160348383"</f>
        <v>20200111160348383</v>
      </c>
      <c r="B6569" t="str">
        <f>"1578729828380039"</f>
        <v>1578729828380039</v>
      </c>
      <c r="C6569" t="s">
        <v>37</v>
      </c>
      <c r="D6569">
        <v>5.0829279999999999</v>
      </c>
      <c r="E6569">
        <v>0.59395299999999995</v>
      </c>
      <c r="F6569" t="s">
        <v>77</v>
      </c>
      <c r="G6569">
        <v>-180.04499999999999</v>
      </c>
      <c r="H6569" s="1">
        <v>-5.85212E-6</v>
      </c>
      <c r="I6569">
        <v>130.83969999999999</v>
      </c>
      <c r="J6569">
        <v>-185.6574</v>
      </c>
      <c r="K6569">
        <v>1.098339</v>
      </c>
      <c r="L6569">
        <v>124.4926</v>
      </c>
      <c r="M6569">
        <v>0.41917959999999899</v>
      </c>
      <c r="N6569">
        <v>0</v>
      </c>
      <c r="O6569">
        <v>0.9077868</v>
      </c>
      <c r="P6569">
        <v>0.46841359999999899</v>
      </c>
      <c r="Q6569">
        <v>-1.217902E-2</v>
      </c>
      <c r="R6569">
        <v>0.88342540000000003</v>
      </c>
      <c r="S6569">
        <v>2.028</v>
      </c>
      <c r="T6569">
        <v>-0.38954929999999999</v>
      </c>
      <c r="U6569">
        <v>2.3251650000000001</v>
      </c>
      <c r="V6569">
        <v>5.4940349999999999E-2</v>
      </c>
      <c r="W6569">
        <v>1.5290410000000001E-3</v>
      </c>
      <c r="X6569">
        <v>0.9984885</v>
      </c>
      <c r="Y6569">
        <v>0.27554990000000001</v>
      </c>
      <c r="Z6569">
        <v>-0.1212201</v>
      </c>
      <c r="AA6569">
        <v>0.95361309999999999</v>
      </c>
      <c r="AB6569">
        <v>24</v>
      </c>
      <c r="AC6569">
        <v>5.6124000000000001</v>
      </c>
      <c r="AD6569">
        <v>-1.0983448521200001</v>
      </c>
      <c r="AE6569">
        <v>6.3470999999999904</v>
      </c>
      <c r="AF6569">
        <v>2.3943083750700702</v>
      </c>
      <c r="AG6569">
        <v>-1.0983448521200001</v>
      </c>
      <c r="AH6569">
        <v>7.9811503998379303</v>
      </c>
      <c r="AI6569">
        <v>97.509078234075105</v>
      </c>
      <c r="AJ6569">
        <v>73.300997773068005</v>
      </c>
      <c r="AK6569">
        <v>8.4046318012119006</v>
      </c>
    </row>
    <row r="6570" spans="1:37" x14ac:dyDescent="0.2">
      <c r="A6570" t="str">
        <f>"20200111160348406"</f>
        <v>20200111160348406</v>
      </c>
      <c r="B6570" t="str">
        <f>"1578729828399561"</f>
        <v>1578729828399561</v>
      </c>
      <c r="C6570" t="s">
        <v>37</v>
      </c>
      <c r="D6570">
        <v>4.9294019999999996</v>
      </c>
      <c r="E6570">
        <v>0.59428769999999997</v>
      </c>
      <c r="F6570" t="s">
        <v>77</v>
      </c>
      <c r="G6570">
        <v>-179.60509999999999</v>
      </c>
      <c r="H6570" s="1">
        <v>-5.7999390000000002E-6</v>
      </c>
      <c r="I6570">
        <v>131.29640000000001</v>
      </c>
      <c r="J6570">
        <v>-185.54740000000001</v>
      </c>
      <c r="K6570">
        <v>1.0983609999999999</v>
      </c>
      <c r="L6570">
        <v>124.7054</v>
      </c>
      <c r="M6570">
        <v>0.42764669999999999</v>
      </c>
      <c r="N6570">
        <v>0</v>
      </c>
      <c r="O6570">
        <v>0.90382890000000005</v>
      </c>
      <c r="P6570">
        <v>0.47982619999999998</v>
      </c>
      <c r="Q6570">
        <v>-1.20952E-2</v>
      </c>
      <c r="R6570">
        <v>0.87728019999999995</v>
      </c>
      <c r="S6570">
        <v>2.0495450000000002</v>
      </c>
      <c r="T6570">
        <v>-0.37194139999999998</v>
      </c>
      <c r="U6570">
        <v>2.3040310000000002</v>
      </c>
      <c r="V6570">
        <v>5.8550409999999997E-2</v>
      </c>
      <c r="W6570">
        <v>1.5581289999999999E-3</v>
      </c>
      <c r="X6570">
        <v>0.99828329999999998</v>
      </c>
      <c r="Y6570">
        <v>0.27636430000000001</v>
      </c>
      <c r="Z6570">
        <v>-0.1155654</v>
      </c>
      <c r="AA6570">
        <v>0.95407929999999996</v>
      </c>
      <c r="AB6570">
        <v>24</v>
      </c>
      <c r="AC6570">
        <v>5.9423000000000101</v>
      </c>
      <c r="AD6570">
        <v>-1.0983667999390001</v>
      </c>
      <c r="AE6570">
        <v>6.5910000000000002</v>
      </c>
      <c r="AF6570">
        <v>2.51396164101511</v>
      </c>
      <c r="AG6570">
        <v>-1.0983667999390001</v>
      </c>
      <c r="AH6570">
        <v>8.3710047140008594</v>
      </c>
      <c r="AI6570">
        <v>97.162597720358093</v>
      </c>
      <c r="AJ6570">
        <v>73.284052583807906</v>
      </c>
      <c r="AK6570">
        <v>8.8090937491621908</v>
      </c>
    </row>
    <row r="6571" spans="1:37" x14ac:dyDescent="0.2">
      <c r="A6571" t="str">
        <f>"20200111160348428"</f>
        <v>20200111160348428</v>
      </c>
      <c r="B6571" t="str">
        <f>"1578729828420055"</f>
        <v>1578729828420055</v>
      </c>
      <c r="C6571" t="s">
        <v>37</v>
      </c>
      <c r="D6571">
        <v>5.0933039999999998</v>
      </c>
      <c r="E6571">
        <v>0.59446569999999899</v>
      </c>
      <c r="F6571" t="s">
        <v>77</v>
      </c>
      <c r="G6571">
        <v>-179.30860000000001</v>
      </c>
      <c r="H6571" s="1">
        <v>-5.6956689999999997E-6</v>
      </c>
      <c r="I6571">
        <v>131.52610000000001</v>
      </c>
      <c r="J6571">
        <v>-185.43369999999999</v>
      </c>
      <c r="K6571">
        <v>1.0983810000000001</v>
      </c>
      <c r="L6571">
        <v>124.9203</v>
      </c>
      <c r="M6571">
        <v>0.43620799999999998</v>
      </c>
      <c r="N6571">
        <v>0</v>
      </c>
      <c r="O6571">
        <v>0.89972830000000004</v>
      </c>
      <c r="P6571">
        <v>0.49088159999999997</v>
      </c>
      <c r="Q6571">
        <v>-1.2147150000000001E-2</v>
      </c>
      <c r="R6571">
        <v>0.87114159999999996</v>
      </c>
      <c r="S6571">
        <v>2.0817869999999998</v>
      </c>
      <c r="T6571">
        <v>-0.36650490000000002</v>
      </c>
      <c r="U6571">
        <v>2.27597</v>
      </c>
      <c r="V6571">
        <v>6.1695819999999998E-2</v>
      </c>
      <c r="W6571">
        <v>1.4575160000000001E-3</v>
      </c>
      <c r="X6571">
        <v>0.99809400000000004</v>
      </c>
      <c r="Y6571">
        <v>0.28061740000000002</v>
      </c>
      <c r="Z6571">
        <v>-0.1136479</v>
      </c>
      <c r="AA6571">
        <v>0.95306769999999996</v>
      </c>
      <c r="AB6571">
        <v>24</v>
      </c>
      <c r="AC6571">
        <v>6.1250999999999696</v>
      </c>
      <c r="AD6571">
        <v>-1.098386695669</v>
      </c>
      <c r="AE6571">
        <v>6.6058000000000101</v>
      </c>
      <c r="AF6571">
        <v>2.5911798796148702</v>
      </c>
      <c r="AG6571">
        <v>-1.098386695669</v>
      </c>
      <c r="AH6571">
        <v>8.4899401247405706</v>
      </c>
      <c r="AI6571">
        <v>97.053931645622598</v>
      </c>
      <c r="AJ6571">
        <v>73.027501178703503</v>
      </c>
      <c r="AK6571">
        <v>8.9442579246924403</v>
      </c>
    </row>
    <row r="6572" spans="1:37" x14ac:dyDescent="0.2">
      <c r="A6572" t="str">
        <f>"20200111160348451"</f>
        <v>20200111160348451</v>
      </c>
      <c r="B6572" t="str">
        <f>"1578729828439575"</f>
        <v>1578729828439575</v>
      </c>
      <c r="C6572" t="s">
        <v>37</v>
      </c>
      <c r="D6572">
        <v>5.210216</v>
      </c>
      <c r="E6572">
        <v>0.62053199999999997</v>
      </c>
      <c r="F6572" t="s">
        <v>77</v>
      </c>
      <c r="G6572">
        <v>-179.11709999999999</v>
      </c>
      <c r="H6572" s="1">
        <v>-5.6186969999999901E-6</v>
      </c>
      <c r="I6572">
        <v>131.64689999999999</v>
      </c>
      <c r="J6572">
        <v>-185.3219</v>
      </c>
      <c r="K6572">
        <v>1.0983879999999999</v>
      </c>
      <c r="L6572">
        <v>125.127</v>
      </c>
      <c r="M6572">
        <v>0.44445859999999898</v>
      </c>
      <c r="N6572">
        <v>0</v>
      </c>
      <c r="O6572">
        <v>0.89568130000000001</v>
      </c>
      <c r="P6572">
        <v>0.50150249999999996</v>
      </c>
      <c r="Q6572">
        <v>-1.209234E-2</v>
      </c>
      <c r="R6572">
        <v>0.865071699999999</v>
      </c>
      <c r="S6572">
        <v>2.1116790000000001</v>
      </c>
      <c r="T6572">
        <v>-0.36719649999999998</v>
      </c>
      <c r="U6572">
        <v>2.2487180000000002</v>
      </c>
      <c r="V6572">
        <v>6.4733209999999999E-2</v>
      </c>
      <c r="W6572">
        <v>1.4641910000000001E-3</v>
      </c>
      <c r="X6572">
        <v>0.99790159999999895</v>
      </c>
      <c r="Y6572">
        <v>0.28428930000000002</v>
      </c>
      <c r="Z6572">
        <v>-0.1136153</v>
      </c>
      <c r="AA6572">
        <v>0.95198269999999996</v>
      </c>
      <c r="AB6572">
        <v>24</v>
      </c>
      <c r="AC6572">
        <v>6.2047999999999996</v>
      </c>
      <c r="AD6572">
        <v>-1.098393618697</v>
      </c>
      <c r="AE6572">
        <v>6.5198999999999696</v>
      </c>
      <c r="AF6572">
        <v>2.6209451353520898</v>
      </c>
      <c r="AG6572">
        <v>-1.098393618697</v>
      </c>
      <c r="AH6572">
        <v>8.4722607288984992</v>
      </c>
      <c r="AI6572">
        <v>97.060398132168103</v>
      </c>
      <c r="AJ6572">
        <v>72.810230615711205</v>
      </c>
      <c r="AK6572">
        <v>8.9361638191427399</v>
      </c>
    </row>
    <row r="6573" spans="1:37" x14ac:dyDescent="0.2">
      <c r="A6573" t="str">
        <f>"20200111160348472"</f>
        <v>20200111160348472</v>
      </c>
      <c r="B6573" t="str">
        <f>"1578729828469518"</f>
        <v>1578729828469518</v>
      </c>
      <c r="C6573" t="s">
        <v>37</v>
      </c>
      <c r="D6573">
        <v>5.2092239999999999</v>
      </c>
      <c r="E6573">
        <v>0.65160750000000001</v>
      </c>
      <c r="F6573" t="s">
        <v>77</v>
      </c>
      <c r="G6573">
        <v>-179.11969999999999</v>
      </c>
      <c r="H6573" s="1">
        <v>-5.3101040000000003E-6</v>
      </c>
      <c r="I6573">
        <v>130.8015</v>
      </c>
      <c r="J6573">
        <v>-185.20660000000001</v>
      </c>
      <c r="K6573">
        <v>1.098395</v>
      </c>
      <c r="L6573">
        <v>125.33499999999999</v>
      </c>
      <c r="M6573">
        <v>0.45280989999999999</v>
      </c>
      <c r="N6573">
        <v>0</v>
      </c>
      <c r="O6573">
        <v>0.89148850000000002</v>
      </c>
      <c r="P6573">
        <v>0.51208729999999902</v>
      </c>
      <c r="Q6573">
        <v>-1.123876E-2</v>
      </c>
      <c r="R6573">
        <v>0.85885990000000001</v>
      </c>
      <c r="S6573">
        <v>2.3163909999999999</v>
      </c>
      <c r="T6573">
        <v>-0.41023109999999902</v>
      </c>
      <c r="U6573">
        <v>2.1193390000000001</v>
      </c>
      <c r="V6573">
        <v>6.7667749999999999E-2</v>
      </c>
      <c r="W6573">
        <v>2.2709990000000001E-3</v>
      </c>
      <c r="X6573">
        <v>0.99770530000000002</v>
      </c>
      <c r="Y6573">
        <v>0.34562719999999902</v>
      </c>
      <c r="Z6573">
        <v>-0.1261391</v>
      </c>
      <c r="AA6573">
        <v>0.92985519999999999</v>
      </c>
      <c r="AB6573">
        <v>24</v>
      </c>
      <c r="AC6573">
        <v>6.0869000000000097</v>
      </c>
      <c r="AD6573">
        <v>-1.0984003101040001</v>
      </c>
      <c r="AE6573">
        <v>5.4665000000000097</v>
      </c>
      <c r="AF6573">
        <v>2.8991698406143498</v>
      </c>
      <c r="AG6573">
        <v>-1.0984003101040001</v>
      </c>
      <c r="AH6573">
        <v>7.4952337968767901</v>
      </c>
      <c r="AI6573">
        <v>97.782857350881102</v>
      </c>
      <c r="AJ6573">
        <v>68.853440519650107</v>
      </c>
      <c r="AK6573">
        <v>8.1111157478985891</v>
      </c>
    </row>
    <row r="6574" spans="1:37" x14ac:dyDescent="0.2">
      <c r="A6574" t="str">
        <f>"20200111160348495"</f>
        <v>20200111160348495</v>
      </c>
      <c r="B6574" t="str">
        <f>"1578729828490014"</f>
        <v>1578729828490014</v>
      </c>
      <c r="C6574" t="s">
        <v>37</v>
      </c>
      <c r="D6574">
        <v>5.2386499999999998</v>
      </c>
      <c r="E6574">
        <v>0.64967019999999998</v>
      </c>
      <c r="F6574" t="s">
        <v>77</v>
      </c>
      <c r="G6574">
        <v>-177.65190000000001</v>
      </c>
      <c r="H6574" s="1">
        <v>-4.4345499999999997E-6</v>
      </c>
      <c r="I6574">
        <v>131.1328</v>
      </c>
      <c r="J6574">
        <v>-185.08580000000001</v>
      </c>
      <c r="K6574">
        <v>1.0983780000000001</v>
      </c>
      <c r="L6574">
        <v>125.54810000000001</v>
      </c>
      <c r="M6574">
        <v>0.46141270000000001</v>
      </c>
      <c r="N6574">
        <v>0</v>
      </c>
      <c r="O6574">
        <v>0.88706640000000003</v>
      </c>
      <c r="P6574">
        <v>0.52178930000000001</v>
      </c>
      <c r="Q6574">
        <v>-1.058314E-2</v>
      </c>
      <c r="R6574">
        <v>0.85300869999999995</v>
      </c>
      <c r="S6574">
        <v>2.557922</v>
      </c>
      <c r="T6574">
        <v>-0.3719054</v>
      </c>
      <c r="U6574">
        <v>1.9630430000000001</v>
      </c>
      <c r="V6574">
        <v>6.933048E-2</v>
      </c>
      <c r="W6574">
        <v>2.8994670000000002E-3</v>
      </c>
      <c r="X6574">
        <v>0.99758950000000002</v>
      </c>
      <c r="Y6574">
        <v>0.41723549999999998</v>
      </c>
      <c r="Z6574">
        <v>-0.11334180000000001</v>
      </c>
      <c r="AA6574">
        <v>0.90170289999999997</v>
      </c>
      <c r="AB6574">
        <v>24</v>
      </c>
      <c r="AC6574">
        <v>7.4338999999999897</v>
      </c>
      <c r="AD6574">
        <v>-1.09838243455</v>
      </c>
      <c r="AE6574">
        <v>5.58469999999999</v>
      </c>
      <c r="AF6574">
        <v>3.9626373120234901</v>
      </c>
      <c r="AG6574">
        <v>-1.09838243455</v>
      </c>
      <c r="AH6574">
        <v>8.2695795181048499</v>
      </c>
      <c r="AI6574">
        <v>96.830364446191894</v>
      </c>
      <c r="AJ6574">
        <v>64.397077345089798</v>
      </c>
      <c r="AK6574">
        <v>9.23552293297071</v>
      </c>
    </row>
    <row r="6575" spans="1:37" x14ac:dyDescent="0.2">
      <c r="A6575" t="str">
        <f>"20200111160348518"</f>
        <v>20200111160348518</v>
      </c>
      <c r="B6575" t="str">
        <f>"1578729828509534"</f>
        <v>1578729828509534</v>
      </c>
      <c r="C6575" t="s">
        <v>37</v>
      </c>
      <c r="D6575">
        <v>5.1129709999999999</v>
      </c>
      <c r="E6575">
        <v>0.65004799999999996</v>
      </c>
      <c r="F6575" t="s">
        <v>77</v>
      </c>
      <c r="G6575">
        <v>-177.51499999999999</v>
      </c>
      <c r="H6575" s="1">
        <v>-4.3951940000000001E-6</v>
      </c>
      <c r="I6575">
        <v>131.27529999999999</v>
      </c>
      <c r="J6575">
        <v>-184.96469999999999</v>
      </c>
      <c r="K6575">
        <v>1.098341</v>
      </c>
      <c r="L6575">
        <v>125.75700000000001</v>
      </c>
      <c r="M6575">
        <v>0.46991559999999999</v>
      </c>
      <c r="N6575">
        <v>0</v>
      </c>
      <c r="O6575">
        <v>0.88259149999999997</v>
      </c>
      <c r="P6575">
        <v>0.5310241</v>
      </c>
      <c r="Q6575">
        <v>-1.1448649999999999E-2</v>
      </c>
      <c r="R6575">
        <v>0.84727940000000002</v>
      </c>
      <c r="S6575">
        <v>2.5671689999999998</v>
      </c>
      <c r="T6575">
        <v>-0.37244529999999998</v>
      </c>
      <c r="U6575">
        <v>1.9420009999999901</v>
      </c>
      <c r="V6575">
        <v>7.0572750000000004E-2</v>
      </c>
      <c r="W6575">
        <v>2.0125529999999998E-3</v>
      </c>
      <c r="X6575">
        <v>0.99750459999999996</v>
      </c>
      <c r="Y6575">
        <v>0.41475509999999899</v>
      </c>
      <c r="Z6575">
        <v>-0.113317899999999</v>
      </c>
      <c r="AA6575">
        <v>0.90284959999999903</v>
      </c>
      <c r="AB6575">
        <v>24</v>
      </c>
      <c r="AC6575">
        <v>7.4497</v>
      </c>
      <c r="AD6575">
        <v>-1.0983453951940001</v>
      </c>
      <c r="AE6575">
        <v>5.5182999999999804</v>
      </c>
      <c r="AF6575">
        <v>3.9272068936194802</v>
      </c>
      <c r="AG6575">
        <v>-1.0983453951940001</v>
      </c>
      <c r="AH6575">
        <v>8.2561400151885795</v>
      </c>
      <c r="AI6575">
        <v>96.850406641015098</v>
      </c>
      <c r="AJ6575">
        <v>64.560919075142195</v>
      </c>
      <c r="AK6575">
        <v>9.2083203974902101</v>
      </c>
    </row>
    <row r="6576" spans="1:37" x14ac:dyDescent="0.2">
      <c r="A6576" t="str">
        <f>"20200111160348540"</f>
        <v>20200111160348540</v>
      </c>
      <c r="B6576" t="str">
        <f>"1578729828530030"</f>
        <v>1578729828530030</v>
      </c>
      <c r="C6576" t="s">
        <v>37</v>
      </c>
      <c r="D6576">
        <v>5.1205759999999998</v>
      </c>
      <c r="E6576">
        <v>0.65059409999999995</v>
      </c>
      <c r="F6576" t="s">
        <v>77</v>
      </c>
      <c r="G6576">
        <v>-177.11269999999999</v>
      </c>
      <c r="H6576" s="1">
        <v>-4.2247049999999999E-6</v>
      </c>
      <c r="I6576">
        <v>131.54900000000001</v>
      </c>
      <c r="J6576">
        <v>-184.84309999999999</v>
      </c>
      <c r="K6576">
        <v>1.098271</v>
      </c>
      <c r="L6576">
        <v>125.962</v>
      </c>
      <c r="M6576">
        <v>0.4783559</v>
      </c>
      <c r="N6576">
        <v>0</v>
      </c>
      <c r="O6576">
        <v>0.87804550000000003</v>
      </c>
      <c r="P6576">
        <v>0.540099199999999</v>
      </c>
      <c r="Q6576">
        <v>-1.3883909999999999E-2</v>
      </c>
      <c r="R6576">
        <v>0.84148690000000004</v>
      </c>
      <c r="S6576">
        <v>2.5915219999999999</v>
      </c>
      <c r="T6576">
        <v>-0.36250509999999903</v>
      </c>
      <c r="U6576">
        <v>1.9116519999999999</v>
      </c>
      <c r="V6576">
        <v>7.1710469999999998E-2</v>
      </c>
      <c r="W6576">
        <v>-4.4437589999999998E-4</v>
      </c>
      <c r="X6576">
        <v>0.99742540000000002</v>
      </c>
      <c r="Y6576">
        <v>0.41726380000000002</v>
      </c>
      <c r="Z6576">
        <v>-0.1100571</v>
      </c>
      <c r="AA6576">
        <v>0.90209660000000003</v>
      </c>
      <c r="AB6576">
        <v>24</v>
      </c>
      <c r="AC6576">
        <v>7.7304000000000004</v>
      </c>
      <c r="AD6576">
        <v>-1.0982752247050001</v>
      </c>
      <c r="AE6576">
        <v>5.5869999999999997</v>
      </c>
      <c r="AF6576">
        <v>4.0616513020556599</v>
      </c>
      <c r="AG6576">
        <v>-1.0982752247050001</v>
      </c>
      <c r="AH6576">
        <v>8.4918413476166599</v>
      </c>
      <c r="AI6576">
        <v>96.654835005886198</v>
      </c>
      <c r="AJ6576">
        <v>64.438190517904701</v>
      </c>
      <c r="AK6576">
        <v>9.4770559374619694</v>
      </c>
    </row>
    <row r="6577" spans="1:37" x14ac:dyDescent="0.2">
      <c r="A6577" t="str">
        <f>"20200111160348561"</f>
        <v>20200111160348561</v>
      </c>
      <c r="B6577" t="str">
        <f>"1578729828549550"</f>
        <v>1578729828549550</v>
      </c>
      <c r="C6577" t="s">
        <v>37</v>
      </c>
      <c r="D6577">
        <v>5.1271459999999998</v>
      </c>
      <c r="E6577">
        <v>0.65049369999999995</v>
      </c>
      <c r="F6577" t="s">
        <v>77</v>
      </c>
      <c r="G6577">
        <v>-176.83869999999999</v>
      </c>
      <c r="H6577" s="1">
        <v>-4.1013689999999996E-6</v>
      </c>
      <c r="I6577">
        <v>131.7167</v>
      </c>
      <c r="J6577">
        <v>-184.72460000000001</v>
      </c>
      <c r="K6577">
        <v>1.0981889999999901</v>
      </c>
      <c r="L6577">
        <v>126.15730000000001</v>
      </c>
      <c r="M6577">
        <v>0.48651090000000002</v>
      </c>
      <c r="N6577">
        <v>0</v>
      </c>
      <c r="O6577">
        <v>0.87355319999999903</v>
      </c>
      <c r="P6577">
        <v>0.54884519999999903</v>
      </c>
      <c r="Q6577">
        <v>-1.7267999999999999E-2</v>
      </c>
      <c r="R6577">
        <v>0.83574559999999998</v>
      </c>
      <c r="S6577">
        <v>2.6155550000000001</v>
      </c>
      <c r="T6577">
        <v>-0.35887649999999999</v>
      </c>
      <c r="U6577">
        <v>1.88041699999999</v>
      </c>
      <c r="V6577">
        <v>7.2804049999999995E-2</v>
      </c>
      <c r="W6577">
        <v>-3.8495539999999998E-3</v>
      </c>
      <c r="X6577">
        <v>0.99733879999999997</v>
      </c>
      <c r="Y6577">
        <v>0.41996879999999998</v>
      </c>
      <c r="Z6577">
        <v>-0.1087195</v>
      </c>
      <c r="AA6577">
        <v>0.90100290000000005</v>
      </c>
      <c r="AB6577">
        <v>24</v>
      </c>
      <c r="AC6577">
        <v>7.8859000000000199</v>
      </c>
      <c r="AD6577">
        <v>-1.0981931013689901</v>
      </c>
      <c r="AE6577">
        <v>5.5593999999999903</v>
      </c>
      <c r="AF6577">
        <v>4.1309716289086396</v>
      </c>
      <c r="AG6577">
        <v>-1.0981931013689901</v>
      </c>
      <c r="AH6577">
        <v>8.5827407977898797</v>
      </c>
      <c r="AI6577">
        <v>96.576827831272894</v>
      </c>
      <c r="AJ6577">
        <v>64.297954268276001</v>
      </c>
      <c r="AK6577">
        <v>9.5882425026064908</v>
      </c>
    </row>
    <row r="6578" spans="1:37" x14ac:dyDescent="0.2">
      <c r="A6578" t="str">
        <f>"20200111160348584"</f>
        <v>20200111160348584</v>
      </c>
      <c r="B6578" t="str">
        <f>"1578729828579523"</f>
        <v>1578729828579523</v>
      </c>
      <c r="C6578" t="s">
        <v>37</v>
      </c>
      <c r="D6578">
        <v>5.1690649999999998</v>
      </c>
      <c r="E6578">
        <v>0.64940419999999999</v>
      </c>
      <c r="F6578" t="s">
        <v>77</v>
      </c>
      <c r="G6578">
        <v>-176.86490000000001</v>
      </c>
      <c r="H6578" s="1">
        <v>-4.1080689999999999E-6</v>
      </c>
      <c r="I6578">
        <v>131.68709999999999</v>
      </c>
      <c r="J6578">
        <v>-184.59880000000001</v>
      </c>
      <c r="K6578">
        <v>1.0980939999999999</v>
      </c>
      <c r="L6578">
        <v>126.3601</v>
      </c>
      <c r="M6578">
        <v>0.49511549999999999</v>
      </c>
      <c r="N6578">
        <v>0</v>
      </c>
      <c r="O6578">
        <v>0.8687049</v>
      </c>
      <c r="P6578">
        <v>0.55857579999999996</v>
      </c>
      <c r="Q6578">
        <v>-2.028048E-2</v>
      </c>
      <c r="R6578">
        <v>0.82920550000000004</v>
      </c>
      <c r="S6578">
        <v>2.6333009999999999</v>
      </c>
      <c r="T6578">
        <v>-0.36793979999999998</v>
      </c>
      <c r="U6578">
        <v>1.85269199999999</v>
      </c>
      <c r="V6578">
        <v>7.4595919999999996E-2</v>
      </c>
      <c r="W6578">
        <v>-6.8945899999999999E-3</v>
      </c>
      <c r="X6578">
        <v>0.99718999999999902</v>
      </c>
      <c r="Y6578">
        <v>0.41995500000000002</v>
      </c>
      <c r="Z6578">
        <v>-0.111159799999999</v>
      </c>
      <c r="AA6578">
        <v>0.90071159999999995</v>
      </c>
      <c r="AB6578">
        <v>23</v>
      </c>
      <c r="AC6578">
        <v>7.7339000000000002</v>
      </c>
      <c r="AD6578">
        <v>-1.098098108069</v>
      </c>
      <c r="AE6578">
        <v>5.3269999999999804</v>
      </c>
      <c r="AF6578">
        <v>4.0263776418693196</v>
      </c>
      <c r="AG6578">
        <v>-1.098098108069</v>
      </c>
      <c r="AH6578">
        <v>8.3435817949716196</v>
      </c>
      <c r="AI6578">
        <v>96.759740729330304</v>
      </c>
      <c r="AJ6578">
        <v>64.239351926006407</v>
      </c>
      <c r="AK6578">
        <v>9.3291421652406896</v>
      </c>
    </row>
    <row r="6579" spans="1:37" x14ac:dyDescent="0.2">
      <c r="A6579" t="str">
        <f>"20200111160348606"</f>
        <v>20200111160348606</v>
      </c>
      <c r="B6579" t="str">
        <f>"1578729828600020"</f>
        <v>1578729828600020</v>
      </c>
      <c r="C6579" t="s">
        <v>37</v>
      </c>
      <c r="D6579">
        <v>5.1884540000000001</v>
      </c>
      <c r="E6579">
        <v>0.64838819999999997</v>
      </c>
      <c r="F6579" t="s">
        <v>77</v>
      </c>
      <c r="G6579">
        <v>-176.99379999999999</v>
      </c>
      <c r="H6579" s="1">
        <v>-4.1660109999999997E-6</v>
      </c>
      <c r="I6579">
        <v>131.60810000000001</v>
      </c>
      <c r="J6579">
        <v>-184.47069999999999</v>
      </c>
      <c r="K6579">
        <v>1.097987</v>
      </c>
      <c r="L6579">
        <v>126.5617</v>
      </c>
      <c r="M6579">
        <v>0.50382519999999997</v>
      </c>
      <c r="N6579">
        <v>0</v>
      </c>
      <c r="O6579">
        <v>0.86368239999999996</v>
      </c>
      <c r="P6579">
        <v>0.568102</v>
      </c>
      <c r="Q6579">
        <v>-2.367584E-2</v>
      </c>
      <c r="R6579">
        <v>0.822617499999999</v>
      </c>
      <c r="S6579">
        <v>2.6461790000000001</v>
      </c>
      <c r="T6579">
        <v>-0.38208959999999997</v>
      </c>
      <c r="U6579">
        <v>1.82605</v>
      </c>
      <c r="V6579">
        <v>7.6060749999999996E-2</v>
      </c>
      <c r="W6579">
        <v>-1.0317399999999999E-2</v>
      </c>
      <c r="X6579">
        <v>0.99704979999999999</v>
      </c>
      <c r="Y6579">
        <v>0.41858689999999998</v>
      </c>
      <c r="Z6579">
        <v>-0.1151436</v>
      </c>
      <c r="AA6579">
        <v>0.90084789999999904</v>
      </c>
      <c r="AB6579">
        <v>23</v>
      </c>
      <c r="AC6579">
        <v>7.4768999999999997</v>
      </c>
      <c r="AD6579">
        <v>-1.097991166011</v>
      </c>
      <c r="AE6579">
        <v>5.0464000000000002</v>
      </c>
      <c r="AF6579">
        <v>3.8584137988317702</v>
      </c>
      <c r="AG6579">
        <v>-1.097991166011</v>
      </c>
      <c r="AH6579">
        <v>8.0077591752882196</v>
      </c>
      <c r="AI6579">
        <v>97.041768591846505</v>
      </c>
      <c r="AJ6579">
        <v>64.273633429559794</v>
      </c>
      <c r="AK6579">
        <v>8.9564026625127902</v>
      </c>
    </row>
    <row r="6580" spans="1:37" x14ac:dyDescent="0.2">
      <c r="A6580" t="str">
        <f>"20200111160348629"</f>
        <v>20200111160348629</v>
      </c>
      <c r="B6580" t="str">
        <f>"1578729828619539"</f>
        <v>1578729828619539</v>
      </c>
      <c r="C6580" t="s">
        <v>37</v>
      </c>
      <c r="D6580">
        <v>5.1571920000000002</v>
      </c>
      <c r="E6580">
        <v>0.64734239999999998</v>
      </c>
      <c r="F6580" t="s">
        <v>77</v>
      </c>
      <c r="G6580">
        <v>-177.0949</v>
      </c>
      <c r="H6580" s="1">
        <v>-4.2134329999999996E-6</v>
      </c>
      <c r="I6580">
        <v>131.5514</v>
      </c>
      <c r="J6580">
        <v>-184.33920000000001</v>
      </c>
      <c r="K6580">
        <v>1.09787099999999</v>
      </c>
      <c r="L6580">
        <v>126.7638</v>
      </c>
      <c r="M6580">
        <v>0.51273389999999996</v>
      </c>
      <c r="N6580">
        <v>0</v>
      </c>
      <c r="O6580">
        <v>0.8584233</v>
      </c>
      <c r="P6580">
        <v>0.57819430000000005</v>
      </c>
      <c r="Q6580">
        <v>-2.6943680000000001E-2</v>
      </c>
      <c r="R6580">
        <v>0.81545409999999996</v>
      </c>
      <c r="S6580">
        <v>2.6593019999999998</v>
      </c>
      <c r="T6580">
        <v>-0.3958719</v>
      </c>
      <c r="U6580">
        <v>1.79899599999999</v>
      </c>
      <c r="V6580">
        <v>7.8026659999999998E-2</v>
      </c>
      <c r="W6580">
        <v>-1.362114E-2</v>
      </c>
      <c r="X6580">
        <v>0.99685820000000003</v>
      </c>
      <c r="Y6580">
        <v>0.41710360000000002</v>
      </c>
      <c r="Z6580">
        <v>-0.11895689999999901</v>
      </c>
      <c r="AA6580">
        <v>0.90104039999999996</v>
      </c>
      <c r="AB6580">
        <v>23</v>
      </c>
      <c r="AC6580">
        <v>7.2443000000000097</v>
      </c>
      <c r="AD6580">
        <v>-1.0978752134330001</v>
      </c>
      <c r="AE6580">
        <v>4.7875999999999896</v>
      </c>
      <c r="AF6580">
        <v>3.7050847456381502</v>
      </c>
      <c r="AG6580">
        <v>-1.0978752134330001</v>
      </c>
      <c r="AH6580">
        <v>7.7019010112748401</v>
      </c>
      <c r="AI6580">
        <v>97.3198604528543</v>
      </c>
      <c r="AJ6580">
        <v>64.309603982870598</v>
      </c>
      <c r="AK6580">
        <v>8.6169752317218293</v>
      </c>
    </row>
    <row r="6581" spans="1:37" x14ac:dyDescent="0.2">
      <c r="A6581" t="str">
        <f>"20200111160348651"</f>
        <v>20200111160348651</v>
      </c>
      <c r="B6581" t="str">
        <f>"1578729828640035"</f>
        <v>1578729828640035</v>
      </c>
      <c r="C6581" t="s">
        <v>37</v>
      </c>
      <c r="D6581">
        <v>5.1838600000000001</v>
      </c>
      <c r="E6581">
        <v>0.64620659999999996</v>
      </c>
      <c r="F6581" t="s">
        <v>77</v>
      </c>
      <c r="G6581">
        <v>-177.13310000000001</v>
      </c>
      <c r="H6581" s="1">
        <v>-4.2328579999999999E-6</v>
      </c>
      <c r="I6581">
        <v>131.53389999999999</v>
      </c>
      <c r="J6581">
        <v>-184.21080000000001</v>
      </c>
      <c r="K6581">
        <v>1.097758</v>
      </c>
      <c r="L6581">
        <v>126.9563</v>
      </c>
      <c r="M6581">
        <v>0.52140299999999995</v>
      </c>
      <c r="N6581">
        <v>0</v>
      </c>
      <c r="O6581">
        <v>0.85318519999999898</v>
      </c>
      <c r="P6581">
        <v>0.58855619999999997</v>
      </c>
      <c r="Q6581">
        <v>-2.8668889999999999E-2</v>
      </c>
      <c r="R6581">
        <v>0.80794779999999999</v>
      </c>
      <c r="S6581">
        <v>2.6736149999999999</v>
      </c>
      <c r="T6581">
        <v>-0.407333099999999</v>
      </c>
      <c r="U6581">
        <v>1.7697750000000001</v>
      </c>
      <c r="V6581">
        <v>8.065224E-2</v>
      </c>
      <c r="W6581">
        <v>-1.5392339999999999E-2</v>
      </c>
      <c r="X6581">
        <v>0.9966235</v>
      </c>
      <c r="Y6581">
        <v>0.41658719999999999</v>
      </c>
      <c r="Z6581">
        <v>-0.12208620000000001</v>
      </c>
      <c r="AA6581">
        <v>0.90086069999999996</v>
      </c>
      <c r="AB6581">
        <v>23</v>
      </c>
      <c r="AC6581">
        <v>7.0776999999999903</v>
      </c>
      <c r="AD6581">
        <v>-1.0977622328579999</v>
      </c>
      <c r="AE6581">
        <v>4.5775999999999897</v>
      </c>
      <c r="AF6581">
        <v>3.5912916537512598</v>
      </c>
      <c r="AG6581">
        <v>-1.0977622328579999</v>
      </c>
      <c r="AH6581">
        <v>7.4699853647836001</v>
      </c>
      <c r="AI6581">
        <v>97.544637274590499</v>
      </c>
      <c r="AJ6581">
        <v>64.323480024460196</v>
      </c>
      <c r="AK6581">
        <v>8.3608097103255492</v>
      </c>
    </row>
    <row r="6582" spans="1:37" x14ac:dyDescent="0.2">
      <c r="A6582" t="str">
        <f>"20200111160348672"</f>
        <v>20200111160348672</v>
      </c>
      <c r="B6582" t="str">
        <f>"1578729828670068"</f>
        <v>1578729828670068</v>
      </c>
      <c r="C6582" t="s">
        <v>37</v>
      </c>
      <c r="D6582">
        <v>5.1992690000000001</v>
      </c>
      <c r="E6582">
        <v>0.64500669999999904</v>
      </c>
      <c r="F6582" t="s">
        <v>77</v>
      </c>
      <c r="G6582">
        <v>-177.0556</v>
      </c>
      <c r="H6582" s="1">
        <v>-4.2005800000000004E-6</v>
      </c>
      <c r="I6582">
        <v>131.5882</v>
      </c>
      <c r="J6582">
        <v>-184.07820000000001</v>
      </c>
      <c r="K6582">
        <v>1.097653</v>
      </c>
      <c r="L6582">
        <v>127.1502</v>
      </c>
      <c r="M6582">
        <v>0.53030279999999996</v>
      </c>
      <c r="N6582">
        <v>0</v>
      </c>
      <c r="O6582">
        <v>0.84768169999999898</v>
      </c>
      <c r="P6582">
        <v>0.59876450000000003</v>
      </c>
      <c r="Q6582">
        <v>-2.9409790000000002E-2</v>
      </c>
      <c r="R6582">
        <v>0.80038509999999996</v>
      </c>
      <c r="S6582">
        <v>2.68824799999999</v>
      </c>
      <c r="T6582">
        <v>-0.41243479999999999</v>
      </c>
      <c r="U6582">
        <v>1.740219</v>
      </c>
      <c r="V6582">
        <v>8.2870440000000004E-2</v>
      </c>
      <c r="W6582">
        <v>-1.617095E-2</v>
      </c>
      <c r="X6582">
        <v>0.99642909999999996</v>
      </c>
      <c r="Y6582">
        <v>0.41613129999999998</v>
      </c>
      <c r="Z6582">
        <v>-0.1232786</v>
      </c>
      <c r="AA6582">
        <v>0.90090910000000002</v>
      </c>
      <c r="AB6582">
        <v>23</v>
      </c>
      <c r="AC6582">
        <v>7.0226000000000104</v>
      </c>
      <c r="AD6582">
        <v>-1.09765720058</v>
      </c>
      <c r="AE6582">
        <v>4.4379999999999997</v>
      </c>
      <c r="AF6582">
        <v>3.5380632247561201</v>
      </c>
      <c r="AG6582">
        <v>-1.09765720058</v>
      </c>
      <c r="AH6582">
        <v>7.3584527900806602</v>
      </c>
      <c r="AI6582">
        <v>97.656763378405003</v>
      </c>
      <c r="AJ6582">
        <v>64.320998993916206</v>
      </c>
      <c r="AK6582">
        <v>8.2382989856039295</v>
      </c>
    </row>
    <row r="6583" spans="1:37" x14ac:dyDescent="0.2">
      <c r="A6583" t="str">
        <f>"20200111160348696"</f>
        <v>20200111160348696</v>
      </c>
      <c r="B6583" t="str">
        <f>"1578729828689588"</f>
        <v>1578729828689588</v>
      </c>
      <c r="C6583" t="s">
        <v>37</v>
      </c>
      <c r="D6583">
        <v>5.2038760000000002</v>
      </c>
      <c r="E6583">
        <v>0.63052050000000004</v>
      </c>
      <c r="F6583" t="s">
        <v>77</v>
      </c>
      <c r="G6583">
        <v>-176.90729999999999</v>
      </c>
      <c r="H6583" s="1">
        <v>-4.1384260000000003E-6</v>
      </c>
      <c r="I6583">
        <v>131.6909</v>
      </c>
      <c r="J6583">
        <v>-183.93539999999999</v>
      </c>
      <c r="K6583">
        <v>1.097559</v>
      </c>
      <c r="L6583">
        <v>127.354</v>
      </c>
      <c r="M6583">
        <v>0.53981939999999995</v>
      </c>
      <c r="N6583">
        <v>0</v>
      </c>
      <c r="O6583">
        <v>0.84165290000000004</v>
      </c>
      <c r="P6583">
        <v>0.60938289999999995</v>
      </c>
      <c r="Q6583">
        <v>-2.8872209999999999E-2</v>
      </c>
      <c r="R6583">
        <v>0.7923502</v>
      </c>
      <c r="S6583">
        <v>2.7024840000000001</v>
      </c>
      <c r="T6583">
        <v>-0.4136727</v>
      </c>
      <c r="U6583">
        <v>1.7112430000000001</v>
      </c>
      <c r="V6583">
        <v>8.4923750000000006E-2</v>
      </c>
      <c r="W6583">
        <v>-1.5665390000000001E-2</v>
      </c>
      <c r="X6583">
        <v>0.99626429999999999</v>
      </c>
      <c r="Y6583">
        <v>0.41491289999999997</v>
      </c>
      <c r="Z6583">
        <v>-0.12323199999999999</v>
      </c>
      <c r="AA6583">
        <v>0.90147719999999898</v>
      </c>
      <c r="AB6583">
        <v>23</v>
      </c>
      <c r="AC6583">
        <v>7.0280999999999896</v>
      </c>
      <c r="AD6583">
        <v>-1.0975631384260001</v>
      </c>
      <c r="AE6583">
        <v>4.3369</v>
      </c>
      <c r="AF6583">
        <v>3.5124242275720001</v>
      </c>
      <c r="AG6583">
        <v>-1.0975631384260001</v>
      </c>
      <c r="AH6583">
        <v>7.3156570822504703</v>
      </c>
      <c r="AI6583">
        <v>97.702421792722504</v>
      </c>
      <c r="AJ6583">
        <v>64.353209438095305</v>
      </c>
      <c r="AK6583">
        <v>8.1890541176834208</v>
      </c>
    </row>
    <row r="6584" spans="1:37" x14ac:dyDescent="0.2">
      <c r="A6584" t="str">
        <f>"20200111160348717"</f>
        <v>20200111160348717</v>
      </c>
      <c r="B6584" t="str">
        <f>"1578729828710083"</f>
        <v>1578729828710083</v>
      </c>
      <c r="C6584" t="s">
        <v>37</v>
      </c>
      <c r="D6584">
        <v>5.2043980000000003</v>
      </c>
      <c r="E6584">
        <v>0.62909340000000002</v>
      </c>
      <c r="F6584" t="s">
        <v>77</v>
      </c>
      <c r="G6584">
        <v>-176.37370000000001</v>
      </c>
      <c r="H6584" s="1">
        <v>-4.0287299999999996E-6</v>
      </c>
      <c r="I6584">
        <v>132.36109999999999</v>
      </c>
      <c r="J6584">
        <v>-183.80099999999999</v>
      </c>
      <c r="K6584">
        <v>1.09748</v>
      </c>
      <c r="L6584">
        <v>127.5412</v>
      </c>
      <c r="M6584">
        <v>0.54869369999999995</v>
      </c>
      <c r="N6584">
        <v>0</v>
      </c>
      <c r="O6584">
        <v>0.83589429999999998</v>
      </c>
      <c r="P6584">
        <v>0.61888500000000002</v>
      </c>
      <c r="Q6584">
        <v>-2.8233830000000001E-2</v>
      </c>
      <c r="R6584">
        <v>0.78497399999999995</v>
      </c>
      <c r="S6584">
        <v>2.6356199999999999</v>
      </c>
      <c r="T6584">
        <v>-0.38255479999999997</v>
      </c>
      <c r="U6584">
        <v>1.7452240000000001</v>
      </c>
      <c r="V6584">
        <v>8.6381230000000003E-2</v>
      </c>
      <c r="W6584">
        <v>-1.504786E-2</v>
      </c>
      <c r="X6584">
        <v>0.99614849999999999</v>
      </c>
      <c r="Y6584">
        <v>0.38774120000000001</v>
      </c>
      <c r="Z6584">
        <v>-0.1139254</v>
      </c>
      <c r="AA6584">
        <v>0.91470090000000004</v>
      </c>
      <c r="AB6584">
        <v>23</v>
      </c>
      <c r="AC6584">
        <v>7.4272999999999696</v>
      </c>
      <c r="AD6584">
        <v>-1.0974840287300001</v>
      </c>
      <c r="AE6584">
        <v>4.8198999999999899</v>
      </c>
      <c r="AF6584">
        <v>3.5102428225722702</v>
      </c>
      <c r="AG6584">
        <v>-1.0974840287300001</v>
      </c>
      <c r="AH6584">
        <v>7.98247295821528</v>
      </c>
      <c r="AI6584">
        <v>97.173276312560503</v>
      </c>
      <c r="AJ6584">
        <v>66.262805927383596</v>
      </c>
      <c r="AK6584">
        <v>8.7889789165395005</v>
      </c>
    </row>
    <row r="6585" spans="1:37" x14ac:dyDescent="0.2">
      <c r="A6585" t="str">
        <f>"20200111160348739"</f>
        <v>20200111160348739</v>
      </c>
      <c r="B6585" t="str">
        <f>"1578729828729620"</f>
        <v>1578729828729620</v>
      </c>
      <c r="C6585" t="s">
        <v>37</v>
      </c>
      <c r="D6585">
        <v>5.2611669999999897</v>
      </c>
      <c r="E6585">
        <v>0.62679649999999998</v>
      </c>
      <c r="F6585" t="s">
        <v>77</v>
      </c>
      <c r="G6585">
        <v>-176.03569999999999</v>
      </c>
      <c r="H6585" s="1">
        <v>-3.8834510000000003E-6</v>
      </c>
      <c r="I6585">
        <v>132.5857</v>
      </c>
      <c r="J6585">
        <v>-183.6677</v>
      </c>
      <c r="K6585">
        <v>1.097421</v>
      </c>
      <c r="L6585">
        <v>127.7226</v>
      </c>
      <c r="M6585">
        <v>0.55741209999999997</v>
      </c>
      <c r="N6585">
        <v>0</v>
      </c>
      <c r="O6585">
        <v>0.83010550000000005</v>
      </c>
      <c r="P6585">
        <v>0.6272394</v>
      </c>
      <c r="Q6585">
        <v>-2.8021040000000001E-2</v>
      </c>
      <c r="R6585">
        <v>0.77832219999999996</v>
      </c>
      <c r="S6585">
        <v>2.6482540000000001</v>
      </c>
      <c r="T6585">
        <v>-0.37428610000000001</v>
      </c>
      <c r="U6585">
        <v>1.7203979999999901</v>
      </c>
      <c r="V6585">
        <v>8.6599449999999994E-2</v>
      </c>
      <c r="W6585">
        <v>-1.4833229999999999E-2</v>
      </c>
      <c r="X6585">
        <v>0.99613280000000004</v>
      </c>
      <c r="Y6585">
        <v>0.38641370000000003</v>
      </c>
      <c r="Z6585">
        <v>-0.1110762</v>
      </c>
      <c r="AA6585">
        <v>0.9156126</v>
      </c>
      <c r="AB6585">
        <v>23</v>
      </c>
      <c r="AC6585">
        <v>7.6319999999999997</v>
      </c>
      <c r="AD6585">
        <v>-1.0974248834510001</v>
      </c>
      <c r="AE6585">
        <v>4.8631000000000002</v>
      </c>
      <c r="AF6585">
        <v>3.5724719199972998</v>
      </c>
      <c r="AG6585">
        <v>-1.0974248834510001</v>
      </c>
      <c r="AH6585">
        <v>8.1717828979823999</v>
      </c>
      <c r="AI6585">
        <v>97.014962630627195</v>
      </c>
      <c r="AJ6585">
        <v>66.386414184703796</v>
      </c>
      <c r="AK6585">
        <v>8.9858184227005307</v>
      </c>
    </row>
    <row r="6586" spans="1:37" x14ac:dyDescent="0.2">
      <c r="A6586" t="str">
        <f>"20200111160348761"</f>
        <v>20200111160348761</v>
      </c>
      <c r="B6586" t="str">
        <f>"1578729828750100"</f>
        <v>1578729828750100</v>
      </c>
      <c r="C6586" t="s">
        <v>37</v>
      </c>
      <c r="D6586">
        <v>5.2973819999999998</v>
      </c>
      <c r="E6586">
        <v>0.62508109999999995</v>
      </c>
      <c r="F6586" t="s">
        <v>77</v>
      </c>
      <c r="G6586">
        <v>-176.10230000000001</v>
      </c>
      <c r="H6586" s="1">
        <v>-3.9275759999999996E-6</v>
      </c>
      <c r="I6586">
        <v>132.58240000000001</v>
      </c>
      <c r="J6586">
        <v>-183.5283</v>
      </c>
      <c r="K6586">
        <v>1.0973619999999999</v>
      </c>
      <c r="L6586">
        <v>127.90779999999999</v>
      </c>
      <c r="M6586">
        <v>0.56643089999999996</v>
      </c>
      <c r="N6586">
        <v>0</v>
      </c>
      <c r="O6586">
        <v>0.82397749999999903</v>
      </c>
      <c r="P6586">
        <v>0.63602190000000003</v>
      </c>
      <c r="Q6586">
        <v>-2.882405E-2</v>
      </c>
      <c r="R6586">
        <v>0.7711325</v>
      </c>
      <c r="S6586">
        <v>2.6518549999999999</v>
      </c>
      <c r="T6586">
        <v>-0.38467479999999998</v>
      </c>
      <c r="U6586">
        <v>1.7034910000000001</v>
      </c>
      <c r="V6586">
        <v>8.702965E-2</v>
      </c>
      <c r="W6586">
        <v>-1.5637559999999998E-2</v>
      </c>
      <c r="X6586">
        <v>0.99608299999999905</v>
      </c>
      <c r="Y6586">
        <v>0.38073649999999998</v>
      </c>
      <c r="Z6586">
        <v>-0.1136055</v>
      </c>
      <c r="AA6586">
        <v>0.91767829999999995</v>
      </c>
      <c r="AB6586">
        <v>23</v>
      </c>
      <c r="AC6586">
        <v>7.4259999999999797</v>
      </c>
      <c r="AD6586">
        <v>-1.0973659275759999</v>
      </c>
      <c r="AE6586">
        <v>4.6746000000000096</v>
      </c>
      <c r="AF6586">
        <v>3.4179404944974698</v>
      </c>
      <c r="AG6586">
        <v>-1.0973659275759999</v>
      </c>
      <c r="AH6586">
        <v>7.9348575767200202</v>
      </c>
      <c r="AI6586">
        <v>97.238632936918506</v>
      </c>
      <c r="AJ6586">
        <v>66.696035237067406</v>
      </c>
      <c r="AK6586">
        <v>8.7091040851376604</v>
      </c>
    </row>
    <row r="6587" spans="1:37" x14ac:dyDescent="0.2">
      <c r="A6587" t="str">
        <f>"20200111160348785"</f>
        <v>20200111160348785</v>
      </c>
      <c r="B6587" t="str">
        <f>"1578729828780357"</f>
        <v>1578729828780357</v>
      </c>
      <c r="C6587" t="s">
        <v>37</v>
      </c>
      <c r="D6587">
        <v>5.2828879999999998</v>
      </c>
      <c r="E6587">
        <v>0.62302019999999902</v>
      </c>
      <c r="F6587" t="s">
        <v>77</v>
      </c>
      <c r="G6587">
        <v>-176.05549999999999</v>
      </c>
      <c r="H6587" s="1">
        <v>-3.9143400000000002E-6</v>
      </c>
      <c r="I6587">
        <v>132.63149999999999</v>
      </c>
      <c r="J6587">
        <v>-183.37569999999999</v>
      </c>
      <c r="K6587">
        <v>1.0972949999999999</v>
      </c>
      <c r="L6587">
        <v>128.10579999999999</v>
      </c>
      <c r="M6587">
        <v>0.57618939999999996</v>
      </c>
      <c r="N6587">
        <v>0</v>
      </c>
      <c r="O6587">
        <v>0.81718299999999999</v>
      </c>
      <c r="P6587">
        <v>0.64516269999999998</v>
      </c>
      <c r="Q6587">
        <v>-2.944074E-2</v>
      </c>
      <c r="R6587">
        <v>0.76347779999999998</v>
      </c>
      <c r="S6587">
        <v>2.6602480000000002</v>
      </c>
      <c r="T6587">
        <v>-0.390652</v>
      </c>
      <c r="U6587">
        <v>1.6816099999999901</v>
      </c>
      <c r="V6587">
        <v>8.7050779999999994E-2</v>
      </c>
      <c r="W6587">
        <v>-1.6246690000000001E-2</v>
      </c>
      <c r="X6587">
        <v>0.99607139999999905</v>
      </c>
      <c r="Y6587">
        <v>0.37627450000000001</v>
      </c>
      <c r="Z6587">
        <v>-0.1147464</v>
      </c>
      <c r="AA6587">
        <v>0.91937519999999995</v>
      </c>
      <c r="AB6587">
        <v>23</v>
      </c>
      <c r="AC6587">
        <v>7.3201999999999998</v>
      </c>
      <c r="AD6587">
        <v>-1.09729891434</v>
      </c>
      <c r="AE6587">
        <v>4.5256999999999996</v>
      </c>
      <c r="AF6587">
        <v>3.3206680203948298</v>
      </c>
      <c r="AG6587">
        <v>-1.09729891434</v>
      </c>
      <c r="AH6587">
        <v>7.7903656107564796</v>
      </c>
      <c r="AI6587">
        <v>97.382860368431693</v>
      </c>
      <c r="AJ6587">
        <v>66.9137191493693</v>
      </c>
      <c r="AK6587">
        <v>8.5393616481761594</v>
      </c>
    </row>
    <row r="6588" spans="1:37" x14ac:dyDescent="0.2">
      <c r="A6588" t="str">
        <f>"20200111160348808"</f>
        <v>20200111160348808</v>
      </c>
      <c r="B6588" t="str">
        <f>"1578729828799877"</f>
        <v>1578729828799877</v>
      </c>
      <c r="C6588" t="s">
        <v>37</v>
      </c>
      <c r="D6588">
        <v>5.3011910000000002</v>
      </c>
      <c r="E6588">
        <v>0.62172459999999996</v>
      </c>
      <c r="F6588" t="s">
        <v>77</v>
      </c>
      <c r="G6588">
        <v>-176.07079999999999</v>
      </c>
      <c r="H6588" s="1">
        <v>-3.9331699999999902E-6</v>
      </c>
      <c r="I6588">
        <v>132.65369999999999</v>
      </c>
      <c r="J6588">
        <v>-183.2277</v>
      </c>
      <c r="K6588">
        <v>1.0972409999999999</v>
      </c>
      <c r="L6588">
        <v>128.29300000000001</v>
      </c>
      <c r="M6588">
        <v>0.58552799999999905</v>
      </c>
      <c r="N6588">
        <v>0</v>
      </c>
      <c r="O6588">
        <v>0.8105175</v>
      </c>
      <c r="P6588">
        <v>0.65352189999999999</v>
      </c>
      <c r="Q6588">
        <v>-2.9305810000000002E-2</v>
      </c>
      <c r="R6588">
        <v>0.75634009999999996</v>
      </c>
      <c r="S6588">
        <v>2.6668699999999999</v>
      </c>
      <c r="T6588">
        <v>-0.40060370000000001</v>
      </c>
      <c r="U6588">
        <v>1.660339</v>
      </c>
      <c r="V6588">
        <v>8.6575689999999997E-2</v>
      </c>
      <c r="W6588">
        <v>-1.6095080000000001E-2</v>
      </c>
      <c r="X6588">
        <v>0.99611530000000004</v>
      </c>
      <c r="Y6588">
        <v>0.371641</v>
      </c>
      <c r="Z6588">
        <v>-0.1170438</v>
      </c>
      <c r="AA6588">
        <v>0.92096889999999998</v>
      </c>
      <c r="AB6588">
        <v>23</v>
      </c>
      <c r="AC6588">
        <v>7.1569000000000003</v>
      </c>
      <c r="AD6588">
        <v>-1.0972449331699901</v>
      </c>
      <c r="AE6588">
        <v>4.36069999999998</v>
      </c>
      <c r="AF6588">
        <v>3.1931016829115002</v>
      </c>
      <c r="AG6588">
        <v>-1.0972449331699901</v>
      </c>
      <c r="AH6588">
        <v>7.5956340689681596</v>
      </c>
      <c r="AI6588">
        <v>97.585374138062093</v>
      </c>
      <c r="AJ6588">
        <v>67.198774812650996</v>
      </c>
      <c r="AK6588">
        <v>8.3122500991277608</v>
      </c>
    </row>
    <row r="6589" spans="1:37" x14ac:dyDescent="0.2">
      <c r="A6589" t="str">
        <f>"20200111160348831"</f>
        <v>20200111160348831</v>
      </c>
      <c r="B6589" t="str">
        <f>"1578729828820372"</f>
        <v>1578729828820372</v>
      </c>
      <c r="C6589" t="s">
        <v>37</v>
      </c>
      <c r="D6589">
        <v>5.2756419999999897</v>
      </c>
      <c r="E6589">
        <v>0.6204501</v>
      </c>
      <c r="F6589" t="s">
        <v>77</v>
      </c>
      <c r="G6589">
        <v>-175.97479999999999</v>
      </c>
      <c r="H6589" s="1">
        <v>-3.8971149999999997E-6</v>
      </c>
      <c r="I6589">
        <v>132.7312</v>
      </c>
      <c r="J6589">
        <v>-183.0813</v>
      </c>
      <c r="K6589">
        <v>1.0971930000000001</v>
      </c>
      <c r="L6589">
        <v>128.47370000000001</v>
      </c>
      <c r="M6589">
        <v>0.59464169999999905</v>
      </c>
      <c r="N6589">
        <v>0</v>
      </c>
      <c r="O6589">
        <v>0.80385469999999903</v>
      </c>
      <c r="P6589">
        <v>0.66205080000000005</v>
      </c>
      <c r="Q6589">
        <v>-2.8502570000000001E-2</v>
      </c>
      <c r="R6589">
        <v>0.74891680000000005</v>
      </c>
      <c r="S6589">
        <v>2.67671199999999</v>
      </c>
      <c r="T6589">
        <v>-0.40494279999999999</v>
      </c>
      <c r="U6589">
        <v>1.637939</v>
      </c>
      <c r="V6589">
        <v>8.6611019999999997E-2</v>
      </c>
      <c r="W6589">
        <v>-1.528475E-2</v>
      </c>
      <c r="X6589">
        <v>0.99612489999999998</v>
      </c>
      <c r="Y6589">
        <v>0.368166099999999</v>
      </c>
      <c r="Z6589">
        <v>-0.1176503</v>
      </c>
      <c r="AA6589">
        <v>0.92228639999999995</v>
      </c>
      <c r="AB6589">
        <v>23</v>
      </c>
      <c r="AC6589">
        <v>7.1065000000000103</v>
      </c>
      <c r="AD6589">
        <v>-1.0971968971149999</v>
      </c>
      <c r="AE6589">
        <v>4.2574999999999896</v>
      </c>
      <c r="AF6589">
        <v>3.1264129573743702</v>
      </c>
      <c r="AG6589">
        <v>-1.0971968971149999</v>
      </c>
      <c r="AH6589">
        <v>7.5172075719007596</v>
      </c>
      <c r="AI6589">
        <v>97.6753427734768</v>
      </c>
      <c r="AJ6589">
        <v>67.417532838723602</v>
      </c>
      <c r="AK6589">
        <v>8.2150294393945593</v>
      </c>
    </row>
    <row r="6590" spans="1:37" x14ac:dyDescent="0.2">
      <c r="A6590" t="str">
        <f>"20200111160348852"</f>
        <v>20200111160348852</v>
      </c>
      <c r="B6590" t="str">
        <f>"1578729828849653"</f>
        <v>1578729828849653</v>
      </c>
      <c r="C6590" t="s">
        <v>37</v>
      </c>
      <c r="D6590">
        <v>5.5837580000000004</v>
      </c>
      <c r="E6590">
        <v>0.61899700000000002</v>
      </c>
      <c r="F6590" t="s">
        <v>77</v>
      </c>
      <c r="G6590">
        <v>-175.8408</v>
      </c>
      <c r="H6590" s="1">
        <v>-3.8410930000000004E-6</v>
      </c>
      <c r="I6590">
        <v>132.8245</v>
      </c>
      <c r="J6590">
        <v>-182.93219999999999</v>
      </c>
      <c r="K6590">
        <v>1.0971519999999999</v>
      </c>
      <c r="L6590">
        <v>128.65309999999999</v>
      </c>
      <c r="M6590">
        <v>0.60379359999999904</v>
      </c>
      <c r="N6590">
        <v>0</v>
      </c>
      <c r="O6590">
        <v>0.79700309999999996</v>
      </c>
      <c r="P6590">
        <v>0.67061599999999999</v>
      </c>
      <c r="Q6590">
        <v>-2.843132E-2</v>
      </c>
      <c r="R6590">
        <v>0.74125969999999997</v>
      </c>
      <c r="S6590">
        <v>2.68724099999999</v>
      </c>
      <c r="T6590">
        <v>-0.40721429999999997</v>
      </c>
      <c r="U6590">
        <v>1.614746</v>
      </c>
      <c r="V6590">
        <v>8.6670440000000001E-2</v>
      </c>
      <c r="W6590">
        <v>-1.5206860000000001E-2</v>
      </c>
      <c r="X6590">
        <v>0.99612099999999903</v>
      </c>
      <c r="Y6590">
        <v>0.36494739999999998</v>
      </c>
      <c r="Z6590">
        <v>-0.1176214</v>
      </c>
      <c r="AA6590">
        <v>0.92356839999999996</v>
      </c>
      <c r="AB6590">
        <v>23</v>
      </c>
      <c r="AC6590">
        <v>7.0913999999999904</v>
      </c>
      <c r="AD6590">
        <v>-1.097155841093</v>
      </c>
      <c r="AE6590">
        <v>4.1714000000000002</v>
      </c>
      <c r="AF6590">
        <v>3.0787945606895701</v>
      </c>
      <c r="AG6590">
        <v>-1.097155841093</v>
      </c>
      <c r="AH6590">
        <v>7.4742749346810999</v>
      </c>
      <c r="AI6590">
        <v>97.729352354473406</v>
      </c>
      <c r="AJ6590">
        <v>67.612315048094899</v>
      </c>
      <c r="AK6590">
        <v>8.1576658846620091</v>
      </c>
    </row>
    <row r="6591" spans="1:37" x14ac:dyDescent="0.2">
      <c r="A6591" t="str">
        <f>"20200111160348874"</f>
        <v>20200111160348874</v>
      </c>
      <c r="B6591" t="str">
        <f>"1578729828870148"</f>
        <v>1578729828870148</v>
      </c>
      <c r="C6591" t="s">
        <v>37</v>
      </c>
      <c r="D6591">
        <v>5.3714559999999896</v>
      </c>
      <c r="E6591">
        <v>0.61750859999999996</v>
      </c>
      <c r="F6591" t="s">
        <v>77</v>
      </c>
      <c r="G6591">
        <v>-175.6661</v>
      </c>
      <c r="H6591" s="1">
        <v>-3.7666519999999998E-6</v>
      </c>
      <c r="I6591">
        <v>132.94239999999999</v>
      </c>
      <c r="J6591">
        <v>-182.78569999999999</v>
      </c>
      <c r="K6591">
        <v>1.0971139999999999</v>
      </c>
      <c r="L6591">
        <v>128.8252</v>
      </c>
      <c r="M6591">
        <v>0.61265170000000002</v>
      </c>
      <c r="N6591">
        <v>0</v>
      </c>
      <c r="O6591">
        <v>0.79021390000000002</v>
      </c>
      <c r="P6591">
        <v>0.67941169999999995</v>
      </c>
      <c r="Q6591">
        <v>-2.7877599999999999E-2</v>
      </c>
      <c r="R6591">
        <v>0.73322759999999998</v>
      </c>
      <c r="S6591">
        <v>2.6966549999999998</v>
      </c>
      <c r="T6591">
        <v>-0.40718470000000001</v>
      </c>
      <c r="U6591">
        <v>1.591888</v>
      </c>
      <c r="V6591">
        <v>8.7431419999999996E-2</v>
      </c>
      <c r="W6591">
        <v>-1.465875E-2</v>
      </c>
      <c r="X6591">
        <v>0.99606269999999997</v>
      </c>
      <c r="Y6591">
        <v>0.36181799999999997</v>
      </c>
      <c r="Z6591">
        <v>-0.11695319999999999</v>
      </c>
      <c r="AA6591">
        <v>0.92488359999999903</v>
      </c>
      <c r="AB6591">
        <v>23</v>
      </c>
      <c r="AC6591">
        <v>7.1195999999999904</v>
      </c>
      <c r="AD6591">
        <v>-1.097117766652</v>
      </c>
      <c r="AE6591">
        <v>4.1171999999999898</v>
      </c>
      <c r="AF6591">
        <v>3.0496691363267501</v>
      </c>
      <c r="AG6591">
        <v>-1.097117766652</v>
      </c>
      <c r="AH6591">
        <v>7.4829800475452402</v>
      </c>
      <c r="AI6591">
        <v>97.731910316599595</v>
      </c>
      <c r="AJ6591">
        <v>67.826774856561897</v>
      </c>
      <c r="AK6591">
        <v>8.1547004621216796</v>
      </c>
    </row>
    <row r="6592" spans="1:37" x14ac:dyDescent="0.2">
      <c r="A6592" t="str">
        <f>"20200111160348897"</f>
        <v>20200111160348897</v>
      </c>
      <c r="B6592" t="str">
        <f>"1578729828889668"</f>
        <v>1578729828889668</v>
      </c>
      <c r="C6592" t="s">
        <v>37</v>
      </c>
      <c r="D6592">
        <v>5.3495239999999997</v>
      </c>
      <c r="E6592">
        <v>0.61629929999999999</v>
      </c>
      <c r="F6592" t="s">
        <v>77</v>
      </c>
      <c r="G6592">
        <v>-175.5641</v>
      </c>
      <c r="H6592" s="1">
        <v>-3.7225840000000001E-6</v>
      </c>
      <c r="I6592">
        <v>133.0095</v>
      </c>
      <c r="J6592">
        <v>-182.62620000000001</v>
      </c>
      <c r="K6592">
        <v>1.097086</v>
      </c>
      <c r="L6592">
        <v>129.00799999999899</v>
      </c>
      <c r="M6592">
        <v>0.62214959999999997</v>
      </c>
      <c r="N6592">
        <v>0</v>
      </c>
      <c r="O6592">
        <v>0.78275760000000005</v>
      </c>
      <c r="P6592">
        <v>0.68869130000000001</v>
      </c>
      <c r="Q6592">
        <v>-2.715621E-2</v>
      </c>
      <c r="R6592">
        <v>0.72454600000000002</v>
      </c>
      <c r="S6592">
        <v>2.7063599999999899</v>
      </c>
      <c r="T6592">
        <v>-0.4111553</v>
      </c>
      <c r="U6592">
        <v>1.56813</v>
      </c>
      <c r="V6592">
        <v>8.8078420000000004E-2</v>
      </c>
      <c r="W6592">
        <v>-1.393993E-2</v>
      </c>
      <c r="X6592">
        <v>0.99601600000000001</v>
      </c>
      <c r="Y6592">
        <v>0.35798809999999998</v>
      </c>
      <c r="Z6592">
        <v>-0.1173057</v>
      </c>
      <c r="AA6592">
        <v>0.92632819999999905</v>
      </c>
      <c r="AB6592">
        <v>23</v>
      </c>
      <c r="AC6592">
        <v>7.0621000000000098</v>
      </c>
      <c r="AD6592">
        <v>-1.0970897225839999</v>
      </c>
      <c r="AE6592">
        <v>4.0015000000000196</v>
      </c>
      <c r="AF6592">
        <v>2.9841997372302602</v>
      </c>
      <c r="AG6592">
        <v>-1.0970897225839999</v>
      </c>
      <c r="AH6592">
        <v>7.3916839249275901</v>
      </c>
      <c r="AI6592">
        <v>97.836334863856493</v>
      </c>
      <c r="AJ6592">
        <v>68.014890924535294</v>
      </c>
      <c r="AK6592">
        <v>8.0464927252261607</v>
      </c>
    </row>
    <row r="6593" spans="1:37" x14ac:dyDescent="0.2">
      <c r="A6593" t="str">
        <f>"20200111160348918"</f>
        <v>20200111160348918</v>
      </c>
      <c r="B6593" t="str">
        <f>"1578729828910164"</f>
        <v>1578729828910164</v>
      </c>
      <c r="C6593" t="s">
        <v>37</v>
      </c>
      <c r="D6593">
        <v>5.3752469999999999</v>
      </c>
      <c r="E6593">
        <v>0.61513949999999995</v>
      </c>
      <c r="F6593" t="s">
        <v>77</v>
      </c>
      <c r="G6593">
        <v>-175.34180000000001</v>
      </c>
      <c r="H6593" s="1">
        <v>-3.6180989999999999E-6</v>
      </c>
      <c r="I6593">
        <v>133.13380000000001</v>
      </c>
      <c r="J6593">
        <v>-182.47540000000001</v>
      </c>
      <c r="K6593">
        <v>1.097067</v>
      </c>
      <c r="L6593">
        <v>129.17679999999999</v>
      </c>
      <c r="M6593">
        <v>0.63099150000000004</v>
      </c>
      <c r="N6593">
        <v>0</v>
      </c>
      <c r="O6593">
        <v>0.77564750000000005</v>
      </c>
      <c r="P6593">
        <v>0.69751830000000004</v>
      </c>
      <c r="Q6593">
        <v>-2.6594079999999999E-2</v>
      </c>
      <c r="R6593">
        <v>0.71607330000000002</v>
      </c>
      <c r="S6593">
        <v>2.719452</v>
      </c>
      <c r="T6593">
        <v>-0.40957179999999999</v>
      </c>
      <c r="U6593">
        <v>1.540268</v>
      </c>
      <c r="V6593">
        <v>8.8977630000000002E-2</v>
      </c>
      <c r="W6593">
        <v>-1.3386189999999999E-2</v>
      </c>
      <c r="X6593">
        <v>0.99594369999999999</v>
      </c>
      <c r="Y6593">
        <v>0.356597099999999</v>
      </c>
      <c r="Z6593">
        <v>-0.1161813</v>
      </c>
      <c r="AA6593">
        <v>0.9270062</v>
      </c>
      <c r="AB6593">
        <v>23</v>
      </c>
      <c r="AC6593">
        <v>7.1336000000000004</v>
      </c>
      <c r="AD6593">
        <v>-1.097070618099</v>
      </c>
      <c r="AE6593">
        <v>3.9570000000000198</v>
      </c>
      <c r="AF6593">
        <v>2.9827148448998999</v>
      </c>
      <c r="AG6593">
        <v>-1.097070618099</v>
      </c>
      <c r="AH6593">
        <v>7.4368101945293503</v>
      </c>
      <c r="AI6593">
        <v>97.796298270111905</v>
      </c>
      <c r="AJ6593">
        <v>68.145538067668397</v>
      </c>
      <c r="AK6593">
        <v>8.0874160061504199</v>
      </c>
    </row>
    <row r="6594" spans="1:37" x14ac:dyDescent="0.2">
      <c r="A6594" t="str">
        <f>"20200111160348940"</f>
        <v>20200111160348940</v>
      </c>
      <c r="B6594" t="str">
        <f>"1578729828929684"</f>
        <v>1578729828929684</v>
      </c>
      <c r="C6594" t="s">
        <v>37</v>
      </c>
      <c r="D6594">
        <v>5.3924320000000003</v>
      </c>
      <c r="E6594">
        <v>0.61392849999999999</v>
      </c>
      <c r="F6594" t="s">
        <v>77</v>
      </c>
      <c r="G6594">
        <v>-175.12479999999999</v>
      </c>
      <c r="H6594" s="1">
        <v>-3.5137599999999999E-6</v>
      </c>
      <c r="I6594">
        <v>133.249</v>
      </c>
      <c r="J6594">
        <v>-182.32259999999999</v>
      </c>
      <c r="K6594">
        <v>1.0970439999999999</v>
      </c>
      <c r="L6594">
        <v>129.34389999999999</v>
      </c>
      <c r="M6594">
        <v>0.63981350000000003</v>
      </c>
      <c r="N6594">
        <v>0</v>
      </c>
      <c r="O6594">
        <v>0.76838640000000002</v>
      </c>
      <c r="P6594">
        <v>0.7063661</v>
      </c>
      <c r="Q6594">
        <v>-2.5903550000000001E-2</v>
      </c>
      <c r="R6594">
        <v>0.70737260000000002</v>
      </c>
      <c r="S6594">
        <v>2.7317809999999998</v>
      </c>
      <c r="T6594">
        <v>-0.40771420000000003</v>
      </c>
      <c r="U6594">
        <v>1.513382</v>
      </c>
      <c r="V6594">
        <v>8.9972750000000004E-2</v>
      </c>
      <c r="W6594">
        <v>-1.2706E-2</v>
      </c>
      <c r="X6594">
        <v>0.99586319999999995</v>
      </c>
      <c r="Y6594">
        <v>0.35479529999999998</v>
      </c>
      <c r="Z6594">
        <v>-0.11493969999999901</v>
      </c>
      <c r="AA6594">
        <v>0.92785189999999995</v>
      </c>
      <c r="AB6594">
        <v>23</v>
      </c>
      <c r="AC6594">
        <v>7.1978</v>
      </c>
      <c r="AD6594">
        <v>-1.09704751376</v>
      </c>
      <c r="AE6594">
        <v>3.9051</v>
      </c>
      <c r="AF6594">
        <v>2.97902557482726</v>
      </c>
      <c r="AG6594">
        <v>-1.09704751376</v>
      </c>
      <c r="AH6594">
        <v>7.4726028854369098</v>
      </c>
      <c r="AI6594">
        <v>97.765633044062994</v>
      </c>
      <c r="AJ6594">
        <v>68.264822745328402</v>
      </c>
      <c r="AK6594">
        <v>8.1189839577598608</v>
      </c>
    </row>
    <row r="6595" spans="1:37" x14ac:dyDescent="0.2">
      <c r="A6595" t="str">
        <f>"20200111160348962"</f>
        <v>20200111160348962</v>
      </c>
      <c r="B6595" t="str">
        <f>"1578729828959940"</f>
        <v>1578729828959940</v>
      </c>
      <c r="C6595" t="s">
        <v>37</v>
      </c>
      <c r="D6595">
        <v>5.6683469999999998</v>
      </c>
      <c r="E6595">
        <v>0.59852680000000003</v>
      </c>
      <c r="F6595" t="s">
        <v>77</v>
      </c>
      <c r="G6595">
        <v>-174.92760000000001</v>
      </c>
      <c r="H6595" s="1">
        <v>-3.4249450000000002E-6</v>
      </c>
      <c r="I6595">
        <v>133.35050000000001</v>
      </c>
      <c r="J6595">
        <v>-182.1677</v>
      </c>
      <c r="K6595">
        <v>1.09702099999999</v>
      </c>
      <c r="L6595">
        <v>129.5093</v>
      </c>
      <c r="M6595">
        <v>0.64862419999999898</v>
      </c>
      <c r="N6595">
        <v>0</v>
      </c>
      <c r="O6595">
        <v>0.76096330000000001</v>
      </c>
      <c r="P6595">
        <v>0.71482579999999996</v>
      </c>
      <c r="Q6595">
        <v>-2.4988199999999999E-2</v>
      </c>
      <c r="R6595">
        <v>0.69885589999999997</v>
      </c>
      <c r="S6595">
        <v>2.7435909999999999</v>
      </c>
      <c r="T6595">
        <v>-0.40700779999999998</v>
      </c>
      <c r="U6595">
        <v>1.4864649999999999</v>
      </c>
      <c r="V6595">
        <v>9.047442E-2</v>
      </c>
      <c r="W6595">
        <v>-1.179181E-2</v>
      </c>
      <c r="X6595">
        <v>0.99582899999999996</v>
      </c>
      <c r="Y6595">
        <v>0.35281209999999902</v>
      </c>
      <c r="Z6595">
        <v>-0.113997</v>
      </c>
      <c r="AA6595">
        <v>0.92872410000000005</v>
      </c>
      <c r="AB6595">
        <v>23</v>
      </c>
      <c r="AC6595">
        <v>7.2400999999999804</v>
      </c>
      <c r="AD6595">
        <v>-1.0970244249449901</v>
      </c>
      <c r="AE6595">
        <v>3.8412000000000099</v>
      </c>
      <c r="AF6595">
        <v>2.9651665624643502</v>
      </c>
      <c r="AG6595">
        <v>-1.0970244249449901</v>
      </c>
      <c r="AH6595">
        <v>7.4858465584754796</v>
      </c>
      <c r="AI6595">
        <v>97.758622166183201</v>
      </c>
      <c r="AJ6595">
        <v>68.391331103943401</v>
      </c>
      <c r="AK6595">
        <v>8.1261044805688893</v>
      </c>
    </row>
    <row r="6596" spans="1:37" x14ac:dyDescent="0.2">
      <c r="A6596" t="str">
        <f>"20200111160348986"</f>
        <v>20200111160348986</v>
      </c>
      <c r="B6596" t="str">
        <f>"1578729828979460"</f>
        <v>1578729828979460</v>
      </c>
      <c r="C6596" t="s">
        <v>37</v>
      </c>
      <c r="D6596">
        <v>5.4444629999999998</v>
      </c>
      <c r="E6596">
        <v>0.59907390000000005</v>
      </c>
      <c r="F6596" t="s">
        <v>77</v>
      </c>
      <c r="G6596">
        <v>-174.5575</v>
      </c>
      <c r="H6596" s="1">
        <v>-3.466308E-6</v>
      </c>
      <c r="I6596">
        <v>133.89189999999999</v>
      </c>
      <c r="J6596">
        <v>-181.99809999999999</v>
      </c>
      <c r="K6596">
        <v>1.096994</v>
      </c>
      <c r="L6596">
        <v>129.68610000000001</v>
      </c>
      <c r="M6596">
        <v>0.65811469999999905</v>
      </c>
      <c r="N6596">
        <v>0</v>
      </c>
      <c r="O6596">
        <v>0.75277019999999994</v>
      </c>
      <c r="P6596">
        <v>0.72399609999999903</v>
      </c>
      <c r="Q6596">
        <v>-2.4154829999999999E-2</v>
      </c>
      <c r="R6596">
        <v>0.68938100000000002</v>
      </c>
      <c r="S6596">
        <v>2.676453</v>
      </c>
      <c r="T6596">
        <v>-0.38581690000000002</v>
      </c>
      <c r="U6596">
        <v>1.541336</v>
      </c>
      <c r="V6596">
        <v>9.113839E-2</v>
      </c>
      <c r="W6596">
        <v>-1.096305E-2</v>
      </c>
      <c r="X6596">
        <v>0.99577789999999999</v>
      </c>
      <c r="Y6596">
        <v>0.31751000000000001</v>
      </c>
      <c r="Z6596">
        <v>-0.1068465</v>
      </c>
      <c r="AA6596">
        <v>0.9422161</v>
      </c>
      <c r="AB6596">
        <v>23</v>
      </c>
      <c r="AC6596">
        <v>7.4405999999999803</v>
      </c>
      <c r="AD6596">
        <v>-1.096997466308</v>
      </c>
      <c r="AE6596">
        <v>4.2057999999999804</v>
      </c>
      <c r="AF6596">
        <v>2.7875572119531502</v>
      </c>
      <c r="AG6596">
        <v>-1.096997466308</v>
      </c>
      <c r="AH6596">
        <v>7.9329813097386399</v>
      </c>
      <c r="AI6596">
        <v>97.433003806964294</v>
      </c>
      <c r="AJ6596">
        <v>70.639118923724595</v>
      </c>
      <c r="AK6596">
        <v>8.4797447551008798</v>
      </c>
    </row>
    <row r="6597" spans="1:37" x14ac:dyDescent="0.2">
      <c r="A6597" t="str">
        <f>"20200111160349007"</f>
        <v>20200111160349007</v>
      </c>
      <c r="B6597" t="str">
        <f>"1578729828999955"</f>
        <v>1578729828999955</v>
      </c>
      <c r="C6597" t="s">
        <v>37</v>
      </c>
      <c r="D6597">
        <v>5.4429910000000001</v>
      </c>
      <c r="E6597">
        <v>0.59727869999999905</v>
      </c>
      <c r="F6597" t="s">
        <v>77</v>
      </c>
      <c r="G6597">
        <v>-173.81870000000001</v>
      </c>
      <c r="H6597" s="1">
        <v>-3.2689149999999999E-6</v>
      </c>
      <c r="I6597">
        <v>134.23509999999999</v>
      </c>
      <c r="J6597">
        <v>-181.8357</v>
      </c>
      <c r="K6597">
        <v>1.0969610000000001</v>
      </c>
      <c r="L6597">
        <v>129.8511</v>
      </c>
      <c r="M6597">
        <v>0.66705550000000002</v>
      </c>
      <c r="N6597">
        <v>0</v>
      </c>
      <c r="O6597">
        <v>0.74485869999999998</v>
      </c>
      <c r="P6597">
        <v>0.73249390000000003</v>
      </c>
      <c r="Q6597">
        <v>-2.4072980000000001E-2</v>
      </c>
      <c r="R6597">
        <v>0.68034790000000001</v>
      </c>
      <c r="S6597">
        <v>2.7011569999999998</v>
      </c>
      <c r="T6597">
        <v>-0.36227229999999999</v>
      </c>
      <c r="U6597">
        <v>1.5022739999999899</v>
      </c>
      <c r="V6597">
        <v>9.1602760000000005E-2</v>
      </c>
      <c r="W6597">
        <v>-1.088362E-2</v>
      </c>
      <c r="X6597">
        <v>0.99573609999999901</v>
      </c>
      <c r="Y6597">
        <v>0.32107750000000002</v>
      </c>
      <c r="Z6597">
        <v>-9.9722069999999996E-2</v>
      </c>
      <c r="AA6597">
        <v>0.94178809999999902</v>
      </c>
      <c r="AB6597">
        <v>23</v>
      </c>
      <c r="AC6597">
        <v>8.0169999999999906</v>
      </c>
      <c r="AD6597">
        <v>-1.0969642689150001</v>
      </c>
      <c r="AE6597">
        <v>4.3839999999999799</v>
      </c>
      <c r="AF6597">
        <v>3.0042016380330701</v>
      </c>
      <c r="AG6597">
        <v>-1.0969642689150001</v>
      </c>
      <c r="AH6597">
        <v>8.4918139072498207</v>
      </c>
      <c r="AI6597">
        <v>96.943439136118101</v>
      </c>
      <c r="AJ6597">
        <v>70.517432673310296</v>
      </c>
      <c r="AK6597">
        <v>9.0741094066910097</v>
      </c>
    </row>
    <row r="6598" spans="1:37" x14ac:dyDescent="0.2">
      <c r="A6598" t="str">
        <f>"20200111160349029"</f>
        <v>20200111160349029</v>
      </c>
      <c r="B6598" t="str">
        <f>"1578729829019476"</f>
        <v>1578729829019476</v>
      </c>
      <c r="C6598" t="s">
        <v>37</v>
      </c>
      <c r="D6598">
        <v>5.4426370000000004</v>
      </c>
      <c r="E6598">
        <v>0.59642130000000004</v>
      </c>
      <c r="F6598" t="s">
        <v>77</v>
      </c>
      <c r="G6598">
        <v>-173.94900000000001</v>
      </c>
      <c r="H6598" s="1">
        <v>-3.2978820000000001E-6</v>
      </c>
      <c r="I6598">
        <v>134.1592</v>
      </c>
      <c r="J6598">
        <v>-181.6808</v>
      </c>
      <c r="K6598">
        <v>1.0969260000000001</v>
      </c>
      <c r="L6598">
        <v>130.00470000000001</v>
      </c>
      <c r="M6598">
        <v>0.67545749999999904</v>
      </c>
      <c r="N6598">
        <v>0</v>
      </c>
      <c r="O6598">
        <v>0.73724780000000001</v>
      </c>
      <c r="P6598">
        <v>0.74040010000000001</v>
      </c>
      <c r="Q6598">
        <v>-2.453808E-2</v>
      </c>
      <c r="R6598">
        <v>0.67171840000000005</v>
      </c>
      <c r="S6598">
        <v>2.7088619999999999</v>
      </c>
      <c r="T6598">
        <v>-0.37677620000000001</v>
      </c>
      <c r="U6598">
        <v>1.4797209999999901</v>
      </c>
      <c r="V6598">
        <v>9.1960239999999999E-2</v>
      </c>
      <c r="W6598">
        <v>-1.135014E-2</v>
      </c>
      <c r="X6598">
        <v>0.99569799999999997</v>
      </c>
      <c r="Y6598">
        <v>0.31708500000000001</v>
      </c>
      <c r="Z6598">
        <v>-0.1028816</v>
      </c>
      <c r="AA6598">
        <v>0.94280030000000004</v>
      </c>
      <c r="AB6598">
        <v>23</v>
      </c>
      <c r="AC6598">
        <v>7.73179999999999</v>
      </c>
      <c r="AD6598">
        <v>-1.096929297882</v>
      </c>
      <c r="AE6598">
        <v>4.1544999999999801</v>
      </c>
      <c r="AF6598">
        <v>2.8498762604352001</v>
      </c>
      <c r="AG6598">
        <v>-1.096929297882</v>
      </c>
      <c r="AH6598">
        <v>8.1588924673920005</v>
      </c>
      <c r="AI6598">
        <v>97.233624429983195</v>
      </c>
      <c r="AJ6598">
        <v>70.745847394387596</v>
      </c>
      <c r="AK6598">
        <v>8.7116344550727103</v>
      </c>
    </row>
    <row r="6599" spans="1:37" x14ac:dyDescent="0.2">
      <c r="A6599" t="str">
        <f>"20200111160349052"</f>
        <v>20200111160349052</v>
      </c>
      <c r="B6599" t="str">
        <f>"1578729829049732"</f>
        <v>1578729829049732</v>
      </c>
      <c r="C6599" t="s">
        <v>37</v>
      </c>
      <c r="D6599">
        <v>5.3164379999999998</v>
      </c>
      <c r="E6599">
        <v>0.62680290000000005</v>
      </c>
      <c r="F6599" t="s">
        <v>77</v>
      </c>
      <c r="G6599">
        <v>-173.91720000000001</v>
      </c>
      <c r="H6599" s="1">
        <v>-3.2804349999999999E-6</v>
      </c>
      <c r="I6599">
        <v>134.15039999999999</v>
      </c>
      <c r="J6599">
        <v>-181.51150000000001</v>
      </c>
      <c r="K6599">
        <v>1.0968910000000001</v>
      </c>
      <c r="L6599">
        <v>130.16820000000001</v>
      </c>
      <c r="M6599">
        <v>0.68449249999999995</v>
      </c>
      <c r="N6599">
        <v>0</v>
      </c>
      <c r="O6599">
        <v>0.72886680000000004</v>
      </c>
      <c r="P6599">
        <v>0.74900469999999997</v>
      </c>
      <c r="Q6599">
        <v>-2.476772E-2</v>
      </c>
      <c r="R6599">
        <v>0.66210159999999996</v>
      </c>
      <c r="S6599">
        <v>2.7209469999999998</v>
      </c>
      <c r="T6599">
        <v>-0.38444719999999999</v>
      </c>
      <c r="U6599">
        <v>1.4529570000000001</v>
      </c>
      <c r="V6599">
        <v>9.2535259999999994E-2</v>
      </c>
      <c r="W6599">
        <v>-1.158473E-2</v>
      </c>
      <c r="X6599">
        <v>0.99564200000000003</v>
      </c>
      <c r="Y6599">
        <v>0.31415989999999999</v>
      </c>
      <c r="Z6599">
        <v>-0.1040378</v>
      </c>
      <c r="AA6599">
        <v>0.9436523</v>
      </c>
      <c r="AB6599">
        <v>23</v>
      </c>
      <c r="AC6599">
        <v>7.5942999999999996</v>
      </c>
      <c r="AD6599">
        <v>-1.0968942804349999</v>
      </c>
      <c r="AE6599">
        <v>3.98219999999997</v>
      </c>
      <c r="AF6599">
        <v>2.7645253636817402</v>
      </c>
      <c r="AG6599">
        <v>-1.0968942804349999</v>
      </c>
      <c r="AH6599">
        <v>7.9712078127329198</v>
      </c>
      <c r="AI6599">
        <v>97.407486003171599</v>
      </c>
      <c r="AJ6599">
        <v>70.872745161447298</v>
      </c>
      <c r="AK6599">
        <v>8.5079922157148804</v>
      </c>
    </row>
    <row r="6600" spans="1:37" x14ac:dyDescent="0.2">
      <c r="A6600" t="str">
        <f>"20200111160349075"</f>
        <v>20200111160349075</v>
      </c>
      <c r="B6600" t="str">
        <f>"1578729829070228"</f>
        <v>1578729829070228</v>
      </c>
      <c r="C6600" t="s">
        <v>37</v>
      </c>
      <c r="D6600">
        <v>5.3995809999999897</v>
      </c>
      <c r="E6600">
        <v>0.66128779999999998</v>
      </c>
      <c r="F6600" t="s">
        <v>77</v>
      </c>
      <c r="G6600">
        <v>-174.58019999999999</v>
      </c>
      <c r="H6600" s="1">
        <v>-3.1877099999999901E-6</v>
      </c>
      <c r="I6600">
        <v>133.13120000000001</v>
      </c>
      <c r="J6600">
        <v>-181.34219999999999</v>
      </c>
      <c r="K6600">
        <v>1.0968629999999999</v>
      </c>
      <c r="L6600">
        <v>130.32769999999999</v>
      </c>
      <c r="M6600">
        <v>0.69338699999999998</v>
      </c>
      <c r="N6600">
        <v>0</v>
      </c>
      <c r="O6600">
        <v>0.7204102</v>
      </c>
      <c r="P6600">
        <v>0.75750069999999903</v>
      </c>
      <c r="Q6600">
        <v>-2.4624610000000002E-2</v>
      </c>
      <c r="R6600">
        <v>0.65236989999999995</v>
      </c>
      <c r="S6600">
        <v>2.8958439999999999</v>
      </c>
      <c r="T6600">
        <v>-0.45827440000000003</v>
      </c>
      <c r="U6600">
        <v>1.23793</v>
      </c>
      <c r="V6600">
        <v>9.3182680000000004E-2</v>
      </c>
      <c r="W6600">
        <v>-1.144744E-2</v>
      </c>
      <c r="X6600">
        <v>0.9955832</v>
      </c>
      <c r="Y6600">
        <v>0.38042779999999998</v>
      </c>
      <c r="Z6600">
        <v>-0.123908399999999</v>
      </c>
      <c r="AA6600">
        <v>0.91647230000000002</v>
      </c>
      <c r="AB6600">
        <v>23</v>
      </c>
      <c r="AC6600">
        <v>6.7619999999999996</v>
      </c>
      <c r="AD6600">
        <v>-1.0968661877099899</v>
      </c>
      <c r="AE6600">
        <v>2.8035000000000099</v>
      </c>
      <c r="AF6600">
        <v>2.86353633821874</v>
      </c>
      <c r="AG6600">
        <v>-1.0968661877099899</v>
      </c>
      <c r="AH6600">
        <v>6.5617730138152099</v>
      </c>
      <c r="AI6600">
        <v>98.710378739437601</v>
      </c>
      <c r="AJ6600">
        <v>66.423700606257199</v>
      </c>
      <c r="AK6600">
        <v>7.2429152196387196</v>
      </c>
    </row>
    <row r="6601" spans="1:37" x14ac:dyDescent="0.2">
      <c r="A6601" t="str">
        <f>"20200111160349097"</f>
        <v>20200111160349097</v>
      </c>
      <c r="B6601" t="str">
        <f>"1578729829089747"</f>
        <v>1578729829089747</v>
      </c>
      <c r="C6601" t="s">
        <v>37</v>
      </c>
      <c r="D6601">
        <v>5.3875209999999996</v>
      </c>
      <c r="E6601">
        <v>0.65891860000000002</v>
      </c>
      <c r="F6601" t="s">
        <v>77</v>
      </c>
      <c r="G6601">
        <v>-171.49850000000001</v>
      </c>
      <c r="H6601" s="1">
        <v>-1.755526E-6</v>
      </c>
      <c r="I6601">
        <v>133.46979999999999</v>
      </c>
      <c r="J6601">
        <v>-181.1669</v>
      </c>
      <c r="K6601">
        <v>1.0968359999999999</v>
      </c>
      <c r="L6601">
        <v>130.48869999999999</v>
      </c>
      <c r="M6601">
        <v>0.7024302</v>
      </c>
      <c r="N6601">
        <v>0</v>
      </c>
      <c r="O6601">
        <v>0.71159519999999998</v>
      </c>
      <c r="P6601">
        <v>0.76622919999999906</v>
      </c>
      <c r="Q6601">
        <v>-2.4213889999999998E-2</v>
      </c>
      <c r="R6601">
        <v>0.64211109999999905</v>
      </c>
      <c r="S6601">
        <v>3.0976409999999999</v>
      </c>
      <c r="T6601">
        <v>-0.34516609999999998</v>
      </c>
      <c r="U6601">
        <v>0.98875429999999997</v>
      </c>
      <c r="V6601">
        <v>9.4030269999999999E-2</v>
      </c>
      <c r="W6601">
        <v>-1.1045589999999999E-2</v>
      </c>
      <c r="X6601">
        <v>0.99550810000000001</v>
      </c>
      <c r="Y6601">
        <v>0.4587986</v>
      </c>
      <c r="Z6601">
        <v>-9.3330990000000003E-2</v>
      </c>
      <c r="AA6601">
        <v>0.88362499999999999</v>
      </c>
      <c r="AB6601">
        <v>23</v>
      </c>
      <c r="AC6601">
        <v>9.6683999999999894</v>
      </c>
      <c r="AD6601">
        <v>-1.096837755526</v>
      </c>
      <c r="AE6601">
        <v>2.9810999999999899</v>
      </c>
      <c r="AF6601">
        <v>4.7309082528381801</v>
      </c>
      <c r="AG6601">
        <v>-1.096837755526</v>
      </c>
      <c r="AH6601">
        <v>8.8101690490771194</v>
      </c>
      <c r="AI6601">
        <v>96.259378413089493</v>
      </c>
      <c r="AJ6601">
        <v>61.764971453013601</v>
      </c>
      <c r="AK6601">
        <v>10.060001224256199</v>
      </c>
    </row>
    <row r="6602" spans="1:37" x14ac:dyDescent="0.2">
      <c r="A6602" t="str">
        <f>"20200111160349120"</f>
        <v>20200111160349120</v>
      </c>
      <c r="B6602" t="str">
        <f>"1578729829110243"</f>
        <v>1578729829110243</v>
      </c>
      <c r="C6602" t="s">
        <v>37</v>
      </c>
      <c r="D6602">
        <v>5.3845809999999998</v>
      </c>
      <c r="E6602">
        <v>0.65854990000000002</v>
      </c>
      <c r="F6602" t="s">
        <v>77</v>
      </c>
      <c r="G6602">
        <v>-171.6891</v>
      </c>
      <c r="H6602" s="1">
        <v>-1.8473840000000001E-6</v>
      </c>
      <c r="I6602">
        <v>133.43190000000001</v>
      </c>
      <c r="J6602">
        <v>-180.99879999999999</v>
      </c>
      <c r="K6602">
        <v>1.0968209999999901</v>
      </c>
      <c r="L6602">
        <v>130.63919999999999</v>
      </c>
      <c r="M6602">
        <v>0.71094979999999997</v>
      </c>
      <c r="N6602">
        <v>0</v>
      </c>
      <c r="O6602">
        <v>0.70308319999999902</v>
      </c>
      <c r="P6602">
        <v>0.77452270000000001</v>
      </c>
      <c r="Q6602">
        <v>-2.3884840000000001E-2</v>
      </c>
      <c r="R6602">
        <v>0.63209499999999996</v>
      </c>
      <c r="S6602">
        <v>3.0978240000000001</v>
      </c>
      <c r="T6602">
        <v>-0.3585026</v>
      </c>
      <c r="U6602">
        <v>0.96199040000000002</v>
      </c>
      <c r="V6602">
        <v>9.4995309999999999E-2</v>
      </c>
      <c r="W6602">
        <v>-1.0728359999999999E-2</v>
      </c>
      <c r="X6602">
        <v>0.99541990000000002</v>
      </c>
      <c r="Y6602">
        <v>0.45466689999999998</v>
      </c>
      <c r="Z6602">
        <v>-9.6244659999999996E-2</v>
      </c>
      <c r="AA6602">
        <v>0.88544619999999996</v>
      </c>
      <c r="AB6602">
        <v>23</v>
      </c>
      <c r="AC6602">
        <v>9.3096999999999905</v>
      </c>
      <c r="AD6602">
        <v>-1.0968228473839901</v>
      </c>
      <c r="AE6602">
        <v>2.7927000000000199</v>
      </c>
      <c r="AF6602">
        <v>4.5031901811107602</v>
      </c>
      <c r="AG6602">
        <v>-1.0968228473839901</v>
      </c>
      <c r="AH6602">
        <v>8.4752649617867295</v>
      </c>
      <c r="AI6602">
        <v>96.519710812976797</v>
      </c>
      <c r="AJ6602">
        <v>62.016805196830099</v>
      </c>
      <c r="AK6602">
        <v>9.6598063302679993</v>
      </c>
    </row>
    <row r="6603" spans="1:37" x14ac:dyDescent="0.2">
      <c r="A6603" t="str">
        <f>"20200111160349141"</f>
        <v>20200111160349141</v>
      </c>
      <c r="B6603" t="str">
        <f>"1578729829129764"</f>
        <v>1578729829129764</v>
      </c>
      <c r="C6603" t="s">
        <v>37</v>
      </c>
      <c r="D6603">
        <v>5.3925839999999896</v>
      </c>
      <c r="E6603">
        <v>0.65804819999999997</v>
      </c>
      <c r="F6603" t="s">
        <v>77</v>
      </c>
      <c r="G6603">
        <v>-171.43020000000001</v>
      </c>
      <c r="H6603" s="1">
        <v>-1.7225930000000001E-6</v>
      </c>
      <c r="I6603">
        <v>133.48339999999999</v>
      </c>
      <c r="J6603">
        <v>-180.83150000000001</v>
      </c>
      <c r="K6603">
        <v>1.0968069999999901</v>
      </c>
      <c r="L6603">
        <v>130.78540000000001</v>
      </c>
      <c r="M6603">
        <v>0.71928570000000003</v>
      </c>
      <c r="N6603">
        <v>0</v>
      </c>
      <c r="O6603">
        <v>0.69455269999999902</v>
      </c>
      <c r="P6603">
        <v>0.78274820000000001</v>
      </c>
      <c r="Q6603">
        <v>-2.3927420000000001E-2</v>
      </c>
      <c r="R6603">
        <v>0.62187840000000005</v>
      </c>
      <c r="S6603">
        <v>3.1083369999999899</v>
      </c>
      <c r="T6603">
        <v>-0.35629939999999999</v>
      </c>
      <c r="U6603">
        <v>0.9239349</v>
      </c>
      <c r="V6603">
        <v>9.6179730000000005E-2</v>
      </c>
      <c r="W6603">
        <v>-1.078759E-2</v>
      </c>
      <c r="X6603">
        <v>0.99530549999999995</v>
      </c>
      <c r="Y6603">
        <v>0.45495010000000002</v>
      </c>
      <c r="Z6603">
        <v>-9.4989959999999998E-2</v>
      </c>
      <c r="AA6603">
        <v>0.88543619999999901</v>
      </c>
      <c r="AB6603">
        <v>23</v>
      </c>
      <c r="AC6603">
        <v>9.4012999999999902</v>
      </c>
      <c r="AD6603">
        <v>-1.0968087225929899</v>
      </c>
      <c r="AE6603">
        <v>2.6979999999999702</v>
      </c>
      <c r="AF6603">
        <v>4.5325828536561703</v>
      </c>
      <c r="AG6603">
        <v>-1.0968087225929899</v>
      </c>
      <c r="AH6603">
        <v>8.5298296554090207</v>
      </c>
      <c r="AI6603">
        <v>96.478152654801406</v>
      </c>
      <c r="AJ6603">
        <v>62.014706600427097</v>
      </c>
      <c r="AK6603">
        <v>9.7213831654507494</v>
      </c>
    </row>
    <row r="6604" spans="1:37" x14ac:dyDescent="0.2">
      <c r="A6604" t="str">
        <f>"20200111160349163"</f>
        <v>20200111160349163</v>
      </c>
      <c r="B6604" t="str">
        <f>"1578729829160020"</f>
        <v>1578729829160020</v>
      </c>
      <c r="C6604" t="s">
        <v>37</v>
      </c>
      <c r="D6604">
        <v>5.636927</v>
      </c>
      <c r="E6604">
        <v>0.65584739999999997</v>
      </c>
      <c r="F6604" t="s">
        <v>77</v>
      </c>
      <c r="G6604">
        <v>-171.28309999999999</v>
      </c>
      <c r="H6604" s="1">
        <v>-1.6463419999999999E-6</v>
      </c>
      <c r="I6604">
        <v>133.50059999999999</v>
      </c>
      <c r="J6604">
        <v>-180.6525</v>
      </c>
      <c r="K6604">
        <v>1.096797</v>
      </c>
      <c r="L6604">
        <v>130.93790000000001</v>
      </c>
      <c r="M6604">
        <v>0.72804080000000004</v>
      </c>
      <c r="N6604">
        <v>0</v>
      </c>
      <c r="O6604">
        <v>0.68536969999999997</v>
      </c>
      <c r="P6604">
        <v>0.79140059999999901</v>
      </c>
      <c r="Q6604">
        <v>-2.4679599999999999E-2</v>
      </c>
      <c r="R6604">
        <v>0.61079939999999999</v>
      </c>
      <c r="S6604">
        <v>3.117432</v>
      </c>
      <c r="T6604">
        <v>-0.3580952</v>
      </c>
      <c r="U6604">
        <v>0.886474599999999</v>
      </c>
      <c r="V6604">
        <v>9.7529190000000002E-2</v>
      </c>
      <c r="W6604">
        <v>-1.155978E-2</v>
      </c>
      <c r="X6604">
        <v>0.99516550000000004</v>
      </c>
      <c r="Y6604">
        <v>0.45417399999999902</v>
      </c>
      <c r="Z6604">
        <v>-9.4703839999999997E-2</v>
      </c>
      <c r="AA6604">
        <v>0.88586520000000002</v>
      </c>
      <c r="AB6604">
        <v>22</v>
      </c>
      <c r="AC6604">
        <v>9.3694000000000095</v>
      </c>
      <c r="AD6604">
        <v>-1.0967986463420001</v>
      </c>
      <c r="AE6604">
        <v>2.5626999999999698</v>
      </c>
      <c r="AF6604">
        <v>4.4989058445802099</v>
      </c>
      <c r="AG6604">
        <v>-1.0967986463420001</v>
      </c>
      <c r="AH6604">
        <v>8.4706694882093103</v>
      </c>
      <c r="AI6604">
        <v>96.523657531020106</v>
      </c>
      <c r="AJ6604">
        <v>62.026525557700097</v>
      </c>
      <c r="AK6604">
        <v>9.6537745285197101</v>
      </c>
    </row>
    <row r="6605" spans="1:37" x14ac:dyDescent="0.2">
      <c r="A6605" t="str">
        <f>"20200111160349186"</f>
        <v>20200111160349186</v>
      </c>
      <c r="B6605" t="str">
        <f>"1578729829179540"</f>
        <v>1578729829179540</v>
      </c>
      <c r="C6605" t="s">
        <v>37</v>
      </c>
      <c r="D6605">
        <v>5.5207449999999998</v>
      </c>
      <c r="E6605">
        <v>0.65474250000000001</v>
      </c>
      <c r="F6605" t="s">
        <v>77</v>
      </c>
      <c r="G6605">
        <v>-171.36359999999999</v>
      </c>
      <c r="H6605" s="1">
        <v>-1.6875890000000001E-6</v>
      </c>
      <c r="I6605">
        <v>133.49010000000001</v>
      </c>
      <c r="J6605">
        <v>-180.47479999999999</v>
      </c>
      <c r="K6605">
        <v>1.096781</v>
      </c>
      <c r="L6605">
        <v>131.08539999999999</v>
      </c>
      <c r="M6605">
        <v>0.73656860000000002</v>
      </c>
      <c r="N6605">
        <v>0</v>
      </c>
      <c r="O6605">
        <v>0.67619640000000003</v>
      </c>
      <c r="P6605">
        <v>0.79973649999999996</v>
      </c>
      <c r="Q6605">
        <v>-2.6043119999999999E-2</v>
      </c>
      <c r="R6605">
        <v>0.59978619999999905</v>
      </c>
      <c r="S6605">
        <v>3.1180569999999999</v>
      </c>
      <c r="T6605">
        <v>-0.36816900000000002</v>
      </c>
      <c r="U6605">
        <v>0.85672000000000004</v>
      </c>
      <c r="V6605">
        <v>9.8783709999999997E-2</v>
      </c>
      <c r="W6605">
        <v>-1.2942159999999999E-2</v>
      </c>
      <c r="X6605">
        <v>0.99502469999999998</v>
      </c>
      <c r="Y6605">
        <v>0.45061790000000002</v>
      </c>
      <c r="Z6605">
        <v>-9.6587969999999995E-2</v>
      </c>
      <c r="AA6605">
        <v>0.8874763</v>
      </c>
      <c r="AB6605">
        <v>22</v>
      </c>
      <c r="AC6605">
        <v>9.1111999999999895</v>
      </c>
      <c r="AD6605">
        <v>-1.0967826875890001</v>
      </c>
      <c r="AE6605">
        <v>2.40470000000002</v>
      </c>
      <c r="AF6605">
        <v>4.3315485789215398</v>
      </c>
      <c r="AG6605">
        <v>-1.0967826875890001</v>
      </c>
      <c r="AH6605">
        <v>8.2265661216481103</v>
      </c>
      <c r="AI6605">
        <v>96.728008183075502</v>
      </c>
      <c r="AJ6605">
        <v>62.231768960547697</v>
      </c>
      <c r="AK6605">
        <v>9.3617111421577501</v>
      </c>
    </row>
    <row r="6606" spans="1:37" x14ac:dyDescent="0.2">
      <c r="A6606" t="str">
        <f>"20200111160349207"</f>
        <v>20200111160349207</v>
      </c>
      <c r="B6606" t="str">
        <f>"1578729829200035"</f>
        <v>1578729829200035</v>
      </c>
      <c r="C6606" t="s">
        <v>37</v>
      </c>
      <c r="D6606">
        <v>5.435289</v>
      </c>
      <c r="E6606">
        <v>0.65415509999999999</v>
      </c>
      <c r="F6606" t="s">
        <v>77</v>
      </c>
      <c r="G6606">
        <v>-171.4134</v>
      </c>
      <c r="H6606" s="1">
        <v>-1.704969E-6</v>
      </c>
      <c r="I6606">
        <v>133.46520000000001</v>
      </c>
      <c r="J6606">
        <v>-180.30449999999999</v>
      </c>
      <c r="K6606">
        <v>1.0967659999999999</v>
      </c>
      <c r="L6606">
        <v>131.22319999999999</v>
      </c>
      <c r="M6606">
        <v>0.74458809999999997</v>
      </c>
      <c r="N6606">
        <v>0</v>
      </c>
      <c r="O6606">
        <v>0.66735540000000004</v>
      </c>
      <c r="P6606">
        <v>0.80753819999999998</v>
      </c>
      <c r="Q6606">
        <v>-2.6742120000000001E-2</v>
      </c>
      <c r="R6606">
        <v>0.58920879999999998</v>
      </c>
      <c r="S6606">
        <v>3.1236419999999998</v>
      </c>
      <c r="T6606">
        <v>-0.37808350000000002</v>
      </c>
      <c r="U6606">
        <v>0.82037349999999998</v>
      </c>
      <c r="V6606">
        <v>9.9972370000000005E-2</v>
      </c>
      <c r="W6606">
        <v>-1.365948E-2</v>
      </c>
      <c r="X6606">
        <v>0.99489649999999996</v>
      </c>
      <c r="Y6606">
        <v>0.44971469999999902</v>
      </c>
      <c r="Z6606">
        <v>-9.8440650000000005E-2</v>
      </c>
      <c r="AA6606">
        <v>0.88773089999999999</v>
      </c>
      <c r="AB6606">
        <v>22</v>
      </c>
      <c r="AC6606">
        <v>8.8910999999999891</v>
      </c>
      <c r="AD6606">
        <v>-1.0967677049689999</v>
      </c>
      <c r="AE6606">
        <v>2.2420000000000102</v>
      </c>
      <c r="AF6606">
        <v>4.2044844108770203</v>
      </c>
      <c r="AG6606">
        <v>-1.0967677049689999</v>
      </c>
      <c r="AH6606">
        <v>8.0028368098752694</v>
      </c>
      <c r="AI6606">
        <v>96.917474270868595</v>
      </c>
      <c r="AJ6606">
        <v>62.283719890061199</v>
      </c>
      <c r="AK6606">
        <v>9.1063706033449705</v>
      </c>
    </row>
    <row r="6607" spans="1:37" x14ac:dyDescent="0.2">
      <c r="A6607" t="str">
        <f>"20200111160349230"</f>
        <v>20200111160349230</v>
      </c>
      <c r="B6607" t="str">
        <f>"1578729829219557"</f>
        <v>1578729829219557</v>
      </c>
      <c r="C6607" t="s">
        <v>37</v>
      </c>
      <c r="D6607">
        <v>5.4425520000000001</v>
      </c>
      <c r="E6607">
        <v>0.63968610000000004</v>
      </c>
      <c r="F6607" t="s">
        <v>77</v>
      </c>
      <c r="G6607">
        <v>-171.33109999999999</v>
      </c>
      <c r="H6607" s="1">
        <v>-1.6587399999999999E-6</v>
      </c>
      <c r="I6607">
        <v>133.46680000000001</v>
      </c>
      <c r="J6607">
        <v>-180.1284</v>
      </c>
      <c r="K6607">
        <v>1.096754</v>
      </c>
      <c r="L6607">
        <v>131.3621</v>
      </c>
      <c r="M6607">
        <v>0.75272539999999999</v>
      </c>
      <c r="N6607">
        <v>0</v>
      </c>
      <c r="O6607">
        <v>0.65816319999999995</v>
      </c>
      <c r="P6607">
        <v>0.81497259999999905</v>
      </c>
      <c r="Q6607">
        <v>-2.6128419999999999E-2</v>
      </c>
      <c r="R6607">
        <v>0.57891009999999998</v>
      </c>
      <c r="S6607">
        <v>3.1311339999999999</v>
      </c>
      <c r="T6607">
        <v>-0.38270129999999902</v>
      </c>
      <c r="U6607">
        <v>0.78286739999999999</v>
      </c>
      <c r="V6607">
        <v>0.100411</v>
      </c>
      <c r="W6607">
        <v>-1.3049069999999999E-2</v>
      </c>
      <c r="X6607">
        <v>0.99486049999999904</v>
      </c>
      <c r="Y6607">
        <v>0.44915919999999998</v>
      </c>
      <c r="Z6607">
        <v>-9.881421E-2</v>
      </c>
      <c r="AA6607">
        <v>0.88797060000000005</v>
      </c>
      <c r="AB6607">
        <v>22</v>
      </c>
      <c r="AC6607">
        <v>8.7972999999999999</v>
      </c>
      <c r="AD6607">
        <v>-1.09675565874</v>
      </c>
      <c r="AE6607">
        <v>2.1046999999999998</v>
      </c>
      <c r="AF6607">
        <v>4.1453318895442504</v>
      </c>
      <c r="AG6607">
        <v>-1.09675565874</v>
      </c>
      <c r="AH6607">
        <v>7.8920692062512998</v>
      </c>
      <c r="AI6607">
        <v>97.013873536156495</v>
      </c>
      <c r="AJ6607">
        <v>62.289171136522299</v>
      </c>
      <c r="AK6607">
        <v>8.9817262152501005</v>
      </c>
    </row>
    <row r="6608" spans="1:37" x14ac:dyDescent="0.2">
      <c r="A6608" t="str">
        <f>"20200111160349252"</f>
        <v>20200111160349252</v>
      </c>
      <c r="B6608" t="str">
        <f>"1578729829249812"</f>
        <v>1578729829249812</v>
      </c>
      <c r="C6608" t="s">
        <v>37</v>
      </c>
      <c r="D6608">
        <v>5.4646339999999904</v>
      </c>
      <c r="E6608">
        <v>0.63770830000000001</v>
      </c>
      <c r="F6608" t="s">
        <v>77</v>
      </c>
      <c r="G6608">
        <v>-172.3143</v>
      </c>
      <c r="H6608" s="1">
        <v>-2.2324899999999999E-6</v>
      </c>
      <c r="I6608">
        <v>133.4967</v>
      </c>
      <c r="J6608">
        <v>-179.94739999999999</v>
      </c>
      <c r="K6608">
        <v>1.0967439999999999</v>
      </c>
      <c r="L6608">
        <v>131.5009</v>
      </c>
      <c r="M6608">
        <v>0.7609262</v>
      </c>
      <c r="N6608">
        <v>0</v>
      </c>
      <c r="O6608">
        <v>0.64866420000000002</v>
      </c>
      <c r="P6608">
        <v>0.82224330000000001</v>
      </c>
      <c r="Q6608">
        <v>-2.5657639999999999E-2</v>
      </c>
      <c r="R6608">
        <v>0.56855769999999906</v>
      </c>
      <c r="S6608">
        <v>3.071304</v>
      </c>
      <c r="T6608">
        <v>-0.43107839999999997</v>
      </c>
      <c r="U6608">
        <v>0.83900450000000004</v>
      </c>
      <c r="V6608">
        <v>0.100523899999999</v>
      </c>
      <c r="W6608">
        <v>-1.257516E-2</v>
      </c>
      <c r="X6608">
        <v>0.99485519999999905</v>
      </c>
      <c r="Y6608">
        <v>0.41673500000000002</v>
      </c>
      <c r="Z6608">
        <v>-0.1097265</v>
      </c>
      <c r="AA6608">
        <v>0.90238130000000005</v>
      </c>
      <c r="AB6608">
        <v>22</v>
      </c>
      <c r="AC6608">
        <v>7.6330999999999802</v>
      </c>
      <c r="AD6608">
        <v>-1.0967462324899999</v>
      </c>
      <c r="AE6608">
        <v>1.9958</v>
      </c>
      <c r="AF6608">
        <v>3.3679685788288398</v>
      </c>
      <c r="AG6608">
        <v>-1.0967462324899999</v>
      </c>
      <c r="AH6608">
        <v>6.9689664132304401</v>
      </c>
      <c r="AI6608">
        <v>98.064893206777697</v>
      </c>
      <c r="AJ6608">
        <v>64.206407395167403</v>
      </c>
      <c r="AK6608">
        <v>7.8174521114742603</v>
      </c>
    </row>
    <row r="6609" spans="1:37" x14ac:dyDescent="0.2">
      <c r="A6609" t="str">
        <f>"20200111160349275"</f>
        <v>20200111160349275</v>
      </c>
      <c r="B6609" t="str">
        <f>"1578729829270308"</f>
        <v>1578729829270308</v>
      </c>
      <c r="C6609" t="s">
        <v>37</v>
      </c>
      <c r="D6609">
        <v>5.4587019999999997</v>
      </c>
      <c r="E6609">
        <v>0.63063539999999996</v>
      </c>
      <c r="F6609" t="s">
        <v>77</v>
      </c>
      <c r="G6609">
        <v>-172.06280000000001</v>
      </c>
      <c r="H6609" s="1">
        <v>-2.1291070000000001E-6</v>
      </c>
      <c r="I6609">
        <v>133.58699999999999</v>
      </c>
      <c r="J6609">
        <v>-179.75810000000001</v>
      </c>
      <c r="K6609">
        <v>1.09674</v>
      </c>
      <c r="L6609">
        <v>131.6422</v>
      </c>
      <c r="M6609">
        <v>0.76932529999999999</v>
      </c>
      <c r="N6609">
        <v>0</v>
      </c>
      <c r="O6609">
        <v>0.63868029999999998</v>
      </c>
      <c r="P6609">
        <v>0.82928950000000001</v>
      </c>
      <c r="Q6609">
        <v>-2.5327349999999998E-2</v>
      </c>
      <c r="R6609">
        <v>0.55824510000000005</v>
      </c>
      <c r="S6609">
        <v>3.073013</v>
      </c>
      <c r="T6609">
        <v>-0.42745609999999901</v>
      </c>
      <c r="U6609">
        <v>0.81306460000000003</v>
      </c>
      <c r="V6609">
        <v>9.9979609999999997E-2</v>
      </c>
      <c r="W6609">
        <v>-1.2227760000000001E-2</v>
      </c>
      <c r="X6609">
        <v>0.99491439999999998</v>
      </c>
      <c r="Y6609">
        <v>0.412354</v>
      </c>
      <c r="Z6609">
        <v>-0.1076418</v>
      </c>
      <c r="AA6609">
        <v>0.90464219999999895</v>
      </c>
      <c r="AB6609">
        <v>22</v>
      </c>
      <c r="AC6609">
        <v>7.6952999999999996</v>
      </c>
      <c r="AD6609">
        <v>-1.0967421291070001</v>
      </c>
      <c r="AE6609">
        <v>1.9448000000000101</v>
      </c>
      <c r="AF6609">
        <v>3.3549831699616202</v>
      </c>
      <c r="AG6609">
        <v>-1.0967421291070001</v>
      </c>
      <c r="AH6609">
        <v>7.0289027846758998</v>
      </c>
      <c r="AI6609">
        <v>98.015393485464102</v>
      </c>
      <c r="AJ6609">
        <v>64.484273511239493</v>
      </c>
      <c r="AK6609">
        <v>7.8653817278571099</v>
      </c>
    </row>
    <row r="6610" spans="1:37" x14ac:dyDescent="0.2">
      <c r="A6610" t="str">
        <f>"20200111160349297"</f>
        <v>20200111160349297</v>
      </c>
      <c r="B6610" t="str">
        <f>"1578729829289827"</f>
        <v>1578729829289827</v>
      </c>
      <c r="C6610" t="s">
        <v>37</v>
      </c>
      <c r="D6610">
        <v>5.4189109999999996</v>
      </c>
      <c r="E6610">
        <v>0.62943169999999904</v>
      </c>
      <c r="F6610" t="s">
        <v>77</v>
      </c>
      <c r="G6610">
        <v>-172.1035</v>
      </c>
      <c r="H6610" s="1">
        <v>-2.2041479999999998E-6</v>
      </c>
      <c r="I6610">
        <v>133.70410000000001</v>
      </c>
      <c r="J6610">
        <v>-179.57499999999999</v>
      </c>
      <c r="K6610">
        <v>1.0967309999999999</v>
      </c>
      <c r="L6610">
        <v>131.77529999999999</v>
      </c>
      <c r="M6610">
        <v>0.77727899999999905</v>
      </c>
      <c r="N6610">
        <v>0</v>
      </c>
      <c r="O6610">
        <v>0.62897619999999999</v>
      </c>
      <c r="P6610">
        <v>0.83581229999999995</v>
      </c>
      <c r="Q6610">
        <v>-2.5656959999999999E-2</v>
      </c>
      <c r="R6610">
        <v>0.54841549999999994</v>
      </c>
      <c r="S6610">
        <v>3.0509949999999999</v>
      </c>
      <c r="T6610">
        <v>-0.4371429</v>
      </c>
      <c r="U6610">
        <v>0.82182310000000003</v>
      </c>
      <c r="V6610">
        <v>9.9229100000000001E-2</v>
      </c>
      <c r="W6610">
        <v>-1.253659E-2</v>
      </c>
      <c r="X6610">
        <v>0.99498560000000003</v>
      </c>
      <c r="Y6610">
        <v>0.3965687</v>
      </c>
      <c r="Z6610">
        <v>-0.108645699999999</v>
      </c>
      <c r="AA6610">
        <v>0.91155330000000001</v>
      </c>
      <c r="AB6610">
        <v>22</v>
      </c>
      <c r="AC6610">
        <v>7.47149999999999</v>
      </c>
      <c r="AD6610">
        <v>-1.09673320414799</v>
      </c>
      <c r="AE6610">
        <v>1.9288000000000201</v>
      </c>
      <c r="AF6610">
        <v>3.1371689996402599</v>
      </c>
      <c r="AG6610">
        <v>-1.09673320414799</v>
      </c>
      <c r="AH6610">
        <v>6.8823748605515798</v>
      </c>
      <c r="AI6610">
        <v>98.250408619599796</v>
      </c>
      <c r="AJ6610">
        <v>65.495243251860501</v>
      </c>
      <c r="AK6610">
        <v>7.6427571448095204</v>
      </c>
    </row>
    <row r="6611" spans="1:37" x14ac:dyDescent="0.2">
      <c r="A6611" t="str">
        <f>"20200111160349320"</f>
        <v>20200111160349320</v>
      </c>
      <c r="B6611" t="str">
        <f>"1578729829310324"</f>
        <v>1578729829310324</v>
      </c>
      <c r="C6611" t="s">
        <v>37</v>
      </c>
      <c r="D6611">
        <v>5.3786809999999896</v>
      </c>
      <c r="E6611">
        <v>0.628198699999999</v>
      </c>
      <c r="F6611" t="s">
        <v>77</v>
      </c>
      <c r="G6611">
        <v>-171.96680000000001</v>
      </c>
      <c r="H6611" s="1">
        <v>-2.147648E-6</v>
      </c>
      <c r="I6611">
        <v>133.7525</v>
      </c>
      <c r="J6611">
        <v>-179.39080000000001</v>
      </c>
      <c r="K6611">
        <v>1.0967340000000001</v>
      </c>
      <c r="L6611">
        <v>131.90559999999999</v>
      </c>
      <c r="M6611">
        <v>0.7851146</v>
      </c>
      <c r="N6611">
        <v>0</v>
      </c>
      <c r="O6611">
        <v>0.61916759999999904</v>
      </c>
      <c r="P6611">
        <v>0.84211389999999997</v>
      </c>
      <c r="Q6611">
        <v>-2.563064E-2</v>
      </c>
      <c r="R6611">
        <v>0.53869040000000001</v>
      </c>
      <c r="S6611">
        <v>3.0549009999999899</v>
      </c>
      <c r="T6611">
        <v>-0.44036809999999998</v>
      </c>
      <c r="U6611">
        <v>0.79389949999999998</v>
      </c>
      <c r="V6611">
        <v>9.827168E-2</v>
      </c>
      <c r="W6611">
        <v>-1.248528E-2</v>
      </c>
      <c r="X6611">
        <v>0.99508129999999995</v>
      </c>
      <c r="Y6611">
        <v>0.39311059999999998</v>
      </c>
      <c r="Z6611">
        <v>-0.10820929999999999</v>
      </c>
      <c r="AA6611">
        <v>0.91310170000000002</v>
      </c>
      <c r="AB6611">
        <v>22</v>
      </c>
      <c r="AC6611">
        <v>7.4240000000000004</v>
      </c>
      <c r="AD6611">
        <v>-1.096736147648</v>
      </c>
      <c r="AE6611">
        <v>1.8469</v>
      </c>
      <c r="AF6611">
        <v>3.0836540283589802</v>
      </c>
      <c r="AG6611">
        <v>-1.096736147648</v>
      </c>
      <c r="AH6611">
        <v>6.8325992676590603</v>
      </c>
      <c r="AI6611">
        <v>98.323615992999805</v>
      </c>
      <c r="AJ6611">
        <v>65.709632987200806</v>
      </c>
      <c r="AK6611">
        <v>7.5760256795095096</v>
      </c>
    </row>
    <row r="6612" spans="1:37" x14ac:dyDescent="0.2">
      <c r="A6612" t="str">
        <f>"20200111160349354"</f>
        <v>20200111160349354</v>
      </c>
      <c r="B6612" t="str">
        <f>"1578729829350339"</f>
        <v>1578729829350339</v>
      </c>
      <c r="C6612" t="s">
        <v>37</v>
      </c>
      <c r="D6612">
        <v>5.3309340000000001</v>
      </c>
      <c r="E6612">
        <v>0.62589859999999997</v>
      </c>
      <c r="F6612" t="s">
        <v>77</v>
      </c>
      <c r="G6612">
        <v>-171.83430000000001</v>
      </c>
      <c r="H6612" s="1">
        <v>-2.0932109999999998E-6</v>
      </c>
      <c r="I6612">
        <v>133.80019999999999</v>
      </c>
      <c r="J6612">
        <v>-179.1095</v>
      </c>
      <c r="K6612">
        <v>1.0967499999999999</v>
      </c>
      <c r="L6612">
        <v>132.09809999999999</v>
      </c>
      <c r="M6612">
        <v>0.79675850000000004</v>
      </c>
      <c r="N6612">
        <v>0</v>
      </c>
      <c r="O6612">
        <v>0.60411020000000004</v>
      </c>
      <c r="P6612">
        <v>0.85122410000000004</v>
      </c>
      <c r="Q6612">
        <v>-2.484304E-2</v>
      </c>
      <c r="R6612">
        <v>0.52421419999999996</v>
      </c>
      <c r="S6612">
        <v>3.0584259999999999</v>
      </c>
      <c r="T6612">
        <v>-0.44389299999999998</v>
      </c>
      <c r="U6612">
        <v>0.76679989999999998</v>
      </c>
      <c r="V6612">
        <v>9.6371890000000002E-2</v>
      </c>
      <c r="W6612">
        <v>-1.165064E-2</v>
      </c>
      <c r="X6612">
        <v>0.99527719999999897</v>
      </c>
      <c r="Y6612">
        <v>0.38352799999999998</v>
      </c>
      <c r="Z6612">
        <v>-0.106806399999999</v>
      </c>
      <c r="AA6612">
        <v>0.91733240000000005</v>
      </c>
      <c r="AB6612">
        <v>22</v>
      </c>
      <c r="AC6612">
        <v>7.2751999999999803</v>
      </c>
      <c r="AD6612">
        <v>-1.096752093211</v>
      </c>
      <c r="AE6612">
        <v>1.7020999999999999</v>
      </c>
      <c r="AF6612">
        <v>2.9751005686487102</v>
      </c>
      <c r="AG6612">
        <v>-1.096752093211</v>
      </c>
      <c r="AH6612">
        <v>6.6816393432632504</v>
      </c>
      <c r="AI6612">
        <v>98.528026988141804</v>
      </c>
      <c r="AJ6612">
        <v>65.998260509352804</v>
      </c>
      <c r="AK6612">
        <v>7.3958361840281501</v>
      </c>
    </row>
    <row r="6613" spans="1:37" x14ac:dyDescent="0.2">
      <c r="A6613" t="str">
        <f>"20200111160349375"</f>
        <v>20200111160349375</v>
      </c>
      <c r="B6613" t="str">
        <f>"1578729829369859"</f>
        <v>1578729829369859</v>
      </c>
      <c r="C6613" t="s">
        <v>37</v>
      </c>
      <c r="D6613">
        <v>5.3268250000000004</v>
      </c>
      <c r="E6613">
        <v>0.62523839999999997</v>
      </c>
      <c r="F6613" t="s">
        <v>77</v>
      </c>
      <c r="G6613">
        <v>-171.49270000000001</v>
      </c>
      <c r="H6613" s="1">
        <v>-1.9489070000000001E-6</v>
      </c>
      <c r="I6613">
        <v>133.91409999999999</v>
      </c>
      <c r="J6613">
        <v>-178.922</v>
      </c>
      <c r="K6613">
        <v>1.0967610000000001</v>
      </c>
      <c r="L6613">
        <v>132.22190000000001</v>
      </c>
      <c r="M6613">
        <v>0.80430190000000001</v>
      </c>
      <c r="N6613">
        <v>0</v>
      </c>
      <c r="O6613">
        <v>0.59402999999999995</v>
      </c>
      <c r="P6613">
        <v>0.85741669999999903</v>
      </c>
      <c r="Q6613">
        <v>-2.4191319999999999E-2</v>
      </c>
      <c r="R6613">
        <v>0.51405409999999996</v>
      </c>
      <c r="S6613">
        <v>3.0619049999999999</v>
      </c>
      <c r="T6613">
        <v>-0.44088859999999902</v>
      </c>
      <c r="U6613">
        <v>0.72999569999999903</v>
      </c>
      <c r="V6613">
        <v>9.5699690000000004E-2</v>
      </c>
      <c r="W6613">
        <v>-1.0979890000000001E-2</v>
      </c>
      <c r="X6613">
        <v>0.995349699999999</v>
      </c>
      <c r="Y6613">
        <v>0.38275769999999998</v>
      </c>
      <c r="Z6613">
        <v>-0.1050335</v>
      </c>
      <c r="AA6613">
        <v>0.91785869999999903</v>
      </c>
      <c r="AB6613">
        <v>22</v>
      </c>
      <c r="AC6613">
        <v>7.42929999999998</v>
      </c>
      <c r="AD6613">
        <v>-1.0967629489070001</v>
      </c>
      <c r="AE6613">
        <v>1.6921999999999799</v>
      </c>
      <c r="AF6613">
        <v>2.9905727249646001</v>
      </c>
      <c r="AG6613">
        <v>-1.0967629489070001</v>
      </c>
      <c r="AH6613">
        <v>6.8396995499602999</v>
      </c>
      <c r="AI6613">
        <v>98.358228473968893</v>
      </c>
      <c r="AJ6613">
        <v>66.383250205411599</v>
      </c>
      <c r="AK6613">
        <v>7.5450582584314398</v>
      </c>
    </row>
    <row r="6614" spans="1:37" x14ac:dyDescent="0.2">
      <c r="A6614" t="str">
        <f>"20200111160349398"</f>
        <v>20200111160349398</v>
      </c>
      <c r="B6614" t="str">
        <f>"1578729829390356"</f>
        <v>1578729829390356</v>
      </c>
      <c r="C6614" t="s">
        <v>37</v>
      </c>
      <c r="D6614">
        <v>5.3181389999999897</v>
      </c>
      <c r="E6614">
        <v>0.61828760000000005</v>
      </c>
      <c r="F6614" t="s">
        <v>77</v>
      </c>
      <c r="G6614">
        <v>-171.25540000000001</v>
      </c>
      <c r="H6614" s="1">
        <v>-1.8368129999999899E-6</v>
      </c>
      <c r="I6614">
        <v>133.96639999999999</v>
      </c>
      <c r="J6614">
        <v>-178.7319</v>
      </c>
      <c r="K6614">
        <v>1.096765</v>
      </c>
      <c r="L6614">
        <v>132.34399999999999</v>
      </c>
      <c r="M6614">
        <v>0.8117723</v>
      </c>
      <c r="N6614">
        <v>0</v>
      </c>
      <c r="O6614">
        <v>0.58377959999999995</v>
      </c>
      <c r="P6614">
        <v>0.86328079999999996</v>
      </c>
      <c r="Q6614">
        <v>-2.373888E-2</v>
      </c>
      <c r="R6614">
        <v>0.50416549999999904</v>
      </c>
      <c r="S6614">
        <v>3.0679630000000002</v>
      </c>
      <c r="T6614">
        <v>-0.43889650000000002</v>
      </c>
      <c r="U6614">
        <v>0.69808959999999998</v>
      </c>
      <c r="V6614">
        <v>9.4530240000000001E-2</v>
      </c>
      <c r="W6614">
        <v>-1.0499039999999999E-2</v>
      </c>
      <c r="X6614">
        <v>0.99546659999999998</v>
      </c>
      <c r="Y6614">
        <v>0.3807026</v>
      </c>
      <c r="Z6614">
        <v>-0.103267699999999</v>
      </c>
      <c r="AA6614">
        <v>0.91891309999999904</v>
      </c>
      <c r="AB6614">
        <v>22</v>
      </c>
      <c r="AC6614">
        <v>7.4764999999999802</v>
      </c>
      <c r="AD6614">
        <v>-1.0967668368129999</v>
      </c>
      <c r="AE6614">
        <v>1.6223999999999901</v>
      </c>
      <c r="AF6614">
        <v>2.9865756399495802</v>
      </c>
      <c r="AG6614">
        <v>-1.0967668368129999</v>
      </c>
      <c r="AH6614">
        <v>6.8758263867221698</v>
      </c>
      <c r="AI6614">
        <v>98.323605568857104</v>
      </c>
      <c r="AJ6614">
        <v>66.521859862582303</v>
      </c>
      <c r="AK6614">
        <v>7.57624709521924</v>
      </c>
    </row>
    <row r="6615" spans="1:37" x14ac:dyDescent="0.2">
      <c r="A6615" t="str">
        <f>"20200111160349419"</f>
        <v>20200111160349419</v>
      </c>
      <c r="B6615" t="str">
        <f>"1578729829409876"</f>
        <v>1578729829409876</v>
      </c>
      <c r="C6615" t="s">
        <v>37</v>
      </c>
      <c r="D6615">
        <v>5.2153910000000003</v>
      </c>
      <c r="E6615">
        <v>0.61775919999999995</v>
      </c>
      <c r="F6615" t="s">
        <v>77</v>
      </c>
      <c r="G6615">
        <v>-171.17070000000001</v>
      </c>
      <c r="H6615" s="1">
        <v>-1.85124E-6</v>
      </c>
      <c r="I6615">
        <v>134.108</v>
      </c>
      <c r="J6615">
        <v>-178.54499999999999</v>
      </c>
      <c r="K6615">
        <v>1.0967750000000001</v>
      </c>
      <c r="L6615">
        <v>132.4607</v>
      </c>
      <c r="M6615">
        <v>0.81894960000000006</v>
      </c>
      <c r="N6615">
        <v>0</v>
      </c>
      <c r="O6615">
        <v>0.57366759999999895</v>
      </c>
      <c r="P6615">
        <v>0.86920819999999999</v>
      </c>
      <c r="Q6615">
        <v>-2.3679869999999999E-2</v>
      </c>
      <c r="R6615">
        <v>0.49387910000000002</v>
      </c>
      <c r="S6615">
        <v>3.0477289999999999</v>
      </c>
      <c r="T6615">
        <v>-0.44208259999999999</v>
      </c>
      <c r="U6615">
        <v>0.71102909999999997</v>
      </c>
      <c r="V6615">
        <v>9.4008090000000002E-2</v>
      </c>
      <c r="W6615">
        <v>-1.042561E-2</v>
      </c>
      <c r="X6615">
        <v>0.99551679999999998</v>
      </c>
      <c r="Y6615">
        <v>0.36419079999999998</v>
      </c>
      <c r="Z6615">
        <v>-0.1022779</v>
      </c>
      <c r="AA6615">
        <v>0.92569120000000005</v>
      </c>
      <c r="AB6615">
        <v>22</v>
      </c>
      <c r="AC6615">
        <v>7.3742999999999697</v>
      </c>
      <c r="AD6615">
        <v>-1.09677685124</v>
      </c>
      <c r="AE6615">
        <v>1.6473</v>
      </c>
      <c r="AF6615">
        <v>2.8222069679459199</v>
      </c>
      <c r="AG6615">
        <v>-1.09677685124</v>
      </c>
      <c r="AH6615">
        <v>6.8408449076549704</v>
      </c>
      <c r="AI6615">
        <v>98.430457267349794</v>
      </c>
      <c r="AJ6615">
        <v>67.5812869630835</v>
      </c>
      <c r="AK6615">
        <v>7.4809712392126899</v>
      </c>
    </row>
    <row r="6616" spans="1:37" x14ac:dyDescent="0.2">
      <c r="A6616" t="str">
        <f>"20200111160349443"</f>
        <v>20200111160349443</v>
      </c>
      <c r="B6616" t="str">
        <f>"1578729829430372"</f>
        <v>1578729829430372</v>
      </c>
      <c r="C6616" t="s">
        <v>37</v>
      </c>
      <c r="D6616">
        <v>5.180491</v>
      </c>
      <c r="E6616">
        <v>0.6172183</v>
      </c>
      <c r="F6616" t="s">
        <v>77</v>
      </c>
      <c r="G6616">
        <v>-170.75450000000001</v>
      </c>
      <c r="H6616" s="1">
        <v>-1.64985E-6</v>
      </c>
      <c r="I6616">
        <v>134.18899999999999</v>
      </c>
      <c r="J6616">
        <v>-178.3492</v>
      </c>
      <c r="K6616">
        <v>1.0967910000000001</v>
      </c>
      <c r="L6616">
        <v>132.5795</v>
      </c>
      <c r="M6616">
        <v>0.82628950000000001</v>
      </c>
      <c r="N6616">
        <v>0</v>
      </c>
      <c r="O6616">
        <v>0.56304409999999905</v>
      </c>
      <c r="P6616">
        <v>0.87526360000000003</v>
      </c>
      <c r="Q6616">
        <v>-2.3009169999999999E-2</v>
      </c>
      <c r="R6616">
        <v>0.48309879999999999</v>
      </c>
      <c r="S6616">
        <v>3.0546419999999999</v>
      </c>
      <c r="T6616">
        <v>-0.43004700000000001</v>
      </c>
      <c r="U6616">
        <v>0.67768859999999997</v>
      </c>
      <c r="V6616">
        <v>9.3478749999999999E-2</v>
      </c>
      <c r="W6616">
        <v>-9.7403750000000008E-3</v>
      </c>
      <c r="X6616">
        <v>0.99557359999999995</v>
      </c>
      <c r="Y6616">
        <v>0.3628094</v>
      </c>
      <c r="Z6616">
        <v>-9.8199499999999995E-2</v>
      </c>
      <c r="AA6616">
        <v>0.92667479999999902</v>
      </c>
      <c r="AB6616">
        <v>22</v>
      </c>
      <c r="AC6616">
        <v>7.59469999999998</v>
      </c>
      <c r="AD6616">
        <v>-1.09679264985</v>
      </c>
      <c r="AE6616">
        <v>1.6094999999999899</v>
      </c>
      <c r="AF6616">
        <v>2.88891150450698</v>
      </c>
      <c r="AG6616">
        <v>-1.09679264985</v>
      </c>
      <c r="AH6616">
        <v>7.0419032262230496</v>
      </c>
      <c r="AI6616">
        <v>98.199746130080101</v>
      </c>
      <c r="AJ6616">
        <v>67.694313327194806</v>
      </c>
      <c r="AK6616">
        <v>7.6900692353923796</v>
      </c>
    </row>
    <row r="6617" spans="1:37" x14ac:dyDescent="0.2">
      <c r="A6617" t="str">
        <f>"20200111160349465"</f>
        <v>20200111160349465</v>
      </c>
      <c r="B6617" t="str">
        <f>"1578729829459652"</f>
        <v>1578729829459652</v>
      </c>
      <c r="C6617" t="s">
        <v>37</v>
      </c>
      <c r="D6617">
        <v>5.1076370000000004</v>
      </c>
      <c r="E6617">
        <v>0.61582740000000002</v>
      </c>
      <c r="F6617" t="s">
        <v>77</v>
      </c>
      <c r="G6617">
        <v>-170.31790000000001</v>
      </c>
      <c r="H6617" s="1">
        <v>-1.4353399999999899E-6</v>
      </c>
      <c r="I6617">
        <v>134.26669999999999</v>
      </c>
      <c r="J6617">
        <v>-178.1566</v>
      </c>
      <c r="K6617">
        <v>1.0968069999999901</v>
      </c>
      <c r="L6617">
        <v>132.69299999999899</v>
      </c>
      <c r="M6617">
        <v>0.83333840000000003</v>
      </c>
      <c r="N6617">
        <v>0</v>
      </c>
      <c r="O6617">
        <v>0.55255769999999904</v>
      </c>
      <c r="P6617">
        <v>0.88098759999999998</v>
      </c>
      <c r="Q6617">
        <v>-2.2522919999999998E-2</v>
      </c>
      <c r="R6617">
        <v>0.47260279999999999</v>
      </c>
      <c r="S6617">
        <v>3.0615540000000001</v>
      </c>
      <c r="T6617">
        <v>-0.41810019999999998</v>
      </c>
      <c r="U6617">
        <v>0.64315800000000001</v>
      </c>
      <c r="V6617">
        <v>9.2813969999999996E-2</v>
      </c>
      <c r="W6617">
        <v>-9.237248E-3</v>
      </c>
      <c r="X6617">
        <v>0.99564059999999899</v>
      </c>
      <c r="Y6617">
        <v>0.36200850000000001</v>
      </c>
      <c r="Z6617">
        <v>-9.4252210000000003E-2</v>
      </c>
      <c r="AA6617">
        <v>0.92739760000000004</v>
      </c>
      <c r="AB6617">
        <v>22</v>
      </c>
      <c r="AC6617">
        <v>7.8386999999999798</v>
      </c>
      <c r="AD6617">
        <v>-1.0968084353399901</v>
      </c>
      <c r="AE6617">
        <v>1.5737000000000001</v>
      </c>
      <c r="AF6617">
        <v>2.96446205666077</v>
      </c>
      <c r="AG6617">
        <v>-1.0968084353399901</v>
      </c>
      <c r="AH6617">
        <v>7.2659473714295002</v>
      </c>
      <c r="AI6617">
        <v>97.956501320303502</v>
      </c>
      <c r="AJ6617">
        <v>67.804841103678001</v>
      </c>
      <c r="AK6617">
        <v>7.92369959258916</v>
      </c>
    </row>
    <row r="6618" spans="1:37" x14ac:dyDescent="0.2">
      <c r="A6618" t="str">
        <f>"20200111160349487"</f>
        <v>20200111160349487</v>
      </c>
      <c r="B6618" t="str">
        <f>"1578729829480148"</f>
        <v>1578729829480148</v>
      </c>
      <c r="C6618" t="s">
        <v>37</v>
      </c>
      <c r="D6618">
        <v>5.0764889999999996</v>
      </c>
      <c r="E6618">
        <v>0.61497630000000003</v>
      </c>
      <c r="F6618" t="s">
        <v>77</v>
      </c>
      <c r="G6618">
        <v>-170.04519999999999</v>
      </c>
      <c r="H6618" s="1">
        <v>-1.305858E-6</v>
      </c>
      <c r="I6618">
        <v>134.3254</v>
      </c>
      <c r="J6618">
        <v>-177.9564</v>
      </c>
      <c r="K6618">
        <v>1.0968199999999999</v>
      </c>
      <c r="L6618">
        <v>132.80770000000001</v>
      </c>
      <c r="M6618">
        <v>0.84048909999999999</v>
      </c>
      <c r="N6618">
        <v>0</v>
      </c>
      <c r="O6618">
        <v>0.54161879999999996</v>
      </c>
      <c r="P6618">
        <v>0.88695249999999903</v>
      </c>
      <c r="Q6618">
        <v>-2.3007699999999999E-2</v>
      </c>
      <c r="R6618">
        <v>0.46128720000000001</v>
      </c>
      <c r="S6618">
        <v>3.0638890000000001</v>
      </c>
      <c r="T6618">
        <v>-0.41428999999999899</v>
      </c>
      <c r="U6618">
        <v>0.61659240000000004</v>
      </c>
      <c r="V6618">
        <v>9.2530130000000002E-2</v>
      </c>
      <c r="W6618">
        <v>-9.7134119999999994E-3</v>
      </c>
      <c r="X6618">
        <v>0.99566250000000001</v>
      </c>
      <c r="Y6618">
        <v>0.35793900000000001</v>
      </c>
      <c r="Z6618">
        <v>-9.1979320000000003E-2</v>
      </c>
      <c r="AA6618">
        <v>0.92920369999999997</v>
      </c>
      <c r="AB6618">
        <v>22</v>
      </c>
      <c r="AC6618">
        <v>7.9112</v>
      </c>
      <c r="AD6618">
        <v>-1.0968213058580001</v>
      </c>
      <c r="AE6618">
        <v>1.5176999999999901</v>
      </c>
      <c r="AF6618">
        <v>2.9548064695263601</v>
      </c>
      <c r="AG6618">
        <v>-1.0968213058580001</v>
      </c>
      <c r="AH6618">
        <v>7.3361349460190501</v>
      </c>
      <c r="AI6618">
        <v>97.895586122944593</v>
      </c>
      <c r="AJ6618">
        <v>68.061691975457094</v>
      </c>
      <c r="AK6618">
        <v>7.9845334363092801</v>
      </c>
    </row>
    <row r="6619" spans="1:37" x14ac:dyDescent="0.2">
      <c r="A6619" t="str">
        <f>"20200111160349508"</f>
        <v>20200111160349508</v>
      </c>
      <c r="B6619" t="str">
        <f>"1578729829499667"</f>
        <v>1578729829499667</v>
      </c>
      <c r="C6619" t="s">
        <v>37</v>
      </c>
      <c r="D6619">
        <v>4.9860360000000004</v>
      </c>
      <c r="E6619">
        <v>0.6087205</v>
      </c>
      <c r="F6619" t="s">
        <v>38</v>
      </c>
      <c r="G6619">
        <v>-169.87379999999999</v>
      </c>
      <c r="H6619" s="1">
        <v>-1.435451E-6</v>
      </c>
      <c r="I6619">
        <v>134.3442</v>
      </c>
      <c r="J6619">
        <v>-177.77209999999999</v>
      </c>
      <c r="K6619">
        <v>1.096832</v>
      </c>
      <c r="L6619">
        <v>132.91</v>
      </c>
      <c r="M6619">
        <v>0.84690849999999995</v>
      </c>
      <c r="N6619">
        <v>0</v>
      </c>
      <c r="O6619">
        <v>0.53152500000000003</v>
      </c>
      <c r="P6619">
        <v>0.89209380000000005</v>
      </c>
      <c r="Q6619">
        <v>-2.301102E-2</v>
      </c>
      <c r="R6619">
        <v>0.45126379999999999</v>
      </c>
      <c r="S6619">
        <v>3.0682070000000001</v>
      </c>
      <c r="T6619">
        <v>-0.4163616</v>
      </c>
      <c r="U6619">
        <v>0.58328250000000004</v>
      </c>
      <c r="V6619">
        <v>9.1838240000000002E-2</v>
      </c>
      <c r="W6619">
        <v>-9.7004910000000003E-3</v>
      </c>
      <c r="X6619">
        <v>0.99572669999999996</v>
      </c>
      <c r="Y6619">
        <v>0.35676459999999999</v>
      </c>
      <c r="Z6619">
        <v>-9.1247469999999997E-2</v>
      </c>
      <c r="AA6619">
        <v>0.92972730000000003</v>
      </c>
      <c r="AB6619">
        <v>22</v>
      </c>
      <c r="AC6619">
        <v>7.8982999999999999</v>
      </c>
      <c r="AD6619">
        <v>-1.0968334354510001</v>
      </c>
      <c r="AE6619">
        <v>1.4341999999999999</v>
      </c>
      <c r="AF6619">
        <v>2.92916161402405</v>
      </c>
      <c r="AG6619">
        <v>-1.0968334354510001</v>
      </c>
      <c r="AH6619">
        <v>7.3157185689658704</v>
      </c>
      <c r="AI6619">
        <v>97.923868208412401</v>
      </c>
      <c r="AJ6619">
        <v>68.179187743447301</v>
      </c>
      <c r="AK6619">
        <v>7.95630376032158</v>
      </c>
    </row>
    <row r="6620" spans="1:37" x14ac:dyDescent="0.2">
      <c r="A6620" t="str">
        <f>"20200111160349531"</f>
        <v>20200111160349531</v>
      </c>
      <c r="B6620" t="str">
        <f>"1578729829520164"</f>
        <v>1578729829520164</v>
      </c>
      <c r="C6620" t="s">
        <v>37</v>
      </c>
      <c r="D6620">
        <v>4.9999159999999998</v>
      </c>
      <c r="E6620">
        <v>0.60798009999999902</v>
      </c>
      <c r="F6620" t="s">
        <v>38</v>
      </c>
      <c r="G6620">
        <v>-169.50370000000001</v>
      </c>
      <c r="H6620" s="1">
        <v>-1.5321769999999999E-6</v>
      </c>
      <c r="I6620">
        <v>134.51480000000001</v>
      </c>
      <c r="J6620">
        <v>-177.57740000000001</v>
      </c>
      <c r="K6620">
        <v>1.096841</v>
      </c>
      <c r="L6620">
        <v>133.01490000000001</v>
      </c>
      <c r="M6620">
        <v>0.85352680000000003</v>
      </c>
      <c r="N6620">
        <v>0</v>
      </c>
      <c r="O6620">
        <v>0.52083109999999999</v>
      </c>
      <c r="P6620">
        <v>0.89738439999999997</v>
      </c>
      <c r="Q6620">
        <v>-2.3410440000000001E-2</v>
      </c>
      <c r="R6620">
        <v>0.44062829999999897</v>
      </c>
      <c r="S6620">
        <v>3.05271899999999</v>
      </c>
      <c r="T6620">
        <v>-0.40495569999999997</v>
      </c>
      <c r="U6620">
        <v>0.59248350000000005</v>
      </c>
      <c r="V6620">
        <v>9.1137629999999997E-2</v>
      </c>
      <c r="W6620">
        <v>-1.0083780000000001E-2</v>
      </c>
      <c r="X6620">
        <v>0.99578729999999904</v>
      </c>
      <c r="Y6620">
        <v>0.34194600000000003</v>
      </c>
      <c r="Z6620">
        <v>-8.7020500000000001E-2</v>
      </c>
      <c r="AA6620">
        <v>0.93568180000000001</v>
      </c>
      <c r="AB6620">
        <v>22</v>
      </c>
      <c r="AC6620">
        <v>8.0737000000000005</v>
      </c>
      <c r="AD6620">
        <v>-1.0968425321769999</v>
      </c>
      <c r="AE6620">
        <v>1.49989999999999</v>
      </c>
      <c r="AF6620">
        <v>2.87388949810894</v>
      </c>
      <c r="AG6620">
        <v>-1.0968425321769999</v>
      </c>
      <c r="AH6620">
        <v>7.5386905617425501</v>
      </c>
      <c r="AI6620">
        <v>97.741973098468307</v>
      </c>
      <c r="AJ6620">
        <v>69.132220099317806</v>
      </c>
      <c r="AK6620">
        <v>8.1421225594705593</v>
      </c>
    </row>
    <row r="6621" spans="1:37" x14ac:dyDescent="0.2">
      <c r="A6621" t="str">
        <f>"20200111160349553"</f>
        <v>20200111160349553</v>
      </c>
      <c r="B6621" t="str">
        <f>"1578729829550420"</f>
        <v>1578729829550420</v>
      </c>
      <c r="C6621" t="s">
        <v>37</v>
      </c>
      <c r="D6621">
        <v>4.933319</v>
      </c>
      <c r="E6621">
        <v>0.60782320000000001</v>
      </c>
      <c r="F6621" t="s">
        <v>38</v>
      </c>
      <c r="G6621">
        <v>-169.26769999999999</v>
      </c>
      <c r="H6621" s="1">
        <v>-1.6161689999999899E-6</v>
      </c>
      <c r="I6621">
        <v>134.53970000000001</v>
      </c>
      <c r="J6621">
        <v>-177.37610000000001</v>
      </c>
      <c r="K6621">
        <v>1.096851</v>
      </c>
      <c r="L6621">
        <v>133.1199</v>
      </c>
      <c r="M6621">
        <v>0.86019539999999906</v>
      </c>
      <c r="N6621">
        <v>0</v>
      </c>
      <c r="O6621">
        <v>0.50974189999999997</v>
      </c>
      <c r="P6621">
        <v>0.9030243</v>
      </c>
      <c r="Q6621">
        <v>-2.3031909999999999E-2</v>
      </c>
      <c r="R6621">
        <v>0.42897200000000002</v>
      </c>
      <c r="S6621">
        <v>3.0570979999999999</v>
      </c>
      <c r="T6621">
        <v>-0.40352349999999998</v>
      </c>
      <c r="U6621">
        <v>0.56097410000000003</v>
      </c>
      <c r="V6621">
        <v>9.1156680000000004E-2</v>
      </c>
      <c r="W6621">
        <v>-9.7031189999999996E-3</v>
      </c>
      <c r="X6621">
        <v>0.99578929999999999</v>
      </c>
      <c r="Y6621">
        <v>0.33951039999999999</v>
      </c>
      <c r="Z6621">
        <v>-8.5331889999999994E-2</v>
      </c>
      <c r="AA6621">
        <v>0.93672359999999899</v>
      </c>
      <c r="AB6621">
        <v>22</v>
      </c>
      <c r="AC6621">
        <v>8.1084000000000103</v>
      </c>
      <c r="AD6621">
        <v>-1.096852616169</v>
      </c>
      <c r="AE6621">
        <v>1.4198</v>
      </c>
      <c r="AF6621">
        <v>2.86141325353179</v>
      </c>
      <c r="AG6621">
        <v>-1.096852616169</v>
      </c>
      <c r="AH6621">
        <v>7.5650989623298504</v>
      </c>
      <c r="AI6621">
        <v>97.722885328281507</v>
      </c>
      <c r="AJ6621">
        <v>69.281441773960907</v>
      </c>
      <c r="AK6621">
        <v>8.1621990773889106</v>
      </c>
    </row>
    <row r="6622" spans="1:37" x14ac:dyDescent="0.2">
      <c r="A6622" t="str">
        <f>"20200111160349576"</f>
        <v>20200111160349576</v>
      </c>
      <c r="B6622" t="str">
        <f>"1578729829569939"</f>
        <v>1578729829569939</v>
      </c>
      <c r="C6622" t="s">
        <v>37</v>
      </c>
      <c r="D6622">
        <v>4.9426550000000002</v>
      </c>
      <c r="E6622">
        <v>0.60820339999999995</v>
      </c>
      <c r="F6622" t="s">
        <v>38</v>
      </c>
      <c r="G6622">
        <v>-169.0283</v>
      </c>
      <c r="H6622" s="1">
        <v>-1.70714E-6</v>
      </c>
      <c r="I6622">
        <v>134.54329999999999</v>
      </c>
      <c r="J6622">
        <v>-177.17400000000001</v>
      </c>
      <c r="K6622">
        <v>1.096865</v>
      </c>
      <c r="L6622">
        <v>133.22210000000001</v>
      </c>
      <c r="M6622">
        <v>0.86671430000000005</v>
      </c>
      <c r="N6622">
        <v>0</v>
      </c>
      <c r="O6622">
        <v>0.4985771</v>
      </c>
      <c r="P6622">
        <v>0.90832199999999996</v>
      </c>
      <c r="Q6622">
        <v>-2.2292929999999999E-2</v>
      </c>
      <c r="R6622">
        <v>0.41767729999999997</v>
      </c>
      <c r="S6622">
        <v>3.0637509999999999</v>
      </c>
      <c r="T6622">
        <v>-0.40256140000000001</v>
      </c>
      <c r="U6622">
        <v>0.52239990000000003</v>
      </c>
      <c r="V6622">
        <v>9.0722769999999994E-2</v>
      </c>
      <c r="W6622">
        <v>-8.9529359999999999E-3</v>
      </c>
      <c r="X6622">
        <v>0.99583600000000005</v>
      </c>
      <c r="Y6622">
        <v>0.339283</v>
      </c>
      <c r="Z6622">
        <v>-8.3832229999999994E-2</v>
      </c>
      <c r="AA6622">
        <v>0.93694140000000004</v>
      </c>
      <c r="AB6622">
        <v>22</v>
      </c>
      <c r="AC6622">
        <v>8.1456999999999997</v>
      </c>
      <c r="AD6622">
        <v>-1.09686670714</v>
      </c>
      <c r="AE6622">
        <v>1.32119999999997</v>
      </c>
      <c r="AF6622">
        <v>2.8658555773632499</v>
      </c>
      <c r="AG6622">
        <v>-1.09686670714</v>
      </c>
      <c r="AH6622">
        <v>7.5855741282845397</v>
      </c>
      <c r="AI6622">
        <v>97.703483656342797</v>
      </c>
      <c r="AJ6622">
        <v>69.303265366918495</v>
      </c>
      <c r="AK6622">
        <v>8.1827366827508303</v>
      </c>
    </row>
    <row r="6623" spans="1:37" x14ac:dyDescent="0.2">
      <c r="A6623" t="str">
        <f>"20200111160349598"</f>
        <v>20200111160349598</v>
      </c>
      <c r="B6623" t="str">
        <f>"1578729829590436"</f>
        <v>1578729829590436</v>
      </c>
      <c r="C6623" t="s">
        <v>37</v>
      </c>
      <c r="D6623">
        <v>4.9281480000000002</v>
      </c>
      <c r="E6623">
        <v>0.60863519999999904</v>
      </c>
      <c r="F6623" t="s">
        <v>38</v>
      </c>
      <c r="G6623">
        <v>-168.4761</v>
      </c>
      <c r="H6623" s="1">
        <v>-1.9084729999999999E-6</v>
      </c>
      <c r="I6623">
        <v>134.58369999999999</v>
      </c>
      <c r="J6623">
        <v>-176.98089999999999</v>
      </c>
      <c r="K6623">
        <v>1.0968770000000001</v>
      </c>
      <c r="L6623">
        <v>133.3167</v>
      </c>
      <c r="M6623">
        <v>0.87277640000000001</v>
      </c>
      <c r="N6623">
        <v>0</v>
      </c>
      <c r="O6623">
        <v>0.48788739999999903</v>
      </c>
      <c r="P6623">
        <v>0.91327209999999903</v>
      </c>
      <c r="Q6623">
        <v>-2.1404719999999999E-2</v>
      </c>
      <c r="R6623">
        <v>0.40678750000000002</v>
      </c>
      <c r="S6623">
        <v>3.07214399999999</v>
      </c>
      <c r="T6623">
        <v>-0.38741920000000002</v>
      </c>
      <c r="U6623">
        <v>0.48092649999999998</v>
      </c>
      <c r="V6623">
        <v>9.0417189999999995E-2</v>
      </c>
      <c r="W6623">
        <v>-8.0563030000000008E-3</v>
      </c>
      <c r="X6623">
        <v>0.99587139999999996</v>
      </c>
      <c r="Y6623">
        <v>0.34103739999999999</v>
      </c>
      <c r="Z6623">
        <v>-7.9577699999999904E-2</v>
      </c>
      <c r="AA6623">
        <v>0.93667540000000005</v>
      </c>
      <c r="AB6623">
        <v>22</v>
      </c>
      <c r="AC6623">
        <v>8.5047999999999799</v>
      </c>
      <c r="AD6623">
        <v>-1.096878908473</v>
      </c>
      <c r="AE6623">
        <v>1.2669999999999899</v>
      </c>
      <c r="AF6623">
        <v>2.9951836063905701</v>
      </c>
      <c r="AG6623">
        <v>-1.096878908473</v>
      </c>
      <c r="AH6623">
        <v>7.9130895538747499</v>
      </c>
      <c r="AI6623">
        <v>97.386614246758697</v>
      </c>
      <c r="AJ6623">
        <v>69.267844033336999</v>
      </c>
      <c r="AK6623">
        <v>8.5317790913434592</v>
      </c>
    </row>
    <row r="6624" spans="1:37" x14ac:dyDescent="0.2">
      <c r="A6624" t="str">
        <f>"20200111160349620"</f>
        <v>20200111160349620</v>
      </c>
      <c r="B6624" t="str">
        <f>"1578729829609956"</f>
        <v>1578729829609956</v>
      </c>
      <c r="C6624" t="s">
        <v>37</v>
      </c>
      <c r="D6624">
        <v>4.9037680000000003</v>
      </c>
      <c r="E6624">
        <v>0.60832489999999995</v>
      </c>
      <c r="F6624" t="s">
        <v>38</v>
      </c>
      <c r="G6624">
        <v>-168.07509999999999</v>
      </c>
      <c r="H6624" s="1">
        <v>-2.0604549999999998E-6</v>
      </c>
      <c r="I6624">
        <v>134.59119999999999</v>
      </c>
      <c r="J6624">
        <v>-176.7775</v>
      </c>
      <c r="K6624">
        <v>1.0968929999999999</v>
      </c>
      <c r="L6624">
        <v>133.41319999999999</v>
      </c>
      <c r="M6624">
        <v>0.87899319999999903</v>
      </c>
      <c r="N6624">
        <v>0</v>
      </c>
      <c r="O6624">
        <v>0.47659629999999997</v>
      </c>
      <c r="P6624">
        <v>0.9182283</v>
      </c>
      <c r="Q6624">
        <v>-2.0833540000000001E-2</v>
      </c>
      <c r="R6624">
        <v>0.3955033</v>
      </c>
      <c r="S6624">
        <v>3.0796809999999999</v>
      </c>
      <c r="T6624">
        <v>-0.37930759999999902</v>
      </c>
      <c r="U6624">
        <v>0.44073489999999999</v>
      </c>
      <c r="V6624">
        <v>8.9867820000000001E-2</v>
      </c>
      <c r="W6624">
        <v>-7.472238E-3</v>
      </c>
      <c r="X6624">
        <v>0.99592569999999903</v>
      </c>
      <c r="Y6624">
        <v>0.34157290000000001</v>
      </c>
      <c r="Z6624">
        <v>-7.6683500000000002E-2</v>
      </c>
      <c r="AA6624">
        <v>0.93672169999999899</v>
      </c>
      <c r="AB6624">
        <v>22</v>
      </c>
      <c r="AC6624">
        <v>8.7024000000000097</v>
      </c>
      <c r="AD6624">
        <v>-1.0968950604549901</v>
      </c>
      <c r="AE6624">
        <v>1.1779999999999899</v>
      </c>
      <c r="AF6624">
        <v>3.0646181820124498</v>
      </c>
      <c r="AG6624">
        <v>-1.0968950604549901</v>
      </c>
      <c r="AH6624">
        <v>8.0855657041057594</v>
      </c>
      <c r="AI6624">
        <v>97.2296221374135</v>
      </c>
      <c r="AJ6624">
        <v>69.242122119625705</v>
      </c>
      <c r="AK6624">
        <v>8.7161594828561402</v>
      </c>
    </row>
    <row r="6625" spans="1:37" x14ac:dyDescent="0.2">
      <c r="A6625" t="str">
        <f>"20200111160349643"</f>
        <v>20200111160349643</v>
      </c>
      <c r="B6625" t="str">
        <f>"1578729829640212"</f>
        <v>1578729829640212</v>
      </c>
      <c r="C6625" t="s">
        <v>37</v>
      </c>
      <c r="D6625">
        <v>4.9034300000000002</v>
      </c>
      <c r="E6625">
        <v>0.60778559999999904</v>
      </c>
      <c r="F6625" t="s">
        <v>38</v>
      </c>
      <c r="G6625">
        <v>-167.70529999999999</v>
      </c>
      <c r="H6625" s="1">
        <v>-2.1991540000000001E-6</v>
      </c>
      <c r="I6625">
        <v>134.6036</v>
      </c>
      <c r="J6625">
        <v>-176.57429999999999</v>
      </c>
      <c r="K6625">
        <v>1.096919</v>
      </c>
      <c r="L6625">
        <v>133.50640000000001</v>
      </c>
      <c r="M6625">
        <v>0.88503019999999999</v>
      </c>
      <c r="N6625">
        <v>0</v>
      </c>
      <c r="O6625">
        <v>0.46528989999999998</v>
      </c>
      <c r="P6625">
        <v>0.92286900000000005</v>
      </c>
      <c r="Q6625">
        <v>-2.0305179999999999E-2</v>
      </c>
      <c r="R6625">
        <v>0.38457849999999999</v>
      </c>
      <c r="S6625">
        <v>3.084381</v>
      </c>
      <c r="T6625">
        <v>-0.37292649999999999</v>
      </c>
      <c r="U6625">
        <v>0.40472409999999998</v>
      </c>
      <c r="V6625">
        <v>8.8936490000000007E-2</v>
      </c>
      <c r="W6625">
        <v>-6.9236050000000002E-3</v>
      </c>
      <c r="X6625">
        <v>0.99601319999999904</v>
      </c>
      <c r="Y6625">
        <v>0.34074769999999999</v>
      </c>
      <c r="Z6625">
        <v>-7.4140289999999998E-2</v>
      </c>
      <c r="AA6625">
        <v>0.93722689999999997</v>
      </c>
      <c r="AB6625">
        <v>22</v>
      </c>
      <c r="AC6625">
        <v>8.8689999999999998</v>
      </c>
      <c r="AD6625">
        <v>-1.096921199154</v>
      </c>
      <c r="AE6625">
        <v>1.09719999999998</v>
      </c>
      <c r="AF6625">
        <v>3.1091162538912198</v>
      </c>
      <c r="AG6625">
        <v>-1.096921199154</v>
      </c>
      <c r="AH6625">
        <v>8.2367011118816098</v>
      </c>
      <c r="AI6625">
        <v>97.102108655889893</v>
      </c>
      <c r="AJ6625">
        <v>69.319929931988099</v>
      </c>
      <c r="AK6625">
        <v>8.8720395177115705</v>
      </c>
    </row>
    <row r="6626" spans="1:37" x14ac:dyDescent="0.2">
      <c r="A6626" t="str">
        <f>"20200111160349665"</f>
        <v>20200111160349665</v>
      </c>
      <c r="B6626" t="str">
        <f>"1578729829659731"</f>
        <v>1578729829659731</v>
      </c>
      <c r="C6626" t="s">
        <v>37</v>
      </c>
      <c r="D6626">
        <v>4.8963099999999997</v>
      </c>
      <c r="E6626">
        <v>0.60715600000000003</v>
      </c>
      <c r="F6626" t="s">
        <v>38</v>
      </c>
      <c r="G6626">
        <v>-167.35589999999999</v>
      </c>
      <c r="H6626" s="1">
        <v>-2.3297689999999999E-6</v>
      </c>
      <c r="I6626">
        <v>134.61699999999999</v>
      </c>
      <c r="J6626">
        <v>-176.3674</v>
      </c>
      <c r="K6626">
        <v>1.09694</v>
      </c>
      <c r="L6626">
        <v>133.59809999999999</v>
      </c>
      <c r="M6626">
        <v>0.89099660000000003</v>
      </c>
      <c r="N6626">
        <v>0</v>
      </c>
      <c r="O6626">
        <v>0.45375979999999999</v>
      </c>
      <c r="P6626">
        <v>0.92760509999999996</v>
      </c>
      <c r="Q6626">
        <v>-1.942381E-2</v>
      </c>
      <c r="R6626">
        <v>0.37305670000000002</v>
      </c>
      <c r="S6626">
        <v>3.0876619999999999</v>
      </c>
      <c r="T6626">
        <v>-0.3674114</v>
      </c>
      <c r="U6626">
        <v>0.37199399999999999</v>
      </c>
      <c r="V6626">
        <v>8.8432650000000002E-2</v>
      </c>
      <c r="W6626">
        <v>-6.0303140000000002E-3</v>
      </c>
      <c r="X6626">
        <v>0.9960639</v>
      </c>
      <c r="Y6626">
        <v>0.33871079999999998</v>
      </c>
      <c r="Z6626">
        <v>-7.1722389999999997E-2</v>
      </c>
      <c r="AA6626">
        <v>0.93815289999999996</v>
      </c>
      <c r="AB6626">
        <v>22</v>
      </c>
      <c r="AC6626">
        <v>9.0115000000000105</v>
      </c>
      <c r="AD6626">
        <v>-1.096942329769</v>
      </c>
      <c r="AE6626">
        <v>1.0189000000000299</v>
      </c>
      <c r="AF6626">
        <v>3.1357046442671299</v>
      </c>
      <c r="AG6626">
        <v>-1.096942329769</v>
      </c>
      <c r="AH6626">
        <v>8.3700587046936299</v>
      </c>
      <c r="AI6626">
        <v>96.996687738588307</v>
      </c>
      <c r="AJ6626">
        <v>69.462365455788202</v>
      </c>
      <c r="AK6626">
        <v>9.0052100925483796</v>
      </c>
    </row>
    <row r="6627" spans="1:37" x14ac:dyDescent="0.2">
      <c r="A6627" t="str">
        <f>"20200111160349687"</f>
        <v>20200111160349687</v>
      </c>
      <c r="B6627" t="str">
        <f>"1578729829680228"</f>
        <v>1578729829680228</v>
      </c>
      <c r="C6627" t="s">
        <v>37</v>
      </c>
      <c r="D6627">
        <v>4.9211900000000002</v>
      </c>
      <c r="E6627">
        <v>0.60620750000000001</v>
      </c>
      <c r="F6627" t="s">
        <v>38</v>
      </c>
      <c r="G6627">
        <v>-167.01410000000001</v>
      </c>
      <c r="H6627" s="1">
        <v>-2.45970999999999E-6</v>
      </c>
      <c r="I6627">
        <v>134.62209999999999</v>
      </c>
      <c r="J6627">
        <v>-176.17529999999999</v>
      </c>
      <c r="K6627">
        <v>1.0969640000000001</v>
      </c>
      <c r="L6627">
        <v>133.68039999999999</v>
      </c>
      <c r="M6627">
        <v>0.89637619999999896</v>
      </c>
      <c r="N6627">
        <v>0</v>
      </c>
      <c r="O6627">
        <v>0.44303819999999999</v>
      </c>
      <c r="P6627">
        <v>0.93195329999999998</v>
      </c>
      <c r="Q6627">
        <v>-1.8792989999999999E-2</v>
      </c>
      <c r="R6627">
        <v>0.362091099999999</v>
      </c>
      <c r="S6627">
        <v>3.0904689999999899</v>
      </c>
      <c r="T6627">
        <v>-0.36244460000000001</v>
      </c>
      <c r="U6627">
        <v>0.3383179</v>
      </c>
      <c r="V6627">
        <v>8.824775E-2</v>
      </c>
      <c r="W6627">
        <v>-5.3943369999999999E-3</v>
      </c>
      <c r="X6627">
        <v>0.99608399999999997</v>
      </c>
      <c r="Y6627">
        <v>0.33783920000000001</v>
      </c>
      <c r="Z6627">
        <v>-6.9599309999999998E-2</v>
      </c>
      <c r="AA6627">
        <v>0.93862699999999999</v>
      </c>
      <c r="AB6627">
        <v>22</v>
      </c>
      <c r="AC6627">
        <v>9.1611999999999796</v>
      </c>
      <c r="AD6627">
        <v>-1.09696645971</v>
      </c>
      <c r="AE6627">
        <v>0.94169999999999698</v>
      </c>
      <c r="AF6627">
        <v>3.1700327804140702</v>
      </c>
      <c r="AG6627">
        <v>-1.09696645971</v>
      </c>
      <c r="AH6627">
        <v>8.50934027770972</v>
      </c>
      <c r="AI6627">
        <v>96.888113244272503</v>
      </c>
      <c r="AJ6627">
        <v>69.567842985921004</v>
      </c>
      <c r="AK6627">
        <v>9.1466559574787407</v>
      </c>
    </row>
    <row r="6628" spans="1:37" x14ac:dyDescent="0.2">
      <c r="A6628" t="str">
        <f>"20200111160349710"</f>
        <v>20200111160349710</v>
      </c>
      <c r="B6628" t="str">
        <f>"1578729829699748"</f>
        <v>1578729829699748</v>
      </c>
      <c r="C6628" t="s">
        <v>37</v>
      </c>
      <c r="D6628">
        <v>4.9236110000000002</v>
      </c>
      <c r="E6628">
        <v>0.60531250000000003</v>
      </c>
      <c r="F6628" t="s">
        <v>38</v>
      </c>
      <c r="G6628">
        <v>-166.81610000000001</v>
      </c>
      <c r="H6628" s="1">
        <v>-2.537136E-6</v>
      </c>
      <c r="I6628">
        <v>134.61670000000001</v>
      </c>
      <c r="J6628">
        <v>-175.96729999999999</v>
      </c>
      <c r="K6628">
        <v>1.0969959999999901</v>
      </c>
      <c r="L6628">
        <v>133.7664</v>
      </c>
      <c r="M6628">
        <v>0.90203099999999903</v>
      </c>
      <c r="N6628">
        <v>0</v>
      </c>
      <c r="O6628">
        <v>0.43140859999999898</v>
      </c>
      <c r="P6628">
        <v>0.9363302</v>
      </c>
      <c r="Q6628">
        <v>-1.8419000000000001E-2</v>
      </c>
      <c r="R6628">
        <v>0.35063749999999999</v>
      </c>
      <c r="S6628">
        <v>3.0915680000000001</v>
      </c>
      <c r="T6628">
        <v>-0.36235339999999999</v>
      </c>
      <c r="U6628">
        <v>0.3093109</v>
      </c>
      <c r="V6628">
        <v>8.7588529999999998E-2</v>
      </c>
      <c r="W6628">
        <v>-5.0064059999999997E-3</v>
      </c>
      <c r="X6628">
        <v>0.99614419999999904</v>
      </c>
      <c r="Y6628">
        <v>0.33451839999999999</v>
      </c>
      <c r="Z6628">
        <v>-6.8198759999999997E-2</v>
      </c>
      <c r="AA6628">
        <v>0.93991829999999998</v>
      </c>
      <c r="AB6628">
        <v>22</v>
      </c>
      <c r="AC6628">
        <v>9.1511999999999798</v>
      </c>
      <c r="AD6628">
        <v>-1.09699853713599</v>
      </c>
      <c r="AE6628">
        <v>0.85030000000000405</v>
      </c>
      <c r="AF6628">
        <v>3.1365832137649301</v>
      </c>
      <c r="AG6628">
        <v>-1.09699853713599</v>
      </c>
      <c r="AH6628">
        <v>8.5013516818235892</v>
      </c>
      <c r="AI6628">
        <v>96.902705767024798</v>
      </c>
      <c r="AJ6628">
        <v>69.748404268633493</v>
      </c>
      <c r="AK6628">
        <v>9.1276799059451701</v>
      </c>
    </row>
    <row r="6629" spans="1:37" x14ac:dyDescent="0.2">
      <c r="A6629" t="str">
        <f>"20200111160349732"</f>
        <v>20200111160349732</v>
      </c>
      <c r="B6629" t="str">
        <f>"1578729829730004"</f>
        <v>1578729829730004</v>
      </c>
      <c r="C6629" t="s">
        <v>37</v>
      </c>
      <c r="D6629">
        <v>4.9562470000000003</v>
      </c>
      <c r="E6629">
        <v>0.60394820000000005</v>
      </c>
      <c r="F6629" t="s">
        <v>38</v>
      </c>
      <c r="G6629">
        <v>-166.53659999999999</v>
      </c>
      <c r="H6629" s="1">
        <v>-2.6452850000000001E-6</v>
      </c>
      <c r="I6629">
        <v>134.6138</v>
      </c>
      <c r="J6629">
        <v>-175.76429999999999</v>
      </c>
      <c r="K6629">
        <v>1.0970279999999999</v>
      </c>
      <c r="L6629">
        <v>133.84719999999999</v>
      </c>
      <c r="M6629">
        <v>0.90737380000000001</v>
      </c>
      <c r="N6629">
        <v>0</v>
      </c>
      <c r="O6629">
        <v>0.42005509999999902</v>
      </c>
      <c r="P6629">
        <v>0.94023969999999901</v>
      </c>
      <c r="Q6629">
        <v>-1.7751490000000002E-2</v>
      </c>
      <c r="R6629">
        <v>0.34005039999999997</v>
      </c>
      <c r="S6629">
        <v>3.0928650000000002</v>
      </c>
      <c r="T6629">
        <v>-0.3597687</v>
      </c>
      <c r="U6629">
        <v>0.27787779999999901</v>
      </c>
      <c r="V6629">
        <v>8.6345610000000003E-2</v>
      </c>
      <c r="W6629">
        <v>-4.3139090000000003E-3</v>
      </c>
      <c r="X6629">
        <v>0.99625589999999997</v>
      </c>
      <c r="Y6629">
        <v>0.33236259999999901</v>
      </c>
      <c r="Z6629">
        <v>-6.6425609999999996E-2</v>
      </c>
      <c r="AA6629">
        <v>0.94080959999999902</v>
      </c>
      <c r="AB6629">
        <v>22</v>
      </c>
      <c r="AC6629">
        <v>9.2277000000000005</v>
      </c>
      <c r="AD6629">
        <v>-1.0970306452850001</v>
      </c>
      <c r="AE6629">
        <v>0.76660000000001105</v>
      </c>
      <c r="AF6629">
        <v>3.13687867381429</v>
      </c>
      <c r="AG6629">
        <v>-1.0970306452850001</v>
      </c>
      <c r="AH6629">
        <v>8.5755996168950404</v>
      </c>
      <c r="AI6629">
        <v>96.850646441524006</v>
      </c>
      <c r="AJ6629">
        <v>69.907926216552298</v>
      </c>
      <c r="AK6629">
        <v>9.1969773752149493</v>
      </c>
    </row>
    <row r="6630" spans="1:37" x14ac:dyDescent="0.2">
      <c r="A6630" t="str">
        <f>"20200111160349755"</f>
        <v>20200111160349755</v>
      </c>
      <c r="B6630" t="str">
        <f>"1578729829750500"</f>
        <v>1578729829750500</v>
      </c>
      <c r="C6630" t="s">
        <v>37</v>
      </c>
      <c r="D6630">
        <v>4.976248</v>
      </c>
      <c r="E6630">
        <v>0.60344379999999997</v>
      </c>
      <c r="F6630" t="s">
        <v>38</v>
      </c>
      <c r="G6630">
        <v>-166.27510000000001</v>
      </c>
      <c r="H6630" s="1">
        <v>-2.74316599999999E-6</v>
      </c>
      <c r="I6630">
        <v>134.6233</v>
      </c>
      <c r="J6630">
        <v>-175.55099999999999</v>
      </c>
      <c r="K6630">
        <v>1.0970610000000001</v>
      </c>
      <c r="L6630">
        <v>133.9289</v>
      </c>
      <c r="M6630">
        <v>0.91280879999999998</v>
      </c>
      <c r="N6630">
        <v>0</v>
      </c>
      <c r="O6630">
        <v>0.40810980000000002</v>
      </c>
      <c r="P6630">
        <v>0.94391480000000005</v>
      </c>
      <c r="Q6630">
        <v>-1.690579E-2</v>
      </c>
      <c r="R6630">
        <v>0.3297561</v>
      </c>
      <c r="S6630">
        <v>3.0924680000000002</v>
      </c>
      <c r="T6630">
        <v>-0.35751300000000003</v>
      </c>
      <c r="U6630">
        <v>0.25292969999999998</v>
      </c>
      <c r="V6630">
        <v>8.4178119999999995E-2</v>
      </c>
      <c r="W6630">
        <v>-3.4257409999999999E-3</v>
      </c>
      <c r="X6630">
        <v>0.99644480000000002</v>
      </c>
      <c r="Y6630">
        <v>0.32767489999999999</v>
      </c>
      <c r="Z6630">
        <v>-6.4533640000000003E-2</v>
      </c>
      <c r="AA6630">
        <v>0.94258399999999998</v>
      </c>
      <c r="AB6630">
        <v>21</v>
      </c>
      <c r="AC6630">
        <v>9.2758999999999805</v>
      </c>
      <c r="AD6630">
        <v>-1.097063743166</v>
      </c>
      <c r="AE6630">
        <v>0.69440000000000102</v>
      </c>
      <c r="AF6630">
        <v>3.1088444637952799</v>
      </c>
      <c r="AG6630">
        <v>-1.097063743166</v>
      </c>
      <c r="AH6630">
        <v>8.6314430314641708</v>
      </c>
      <c r="AI6630">
        <v>96.819097904236997</v>
      </c>
      <c r="AJ6630">
        <v>70.192162736064404</v>
      </c>
      <c r="AK6630">
        <v>9.2396034309948298</v>
      </c>
    </row>
    <row r="6631" spans="1:37" x14ac:dyDescent="0.2">
      <c r="A6631" t="str">
        <f>"20200111160349776"</f>
        <v>20200111160349776</v>
      </c>
      <c r="B6631" t="str">
        <f>"1578729829770020"</f>
        <v>1578729829770020</v>
      </c>
      <c r="C6631" t="s">
        <v>37</v>
      </c>
      <c r="D6631">
        <v>4.8997449999999896</v>
      </c>
      <c r="E6631">
        <v>0.59224909999999997</v>
      </c>
      <c r="F6631" t="s">
        <v>38</v>
      </c>
      <c r="G6631">
        <v>-165.96510000000001</v>
      </c>
      <c r="H6631" s="1">
        <v>-2.8632889999999899E-6</v>
      </c>
      <c r="I6631">
        <v>134.6191</v>
      </c>
      <c r="J6631">
        <v>-175.34799999999899</v>
      </c>
      <c r="K6631">
        <v>1.097092</v>
      </c>
      <c r="L6631">
        <v>134.00380000000001</v>
      </c>
      <c r="M6631">
        <v>0.91781190000000001</v>
      </c>
      <c r="N6631">
        <v>0</v>
      </c>
      <c r="O6631">
        <v>0.39673049999999999</v>
      </c>
      <c r="P6631">
        <v>0.94680509999999996</v>
      </c>
      <c r="Q6631">
        <v>-1.6418550000000001E-2</v>
      </c>
      <c r="R6631">
        <v>0.32138850000000002</v>
      </c>
      <c r="S6631">
        <v>3.0940699999999999</v>
      </c>
      <c r="T6631">
        <v>-0.35410359999999902</v>
      </c>
      <c r="U6631">
        <v>0.22279360000000001</v>
      </c>
      <c r="V6631">
        <v>8.0622860000000005E-2</v>
      </c>
      <c r="W6631">
        <v>-2.8701600000000001E-3</v>
      </c>
      <c r="X6631">
        <v>0.99674050000000003</v>
      </c>
      <c r="Y6631">
        <v>0.32528000000000001</v>
      </c>
      <c r="Z6631">
        <v>-6.2603290000000006E-2</v>
      </c>
      <c r="AA6631">
        <v>0.94354319999999903</v>
      </c>
      <c r="AB6631">
        <v>21</v>
      </c>
      <c r="AC6631">
        <v>9.3828999999999692</v>
      </c>
      <c r="AD6631">
        <v>-1.0970948632889901</v>
      </c>
      <c r="AE6631">
        <v>0.61529999999998997</v>
      </c>
      <c r="AF6631">
        <v>3.1156965316443599</v>
      </c>
      <c r="AG6631">
        <v>-1.0970948632889901</v>
      </c>
      <c r="AH6631">
        <v>8.7378993047540092</v>
      </c>
      <c r="AI6631">
        <v>96.744620776367</v>
      </c>
      <c r="AJ6631">
        <v>70.375152269198196</v>
      </c>
      <c r="AK6631">
        <v>9.3414167167714108</v>
      </c>
    </row>
    <row r="6632" spans="1:37" x14ac:dyDescent="0.2">
      <c r="A6632" t="str">
        <f>"20200111160349800"</f>
        <v>20200111160349800</v>
      </c>
      <c r="B6632" t="str">
        <f>"1578729829789540"</f>
        <v>1578729829789540</v>
      </c>
      <c r="C6632" t="s">
        <v>37</v>
      </c>
      <c r="D6632">
        <v>4.9575399999999998</v>
      </c>
      <c r="E6632">
        <v>0.59185359999999998</v>
      </c>
      <c r="F6632" t="s">
        <v>38</v>
      </c>
      <c r="G6632">
        <v>-165.42150000000001</v>
      </c>
      <c r="H6632" s="1">
        <v>-2.9951159999999999E-6</v>
      </c>
      <c r="I6632">
        <v>134.9083</v>
      </c>
      <c r="J6632">
        <v>-175.14230000000001</v>
      </c>
      <c r="K6632">
        <v>1.0971280000000001</v>
      </c>
      <c r="L6632">
        <v>134.07679999999999</v>
      </c>
      <c r="M6632">
        <v>0.92271479999999995</v>
      </c>
      <c r="N6632">
        <v>0</v>
      </c>
      <c r="O6632">
        <v>0.38519009999999998</v>
      </c>
      <c r="P6632">
        <v>0.94918499999999995</v>
      </c>
      <c r="Q6632">
        <v>-1.539358E-2</v>
      </c>
      <c r="R6632">
        <v>0.31434209999999901</v>
      </c>
      <c r="S6632">
        <v>3.0677639999999999</v>
      </c>
      <c r="T6632">
        <v>-0.33905429999999998</v>
      </c>
      <c r="U6632">
        <v>0.27954099999999998</v>
      </c>
      <c r="V6632">
        <v>7.5557869999999999E-2</v>
      </c>
      <c r="W6632">
        <v>-1.748882E-3</v>
      </c>
      <c r="X6632">
        <v>0.99713989999999997</v>
      </c>
      <c r="Y6632">
        <v>0.29591770000000001</v>
      </c>
      <c r="Z6632">
        <v>-5.7594560000000003E-2</v>
      </c>
      <c r="AA6632">
        <v>0.95347549999999903</v>
      </c>
      <c r="AB6632">
        <v>21</v>
      </c>
      <c r="AC6632">
        <v>9.7207999999999899</v>
      </c>
      <c r="AD6632">
        <v>-1.097130995116</v>
      </c>
      <c r="AE6632">
        <v>0.83150000000000501</v>
      </c>
      <c r="AF6632">
        <v>2.9402728649741898</v>
      </c>
      <c r="AG6632">
        <v>-1.097130995116</v>
      </c>
      <c r="AH6632">
        <v>9.1748381307710893</v>
      </c>
      <c r="AI6632">
        <v>96.496610787960705</v>
      </c>
      <c r="AJ6632">
        <v>72.230833351703595</v>
      </c>
      <c r="AK6632">
        <v>9.6967291220699199</v>
      </c>
    </row>
    <row r="6633" spans="1:37" x14ac:dyDescent="0.2">
      <c r="A6633" t="str">
        <f>"20200111160349821"</f>
        <v>20200111160349821</v>
      </c>
      <c r="B6633" t="str">
        <f>"1578729829810036"</f>
        <v>1578729829810036</v>
      </c>
      <c r="C6633" t="s">
        <v>37</v>
      </c>
      <c r="D6633">
        <v>4.9030620000000003</v>
      </c>
      <c r="E6633">
        <v>0.59145400000000004</v>
      </c>
      <c r="F6633" t="s">
        <v>38</v>
      </c>
      <c r="G6633">
        <v>-165.07050000000001</v>
      </c>
      <c r="H6633" s="1">
        <v>-3.142217E-6</v>
      </c>
      <c r="I6633">
        <v>134.92850000000001</v>
      </c>
      <c r="J6633">
        <v>-174.93870000000001</v>
      </c>
      <c r="K6633">
        <v>1.097162</v>
      </c>
      <c r="L6633">
        <v>134.14619999999999</v>
      </c>
      <c r="M6633">
        <v>0.92740370000000005</v>
      </c>
      <c r="N6633">
        <v>0</v>
      </c>
      <c r="O6633">
        <v>0.37375979999999998</v>
      </c>
      <c r="P6633">
        <v>0.95137439999999995</v>
      </c>
      <c r="Q6633">
        <v>-1.182823E-2</v>
      </c>
      <c r="R6633">
        <v>0.30781019999999998</v>
      </c>
      <c r="S6633">
        <v>3.0692439999999999</v>
      </c>
      <c r="T6633">
        <v>-0.33433570000000001</v>
      </c>
      <c r="U6633">
        <v>0.259552</v>
      </c>
      <c r="V6633">
        <v>7.0174260000000002E-2</v>
      </c>
      <c r="W6633">
        <v>1.91814E-3</v>
      </c>
      <c r="X6633">
        <v>0.99753289999999994</v>
      </c>
      <c r="Y6633">
        <v>0.2905276</v>
      </c>
      <c r="Z6633">
        <v>-5.5353979999999997E-2</v>
      </c>
      <c r="AA6633">
        <v>0.95526420000000001</v>
      </c>
      <c r="AB6633">
        <v>21</v>
      </c>
      <c r="AC6633">
        <v>9.8681999999999999</v>
      </c>
      <c r="AD6633">
        <v>-1.0971651422169999</v>
      </c>
      <c r="AE6633">
        <v>0.78230000000001998</v>
      </c>
      <c r="AF6633">
        <v>2.9272049751113198</v>
      </c>
      <c r="AG6633">
        <v>-1.0971651422169999</v>
      </c>
      <c r="AH6633">
        <v>9.3306451762559792</v>
      </c>
      <c r="AI6633">
        <v>96.401567750244993</v>
      </c>
      <c r="AJ6633">
        <v>72.582343704230993</v>
      </c>
      <c r="AK6633">
        <v>9.84038818953813</v>
      </c>
    </row>
    <row r="6634" spans="1:37" x14ac:dyDescent="0.2">
      <c r="A6634" t="str">
        <f>"20200111160349845"</f>
        <v>20200111160349845</v>
      </c>
      <c r="B6634" t="str">
        <f>"1578729829840293"</f>
        <v>1578729829840293</v>
      </c>
      <c r="C6634" t="s">
        <v>37</v>
      </c>
      <c r="D6634">
        <v>4.7547009999999998</v>
      </c>
      <c r="E6634">
        <v>0.59202580000000005</v>
      </c>
      <c r="F6634" t="s">
        <v>38</v>
      </c>
      <c r="G6634">
        <v>-164.23410000000001</v>
      </c>
      <c r="H6634" s="1">
        <v>-3.5273819999999998E-6</v>
      </c>
      <c r="I6634">
        <v>134.98609999999999</v>
      </c>
      <c r="J6634">
        <v>-174.7253</v>
      </c>
      <c r="K6634">
        <v>1.0971919999999999</v>
      </c>
      <c r="L6634">
        <v>134.21600000000001</v>
      </c>
      <c r="M6634">
        <v>0.93213979999999996</v>
      </c>
      <c r="N6634">
        <v>0</v>
      </c>
      <c r="O6634">
        <v>0.36178680000000002</v>
      </c>
      <c r="P6634">
        <v>0.95342919999999998</v>
      </c>
      <c r="Q6634">
        <v>-7.8706959999999999E-3</v>
      </c>
      <c r="R6634">
        <v>0.3015138</v>
      </c>
      <c r="S6634">
        <v>3.0714419999999998</v>
      </c>
      <c r="T6634">
        <v>-0.31480580000000002</v>
      </c>
      <c r="U6634">
        <v>0.2409973</v>
      </c>
      <c r="V6634">
        <v>6.4008620000000002E-2</v>
      </c>
      <c r="W6634">
        <v>5.9902940000000002E-3</v>
      </c>
      <c r="X6634">
        <v>0.99793140000000002</v>
      </c>
      <c r="Y6634">
        <v>0.28451989999999999</v>
      </c>
      <c r="Z6634">
        <v>-5.0674230000000001E-2</v>
      </c>
      <c r="AA6634">
        <v>0.95732989999999996</v>
      </c>
      <c r="AB6634">
        <v>21</v>
      </c>
      <c r="AC6634">
        <v>10.4911999999999</v>
      </c>
      <c r="AD6634">
        <v>-1.097195527382</v>
      </c>
      <c r="AE6634">
        <v>0.77009999999998502</v>
      </c>
      <c r="AF6634">
        <v>3.04495848550757</v>
      </c>
      <c r="AG6634">
        <v>-1.097195527382</v>
      </c>
      <c r="AH6634">
        <v>9.9507592765743595</v>
      </c>
      <c r="AI6634">
        <v>96.018830213507897</v>
      </c>
      <c r="AJ6634">
        <v>72.985751630234702</v>
      </c>
      <c r="AK6634">
        <v>10.4639008206357</v>
      </c>
    </row>
    <row r="6635" spans="1:37" x14ac:dyDescent="0.2">
      <c r="A6635" t="str">
        <f>"20200111160349867"</f>
        <v>20200111160349867</v>
      </c>
      <c r="B6635" t="str">
        <f>"1578729829859812"</f>
        <v>1578729829859812</v>
      </c>
      <c r="C6635" t="s">
        <v>37</v>
      </c>
      <c r="D6635">
        <v>4.7818680000000002</v>
      </c>
      <c r="E6635">
        <v>0.59367749999999997</v>
      </c>
      <c r="F6635" t="s">
        <v>38</v>
      </c>
      <c r="G6635">
        <v>-162.93170000000001</v>
      </c>
      <c r="H6635" s="1">
        <v>-4.1334689999999997E-6</v>
      </c>
      <c r="I6635">
        <v>135.0401</v>
      </c>
      <c r="J6635">
        <v>-174.51079999999999</v>
      </c>
      <c r="K6635">
        <v>1.0972360000000001</v>
      </c>
      <c r="L6635">
        <v>134.2833</v>
      </c>
      <c r="M6635">
        <v>0.93672180000000005</v>
      </c>
      <c r="N6635">
        <v>0</v>
      </c>
      <c r="O6635">
        <v>0.34975250000000002</v>
      </c>
      <c r="P6635">
        <v>0.95515720000000004</v>
      </c>
      <c r="Q6635">
        <v>-6.3578230000000003E-3</v>
      </c>
      <c r="R6635">
        <v>0.29603079999999998</v>
      </c>
      <c r="S6635">
        <v>3.076187</v>
      </c>
      <c r="T6635">
        <v>-0.2861862</v>
      </c>
      <c r="U6635">
        <v>0.2149353</v>
      </c>
      <c r="V6635">
        <v>5.6919890000000001E-2</v>
      </c>
      <c r="W6635">
        <v>7.6320059999999898E-3</v>
      </c>
      <c r="X6635">
        <v>0.99834959999999995</v>
      </c>
      <c r="Y6635">
        <v>0.28099849999999998</v>
      </c>
      <c r="Z6635">
        <v>-4.4831790000000003E-2</v>
      </c>
      <c r="AA6635">
        <v>0.95866049999999903</v>
      </c>
      <c r="AB6635">
        <v>21</v>
      </c>
      <c r="AC6635">
        <v>11.579099999999899</v>
      </c>
      <c r="AD6635">
        <v>-1.0972401334690001</v>
      </c>
      <c r="AE6635">
        <v>0.75679999999999803</v>
      </c>
      <c r="AF6635">
        <v>3.3116740010189298</v>
      </c>
      <c r="AG6635">
        <v>-1.0972401334690001</v>
      </c>
      <c r="AH6635">
        <v>11.0138621828252</v>
      </c>
      <c r="AI6635">
        <v>95.4497592448148</v>
      </c>
      <c r="AJ6635">
        <v>73.264894643845807</v>
      </c>
      <c r="AK6635">
        <v>11.553193531737801</v>
      </c>
    </row>
    <row r="6636" spans="1:37" x14ac:dyDescent="0.2">
      <c r="A6636" t="str">
        <f>"20200111160349889"</f>
        <v>20200111160349889</v>
      </c>
      <c r="B6636" t="str">
        <f>"1578729829880308"</f>
        <v>1578729829880308</v>
      </c>
      <c r="C6636" t="s">
        <v>37</v>
      </c>
      <c r="D6636">
        <v>4.8029580000000003</v>
      </c>
      <c r="E6636">
        <v>0.59467630000000005</v>
      </c>
      <c r="F6636" t="s">
        <v>38</v>
      </c>
      <c r="G6636">
        <v>-161.63339999999999</v>
      </c>
      <c r="H6636" s="1">
        <v>-4.7458899999999999E-6</v>
      </c>
      <c r="I6636">
        <v>135.04730000000001</v>
      </c>
      <c r="J6636">
        <v>-174.30690000000001</v>
      </c>
      <c r="K6636">
        <v>1.097264</v>
      </c>
      <c r="L6636">
        <v>134.3443</v>
      </c>
      <c r="M6636">
        <v>0.94090469999999904</v>
      </c>
      <c r="N6636">
        <v>0</v>
      </c>
      <c r="O6636">
        <v>0.33833869999999999</v>
      </c>
      <c r="P6636">
        <v>0.95691809999999999</v>
      </c>
      <c r="Q6636">
        <v>-8.0487110000000001E-3</v>
      </c>
      <c r="R6636">
        <v>0.29024650000000002</v>
      </c>
      <c r="S6636">
        <v>3.0824129999999998</v>
      </c>
      <c r="T6636">
        <v>-0.26264309999999902</v>
      </c>
      <c r="U6636">
        <v>0.1828766</v>
      </c>
      <c r="V6636">
        <v>5.0787489999999998E-2</v>
      </c>
      <c r="W6636">
        <v>6.0494219999999996E-3</v>
      </c>
      <c r="X6636">
        <v>0.99869110000000005</v>
      </c>
      <c r="Y6636">
        <v>0.27986749999999999</v>
      </c>
      <c r="Z6636">
        <v>-4.0136930000000001E-2</v>
      </c>
      <c r="AA6636">
        <v>0.95919920000000003</v>
      </c>
      <c r="AB6636">
        <v>21</v>
      </c>
      <c r="AC6636">
        <v>12.673500000000001</v>
      </c>
      <c r="AD6636">
        <v>-1.0972687458899999</v>
      </c>
      <c r="AE6636">
        <v>0.70300000000000296</v>
      </c>
      <c r="AF6636">
        <v>3.5999851318110401</v>
      </c>
      <c r="AG6636">
        <v>-1.0972687458899999</v>
      </c>
      <c r="AH6636">
        <v>12.073551553135999</v>
      </c>
      <c r="AI6636">
        <v>94.977496012773003</v>
      </c>
      <c r="AJ6636">
        <v>73.396935812243697</v>
      </c>
      <c r="AK6636">
        <v>12.646522793092201</v>
      </c>
    </row>
    <row r="6637" spans="1:37" x14ac:dyDescent="0.2">
      <c r="A6637" t="str">
        <f>"20200111160349911"</f>
        <v>20200111160349911</v>
      </c>
      <c r="B6637" t="str">
        <f>"1578729829899828"</f>
        <v>1578729829899828</v>
      </c>
      <c r="C6637" t="s">
        <v>37</v>
      </c>
      <c r="D6637">
        <v>4.8392499999999998</v>
      </c>
      <c r="E6637">
        <v>0.59508119999999998</v>
      </c>
      <c r="F6637" t="s">
        <v>38</v>
      </c>
      <c r="G6637">
        <v>-160.9847</v>
      </c>
      <c r="H6637" s="1">
        <v>-5.0585360000000001E-6</v>
      </c>
      <c r="I6637">
        <v>135.01339999999999</v>
      </c>
      <c r="J6637">
        <v>-174.10390000000001</v>
      </c>
      <c r="K6637">
        <v>1.0973029999999999</v>
      </c>
      <c r="L6637">
        <v>134.4023</v>
      </c>
      <c r="M6637">
        <v>0.94490439999999998</v>
      </c>
      <c r="N6637">
        <v>0</v>
      </c>
      <c r="O6637">
        <v>0.32700289999999999</v>
      </c>
      <c r="P6637">
        <v>0.95885980000000004</v>
      </c>
      <c r="Q6637">
        <v>-1.1967419999999999E-2</v>
      </c>
      <c r="R6637">
        <v>0.28362799999999999</v>
      </c>
      <c r="S6637">
        <v>3.0859220000000001</v>
      </c>
      <c r="T6637">
        <v>-0.25416860000000002</v>
      </c>
      <c r="U6637">
        <v>0.1549835</v>
      </c>
      <c r="V6637">
        <v>4.5599099999999997E-2</v>
      </c>
      <c r="W6637">
        <v>2.219024E-3</v>
      </c>
      <c r="X6637">
        <v>0.99895730000000005</v>
      </c>
      <c r="Y6637">
        <v>0.27722529999999901</v>
      </c>
      <c r="Z6637">
        <v>-3.7828849999999997E-2</v>
      </c>
      <c r="AA6637">
        <v>0.96005989999999997</v>
      </c>
      <c r="AB6637">
        <v>21</v>
      </c>
      <c r="AC6637">
        <v>13.119199999999999</v>
      </c>
      <c r="AD6637">
        <v>-1.097308058536</v>
      </c>
      <c r="AE6637">
        <v>0.61109999999999298</v>
      </c>
      <c r="AF6637">
        <v>3.6872628869389499</v>
      </c>
      <c r="AG6637">
        <v>-1.097308058536</v>
      </c>
      <c r="AH6637">
        <v>12.5103060643339</v>
      </c>
      <c r="AI6637">
        <v>94.809199259929102</v>
      </c>
      <c r="AJ6637">
        <v>73.577750205401102</v>
      </c>
      <c r="AK6637">
        <v>13.088458671518</v>
      </c>
    </row>
    <row r="6638" spans="1:37" x14ac:dyDescent="0.2">
      <c r="A6638" t="str">
        <f>"20200111160349933"</f>
        <v>20200111160349933</v>
      </c>
      <c r="B6638" t="str">
        <f>"1578729829930085"</f>
        <v>1578729829930085</v>
      </c>
      <c r="C6638" t="s">
        <v>37</v>
      </c>
      <c r="D6638">
        <v>4.8991540000000002</v>
      </c>
      <c r="E6638">
        <v>0.59543419999999903</v>
      </c>
      <c r="F6638" t="s">
        <v>38</v>
      </c>
      <c r="G6638">
        <v>-160.92359999999999</v>
      </c>
      <c r="H6638" s="1">
        <v>-5.0980670000000001E-6</v>
      </c>
      <c r="I6638">
        <v>134.95339999999999</v>
      </c>
      <c r="J6638">
        <v>-173.88829999999999</v>
      </c>
      <c r="K6638">
        <v>1.097353</v>
      </c>
      <c r="L6638">
        <v>134.46109999999999</v>
      </c>
      <c r="M6638">
        <v>0.94897099999999901</v>
      </c>
      <c r="N6638">
        <v>0</v>
      </c>
      <c r="O6638">
        <v>0.3150077</v>
      </c>
      <c r="P6638">
        <v>0.96098340000000004</v>
      </c>
      <c r="Q6638">
        <v>-1.492827E-2</v>
      </c>
      <c r="R6638">
        <v>0.27620319999999998</v>
      </c>
      <c r="S6638">
        <v>3.087326</v>
      </c>
      <c r="T6638">
        <v>-0.2570305</v>
      </c>
      <c r="U6638">
        <v>0.12908939999999999</v>
      </c>
      <c r="V6638">
        <v>4.0607629999999999E-2</v>
      </c>
      <c r="W6638">
        <v>-6.6041250000000004E-4</v>
      </c>
      <c r="X6638">
        <v>0.99917500000000004</v>
      </c>
      <c r="Y6638">
        <v>0.273123</v>
      </c>
      <c r="Z6638">
        <v>-3.7131119999999997E-2</v>
      </c>
      <c r="AA6638">
        <v>0.96126219999999996</v>
      </c>
      <c r="AB6638">
        <v>21</v>
      </c>
      <c r="AC6638">
        <v>12.964699999999899</v>
      </c>
      <c r="AD6638">
        <v>-1.0973580980669999</v>
      </c>
      <c r="AE6638">
        <v>0.49230000000000002</v>
      </c>
      <c r="AF6638">
        <v>3.5915138794097099</v>
      </c>
      <c r="AG6638">
        <v>-1.0973580980669999</v>
      </c>
      <c r="AH6638">
        <v>12.371097112522801</v>
      </c>
      <c r="AI6638">
        <v>94.869050662411993</v>
      </c>
      <c r="AJ6638">
        <v>73.811199354563399</v>
      </c>
      <c r="AK6638">
        <v>12.928542474264299</v>
      </c>
    </row>
    <row r="6639" spans="1:37" x14ac:dyDescent="0.2">
      <c r="A6639" t="str">
        <f>"20200111160349956"</f>
        <v>20200111160349956</v>
      </c>
      <c r="B6639" t="str">
        <f>"1578729829949603"</f>
        <v>1578729829949603</v>
      </c>
      <c r="C6639" t="s">
        <v>37</v>
      </c>
      <c r="D6639">
        <v>4.8857520000000001</v>
      </c>
      <c r="E6639">
        <v>0.59547919999999999</v>
      </c>
      <c r="F6639" t="s">
        <v>38</v>
      </c>
      <c r="G6639">
        <v>-160.7252</v>
      </c>
      <c r="H6639" s="1">
        <v>-5.2023220000000003E-6</v>
      </c>
      <c r="I6639">
        <v>134.89439999999999</v>
      </c>
      <c r="J6639">
        <v>-173.67760000000001</v>
      </c>
      <c r="K6639">
        <v>1.0974120000000001</v>
      </c>
      <c r="L6639">
        <v>134.51580000000001</v>
      </c>
      <c r="M6639">
        <v>0.95276949999999905</v>
      </c>
      <c r="N6639">
        <v>0</v>
      </c>
      <c r="O6639">
        <v>0.30332589999999998</v>
      </c>
      <c r="P6639">
        <v>0.96309889999999998</v>
      </c>
      <c r="Q6639">
        <v>-1.7776469999999999E-2</v>
      </c>
      <c r="R6639">
        <v>0.26856049999999998</v>
      </c>
      <c r="S6639">
        <v>3.0885929999999999</v>
      </c>
      <c r="T6639">
        <v>-0.25748409999999999</v>
      </c>
      <c r="U6639">
        <v>0.1016693</v>
      </c>
      <c r="V6639">
        <v>3.6207080000000003E-2</v>
      </c>
      <c r="W6639">
        <v>-3.4406379999999898E-3</v>
      </c>
      <c r="X6639">
        <v>0.99933839999999996</v>
      </c>
      <c r="Y6639">
        <v>0.26989000000000002</v>
      </c>
      <c r="Z6639">
        <v>-3.613032E-2</v>
      </c>
      <c r="AA6639">
        <v>0.96221299999999899</v>
      </c>
      <c r="AB6639">
        <v>21</v>
      </c>
      <c r="AC6639">
        <v>12.952400000000001</v>
      </c>
      <c r="AD6639">
        <v>-1.0974172023219999</v>
      </c>
      <c r="AE6639">
        <v>0.37859999999997701</v>
      </c>
      <c r="AF6639">
        <v>3.5430662377850601</v>
      </c>
      <c r="AG6639">
        <v>-1.0974172023219999</v>
      </c>
      <c r="AH6639">
        <v>12.368173060148299</v>
      </c>
      <c r="AI6639">
        <v>94.875426297985499</v>
      </c>
      <c r="AJ6639">
        <v>74.014770374393393</v>
      </c>
      <c r="AK6639">
        <v>12.912371886181999</v>
      </c>
    </row>
    <row r="6640" spans="1:37" x14ac:dyDescent="0.2">
      <c r="A6640" t="str">
        <f>"20200111160349977"</f>
        <v>20200111160349977</v>
      </c>
      <c r="B6640" t="str">
        <f>"1578729829970100"</f>
        <v>1578729829970100</v>
      </c>
      <c r="C6640" t="s">
        <v>37</v>
      </c>
      <c r="D6640">
        <v>4.8970839999999898</v>
      </c>
      <c r="E6640">
        <v>0.59532790000000002</v>
      </c>
      <c r="F6640" t="s">
        <v>38</v>
      </c>
      <c r="G6640">
        <v>-160.7319</v>
      </c>
      <c r="H6640" s="1">
        <v>-5.2095849999999999E-6</v>
      </c>
      <c r="I6640">
        <v>134.8356</v>
      </c>
      <c r="J6640">
        <v>-173.47290000000001</v>
      </c>
      <c r="K6640">
        <v>1.0974649999999999</v>
      </c>
      <c r="L6640">
        <v>134.56639999999999</v>
      </c>
      <c r="M6640">
        <v>0.95629660000000005</v>
      </c>
      <c r="N6640">
        <v>0</v>
      </c>
      <c r="O6640">
        <v>0.292016099999999</v>
      </c>
      <c r="P6640">
        <v>0.96498549999999905</v>
      </c>
      <c r="Q6640">
        <v>-2.0112970000000001E-2</v>
      </c>
      <c r="R6640">
        <v>0.26153119999999902</v>
      </c>
      <c r="S6640">
        <v>3.0888369999999998</v>
      </c>
      <c r="T6640">
        <v>-0.26184229999999997</v>
      </c>
      <c r="U6640">
        <v>7.6309199999999994E-2</v>
      </c>
      <c r="V6640">
        <v>3.1601310000000001E-2</v>
      </c>
      <c r="W6640">
        <v>-5.7074769999999999E-3</v>
      </c>
      <c r="X6640">
        <v>0.99948419999999905</v>
      </c>
      <c r="Y6640">
        <v>0.2663645</v>
      </c>
      <c r="Z6640">
        <v>-3.5679089999999997E-2</v>
      </c>
      <c r="AA6640">
        <v>0.96321179999999995</v>
      </c>
      <c r="AB6640">
        <v>21</v>
      </c>
      <c r="AC6640">
        <v>12.741</v>
      </c>
      <c r="AD6640">
        <v>-1.097470209585</v>
      </c>
      <c r="AE6640">
        <v>0.26920000000001199</v>
      </c>
      <c r="AF6640">
        <v>3.4380316834285201</v>
      </c>
      <c r="AG6640">
        <v>-1.097470209585</v>
      </c>
      <c r="AH6640">
        <v>12.1738712345312</v>
      </c>
      <c r="AI6640">
        <v>94.958357483354305</v>
      </c>
      <c r="AJ6640">
        <v>74.229751705099005</v>
      </c>
      <c r="AK6640">
        <v>12.697544784411299</v>
      </c>
    </row>
    <row r="6641" spans="1:37" x14ac:dyDescent="0.2">
      <c r="A6641" t="str">
        <f>"20200111160350000"</f>
        <v>20200111160350000</v>
      </c>
      <c r="B6641" t="str">
        <f>"1578729829990596"</f>
        <v>1578729829990596</v>
      </c>
      <c r="C6641" t="s">
        <v>37</v>
      </c>
      <c r="D6641">
        <v>4.9436029999999898</v>
      </c>
      <c r="E6641">
        <v>0.59511999999999998</v>
      </c>
      <c r="F6641" t="s">
        <v>38</v>
      </c>
      <c r="G6641">
        <v>-160.73609999999999</v>
      </c>
      <c r="H6641" s="1">
        <v>-5.2154699999999999E-6</v>
      </c>
      <c r="I6641">
        <v>134.7911</v>
      </c>
      <c r="J6641">
        <v>-173.26560000000001</v>
      </c>
      <c r="K6641">
        <v>1.0975299999999999</v>
      </c>
      <c r="L6641">
        <v>134.61519999999999</v>
      </c>
      <c r="M6641">
        <v>0.95970419999999901</v>
      </c>
      <c r="N6641">
        <v>0</v>
      </c>
      <c r="O6641">
        <v>0.28061520000000001</v>
      </c>
      <c r="P6641">
        <v>0.96675499999999903</v>
      </c>
      <c r="Q6641">
        <v>-2.1762719999999999E-2</v>
      </c>
      <c r="R6641">
        <v>0.25477719999999998</v>
      </c>
      <c r="S6641">
        <v>3.0885470000000002</v>
      </c>
      <c r="T6641">
        <v>-0.266127</v>
      </c>
      <c r="U6641">
        <v>5.4489139999999998E-2</v>
      </c>
      <c r="V6641">
        <v>2.665969E-2</v>
      </c>
      <c r="W6641">
        <v>-7.28399199999999E-3</v>
      </c>
      <c r="X6641">
        <v>0.99961809999999995</v>
      </c>
      <c r="Y6641">
        <v>0.26168710000000001</v>
      </c>
      <c r="Z6641">
        <v>-3.5125249999999997E-2</v>
      </c>
      <c r="AA6641">
        <v>0.96451339999999997</v>
      </c>
      <c r="AB6641">
        <v>21</v>
      </c>
      <c r="AC6641">
        <v>12.529500000000001</v>
      </c>
      <c r="AD6641">
        <v>-1.09753521547</v>
      </c>
      <c r="AE6641">
        <v>0.17590000000001199</v>
      </c>
      <c r="AF6641">
        <v>3.32204410877626</v>
      </c>
      <c r="AG6641">
        <v>-1.09753521547</v>
      </c>
      <c r="AH6641">
        <v>11.9833888837275</v>
      </c>
      <c r="AI6641">
        <v>95.043821124565397</v>
      </c>
      <c r="AJ6641">
        <v>74.505522155167796</v>
      </c>
      <c r="AK6641">
        <v>12.4836761311921</v>
      </c>
    </row>
    <row r="6642" spans="1:37" x14ac:dyDescent="0.2">
      <c r="A6642" t="str">
        <f>"20200111160350023"</f>
        <v>20200111160350023</v>
      </c>
      <c r="B6642" t="str">
        <f>"1578729830019876"</f>
        <v>1578729830019876</v>
      </c>
      <c r="C6642" t="s">
        <v>37</v>
      </c>
      <c r="D6642">
        <v>4.9835419999999999</v>
      </c>
      <c r="E6642">
        <v>0.59488319999999995</v>
      </c>
      <c r="F6642" t="s">
        <v>38</v>
      </c>
      <c r="G6642">
        <v>-160.64580000000001</v>
      </c>
      <c r="H6642" s="1">
        <v>-5.2646849999999902E-6</v>
      </c>
      <c r="I6642">
        <v>134.7543</v>
      </c>
      <c r="J6642">
        <v>-173.05160000000001</v>
      </c>
      <c r="K6642">
        <v>1.0976079999999999</v>
      </c>
      <c r="L6642">
        <v>134.66290000000001</v>
      </c>
      <c r="M6642">
        <v>0.96305409999999902</v>
      </c>
      <c r="N6642">
        <v>0</v>
      </c>
      <c r="O6642">
        <v>0.268895099999999</v>
      </c>
      <c r="P6642">
        <v>0.96857130000000002</v>
      </c>
      <c r="Q6642">
        <v>-2.0709499999999999E-2</v>
      </c>
      <c r="R6642">
        <v>0.2478727</v>
      </c>
      <c r="S6642">
        <v>3.0881500000000002</v>
      </c>
      <c r="T6642">
        <v>-0.26857540000000002</v>
      </c>
      <c r="U6642">
        <v>3.4042360000000001E-2</v>
      </c>
      <c r="V6642">
        <v>2.1632129999999999E-2</v>
      </c>
      <c r="W6642">
        <v>-6.1582819999999898E-3</v>
      </c>
      <c r="X6642">
        <v>0.99974699999999905</v>
      </c>
      <c r="Y6642">
        <v>0.2563299</v>
      </c>
      <c r="Z6642">
        <v>-3.4240640000000003E-2</v>
      </c>
      <c r="AA6642">
        <v>0.96598269999999997</v>
      </c>
      <c r="AB6642">
        <v>21</v>
      </c>
      <c r="AC6642">
        <v>12.405799999999999</v>
      </c>
      <c r="AD6642">
        <v>-1.0976132646850001</v>
      </c>
      <c r="AE6642">
        <v>9.1399999999993001E-2</v>
      </c>
      <c r="AF6642">
        <v>3.22296869094935</v>
      </c>
      <c r="AG6642">
        <v>-1.0976132646850001</v>
      </c>
      <c r="AH6642">
        <v>11.8803699048879</v>
      </c>
      <c r="AI6642">
        <v>95.0953570868041</v>
      </c>
      <c r="AJ6642">
        <v>74.821813181611702</v>
      </c>
      <c r="AK6642">
        <v>12.358619305513701</v>
      </c>
    </row>
    <row r="6643" spans="1:37" x14ac:dyDescent="0.2">
      <c r="A6643" t="str">
        <f>"20200111160350046"</f>
        <v>20200111160350046</v>
      </c>
      <c r="B6643" t="str">
        <f>"1578729830040372"</f>
        <v>1578729830040372</v>
      </c>
      <c r="C6643" t="s">
        <v>37</v>
      </c>
      <c r="D6643">
        <v>4.9882589999999896</v>
      </c>
      <c r="E6643">
        <v>0.59466779999999997</v>
      </c>
      <c r="F6643" t="s">
        <v>38</v>
      </c>
      <c r="G6643">
        <v>-160.113</v>
      </c>
      <c r="H6643" s="1">
        <v>-5.5226890000000004E-6</v>
      </c>
      <c r="I6643">
        <v>134.71979999999999</v>
      </c>
      <c r="J6643">
        <v>-172.83580000000001</v>
      </c>
      <c r="K6643">
        <v>1.097699</v>
      </c>
      <c r="L6643">
        <v>134.70830000000001</v>
      </c>
      <c r="M6643">
        <v>0.96626339999999999</v>
      </c>
      <c r="N6643">
        <v>0</v>
      </c>
      <c r="O6643">
        <v>0.25712479999999999</v>
      </c>
      <c r="P6643">
        <v>0.97018119999999997</v>
      </c>
      <c r="Q6643">
        <v>-1.7022619999999999E-2</v>
      </c>
      <c r="R6643">
        <v>0.24178259999999999</v>
      </c>
      <c r="S6643">
        <v>3.0882719999999999</v>
      </c>
      <c r="T6643">
        <v>-0.26198640000000001</v>
      </c>
      <c r="U6643">
        <v>1.358032E-2</v>
      </c>
      <c r="V6643">
        <v>1.579641E-2</v>
      </c>
      <c r="W6643">
        <v>-2.3869910000000002E-3</v>
      </c>
      <c r="X6643">
        <v>0.99987239999999999</v>
      </c>
      <c r="Y6643">
        <v>0.25109229999999999</v>
      </c>
      <c r="Z6643">
        <v>-3.2217469999999998E-2</v>
      </c>
      <c r="AA6643">
        <v>0.96742680000000003</v>
      </c>
      <c r="AB6643">
        <v>21</v>
      </c>
      <c r="AC6643">
        <v>12.722799999999999</v>
      </c>
      <c r="AD6643">
        <v>-1.0977045226890001</v>
      </c>
      <c r="AE6643">
        <v>1.1499999999983799E-2</v>
      </c>
      <c r="AF6643">
        <v>3.2365046521332101</v>
      </c>
      <c r="AG6643">
        <v>-1.0977045226890001</v>
      </c>
      <c r="AH6643">
        <v>12.2070284531717</v>
      </c>
      <c r="AI6643">
        <v>94.967706723420406</v>
      </c>
      <c r="AJ6643">
        <v>75.1505713933891</v>
      </c>
      <c r="AK6643">
        <v>12.6764135795167</v>
      </c>
    </row>
    <row r="6644" spans="1:37" x14ac:dyDescent="0.2">
      <c r="A6644" t="str">
        <f>"20200111160350071"</f>
        <v>20200111160350071</v>
      </c>
      <c r="B6644" t="str">
        <f>"1578729830059892"</f>
        <v>1578729830059892</v>
      </c>
      <c r="C6644" t="s">
        <v>37</v>
      </c>
      <c r="D6644">
        <v>5.3491150000000003</v>
      </c>
      <c r="E6644">
        <v>0.59450170000000002</v>
      </c>
      <c r="F6644" t="s">
        <v>38</v>
      </c>
      <c r="G6644">
        <v>-159.1421</v>
      </c>
      <c r="H6644" s="1">
        <v>-1.5892989999999999E-6</v>
      </c>
      <c r="I6644">
        <v>134.68790000000001</v>
      </c>
      <c r="J6644">
        <v>-172.5943</v>
      </c>
      <c r="K6644">
        <v>1.0978049999999999</v>
      </c>
      <c r="L6644">
        <v>134.7559</v>
      </c>
      <c r="M6644">
        <v>0.9696591</v>
      </c>
      <c r="N6644">
        <v>0</v>
      </c>
      <c r="O6644">
        <v>0.2440078</v>
      </c>
      <c r="P6644">
        <v>0.97195129999999996</v>
      </c>
      <c r="Q6644">
        <v>-1.1845990000000001E-2</v>
      </c>
      <c r="R6644">
        <v>0.23488400000000001</v>
      </c>
      <c r="S6644">
        <v>3.0890049999999998</v>
      </c>
      <c r="T6644">
        <v>-0.247616799999999</v>
      </c>
      <c r="U6644">
        <v>-4.592896E-3</v>
      </c>
      <c r="V6644">
        <v>9.4556209999999905E-3</v>
      </c>
      <c r="W6644">
        <v>2.8784869999999999E-3</v>
      </c>
      <c r="X6644">
        <v>0.99995109999999998</v>
      </c>
      <c r="Y6644">
        <v>0.24392320000000001</v>
      </c>
      <c r="Z6644">
        <v>-2.9142299999999999E-2</v>
      </c>
      <c r="AA6644">
        <v>0.96935659999999901</v>
      </c>
      <c r="AB6644">
        <v>21</v>
      </c>
      <c r="AC6644">
        <v>13.452199999999999</v>
      </c>
      <c r="AD6644">
        <v>-1.0978065892990001</v>
      </c>
      <c r="AE6644">
        <v>-6.7999999999983601E-2</v>
      </c>
      <c r="AF6644">
        <v>3.3265952230071898</v>
      </c>
      <c r="AG6644">
        <v>-1.0978065892990001</v>
      </c>
      <c r="AH6644">
        <v>12.9427037656246</v>
      </c>
      <c r="AI6644">
        <v>94.696325090690607</v>
      </c>
      <c r="AJ6644">
        <v>75.585574295634999</v>
      </c>
      <c r="AK6644">
        <v>13.4083927392494</v>
      </c>
    </row>
    <row r="6645" spans="1:37" x14ac:dyDescent="0.2">
      <c r="A6645" t="str">
        <f>"20200111160350092"</f>
        <v>20200111160350092</v>
      </c>
      <c r="B6645" t="str">
        <f>"1578729830079678"</f>
        <v>1578729830079678</v>
      </c>
      <c r="C6645" t="s">
        <v>37</v>
      </c>
      <c r="D6645">
        <v>5.291029</v>
      </c>
      <c r="E6645">
        <v>0.56060350000000003</v>
      </c>
      <c r="F6645" t="s">
        <v>38</v>
      </c>
      <c r="G6645">
        <v>-157.82140000000001</v>
      </c>
      <c r="H6645" s="1">
        <v>-2.0534940000000002E-6</v>
      </c>
      <c r="I6645">
        <v>134.63239999999999</v>
      </c>
      <c r="J6645">
        <v>-172.40020000000001</v>
      </c>
      <c r="K6645">
        <v>1.0978939999999999</v>
      </c>
      <c r="L6645">
        <v>134.79169999999999</v>
      </c>
      <c r="M6645">
        <v>0.9722383</v>
      </c>
      <c r="N6645">
        <v>0</v>
      </c>
      <c r="O6645">
        <v>0.23352049999999999</v>
      </c>
      <c r="P6645">
        <v>0.97302469999999996</v>
      </c>
      <c r="Q6645">
        <v>-6.7856849999999996E-3</v>
      </c>
      <c r="R6645">
        <v>0.23060149999999999</v>
      </c>
      <c r="S6645">
        <v>3.08999599999999</v>
      </c>
      <c r="T6645">
        <v>-0.2296231</v>
      </c>
      <c r="U6645">
        <v>-2.581787E-2</v>
      </c>
      <c r="V6645">
        <v>3.1525540000000001E-3</v>
      </c>
      <c r="W6645">
        <v>8.0272920000000001E-3</v>
      </c>
      <c r="X6645">
        <v>0.99996280000000004</v>
      </c>
      <c r="Y6645">
        <v>0.24036389999999999</v>
      </c>
      <c r="Z6645">
        <v>-2.6132099999999998E-2</v>
      </c>
      <c r="AA6645">
        <v>0.97033099999999906</v>
      </c>
      <c r="AB6645">
        <v>21</v>
      </c>
      <c r="AC6645">
        <v>14.578799999999999</v>
      </c>
      <c r="AD6645">
        <v>-1.0978960534940001</v>
      </c>
      <c r="AE6645">
        <v>-0.159300000000001</v>
      </c>
      <c r="AF6645">
        <v>3.5396475212768301</v>
      </c>
      <c r="AG6645">
        <v>-1.0978960534940001</v>
      </c>
      <c r="AH6645">
        <v>14.0587083844375</v>
      </c>
      <c r="AI6645">
        <v>94.330756006254603</v>
      </c>
      <c r="AJ6645">
        <v>75.868016770368101</v>
      </c>
      <c r="AK6645">
        <v>14.5389738894398</v>
      </c>
    </row>
    <row r="6646" spans="1:37" x14ac:dyDescent="0.2">
      <c r="A6646" t="str">
        <f>"20200111160350117"</f>
        <v>20200111160350117</v>
      </c>
      <c r="B6646" t="str">
        <f>"1578729830109934"</f>
        <v>1578729830109934</v>
      </c>
      <c r="C6646" t="s">
        <v>37</v>
      </c>
      <c r="D6646">
        <v>5.1043919999999998</v>
      </c>
      <c r="E6646">
        <v>0.5319625</v>
      </c>
      <c r="F6646" t="s">
        <v>42</v>
      </c>
      <c r="G6646">
        <v>-171.51830000000001</v>
      </c>
      <c r="H6646">
        <v>1.004961</v>
      </c>
      <c r="I6646">
        <v>134.8571</v>
      </c>
      <c r="J6646">
        <v>-172.15770000000001</v>
      </c>
      <c r="K6646">
        <v>1.0979939999999999</v>
      </c>
      <c r="L6646">
        <v>134.83349999999999</v>
      </c>
      <c r="M6646">
        <v>0.97527240000000004</v>
      </c>
      <c r="N6646">
        <v>0</v>
      </c>
      <c r="O6646">
        <v>0.22050739999999999</v>
      </c>
      <c r="P6646">
        <v>0.97473519999999902</v>
      </c>
      <c r="Q6646">
        <v>-8.9165659999999999E-4</v>
      </c>
      <c r="R6646">
        <v>0.22336210000000001</v>
      </c>
      <c r="S6646">
        <v>3.0277250000000002</v>
      </c>
      <c r="T6646">
        <v>-0.31908989999999998</v>
      </c>
      <c r="U6646">
        <v>0.224578899999999</v>
      </c>
      <c r="V6646">
        <v>-2.6789079999999998E-3</v>
      </c>
      <c r="W6646">
        <v>1.399311E-2</v>
      </c>
      <c r="X6646">
        <v>0.99989850000000002</v>
      </c>
      <c r="Y6646">
        <v>0.14578360000000001</v>
      </c>
      <c r="Z6646">
        <v>-3.0604800000000001E-2</v>
      </c>
      <c r="AA6646">
        <v>0.98884300000000003</v>
      </c>
      <c r="AB6646">
        <v>21</v>
      </c>
      <c r="AC6646">
        <v>0.63939999999999397</v>
      </c>
      <c r="AD6646">
        <v>-9.3033000000000102E-2</v>
      </c>
      <c r="AE6646">
        <v>2.3600000000016001E-2</v>
      </c>
      <c r="AF6646">
        <v>0.11554616702541699</v>
      </c>
      <c r="AG6646">
        <v>-9.3033000000000102E-2</v>
      </c>
      <c r="AH6646">
        <v>0.61584251214280195</v>
      </c>
      <c r="AI6646">
        <v>98.445320023192096</v>
      </c>
      <c r="AJ6646">
        <v>79.373541569713197</v>
      </c>
      <c r="AK6646">
        <v>0.63345722473235899</v>
      </c>
    </row>
    <row r="6647" spans="1:37" x14ac:dyDescent="0.2">
      <c r="A6647" t="str">
        <f>"20200111160350142"</f>
        <v>20200111160350142</v>
      </c>
      <c r="B6647" t="str">
        <f>"1578729830131406"</f>
        <v>1578729830131406</v>
      </c>
      <c r="C6647" t="s">
        <v>37</v>
      </c>
      <c r="D6647">
        <v>5.1677580000000001</v>
      </c>
      <c r="E6647">
        <v>0.53472629999999999</v>
      </c>
      <c r="F6647" t="s">
        <v>38</v>
      </c>
      <c r="G6647">
        <v>-96.854929999999996</v>
      </c>
      <c r="H6647" s="1">
        <v>-2.8943270000000001E-6</v>
      </c>
      <c r="I6647">
        <v>145.4898</v>
      </c>
      <c r="J6647">
        <v>-171.93279999999999</v>
      </c>
      <c r="K6647">
        <v>1.0981069999999999</v>
      </c>
      <c r="L6647">
        <v>134.86940000000001</v>
      </c>
      <c r="M6647">
        <v>0.97789619999999999</v>
      </c>
      <c r="N6647">
        <v>0</v>
      </c>
      <c r="O6647">
        <v>0.20856540000000001</v>
      </c>
      <c r="P6647">
        <v>0.97616630000000004</v>
      </c>
      <c r="Q6647">
        <v>4.4717419999999999E-3</v>
      </c>
      <c r="R6647">
        <v>0.21697759999999999</v>
      </c>
      <c r="S6647">
        <v>2.9810490000000001</v>
      </c>
      <c r="T6647">
        <v>-4.3466930000000001E-2</v>
      </c>
      <c r="U6647">
        <v>0.421859699999999</v>
      </c>
      <c r="V6647">
        <v>-8.2822609999999904E-3</v>
      </c>
      <c r="W6647">
        <v>1.941828E-2</v>
      </c>
      <c r="X6647">
        <v>0.99977709999999997</v>
      </c>
      <c r="Y6647">
        <v>6.9466299999999995E-2</v>
      </c>
      <c r="Z6647">
        <v>-3.5022650000000001E-3</v>
      </c>
      <c r="AA6647">
        <v>0.99757809999999902</v>
      </c>
      <c r="AB6647">
        <v>21</v>
      </c>
      <c r="AC6647">
        <v>75.077869999999905</v>
      </c>
      <c r="AD6647">
        <v>-1.098109894327</v>
      </c>
      <c r="AE6647">
        <v>10.620399999999901</v>
      </c>
      <c r="AF6647">
        <v>5.2724701796594804</v>
      </c>
      <c r="AG6647">
        <v>-1.098109894327</v>
      </c>
      <c r="AH6647">
        <v>75.625852629372602</v>
      </c>
      <c r="AI6647">
        <v>90.829879196135593</v>
      </c>
      <c r="AJ6647">
        <v>86.011915811243099</v>
      </c>
      <c r="AK6647">
        <v>75.817375139574693</v>
      </c>
    </row>
    <row r="6648" spans="1:37" x14ac:dyDescent="0.2">
      <c r="A6648" t="str">
        <f>"20200111160350158"</f>
        <v>20200111160350158</v>
      </c>
      <c r="B6648" t="str">
        <f>"1578729830149950"</f>
        <v>1578729830149950</v>
      </c>
      <c r="C6648" t="s">
        <v>37</v>
      </c>
      <c r="D6648">
        <v>5.1324489999999896</v>
      </c>
      <c r="E6648">
        <v>0.53596809999999995</v>
      </c>
      <c r="F6648" t="s">
        <v>38</v>
      </c>
      <c r="G6648">
        <v>-138.42920000000001</v>
      </c>
      <c r="H6648" s="1">
        <v>-7.4092200000000005E-7</v>
      </c>
      <c r="I6648">
        <v>139.13849999999999</v>
      </c>
      <c r="J6648">
        <v>-171.7672</v>
      </c>
      <c r="K6648">
        <v>1.0982129999999899</v>
      </c>
      <c r="L6648">
        <v>134.89420000000001</v>
      </c>
      <c r="M6648">
        <v>0.97970230000000003</v>
      </c>
      <c r="N6648">
        <v>0</v>
      </c>
      <c r="O6648">
        <v>0.1999119</v>
      </c>
      <c r="P6648">
        <v>0.97721369999999896</v>
      </c>
      <c r="Q6648">
        <v>7.6511859999999999E-3</v>
      </c>
      <c r="R6648">
        <v>0.212119999999999</v>
      </c>
      <c r="S6648">
        <v>2.9890439999999998</v>
      </c>
      <c r="T6648">
        <v>-9.7968219999999995E-2</v>
      </c>
      <c r="U6648">
        <v>0.38087459999999901</v>
      </c>
      <c r="V6648">
        <v>-1.210904E-2</v>
      </c>
      <c r="W6648">
        <v>2.262954E-2</v>
      </c>
      <c r="X6648">
        <v>0.99967059999999996</v>
      </c>
      <c r="Y6648">
        <v>7.4337829999999994E-2</v>
      </c>
      <c r="Z6648">
        <v>-7.6840440000000001E-3</v>
      </c>
      <c r="AA6648">
        <v>0.99720350000000002</v>
      </c>
      <c r="AB6648">
        <v>21</v>
      </c>
      <c r="AC6648">
        <v>33.337999999999901</v>
      </c>
      <c r="AD6648">
        <v>-1.0982137409219901</v>
      </c>
      <c r="AE6648">
        <v>4.2442999999999804</v>
      </c>
      <c r="AF6648">
        <v>2.5041124744563401</v>
      </c>
      <c r="AG6648">
        <v>-1.0982137409219901</v>
      </c>
      <c r="AH6648">
        <v>33.477715851024101</v>
      </c>
      <c r="AI6648">
        <v>91.8736449602264</v>
      </c>
      <c r="AJ6648">
        <v>85.722277080799699</v>
      </c>
      <c r="AK6648">
        <v>33.589196348042996</v>
      </c>
    </row>
    <row r="6649" spans="1:37" x14ac:dyDescent="0.2">
      <c r="A6649" t="str">
        <f>"20200111160350180"</f>
        <v>20200111160350180</v>
      </c>
      <c r="B6649" t="str">
        <f>"1578729830170447"</f>
        <v>1578729830170447</v>
      </c>
      <c r="C6649" t="s">
        <v>37</v>
      </c>
      <c r="D6649">
        <v>5.2339510000000002</v>
      </c>
      <c r="E6649">
        <v>0.53709180000000001</v>
      </c>
      <c r="F6649" t="s">
        <v>38</v>
      </c>
      <c r="G6649">
        <v>-145.87530000000001</v>
      </c>
      <c r="H6649" s="1">
        <v>-2.0430679999999999E-6</v>
      </c>
      <c r="I6649">
        <v>137.9742</v>
      </c>
      <c r="J6649">
        <v>-171.5719</v>
      </c>
      <c r="K6649">
        <v>1.0983780000000001</v>
      </c>
      <c r="L6649">
        <v>134.92179999999999</v>
      </c>
      <c r="M6649">
        <v>0.98168829999999996</v>
      </c>
      <c r="N6649">
        <v>0</v>
      </c>
      <c r="O6649">
        <v>0.1899227</v>
      </c>
      <c r="P6649">
        <v>0.97898109999999905</v>
      </c>
      <c r="Q6649">
        <v>8.0229680000000001E-3</v>
      </c>
      <c r="R6649">
        <v>0.20379420000000001</v>
      </c>
      <c r="S6649">
        <v>2.993668</v>
      </c>
      <c r="T6649">
        <v>-0.12697719999999901</v>
      </c>
      <c r="U6649">
        <v>0.35610959999999903</v>
      </c>
      <c r="V6649">
        <v>-1.378826E-2</v>
      </c>
      <c r="W6649">
        <v>2.2984210000000001E-2</v>
      </c>
      <c r="X6649">
        <v>0.9996408</v>
      </c>
      <c r="Y6649">
        <v>7.2412740000000003E-2</v>
      </c>
      <c r="Z6649">
        <v>-9.4949379999999996E-3</v>
      </c>
      <c r="AA6649">
        <v>0.99732949999999998</v>
      </c>
      <c r="AB6649">
        <v>21</v>
      </c>
      <c r="AC6649">
        <v>25.696599999999901</v>
      </c>
      <c r="AD6649">
        <v>-1.098380043068</v>
      </c>
      <c r="AE6649">
        <v>3.0524</v>
      </c>
      <c r="AF6649">
        <v>1.88067882952015</v>
      </c>
      <c r="AG6649">
        <v>-1.098380043068</v>
      </c>
      <c r="AH6649">
        <v>25.762163575873299</v>
      </c>
      <c r="AI6649">
        <v>92.434878117939107</v>
      </c>
      <c r="AJ6649">
        <v>85.824723652273093</v>
      </c>
      <c r="AK6649">
        <v>25.854060874239199</v>
      </c>
    </row>
    <row r="6650" spans="1:37" x14ac:dyDescent="0.2">
      <c r="A6650" t="str">
        <f>"20200111160350202"</f>
        <v>20200111160350202</v>
      </c>
      <c r="B6650" t="str">
        <f>"1578729830189966"</f>
        <v>1578729830189966</v>
      </c>
      <c r="C6650" t="s">
        <v>37</v>
      </c>
      <c r="D6650">
        <v>5.1292419999999996</v>
      </c>
      <c r="E6650">
        <v>0.53670299999999904</v>
      </c>
      <c r="F6650" t="s">
        <v>38</v>
      </c>
      <c r="G6650">
        <v>-149.66550000000001</v>
      </c>
      <c r="H6650" s="1">
        <v>-7.2246409999999997E-7</v>
      </c>
      <c r="I6650">
        <v>137.27629999999999</v>
      </c>
      <c r="J6650">
        <v>-171.35849999999999</v>
      </c>
      <c r="K6650">
        <v>1.098627</v>
      </c>
      <c r="L6650">
        <v>134.94999999999999</v>
      </c>
      <c r="M6650">
        <v>0.98367070000000001</v>
      </c>
      <c r="N6650">
        <v>0</v>
      </c>
      <c r="O6650">
        <v>0.17937639999999999</v>
      </c>
      <c r="P6650">
        <v>0.981062199999999</v>
      </c>
      <c r="Q6650">
        <v>6.02256199999999E-3</v>
      </c>
      <c r="R6650">
        <v>0.19359870000000001</v>
      </c>
      <c r="S6650">
        <v>2.9985659999999998</v>
      </c>
      <c r="T6650">
        <v>-0.15034710000000001</v>
      </c>
      <c r="U6650">
        <v>0.32229609999999997</v>
      </c>
      <c r="V6650">
        <v>-1.4159740000000001E-2</v>
      </c>
      <c r="W6650">
        <v>2.092668E-2</v>
      </c>
      <c r="X6650">
        <v>0.99968080000000004</v>
      </c>
      <c r="Y6650">
        <v>7.2924210000000003E-2</v>
      </c>
      <c r="Z6650">
        <v>-1.072715E-2</v>
      </c>
      <c r="AA6650">
        <v>0.99727980000000005</v>
      </c>
      <c r="AB6650">
        <v>21</v>
      </c>
      <c r="AC6650">
        <v>21.692999999999898</v>
      </c>
      <c r="AD6650">
        <v>-1.0986277224640999</v>
      </c>
      <c r="AE6650">
        <v>2.3262999999999998</v>
      </c>
      <c r="AF6650">
        <v>1.59901767377935</v>
      </c>
      <c r="AG6650">
        <v>-1.0986277224640999</v>
      </c>
      <c r="AH6650">
        <v>21.7033695098389</v>
      </c>
      <c r="AI6650">
        <v>92.890027428788997</v>
      </c>
      <c r="AJ6650">
        <v>85.786288783411194</v>
      </c>
      <c r="AK6650">
        <v>21.7899079501092</v>
      </c>
    </row>
    <row r="6651" spans="1:37" x14ac:dyDescent="0.2">
      <c r="A6651" t="str">
        <f>"20200111160350226"</f>
        <v>20200111160350226</v>
      </c>
      <c r="B6651" t="str">
        <f>"1578729830220223"</f>
        <v>1578729830220223</v>
      </c>
      <c r="C6651" t="s">
        <v>37</v>
      </c>
      <c r="D6651">
        <v>5.1156809999999897</v>
      </c>
      <c r="E6651">
        <v>0.53595919999999997</v>
      </c>
      <c r="F6651" t="s">
        <v>42</v>
      </c>
      <c r="G6651">
        <v>-170.56099999999901</v>
      </c>
      <c r="H6651">
        <v>1.05041299999999</v>
      </c>
      <c r="I6651">
        <v>135.0283</v>
      </c>
      <c r="J6651">
        <v>-171.1413</v>
      </c>
      <c r="K6651">
        <v>1.0989599999999999</v>
      </c>
      <c r="L6651">
        <v>134.9769</v>
      </c>
      <c r="M6651">
        <v>0.98548609999999903</v>
      </c>
      <c r="N6651">
        <v>0</v>
      </c>
      <c r="O6651">
        <v>0.1691241</v>
      </c>
      <c r="P6651">
        <v>0.98312409999999995</v>
      </c>
      <c r="Q6651">
        <v>1.1765829999999999E-3</v>
      </c>
      <c r="R6651">
        <v>0.18293609999999999</v>
      </c>
      <c r="S6651">
        <v>3.0008089999999998</v>
      </c>
      <c r="T6651">
        <v>-0.1810686</v>
      </c>
      <c r="U6651">
        <v>0.2949524</v>
      </c>
      <c r="V6651">
        <v>-1.3797770000000001E-2</v>
      </c>
      <c r="W6651">
        <v>1.599751E-2</v>
      </c>
      <c r="X6651">
        <v>0.99977680000000002</v>
      </c>
      <c r="Y6651">
        <v>7.1491399999999997E-2</v>
      </c>
      <c r="Z6651">
        <v>-1.226416E-2</v>
      </c>
      <c r="AA6651">
        <v>0.99736579999999997</v>
      </c>
      <c r="AB6651">
        <v>21</v>
      </c>
      <c r="AC6651">
        <v>0.58030000000002202</v>
      </c>
      <c r="AD6651">
        <v>-4.8547000000000097E-2</v>
      </c>
      <c r="AE6651">
        <v>5.1400000000000903E-2</v>
      </c>
      <c r="AF6651">
        <v>4.71662814979203E-2</v>
      </c>
      <c r="AG6651">
        <v>-4.8547000000000097E-2</v>
      </c>
      <c r="AH6651">
        <v>0.576628491904012</v>
      </c>
      <c r="AI6651">
        <v>94.7965028620184</v>
      </c>
      <c r="AJ6651">
        <v>85.323807368717496</v>
      </c>
      <c r="AK6651">
        <v>0.58058753603124902</v>
      </c>
    </row>
    <row r="6652" spans="1:37" x14ac:dyDescent="0.2">
      <c r="A6652" t="str">
        <f>"20200111160350247"</f>
        <v>20200111160350247</v>
      </c>
      <c r="B6652" t="str">
        <f>"1578729830239743"</f>
        <v>1578729830239743</v>
      </c>
      <c r="C6652" t="s">
        <v>37</v>
      </c>
      <c r="D6652">
        <v>5.1979309999999996</v>
      </c>
      <c r="E6652">
        <v>0.53540310000000002</v>
      </c>
      <c r="F6652" t="s">
        <v>42</v>
      </c>
      <c r="G6652">
        <v>-170.3794</v>
      </c>
      <c r="H6652">
        <v>1.041976</v>
      </c>
      <c r="I6652">
        <v>135.04509999999999</v>
      </c>
      <c r="J6652">
        <v>-170.93549999999999</v>
      </c>
      <c r="K6652">
        <v>1.0993469999999901</v>
      </c>
      <c r="L6652">
        <v>135.001</v>
      </c>
      <c r="M6652">
        <v>0.98701410000000001</v>
      </c>
      <c r="N6652">
        <v>0</v>
      </c>
      <c r="O6652">
        <v>0.15997220000000001</v>
      </c>
      <c r="P6652">
        <v>0.984741599999999</v>
      </c>
      <c r="Q6652">
        <v>-2.310594E-3</v>
      </c>
      <c r="R6652">
        <v>0.17400779999999999</v>
      </c>
      <c r="S6652">
        <v>3.00175499999999</v>
      </c>
      <c r="T6652">
        <v>-0.22448109999999999</v>
      </c>
      <c r="U6652">
        <v>0.2686615</v>
      </c>
      <c r="V6652">
        <v>-1.406402E-2</v>
      </c>
      <c r="W6652">
        <v>1.242922E-2</v>
      </c>
      <c r="X6652">
        <v>0.99982389999999999</v>
      </c>
      <c r="Y6652">
        <v>7.0721339999999994E-2</v>
      </c>
      <c r="Z6652">
        <v>-1.4499659999999999E-2</v>
      </c>
      <c r="AA6652">
        <v>0.99739069999999996</v>
      </c>
      <c r="AB6652">
        <v>21</v>
      </c>
      <c r="AC6652">
        <v>0.55609999999998605</v>
      </c>
      <c r="AD6652">
        <v>-5.7370999999999797E-2</v>
      </c>
      <c r="AE6652">
        <v>4.4099999999985998E-2</v>
      </c>
      <c r="AF6652">
        <v>4.4962475293820997E-2</v>
      </c>
      <c r="AG6652">
        <v>-5.7370999999999797E-2</v>
      </c>
      <c r="AH6652">
        <v>0.55017317079401395</v>
      </c>
      <c r="AI6652">
        <v>95.933537980042601</v>
      </c>
      <c r="AJ6652">
        <v>85.327929786494906</v>
      </c>
      <c r="AK6652">
        <v>0.55498069667970196</v>
      </c>
    </row>
    <row r="6653" spans="1:37" x14ac:dyDescent="0.2">
      <c r="A6653" t="str">
        <f>"20200111160350269"</f>
        <v>20200111160350269</v>
      </c>
      <c r="B6653" t="str">
        <f>"1578729830260238"</f>
        <v>1578729830260238</v>
      </c>
      <c r="C6653" t="s">
        <v>37</v>
      </c>
      <c r="D6653">
        <v>5.2828400000000002</v>
      </c>
      <c r="E6653">
        <v>0.5345008</v>
      </c>
      <c r="F6653" t="s">
        <v>42</v>
      </c>
      <c r="G6653">
        <v>-170.19290000000001</v>
      </c>
      <c r="H6653">
        <v>1.0382910000000001</v>
      </c>
      <c r="I6653">
        <v>135.0616</v>
      </c>
      <c r="J6653">
        <v>-170.72720000000001</v>
      </c>
      <c r="K6653">
        <v>1.0998030000000001</v>
      </c>
      <c r="L6653">
        <v>135.02420000000001</v>
      </c>
      <c r="M6653">
        <v>0.98837120000000001</v>
      </c>
      <c r="N6653">
        <v>0</v>
      </c>
      <c r="O6653">
        <v>0.15136930000000001</v>
      </c>
      <c r="P6653">
        <v>0.98623719999999904</v>
      </c>
      <c r="Q6653">
        <v>-7.5482559999999997E-3</v>
      </c>
      <c r="R6653">
        <v>0.16516510000000001</v>
      </c>
      <c r="S6653">
        <v>3.0025629999999999</v>
      </c>
      <c r="T6653">
        <v>-0.24671779999999999</v>
      </c>
      <c r="U6653">
        <v>0.24523929999999999</v>
      </c>
      <c r="V6653">
        <v>-1.388024E-2</v>
      </c>
      <c r="W6653">
        <v>7.0951030000000002E-3</v>
      </c>
      <c r="X6653">
        <v>0.9998785</v>
      </c>
      <c r="Y6653">
        <v>6.9680469999999994E-2</v>
      </c>
      <c r="Z6653">
        <v>-1.519593E-2</v>
      </c>
      <c r="AA6653">
        <v>0.99745360000000005</v>
      </c>
      <c r="AB6653">
        <v>21</v>
      </c>
      <c r="AC6653">
        <v>0.534300000000001</v>
      </c>
      <c r="AD6653">
        <v>-6.1511999999999997E-2</v>
      </c>
      <c r="AE6653">
        <v>3.7399999999990899E-2</v>
      </c>
      <c r="AF6653">
        <v>4.3344449732465401E-2</v>
      </c>
      <c r="AG6653">
        <v>-6.1511999999999997E-2</v>
      </c>
      <c r="AH6653">
        <v>0.52685499144004</v>
      </c>
      <c r="AI6653">
        <v>96.637093501635107</v>
      </c>
      <c r="AJ6653">
        <v>85.296858277688699</v>
      </c>
      <c r="AK6653">
        <v>0.53220169998967004</v>
      </c>
    </row>
    <row r="6654" spans="1:37" x14ac:dyDescent="0.2">
      <c r="A6654" t="str">
        <f>"20200111160350292"</f>
        <v>20200111160350292</v>
      </c>
      <c r="B6654" t="str">
        <f>"1578729830279759"</f>
        <v>1578729830279759</v>
      </c>
      <c r="C6654" t="s">
        <v>37</v>
      </c>
      <c r="D6654">
        <v>5.1929679999999996</v>
      </c>
      <c r="E6654">
        <v>0.53388239999999998</v>
      </c>
      <c r="F6654" t="s">
        <v>42</v>
      </c>
      <c r="G6654">
        <v>-169.8271</v>
      </c>
      <c r="H6654">
        <v>1.0186090000000001</v>
      </c>
      <c r="I6654">
        <v>135.09119999999999</v>
      </c>
      <c r="J6654">
        <v>-170.5145</v>
      </c>
      <c r="K6654">
        <v>1.1002860000000001</v>
      </c>
      <c r="L6654">
        <v>135.04669999999999</v>
      </c>
      <c r="M6654">
        <v>0.98955969999999904</v>
      </c>
      <c r="N6654">
        <v>0</v>
      </c>
      <c r="O6654">
        <v>0.143403</v>
      </c>
      <c r="P6654">
        <v>0.98752989999999996</v>
      </c>
      <c r="Q6654">
        <v>-1.302449E-2</v>
      </c>
      <c r="R6654">
        <v>0.15689239999999999</v>
      </c>
      <c r="S6654">
        <v>3.0023040000000001</v>
      </c>
      <c r="T6654">
        <v>-0.27070820000000001</v>
      </c>
      <c r="U6654">
        <v>0.22387699999999999</v>
      </c>
      <c r="V6654">
        <v>-1.362644E-2</v>
      </c>
      <c r="W6654">
        <v>1.512829E-3</v>
      </c>
      <c r="X6654">
        <v>0.99990599999999996</v>
      </c>
      <c r="Y6654">
        <v>6.8577620000000006E-2</v>
      </c>
      <c r="Z6654">
        <v>-1.5918109999999999E-2</v>
      </c>
      <c r="AA6654">
        <v>0.99751880000000004</v>
      </c>
      <c r="AB6654">
        <v>21</v>
      </c>
      <c r="AC6654">
        <v>0.68739999999999601</v>
      </c>
      <c r="AD6654">
        <v>-8.1677E-2</v>
      </c>
      <c r="AE6654">
        <v>4.4499999999999297E-2</v>
      </c>
      <c r="AF6654">
        <v>5.3789226377709602E-2</v>
      </c>
      <c r="AG6654">
        <v>-8.1677E-2</v>
      </c>
      <c r="AH6654">
        <v>0.67715556244478503</v>
      </c>
      <c r="AI6654">
        <v>96.856274312478206</v>
      </c>
      <c r="AJ6654">
        <v>85.458299045016403</v>
      </c>
      <c r="AK6654">
        <v>0.684181312923136</v>
      </c>
    </row>
    <row r="6655" spans="1:37" x14ac:dyDescent="0.2">
      <c r="A6655" t="str">
        <f>"20200111160350316"</f>
        <v>20200111160350316</v>
      </c>
      <c r="B6655" t="str">
        <f>"1578729830310015"</f>
        <v>1578729830310015</v>
      </c>
      <c r="C6655" t="s">
        <v>37</v>
      </c>
      <c r="D6655">
        <v>5.2371850000000002</v>
      </c>
      <c r="E6655">
        <v>0.53222179999999997</v>
      </c>
      <c r="F6655" t="s">
        <v>42</v>
      </c>
      <c r="G6655">
        <v>-169.64160000000001</v>
      </c>
      <c r="H6655">
        <v>1.014975</v>
      </c>
      <c r="I6655">
        <v>135.1054</v>
      </c>
      <c r="J6655">
        <v>-170.2867</v>
      </c>
      <c r="K6655">
        <v>1.1007579999999999</v>
      </c>
      <c r="L6655">
        <v>135.06989999999999</v>
      </c>
      <c r="M6655">
        <v>0.99065669999999995</v>
      </c>
      <c r="N6655">
        <v>0</v>
      </c>
      <c r="O6655">
        <v>0.13562630000000001</v>
      </c>
      <c r="P6655">
        <v>0.9888728</v>
      </c>
      <c r="Q6655">
        <v>-1.8747469999999999E-2</v>
      </c>
      <c r="R6655">
        <v>0.14757770000000001</v>
      </c>
      <c r="S6655">
        <v>3.0019529999999999</v>
      </c>
      <c r="T6655">
        <v>-0.29332279999999999</v>
      </c>
      <c r="U6655">
        <v>0.20195009999999999</v>
      </c>
      <c r="V6655">
        <v>-1.2122519999999999E-2</v>
      </c>
      <c r="W6655">
        <v>-4.3304340000000002E-3</v>
      </c>
      <c r="X6655">
        <v>0.9999171</v>
      </c>
      <c r="Y6655">
        <v>6.7873719999999998E-2</v>
      </c>
      <c r="Z6655">
        <v>-1.6465879999999999E-2</v>
      </c>
      <c r="AA6655">
        <v>0.9975581</v>
      </c>
      <c r="AB6655">
        <v>21</v>
      </c>
      <c r="AC6655">
        <v>0.64509999999998502</v>
      </c>
      <c r="AD6655">
        <v>-8.5782999999999901E-2</v>
      </c>
      <c r="AE6655">
        <v>3.5500000000013097E-2</v>
      </c>
      <c r="AF6655">
        <v>5.1423020268762401E-2</v>
      </c>
      <c r="AG6655">
        <v>-8.5782999999999901E-2</v>
      </c>
      <c r="AH6655">
        <v>0.632797537600854</v>
      </c>
      <c r="AI6655">
        <v>97.694982274201195</v>
      </c>
      <c r="AJ6655">
        <v>85.354182156977799</v>
      </c>
      <c r="AK6655">
        <v>0.64065261546041097</v>
      </c>
    </row>
    <row r="6656" spans="1:37" x14ac:dyDescent="0.2">
      <c r="A6656" t="str">
        <f>"20200111160350341"</f>
        <v>20200111160350341</v>
      </c>
      <c r="B6656" t="str">
        <f>"1578729830329534"</f>
        <v>1578729830329534</v>
      </c>
      <c r="C6656" t="s">
        <v>37</v>
      </c>
      <c r="D6656">
        <v>5.315906</v>
      </c>
      <c r="E6656">
        <v>0.53101529999999997</v>
      </c>
      <c r="F6656" t="s">
        <v>42</v>
      </c>
      <c r="G6656">
        <v>-169.4562</v>
      </c>
      <c r="H6656">
        <v>1.0127619999999999</v>
      </c>
      <c r="I6656">
        <v>135.12119999999999</v>
      </c>
      <c r="J6656">
        <v>-170.05950000000001</v>
      </c>
      <c r="K6656">
        <v>1.101181</v>
      </c>
      <c r="L6656">
        <v>135.09209999999999</v>
      </c>
      <c r="M6656">
        <v>0.99158769999999996</v>
      </c>
      <c r="N6656">
        <v>0</v>
      </c>
      <c r="O6656">
        <v>0.12865399999999999</v>
      </c>
      <c r="P6656">
        <v>0.98987950000000002</v>
      </c>
      <c r="Q6656">
        <v>-2.3630760000000001E-2</v>
      </c>
      <c r="R6656">
        <v>0.13993039999999901</v>
      </c>
      <c r="S6656">
        <v>2.9999689999999899</v>
      </c>
      <c r="T6656">
        <v>-0.31759009999999999</v>
      </c>
      <c r="U6656">
        <v>0.1859894</v>
      </c>
      <c r="V6656">
        <v>-1.147607E-2</v>
      </c>
      <c r="W6656">
        <v>-9.3188100000000003E-3</v>
      </c>
      <c r="X6656">
        <v>0.99989069999999902</v>
      </c>
      <c r="Y6656">
        <v>6.5978129999999996E-2</v>
      </c>
      <c r="Z6656">
        <v>-1.7007870000000001E-2</v>
      </c>
      <c r="AA6656">
        <v>0.99767609999999995</v>
      </c>
      <c r="AB6656">
        <v>21</v>
      </c>
      <c r="AC6656">
        <v>0.60330000000001804</v>
      </c>
      <c r="AD6656">
        <v>-8.8418999999999803E-2</v>
      </c>
      <c r="AE6656">
        <v>2.9099999999999598E-2</v>
      </c>
      <c r="AF6656">
        <v>4.7743553212045903E-2</v>
      </c>
      <c r="AG6656">
        <v>-8.8418999999999803E-2</v>
      </c>
      <c r="AH6656">
        <v>0.58939887532045199</v>
      </c>
      <c r="AI6656">
        <v>98.504191557275405</v>
      </c>
      <c r="AJ6656">
        <v>85.368935117060403</v>
      </c>
      <c r="AK6656">
        <v>0.59790333722377298</v>
      </c>
    </row>
    <row r="6657" spans="1:37" x14ac:dyDescent="0.2">
      <c r="A6657" t="str">
        <f>"20200111160350362"</f>
        <v>20200111160350362</v>
      </c>
      <c r="B6657" t="str">
        <f>"1578729830359790"</f>
        <v>1578729830359790</v>
      </c>
      <c r="C6657" t="s">
        <v>37</v>
      </c>
      <c r="D6657">
        <v>5.2328060000000001</v>
      </c>
      <c r="E6657">
        <v>0.52942119999999904</v>
      </c>
      <c r="F6657" t="s">
        <v>42</v>
      </c>
      <c r="G6657">
        <v>-169.26990000000001</v>
      </c>
      <c r="H6657">
        <v>1.0131749999999999</v>
      </c>
      <c r="I6657">
        <v>135.13740000000001</v>
      </c>
      <c r="J6657">
        <v>-169.85599999999999</v>
      </c>
      <c r="K6657">
        <v>1.1015600000000001</v>
      </c>
      <c r="L6657">
        <v>135.11150000000001</v>
      </c>
      <c r="M6657">
        <v>0.99228729999999998</v>
      </c>
      <c r="N6657">
        <v>0</v>
      </c>
      <c r="O6657">
        <v>0.1231497</v>
      </c>
      <c r="P6657">
        <v>0.990309199999999</v>
      </c>
      <c r="Q6657">
        <v>-2.8858620000000001E-2</v>
      </c>
      <c r="R6657">
        <v>0.1358491</v>
      </c>
      <c r="S6657">
        <v>2.9983979999999999</v>
      </c>
      <c r="T6657">
        <v>-0.33423150000000001</v>
      </c>
      <c r="U6657">
        <v>0.1719666</v>
      </c>
      <c r="V6657">
        <v>-1.294755E-2</v>
      </c>
      <c r="W6657">
        <v>-1.462573E-2</v>
      </c>
      <c r="X6657">
        <v>0.99980919999999895</v>
      </c>
      <c r="Y6657">
        <v>6.4980659999999996E-2</v>
      </c>
      <c r="Z6657">
        <v>-1.7244720000000002E-2</v>
      </c>
      <c r="AA6657">
        <v>0.99773750000000005</v>
      </c>
      <c r="AB6657">
        <v>21</v>
      </c>
      <c r="AC6657">
        <v>0.58609999999998696</v>
      </c>
      <c r="AD6657">
        <v>-8.8385000000000102E-2</v>
      </c>
      <c r="AE6657">
        <v>2.5900000000007101E-2</v>
      </c>
      <c r="AF6657">
        <v>4.5450854867147901E-2</v>
      </c>
      <c r="AG6657">
        <v>-8.8385000000000102E-2</v>
      </c>
      <c r="AH6657">
        <v>0.57184848420871304</v>
      </c>
      <c r="AI6657">
        <v>98.758930376557004</v>
      </c>
      <c r="AJ6657">
        <v>85.455650711321994</v>
      </c>
      <c r="AK6657">
        <v>0.58042086224131995</v>
      </c>
    </row>
    <row r="6658" spans="1:37" x14ac:dyDescent="0.2">
      <c r="A6658" t="str">
        <f>"20200111160350383"</f>
        <v>20200111160350383</v>
      </c>
      <c r="B6658" t="str">
        <f>"1578729830380002"</f>
        <v>1578729830380002</v>
      </c>
      <c r="C6658" t="s">
        <v>37</v>
      </c>
      <c r="D6658">
        <v>5.2844930000000003</v>
      </c>
      <c r="E6658">
        <v>0.52817230000000004</v>
      </c>
      <c r="F6658" t="s">
        <v>42</v>
      </c>
      <c r="G6658">
        <v>-169.08590000000001</v>
      </c>
      <c r="H6658">
        <v>1.010448</v>
      </c>
      <c r="I6658">
        <v>135.15549999999999</v>
      </c>
      <c r="J6658">
        <v>-169.6635</v>
      </c>
      <c r="K6658">
        <v>1.1019589999999999</v>
      </c>
      <c r="L6658">
        <v>135.1294</v>
      </c>
      <c r="M6658">
        <v>0.9928382</v>
      </c>
      <c r="N6658">
        <v>0</v>
      </c>
      <c r="O6658">
        <v>0.11863499999999901</v>
      </c>
      <c r="P6658">
        <v>0.99021999999999999</v>
      </c>
      <c r="Q6658">
        <v>-3.4779930000000001E-2</v>
      </c>
      <c r="R6658">
        <v>0.13511139999999999</v>
      </c>
      <c r="S6658">
        <v>2.9954830000000001</v>
      </c>
      <c r="T6658">
        <v>-0.35434509999999902</v>
      </c>
      <c r="U6658">
        <v>0.17161560000000001</v>
      </c>
      <c r="V6658">
        <v>-1.6793010000000001E-2</v>
      </c>
      <c r="W6658">
        <v>-2.06123E-2</v>
      </c>
      <c r="X6658">
        <v>0.99964649999999999</v>
      </c>
      <c r="Y6658">
        <v>6.0419519999999997E-2</v>
      </c>
      <c r="Z6658">
        <v>-1.7496649999999999E-2</v>
      </c>
      <c r="AA6658">
        <v>0.99801969999999995</v>
      </c>
      <c r="AB6658">
        <v>21</v>
      </c>
      <c r="AC6658">
        <v>0.57759999999998901</v>
      </c>
      <c r="AD6658">
        <v>-9.1510999999999898E-2</v>
      </c>
      <c r="AE6658">
        <v>2.6099999999985302E-2</v>
      </c>
      <c r="AF6658">
        <v>4.1573310844574898E-2</v>
      </c>
      <c r="AG6658">
        <v>-9.1510999999999898E-2</v>
      </c>
      <c r="AH6658">
        <v>0.56252559681673198</v>
      </c>
      <c r="AI6658">
        <v>99.215168925343306</v>
      </c>
      <c r="AJ6658">
        <v>85.7732542136511</v>
      </c>
      <c r="AK6658">
        <v>0.57143472975450105</v>
      </c>
    </row>
    <row r="6659" spans="1:37" x14ac:dyDescent="0.2">
      <c r="A6659" t="str">
        <f>"20200111160350431"</f>
        <v>20200111160350431</v>
      </c>
      <c r="B6659" t="str">
        <f>"1578729830420017"</f>
        <v>1578729830420017</v>
      </c>
      <c r="C6659" t="s">
        <v>37</v>
      </c>
      <c r="D6659">
        <v>5.2399849999999999</v>
      </c>
      <c r="E6659">
        <v>0.50950260000000003</v>
      </c>
      <c r="F6659" t="s">
        <v>42</v>
      </c>
      <c r="G6659">
        <v>-168.90309999999999</v>
      </c>
      <c r="H6659">
        <v>1.0065280000000001</v>
      </c>
      <c r="I6659">
        <v>135.17490000000001</v>
      </c>
      <c r="J6659">
        <v>-169.2278</v>
      </c>
      <c r="K6659">
        <v>1.103035</v>
      </c>
      <c r="L6659">
        <v>135.16990000000001</v>
      </c>
      <c r="M6659">
        <v>0.99373919999999905</v>
      </c>
      <c r="N6659">
        <v>0</v>
      </c>
      <c r="O6659">
        <v>0.11085349999999999</v>
      </c>
      <c r="P6659">
        <v>0.98947980000000002</v>
      </c>
      <c r="Q6659">
        <v>-4.2113640000000001E-2</v>
      </c>
      <c r="R6659">
        <v>0.1384069</v>
      </c>
      <c r="S6659">
        <v>2.991959</v>
      </c>
      <c r="T6659">
        <v>-0.37546940000000001</v>
      </c>
      <c r="U6659">
        <v>0.1792755</v>
      </c>
      <c r="V6659">
        <v>-2.7947820000000002E-2</v>
      </c>
      <c r="W6659">
        <v>-2.8106809999999999E-2</v>
      </c>
      <c r="X6659">
        <v>0.99921419999999905</v>
      </c>
      <c r="Y6659">
        <v>4.9970399999999998E-2</v>
      </c>
      <c r="Z6659">
        <v>-1.6933589999999998E-2</v>
      </c>
      <c r="AA6659">
        <v>0.99860720000000003</v>
      </c>
      <c r="AB6659">
        <v>21</v>
      </c>
      <c r="AC6659">
        <v>0.32470000000000698</v>
      </c>
      <c r="AD6659">
        <v>-9.6506999999999898E-2</v>
      </c>
      <c r="AE6659">
        <v>4.9999999999954499E-3</v>
      </c>
      <c r="AF6659">
        <v>2.8510452723331602E-2</v>
      </c>
      <c r="AG6659">
        <v>-9.6506999999999898E-2</v>
      </c>
      <c r="AH6659">
        <v>0.29702042545574098</v>
      </c>
      <c r="AI6659">
        <v>107.922787511984</v>
      </c>
      <c r="AJ6659">
        <v>84.517080099364193</v>
      </c>
      <c r="AK6659">
        <v>0.31360417742976299</v>
      </c>
    </row>
    <row r="6660" spans="1:37" x14ac:dyDescent="0.2">
      <c r="A6660" t="str">
        <f>"20200111160350456"</f>
        <v>20200111160350456</v>
      </c>
      <c r="B6660" t="str">
        <f>"1578729830450274"</f>
        <v>1578729830450274</v>
      </c>
      <c r="C6660" t="s">
        <v>37</v>
      </c>
      <c r="D6660">
        <v>5.2827409999999997</v>
      </c>
      <c r="E6660">
        <v>0.50817199999999996</v>
      </c>
      <c r="F6660" t="s">
        <v>42</v>
      </c>
      <c r="G6660">
        <v>-168.35749999999999</v>
      </c>
      <c r="H6660">
        <v>1.000685</v>
      </c>
      <c r="I6660">
        <v>135.2688</v>
      </c>
      <c r="J6660">
        <v>-168.99940000000001</v>
      </c>
      <c r="K6660">
        <v>1.103629</v>
      </c>
      <c r="L6660">
        <v>135.1917</v>
      </c>
      <c r="M6660">
        <v>0.99402869999999999</v>
      </c>
      <c r="N6660">
        <v>0</v>
      </c>
      <c r="O6660">
        <v>0.1082347</v>
      </c>
      <c r="P6660">
        <v>0.98911970000000005</v>
      </c>
      <c r="Q6660">
        <v>-4.2966110000000002E-2</v>
      </c>
      <c r="R6660">
        <v>0.14069799999999999</v>
      </c>
      <c r="S6660">
        <v>2.9697419999999899</v>
      </c>
      <c r="T6660">
        <v>-0.34926220000000002</v>
      </c>
      <c r="U6660">
        <v>0.33824159999999998</v>
      </c>
      <c r="V6660">
        <v>-3.285747E-2</v>
      </c>
      <c r="W6660">
        <v>-2.905344E-2</v>
      </c>
      <c r="X6660">
        <v>0.99903770000000003</v>
      </c>
      <c r="Y6660">
        <v>-5.6434049999999998E-3</v>
      </c>
      <c r="Z6660">
        <v>-1.2278539999999999E-2</v>
      </c>
      <c r="AA6660">
        <v>0.99990869999999998</v>
      </c>
      <c r="AB6660">
        <v>21</v>
      </c>
      <c r="AC6660">
        <v>0.64190000000002101</v>
      </c>
      <c r="AD6660">
        <v>-0.10294399999999999</v>
      </c>
      <c r="AE6660">
        <v>7.7100000000001501E-2</v>
      </c>
      <c r="AF6660">
        <v>-6.9872915343157597E-3</v>
      </c>
      <c r="AG6660">
        <v>-0.10294399999999999</v>
      </c>
      <c r="AH6660">
        <v>0.63048863348171003</v>
      </c>
      <c r="AI6660">
        <v>99.272668971697698</v>
      </c>
      <c r="AJ6660">
        <v>90.634945509403707</v>
      </c>
      <c r="AK6660">
        <v>0.63887573621841298</v>
      </c>
    </row>
    <row r="6661" spans="1:37" x14ac:dyDescent="0.2">
      <c r="A6661" t="str">
        <f>"20200111160350474"</f>
        <v>20200111160350474</v>
      </c>
      <c r="B6661" t="str">
        <f>"1578729830469795"</f>
        <v>1578729830469795</v>
      </c>
      <c r="C6661" t="s">
        <v>37</v>
      </c>
      <c r="D6661">
        <v>5.4001409999999996</v>
      </c>
      <c r="E6661">
        <v>0.50698699999999997</v>
      </c>
      <c r="F6661" t="s">
        <v>42</v>
      </c>
      <c r="G6661">
        <v>-168.1711</v>
      </c>
      <c r="H6661">
        <v>1.007922</v>
      </c>
      <c r="I6661">
        <v>135.291</v>
      </c>
      <c r="J6661">
        <v>-168.83160000000001</v>
      </c>
      <c r="K6661">
        <v>1.1040080000000001</v>
      </c>
      <c r="L6661">
        <v>135.208</v>
      </c>
      <c r="M6661">
        <v>0.99418249999999997</v>
      </c>
      <c r="N6661">
        <v>0</v>
      </c>
      <c r="O6661">
        <v>0.1068185</v>
      </c>
      <c r="P6661">
        <v>0.98873599999999995</v>
      </c>
      <c r="Q6661">
        <v>-4.24316E-2</v>
      </c>
      <c r="R6661">
        <v>0.14352999999999999</v>
      </c>
      <c r="S6661">
        <v>2.9674680000000002</v>
      </c>
      <c r="T6661">
        <v>-0.34291539999999998</v>
      </c>
      <c r="U6661">
        <v>0.35597230000000002</v>
      </c>
      <c r="V6661">
        <v>-3.7110299999999999E-2</v>
      </c>
      <c r="W6661">
        <v>-2.8585659999999999E-2</v>
      </c>
      <c r="X6661">
        <v>0.99890230000000002</v>
      </c>
      <c r="Y6661">
        <v>-1.296629E-2</v>
      </c>
      <c r="Z6661">
        <v>-1.1479329999999999E-2</v>
      </c>
      <c r="AA6661">
        <v>0.99985000000000002</v>
      </c>
      <c r="AB6661">
        <v>21</v>
      </c>
      <c r="AC6661">
        <v>0.66050000000001297</v>
      </c>
      <c r="AD6661">
        <v>-9.6086000000000102E-2</v>
      </c>
      <c r="AE6661">
        <v>8.2999999999998395E-2</v>
      </c>
      <c r="AF6661">
        <v>-1.1720487461339401E-2</v>
      </c>
      <c r="AG6661">
        <v>-9.6086000000000102E-2</v>
      </c>
      <c r="AH6661">
        <v>0.65200327206796205</v>
      </c>
      <c r="AI6661">
        <v>98.382025983239302</v>
      </c>
      <c r="AJ6661">
        <v>91.029844748887299</v>
      </c>
      <c r="AK6661">
        <v>0.65914957028709398</v>
      </c>
    </row>
    <row r="6662" spans="1:37" x14ac:dyDescent="0.2">
      <c r="A6662" t="str">
        <f>"20200111160350498"</f>
        <v>20200111160350498</v>
      </c>
      <c r="B6662" t="str">
        <f>"1578729830490290"</f>
        <v>1578729830490290</v>
      </c>
      <c r="C6662" t="s">
        <v>37</v>
      </c>
      <c r="D6662">
        <v>5.2443269999999904</v>
      </c>
      <c r="E6662">
        <v>0.50701940000000001</v>
      </c>
      <c r="F6662" t="s">
        <v>42</v>
      </c>
      <c r="G6662">
        <v>-167.98840000000001</v>
      </c>
      <c r="H6662">
        <v>1.008891</v>
      </c>
      <c r="I6662">
        <v>135.3142</v>
      </c>
      <c r="J6662">
        <v>-168.608</v>
      </c>
      <c r="K6662">
        <v>1.104419</v>
      </c>
      <c r="L6662">
        <v>135.23009999999999</v>
      </c>
      <c r="M6662">
        <v>0.99430439999999998</v>
      </c>
      <c r="N6662">
        <v>0</v>
      </c>
      <c r="O6662">
        <v>0.10568329999999999</v>
      </c>
      <c r="P6662">
        <v>0.98836399999999902</v>
      </c>
      <c r="Q6662">
        <v>-4.2737999999999998E-2</v>
      </c>
      <c r="R6662">
        <v>0.14598069999999999</v>
      </c>
      <c r="S6662">
        <v>2.9654849999999899</v>
      </c>
      <c r="T6662">
        <v>-0.33457419999999999</v>
      </c>
      <c r="U6662">
        <v>0.37422179999999999</v>
      </c>
      <c r="V6662">
        <v>-4.0699079999999999E-2</v>
      </c>
      <c r="W6662">
        <v>-2.8978730000000001E-2</v>
      </c>
      <c r="X6662">
        <v>0.9987511</v>
      </c>
      <c r="Y6662">
        <v>-2.0167020000000001E-2</v>
      </c>
      <c r="Z6662">
        <v>-1.067457E-2</v>
      </c>
      <c r="AA6662">
        <v>0.99973959999999995</v>
      </c>
      <c r="AB6662">
        <v>21</v>
      </c>
      <c r="AC6662">
        <v>0.61959999999999105</v>
      </c>
      <c r="AD6662">
        <v>-9.5528000000000002E-2</v>
      </c>
      <c r="AE6662">
        <v>8.4100000000006503E-2</v>
      </c>
      <c r="AF6662">
        <v>-1.77275784755303E-2</v>
      </c>
      <c r="AG6662">
        <v>-9.5528000000000002E-2</v>
      </c>
      <c r="AH6662">
        <v>0.61076277897886999</v>
      </c>
      <c r="AI6662">
        <v>98.885796547273202</v>
      </c>
      <c r="AJ6662">
        <v>91.662560932935307</v>
      </c>
      <c r="AK6662">
        <v>0.61844242901712199</v>
      </c>
    </row>
    <row r="6663" spans="1:37" x14ac:dyDescent="0.2">
      <c r="A6663" t="str">
        <f>"20200111160350518"</f>
        <v>20200111160350518</v>
      </c>
      <c r="B6663" t="str">
        <f>"1578729830509810"</f>
        <v>1578729830509810</v>
      </c>
      <c r="C6663" t="s">
        <v>37</v>
      </c>
      <c r="D6663">
        <v>5.3204260000000003</v>
      </c>
      <c r="E6663">
        <v>0.50647019999999998</v>
      </c>
      <c r="F6663" t="s">
        <v>42</v>
      </c>
      <c r="G6663">
        <v>-167.80369999999999</v>
      </c>
      <c r="H6663">
        <v>1.013981</v>
      </c>
      <c r="I6663">
        <v>135.33359999999999</v>
      </c>
      <c r="J6663">
        <v>-168.42160000000001</v>
      </c>
      <c r="K6663">
        <v>1.1047129999999901</v>
      </c>
      <c r="L6663">
        <v>135.2491</v>
      </c>
      <c r="M6663">
        <v>0.99434</v>
      </c>
      <c r="N6663">
        <v>0</v>
      </c>
      <c r="O6663">
        <v>0.10535269999999999</v>
      </c>
      <c r="P6663">
        <v>0.98796319999999904</v>
      </c>
      <c r="Q6663">
        <v>-4.421742E-2</v>
      </c>
      <c r="R6663">
        <v>0.14823520000000001</v>
      </c>
      <c r="S6663">
        <v>2.9645540000000001</v>
      </c>
      <c r="T6663">
        <v>-0.33336709999999897</v>
      </c>
      <c r="U6663">
        <v>0.38142399999999999</v>
      </c>
      <c r="V6663">
        <v>-4.3293419999999999E-2</v>
      </c>
      <c r="W6663">
        <v>-3.0527220000000001E-2</v>
      </c>
      <c r="X6663">
        <v>0.99859589999999998</v>
      </c>
      <c r="Y6663">
        <v>-2.2905849999999998E-2</v>
      </c>
      <c r="Z6663">
        <v>-1.044807E-2</v>
      </c>
      <c r="AA6663">
        <v>0.99968299999999999</v>
      </c>
      <c r="AB6663">
        <v>20</v>
      </c>
      <c r="AC6663">
        <v>0.61790000000001999</v>
      </c>
      <c r="AD6663">
        <v>-9.0731999999999799E-2</v>
      </c>
      <c r="AE6663">
        <v>8.4499999999991304E-2</v>
      </c>
      <c r="AF6663">
        <v>-1.8533797813732499E-2</v>
      </c>
      <c r="AG6663">
        <v>-9.0731999999999799E-2</v>
      </c>
      <c r="AH6663">
        <v>0.61044322262803297</v>
      </c>
      <c r="AI6663">
        <v>98.450312160974093</v>
      </c>
      <c r="AJ6663">
        <v>91.739035251482704</v>
      </c>
      <c r="AK6663">
        <v>0.61742750630166998</v>
      </c>
    </row>
    <row r="6664" spans="1:37" x14ac:dyDescent="0.2">
      <c r="A6664" t="str">
        <f>"20200111160350541"</f>
        <v>20200111160350541</v>
      </c>
      <c r="B6664" t="str">
        <f>"1578729830530306"</f>
        <v>1578729830530306</v>
      </c>
      <c r="C6664" t="s">
        <v>37</v>
      </c>
      <c r="D6664">
        <v>5.3170979999999997</v>
      </c>
      <c r="E6664">
        <v>0.50618920000000001</v>
      </c>
      <c r="F6664" t="s">
        <v>42</v>
      </c>
      <c r="G6664">
        <v>-167.62209999999999</v>
      </c>
      <c r="H6664">
        <v>1.0139689999999999</v>
      </c>
      <c r="I6664">
        <v>135.35489999999999</v>
      </c>
      <c r="J6664">
        <v>-168.22380000000001</v>
      </c>
      <c r="K6664">
        <v>1.105002</v>
      </c>
      <c r="L6664">
        <v>135.2698</v>
      </c>
      <c r="M6664">
        <v>0.99431650000000005</v>
      </c>
      <c r="N6664">
        <v>0</v>
      </c>
      <c r="O6664">
        <v>0.1055779</v>
      </c>
      <c r="P6664">
        <v>0.98749010000000004</v>
      </c>
      <c r="Q6664">
        <v>-4.6243029999999997E-2</v>
      </c>
      <c r="R6664">
        <v>0.15074770000000001</v>
      </c>
      <c r="S6664">
        <v>2.962555</v>
      </c>
      <c r="T6664">
        <v>-0.33644380000000002</v>
      </c>
      <c r="U6664">
        <v>0.39273069999999999</v>
      </c>
      <c r="V6664">
        <v>-4.5590180000000001E-2</v>
      </c>
      <c r="W6664">
        <v>-3.2620870000000003E-2</v>
      </c>
      <c r="X6664">
        <v>0.99842749999999902</v>
      </c>
      <c r="Y6664">
        <v>-2.6504389999999999E-2</v>
      </c>
      <c r="Z6664">
        <v>-1.037013E-2</v>
      </c>
      <c r="AA6664">
        <v>0.99959489999999995</v>
      </c>
      <c r="AB6664">
        <v>20</v>
      </c>
      <c r="AC6664">
        <v>0.601700000000022</v>
      </c>
      <c r="AD6664">
        <v>-9.1032999999999906E-2</v>
      </c>
      <c r="AE6664">
        <v>8.5099999999982801E-2</v>
      </c>
      <c r="AF6664">
        <v>-2.0629161942010799E-2</v>
      </c>
      <c r="AG6664">
        <v>-9.1032999999999906E-2</v>
      </c>
      <c r="AH6664">
        <v>0.59399241160210503</v>
      </c>
      <c r="AI6664">
        <v>98.707967718109202</v>
      </c>
      <c r="AJ6664">
        <v>91.989064213695499</v>
      </c>
      <c r="AK6664">
        <v>0.60128159330908704</v>
      </c>
    </row>
    <row r="6665" spans="1:37" x14ac:dyDescent="0.2">
      <c r="A6665" t="str">
        <f>"20200111160350563"</f>
        <v>20200111160350563</v>
      </c>
      <c r="B6665" t="str">
        <f>"1578729830559586"</f>
        <v>1578729830559586</v>
      </c>
      <c r="C6665" t="s">
        <v>37</v>
      </c>
      <c r="D6665">
        <v>5.3552689999999998</v>
      </c>
      <c r="E6665">
        <v>0.50596869999999905</v>
      </c>
      <c r="F6665" t="s">
        <v>42</v>
      </c>
      <c r="G6665">
        <v>-167.4408</v>
      </c>
      <c r="H6665">
        <v>1.01451</v>
      </c>
      <c r="I6665">
        <v>135.37629999999999</v>
      </c>
      <c r="J6665">
        <v>-168.0179</v>
      </c>
      <c r="K6665">
        <v>1.1053090000000001</v>
      </c>
      <c r="L6665">
        <v>135.2921</v>
      </c>
      <c r="M6665">
        <v>0.99423209999999995</v>
      </c>
      <c r="N6665">
        <v>0</v>
      </c>
      <c r="O6665">
        <v>0.106374</v>
      </c>
      <c r="P6665">
        <v>0.98700949999999998</v>
      </c>
      <c r="Q6665">
        <v>-4.810971E-2</v>
      </c>
      <c r="R6665">
        <v>0.15328989999999901</v>
      </c>
      <c r="S6665">
        <v>2.9605410000000001</v>
      </c>
      <c r="T6665">
        <v>-0.34220440000000002</v>
      </c>
      <c r="U6665">
        <v>0.402572599999999</v>
      </c>
      <c r="V6665">
        <v>-4.7340930000000003E-2</v>
      </c>
      <c r="W6665">
        <v>-3.4552010000000001E-2</v>
      </c>
      <c r="X6665">
        <v>0.99828099999999997</v>
      </c>
      <c r="Y6665">
        <v>-2.906268E-2</v>
      </c>
      <c r="Z6665">
        <v>-1.0494649999999999E-2</v>
      </c>
      <c r="AA6665">
        <v>0.99952249999999998</v>
      </c>
      <c r="AB6665">
        <v>20</v>
      </c>
      <c r="AC6665">
        <v>0.57710000000000095</v>
      </c>
      <c r="AD6665">
        <v>-9.0799000000000005E-2</v>
      </c>
      <c r="AE6665">
        <v>8.4199999999981401E-2</v>
      </c>
      <c r="AF6665">
        <v>-2.1799599115549701E-2</v>
      </c>
      <c r="AG6665">
        <v>-9.0799000000000005E-2</v>
      </c>
      <c r="AH6665">
        <v>0.56899087382672398</v>
      </c>
      <c r="AI6665">
        <v>99.060219696058198</v>
      </c>
      <c r="AJ6665">
        <v>92.194085152691898</v>
      </c>
      <c r="AK6665">
        <v>0.57660237202139397</v>
      </c>
    </row>
    <row r="6666" spans="1:37" x14ac:dyDescent="0.2">
      <c r="A6666" t="str">
        <f>"20200111160350584"</f>
        <v>20200111160350584</v>
      </c>
      <c r="B6666" t="str">
        <f>"1578729830580082"</f>
        <v>1578729830580082</v>
      </c>
      <c r="C6666" t="s">
        <v>37</v>
      </c>
      <c r="D6666">
        <v>5.3451919999999999</v>
      </c>
      <c r="E6666">
        <v>0.50573190000000001</v>
      </c>
      <c r="F6666" t="s">
        <v>42</v>
      </c>
      <c r="G6666">
        <v>-167.2593</v>
      </c>
      <c r="H6666">
        <v>1.0164759999999999</v>
      </c>
      <c r="I6666">
        <v>135.3974</v>
      </c>
      <c r="J6666">
        <v>-167.82859999999999</v>
      </c>
      <c r="K6666">
        <v>1.105602</v>
      </c>
      <c r="L6666">
        <v>135.3133</v>
      </c>
      <c r="M6666">
        <v>0.99410359999999998</v>
      </c>
      <c r="N6666">
        <v>0</v>
      </c>
      <c r="O6666">
        <v>0.1075686</v>
      </c>
      <c r="P6666">
        <v>0.98661849999999995</v>
      </c>
      <c r="Q6666">
        <v>-4.8274060000000001E-2</v>
      </c>
      <c r="R6666">
        <v>0.1557354</v>
      </c>
      <c r="S6666">
        <v>2.9586489999999999</v>
      </c>
      <c r="T6666">
        <v>-0.34678379999999998</v>
      </c>
      <c r="U6666">
        <v>0.41163640000000001</v>
      </c>
      <c r="V6666">
        <v>-4.8590559999999998E-2</v>
      </c>
      <c r="W6666">
        <v>-3.4769359999999999E-2</v>
      </c>
      <c r="X6666">
        <v>0.99821340000000003</v>
      </c>
      <c r="Y6666">
        <v>-3.0960959999999999E-2</v>
      </c>
      <c r="Z6666">
        <v>-1.0665600000000001E-2</v>
      </c>
      <c r="AA6666">
        <v>0.99946369999999896</v>
      </c>
      <c r="AB6666">
        <v>20</v>
      </c>
      <c r="AC6666">
        <v>0.56929999999999803</v>
      </c>
      <c r="AD6666">
        <v>-8.9125999999999997E-2</v>
      </c>
      <c r="AE6666">
        <v>8.4100000000006503E-2</v>
      </c>
      <c r="AF6666">
        <v>-2.18434714140909E-2</v>
      </c>
      <c r="AG6666">
        <v>-8.9125999999999997E-2</v>
      </c>
      <c r="AH6666">
        <v>0.56157378247563705</v>
      </c>
      <c r="AI6666">
        <v>99.011356536407106</v>
      </c>
      <c r="AJ6666">
        <v>92.227504477760704</v>
      </c>
      <c r="AK6666">
        <v>0.56902169930804203</v>
      </c>
    </row>
    <row r="6667" spans="1:37" x14ac:dyDescent="0.2">
      <c r="A6667" t="str">
        <f>"20200111160350607"</f>
        <v>20200111160350607</v>
      </c>
      <c r="B6667" t="str">
        <f>"1578729830599602"</f>
        <v>1578729830599602</v>
      </c>
      <c r="C6667" t="s">
        <v>37</v>
      </c>
      <c r="D6667">
        <v>5.3249300000000002</v>
      </c>
      <c r="E6667">
        <v>0.50557799999999997</v>
      </c>
      <c r="F6667" t="s">
        <v>42</v>
      </c>
      <c r="G6667">
        <v>-167.0789</v>
      </c>
      <c r="H6667">
        <v>1.0173779999999999</v>
      </c>
      <c r="I6667">
        <v>135.41990000000001</v>
      </c>
      <c r="J6667">
        <v>-167.62790000000001</v>
      </c>
      <c r="K6667">
        <v>1.10589</v>
      </c>
      <c r="L6667">
        <v>135.33670000000001</v>
      </c>
      <c r="M6667">
        <v>0.99391810000000003</v>
      </c>
      <c r="N6667">
        <v>0</v>
      </c>
      <c r="O6667">
        <v>0.10927049999999899</v>
      </c>
      <c r="P6667">
        <v>0.98628989999999905</v>
      </c>
      <c r="Q6667">
        <v>-4.7021420000000001E-2</v>
      </c>
      <c r="R6667">
        <v>0.15818180000000001</v>
      </c>
      <c r="S6667">
        <v>2.9572910000000001</v>
      </c>
      <c r="T6667">
        <v>-0.34798649999999998</v>
      </c>
      <c r="U6667">
        <v>0.42053220000000002</v>
      </c>
      <c r="V6667">
        <v>-4.9330350000000002E-2</v>
      </c>
      <c r="W6667">
        <v>-3.3564440000000001E-2</v>
      </c>
      <c r="X6667">
        <v>0.99821839999999995</v>
      </c>
      <c r="Y6667">
        <v>-3.2266709999999997E-2</v>
      </c>
      <c r="Z6667">
        <v>-1.082524E-2</v>
      </c>
      <c r="AA6667">
        <v>0.99942059999999999</v>
      </c>
      <c r="AB6667">
        <v>20</v>
      </c>
      <c r="AC6667">
        <v>0.54900000000000604</v>
      </c>
      <c r="AD6667">
        <v>-8.8511999999999896E-2</v>
      </c>
      <c r="AE6667">
        <v>8.3200000000005006E-2</v>
      </c>
      <c r="AF6667">
        <v>-2.2143933187938801E-2</v>
      </c>
      <c r="AG6667">
        <v>-8.8511999999999896E-2</v>
      </c>
      <c r="AH6667">
        <v>0.54105612812408399</v>
      </c>
      <c r="AI6667">
        <v>99.283150081320599</v>
      </c>
      <c r="AJ6667">
        <v>92.343650047851597</v>
      </c>
      <c r="AK6667">
        <v>0.54869523571984602</v>
      </c>
    </row>
    <row r="6668" spans="1:37" x14ac:dyDescent="0.2">
      <c r="A6668" t="str">
        <f>"20200111160350630"</f>
        <v>20200111160350630</v>
      </c>
      <c r="B6668" t="str">
        <f>"1578729830620098"</f>
        <v>1578729830620098</v>
      </c>
      <c r="C6668" t="s">
        <v>37</v>
      </c>
      <c r="D6668">
        <v>5.3345510000000003</v>
      </c>
      <c r="E6668">
        <v>0.50557619999999903</v>
      </c>
      <c r="F6668" t="s">
        <v>42</v>
      </c>
      <c r="G6668">
        <v>-166.89689999999999</v>
      </c>
      <c r="H6668">
        <v>1.0203009999999999</v>
      </c>
      <c r="I6668">
        <v>135.4427</v>
      </c>
      <c r="J6668">
        <v>-167.4143</v>
      </c>
      <c r="K6668">
        <v>1.1061379999999901</v>
      </c>
      <c r="L6668">
        <v>135.36269999999999</v>
      </c>
      <c r="M6668">
        <v>0.99366699999999997</v>
      </c>
      <c r="N6668">
        <v>0</v>
      </c>
      <c r="O6668">
        <v>0.1115321</v>
      </c>
      <c r="P6668">
        <v>0.98600919999999903</v>
      </c>
      <c r="Q6668">
        <v>-4.5006900000000002E-2</v>
      </c>
      <c r="R6668">
        <v>0.1605009</v>
      </c>
      <c r="S6668">
        <v>2.95642099999999</v>
      </c>
      <c r="T6668">
        <v>-0.34624709999999997</v>
      </c>
      <c r="U6668">
        <v>0.42890929999999999</v>
      </c>
      <c r="V6668">
        <v>-4.938447E-2</v>
      </c>
      <c r="W6668">
        <v>-3.1587169999999998E-2</v>
      </c>
      <c r="X6668">
        <v>0.99828019999999995</v>
      </c>
      <c r="Y6668">
        <v>-3.2813929999999998E-2</v>
      </c>
      <c r="Z6668">
        <v>-1.1000589999999999E-2</v>
      </c>
      <c r="AA6668">
        <v>0.99940090000000004</v>
      </c>
      <c r="AB6668">
        <v>20</v>
      </c>
      <c r="AC6668">
        <v>0.51740000000000896</v>
      </c>
      <c r="AD6668">
        <v>-8.5836999999999705E-2</v>
      </c>
      <c r="AE6668">
        <v>8.0000000000012506E-2</v>
      </c>
      <c r="AF6668">
        <v>-2.1218326175423099E-2</v>
      </c>
      <c r="AG6668">
        <v>-8.5836999999999705E-2</v>
      </c>
      <c r="AH6668">
        <v>0.50940173047556603</v>
      </c>
      <c r="AI6668">
        <v>99.556668351137702</v>
      </c>
      <c r="AJ6668">
        <v>92.3851865859002</v>
      </c>
      <c r="AK6668">
        <v>0.51701869496778097</v>
      </c>
    </row>
    <row r="6669" spans="1:37" x14ac:dyDescent="0.2">
      <c r="A6669" t="str">
        <f>"20200111160350650"</f>
        <v>20200111160350650</v>
      </c>
      <c r="B6669" t="str">
        <f>"1578729830639618"</f>
        <v>1578729830639618</v>
      </c>
      <c r="C6669" t="s">
        <v>37</v>
      </c>
      <c r="D6669">
        <v>5.396109</v>
      </c>
      <c r="E6669">
        <v>0.5054843</v>
      </c>
      <c r="F6669" t="s">
        <v>42</v>
      </c>
      <c r="G6669">
        <v>-166.547</v>
      </c>
      <c r="H6669">
        <v>1.0061959999999901</v>
      </c>
      <c r="I6669">
        <v>135.49039999999999</v>
      </c>
      <c r="J6669">
        <v>-167.2372</v>
      </c>
      <c r="K6669">
        <v>1.1062829999999999</v>
      </c>
      <c r="L6669">
        <v>135.38499999999999</v>
      </c>
      <c r="M6669">
        <v>0.99342129999999995</v>
      </c>
      <c r="N6669">
        <v>0</v>
      </c>
      <c r="O6669">
        <v>0.1137007</v>
      </c>
      <c r="P6669">
        <v>0.98572530000000003</v>
      </c>
      <c r="Q6669">
        <v>-4.1820900000000001E-2</v>
      </c>
      <c r="R6669">
        <v>0.1630846</v>
      </c>
      <c r="S6669">
        <v>2.95607</v>
      </c>
      <c r="T6669">
        <v>-0.3408619</v>
      </c>
      <c r="U6669">
        <v>0.43577579999999999</v>
      </c>
      <c r="V6669">
        <v>-4.9810470000000003E-2</v>
      </c>
      <c r="W6669">
        <v>-2.8423819999999999E-2</v>
      </c>
      <c r="X6669">
        <v>0.99835409999999902</v>
      </c>
      <c r="Y6669">
        <v>-3.2919080000000003E-2</v>
      </c>
      <c r="Z6669">
        <v>-1.106939E-2</v>
      </c>
      <c r="AA6669">
        <v>0.99939669999999903</v>
      </c>
      <c r="AB6669">
        <v>20</v>
      </c>
      <c r="AC6669">
        <v>0.69020000000000403</v>
      </c>
      <c r="AD6669">
        <v>-0.100087</v>
      </c>
      <c r="AE6669">
        <v>0.10540000000000301</v>
      </c>
      <c r="AF6669">
        <v>-2.5704617118619402E-2</v>
      </c>
      <c r="AG6669">
        <v>-0.100087</v>
      </c>
      <c r="AH6669">
        <v>0.68365979058403403</v>
      </c>
      <c r="AI6669">
        <v>98.323070377415604</v>
      </c>
      <c r="AJ6669">
        <v>92.153224002356595</v>
      </c>
      <c r="AK6669">
        <v>0.691425226739393</v>
      </c>
    </row>
    <row r="6670" spans="1:37" x14ac:dyDescent="0.2">
      <c r="A6670" t="str">
        <f>"20200111160350672"</f>
        <v>20200111160350672</v>
      </c>
      <c r="B6670" t="str">
        <f>"1578729830669874"</f>
        <v>1578729830669874</v>
      </c>
      <c r="C6670" t="s">
        <v>37</v>
      </c>
      <c r="D6670">
        <v>5.3950309999999897</v>
      </c>
      <c r="E6670">
        <v>0.50515080000000001</v>
      </c>
      <c r="F6670" t="s">
        <v>42</v>
      </c>
      <c r="G6670">
        <v>-166.36760000000001</v>
      </c>
      <c r="H6670">
        <v>1.0085500000000001</v>
      </c>
      <c r="I6670">
        <v>135.51560000000001</v>
      </c>
      <c r="J6670">
        <v>-167.03700000000001</v>
      </c>
      <c r="K6670">
        <v>1.1063620000000001</v>
      </c>
      <c r="L6670">
        <v>135.411</v>
      </c>
      <c r="M6670">
        <v>0.99311269999999996</v>
      </c>
      <c r="N6670">
        <v>0</v>
      </c>
      <c r="O6670">
        <v>0.11636630000000001</v>
      </c>
      <c r="P6670">
        <v>0.98550419999999905</v>
      </c>
      <c r="Q6670">
        <v>-3.7849670000000002E-2</v>
      </c>
      <c r="R6670">
        <v>0.16537499999999999</v>
      </c>
      <c r="S6670">
        <v>2.9558559999999998</v>
      </c>
      <c r="T6670">
        <v>-0.33212929999999902</v>
      </c>
      <c r="U6670">
        <v>0.4440308</v>
      </c>
      <c r="V6670">
        <v>-4.9446709999999998E-2</v>
      </c>
      <c r="W6670">
        <v>-2.4463229999999999E-2</v>
      </c>
      <c r="X6670">
        <v>0.99847710000000001</v>
      </c>
      <c r="Y6670">
        <v>-3.296731E-2</v>
      </c>
      <c r="Z6670">
        <v>-1.1077170000000001E-2</v>
      </c>
      <c r="AA6670">
        <v>0.99939509999999898</v>
      </c>
      <c r="AB6670">
        <v>20</v>
      </c>
      <c r="AC6670">
        <v>0.669399999999996</v>
      </c>
      <c r="AD6670">
        <v>-9.7811999999999996E-2</v>
      </c>
      <c r="AE6670">
        <v>0.104600000000004</v>
      </c>
      <c r="AF6670">
        <v>-2.5455857730803399E-2</v>
      </c>
      <c r="AG6670">
        <v>-9.7811999999999996E-2</v>
      </c>
      <c r="AH6670">
        <v>0.66320218430217703</v>
      </c>
      <c r="AI6670">
        <v>98.383668626329793</v>
      </c>
      <c r="AJ6670">
        <v>92.198119390394098</v>
      </c>
      <c r="AK6670">
        <v>0.67085939309216702</v>
      </c>
    </row>
    <row r="6671" spans="1:37" x14ac:dyDescent="0.2">
      <c r="A6671" t="str">
        <f>"20200111160350697"</f>
        <v>20200111160350697</v>
      </c>
      <c r="B6671" t="str">
        <f>"1578729830690370"</f>
        <v>1578729830690370</v>
      </c>
      <c r="C6671" t="s">
        <v>37</v>
      </c>
      <c r="D6671">
        <v>5.3868869999999998</v>
      </c>
      <c r="E6671">
        <v>0.50493220000000005</v>
      </c>
      <c r="F6671" t="s">
        <v>42</v>
      </c>
      <c r="G6671">
        <v>-166.18719999999999</v>
      </c>
      <c r="H6671">
        <v>1.013655</v>
      </c>
      <c r="I6671">
        <v>135.5411</v>
      </c>
      <c r="J6671">
        <v>-166.82</v>
      </c>
      <c r="K6671">
        <v>1.106366</v>
      </c>
      <c r="L6671">
        <v>135.44</v>
      </c>
      <c r="M6671">
        <v>0.99275460000000004</v>
      </c>
      <c r="N6671">
        <v>0</v>
      </c>
      <c r="O6671">
        <v>0.1193844</v>
      </c>
      <c r="P6671">
        <v>0.98524059999999902</v>
      </c>
      <c r="Q6671">
        <v>-3.560903E-2</v>
      </c>
      <c r="R6671">
        <v>0.16743079999999999</v>
      </c>
      <c r="S6671">
        <v>2.9556119999999999</v>
      </c>
      <c r="T6671">
        <v>-0.32277270000000002</v>
      </c>
      <c r="U6671">
        <v>0.45341490000000001</v>
      </c>
      <c r="V6671">
        <v>-4.8496999999999998E-2</v>
      </c>
      <c r="W6671">
        <v>-2.222244E-2</v>
      </c>
      <c r="X6671">
        <v>0.99857609999999997</v>
      </c>
      <c r="Y6671">
        <v>-3.3031579999999998E-2</v>
      </c>
      <c r="Z6671">
        <v>-1.108481E-2</v>
      </c>
      <c r="AA6671">
        <v>0.99939279999999997</v>
      </c>
      <c r="AB6671">
        <v>20</v>
      </c>
      <c r="AC6671">
        <v>0.63280000000000303</v>
      </c>
      <c r="AD6671">
        <v>-9.2711000000000002E-2</v>
      </c>
      <c r="AE6671">
        <v>0.10110000000000199</v>
      </c>
      <c r="AF6671">
        <v>-2.43144288876928E-2</v>
      </c>
      <c r="AG6671">
        <v>-9.2711000000000002E-2</v>
      </c>
      <c r="AH6671">
        <v>0.62721626243593498</v>
      </c>
      <c r="AI6671">
        <v>98.401982616562904</v>
      </c>
      <c r="AJ6671">
        <v>92.219994957826302</v>
      </c>
      <c r="AK6671">
        <v>0.63449725045679894</v>
      </c>
    </row>
    <row r="6672" spans="1:37" x14ac:dyDescent="0.2">
      <c r="A6672" t="str">
        <f>"20200111160350719"</f>
        <v>20200111160350719</v>
      </c>
      <c r="B6672" t="str">
        <f>"1578729830709890"</f>
        <v>1578729830709890</v>
      </c>
      <c r="C6672" t="s">
        <v>37</v>
      </c>
      <c r="D6672">
        <v>5.3677729999999997</v>
      </c>
      <c r="E6672">
        <v>0.50495779999999901</v>
      </c>
      <c r="F6672" t="s">
        <v>42</v>
      </c>
      <c r="G6672">
        <v>-166.00649999999999</v>
      </c>
      <c r="H6672">
        <v>1.018724</v>
      </c>
      <c r="I6672">
        <v>135.56700000000001</v>
      </c>
      <c r="J6672">
        <v>-166.62299999999999</v>
      </c>
      <c r="K6672">
        <v>1.1063129999999901</v>
      </c>
      <c r="L6672">
        <v>135.46700000000001</v>
      </c>
      <c r="M6672">
        <v>0.99241829999999998</v>
      </c>
      <c r="N6672">
        <v>0</v>
      </c>
      <c r="O6672">
        <v>0.12214800000000001</v>
      </c>
      <c r="P6672">
        <v>0.98521909999999902</v>
      </c>
      <c r="Q6672">
        <v>-3.4581140000000003E-2</v>
      </c>
      <c r="R6672">
        <v>0.16777300000000001</v>
      </c>
      <c r="S6672">
        <v>2.954987</v>
      </c>
      <c r="T6672">
        <v>-0.31839509999999899</v>
      </c>
      <c r="U6672">
        <v>0.46165469999999997</v>
      </c>
      <c r="V6672">
        <v>-4.6068060000000001E-2</v>
      </c>
      <c r="W6672">
        <v>-2.118099E-2</v>
      </c>
      <c r="X6672">
        <v>0.99871369999999904</v>
      </c>
      <c r="Y6672">
        <v>-3.3004079999999998E-2</v>
      </c>
      <c r="Z6672">
        <v>-1.1228419999999999E-2</v>
      </c>
      <c r="AA6672">
        <v>0.99939219999999895</v>
      </c>
      <c r="AB6672">
        <v>20</v>
      </c>
      <c r="AC6672">
        <v>0.61650000000000205</v>
      </c>
      <c r="AD6672">
        <v>-8.7588999999999903E-2</v>
      </c>
      <c r="AE6672">
        <v>9.9999999999994302E-2</v>
      </c>
      <c r="AF6672">
        <v>-2.34780520966658E-2</v>
      </c>
      <c r="AG6672">
        <v>-8.7588999999999903E-2</v>
      </c>
      <c r="AH6672">
        <v>0.612060815871032</v>
      </c>
      <c r="AI6672">
        <v>98.138117594457896</v>
      </c>
      <c r="AJ6672">
        <v>92.196732848199701</v>
      </c>
      <c r="AK6672">
        <v>0.61874186392708797</v>
      </c>
    </row>
    <row r="6673" spans="1:37" x14ac:dyDescent="0.2">
      <c r="A6673" t="str">
        <f>"20200111160350746"</f>
        <v>20200111160350746</v>
      </c>
      <c r="B6673" t="str">
        <f>"1578729830740145"</f>
        <v>1578729830740145</v>
      </c>
      <c r="C6673" t="s">
        <v>37</v>
      </c>
      <c r="D6673">
        <v>5.3872210000000003</v>
      </c>
      <c r="E6673">
        <v>0.50501249999999998</v>
      </c>
      <c r="F6673" t="s">
        <v>42</v>
      </c>
      <c r="G6673">
        <v>-165.8271</v>
      </c>
      <c r="H6673">
        <v>1.0213429999999999</v>
      </c>
      <c r="I6673">
        <v>135.5915</v>
      </c>
      <c r="J6673">
        <v>-166.3871</v>
      </c>
      <c r="K6673">
        <v>1.1062110000000001</v>
      </c>
      <c r="L6673">
        <v>135.5</v>
      </c>
      <c r="M6673">
        <v>0.992012</v>
      </c>
      <c r="N6673">
        <v>0</v>
      </c>
      <c r="O6673">
        <v>0.12540770000000001</v>
      </c>
      <c r="P6673">
        <v>0.98520180000000002</v>
      </c>
      <c r="Q6673">
        <v>-3.4058060000000001E-2</v>
      </c>
      <c r="R6673">
        <v>0.16798179999999999</v>
      </c>
      <c r="S6673">
        <v>2.9550930000000002</v>
      </c>
      <c r="T6673">
        <v>-0.3157218</v>
      </c>
      <c r="U6673">
        <v>0.46289059999999999</v>
      </c>
      <c r="V6673">
        <v>-4.3005750000000002E-2</v>
      </c>
      <c r="W6673">
        <v>-2.0638799999999999E-2</v>
      </c>
      <c r="X6673">
        <v>0.99886160000000002</v>
      </c>
      <c r="Y6673">
        <v>-3.0148149999999999E-2</v>
      </c>
      <c r="Z6673">
        <v>-1.1626600000000001E-2</v>
      </c>
      <c r="AA6673">
        <v>0.99947779999999997</v>
      </c>
      <c r="AB6673">
        <v>20</v>
      </c>
      <c r="AC6673">
        <v>0.56000000000000205</v>
      </c>
      <c r="AD6673">
        <v>-8.4867999999999902E-2</v>
      </c>
      <c r="AE6673">
        <v>9.1499999999996307E-2</v>
      </c>
      <c r="AF6673">
        <v>-2.0093198830854499E-2</v>
      </c>
      <c r="AG6673">
        <v>-8.4867999999999902E-2</v>
      </c>
      <c r="AH6673">
        <v>0.55464646631258396</v>
      </c>
      <c r="AI6673">
        <v>98.693896037812905</v>
      </c>
      <c r="AJ6673">
        <v>92.074749089330297</v>
      </c>
      <c r="AK6673">
        <v>0.56146150060025801</v>
      </c>
    </row>
    <row r="6674" spans="1:37" x14ac:dyDescent="0.2">
      <c r="A6674" t="str">
        <f>"20200111160350783"</f>
        <v>20200111160350783</v>
      </c>
      <c r="B6674" t="str">
        <f>"1578729830779703"</f>
        <v>1578729830779703</v>
      </c>
      <c r="C6674" t="s">
        <v>37</v>
      </c>
      <c r="D6674">
        <v>5.4573289999999997</v>
      </c>
      <c r="E6674">
        <v>0.50506229999999996</v>
      </c>
      <c r="F6674" t="s">
        <v>42</v>
      </c>
      <c r="G6674">
        <v>-165.64529999999999</v>
      </c>
      <c r="H6674">
        <v>1.02742</v>
      </c>
      <c r="I6674">
        <v>135.61619999999999</v>
      </c>
      <c r="J6674">
        <v>-166.0642</v>
      </c>
      <c r="K6674">
        <v>1.1060939999999999</v>
      </c>
      <c r="L6674">
        <v>135.54640000000001</v>
      </c>
      <c r="M6674">
        <v>0.99145319999999904</v>
      </c>
      <c r="N6674">
        <v>0</v>
      </c>
      <c r="O6674">
        <v>0.12975139999999999</v>
      </c>
      <c r="P6674">
        <v>0.98507269999999902</v>
      </c>
      <c r="Q6674">
        <v>-3.6032450000000001E-2</v>
      </c>
      <c r="R6674">
        <v>0.16832620000000001</v>
      </c>
      <c r="S6674">
        <v>2.9552309999999999</v>
      </c>
      <c r="T6674">
        <v>-0.31401299999999999</v>
      </c>
      <c r="U6674">
        <v>0.46321109999999999</v>
      </c>
      <c r="V6674">
        <v>-3.8988599999999998E-2</v>
      </c>
      <c r="W6674">
        <v>-2.259361E-2</v>
      </c>
      <c r="X6674">
        <v>0.99898419999999899</v>
      </c>
      <c r="Y6674">
        <v>-2.5909410000000001E-2</v>
      </c>
      <c r="Z6674">
        <v>-1.223903E-2</v>
      </c>
      <c r="AA6674">
        <v>0.99958939999999996</v>
      </c>
      <c r="AB6674">
        <v>20</v>
      </c>
      <c r="AC6674">
        <v>0.41890000000000699</v>
      </c>
      <c r="AD6674">
        <v>-7.8674000000000105E-2</v>
      </c>
      <c r="AE6674">
        <v>6.9799999999986498E-2</v>
      </c>
      <c r="AF6674">
        <v>-1.43591400637057E-2</v>
      </c>
      <c r="AG6674">
        <v>-7.8674000000000105E-2</v>
      </c>
      <c r="AH6674">
        <v>0.41033302358510798</v>
      </c>
      <c r="AI6674">
        <v>100.847237220862</v>
      </c>
      <c r="AJ6674">
        <v>92.004183180003096</v>
      </c>
      <c r="AK6674">
        <v>0.41805379250027902</v>
      </c>
    </row>
    <row r="6675" spans="1:37" x14ac:dyDescent="0.2">
      <c r="A6675" t="str">
        <f>"20200111160350807"</f>
        <v>20200111160350807</v>
      </c>
      <c r="B6675" t="str">
        <f>"1578729830800199"</f>
        <v>1578729830800199</v>
      </c>
      <c r="C6675" t="s">
        <v>37</v>
      </c>
      <c r="D6675">
        <v>5.5237290000000003</v>
      </c>
      <c r="E6675">
        <v>0.49669639999999998</v>
      </c>
      <c r="F6675" t="s">
        <v>42</v>
      </c>
      <c r="G6675">
        <v>-165.29589999999999</v>
      </c>
      <c r="H6675">
        <v>1.0230090000000001</v>
      </c>
      <c r="I6675">
        <v>135.66640000000001</v>
      </c>
      <c r="J6675">
        <v>-165.84729999999999</v>
      </c>
      <c r="K6675">
        <v>1.1060589999999999</v>
      </c>
      <c r="L6675">
        <v>135.57830000000001</v>
      </c>
      <c r="M6675">
        <v>0.99107129999999999</v>
      </c>
      <c r="N6675">
        <v>0</v>
      </c>
      <c r="O6675">
        <v>0.13263810000000001</v>
      </c>
      <c r="P6675">
        <v>0.98451659999999996</v>
      </c>
      <c r="Q6675">
        <v>-3.7943739999999997E-2</v>
      </c>
      <c r="R6675">
        <v>0.17113629999999999</v>
      </c>
      <c r="S6675">
        <v>2.9547880000000002</v>
      </c>
      <c r="T6675">
        <v>-0.31964890000000001</v>
      </c>
      <c r="U6675">
        <v>0.46214290000000002</v>
      </c>
      <c r="V6675">
        <v>-3.8933969999999998E-2</v>
      </c>
      <c r="W6675">
        <v>-2.450797E-2</v>
      </c>
      <c r="X6675">
        <v>0.99894119999999997</v>
      </c>
      <c r="Y6675">
        <v>-2.272302E-2</v>
      </c>
      <c r="Z6675">
        <v>-1.293647E-2</v>
      </c>
      <c r="AA6675">
        <v>0.99965809999999999</v>
      </c>
      <c r="AB6675">
        <v>20</v>
      </c>
      <c r="AC6675">
        <v>0.551400000000001</v>
      </c>
      <c r="AD6675">
        <v>-8.3049999999999999E-2</v>
      </c>
      <c r="AE6675">
        <v>8.8099999999997097E-2</v>
      </c>
      <c r="AF6675">
        <v>-1.38712031460449E-2</v>
      </c>
      <c r="AG6675">
        <v>-8.3049999999999999E-2</v>
      </c>
      <c r="AH6675">
        <v>0.54613289322239</v>
      </c>
      <c r="AI6675">
        <v>98.643933122169599</v>
      </c>
      <c r="AJ6675">
        <v>91.454939944166298</v>
      </c>
      <c r="AK6675">
        <v>0.552585604079746</v>
      </c>
    </row>
    <row r="6676" spans="1:37" x14ac:dyDescent="0.2">
      <c r="A6676" t="str">
        <f>"20200111160350832"</f>
        <v>20200111160350832</v>
      </c>
      <c r="B6676" t="str">
        <f>"1578729830819720"</f>
        <v>1578729830819720</v>
      </c>
      <c r="C6676" t="s">
        <v>37</v>
      </c>
      <c r="D6676">
        <v>5.5161920000000002</v>
      </c>
      <c r="E6676">
        <v>0.49965779999999899</v>
      </c>
      <c r="F6676" t="s">
        <v>38</v>
      </c>
      <c r="G6676">
        <v>-128.12430000000001</v>
      </c>
      <c r="H6676" s="1">
        <v>-1.5490919999999999E-6</v>
      </c>
      <c r="I6676">
        <v>142.4804</v>
      </c>
      <c r="J6676">
        <v>-165.6386</v>
      </c>
      <c r="K6676">
        <v>1.106063</v>
      </c>
      <c r="L6676">
        <v>135.6097</v>
      </c>
      <c r="M6676">
        <v>0.99069379999999996</v>
      </c>
      <c r="N6676">
        <v>0</v>
      </c>
      <c r="O6676">
        <v>0.1354282</v>
      </c>
      <c r="P6676">
        <v>0.98404950000000002</v>
      </c>
      <c r="Q6676">
        <v>-3.6652079999999997E-2</v>
      </c>
      <c r="R6676">
        <v>0.17407839999999999</v>
      </c>
      <c r="S6676">
        <v>2.950027</v>
      </c>
      <c r="T6676">
        <v>-8.6496229999999993E-2</v>
      </c>
      <c r="U6676">
        <v>0.53976440000000003</v>
      </c>
      <c r="V6676">
        <v>-3.9105689999999999E-2</v>
      </c>
      <c r="W6676">
        <v>-2.3220890000000001E-2</v>
      </c>
      <c r="X6676">
        <v>0.9989652</v>
      </c>
      <c r="Y6676">
        <v>-4.5131009999999999E-2</v>
      </c>
      <c r="Z6676">
        <v>-3.2604890000000001E-3</v>
      </c>
      <c r="AA6676">
        <v>0.99897579999999997</v>
      </c>
      <c r="AB6676">
        <v>20</v>
      </c>
      <c r="AC6676">
        <v>37.514299999999899</v>
      </c>
      <c r="AD6676">
        <v>-1.106064549092</v>
      </c>
      <c r="AE6676">
        <v>6.8706999999999896</v>
      </c>
      <c r="AF6676">
        <v>-1.7249746221740101</v>
      </c>
      <c r="AG6676">
        <v>-1.106064549092</v>
      </c>
      <c r="AH6676">
        <v>38.067177612583002</v>
      </c>
      <c r="AI6676">
        <v>91.662589693707204</v>
      </c>
      <c r="AJ6676">
        <v>92.594523894141702</v>
      </c>
      <c r="AK6676">
        <v>38.122289118333903</v>
      </c>
    </row>
    <row r="6677" spans="1:37" x14ac:dyDescent="0.2">
      <c r="A6677" t="str">
        <f>"20200111160350855"</f>
        <v>20200111160350855</v>
      </c>
      <c r="B6677" t="str">
        <f>"1578729830849976"</f>
        <v>1578729830849976</v>
      </c>
      <c r="C6677" t="s">
        <v>37</v>
      </c>
      <c r="D6677">
        <v>5.408188</v>
      </c>
      <c r="E6677">
        <v>0.50168970000000002</v>
      </c>
      <c r="F6677" t="s">
        <v>38</v>
      </c>
      <c r="G6677">
        <v>-143.42439999999999</v>
      </c>
      <c r="H6677" s="1">
        <v>-2.8136749999999998E-6</v>
      </c>
      <c r="I6677">
        <v>139.5574</v>
      </c>
      <c r="J6677">
        <v>-165.4238</v>
      </c>
      <c r="K6677">
        <v>1.106088</v>
      </c>
      <c r="L6677">
        <v>135.64269999999999</v>
      </c>
      <c r="M6677">
        <v>0.99029</v>
      </c>
      <c r="N6677">
        <v>0</v>
      </c>
      <c r="O6677">
        <v>0.138350799999999</v>
      </c>
      <c r="P6677">
        <v>0.98366290000000001</v>
      </c>
      <c r="Q6677">
        <v>-3.2254339999999999E-2</v>
      </c>
      <c r="R6677">
        <v>0.17710809999999999</v>
      </c>
      <c r="S6677">
        <v>2.9504090000000001</v>
      </c>
      <c r="T6677">
        <v>-0.14690339999999999</v>
      </c>
      <c r="U6677">
        <v>0.52432250000000002</v>
      </c>
      <c r="V6677">
        <v>-3.9229359999999998E-2</v>
      </c>
      <c r="W6677">
        <v>-1.8826929999999999E-2</v>
      </c>
      <c r="X6677">
        <v>0.99905290000000002</v>
      </c>
      <c r="Y6677">
        <v>-3.7178309999999999E-2</v>
      </c>
      <c r="Z6677">
        <v>-5.8765229999999998E-3</v>
      </c>
      <c r="AA6677">
        <v>0.99929140000000005</v>
      </c>
      <c r="AB6677">
        <v>20</v>
      </c>
      <c r="AC6677">
        <v>21.999400000000001</v>
      </c>
      <c r="AD6677">
        <v>-1.1060908136750001</v>
      </c>
      <c r="AE6677">
        <v>3.9147000000000101</v>
      </c>
      <c r="AF6677">
        <v>-0.83109420681889201</v>
      </c>
      <c r="AG6677">
        <v>-1.1060908136750001</v>
      </c>
      <c r="AH6677">
        <v>22.274870352166399</v>
      </c>
      <c r="AI6677">
        <v>92.840796164763404</v>
      </c>
      <c r="AJ6677">
        <v>92.136762715167094</v>
      </c>
      <c r="AK6677">
        <v>22.317795672389401</v>
      </c>
    </row>
    <row r="6678" spans="1:37" x14ac:dyDescent="0.2">
      <c r="A6678" t="str">
        <f>"20200111160350878"</f>
        <v>20200111160350878</v>
      </c>
      <c r="B6678" t="str">
        <f>"1578729830870283"</f>
        <v>1578729830870283</v>
      </c>
      <c r="C6678" t="s">
        <v>37</v>
      </c>
      <c r="D6678">
        <v>5.5692050000000002</v>
      </c>
      <c r="E6678">
        <v>0.50239239999999996</v>
      </c>
      <c r="F6678" t="s">
        <v>38</v>
      </c>
      <c r="G6678">
        <v>-144.92529999999999</v>
      </c>
      <c r="H6678" s="1">
        <v>-2.2269179999999999E-6</v>
      </c>
      <c r="I6678">
        <v>139.2353</v>
      </c>
      <c r="J6678">
        <v>-165.22669999999999</v>
      </c>
      <c r="K6678">
        <v>1.1061080000000001</v>
      </c>
      <c r="L6678">
        <v>135.6737</v>
      </c>
      <c r="M6678">
        <v>0.98990319999999898</v>
      </c>
      <c r="N6678">
        <v>0</v>
      </c>
      <c r="O6678">
        <v>0.14109189999999999</v>
      </c>
      <c r="P6678">
        <v>0.98335019999999995</v>
      </c>
      <c r="Q6678">
        <v>-2.7448810000000001E-2</v>
      </c>
      <c r="R6678">
        <v>0.1796355</v>
      </c>
      <c r="S6678">
        <v>2.9514619999999998</v>
      </c>
      <c r="T6678">
        <v>-0.1592595</v>
      </c>
      <c r="U6678">
        <v>0.51727290000000004</v>
      </c>
      <c r="V6678">
        <v>-3.902854E-2</v>
      </c>
      <c r="W6678">
        <v>-1.402284E-2</v>
      </c>
      <c r="X6678">
        <v>0.99913969999999896</v>
      </c>
      <c r="Y6678">
        <v>-3.2066949999999997E-2</v>
      </c>
      <c r="Z6678">
        <v>-6.650993E-3</v>
      </c>
      <c r="AA6678">
        <v>0.99946360000000001</v>
      </c>
      <c r="AB6678">
        <v>20</v>
      </c>
      <c r="AC6678">
        <v>20.301400000000001</v>
      </c>
      <c r="AD6678">
        <v>-1.1061102269180001</v>
      </c>
      <c r="AE6678">
        <v>3.5615999999999901</v>
      </c>
      <c r="AF6678">
        <v>-0.65943809974936696</v>
      </c>
      <c r="AG6678">
        <v>-1.1061102269180001</v>
      </c>
      <c r="AH6678">
        <v>20.5416783237463</v>
      </c>
      <c r="AI6678">
        <v>93.080652105479501</v>
      </c>
      <c r="AJ6678">
        <v>91.838703151675801</v>
      </c>
      <c r="AK6678">
        <v>20.582003954857299</v>
      </c>
    </row>
    <row r="6679" spans="1:37" x14ac:dyDescent="0.2">
      <c r="A6679" t="str">
        <f>"20200111160350904"</f>
        <v>20200111160350904</v>
      </c>
      <c r="B6679" t="str">
        <f>"1578729830900540"</f>
        <v>1578729830900540</v>
      </c>
      <c r="C6679" t="s">
        <v>37</v>
      </c>
      <c r="D6679">
        <v>5.508108</v>
      </c>
      <c r="E6679">
        <v>0.50328320000000004</v>
      </c>
      <c r="F6679" t="s">
        <v>38</v>
      </c>
      <c r="G6679">
        <v>-147.29249999999999</v>
      </c>
      <c r="H6679" s="1">
        <v>-1.2835159999999899E-6</v>
      </c>
      <c r="I6679">
        <v>138.8288</v>
      </c>
      <c r="J6679">
        <v>-164.9984</v>
      </c>
      <c r="K6679">
        <v>1.106109</v>
      </c>
      <c r="L6679">
        <v>135.71029999999999</v>
      </c>
      <c r="M6679">
        <v>0.9894347</v>
      </c>
      <c r="N6679">
        <v>0</v>
      </c>
      <c r="O6679">
        <v>0.14434159999999999</v>
      </c>
      <c r="P6679">
        <v>0.98286289999999998</v>
      </c>
      <c r="Q6679">
        <v>-2.6510470000000001E-2</v>
      </c>
      <c r="R6679">
        <v>0.18242139999999901</v>
      </c>
      <c r="S6679">
        <v>2.9508669999999899</v>
      </c>
      <c r="T6679">
        <v>-0.18199689999999999</v>
      </c>
      <c r="U6679">
        <v>0.51913450000000005</v>
      </c>
      <c r="V6679">
        <v>-3.8579759999999998E-2</v>
      </c>
      <c r="W6679">
        <v>-1.308551E-2</v>
      </c>
      <c r="X6679">
        <v>0.9991698</v>
      </c>
      <c r="Y6679">
        <v>-2.9487900000000001E-2</v>
      </c>
      <c r="Z6679">
        <v>-7.8747179999999993E-3</v>
      </c>
      <c r="AA6679">
        <v>0.99953409999999998</v>
      </c>
      <c r="AB6679">
        <v>20</v>
      </c>
      <c r="AC6679">
        <v>17.7059</v>
      </c>
      <c r="AD6679">
        <v>-1.1061102835159999</v>
      </c>
      <c r="AE6679">
        <v>3.1185000000000098</v>
      </c>
      <c r="AF6679">
        <v>-0.52790481016249402</v>
      </c>
      <c r="AG6679">
        <v>-1.1061102835159999</v>
      </c>
      <c r="AH6679">
        <v>17.902852212879601</v>
      </c>
      <c r="AI6679">
        <v>93.533937741503294</v>
      </c>
      <c r="AJ6679">
        <v>91.689002141533393</v>
      </c>
      <c r="AK6679">
        <v>17.944756359563701</v>
      </c>
    </row>
    <row r="6680" spans="1:37" x14ac:dyDescent="0.2">
      <c r="A6680" t="str">
        <f>"20200111160350922"</f>
        <v>20200111160350922</v>
      </c>
      <c r="B6680" t="str">
        <f>"1578729830920059"</f>
        <v>1578729830920059</v>
      </c>
      <c r="C6680" t="s">
        <v>37</v>
      </c>
      <c r="D6680">
        <v>6.491663</v>
      </c>
      <c r="E6680">
        <v>0.50306329999999999</v>
      </c>
      <c r="F6680" t="s">
        <v>38</v>
      </c>
      <c r="G6680">
        <v>-149.7235</v>
      </c>
      <c r="H6680" s="1">
        <v>-4.0253419999999998E-7</v>
      </c>
      <c r="I6680">
        <v>138.40450000000001</v>
      </c>
      <c r="J6680">
        <v>-164.83629999999999</v>
      </c>
      <c r="K6680">
        <v>1.1060889999999901</v>
      </c>
      <c r="L6680">
        <v>135.73670000000001</v>
      </c>
      <c r="M6680">
        <v>0.98908969999999896</v>
      </c>
      <c r="N6680">
        <v>0</v>
      </c>
      <c r="O6680">
        <v>0.14668699999999901</v>
      </c>
      <c r="P6680">
        <v>0.98258099999999904</v>
      </c>
      <c r="Q6680">
        <v>-2.934755E-2</v>
      </c>
      <c r="R6680">
        <v>0.18350350000000001</v>
      </c>
      <c r="S6680">
        <v>2.9499659999999999</v>
      </c>
      <c r="T6680">
        <v>-0.21361739999999901</v>
      </c>
      <c r="U6680">
        <v>0.52033999999999903</v>
      </c>
      <c r="V6680">
        <v>-3.7312280000000003E-2</v>
      </c>
      <c r="W6680">
        <v>-1.5919619999999999E-2</v>
      </c>
      <c r="X6680">
        <v>0.99917690000000003</v>
      </c>
      <c r="Y6680">
        <v>-2.7655550000000001E-2</v>
      </c>
      <c r="Z6680">
        <v>-9.4736819999999902E-3</v>
      </c>
      <c r="AA6680">
        <v>0.99957260000000003</v>
      </c>
      <c r="AB6680">
        <v>20</v>
      </c>
      <c r="AC6680">
        <v>15.112799999999901</v>
      </c>
      <c r="AD6680">
        <v>-1.1060894025341901</v>
      </c>
      <c r="AE6680">
        <v>2.6678000000000002</v>
      </c>
      <c r="AF6680">
        <v>-0.419700888461702</v>
      </c>
      <c r="AG6680">
        <v>-1.1060894025341901</v>
      </c>
      <c r="AH6680">
        <v>15.2613826166428</v>
      </c>
      <c r="AI6680">
        <v>94.143780010391694</v>
      </c>
      <c r="AJ6680">
        <v>91.575285193870499</v>
      </c>
      <c r="AK6680">
        <v>15.307167666611001</v>
      </c>
    </row>
    <row r="6681" spans="1:37" x14ac:dyDescent="0.2">
      <c r="A6681" t="str">
        <f>"20200111160350943"</f>
        <v>20200111160350943</v>
      </c>
      <c r="B6681" t="str">
        <f>"1578729830939580"</f>
        <v>1578729830939580</v>
      </c>
      <c r="C6681" t="s">
        <v>37</v>
      </c>
      <c r="D6681">
        <v>5.6291690000000001</v>
      </c>
      <c r="E6681">
        <v>0.50261869999999997</v>
      </c>
      <c r="F6681" t="s">
        <v>38</v>
      </c>
      <c r="G6681">
        <v>-150.0299</v>
      </c>
      <c r="H6681" s="1">
        <v>-4.4792700000000001E-6</v>
      </c>
      <c r="I6681">
        <v>138.37690000000001</v>
      </c>
      <c r="J6681">
        <v>-164.6514</v>
      </c>
      <c r="K6681">
        <v>1.106053</v>
      </c>
      <c r="L6681">
        <v>135.76740000000001</v>
      </c>
      <c r="M6681">
        <v>0.98868630000000002</v>
      </c>
      <c r="N6681">
        <v>0</v>
      </c>
      <c r="O6681">
        <v>0.14938180000000001</v>
      </c>
      <c r="P6681">
        <v>0.98209950000000001</v>
      </c>
      <c r="Q6681">
        <v>-3.0760280000000001E-2</v>
      </c>
      <c r="R6681">
        <v>0.18583379999999999</v>
      </c>
      <c r="S6681">
        <v>2.94841</v>
      </c>
      <c r="T6681">
        <v>-0.22025690000000001</v>
      </c>
      <c r="U6681">
        <v>0.52574160000000003</v>
      </c>
      <c r="V6681">
        <v>-3.6961229999999998E-2</v>
      </c>
      <c r="W6681">
        <v>-1.7333049999999999E-2</v>
      </c>
      <c r="X6681">
        <v>0.99916640000000001</v>
      </c>
      <c r="Y6681">
        <v>-2.6825450000000001E-2</v>
      </c>
      <c r="Z6681">
        <v>-9.9977409999999992E-3</v>
      </c>
      <c r="AA6681">
        <v>0.99959019999999998</v>
      </c>
      <c r="AB6681">
        <v>20</v>
      </c>
      <c r="AC6681">
        <v>14.6214999999999</v>
      </c>
      <c r="AD6681">
        <v>-1.10605747927</v>
      </c>
      <c r="AE6681">
        <v>2.6094999999999899</v>
      </c>
      <c r="AF6681">
        <v>-0.39364440017893498</v>
      </c>
      <c r="AG6681">
        <v>-1.10605747927</v>
      </c>
      <c r="AH6681">
        <v>14.765374155448001</v>
      </c>
      <c r="AI6681">
        <v>94.282445133349299</v>
      </c>
      <c r="AJ6681">
        <v>91.527141900580006</v>
      </c>
      <c r="AK6681">
        <v>14.8119746493036</v>
      </c>
    </row>
    <row r="6682" spans="1:37" x14ac:dyDescent="0.2">
      <c r="A6682" t="str">
        <f>"20200111160350968"</f>
        <v>20200111160350968</v>
      </c>
      <c r="B6682" t="str">
        <f>"1578729830960075"</f>
        <v>1578729830960075</v>
      </c>
      <c r="C6682" t="s">
        <v>37</v>
      </c>
      <c r="D6682">
        <v>5.6045020000000001</v>
      </c>
      <c r="E6682">
        <v>0.50225129999999996</v>
      </c>
      <c r="F6682" t="s">
        <v>38</v>
      </c>
      <c r="G6682">
        <v>-151.37190000000001</v>
      </c>
      <c r="H6682" s="1">
        <v>-3.9375790000000003E-6</v>
      </c>
      <c r="I6682">
        <v>138.18510000000001</v>
      </c>
      <c r="J6682">
        <v>-164.43099999999899</v>
      </c>
      <c r="K6682">
        <v>1.1060379999999901</v>
      </c>
      <c r="L6682">
        <v>135.80459999999999</v>
      </c>
      <c r="M6682">
        <v>0.98819570000000001</v>
      </c>
      <c r="N6682">
        <v>0</v>
      </c>
      <c r="O6682">
        <v>0.15259449999999999</v>
      </c>
      <c r="P6682">
        <v>0.98131199999999996</v>
      </c>
      <c r="Q6682">
        <v>-2.9867339999999999E-2</v>
      </c>
      <c r="R6682">
        <v>0.1900917</v>
      </c>
      <c r="S6682">
        <v>2.9455259999999899</v>
      </c>
      <c r="T6682">
        <v>-0.24533339999999901</v>
      </c>
      <c r="U6682">
        <v>0.53628540000000002</v>
      </c>
      <c r="V6682">
        <v>-3.8047110000000002E-2</v>
      </c>
      <c r="W6682">
        <v>-1.6446519999999999E-2</v>
      </c>
      <c r="X6682">
        <v>0.99914059999999905</v>
      </c>
      <c r="Y6682">
        <v>-2.729877E-2</v>
      </c>
      <c r="Z6682">
        <v>-1.1380100000000001E-2</v>
      </c>
      <c r="AA6682">
        <v>0.99956259999999997</v>
      </c>
      <c r="AB6682">
        <v>20</v>
      </c>
      <c r="AC6682">
        <v>13.0590999999999</v>
      </c>
      <c r="AD6682">
        <v>-1.1060419375789901</v>
      </c>
      <c r="AE6682">
        <v>2.3805000000000098</v>
      </c>
      <c r="AF6682">
        <v>-0.35720622374378602</v>
      </c>
      <c r="AG6682">
        <v>-1.1060419375789901</v>
      </c>
      <c r="AH6682">
        <v>13.177930966400501</v>
      </c>
      <c r="AI6682">
        <v>94.795915893485699</v>
      </c>
      <c r="AJ6682">
        <v>91.552701914018996</v>
      </c>
      <c r="AK6682">
        <v>13.229088767151801</v>
      </c>
    </row>
    <row r="6683" spans="1:37" x14ac:dyDescent="0.2">
      <c r="A6683" t="str">
        <f>"20200111160350987"</f>
        <v>20200111160350987</v>
      </c>
      <c r="B6683" t="str">
        <f>"1578729830979596"</f>
        <v>1578729830979596</v>
      </c>
      <c r="C6683" t="s">
        <v>37</v>
      </c>
      <c r="D6683">
        <v>5.4990430000000003</v>
      </c>
      <c r="E6683">
        <v>0.5027935</v>
      </c>
      <c r="F6683" t="s">
        <v>38</v>
      </c>
      <c r="G6683">
        <v>-151.86949999999999</v>
      </c>
      <c r="H6683" s="1">
        <v>-3.7284670000000001E-6</v>
      </c>
      <c r="I6683">
        <v>138.16059999999999</v>
      </c>
      <c r="J6683">
        <v>-164.27070000000001</v>
      </c>
      <c r="K6683">
        <v>1.1060319999999999</v>
      </c>
      <c r="L6683">
        <v>135.8321</v>
      </c>
      <c r="M6683">
        <v>0.98783589999999999</v>
      </c>
      <c r="N6683">
        <v>0</v>
      </c>
      <c r="O6683">
        <v>0.1549063</v>
      </c>
      <c r="P6683">
        <v>0.98073829999999995</v>
      </c>
      <c r="Q6683">
        <v>-2.9775309999999999E-2</v>
      </c>
      <c r="R6683">
        <v>0.1930434</v>
      </c>
      <c r="S6683">
        <v>2.94233699999999</v>
      </c>
      <c r="T6683">
        <v>-0.25907229999999998</v>
      </c>
      <c r="U6683">
        <v>0.55187989999999998</v>
      </c>
      <c r="V6683">
        <v>-3.8716059999999997E-2</v>
      </c>
      <c r="W6683">
        <v>-1.6358580000000001E-2</v>
      </c>
      <c r="X6683">
        <v>0.99911640000000002</v>
      </c>
      <c r="Y6683">
        <v>-3.03182E-2</v>
      </c>
      <c r="Z6683">
        <v>-1.208743E-2</v>
      </c>
      <c r="AA6683">
        <v>0.999467199999999</v>
      </c>
      <c r="AB6683">
        <v>20</v>
      </c>
      <c r="AC6683">
        <v>12.401199999999999</v>
      </c>
      <c r="AD6683">
        <v>-1.1060357284669999</v>
      </c>
      <c r="AE6683">
        <v>2.3284999999999898</v>
      </c>
      <c r="AF6683">
        <v>-0.37629552874306199</v>
      </c>
      <c r="AG6683">
        <v>-1.1060357284669999</v>
      </c>
      <c r="AH6683">
        <v>12.5160440022738</v>
      </c>
      <c r="AI6683">
        <v>95.047808204657898</v>
      </c>
      <c r="AJ6683">
        <v>91.722081916485294</v>
      </c>
      <c r="AK6683">
        <v>12.5704522919604</v>
      </c>
    </row>
    <row r="6684" spans="1:37" x14ac:dyDescent="0.2">
      <c r="A6684" t="str">
        <f>"20200111160351008"</f>
        <v>20200111160351008</v>
      </c>
      <c r="B6684" t="str">
        <f>"1578729831000091"</f>
        <v>1578729831000091</v>
      </c>
      <c r="C6684" t="s">
        <v>37</v>
      </c>
      <c r="D6684">
        <v>5.5040100000000001</v>
      </c>
      <c r="E6684">
        <v>0.50350439999999996</v>
      </c>
      <c r="F6684" t="s">
        <v>38</v>
      </c>
      <c r="G6684">
        <v>-152.31030000000001</v>
      </c>
      <c r="H6684" s="1">
        <v>-3.5511979999999999E-6</v>
      </c>
      <c r="I6684">
        <v>138.09379999999999</v>
      </c>
      <c r="J6684">
        <v>-164.08459999999999</v>
      </c>
      <c r="K6684">
        <v>1.1059950000000001</v>
      </c>
      <c r="L6684">
        <v>135.86449999999999</v>
      </c>
      <c r="M6684">
        <v>0.9874231</v>
      </c>
      <c r="N6684">
        <v>0</v>
      </c>
      <c r="O6684">
        <v>0.15751689999999999</v>
      </c>
      <c r="P6684">
        <v>0.980159</v>
      </c>
      <c r="Q6684">
        <v>-3.1049469999999999E-2</v>
      </c>
      <c r="R6684">
        <v>0.19576640000000001</v>
      </c>
      <c r="S6684">
        <v>2.9411770000000002</v>
      </c>
      <c r="T6684">
        <v>-0.27198509999999998</v>
      </c>
      <c r="U6684">
        <v>0.55619810000000003</v>
      </c>
      <c r="V6684">
        <v>-3.8852909999999997E-2</v>
      </c>
      <c r="W6684">
        <v>-1.763406E-2</v>
      </c>
      <c r="X6684">
        <v>0.99908940000000002</v>
      </c>
      <c r="Y6684">
        <v>-2.9226530000000001E-2</v>
      </c>
      <c r="Z6684">
        <v>-1.297505E-2</v>
      </c>
      <c r="AA6684">
        <v>0.99948859999999995</v>
      </c>
      <c r="AB6684">
        <v>20</v>
      </c>
      <c r="AC6684">
        <v>11.774299999999901</v>
      </c>
      <c r="AD6684">
        <v>-1.1059985511979999</v>
      </c>
      <c r="AE6684">
        <v>2.2292999999999901</v>
      </c>
      <c r="AF6684">
        <v>-0.34371518117683197</v>
      </c>
      <c r="AG6684">
        <v>-1.1059985511979999</v>
      </c>
      <c r="AH6684">
        <v>11.877298550103999</v>
      </c>
      <c r="AI6684">
        <v>95.317753564167901</v>
      </c>
      <c r="AJ6684">
        <v>91.657610478713494</v>
      </c>
      <c r="AK6684">
        <v>11.9336328822922</v>
      </c>
    </row>
    <row r="6685" spans="1:37" x14ac:dyDescent="0.2">
      <c r="A6685" t="str">
        <f>"20200111160351033"</f>
        <v>20200111160351033</v>
      </c>
      <c r="B6685" t="str">
        <f>"1578729831030347"</f>
        <v>1578729831030347</v>
      </c>
      <c r="C6685" t="s">
        <v>37</v>
      </c>
      <c r="D6685">
        <v>5.601458</v>
      </c>
      <c r="E6685">
        <v>0.50402130000000001</v>
      </c>
      <c r="F6685" t="s">
        <v>38</v>
      </c>
      <c r="G6685">
        <v>-152.3629</v>
      </c>
      <c r="H6685" s="1">
        <v>-3.529014E-6</v>
      </c>
      <c r="I6685">
        <v>138.0917</v>
      </c>
      <c r="J6685">
        <v>-163.8828</v>
      </c>
      <c r="K6685">
        <v>1.1058889999999999</v>
      </c>
      <c r="L6685">
        <v>135.8999</v>
      </c>
      <c r="M6685">
        <v>0.98699899999999996</v>
      </c>
      <c r="N6685">
        <v>0</v>
      </c>
      <c r="O6685">
        <v>0.1601532</v>
      </c>
      <c r="P6685">
        <v>0.97989130000000002</v>
      </c>
      <c r="Q6685">
        <v>-3.481708E-2</v>
      </c>
      <c r="R6685">
        <v>0.19647110000000001</v>
      </c>
      <c r="S6685">
        <v>2.9403380000000001</v>
      </c>
      <c r="T6685">
        <v>-0.27743519999999999</v>
      </c>
      <c r="U6685">
        <v>0.55870059999999999</v>
      </c>
      <c r="V6685">
        <v>-3.6916400000000002E-2</v>
      </c>
      <c r="W6685">
        <v>-2.1392359999999999E-2</v>
      </c>
      <c r="X6685">
        <v>0.99908940000000002</v>
      </c>
      <c r="Y6685">
        <v>-2.746999E-2</v>
      </c>
      <c r="Z6685">
        <v>-1.356014E-2</v>
      </c>
      <c r="AA6685">
        <v>0.99953069999999899</v>
      </c>
      <c r="AB6685">
        <v>20</v>
      </c>
      <c r="AC6685">
        <v>11.5199</v>
      </c>
      <c r="AD6685">
        <v>-1.10589252901399</v>
      </c>
      <c r="AE6685">
        <v>2.1918000000000002</v>
      </c>
      <c r="AF6685">
        <v>-0.31557816680643203</v>
      </c>
      <c r="AG6685">
        <v>-1.10589252901399</v>
      </c>
      <c r="AH6685">
        <v>11.618896054828401</v>
      </c>
      <c r="AI6685">
        <v>95.435070288060402</v>
      </c>
      <c r="AJ6685">
        <v>91.555815002591402</v>
      </c>
      <c r="AK6685">
        <v>11.67567271715</v>
      </c>
    </row>
    <row r="6686" spans="1:37" x14ac:dyDescent="0.2">
      <c r="A6686" t="str">
        <f>"20200111160351052"</f>
        <v>20200111160351052</v>
      </c>
      <c r="B6686" t="str">
        <f>"1578729831040108"</f>
        <v>1578729831040108</v>
      </c>
      <c r="C6686" t="s">
        <v>37</v>
      </c>
      <c r="D6686">
        <v>5.5224419999999999</v>
      </c>
      <c r="E6686">
        <v>0.50418809999999903</v>
      </c>
      <c r="F6686" t="s">
        <v>42</v>
      </c>
      <c r="G6686">
        <v>-163.0325</v>
      </c>
      <c r="H6686">
        <v>1.019102</v>
      </c>
      <c r="I6686">
        <v>136.06120000000001</v>
      </c>
      <c r="J6686">
        <v>-163.70769999999999</v>
      </c>
      <c r="K6686">
        <v>1.105731</v>
      </c>
      <c r="L6686">
        <v>135.93100000000001</v>
      </c>
      <c r="M6686">
        <v>0.98666119999999902</v>
      </c>
      <c r="N6686">
        <v>0</v>
      </c>
      <c r="O6686">
        <v>0.162221799999999</v>
      </c>
      <c r="P6686">
        <v>0.98022350000000003</v>
      </c>
      <c r="Q6686">
        <v>-3.7966390000000003E-2</v>
      </c>
      <c r="R6686">
        <v>0.19421820000000001</v>
      </c>
      <c r="S6686">
        <v>2.9391630000000002</v>
      </c>
      <c r="T6686">
        <v>-0.29997249999999998</v>
      </c>
      <c r="U6686">
        <v>0.55731200000000003</v>
      </c>
      <c r="V6686">
        <v>-3.2544629999999998E-2</v>
      </c>
      <c r="W6686">
        <v>-2.4521999999999999E-2</v>
      </c>
      <c r="X6686">
        <v>0.99916939999999999</v>
      </c>
      <c r="Y6686">
        <v>-2.5108780000000001E-2</v>
      </c>
      <c r="Z6686">
        <v>-1.498708E-2</v>
      </c>
      <c r="AA6686">
        <v>0.99957240000000003</v>
      </c>
      <c r="AB6686">
        <v>20</v>
      </c>
      <c r="AC6686">
        <v>0.67519999999998903</v>
      </c>
      <c r="AD6686">
        <v>-8.6628999999999998E-2</v>
      </c>
      <c r="AE6686">
        <v>0.13020000000000201</v>
      </c>
      <c r="AF6686">
        <v>-1.86370783896232E-2</v>
      </c>
      <c r="AG6686">
        <v>-8.6628999999999998E-2</v>
      </c>
      <c r="AH6686">
        <v>0.67663910244200598</v>
      </c>
      <c r="AI6686">
        <v>97.293059348538705</v>
      </c>
      <c r="AJ6686">
        <v>91.577733266943795</v>
      </c>
      <c r="AK6686">
        <v>0.68241658778595304</v>
      </c>
    </row>
    <row r="6687" spans="1:37" x14ac:dyDescent="0.2">
      <c r="A6687" t="str">
        <f>"20200111160351075"</f>
        <v>20200111160351075</v>
      </c>
      <c r="B6687" t="str">
        <f>"1578729831069749"</f>
        <v>1578729831069749</v>
      </c>
      <c r="C6687" t="s">
        <v>37</v>
      </c>
      <c r="D6687">
        <v>5.6811889999999998</v>
      </c>
      <c r="E6687">
        <v>0.50420480000000001</v>
      </c>
      <c r="F6687" t="s">
        <v>42</v>
      </c>
      <c r="G6687">
        <v>-162.86089999999999</v>
      </c>
      <c r="H6687">
        <v>1.015979</v>
      </c>
      <c r="I6687">
        <v>136.08940000000001</v>
      </c>
      <c r="J6687">
        <v>-163.50649999999999</v>
      </c>
      <c r="K6687">
        <v>1.105502</v>
      </c>
      <c r="L6687">
        <v>135.96680000000001</v>
      </c>
      <c r="M6687">
        <v>0.9863132</v>
      </c>
      <c r="N6687">
        <v>0</v>
      </c>
      <c r="O6687">
        <v>0.1643261</v>
      </c>
      <c r="P6687">
        <v>0.9807572</v>
      </c>
      <c r="Q6687">
        <v>-3.9780650000000001E-2</v>
      </c>
      <c r="R6687">
        <v>0.19113550000000001</v>
      </c>
      <c r="S6687">
        <v>2.9394529999999999</v>
      </c>
      <c r="T6687">
        <v>-0.31157020000000002</v>
      </c>
      <c r="U6687">
        <v>0.55009459999999999</v>
      </c>
      <c r="V6687">
        <v>-2.729401E-2</v>
      </c>
      <c r="W6687">
        <v>-2.631462E-2</v>
      </c>
      <c r="X6687">
        <v>0.99928099999999997</v>
      </c>
      <c r="Y6687">
        <v>-2.0676150000000001E-2</v>
      </c>
      <c r="Z6687">
        <v>-1.6015120000000001E-2</v>
      </c>
      <c r="AA6687">
        <v>0.99965789999999999</v>
      </c>
      <c r="AB6687">
        <v>20</v>
      </c>
      <c r="AC6687">
        <v>0.64560000000000095</v>
      </c>
      <c r="AD6687">
        <v>-8.9522999999999797E-2</v>
      </c>
      <c r="AE6687">
        <v>0.122600000000005</v>
      </c>
      <c r="AF6687">
        <v>-1.4564130303398299E-2</v>
      </c>
      <c r="AG6687">
        <v>-8.9522999999999797E-2</v>
      </c>
      <c r="AH6687">
        <v>0.64499976551511395</v>
      </c>
      <c r="AI6687">
        <v>97.899919218296105</v>
      </c>
      <c r="AJ6687">
        <v>91.293522055580695</v>
      </c>
      <c r="AK6687">
        <v>0.65134566777944203</v>
      </c>
    </row>
    <row r="6688" spans="1:37" x14ac:dyDescent="0.2">
      <c r="A6688" t="str">
        <f>"20200111160351099"</f>
        <v>20200111160351099</v>
      </c>
      <c r="B6688" t="str">
        <f>"1578729831090224"</f>
        <v>1578729831090224</v>
      </c>
      <c r="C6688" t="s">
        <v>37</v>
      </c>
      <c r="D6688">
        <v>5.5227699999999897</v>
      </c>
      <c r="E6688">
        <v>0.50459379999999998</v>
      </c>
      <c r="F6688" t="s">
        <v>42</v>
      </c>
      <c r="G6688">
        <v>-162.68680000000001</v>
      </c>
      <c r="H6688">
        <v>1.0180089999999999</v>
      </c>
      <c r="I6688">
        <v>136.11750000000001</v>
      </c>
      <c r="J6688">
        <v>-163.3066</v>
      </c>
      <c r="K6688">
        <v>1.105235</v>
      </c>
      <c r="L6688">
        <v>136.00239999999999</v>
      </c>
      <c r="M6688">
        <v>0.98602209999999901</v>
      </c>
      <c r="N6688">
        <v>0</v>
      </c>
      <c r="O6688">
        <v>0.1660635</v>
      </c>
      <c r="P6688">
        <v>0.98127310000000001</v>
      </c>
      <c r="Q6688">
        <v>-4.0291979999999998E-2</v>
      </c>
      <c r="R6688">
        <v>0.1883601</v>
      </c>
      <c r="S6688">
        <v>2.9406129999999999</v>
      </c>
      <c r="T6688">
        <v>-0.3140231</v>
      </c>
      <c r="U6688">
        <v>0.54139709999999996</v>
      </c>
      <c r="V6688">
        <v>-2.2726240000000002E-2</v>
      </c>
      <c r="W6688">
        <v>-2.6808990000000001E-2</v>
      </c>
      <c r="X6688">
        <v>0.9993822</v>
      </c>
      <c r="Y6688">
        <v>-1.603158E-2</v>
      </c>
      <c r="Z6688">
        <v>-1.6565050000000001E-2</v>
      </c>
      <c r="AA6688">
        <v>0.99973429999999996</v>
      </c>
      <c r="AB6688">
        <v>20</v>
      </c>
      <c r="AC6688">
        <v>0.61979999999999702</v>
      </c>
      <c r="AD6688">
        <v>-8.7225999999999998E-2</v>
      </c>
      <c r="AE6688">
        <v>0.115100000000012</v>
      </c>
      <c r="AF6688">
        <v>-1.03674659173058E-2</v>
      </c>
      <c r="AG6688">
        <v>-8.7225999999999998E-2</v>
      </c>
      <c r="AH6688">
        <v>0.61846739356320501</v>
      </c>
      <c r="AI6688">
        <v>98.026691277853303</v>
      </c>
      <c r="AJ6688">
        <v>90.960368189271804</v>
      </c>
      <c r="AK6688">
        <v>0.62467413611130995</v>
      </c>
    </row>
    <row r="6689" spans="1:37" x14ac:dyDescent="0.2">
      <c r="A6689" t="str">
        <f>"20200111160351122"</f>
        <v>20200111160351122</v>
      </c>
      <c r="B6689" t="str">
        <f>"1578729831109744"</f>
        <v>1578729831109744</v>
      </c>
      <c r="C6689" t="s">
        <v>37</v>
      </c>
      <c r="D6689">
        <v>5.5890089999999999</v>
      </c>
      <c r="E6689">
        <v>0.50456350000000005</v>
      </c>
      <c r="F6689" t="s">
        <v>42</v>
      </c>
      <c r="G6689">
        <v>-162.51300000000001</v>
      </c>
      <c r="H6689">
        <v>1.019604</v>
      </c>
      <c r="I6689">
        <v>136.1454</v>
      </c>
      <c r="J6689">
        <v>-163.10390000000001</v>
      </c>
      <c r="K6689">
        <v>1.1049439999999999</v>
      </c>
      <c r="L6689">
        <v>136.0384</v>
      </c>
      <c r="M6689">
        <v>0.98580040000000002</v>
      </c>
      <c r="N6689">
        <v>0</v>
      </c>
      <c r="O6689">
        <v>0.16737550000000001</v>
      </c>
      <c r="P6689">
        <v>0.98157939999999999</v>
      </c>
      <c r="Q6689">
        <v>-4.0204950000000003E-2</v>
      </c>
      <c r="R6689">
        <v>0.18677679999999999</v>
      </c>
      <c r="S6689">
        <v>2.942383</v>
      </c>
      <c r="T6689">
        <v>-0.31751180000000001</v>
      </c>
      <c r="U6689">
        <v>0.53050229999999998</v>
      </c>
      <c r="V6689">
        <v>-1.9803089999999999E-2</v>
      </c>
      <c r="W6689">
        <v>-2.6711439999999999E-2</v>
      </c>
      <c r="X6689">
        <v>0.99944699999999997</v>
      </c>
      <c r="Y6689">
        <v>-1.1063480000000001E-2</v>
      </c>
      <c r="Z6689">
        <v>-1.7147699999999998E-2</v>
      </c>
      <c r="AA6689">
        <v>0.99979169999999995</v>
      </c>
      <c r="AB6689">
        <v>20</v>
      </c>
      <c r="AC6689">
        <v>0.59090000000000398</v>
      </c>
      <c r="AD6689">
        <v>-8.5339999999999902E-2</v>
      </c>
      <c r="AE6689">
        <v>0.106999999999999</v>
      </c>
      <c r="AF6689">
        <v>-6.4488215155347004E-3</v>
      </c>
      <c r="AG6689">
        <v>-8.5339999999999902E-2</v>
      </c>
      <c r="AH6689">
        <v>0.58858649275088903</v>
      </c>
      <c r="AI6689">
        <v>98.249418259365996</v>
      </c>
      <c r="AJ6689">
        <v>90.627733521360597</v>
      </c>
      <c r="AK6689">
        <v>0.59477606067135202</v>
      </c>
    </row>
    <row r="6690" spans="1:37" x14ac:dyDescent="0.2">
      <c r="A6690" t="str">
        <f>"20200111160351145"</f>
        <v>20200111160351145</v>
      </c>
      <c r="B6690" t="str">
        <f>"1578729831140000"</f>
        <v>1578729831140000</v>
      </c>
      <c r="C6690" t="s">
        <v>37</v>
      </c>
      <c r="D6690">
        <v>5.5487580000000003</v>
      </c>
      <c r="E6690">
        <v>0.50488529999999998</v>
      </c>
      <c r="F6690" t="s">
        <v>42</v>
      </c>
      <c r="G6690">
        <v>-162.33930000000001</v>
      </c>
      <c r="H6690">
        <v>1.0216609999999999</v>
      </c>
      <c r="I6690">
        <v>136.17500000000001</v>
      </c>
      <c r="J6690">
        <v>-162.9042</v>
      </c>
      <c r="K6690">
        <v>1.104641</v>
      </c>
      <c r="L6690">
        <v>136.0735</v>
      </c>
      <c r="M6690">
        <v>0.98566620000000005</v>
      </c>
      <c r="N6690">
        <v>0</v>
      </c>
      <c r="O6690">
        <v>0.16816449999999999</v>
      </c>
      <c r="P6690">
        <v>0.98174259999999902</v>
      </c>
      <c r="Q6690">
        <v>-4.137416E-2</v>
      </c>
      <c r="R6690">
        <v>0.1856594</v>
      </c>
      <c r="S6690">
        <v>2.9430689999999999</v>
      </c>
      <c r="T6690">
        <v>-0.3206677</v>
      </c>
      <c r="U6690">
        <v>0.52607729999999997</v>
      </c>
      <c r="V6690">
        <v>-1.789286E-2</v>
      </c>
      <c r="W6690">
        <v>-2.7873760000000001E-2</v>
      </c>
      <c r="X6690">
        <v>0.99945130000000004</v>
      </c>
      <c r="Y6690">
        <v>-8.8004580000000006E-3</v>
      </c>
      <c r="Z6690">
        <v>-1.7521499999999999E-2</v>
      </c>
      <c r="AA6690">
        <v>0.99980780000000002</v>
      </c>
      <c r="AB6690">
        <v>20</v>
      </c>
      <c r="AC6690">
        <v>0.56489999999999396</v>
      </c>
      <c r="AD6690">
        <v>-8.2979999999999804E-2</v>
      </c>
      <c r="AE6690">
        <v>0.10150000000001499</v>
      </c>
      <c r="AF6690">
        <v>-4.9460682251688502E-3</v>
      </c>
      <c r="AG6690">
        <v>-8.2979999999999804E-2</v>
      </c>
      <c r="AH6690">
        <v>0.56217301445867296</v>
      </c>
      <c r="AI6690">
        <v>98.396239660824094</v>
      </c>
      <c r="AJ6690">
        <v>90.504082400692198</v>
      </c>
      <c r="AK6690">
        <v>0.56828570470885498</v>
      </c>
    </row>
    <row r="6691" spans="1:37" x14ac:dyDescent="0.2">
      <c r="A6691" t="str">
        <f>"20200111160351185"</f>
        <v>20200111160351185</v>
      </c>
      <c r="B6691" t="str">
        <f>"1578729831180015"</f>
        <v>1578729831180015</v>
      </c>
      <c r="C6691" t="s">
        <v>37</v>
      </c>
      <c r="D6691">
        <v>5.6156259999999998</v>
      </c>
      <c r="E6691">
        <v>0.50492979999999998</v>
      </c>
      <c r="F6691" t="s">
        <v>42</v>
      </c>
      <c r="G6691">
        <v>-162.166</v>
      </c>
      <c r="H6691">
        <v>1.0227599999999999</v>
      </c>
      <c r="I6691">
        <v>136.2039</v>
      </c>
      <c r="J6691">
        <v>-162.56270000000001</v>
      </c>
      <c r="K6691">
        <v>1.1041159999999901</v>
      </c>
      <c r="L6691">
        <v>136.1326</v>
      </c>
      <c r="M6691">
        <v>0.98564300000000005</v>
      </c>
      <c r="N6691">
        <v>0</v>
      </c>
      <c r="O6691">
        <v>0.1683019</v>
      </c>
      <c r="P6691">
        <v>0.98208410000000002</v>
      </c>
      <c r="Q6691">
        <v>-4.8410960000000003E-2</v>
      </c>
      <c r="R6691">
        <v>0.18211859999999999</v>
      </c>
      <c r="S6691">
        <v>2.9436650000000002</v>
      </c>
      <c r="T6691">
        <v>-0.32655040000000002</v>
      </c>
      <c r="U6691">
        <v>0.52003480000000002</v>
      </c>
      <c r="V6691">
        <v>-1.424713E-2</v>
      </c>
      <c r="W6691">
        <v>-3.4902610000000001E-2</v>
      </c>
      <c r="X6691">
        <v>0.99928919999999999</v>
      </c>
      <c r="Y6691">
        <v>-6.6831919999999897E-3</v>
      </c>
      <c r="Z6691">
        <v>-1.7972419999999999E-2</v>
      </c>
      <c r="AA6691">
        <v>0.99981609999999999</v>
      </c>
      <c r="AB6691">
        <v>20</v>
      </c>
      <c r="AC6691">
        <v>0.39670000000000899</v>
      </c>
      <c r="AD6691">
        <v>-8.1355999999999706E-2</v>
      </c>
      <c r="AE6691">
        <v>7.1300000000007899E-2</v>
      </c>
      <c r="AF6691">
        <v>-3.3738436428773499E-3</v>
      </c>
      <c r="AG6691">
        <v>-8.1355999999999706E-2</v>
      </c>
      <c r="AH6691">
        <v>0.38726319775592599</v>
      </c>
      <c r="AI6691">
        <v>101.863695865457</v>
      </c>
      <c r="AJ6691">
        <v>90.499149188971003</v>
      </c>
      <c r="AK6691">
        <v>0.39573092612666999</v>
      </c>
    </row>
    <row r="6692" spans="1:37" x14ac:dyDescent="0.2">
      <c r="A6692" t="str">
        <f>"20200111160351207"</f>
        <v>20200111160351207</v>
      </c>
      <c r="B6692" t="str">
        <f>"1578729831199536"</f>
        <v>1578729831199536</v>
      </c>
      <c r="C6692" t="s">
        <v>37</v>
      </c>
      <c r="D6692">
        <v>5.5839259999999999</v>
      </c>
      <c r="E6692">
        <v>0.5048532</v>
      </c>
      <c r="F6692" t="s">
        <v>42</v>
      </c>
      <c r="G6692">
        <v>-161.8236</v>
      </c>
      <c r="H6692">
        <v>1.016418</v>
      </c>
      <c r="I6692">
        <v>136.2603</v>
      </c>
      <c r="J6692">
        <v>-162.36940000000001</v>
      </c>
      <c r="K6692">
        <v>1.1038520000000001</v>
      </c>
      <c r="L6692">
        <v>136.1653</v>
      </c>
      <c r="M6692">
        <v>0.98572819999999906</v>
      </c>
      <c r="N6692">
        <v>0</v>
      </c>
      <c r="O6692">
        <v>0.1678027</v>
      </c>
      <c r="P6692">
        <v>0.98229249999999901</v>
      </c>
      <c r="Q6692">
        <v>-4.9988190000000002E-2</v>
      </c>
      <c r="R6692">
        <v>0.18056249999999999</v>
      </c>
      <c r="S6692">
        <v>2.943146</v>
      </c>
      <c r="T6692">
        <v>-0.34923509999999902</v>
      </c>
      <c r="U6692">
        <v>0.50889589999999996</v>
      </c>
      <c r="V6692">
        <v>-1.320905E-2</v>
      </c>
      <c r="W6692">
        <v>-3.6475689999999998E-2</v>
      </c>
      <c r="X6692">
        <v>0.99924729999999995</v>
      </c>
      <c r="Y6692">
        <v>-3.7018659999999998E-3</v>
      </c>
      <c r="Z6692">
        <v>-1.9341099999999899E-2</v>
      </c>
      <c r="AA6692">
        <v>0.99980609999999903</v>
      </c>
      <c r="AB6692">
        <v>20</v>
      </c>
      <c r="AC6692">
        <v>0.54580000000001405</v>
      </c>
      <c r="AD6692">
        <v>-8.7433999999999998E-2</v>
      </c>
      <c r="AE6692">
        <v>9.4999999999998794E-2</v>
      </c>
      <c r="AF6692">
        <v>-2.0076471112632699E-3</v>
      </c>
      <c r="AG6692">
        <v>-8.7433999999999998E-2</v>
      </c>
      <c r="AH6692">
        <v>0.54053865445331395</v>
      </c>
      <c r="AI6692">
        <v>99.188146117382303</v>
      </c>
      <c r="AJ6692">
        <v>90.212804720512196</v>
      </c>
      <c r="AK6692">
        <v>0.54756805235616302</v>
      </c>
    </row>
    <row r="6693" spans="1:37" x14ac:dyDescent="0.2">
      <c r="A6693" t="str">
        <f>"20200111160351253"</f>
        <v>20200111160351253</v>
      </c>
      <c r="B6693" t="str">
        <f>"1578729831250288"</f>
        <v>1578729831250288</v>
      </c>
      <c r="C6693" t="s">
        <v>37</v>
      </c>
      <c r="D6693">
        <v>5.7233619999999998</v>
      </c>
      <c r="E6693">
        <v>0.5045075</v>
      </c>
      <c r="F6693" t="s">
        <v>42</v>
      </c>
      <c r="G6693">
        <v>-161.65049999999999</v>
      </c>
      <c r="H6693">
        <v>1.0174540000000001</v>
      </c>
      <c r="I6693">
        <v>136.2884</v>
      </c>
      <c r="J6693">
        <v>-161.97450000000001</v>
      </c>
      <c r="K6693">
        <v>1.103458</v>
      </c>
      <c r="L6693">
        <v>136.23009999999999</v>
      </c>
      <c r="M6693">
        <v>0.98611190000000004</v>
      </c>
      <c r="N6693">
        <v>0</v>
      </c>
      <c r="O6693">
        <v>0.1655324</v>
      </c>
      <c r="P6693">
        <v>0.98299969999999903</v>
      </c>
      <c r="Q6693">
        <v>-4.6621650000000001E-2</v>
      </c>
      <c r="R6693">
        <v>0.17759</v>
      </c>
      <c r="S6693">
        <v>2.9432680000000002</v>
      </c>
      <c r="T6693">
        <v>-0.35375020000000001</v>
      </c>
      <c r="U6693">
        <v>0.50492859999999995</v>
      </c>
      <c r="V6693">
        <v>-1.2490080000000001E-2</v>
      </c>
      <c r="W6693">
        <v>-3.3099040000000003E-2</v>
      </c>
      <c r="X6693">
        <v>0.99937399999999998</v>
      </c>
      <c r="Y6693">
        <v>-4.6953669999999998E-3</v>
      </c>
      <c r="Z6693">
        <v>-1.9267119999999999E-2</v>
      </c>
      <c r="AA6693">
        <v>0.99980340000000001</v>
      </c>
      <c r="AB6693">
        <v>20</v>
      </c>
      <c r="AC6693">
        <v>0.324000000000012</v>
      </c>
      <c r="AD6693">
        <v>-8.60039999999999E-2</v>
      </c>
      <c r="AE6693">
        <v>5.83000000000026E-2</v>
      </c>
      <c r="AF6693">
        <v>-3.6116775609887999E-3</v>
      </c>
      <c r="AG6693">
        <v>-8.60039999999999E-2</v>
      </c>
      <c r="AH6693">
        <v>0.308149327202416</v>
      </c>
      <c r="AI6693">
        <v>105.593316761171</v>
      </c>
      <c r="AJ6693">
        <v>90.671506922586502</v>
      </c>
      <c r="AK6693">
        <v>0.31994646440632302</v>
      </c>
    </row>
    <row r="6694" spans="1:37" x14ac:dyDescent="0.2">
      <c r="A6694" t="str">
        <f>"20200111160351275"</f>
        <v>20200111160351275</v>
      </c>
      <c r="B6694" t="str">
        <f>"1578729831269809"</f>
        <v>1578729831269809</v>
      </c>
      <c r="C6694" t="s">
        <v>37</v>
      </c>
      <c r="D6694">
        <v>5.6914879999999997</v>
      </c>
      <c r="E6694">
        <v>0.50446139999999995</v>
      </c>
      <c r="F6694" t="s">
        <v>42</v>
      </c>
      <c r="G6694">
        <v>-161.13759999999999</v>
      </c>
      <c r="H6694">
        <v>1.0082229999999901</v>
      </c>
      <c r="I6694">
        <v>136.37209999999999</v>
      </c>
      <c r="J6694">
        <v>-161.77930000000001</v>
      </c>
      <c r="K6694">
        <v>1.103321</v>
      </c>
      <c r="L6694">
        <v>136.2612</v>
      </c>
      <c r="M6694">
        <v>0.98638019999999904</v>
      </c>
      <c r="N6694">
        <v>0</v>
      </c>
      <c r="O6694">
        <v>0.16392660000000001</v>
      </c>
      <c r="P6694">
        <v>0.98349779999999998</v>
      </c>
      <c r="Q6694">
        <v>-4.4909060000000001E-2</v>
      </c>
      <c r="R6694">
        <v>0.175259</v>
      </c>
      <c r="S6694">
        <v>2.945694</v>
      </c>
      <c r="T6694">
        <v>-0.3352116</v>
      </c>
      <c r="U6694">
        <v>0.49987789999999999</v>
      </c>
      <c r="V6694">
        <v>-1.1742560000000001E-2</v>
      </c>
      <c r="W6694">
        <v>-3.1383090000000002E-2</v>
      </c>
      <c r="X6694">
        <v>0.99943850000000001</v>
      </c>
      <c r="Y6694">
        <v>-4.3985780000000002E-3</v>
      </c>
      <c r="Z6694">
        <v>-1.809142E-2</v>
      </c>
      <c r="AA6694">
        <v>0.99982669999999996</v>
      </c>
      <c r="AB6694">
        <v>19</v>
      </c>
      <c r="AC6694">
        <v>0.64170000000001404</v>
      </c>
      <c r="AD6694">
        <v>-9.5098000000000099E-2</v>
      </c>
      <c r="AE6694">
        <v>0.110899999999986</v>
      </c>
      <c r="AF6694">
        <v>-4.1105874261944597E-3</v>
      </c>
      <c r="AG6694">
        <v>-9.5098000000000099E-2</v>
      </c>
      <c r="AH6694">
        <v>0.637601833046614</v>
      </c>
      <c r="AI6694">
        <v>98.482928666172199</v>
      </c>
      <c r="AJ6694">
        <v>90.369377934219699</v>
      </c>
      <c r="AK6694">
        <v>0.64466784008308597</v>
      </c>
    </row>
    <row r="6695" spans="1:37" x14ac:dyDescent="0.2">
      <c r="A6695" t="str">
        <f>"20200111160351298"</f>
        <v>20200111160351298</v>
      </c>
      <c r="B6695" t="str">
        <f>"1578729831290304"</f>
        <v>1578729831290304</v>
      </c>
      <c r="C6695" t="s">
        <v>37</v>
      </c>
      <c r="D6695">
        <v>5.6756779999999996</v>
      </c>
      <c r="E6695">
        <v>0.50440629999999997</v>
      </c>
      <c r="F6695" t="s">
        <v>42</v>
      </c>
      <c r="G6695">
        <v>-160.96260000000001</v>
      </c>
      <c r="H6695">
        <v>1.0133270000000001</v>
      </c>
      <c r="I6695">
        <v>136.398</v>
      </c>
      <c r="J6695">
        <v>-161.58529999999999</v>
      </c>
      <c r="K6695">
        <v>1.1032109999999999</v>
      </c>
      <c r="L6695">
        <v>136.29140000000001</v>
      </c>
      <c r="M6695">
        <v>0.98667700000000003</v>
      </c>
      <c r="N6695">
        <v>0</v>
      </c>
      <c r="O6695">
        <v>0.162131</v>
      </c>
      <c r="P6695">
        <v>0.98394599999999899</v>
      </c>
      <c r="Q6695">
        <v>-4.5341489999999998E-2</v>
      </c>
      <c r="R6695">
        <v>0.17261170000000001</v>
      </c>
      <c r="S6695">
        <v>2.947479</v>
      </c>
      <c r="T6695">
        <v>-0.32480300000000001</v>
      </c>
      <c r="U6695">
        <v>0.49398799999999998</v>
      </c>
      <c r="V6695">
        <v>-1.088601E-2</v>
      </c>
      <c r="W6695">
        <v>-3.1814870000000002E-2</v>
      </c>
      <c r="X6695">
        <v>0.999434499999999</v>
      </c>
      <c r="Y6695">
        <v>-4.1066690000000003E-3</v>
      </c>
      <c r="Z6695">
        <v>-1.734954E-2</v>
      </c>
      <c r="AA6695">
        <v>0.99984099999999998</v>
      </c>
      <c r="AB6695">
        <v>19</v>
      </c>
      <c r="AC6695">
        <v>0.62269999999998005</v>
      </c>
      <c r="AD6695">
        <v>-8.9884000000000006E-2</v>
      </c>
      <c r="AE6695">
        <v>0.106599999999986</v>
      </c>
      <c r="AF6695">
        <v>-4.1374271620629698E-3</v>
      </c>
      <c r="AG6695">
        <v>-8.9884000000000006E-2</v>
      </c>
      <c r="AH6695">
        <v>0.61921012085573301</v>
      </c>
      <c r="AI6695">
        <v>98.259134712577406</v>
      </c>
      <c r="AJ6695">
        <v>90.382832222275397</v>
      </c>
      <c r="AK6695">
        <v>0.62571353312014399</v>
      </c>
    </row>
    <row r="6696" spans="1:37" x14ac:dyDescent="0.2">
      <c r="A6696" t="str">
        <f>"20200111160351324"</f>
        <v>20200111160351324</v>
      </c>
      <c r="B6696" t="str">
        <f>"1578729831319585"</f>
        <v>1578729831319585</v>
      </c>
      <c r="C6696" t="s">
        <v>37</v>
      </c>
      <c r="D6696">
        <v>11.28463</v>
      </c>
      <c r="E6696">
        <v>0.50433249999999996</v>
      </c>
      <c r="F6696" t="s">
        <v>42</v>
      </c>
      <c r="G6696">
        <v>-160.78899999999999</v>
      </c>
      <c r="H6696">
        <v>1.015811</v>
      </c>
      <c r="I6696">
        <v>136.4229</v>
      </c>
      <c r="J6696">
        <v>-161.36320000000001</v>
      </c>
      <c r="K6696">
        <v>1.103105</v>
      </c>
      <c r="L6696">
        <v>136.3252</v>
      </c>
      <c r="M6696">
        <v>0.98704329999999996</v>
      </c>
      <c r="N6696">
        <v>0</v>
      </c>
      <c r="O6696">
        <v>0.1598849</v>
      </c>
      <c r="P6696">
        <v>0.98446060000000002</v>
      </c>
      <c r="Q6696">
        <v>-4.7237670000000002E-2</v>
      </c>
      <c r="R6696">
        <v>0.16913339999999999</v>
      </c>
      <c r="S6696">
        <v>2.9485929999999998</v>
      </c>
      <c r="T6696">
        <v>-0.32363049999999999</v>
      </c>
      <c r="U6696">
        <v>0.4870911</v>
      </c>
      <c r="V6696">
        <v>-9.6563340000000008E-3</v>
      </c>
      <c r="W6696">
        <v>-3.3714040000000001E-2</v>
      </c>
      <c r="X6696">
        <v>0.99938490000000002</v>
      </c>
      <c r="Y6696">
        <v>-4.0262249999999996E-3</v>
      </c>
      <c r="Z6696">
        <v>-1.70492E-2</v>
      </c>
      <c r="AA6696">
        <v>0.99984649999999997</v>
      </c>
      <c r="AB6696">
        <v>19</v>
      </c>
      <c r="AC6696">
        <v>0.57420000000001803</v>
      </c>
      <c r="AD6696">
        <v>-8.7293999999999899E-2</v>
      </c>
      <c r="AE6696">
        <v>9.7700000000003201E-2</v>
      </c>
      <c r="AF6696">
        <v>-4.5269584672219297E-3</v>
      </c>
      <c r="AG6696">
        <v>-8.7293999999999899E-2</v>
      </c>
      <c r="AH6696">
        <v>0.56963891213643203</v>
      </c>
      <c r="AI6696">
        <v>98.712210177843104</v>
      </c>
      <c r="AJ6696">
        <v>90.455323799901095</v>
      </c>
      <c r="AK6696">
        <v>0.57630653823199096</v>
      </c>
    </row>
    <row r="6697" spans="1:37" x14ac:dyDescent="0.2">
      <c r="A6697" t="str">
        <f>"20200111160351346"</f>
        <v>20200111160351346</v>
      </c>
      <c r="B6697" t="str">
        <f>"1578729831340080"</f>
        <v>1578729831340080</v>
      </c>
      <c r="C6697" t="s">
        <v>37</v>
      </c>
      <c r="D6697">
        <v>5.7303309999999996</v>
      </c>
      <c r="E6697">
        <v>0.50404609999999905</v>
      </c>
      <c r="F6697" t="s">
        <v>42</v>
      </c>
      <c r="G6697">
        <v>-160.61439999999999</v>
      </c>
      <c r="H6697">
        <v>1.0202929999999999</v>
      </c>
      <c r="I6697">
        <v>136.44630000000001</v>
      </c>
      <c r="J6697">
        <v>-161.1763</v>
      </c>
      <c r="K6697">
        <v>1.103037</v>
      </c>
      <c r="L6697">
        <v>136.35310000000001</v>
      </c>
      <c r="M6697">
        <v>0.98736780000000002</v>
      </c>
      <c r="N6697">
        <v>0</v>
      </c>
      <c r="O6697">
        <v>0.1578687</v>
      </c>
      <c r="P6697">
        <v>0.98487449999999999</v>
      </c>
      <c r="Q6697">
        <v>-5.0760840000000002E-2</v>
      </c>
      <c r="R6697">
        <v>0.1656668</v>
      </c>
      <c r="S6697">
        <v>2.9496769999999999</v>
      </c>
      <c r="T6697">
        <v>-0.32617489999999999</v>
      </c>
      <c r="U6697">
        <v>0.47744750000000002</v>
      </c>
      <c r="V6697">
        <v>-8.2228030000000008E-3</v>
      </c>
      <c r="W6697">
        <v>-3.724363E-2</v>
      </c>
      <c r="X6697">
        <v>0.99927239999999995</v>
      </c>
      <c r="Y6697">
        <v>-2.8353530000000001E-3</v>
      </c>
      <c r="Z6697">
        <v>-1.7029720000000002E-2</v>
      </c>
      <c r="AA6697">
        <v>0.99985100000000005</v>
      </c>
      <c r="AB6697">
        <v>19</v>
      </c>
      <c r="AC6697">
        <v>0.56190000000000795</v>
      </c>
      <c r="AD6697">
        <v>-8.2743999999999901E-2</v>
      </c>
      <c r="AE6697">
        <v>9.3199999999995897E-2</v>
      </c>
      <c r="AF6697">
        <v>-3.2480121485683302E-3</v>
      </c>
      <c r="AG6697">
        <v>-8.2743999999999901E-2</v>
      </c>
      <c r="AH6697">
        <v>0.55779543849525903</v>
      </c>
      <c r="AI6697">
        <v>98.437646743286606</v>
      </c>
      <c r="AJ6697">
        <v>90.333626401014698</v>
      </c>
      <c r="AK6697">
        <v>0.56390856557161395</v>
      </c>
    </row>
    <row r="6698" spans="1:37" x14ac:dyDescent="0.2">
      <c r="A6698" t="str">
        <f>"20200111160351372"</f>
        <v>20200111160351372</v>
      </c>
      <c r="B6698" t="str">
        <f>"1578729831359600"</f>
        <v>1578729831359600</v>
      </c>
      <c r="C6698" t="s">
        <v>37</v>
      </c>
      <c r="D6698">
        <v>5.7090839999999998</v>
      </c>
      <c r="E6698">
        <v>0.50407219999999997</v>
      </c>
      <c r="F6698" t="s">
        <v>42</v>
      </c>
      <c r="G6698">
        <v>-160.44210000000001</v>
      </c>
      <c r="H6698">
        <v>1.0205879999999901</v>
      </c>
      <c r="I6698">
        <v>136.4699</v>
      </c>
      <c r="J6698">
        <v>-160.96</v>
      </c>
      <c r="K6698">
        <v>1.102984</v>
      </c>
      <c r="L6698">
        <v>136.38470000000001</v>
      </c>
      <c r="M6698">
        <v>0.98775230000000003</v>
      </c>
      <c r="N6698">
        <v>0</v>
      </c>
      <c r="O6698">
        <v>0.15544530000000001</v>
      </c>
      <c r="P6698">
        <v>0.98539189999999999</v>
      </c>
      <c r="Q6698">
        <v>-5.4287149999999999E-2</v>
      </c>
      <c r="R6698">
        <v>0.1614177</v>
      </c>
      <c r="S6698">
        <v>2.950027</v>
      </c>
      <c r="T6698">
        <v>-0.33124389999999998</v>
      </c>
      <c r="U6698">
        <v>0.46945189999999998</v>
      </c>
      <c r="V6698">
        <v>-6.4088599999999997E-3</v>
      </c>
      <c r="W6698">
        <v>-4.0778420000000003E-2</v>
      </c>
      <c r="X6698">
        <v>0.99914769999999897</v>
      </c>
      <c r="Y6698">
        <v>-2.644015E-3</v>
      </c>
      <c r="Z6698">
        <v>-1.7040550000000002E-2</v>
      </c>
      <c r="AA6698">
        <v>0.9998513</v>
      </c>
      <c r="AB6698">
        <v>19</v>
      </c>
      <c r="AC6698">
        <v>0.51789999999999703</v>
      </c>
      <c r="AD6698">
        <v>-8.2396000000000094E-2</v>
      </c>
      <c r="AE6698">
        <v>8.5199999999986106E-2</v>
      </c>
      <c r="AF6698">
        <v>-3.5638771051119999E-3</v>
      </c>
      <c r="AG6698">
        <v>-8.2396000000000094E-2</v>
      </c>
      <c r="AH6698">
        <v>0.51222504080951903</v>
      </c>
      <c r="AI6698">
        <v>99.138040745960097</v>
      </c>
      <c r="AJ6698">
        <v>90.398636938280205</v>
      </c>
      <c r="AK6698">
        <v>0.51882202581264203</v>
      </c>
    </row>
    <row r="6699" spans="1:37" x14ac:dyDescent="0.2">
      <c r="A6699" t="str">
        <f>"20200111160351392"</f>
        <v>20200111160351392</v>
      </c>
      <c r="B6699" t="str">
        <f>"1578729831380096"</f>
        <v>1578729831380096</v>
      </c>
      <c r="C6699" t="s">
        <v>37</v>
      </c>
      <c r="D6699">
        <v>5.9837699999999998</v>
      </c>
      <c r="E6699">
        <v>0.50437339999999997</v>
      </c>
      <c r="F6699" t="s">
        <v>42</v>
      </c>
      <c r="G6699">
        <v>-160.1062</v>
      </c>
      <c r="H6699">
        <v>1.0045269999999999</v>
      </c>
      <c r="I6699">
        <v>136.51689999999999</v>
      </c>
      <c r="J6699">
        <v>-160.77799999999999</v>
      </c>
      <c r="K6699">
        <v>1.102962</v>
      </c>
      <c r="L6699">
        <v>136.41079999999999</v>
      </c>
      <c r="M6699">
        <v>0.98807579999999995</v>
      </c>
      <c r="N6699">
        <v>0</v>
      </c>
      <c r="O6699">
        <v>0.1533757</v>
      </c>
      <c r="P6699">
        <v>0.98585590000000001</v>
      </c>
      <c r="Q6699">
        <v>-5.7854419999999997E-2</v>
      </c>
      <c r="R6699">
        <v>0.15729379999999901</v>
      </c>
      <c r="S6699">
        <v>2.950882</v>
      </c>
      <c r="T6699">
        <v>-0.34029559999999998</v>
      </c>
      <c r="U6699">
        <v>0.4569397</v>
      </c>
      <c r="V6699">
        <v>-4.3642940000000003E-3</v>
      </c>
      <c r="W6699">
        <v>-4.4356069999999997E-2</v>
      </c>
      <c r="X6699">
        <v>0.99900630000000001</v>
      </c>
      <c r="Y6699">
        <v>-6.0787419999999996E-4</v>
      </c>
      <c r="Z6699">
        <v>-1.738874E-2</v>
      </c>
      <c r="AA6699">
        <v>0.99984859999999898</v>
      </c>
      <c r="AB6699">
        <v>19</v>
      </c>
      <c r="AC6699">
        <v>0.67179999999998996</v>
      </c>
      <c r="AD6699">
        <v>-9.8434999999999995E-2</v>
      </c>
      <c r="AE6699">
        <v>0.106099999999997</v>
      </c>
      <c r="AF6699">
        <v>-1.7603372001153499E-3</v>
      </c>
      <c r="AG6699">
        <v>-9.8434999999999995E-2</v>
      </c>
      <c r="AH6699">
        <v>0.66617022783361102</v>
      </c>
      <c r="AI6699">
        <v>98.405319248427503</v>
      </c>
      <c r="AJ6699">
        <v>90.151402228914407</v>
      </c>
      <c r="AK6699">
        <v>0.673405762125587</v>
      </c>
    </row>
    <row r="6700" spans="1:37" x14ac:dyDescent="0.2">
      <c r="A6700" t="str">
        <f>"20200111160351417"</f>
        <v>20200111160351417</v>
      </c>
      <c r="B6700" t="str">
        <f>"1578729831410353"</f>
        <v>1578729831410353</v>
      </c>
      <c r="C6700" t="s">
        <v>37</v>
      </c>
      <c r="D6700">
        <v>5.7530839999999897</v>
      </c>
      <c r="E6700">
        <v>0.5409043</v>
      </c>
      <c r="F6700" t="s">
        <v>42</v>
      </c>
      <c r="G6700">
        <v>-159.93520000000001</v>
      </c>
      <c r="H6700">
        <v>1.0026520000000001</v>
      </c>
      <c r="I6700">
        <v>136.53710000000001</v>
      </c>
      <c r="J6700">
        <v>-160.57320000000001</v>
      </c>
      <c r="K6700">
        <v>1.1029709999999999</v>
      </c>
      <c r="L6700">
        <v>136.43969999999999</v>
      </c>
      <c r="M6700">
        <v>0.98843340000000002</v>
      </c>
      <c r="N6700">
        <v>0</v>
      </c>
      <c r="O6700">
        <v>0.1510542</v>
      </c>
      <c r="P6700">
        <v>0.98641460000000003</v>
      </c>
      <c r="Q6700">
        <v>-6.0986329999999998E-2</v>
      </c>
      <c r="R6700">
        <v>0.15253559999999999</v>
      </c>
      <c r="S6700">
        <v>2.9518430000000002</v>
      </c>
      <c r="T6700">
        <v>-0.35132089999999999</v>
      </c>
      <c r="U6700">
        <v>0.44236759999999897</v>
      </c>
      <c r="V6700">
        <v>-1.9269300000000001E-3</v>
      </c>
      <c r="W6700">
        <v>-4.7500510000000003E-2</v>
      </c>
      <c r="X6700">
        <v>0.99886939999999902</v>
      </c>
      <c r="Y6700">
        <v>1.8503949999999999E-3</v>
      </c>
      <c r="Z6700">
        <v>-1.782589E-2</v>
      </c>
      <c r="AA6700">
        <v>0.99983940000000004</v>
      </c>
      <c r="AB6700">
        <v>19</v>
      </c>
      <c r="AC6700">
        <v>0.63800000000000501</v>
      </c>
      <c r="AD6700">
        <v>-0.10031899999999901</v>
      </c>
      <c r="AE6700">
        <v>9.7400000000021594E-2</v>
      </c>
      <c r="AF6700" s="1">
        <v>9.6835794111030301E-5</v>
      </c>
      <c r="AG6700">
        <v>-0.10031899999999901</v>
      </c>
      <c r="AH6700">
        <v>0.630166332141057</v>
      </c>
      <c r="AI6700">
        <v>99.045270157094393</v>
      </c>
      <c r="AJ6700">
        <v>89.991195527304896</v>
      </c>
      <c r="AK6700">
        <v>0.63810149451500597</v>
      </c>
    </row>
    <row r="6701" spans="1:37" x14ac:dyDescent="0.2">
      <c r="A6701" t="str">
        <f>"20200111160351438"</f>
        <v>20200111160351438</v>
      </c>
      <c r="B6701" t="str">
        <f>"1578729831429873"</f>
        <v>1578729831429873</v>
      </c>
      <c r="C6701" t="s">
        <v>37</v>
      </c>
      <c r="D6701">
        <v>5.627294</v>
      </c>
      <c r="E6701">
        <v>0.54487259999999904</v>
      </c>
      <c r="F6701" t="s">
        <v>42</v>
      </c>
      <c r="G6701">
        <v>-159.8038</v>
      </c>
      <c r="H6701">
        <v>0.8979956</v>
      </c>
      <c r="I6701">
        <v>136.47909999999999</v>
      </c>
      <c r="J6701">
        <v>-160.38460000000001</v>
      </c>
      <c r="K6701">
        <v>1.103005</v>
      </c>
      <c r="L6701">
        <v>136.4658</v>
      </c>
      <c r="M6701">
        <v>0.98875389999999996</v>
      </c>
      <c r="N6701">
        <v>0</v>
      </c>
      <c r="O6701">
        <v>0.148940299999999</v>
      </c>
      <c r="P6701">
        <v>0.98688009999999904</v>
      </c>
      <c r="Q6701">
        <v>-6.354812E-2</v>
      </c>
      <c r="R6701">
        <v>0.14842379999999999</v>
      </c>
      <c r="S6701">
        <v>2.9688870000000001</v>
      </c>
      <c r="T6701">
        <v>-0.79094969999999998</v>
      </c>
      <c r="U6701">
        <v>0.15197749999999999</v>
      </c>
      <c r="V6701" s="1">
        <v>7.2430819999999999E-5</v>
      </c>
      <c r="W6701">
        <v>-5.0046729999999998E-2</v>
      </c>
      <c r="X6701">
        <v>0.99874689999999999</v>
      </c>
      <c r="Y6701">
        <v>8.9940790000000007E-2</v>
      </c>
      <c r="Z6701">
        <v>-5.0599209999999999E-2</v>
      </c>
      <c r="AA6701">
        <v>0.99466089999999996</v>
      </c>
      <c r="AB6701">
        <v>19</v>
      </c>
      <c r="AC6701">
        <v>0.58080000000000997</v>
      </c>
      <c r="AD6701">
        <v>-0.20500940000000001</v>
      </c>
      <c r="AE6701">
        <v>1.3299999999986699E-2</v>
      </c>
      <c r="AF6701">
        <v>6.5236971401858204E-2</v>
      </c>
      <c r="AG6701">
        <v>-0.20500940000000001</v>
      </c>
      <c r="AH6701">
        <v>0.51248329703322804</v>
      </c>
      <c r="AI6701">
        <v>111.644620713051</v>
      </c>
      <c r="AJ6701">
        <v>82.745504480395397</v>
      </c>
      <c r="AK6701">
        <v>0.55580918152194503</v>
      </c>
    </row>
    <row r="6702" spans="1:37" x14ac:dyDescent="0.2">
      <c r="A6702" t="str">
        <f>"20200111160351457"</f>
        <v>20200111160351457</v>
      </c>
      <c r="B6702" t="str">
        <f>"1578729831450369"</f>
        <v>1578729831450369</v>
      </c>
      <c r="C6702" t="s">
        <v>37</v>
      </c>
      <c r="D6702">
        <v>5.5924559999999897</v>
      </c>
      <c r="E6702">
        <v>0.54703559999999996</v>
      </c>
      <c r="F6702" t="s">
        <v>42</v>
      </c>
      <c r="G6702">
        <v>-159.63149999999999</v>
      </c>
      <c r="H6702">
        <v>0.89869109999999996</v>
      </c>
      <c r="I6702">
        <v>136.4931</v>
      </c>
      <c r="J6702">
        <v>-160.22630000000001</v>
      </c>
      <c r="K6702">
        <v>1.1030580000000001</v>
      </c>
      <c r="L6702">
        <v>136.48750000000001</v>
      </c>
      <c r="M6702">
        <v>0.98901380000000005</v>
      </c>
      <c r="N6702">
        <v>0</v>
      </c>
      <c r="O6702">
        <v>0.1471952</v>
      </c>
      <c r="P6702">
        <v>0.9871221</v>
      </c>
      <c r="Q6702">
        <v>-6.5831410000000007E-2</v>
      </c>
      <c r="R6702">
        <v>0.14579549999999999</v>
      </c>
      <c r="S6702">
        <v>2.9717709999999999</v>
      </c>
      <c r="T6702">
        <v>-0.80620630000000004</v>
      </c>
      <c r="U6702">
        <v>0.10772709999999899</v>
      </c>
      <c r="V6702">
        <v>9.4646740000000002E-4</v>
      </c>
      <c r="W6702">
        <v>-5.2240540000000002E-2</v>
      </c>
      <c r="X6702">
        <v>0.99863409999999997</v>
      </c>
      <c r="Y6702">
        <v>0.1023148</v>
      </c>
      <c r="Z6702">
        <v>-5.2707709999999998E-2</v>
      </c>
      <c r="AA6702">
        <v>0.99335469999999904</v>
      </c>
      <c r="AB6702">
        <v>19</v>
      </c>
      <c r="AC6702">
        <v>0.59480000000001998</v>
      </c>
      <c r="AD6702">
        <v>-0.20436689999999999</v>
      </c>
      <c r="AE6702">
        <v>5.5999999999869496E-3</v>
      </c>
      <c r="AF6702">
        <v>7.3361057747396305E-2</v>
      </c>
      <c r="AG6702">
        <v>-0.20436689999999999</v>
      </c>
      <c r="AH6702">
        <v>0.52694235823130697</v>
      </c>
      <c r="AI6702">
        <v>111.01331043035501</v>
      </c>
      <c r="AJ6702">
        <v>82.074210686403205</v>
      </c>
      <c r="AK6702">
        <v>0.56992624391915703</v>
      </c>
    </row>
    <row r="6703" spans="1:37" x14ac:dyDescent="0.2">
      <c r="A6703" t="str">
        <f>"20200111160351485"</f>
        <v>20200111160351485</v>
      </c>
      <c r="B6703" t="str">
        <f>"1578729831479648"</f>
        <v>1578729831479648</v>
      </c>
      <c r="C6703" t="s">
        <v>37</v>
      </c>
      <c r="D6703">
        <v>5.633324</v>
      </c>
      <c r="E6703">
        <v>0.54841039999999996</v>
      </c>
      <c r="F6703" t="s">
        <v>42</v>
      </c>
      <c r="G6703">
        <v>-159.4624</v>
      </c>
      <c r="H6703">
        <v>0.89366100000000004</v>
      </c>
      <c r="I6703">
        <v>136.50839999999999</v>
      </c>
      <c r="J6703">
        <v>-159.99260000000001</v>
      </c>
      <c r="K6703">
        <v>1.1031949999999999</v>
      </c>
      <c r="L6703">
        <v>136.51900000000001</v>
      </c>
      <c r="M6703">
        <v>0.98938409999999999</v>
      </c>
      <c r="N6703">
        <v>0</v>
      </c>
      <c r="O6703">
        <v>0.14465610000000001</v>
      </c>
      <c r="P6703">
        <v>0.98733649999999995</v>
      </c>
      <c r="Q6703">
        <v>-6.8762790000000004E-2</v>
      </c>
      <c r="R6703">
        <v>0.1429636</v>
      </c>
      <c r="S6703">
        <v>2.9727480000000002</v>
      </c>
      <c r="T6703">
        <v>-0.81484199999999996</v>
      </c>
      <c r="U6703">
        <v>8.1481929999999994E-2</v>
      </c>
      <c r="V6703">
        <v>1.2217630000000001E-3</v>
      </c>
      <c r="W6703">
        <v>-5.486332E-2</v>
      </c>
      <c r="X6703">
        <v>0.99849310000000002</v>
      </c>
      <c r="Y6703">
        <v>0.1082214</v>
      </c>
      <c r="Z6703">
        <v>-5.3366699999999899E-2</v>
      </c>
      <c r="AA6703">
        <v>0.99269339999999995</v>
      </c>
      <c r="AB6703">
        <v>19</v>
      </c>
      <c r="AC6703">
        <v>0.530200000000007</v>
      </c>
      <c r="AD6703">
        <v>-0.209534</v>
      </c>
      <c r="AE6703">
        <v>-1.06000000000108E-2</v>
      </c>
      <c r="AF6703">
        <v>7.5418338980172805E-2</v>
      </c>
      <c r="AG6703">
        <v>-0.209534</v>
      </c>
      <c r="AH6703">
        <v>0.45245231890696902</v>
      </c>
      <c r="AI6703">
        <v>114.551144011415</v>
      </c>
      <c r="AJ6703">
        <v>80.536492606424304</v>
      </c>
      <c r="AK6703">
        <v>0.50428714428867005</v>
      </c>
    </row>
    <row r="6704" spans="1:37" x14ac:dyDescent="0.2">
      <c r="A6704" t="str">
        <f>"20200111160351505"</f>
        <v>20200111160351505</v>
      </c>
      <c r="B6704" t="str">
        <f>"1578729831500144"</f>
        <v>1578729831500144</v>
      </c>
      <c r="C6704" t="s">
        <v>37</v>
      </c>
      <c r="D6704">
        <v>5.6271649999999998</v>
      </c>
      <c r="E6704">
        <v>0.54889009999999905</v>
      </c>
      <c r="F6704" t="s">
        <v>42</v>
      </c>
      <c r="G6704">
        <v>-159.2878</v>
      </c>
      <c r="H6704">
        <v>0.907028099999999</v>
      </c>
      <c r="I6704">
        <v>136.5333</v>
      </c>
      <c r="J6704">
        <v>-159.82689999999999</v>
      </c>
      <c r="K6704">
        <v>1.103299</v>
      </c>
      <c r="L6704">
        <v>136.541</v>
      </c>
      <c r="M6704">
        <v>0.98963789999999996</v>
      </c>
      <c r="N6704">
        <v>0</v>
      </c>
      <c r="O6704">
        <v>0.14287810000000001</v>
      </c>
      <c r="P6704">
        <v>0.98724029999999996</v>
      </c>
      <c r="Q6704">
        <v>-7.1520070000000005E-2</v>
      </c>
      <c r="R6704">
        <v>0.14227309999999899</v>
      </c>
      <c r="S6704">
        <v>2.9720610000000001</v>
      </c>
      <c r="T6704">
        <v>-0.82712299999999905</v>
      </c>
      <c r="U6704">
        <v>6.0806270000000003E-2</v>
      </c>
      <c r="V6704" s="1">
        <v>9.9188069999999896E-5</v>
      </c>
      <c r="W6704">
        <v>-5.7306210000000003E-2</v>
      </c>
      <c r="X6704">
        <v>0.99835659999999904</v>
      </c>
      <c r="Y6704">
        <v>0.1129351</v>
      </c>
      <c r="Z6704">
        <v>-5.4325390000000001E-2</v>
      </c>
      <c r="AA6704">
        <v>0.9921162</v>
      </c>
      <c r="AB6704">
        <v>19</v>
      </c>
      <c r="AC6704">
        <v>0.53909999999999003</v>
      </c>
      <c r="AD6704">
        <v>-0.1962709</v>
      </c>
      <c r="AE6704">
        <v>-7.6999999999998103E-3</v>
      </c>
      <c r="AF6704">
        <v>7.4748616242808499E-2</v>
      </c>
      <c r="AG6704">
        <v>-0.1962709</v>
      </c>
      <c r="AH6704">
        <v>0.470161357646801</v>
      </c>
      <c r="AI6704">
        <v>112.405201041986</v>
      </c>
      <c r="AJ6704">
        <v>80.966434123743298</v>
      </c>
      <c r="AK6704">
        <v>0.51493817496987704</v>
      </c>
    </row>
    <row r="6705" spans="1:37" x14ac:dyDescent="0.2">
      <c r="A6705" t="str">
        <f>"20200111160351526"</f>
        <v>20200111160351526</v>
      </c>
      <c r="B6705" t="str">
        <f>"1578729831519664"</f>
        <v>1578729831519664</v>
      </c>
      <c r="C6705" t="s">
        <v>37</v>
      </c>
      <c r="D6705">
        <v>5.6459239999999999</v>
      </c>
      <c r="E6705">
        <v>0.54943529999999996</v>
      </c>
      <c r="F6705" t="s">
        <v>42</v>
      </c>
      <c r="G6705">
        <v>-159.12039999999999</v>
      </c>
      <c r="H6705">
        <v>0.90495300000000001</v>
      </c>
      <c r="I6705">
        <v>136.554</v>
      </c>
      <c r="J6705">
        <v>-159.63890000000001</v>
      </c>
      <c r="K6705">
        <v>1.103405</v>
      </c>
      <c r="L6705">
        <v>136.56569999999999</v>
      </c>
      <c r="M6705">
        <v>0.98991779999999996</v>
      </c>
      <c r="N6705">
        <v>0</v>
      </c>
      <c r="O6705">
        <v>0.1408856</v>
      </c>
      <c r="P6705">
        <v>0.98716209999999904</v>
      </c>
      <c r="Q6705">
        <v>-7.3022690000000001E-2</v>
      </c>
      <c r="R6705">
        <v>0.14205219999999999</v>
      </c>
      <c r="S6705">
        <v>2.97050499999999</v>
      </c>
      <c r="T6705">
        <v>-0.83409080000000002</v>
      </c>
      <c r="U6705">
        <v>5.4443360000000003E-2</v>
      </c>
      <c r="V6705">
        <v>-1.6977989999999901E-3</v>
      </c>
      <c r="W6705">
        <v>-5.8412760000000001E-2</v>
      </c>
      <c r="X6705">
        <v>0.99829109999999999</v>
      </c>
      <c r="Y6705">
        <v>0.11295479999999999</v>
      </c>
      <c r="Z6705">
        <v>-5.4254899999999898E-2</v>
      </c>
      <c r="AA6705">
        <v>0.99211779999999905</v>
      </c>
      <c r="AB6705">
        <v>19</v>
      </c>
      <c r="AC6705">
        <v>0.51850000000001695</v>
      </c>
      <c r="AD6705">
        <v>-0.19845199999999899</v>
      </c>
      <c r="AE6705">
        <v>-1.16999999999904E-2</v>
      </c>
      <c r="AF6705">
        <v>7.3830253246342403E-2</v>
      </c>
      <c r="AG6705">
        <v>-0.19845199999999899</v>
      </c>
      <c r="AH6705">
        <v>0.44632855309709502</v>
      </c>
      <c r="AI6705">
        <v>113.685667049264</v>
      </c>
      <c r="AJ6705">
        <v>80.6073669758363</v>
      </c>
      <c r="AK6705">
        <v>0.494007368273152</v>
      </c>
    </row>
    <row r="6706" spans="1:37" x14ac:dyDescent="0.2">
      <c r="A6706" t="str">
        <f>"20200111160351547"</f>
        <v>20200111160351547</v>
      </c>
      <c r="B6706" t="str">
        <f>"1578729831540160"</f>
        <v>1578729831540160</v>
      </c>
      <c r="C6706" t="s">
        <v>37</v>
      </c>
      <c r="D6706">
        <v>5.7435879999999999</v>
      </c>
      <c r="E6706">
        <v>0.54975759999999996</v>
      </c>
      <c r="F6706" t="s">
        <v>42</v>
      </c>
      <c r="G6706">
        <v>-158.95150000000001</v>
      </c>
      <c r="H6706">
        <v>0.90915179999999995</v>
      </c>
      <c r="I6706">
        <v>136.57689999999999</v>
      </c>
      <c r="J6706">
        <v>-159.46180000000001</v>
      </c>
      <c r="K6706">
        <v>1.1035029999999999</v>
      </c>
      <c r="L6706">
        <v>136.58850000000001</v>
      </c>
      <c r="M6706">
        <v>0.99017389999999905</v>
      </c>
      <c r="N6706">
        <v>0</v>
      </c>
      <c r="O6706">
        <v>0.13903119999999999</v>
      </c>
      <c r="P6706">
        <v>0.98713280000000003</v>
      </c>
      <c r="Q6706">
        <v>-7.3134030000000003E-2</v>
      </c>
      <c r="R6706">
        <v>0.1421973</v>
      </c>
      <c r="S6706">
        <v>2.9698329999999999</v>
      </c>
      <c r="T6706">
        <v>-0.83915229999999996</v>
      </c>
      <c r="U6706">
        <v>4.917908E-2</v>
      </c>
      <c r="V6706">
        <v>-3.7090500000000002E-3</v>
      </c>
      <c r="W6706">
        <v>-5.8126459999999998E-2</v>
      </c>
      <c r="X6706">
        <v>0.99830229999999998</v>
      </c>
      <c r="Y6706">
        <v>0.11280610000000001</v>
      </c>
      <c r="Z6706">
        <v>-5.4055529999999997E-2</v>
      </c>
      <c r="AA6706">
        <v>0.99214550000000001</v>
      </c>
      <c r="AB6706">
        <v>19</v>
      </c>
      <c r="AC6706">
        <v>0.51029999999999998</v>
      </c>
      <c r="AD6706">
        <v>-0.1943512</v>
      </c>
      <c r="AE6706">
        <v>-1.1600000000015501E-2</v>
      </c>
      <c r="AF6706">
        <v>7.2004029454372606E-2</v>
      </c>
      <c r="AG6706">
        <v>-0.1943512</v>
      </c>
      <c r="AH6706">
        <v>0.43994763120017899</v>
      </c>
      <c r="AI6706">
        <v>113.555255628878</v>
      </c>
      <c r="AJ6706">
        <v>80.705093403351299</v>
      </c>
      <c r="AK6706">
        <v>0.48632385032790099</v>
      </c>
    </row>
    <row r="6707" spans="1:37" x14ac:dyDescent="0.2">
      <c r="A6707" t="str">
        <f>"20200111160351572"</f>
        <v>20200111160351572</v>
      </c>
      <c r="B6707" t="str">
        <f>"1578729831559680"</f>
        <v>1578729831559680</v>
      </c>
      <c r="C6707" t="s">
        <v>37</v>
      </c>
      <c r="D6707">
        <v>5.8754059999999999</v>
      </c>
      <c r="E6707">
        <v>0.55906449999999996</v>
      </c>
      <c r="F6707" t="s">
        <v>42</v>
      </c>
      <c r="G6707">
        <v>-158.7841</v>
      </c>
      <c r="H6707">
        <v>0.91218809999999995</v>
      </c>
      <c r="I6707">
        <v>136.5993</v>
      </c>
      <c r="J6707">
        <v>-159.26349999999999</v>
      </c>
      <c r="K6707">
        <v>1.1036109999999999</v>
      </c>
      <c r="L6707">
        <v>136.61369999999999</v>
      </c>
      <c r="M6707">
        <v>0.99045469999999902</v>
      </c>
      <c r="N6707">
        <v>0</v>
      </c>
      <c r="O6707">
        <v>0.13696559999999999</v>
      </c>
      <c r="P6707">
        <v>0.9873847</v>
      </c>
      <c r="Q6707">
        <v>-7.0805489999999999E-2</v>
      </c>
      <c r="R6707">
        <v>0.1416269</v>
      </c>
      <c r="S6707">
        <v>2.9701840000000002</v>
      </c>
      <c r="T6707">
        <v>-0.83845289999999995</v>
      </c>
      <c r="U6707">
        <v>4.721069E-2</v>
      </c>
      <c r="V6707">
        <v>-5.1793669999999998E-3</v>
      </c>
      <c r="W6707">
        <v>-5.5331619999999998E-2</v>
      </c>
      <c r="X6707">
        <v>0.99845459999999997</v>
      </c>
      <c r="Y6707">
        <v>0.111542899999999</v>
      </c>
      <c r="Z6707">
        <v>-5.3264720000000002E-2</v>
      </c>
      <c r="AA6707">
        <v>0.99233110000000002</v>
      </c>
      <c r="AB6707">
        <v>19</v>
      </c>
      <c r="AC6707">
        <v>0.47939999999999799</v>
      </c>
      <c r="AD6707">
        <v>-0.19142290000000001</v>
      </c>
      <c r="AE6707">
        <v>-1.4399999999994801E-2</v>
      </c>
      <c r="AF6707">
        <v>6.8950093108751095E-2</v>
      </c>
      <c r="AG6707">
        <v>-0.19142290000000001</v>
      </c>
      <c r="AH6707">
        <v>0.40792785487511302</v>
      </c>
      <c r="AI6707">
        <v>114.829689118698</v>
      </c>
      <c r="AJ6707">
        <v>80.406245755770399</v>
      </c>
      <c r="AK6707">
        <v>0.45585302101349201</v>
      </c>
    </row>
    <row r="6708" spans="1:37" x14ac:dyDescent="0.2">
      <c r="A6708" t="str">
        <f>"20200111160351591"</f>
        <v>20200111160351591</v>
      </c>
      <c r="B6708" t="str">
        <f>"1578729831580176"</f>
        <v>1578729831580176</v>
      </c>
      <c r="C6708" t="s">
        <v>37</v>
      </c>
      <c r="D6708">
        <v>5.4443910000000004</v>
      </c>
      <c r="E6708">
        <v>0.56668209999999997</v>
      </c>
      <c r="F6708" t="s">
        <v>42</v>
      </c>
      <c r="G6708">
        <v>-158.4718</v>
      </c>
      <c r="H6708">
        <v>0.85941819999999902</v>
      </c>
      <c r="I6708">
        <v>136.607</v>
      </c>
      <c r="J6708">
        <v>-159.1019</v>
      </c>
      <c r="K6708">
        <v>1.103702</v>
      </c>
      <c r="L6708">
        <v>136.63390000000001</v>
      </c>
      <c r="M6708">
        <v>0.99068129999999999</v>
      </c>
      <c r="N6708">
        <v>0</v>
      </c>
      <c r="O6708">
        <v>0.13527359999999999</v>
      </c>
      <c r="P6708">
        <v>0.98784969999999905</v>
      </c>
      <c r="Q6708">
        <v>-6.592365E-2</v>
      </c>
      <c r="R6708">
        <v>0.14073859999999999</v>
      </c>
      <c r="S6708">
        <v>2.976089</v>
      </c>
      <c r="T6708">
        <v>-0.91790959999999999</v>
      </c>
      <c r="U6708">
        <v>-2.5009159999999999E-2</v>
      </c>
      <c r="V6708">
        <v>-5.9242069999999999E-3</v>
      </c>
      <c r="W6708">
        <v>-5.0063259999999998E-2</v>
      </c>
      <c r="X6708">
        <v>0.99872850000000002</v>
      </c>
      <c r="Y6708">
        <v>0.1312489</v>
      </c>
      <c r="Z6708">
        <v>-6.04687E-2</v>
      </c>
      <c r="AA6708">
        <v>0.98950360000000004</v>
      </c>
      <c r="AB6708">
        <v>19</v>
      </c>
      <c r="AC6708">
        <v>0.630099999999998</v>
      </c>
      <c r="AD6708">
        <v>-0.2442838</v>
      </c>
      <c r="AE6708">
        <v>-2.6900000000011901E-2</v>
      </c>
      <c r="AF6708">
        <v>9.7301159268243301E-2</v>
      </c>
      <c r="AG6708">
        <v>-0.2442838</v>
      </c>
      <c r="AH6708">
        <v>0.53969656981889602</v>
      </c>
      <c r="AI6708">
        <v>114.01059038727701</v>
      </c>
      <c r="AJ6708">
        <v>79.780008376934006</v>
      </c>
      <c r="AK6708">
        <v>0.60034529898356603</v>
      </c>
    </row>
    <row r="6709" spans="1:37" x14ac:dyDescent="0.2">
      <c r="A6709" t="str">
        <f>"20200111160351615"</f>
        <v>20200111160351615</v>
      </c>
      <c r="B6709" t="str">
        <f>"1578729831610432"</f>
        <v>1578729831610432</v>
      </c>
      <c r="C6709" t="s">
        <v>37</v>
      </c>
      <c r="D6709">
        <v>5.7665769999999998</v>
      </c>
      <c r="E6709">
        <v>0.56552899999999995</v>
      </c>
      <c r="F6709" t="s">
        <v>42</v>
      </c>
      <c r="G6709">
        <v>-158.30119999999999</v>
      </c>
      <c r="H6709">
        <v>0.87028240000000001</v>
      </c>
      <c r="I6709">
        <v>136.61070000000001</v>
      </c>
      <c r="J6709">
        <v>-158.917</v>
      </c>
      <c r="K6709">
        <v>1.1037840000000001</v>
      </c>
      <c r="L6709">
        <v>136.6566</v>
      </c>
      <c r="M6709">
        <v>0.99093940000000003</v>
      </c>
      <c r="N6709">
        <v>0</v>
      </c>
      <c r="O6709">
        <v>0.13331879999999999</v>
      </c>
      <c r="P6709">
        <v>0.98834769999999905</v>
      </c>
      <c r="Q6709">
        <v>-6.1786349999999997E-2</v>
      </c>
      <c r="R6709">
        <v>0.1391095</v>
      </c>
      <c r="S6709">
        <v>2.9910130000000001</v>
      </c>
      <c r="T6709">
        <v>-0.87193989999999999</v>
      </c>
      <c r="U6709">
        <v>-8.627319E-2</v>
      </c>
      <c r="V6709">
        <v>-6.1970109999999997E-3</v>
      </c>
      <c r="W6709">
        <v>-4.5507810000000003E-2</v>
      </c>
      <c r="X6709">
        <v>0.99894479999999997</v>
      </c>
      <c r="Y6709">
        <v>0.15008170000000001</v>
      </c>
      <c r="Z6709">
        <v>-5.9426850000000003E-2</v>
      </c>
      <c r="AA6709">
        <v>0.98688600000000004</v>
      </c>
      <c r="AB6709">
        <v>18</v>
      </c>
      <c r="AC6709">
        <v>0.61580000000000701</v>
      </c>
      <c r="AD6709">
        <v>-0.2335016</v>
      </c>
      <c r="AE6709">
        <v>-4.5899999999988901E-2</v>
      </c>
      <c r="AF6709">
        <v>0.111636303534859</v>
      </c>
      <c r="AG6709">
        <v>-0.2335016</v>
      </c>
      <c r="AH6709">
        <v>0.52859891095162304</v>
      </c>
      <c r="AI6709">
        <v>113.374160296879</v>
      </c>
      <c r="AJ6709">
        <v>78.074778783682504</v>
      </c>
      <c r="AK6709">
        <v>0.58855965723852399</v>
      </c>
    </row>
    <row r="6710" spans="1:37" x14ac:dyDescent="0.2">
      <c r="A6710" t="str">
        <f>"20200111160351637"</f>
        <v>20200111160351637</v>
      </c>
      <c r="B6710" t="str">
        <f>"1578729831629952"</f>
        <v>1578729831629952</v>
      </c>
      <c r="C6710" t="s">
        <v>37</v>
      </c>
      <c r="D6710">
        <v>5.7673030000000001</v>
      </c>
      <c r="E6710">
        <v>0.56385240000000003</v>
      </c>
      <c r="F6710" t="s">
        <v>42</v>
      </c>
      <c r="G6710">
        <v>-158.1371</v>
      </c>
      <c r="H6710">
        <v>0.8781331</v>
      </c>
      <c r="I6710">
        <v>136.63570000000001</v>
      </c>
      <c r="J6710">
        <v>-158.73240000000001</v>
      </c>
      <c r="K6710">
        <v>1.103845</v>
      </c>
      <c r="L6710">
        <v>136.6789</v>
      </c>
      <c r="M6710">
        <v>0.99119650000000004</v>
      </c>
      <c r="N6710">
        <v>0</v>
      </c>
      <c r="O6710">
        <v>0.13134770000000001</v>
      </c>
      <c r="P6710">
        <v>0.98865020000000003</v>
      </c>
      <c r="Q6710">
        <v>-5.974513E-2</v>
      </c>
      <c r="R6710">
        <v>0.13784669999999999</v>
      </c>
      <c r="S6710">
        <v>2.9925229999999998</v>
      </c>
      <c r="T6710">
        <v>-0.86584130000000004</v>
      </c>
      <c r="U6710">
        <v>-8.0184939999999996E-2</v>
      </c>
      <c r="V6710">
        <v>-6.8817629999999999E-3</v>
      </c>
      <c r="W6710">
        <v>-4.308994E-2</v>
      </c>
      <c r="X6710">
        <v>0.99904749999999998</v>
      </c>
      <c r="Y6710">
        <v>0.14649690000000001</v>
      </c>
      <c r="Z6710">
        <v>-5.7935960000000002E-2</v>
      </c>
      <c r="AA6710">
        <v>0.98751309999999903</v>
      </c>
      <c r="AB6710">
        <v>18</v>
      </c>
      <c r="AC6710">
        <v>0.59530000000000804</v>
      </c>
      <c r="AD6710">
        <v>-0.22571189999999999</v>
      </c>
      <c r="AE6710">
        <v>-4.3199999999984501E-2</v>
      </c>
      <c r="AF6710">
        <v>0.105885438678407</v>
      </c>
      <c r="AG6710">
        <v>-0.22571189999999999</v>
      </c>
      <c r="AH6710">
        <v>0.51134096052840305</v>
      </c>
      <c r="AI6710">
        <v>113.37601928266901</v>
      </c>
      <c r="AJ6710">
        <v>78.300879262379198</v>
      </c>
      <c r="AK6710">
        <v>0.56888238313366601</v>
      </c>
    </row>
    <row r="6711" spans="1:37" x14ac:dyDescent="0.2">
      <c r="A6711" t="str">
        <f>"20200111160351659"</f>
        <v>20200111160351659</v>
      </c>
      <c r="B6711" t="str">
        <f>"1578729831650448"</f>
        <v>1578729831650448</v>
      </c>
      <c r="C6711" t="s">
        <v>37</v>
      </c>
      <c r="D6711">
        <v>5.7607970000000002</v>
      </c>
      <c r="E6711">
        <v>0.5627316</v>
      </c>
      <c r="F6711" t="s">
        <v>42</v>
      </c>
      <c r="G6711">
        <v>-157.9752</v>
      </c>
      <c r="H6711">
        <v>0.88361880000000004</v>
      </c>
      <c r="I6711">
        <v>136.6611</v>
      </c>
      <c r="J6711">
        <v>-158.55359999999999</v>
      </c>
      <c r="K6711">
        <v>1.1038829999999999</v>
      </c>
      <c r="L6711">
        <v>136.7002</v>
      </c>
      <c r="M6711">
        <v>0.99144339999999997</v>
      </c>
      <c r="N6711">
        <v>0</v>
      </c>
      <c r="O6711">
        <v>0.129430399999999</v>
      </c>
      <c r="P6711">
        <v>0.9888517</v>
      </c>
      <c r="Q6711">
        <v>-5.9423139999999999E-2</v>
      </c>
      <c r="R6711">
        <v>0.13653399999999999</v>
      </c>
      <c r="S6711">
        <v>2.9916079999999998</v>
      </c>
      <c r="T6711">
        <v>-0.86997029999999997</v>
      </c>
      <c r="U6711">
        <v>-6.97937E-2</v>
      </c>
      <c r="V6711">
        <v>-7.4807769999999897E-3</v>
      </c>
      <c r="W6711">
        <v>-4.2459379999999998E-2</v>
      </c>
      <c r="X6711">
        <v>0.99907019999999902</v>
      </c>
      <c r="Y6711">
        <v>0.14134389999999999</v>
      </c>
      <c r="Z6711">
        <v>-5.6941859999999997E-2</v>
      </c>
      <c r="AA6711">
        <v>0.98832160000000002</v>
      </c>
      <c r="AB6711">
        <v>18</v>
      </c>
      <c r="AC6711">
        <v>0.57839999999998704</v>
      </c>
      <c r="AD6711">
        <v>-0.22026419999999899</v>
      </c>
      <c r="AE6711">
        <v>-3.9099999999990503E-2</v>
      </c>
      <c r="AF6711">
        <v>9.9308077300125405E-2</v>
      </c>
      <c r="AG6711">
        <v>-0.22026419999999899</v>
      </c>
      <c r="AH6711">
        <v>0.49675908351915299</v>
      </c>
      <c r="AI6711">
        <v>113.499367331431</v>
      </c>
      <c r="AJ6711">
        <v>78.694918441225099</v>
      </c>
      <c r="AK6711">
        <v>0.55240202667756</v>
      </c>
    </row>
    <row r="6712" spans="1:37" x14ac:dyDescent="0.2">
      <c r="A6712" t="str">
        <f>"20200111160351683"</f>
        <v>20200111160351683</v>
      </c>
      <c r="B6712" t="str">
        <f>"1578729831679727"</f>
        <v>1578729831679727</v>
      </c>
      <c r="C6712" t="s">
        <v>37</v>
      </c>
      <c r="D6712">
        <v>5.4415740000000001</v>
      </c>
      <c r="E6712">
        <v>0.56251870000000004</v>
      </c>
      <c r="F6712" t="s">
        <v>42</v>
      </c>
      <c r="G6712">
        <v>-157.8143</v>
      </c>
      <c r="H6712">
        <v>0.88817199999999996</v>
      </c>
      <c r="I6712">
        <v>136.68440000000001</v>
      </c>
      <c r="J6712">
        <v>-158.36240000000001</v>
      </c>
      <c r="K6712">
        <v>1.1038969999999999</v>
      </c>
      <c r="L6712">
        <v>136.7226</v>
      </c>
      <c r="M6712">
        <v>0.9917049</v>
      </c>
      <c r="N6712">
        <v>0</v>
      </c>
      <c r="O6712">
        <v>0.12737789999999999</v>
      </c>
      <c r="P6712">
        <v>0.9890757</v>
      </c>
      <c r="Q6712">
        <v>-5.898685E-2</v>
      </c>
      <c r="R6712">
        <v>0.135092299999999</v>
      </c>
      <c r="S6712">
        <v>2.990265</v>
      </c>
      <c r="T6712">
        <v>-0.87246630000000003</v>
      </c>
      <c r="U6712">
        <v>-6.4254759999999994E-2</v>
      </c>
      <c r="V6712">
        <v>-8.0850760000000001E-3</v>
      </c>
      <c r="W6712">
        <v>-4.1781279999999997E-2</v>
      </c>
      <c r="X6712">
        <v>0.99909409999999899</v>
      </c>
      <c r="Y6712">
        <v>0.13764379999999901</v>
      </c>
      <c r="Z6712">
        <v>-5.6011470000000001E-2</v>
      </c>
      <c r="AA6712">
        <v>0.98889680000000002</v>
      </c>
      <c r="AB6712">
        <v>18</v>
      </c>
      <c r="AC6712">
        <v>0.54810000000000503</v>
      </c>
      <c r="AD6712">
        <v>-0.215724999999999</v>
      </c>
      <c r="AE6712">
        <v>-3.8199999999989097E-2</v>
      </c>
      <c r="AF6712">
        <v>9.3327388785211698E-2</v>
      </c>
      <c r="AG6712">
        <v>-0.215724999999999</v>
      </c>
      <c r="AH6712">
        <v>0.46680405881908099</v>
      </c>
      <c r="AI6712">
        <v>114.37831066361299</v>
      </c>
      <c r="AJ6712">
        <v>78.694012151678194</v>
      </c>
      <c r="AK6712">
        <v>0.52264070493258996</v>
      </c>
    </row>
    <row r="6713" spans="1:37" x14ac:dyDescent="0.2">
      <c r="A6713" t="str">
        <f>"20200111160351709"</f>
        <v>20200111160351709</v>
      </c>
      <c r="B6713" t="str">
        <f>"1578729831700223"</f>
        <v>1578729831700223</v>
      </c>
      <c r="C6713" t="s">
        <v>37</v>
      </c>
      <c r="D6713">
        <v>5.6075819999999998</v>
      </c>
      <c r="E6713">
        <v>0.56265739999999997</v>
      </c>
      <c r="F6713" t="s">
        <v>42</v>
      </c>
      <c r="G6713">
        <v>-157.65219999999999</v>
      </c>
      <c r="H6713">
        <v>0.89713140000000002</v>
      </c>
      <c r="I6713">
        <v>136.70670000000001</v>
      </c>
      <c r="J6713">
        <v>-158.15600000000001</v>
      </c>
      <c r="K6713">
        <v>1.1038729999999899</v>
      </c>
      <c r="L6713">
        <v>136.74629999999999</v>
      </c>
      <c r="M6713">
        <v>0.99198560000000002</v>
      </c>
      <c r="N6713">
        <v>0</v>
      </c>
      <c r="O6713">
        <v>0.12515770000000001</v>
      </c>
      <c r="P6713">
        <v>0.98947589999999996</v>
      </c>
      <c r="Q6713">
        <v>-5.697228E-2</v>
      </c>
      <c r="R6713">
        <v>0.13300999999999999</v>
      </c>
      <c r="S6713">
        <v>2.9903409999999999</v>
      </c>
      <c r="T6713">
        <v>-0.87051190000000001</v>
      </c>
      <c r="U6713">
        <v>-6.6665650000000007E-2</v>
      </c>
      <c r="V6713">
        <v>-8.1972650000000005E-3</v>
      </c>
      <c r="W6713">
        <v>-3.9651289999999999E-2</v>
      </c>
      <c r="X6713">
        <v>0.99917999999999996</v>
      </c>
      <c r="Y6713">
        <v>0.13641779999999901</v>
      </c>
      <c r="Z6713">
        <v>-5.5085219999999997E-2</v>
      </c>
      <c r="AA6713">
        <v>0.98911870000000002</v>
      </c>
      <c r="AB6713">
        <v>18</v>
      </c>
      <c r="AC6713">
        <v>0.50380000000001202</v>
      </c>
      <c r="AD6713">
        <v>-0.206741599999999</v>
      </c>
      <c r="AE6713">
        <v>-3.9599999999978701E-2</v>
      </c>
      <c r="AF6713">
        <v>8.7678186266663002E-2</v>
      </c>
      <c r="AG6713">
        <v>-0.206741599999999</v>
      </c>
      <c r="AH6713">
        <v>0.42392944814045502</v>
      </c>
      <c r="AI6713">
        <v>115.52783482175199</v>
      </c>
      <c r="AJ6713">
        <v>78.3146946482521</v>
      </c>
      <c r="AK6713">
        <v>0.47973506284015</v>
      </c>
    </row>
    <row r="6714" spans="1:37" x14ac:dyDescent="0.2">
      <c r="A6714" t="str">
        <f>"20200111160351736"</f>
        <v>20200111160351736</v>
      </c>
      <c r="B6714" t="str">
        <f>"1578729831730480"</f>
        <v>1578729831730480</v>
      </c>
      <c r="C6714" t="s">
        <v>37</v>
      </c>
      <c r="D6714">
        <v>5.5099589999999896</v>
      </c>
      <c r="E6714">
        <v>0.56165940000000003</v>
      </c>
      <c r="F6714" t="s">
        <v>42</v>
      </c>
      <c r="G6714">
        <v>-157.3449</v>
      </c>
      <c r="H6714">
        <v>0.86989079999999996</v>
      </c>
      <c r="I6714">
        <v>136.72630000000001</v>
      </c>
      <c r="J6714">
        <v>-157.946</v>
      </c>
      <c r="K6714">
        <v>1.1038129999999999</v>
      </c>
      <c r="L6714">
        <v>136.76990000000001</v>
      </c>
      <c r="M6714">
        <v>0.99226970000000003</v>
      </c>
      <c r="N6714">
        <v>0</v>
      </c>
      <c r="O6714">
        <v>0.122897699999999</v>
      </c>
      <c r="P6714">
        <v>0.98978319999999997</v>
      </c>
      <c r="Q6714">
        <v>-5.649763E-2</v>
      </c>
      <c r="R6714">
        <v>0.13090930000000001</v>
      </c>
      <c r="S6714">
        <v>2.9920650000000002</v>
      </c>
      <c r="T6714">
        <v>-0.86315439999999999</v>
      </c>
      <c r="U6714">
        <v>-7.3303220000000002E-2</v>
      </c>
      <c r="V6714">
        <v>-8.3474719999999999E-3</v>
      </c>
      <c r="W6714">
        <v>-3.9264859999999999E-2</v>
      </c>
      <c r="X6714">
        <v>0.99919400000000003</v>
      </c>
      <c r="Y6714">
        <v>0.13661909999999999</v>
      </c>
      <c r="Z6714">
        <v>-5.4000369999999999E-2</v>
      </c>
      <c r="AA6714">
        <v>0.9891508</v>
      </c>
      <c r="AB6714">
        <v>18</v>
      </c>
      <c r="AC6714">
        <v>0.60110000000000197</v>
      </c>
      <c r="AD6714">
        <v>-0.233922199999999</v>
      </c>
      <c r="AE6714">
        <v>-4.35999999999978E-2</v>
      </c>
      <c r="AF6714">
        <v>0.10181559612709</v>
      </c>
      <c r="AG6714">
        <v>-0.233922199999999</v>
      </c>
      <c r="AH6714">
        <v>0.51378136259558005</v>
      </c>
      <c r="AI6714">
        <v>114.066028628815</v>
      </c>
      <c r="AJ6714">
        <v>78.790970433836904</v>
      </c>
      <c r="AK6714">
        <v>0.57363516264096504</v>
      </c>
    </row>
    <row r="6715" spans="1:37" x14ac:dyDescent="0.2">
      <c r="A6715" t="str">
        <f>"20200111160351758"</f>
        <v>20200111160351758</v>
      </c>
      <c r="B6715" t="str">
        <f>"1578729831750000"</f>
        <v>1578729831750000</v>
      </c>
      <c r="C6715" t="s">
        <v>37</v>
      </c>
      <c r="D6715">
        <v>5.4672609999999997</v>
      </c>
      <c r="E6715">
        <v>0.56118190000000001</v>
      </c>
      <c r="F6715" t="s">
        <v>42</v>
      </c>
      <c r="G6715">
        <v>-157.1833</v>
      </c>
      <c r="H6715">
        <v>0.88297409999999998</v>
      </c>
      <c r="I6715">
        <v>136.7518</v>
      </c>
      <c r="J6715">
        <v>-157.76769999999999</v>
      </c>
      <c r="K6715">
        <v>1.1037669999999999</v>
      </c>
      <c r="L6715">
        <v>136.78960000000001</v>
      </c>
      <c r="M6715">
        <v>0.99250830000000001</v>
      </c>
      <c r="N6715">
        <v>0</v>
      </c>
      <c r="O6715">
        <v>0.12097670000000001</v>
      </c>
      <c r="P6715">
        <v>0.99003909999999995</v>
      </c>
      <c r="Q6715">
        <v>-5.7015879999999998E-2</v>
      </c>
      <c r="R6715">
        <v>0.1287315</v>
      </c>
      <c r="S6715">
        <v>2.990936</v>
      </c>
      <c r="T6715">
        <v>-0.86605560000000004</v>
      </c>
      <c r="U6715">
        <v>-7.1105959999999996E-2</v>
      </c>
      <c r="V6715">
        <v>-8.0880699999999993E-3</v>
      </c>
      <c r="W6715">
        <v>-3.9929859999999998E-2</v>
      </c>
      <c r="X6715">
        <v>0.9991698</v>
      </c>
      <c r="Y6715">
        <v>0.13409089999999901</v>
      </c>
      <c r="Z6715">
        <v>-5.3293439999999997E-2</v>
      </c>
      <c r="AA6715">
        <v>0.98953500000000005</v>
      </c>
      <c r="AB6715">
        <v>18</v>
      </c>
      <c r="AC6715">
        <v>0.58439999999998704</v>
      </c>
      <c r="AD6715">
        <v>-0.22079289999999999</v>
      </c>
      <c r="AE6715">
        <v>-3.7800000000004198E-2</v>
      </c>
      <c r="AF6715">
        <v>9.4761382767103705E-2</v>
      </c>
      <c r="AG6715">
        <v>-0.22079289999999999</v>
      </c>
      <c r="AH6715">
        <v>0.50390459267334597</v>
      </c>
      <c r="AI6715">
        <v>113.29748542956099</v>
      </c>
      <c r="AJ6715">
        <v>79.349672052060896</v>
      </c>
      <c r="AK6715">
        <v>0.558255374243396</v>
      </c>
    </row>
    <row r="6716" spans="1:37" x14ac:dyDescent="0.2">
      <c r="A6716" t="str">
        <f>"20200111160351782"</f>
        <v>20200111160351782</v>
      </c>
      <c r="B6716" t="str">
        <f>"1578729831770496"</f>
        <v>1578729831770496</v>
      </c>
      <c r="C6716" t="s">
        <v>37</v>
      </c>
      <c r="D6716">
        <v>5.4535349999999996</v>
      </c>
      <c r="E6716">
        <v>0.56082559999999904</v>
      </c>
      <c r="F6716" t="s">
        <v>42</v>
      </c>
      <c r="G6716">
        <v>-157.0249</v>
      </c>
      <c r="H6716">
        <v>0.88770469999999901</v>
      </c>
      <c r="I6716">
        <v>136.77099999999999</v>
      </c>
      <c r="J6716">
        <v>-157.58320000000001</v>
      </c>
      <c r="K6716">
        <v>1.1037330000000001</v>
      </c>
      <c r="L6716">
        <v>136.80959999999999</v>
      </c>
      <c r="M6716">
        <v>0.99275170000000001</v>
      </c>
      <c r="N6716">
        <v>0</v>
      </c>
      <c r="O6716">
        <v>0.11898640000000001</v>
      </c>
      <c r="P6716">
        <v>0.9902841</v>
      </c>
      <c r="Q6716">
        <v>-5.8046859999999999E-2</v>
      </c>
      <c r="R6716">
        <v>0.12636459999999999</v>
      </c>
      <c r="S6716">
        <v>2.9897309999999999</v>
      </c>
      <c r="T6716">
        <v>-0.86948749999999997</v>
      </c>
      <c r="U6716">
        <v>-7.4203489999999997E-2</v>
      </c>
      <c r="V6716">
        <v>-7.71178199999999E-3</v>
      </c>
      <c r="W6716">
        <v>-4.1127469999999999E-2</v>
      </c>
      <c r="X6716">
        <v>0.99912420000000002</v>
      </c>
      <c r="Y6716">
        <v>0.13317079999999901</v>
      </c>
      <c r="Z6716">
        <v>-5.2821350000000003E-2</v>
      </c>
      <c r="AA6716">
        <v>0.98968449999999997</v>
      </c>
      <c r="AB6716">
        <v>18</v>
      </c>
      <c r="AC6716">
        <v>0.55830000000000202</v>
      </c>
      <c r="AD6716">
        <v>-0.21602830000000001</v>
      </c>
      <c r="AE6716">
        <v>-3.8599999999973898E-2</v>
      </c>
      <c r="AF6716">
        <v>9.1178783260532401E-2</v>
      </c>
      <c r="AG6716">
        <v>-0.21602830000000001</v>
      </c>
      <c r="AH6716">
        <v>0.47844593775724997</v>
      </c>
      <c r="AI6716">
        <v>113.91912631674499</v>
      </c>
      <c r="AJ6716">
        <v>79.210360561167306</v>
      </c>
      <c r="AK6716">
        <v>0.53281545799101604</v>
      </c>
    </row>
    <row r="6717" spans="1:37" x14ac:dyDescent="0.2">
      <c r="A6717" t="str">
        <f>"20200111160351804"</f>
        <v>20200111160351804</v>
      </c>
      <c r="B6717" t="str">
        <f>"1578729831799776"</f>
        <v>1578729831799776</v>
      </c>
      <c r="C6717" t="s">
        <v>37</v>
      </c>
      <c r="D6717">
        <v>5.4181229999999996</v>
      </c>
      <c r="E6717">
        <v>0.56038429999999995</v>
      </c>
      <c r="F6717" t="s">
        <v>42</v>
      </c>
      <c r="G6717">
        <v>-156.8663</v>
      </c>
      <c r="H6717">
        <v>0.89401769999999903</v>
      </c>
      <c r="I6717">
        <v>136.79069999999999</v>
      </c>
      <c r="J6717">
        <v>-157.41380000000001</v>
      </c>
      <c r="K6717">
        <v>1.1037110000000001</v>
      </c>
      <c r="L6717">
        <v>136.82759999999999</v>
      </c>
      <c r="M6717">
        <v>0.99297150000000001</v>
      </c>
      <c r="N6717">
        <v>0</v>
      </c>
      <c r="O6717">
        <v>0.117159999999999</v>
      </c>
      <c r="P6717">
        <v>0.99048219999999998</v>
      </c>
      <c r="Q6717">
        <v>-5.8731829999999999E-2</v>
      </c>
      <c r="R6717">
        <v>0.1244821</v>
      </c>
      <c r="S6717">
        <v>2.988235</v>
      </c>
      <c r="T6717">
        <v>-0.8741449</v>
      </c>
      <c r="U6717">
        <v>-7.8613279999999994E-2</v>
      </c>
      <c r="V6717">
        <v>-7.6557709999999996E-3</v>
      </c>
      <c r="W6717">
        <v>-4.197E-2</v>
      </c>
      <c r="X6717">
        <v>0.99908949999999996</v>
      </c>
      <c r="Y6717">
        <v>0.13279360000000001</v>
      </c>
      <c r="Z6717">
        <v>-5.2543239999999998E-2</v>
      </c>
      <c r="AA6717">
        <v>0.98975000000000002</v>
      </c>
      <c r="AB6717">
        <v>18</v>
      </c>
      <c r="AC6717">
        <v>0.54750000000001298</v>
      </c>
      <c r="AD6717">
        <v>-0.2096933</v>
      </c>
      <c r="AE6717">
        <v>-3.6900000000002799E-2</v>
      </c>
      <c r="AF6717">
        <v>8.7955986521451507E-2</v>
      </c>
      <c r="AG6717">
        <v>-0.2096933</v>
      </c>
      <c r="AH6717">
        <v>0.47067356211352801</v>
      </c>
      <c r="AI6717">
        <v>113.65036266951</v>
      </c>
      <c r="AJ6717">
        <v>79.415075864457805</v>
      </c>
      <c r="AK6717">
        <v>0.52272472459458896</v>
      </c>
    </row>
    <row r="6718" spans="1:37" x14ac:dyDescent="0.2">
      <c r="A6718" t="str">
        <f>"20200111160351830"</f>
        <v>20200111160351830</v>
      </c>
      <c r="B6718" t="str">
        <f>"1578729831820271"</f>
        <v>1578729831820271</v>
      </c>
      <c r="C6718" t="s">
        <v>37</v>
      </c>
      <c r="D6718">
        <v>5.3920859999999999</v>
      </c>
      <c r="E6718">
        <v>0.56016529999999998</v>
      </c>
      <c r="F6718" t="s">
        <v>42</v>
      </c>
      <c r="G6718">
        <v>-156.70949999999999</v>
      </c>
      <c r="H6718">
        <v>0.89670780000000005</v>
      </c>
      <c r="I6718">
        <v>136.80850000000001</v>
      </c>
      <c r="J6718">
        <v>-157.21170000000001</v>
      </c>
      <c r="K6718">
        <v>1.1036969999999999</v>
      </c>
      <c r="L6718">
        <v>136.84880000000001</v>
      </c>
      <c r="M6718">
        <v>0.99322880000000002</v>
      </c>
      <c r="N6718">
        <v>0</v>
      </c>
      <c r="O6718">
        <v>0.11498559999999999</v>
      </c>
      <c r="P6718">
        <v>0.99074649999999997</v>
      </c>
      <c r="Q6718">
        <v>-5.8271179999999999E-2</v>
      </c>
      <c r="R6718">
        <v>0.1225816</v>
      </c>
      <c r="S6718">
        <v>2.9868929999999998</v>
      </c>
      <c r="T6718">
        <v>-0.87773299999999999</v>
      </c>
      <c r="U6718">
        <v>-8.0596920000000002E-2</v>
      </c>
      <c r="V6718">
        <v>-7.9216970000000001E-3</v>
      </c>
      <c r="W6718">
        <v>-4.1688830000000003E-2</v>
      </c>
      <c r="X6718">
        <v>0.99909930000000002</v>
      </c>
      <c r="Y6718">
        <v>0.13135329999999901</v>
      </c>
      <c r="Z6718">
        <v>-5.1942549999999997E-2</v>
      </c>
      <c r="AA6718">
        <v>0.98997389999999996</v>
      </c>
      <c r="AB6718">
        <v>18</v>
      </c>
      <c r="AC6718">
        <v>0.50220000000001597</v>
      </c>
      <c r="AD6718">
        <v>-0.20698919999999901</v>
      </c>
      <c r="AE6718">
        <v>-4.0300000000002001E-2</v>
      </c>
      <c r="AF6718">
        <v>8.3664373940033301E-2</v>
      </c>
      <c r="AG6718">
        <v>-0.20698919999999901</v>
      </c>
      <c r="AH6718">
        <v>0.42285806035876</v>
      </c>
      <c r="AI6718">
        <v>115.649934761965</v>
      </c>
      <c r="AJ6718">
        <v>78.8083157381311</v>
      </c>
      <c r="AK6718">
        <v>0.478176950086252</v>
      </c>
    </row>
    <row r="6719" spans="1:37" x14ac:dyDescent="0.2">
      <c r="A6719" t="str">
        <f>"20200111160351855"</f>
        <v>20200111160351855</v>
      </c>
      <c r="B6719" t="str">
        <f>"1578729831850528"</f>
        <v>1578729831850528</v>
      </c>
      <c r="C6719" t="s">
        <v>37</v>
      </c>
      <c r="D6719">
        <v>5.3269409999999997</v>
      </c>
      <c r="E6719">
        <v>0.55979719999999999</v>
      </c>
      <c r="F6719" t="s">
        <v>42</v>
      </c>
      <c r="G6719">
        <v>-156.4091</v>
      </c>
      <c r="H6719">
        <v>0.86806079999999997</v>
      </c>
      <c r="I6719">
        <v>136.82579999999999</v>
      </c>
      <c r="J6719">
        <v>-157.01560000000001</v>
      </c>
      <c r="K6719">
        <v>1.1036969999999999</v>
      </c>
      <c r="L6719">
        <v>136.8689</v>
      </c>
      <c r="M6719">
        <v>0.99347169999999896</v>
      </c>
      <c r="N6719">
        <v>0</v>
      </c>
      <c r="O6719">
        <v>0.1128851</v>
      </c>
      <c r="P6719">
        <v>0.99093629999999999</v>
      </c>
      <c r="Q6719">
        <v>-5.7566220000000001E-2</v>
      </c>
      <c r="R6719">
        <v>0.1213735</v>
      </c>
      <c r="S6719">
        <v>2.9869539999999999</v>
      </c>
      <c r="T6719">
        <v>-0.87682209999999905</v>
      </c>
      <c r="U6719">
        <v>-8.485413E-2</v>
      </c>
      <c r="V6719">
        <v>-8.8089780000000003E-3</v>
      </c>
      <c r="W6719">
        <v>-4.110598E-2</v>
      </c>
      <c r="X6719">
        <v>0.99911589999999995</v>
      </c>
      <c r="Y6719">
        <v>0.13080219999999901</v>
      </c>
      <c r="Z6719">
        <v>-5.1208990000000003E-2</v>
      </c>
      <c r="AA6719">
        <v>0.99008510000000005</v>
      </c>
      <c r="AB6719">
        <v>17</v>
      </c>
      <c r="AC6719">
        <v>0.60650000000001103</v>
      </c>
      <c r="AD6719">
        <v>-0.23563619999999999</v>
      </c>
      <c r="AE6719">
        <v>-4.3100000000009603E-2</v>
      </c>
      <c r="AF6719">
        <v>9.6765518773197001E-2</v>
      </c>
      <c r="AG6719">
        <v>-0.23563619999999999</v>
      </c>
      <c r="AH6719">
        <v>0.51970313560398795</v>
      </c>
      <c r="AI6719">
        <v>114.02466695123201</v>
      </c>
      <c r="AJ6719">
        <v>79.452657994494103</v>
      </c>
      <c r="AK6719">
        <v>0.57877399175369204</v>
      </c>
    </row>
    <row r="6720" spans="1:37" x14ac:dyDescent="0.2">
      <c r="A6720" t="str">
        <f>"20200111160351888"</f>
        <v>20200111160351888</v>
      </c>
      <c r="B6720" t="str">
        <f>"1578729831879809"</f>
        <v>1578729831879809</v>
      </c>
      <c r="C6720" t="s">
        <v>37</v>
      </c>
      <c r="D6720">
        <v>5.3408059999999997</v>
      </c>
      <c r="E6720">
        <v>0.55949019999999905</v>
      </c>
      <c r="F6720" t="s">
        <v>42</v>
      </c>
      <c r="G6720">
        <v>-156.25110000000001</v>
      </c>
      <c r="H6720">
        <v>0.87920959999999904</v>
      </c>
      <c r="I6720">
        <v>136.84710000000001</v>
      </c>
      <c r="J6720">
        <v>-156.76230000000001</v>
      </c>
      <c r="K6720">
        <v>1.1037219999999901</v>
      </c>
      <c r="L6720">
        <v>136.89420000000001</v>
      </c>
      <c r="M6720">
        <v>0.99377709999999997</v>
      </c>
      <c r="N6720">
        <v>0</v>
      </c>
      <c r="O6720">
        <v>0.1101742</v>
      </c>
      <c r="P6720">
        <v>0.99116369999999898</v>
      </c>
      <c r="Q6720">
        <v>-5.7805229999999999E-2</v>
      </c>
      <c r="R6720">
        <v>0.1193867</v>
      </c>
      <c r="S6720">
        <v>2.9869080000000001</v>
      </c>
      <c r="T6720">
        <v>-0.87706949999999995</v>
      </c>
      <c r="U6720">
        <v>-8.5021970000000002E-2</v>
      </c>
      <c r="V6720">
        <v>-9.5320549999999993E-3</v>
      </c>
      <c r="W6720">
        <v>-4.1407230000000003E-2</v>
      </c>
      <c r="X6720">
        <v>0.99909689999999995</v>
      </c>
      <c r="Y6720">
        <v>0.12836700000000001</v>
      </c>
      <c r="Z6720">
        <v>-5.0097089999999997E-2</v>
      </c>
      <c r="AA6720">
        <v>0.99046060000000002</v>
      </c>
      <c r="AB6720">
        <v>17</v>
      </c>
      <c r="AC6720">
        <v>0.51120000000000199</v>
      </c>
      <c r="AD6720">
        <v>-0.224512399999999</v>
      </c>
      <c r="AE6720">
        <v>-4.7100000000000301E-2</v>
      </c>
      <c r="AF6720">
        <v>8.6581999952422495E-2</v>
      </c>
      <c r="AG6720">
        <v>-0.224512399999999</v>
      </c>
      <c r="AH6720">
        <v>0.42215515372447299</v>
      </c>
      <c r="AI6720">
        <v>117.51861136880601</v>
      </c>
      <c r="AJ6720">
        <v>78.409638742093506</v>
      </c>
      <c r="AK6720">
        <v>0.48591895855755102</v>
      </c>
    </row>
    <row r="6721" spans="1:37" x14ac:dyDescent="0.2">
      <c r="A6721" t="str">
        <f>"20200111160351909"</f>
        <v>20200111160351909</v>
      </c>
      <c r="B6721" t="str">
        <f>"1578729831900303"</f>
        <v>1578729831900303</v>
      </c>
      <c r="C6721" t="s">
        <v>37</v>
      </c>
      <c r="D6721">
        <v>5.3337490000000001</v>
      </c>
      <c r="E6721">
        <v>0.55934019999999995</v>
      </c>
      <c r="F6721" t="s">
        <v>42</v>
      </c>
      <c r="G6721">
        <v>-156.0882</v>
      </c>
      <c r="H6721">
        <v>0.90519810000000001</v>
      </c>
      <c r="I6721">
        <v>136.8741</v>
      </c>
      <c r="J6721">
        <v>-156.60059999999999</v>
      </c>
      <c r="K6721">
        <v>1.1037589999999999</v>
      </c>
      <c r="L6721">
        <v>136.91</v>
      </c>
      <c r="M6721">
        <v>0.99396739999999995</v>
      </c>
      <c r="N6721">
        <v>0</v>
      </c>
      <c r="O6721">
        <v>0.1084411</v>
      </c>
      <c r="P6721">
        <v>0.99127659999999995</v>
      </c>
      <c r="Q6721">
        <v>-5.7496390000000001E-2</v>
      </c>
      <c r="R6721">
        <v>0.11859509999999999</v>
      </c>
      <c r="S6721">
        <v>2.98612999999999</v>
      </c>
      <c r="T6721">
        <v>-0.87928790000000001</v>
      </c>
      <c r="U6721">
        <v>-8.8500980000000007E-2</v>
      </c>
      <c r="V6721">
        <v>-1.047262E-2</v>
      </c>
      <c r="W6721">
        <v>-4.108498E-2</v>
      </c>
      <c r="X6721">
        <v>0.99910069999999995</v>
      </c>
      <c r="Y6721">
        <v>0.12784089999999901</v>
      </c>
      <c r="Z6721">
        <v>-4.9657319999999998E-2</v>
      </c>
      <c r="AA6721">
        <v>0.99055079999999995</v>
      </c>
      <c r="AB6721">
        <v>17</v>
      </c>
      <c r="AC6721">
        <v>0.51239999999998498</v>
      </c>
      <c r="AD6721">
        <v>-0.19856090000000001</v>
      </c>
      <c r="AE6721">
        <v>-3.5899999999998003E-2</v>
      </c>
      <c r="AF6721">
        <v>7.9396578218248096E-2</v>
      </c>
      <c r="AG6721">
        <v>-0.19856090000000001</v>
      </c>
      <c r="AH6721">
        <v>0.439768590444994</v>
      </c>
      <c r="AI6721">
        <v>113.95695508103201</v>
      </c>
      <c r="AJ6721">
        <v>79.765964867629805</v>
      </c>
      <c r="AK6721">
        <v>0.489005788087987</v>
      </c>
    </row>
    <row r="6722" spans="1:37" x14ac:dyDescent="0.2">
      <c r="A6722" t="str">
        <f>"20200111160351929"</f>
        <v>20200111160351929</v>
      </c>
      <c r="B6722" t="str">
        <f>"1578729831919824"</f>
        <v>1578729831919824</v>
      </c>
      <c r="C6722" t="s">
        <v>37</v>
      </c>
      <c r="D6722">
        <v>5.2769779999999997</v>
      </c>
      <c r="E6722">
        <v>0.55917749999999999</v>
      </c>
      <c r="F6722" t="s">
        <v>42</v>
      </c>
      <c r="G6722">
        <v>-155.93450000000001</v>
      </c>
      <c r="H6722">
        <v>0.90763680000000002</v>
      </c>
      <c r="I6722">
        <v>136.88980000000001</v>
      </c>
      <c r="J6722">
        <v>-156.4461</v>
      </c>
      <c r="K6722">
        <v>1.103801</v>
      </c>
      <c r="L6722">
        <v>136.92490000000001</v>
      </c>
      <c r="M6722">
        <v>0.99414579999999997</v>
      </c>
      <c r="N6722">
        <v>0</v>
      </c>
      <c r="O6722">
        <v>0.1067854</v>
      </c>
      <c r="P6722">
        <v>0.99139390000000005</v>
      </c>
      <c r="Q6722">
        <v>-5.6827809999999999E-2</v>
      </c>
      <c r="R6722">
        <v>0.117935999999999</v>
      </c>
      <c r="S6722">
        <v>2.9861909999999998</v>
      </c>
      <c r="T6722">
        <v>-0.87912009999999996</v>
      </c>
      <c r="U6722">
        <v>-9.0133669999999999E-2</v>
      </c>
      <c r="V6722">
        <v>-1.1465309999999999E-2</v>
      </c>
      <c r="W6722">
        <v>-4.0352369999999999E-2</v>
      </c>
      <c r="X6722">
        <v>0.9991198</v>
      </c>
      <c r="Y6722">
        <v>0.12684780000000001</v>
      </c>
      <c r="Z6722">
        <v>-4.9028479999999999E-2</v>
      </c>
      <c r="AA6722">
        <v>0.99070979999999997</v>
      </c>
      <c r="AB6722">
        <v>17</v>
      </c>
      <c r="AC6722">
        <v>0.51159999999998695</v>
      </c>
      <c r="AD6722">
        <v>-0.19616420000000001</v>
      </c>
      <c r="AE6722">
        <v>-3.5099999999999902E-2</v>
      </c>
      <c r="AF6722">
        <v>7.8108323666621904E-2</v>
      </c>
      <c r="AG6722">
        <v>-0.19616420000000001</v>
      </c>
      <c r="AH6722">
        <v>0.44047038637882302</v>
      </c>
      <c r="AI6722">
        <v>113.677948514283</v>
      </c>
      <c r="AJ6722">
        <v>79.9443102658757</v>
      </c>
      <c r="AK6722">
        <v>0.488462347437712</v>
      </c>
    </row>
    <row r="6723" spans="1:37" x14ac:dyDescent="0.2">
      <c r="A6723" t="str">
        <f>"20200111160351951"</f>
        <v>20200111160351951</v>
      </c>
      <c r="B6723" t="str">
        <f>"1578729831940320"</f>
        <v>1578729831940320</v>
      </c>
      <c r="C6723" t="s">
        <v>37</v>
      </c>
      <c r="D6723">
        <v>5.3560339999999904</v>
      </c>
      <c r="E6723">
        <v>0.55909790000000004</v>
      </c>
      <c r="F6723" t="s">
        <v>42</v>
      </c>
      <c r="G6723">
        <v>-155.64590000000001</v>
      </c>
      <c r="H6723">
        <v>0.86861089999999996</v>
      </c>
      <c r="I6723">
        <v>136.90029999999999</v>
      </c>
      <c r="J6723">
        <v>-156.28639999999999</v>
      </c>
      <c r="K6723">
        <v>1.103861</v>
      </c>
      <c r="L6723">
        <v>136.94</v>
      </c>
      <c r="M6723">
        <v>0.99432559999999903</v>
      </c>
      <c r="N6723">
        <v>0</v>
      </c>
      <c r="O6723">
        <v>0.1050739</v>
      </c>
      <c r="P6723">
        <v>0.991506</v>
      </c>
      <c r="Q6723">
        <v>-5.6178599999999898E-2</v>
      </c>
      <c r="R6723">
        <v>0.1173029</v>
      </c>
      <c r="S6723">
        <v>2.986618</v>
      </c>
      <c r="T6723">
        <v>-0.87769629999999998</v>
      </c>
      <c r="U6723">
        <v>-9.1354370000000004E-2</v>
      </c>
      <c r="V6723">
        <v>-1.253955E-2</v>
      </c>
      <c r="W6723">
        <v>-3.9553280000000003E-2</v>
      </c>
      <c r="X6723">
        <v>0.99913879999999999</v>
      </c>
      <c r="Y6723">
        <v>0.1256977</v>
      </c>
      <c r="Z6723">
        <v>-4.828934E-2</v>
      </c>
      <c r="AA6723">
        <v>0.99089259999999901</v>
      </c>
      <c r="AB6723">
        <v>17</v>
      </c>
      <c r="AC6723">
        <v>0.64049999999997398</v>
      </c>
      <c r="AD6723">
        <v>-0.23525009999999899</v>
      </c>
      <c r="AE6723">
        <v>-3.9700000000010498E-2</v>
      </c>
      <c r="AF6723">
        <v>9.4138363951029702E-2</v>
      </c>
      <c r="AG6723">
        <v>-0.23525009999999899</v>
      </c>
      <c r="AH6723">
        <v>0.557818164585686</v>
      </c>
      <c r="AI6723">
        <v>112.58009696771801</v>
      </c>
      <c r="AJ6723">
        <v>80.420923064607905</v>
      </c>
      <c r="AK6723">
        <v>0.61267099315956697</v>
      </c>
    </row>
    <row r="6724" spans="1:37" x14ac:dyDescent="0.2">
      <c r="A6724" t="str">
        <f>"20200111160351973"</f>
        <v>20200111160351973</v>
      </c>
      <c r="B6724" t="str">
        <f>"1578729831970576"</f>
        <v>1578729831970576</v>
      </c>
      <c r="C6724" t="s">
        <v>37</v>
      </c>
      <c r="D6724">
        <v>5.3184239999999896</v>
      </c>
      <c r="E6724">
        <v>0.55897969999999997</v>
      </c>
      <c r="F6724" t="s">
        <v>42</v>
      </c>
      <c r="G6724">
        <v>-155.495</v>
      </c>
      <c r="H6724">
        <v>0.87172090000000002</v>
      </c>
      <c r="I6724">
        <v>136.9153</v>
      </c>
      <c r="J6724">
        <v>-156.11949999999999</v>
      </c>
      <c r="K6724">
        <v>1.1039429999999999</v>
      </c>
      <c r="L6724">
        <v>136.9554</v>
      </c>
      <c r="M6724">
        <v>0.99450899999999998</v>
      </c>
      <c r="N6724">
        <v>0</v>
      </c>
      <c r="O6724">
        <v>0.10328469999999999</v>
      </c>
      <c r="P6724">
        <v>0.99153719999999901</v>
      </c>
      <c r="Q6724">
        <v>-5.5247299999999999E-2</v>
      </c>
      <c r="R6724">
        <v>0.1174808</v>
      </c>
      <c r="S6724">
        <v>2.9870299999999999</v>
      </c>
      <c r="T6724">
        <v>-0.87615789999999905</v>
      </c>
      <c r="U6724">
        <v>-9.2880249999999998E-2</v>
      </c>
      <c r="V6724">
        <v>-1.450593E-2</v>
      </c>
      <c r="W6724">
        <v>-3.8378530000000001E-2</v>
      </c>
      <c r="X6724">
        <v>0.99915799999999999</v>
      </c>
      <c r="Y6724">
        <v>0.1245752</v>
      </c>
      <c r="Z6724">
        <v>-4.7528319999999999E-2</v>
      </c>
      <c r="AA6724">
        <v>0.99107119999999904</v>
      </c>
      <c r="AB6724">
        <v>17</v>
      </c>
      <c r="AC6724">
        <v>0.62449999999998296</v>
      </c>
      <c r="AD6724">
        <v>-0.23222209999999999</v>
      </c>
      <c r="AE6724">
        <v>-4.0099999999995299E-2</v>
      </c>
      <c r="AF6724">
        <v>9.1759969673098199E-2</v>
      </c>
      <c r="AG6724">
        <v>-0.23222209999999999</v>
      </c>
      <c r="AH6724">
        <v>0.54233378631883999</v>
      </c>
      <c r="AI6724">
        <v>112.88898578871</v>
      </c>
      <c r="AJ6724">
        <v>80.396808282088401</v>
      </c>
      <c r="AK6724">
        <v>0.597053541607239</v>
      </c>
    </row>
    <row r="6725" spans="1:37" x14ac:dyDescent="0.2">
      <c r="A6725" t="str">
        <f>"20200111160351996"</f>
        <v>20200111160351996</v>
      </c>
      <c r="B6725" t="str">
        <f>"1578729831990096"</f>
        <v>1578729831990096</v>
      </c>
      <c r="C6725" t="s">
        <v>37</v>
      </c>
      <c r="D6725">
        <v>5.3535190000000004</v>
      </c>
      <c r="E6725">
        <v>0.55891519999999995</v>
      </c>
      <c r="F6725" t="s">
        <v>42</v>
      </c>
      <c r="G6725">
        <v>-155.34469999999999</v>
      </c>
      <c r="H6725">
        <v>0.87712109999999999</v>
      </c>
      <c r="I6725">
        <v>136.9315</v>
      </c>
      <c r="J6725">
        <v>-155.9408</v>
      </c>
      <c r="K6725">
        <v>1.104026</v>
      </c>
      <c r="L6725">
        <v>136.9716</v>
      </c>
      <c r="M6725">
        <v>0.99470139999999996</v>
      </c>
      <c r="N6725">
        <v>0</v>
      </c>
      <c r="O6725">
        <v>0.101365199999999</v>
      </c>
      <c r="P6725">
        <v>0.99159629999999999</v>
      </c>
      <c r="Q6725">
        <v>-5.444301E-2</v>
      </c>
      <c r="R6725">
        <v>0.117357399999999</v>
      </c>
      <c r="S6725">
        <v>2.987717</v>
      </c>
      <c r="T6725">
        <v>-0.87444109999999997</v>
      </c>
      <c r="U6725">
        <v>-9.1491699999999995E-2</v>
      </c>
      <c r="V6725">
        <v>-1.6299890000000001E-2</v>
      </c>
      <c r="W6725">
        <v>-3.7273210000000001E-2</v>
      </c>
      <c r="X6725">
        <v>0.99917219999999995</v>
      </c>
      <c r="Y6725">
        <v>0.1224075</v>
      </c>
      <c r="Z6725">
        <v>-4.6569729999999997E-2</v>
      </c>
      <c r="AA6725">
        <v>0.99138669999999995</v>
      </c>
      <c r="AB6725">
        <v>17</v>
      </c>
      <c r="AC6725">
        <v>0.59610000000000696</v>
      </c>
      <c r="AD6725">
        <v>-0.22690489999999999</v>
      </c>
      <c r="AE6725">
        <v>-4.0099999999995299E-2</v>
      </c>
      <c r="AF6725">
        <v>8.7679156094717894E-2</v>
      </c>
      <c r="AG6725">
        <v>-0.22690489999999999</v>
      </c>
      <c r="AH6725">
        <v>0.51471973855960895</v>
      </c>
      <c r="AI6725">
        <v>113.48841905615799</v>
      </c>
      <c r="AJ6725">
        <v>80.332828093151704</v>
      </c>
      <c r="AK6725">
        <v>0.56930648803642103</v>
      </c>
    </row>
    <row r="6726" spans="1:37" x14ac:dyDescent="0.2">
      <c r="A6726" t="str">
        <f>"20200111160352018"</f>
        <v>20200111160352018</v>
      </c>
      <c r="B6726" t="str">
        <f>"1578729832010593"</f>
        <v>1578729832010593</v>
      </c>
      <c r="C6726" t="s">
        <v>37</v>
      </c>
      <c r="D6726">
        <v>5.3931870000000002</v>
      </c>
      <c r="E6726">
        <v>0.55889679999999997</v>
      </c>
      <c r="F6726" t="s">
        <v>42</v>
      </c>
      <c r="G6726">
        <v>-155.19399999999999</v>
      </c>
      <c r="H6726">
        <v>0.88614319999999902</v>
      </c>
      <c r="I6726">
        <v>136.94839999999999</v>
      </c>
      <c r="J6726">
        <v>-155.78489999999999</v>
      </c>
      <c r="K6726">
        <v>1.1040969999999899</v>
      </c>
      <c r="L6726">
        <v>136.9854</v>
      </c>
      <c r="M6726">
        <v>0.99486569999999996</v>
      </c>
      <c r="N6726">
        <v>0</v>
      </c>
      <c r="O6726">
        <v>9.9691039999999995E-2</v>
      </c>
      <c r="P6726">
        <v>0.99169859999999899</v>
      </c>
      <c r="Q6726">
        <v>-5.3127059999999997E-2</v>
      </c>
      <c r="R6726">
        <v>0.117096399999999</v>
      </c>
      <c r="S6726">
        <v>2.9884490000000001</v>
      </c>
      <c r="T6726">
        <v>-0.87187119999999996</v>
      </c>
      <c r="U6726">
        <v>-9.2086790000000002E-2</v>
      </c>
      <c r="V6726">
        <v>-1.7705459999999999E-2</v>
      </c>
      <c r="W6726">
        <v>-3.5670729999999998E-2</v>
      </c>
      <c r="X6726">
        <v>0.999206699999999</v>
      </c>
      <c r="Y6726">
        <v>0.12111130000000001</v>
      </c>
      <c r="Z6726">
        <v>-4.5765409999999999E-2</v>
      </c>
      <c r="AA6726">
        <v>0.99158329999999995</v>
      </c>
      <c r="AB6726">
        <v>17</v>
      </c>
      <c r="AC6726">
        <v>0.59090000000000398</v>
      </c>
      <c r="AD6726">
        <v>-0.2179538</v>
      </c>
      <c r="AE6726">
        <v>-3.7000000000006097E-2</v>
      </c>
      <c r="AF6726">
        <v>8.4306808069381095E-2</v>
      </c>
      <c r="AG6726">
        <v>-0.2179538</v>
      </c>
      <c r="AH6726">
        <v>0.51453667145561699</v>
      </c>
      <c r="AI6726">
        <v>112.685819613373</v>
      </c>
      <c r="AJ6726">
        <v>80.694773328813895</v>
      </c>
      <c r="AK6726">
        <v>0.56511899905587404</v>
      </c>
    </row>
    <row r="6727" spans="1:37" x14ac:dyDescent="0.2">
      <c r="A6727" t="str">
        <f>"20200111160352039"</f>
        <v>20200111160352039</v>
      </c>
      <c r="B6727" t="str">
        <f>"1578729832030112"</f>
        <v>1578729832030112</v>
      </c>
      <c r="C6727" t="s">
        <v>37</v>
      </c>
      <c r="D6727">
        <v>5.3656290000000002</v>
      </c>
      <c r="E6727">
        <v>0.55890519999999999</v>
      </c>
      <c r="F6727" t="s">
        <v>42</v>
      </c>
      <c r="G6727">
        <v>-155.04660000000001</v>
      </c>
      <c r="H6727">
        <v>0.88977890000000004</v>
      </c>
      <c r="I6727">
        <v>136.96250000000001</v>
      </c>
      <c r="J6727">
        <v>-155.6267</v>
      </c>
      <c r="K6727">
        <v>1.104169</v>
      </c>
      <c r="L6727">
        <v>136.9991</v>
      </c>
      <c r="M6727">
        <v>0.99502849999999998</v>
      </c>
      <c r="N6727">
        <v>0</v>
      </c>
      <c r="O6727">
        <v>9.7994250000000005E-2</v>
      </c>
      <c r="P6727">
        <v>0.99176929999999996</v>
      </c>
      <c r="Q6727">
        <v>-5.2328010000000001E-2</v>
      </c>
      <c r="R6727">
        <v>0.1168579</v>
      </c>
      <c r="S6727">
        <v>2.9895779999999998</v>
      </c>
      <c r="T6727">
        <v>-0.86787939999999997</v>
      </c>
      <c r="U6727">
        <v>-9.2880249999999998E-2</v>
      </c>
      <c r="V6727">
        <v>-1.9159880000000001E-2</v>
      </c>
      <c r="W6727">
        <v>-3.454724E-2</v>
      </c>
      <c r="X6727">
        <v>0.99921939999999998</v>
      </c>
      <c r="Y6727">
        <v>0.11988169999999999</v>
      </c>
      <c r="Z6727">
        <v>-4.4891809999999997E-2</v>
      </c>
      <c r="AA6727">
        <v>0.99177269999999895</v>
      </c>
      <c r="AB6727">
        <v>16</v>
      </c>
      <c r="AC6727">
        <v>0.58009999999998696</v>
      </c>
      <c r="AD6727">
        <v>-0.214390099999999</v>
      </c>
      <c r="AE6727">
        <v>-3.6599999999992798E-2</v>
      </c>
      <c r="AF6727">
        <v>8.2108831727404297E-2</v>
      </c>
      <c r="AG6727">
        <v>-0.214390099999999</v>
      </c>
      <c r="AH6727">
        <v>0.50501573088971796</v>
      </c>
      <c r="AI6727">
        <v>112.734633517159</v>
      </c>
      <c r="AJ6727">
        <v>80.765275117801195</v>
      </c>
      <c r="AK6727">
        <v>0.55474846883225004</v>
      </c>
    </row>
    <row r="6728" spans="1:37" x14ac:dyDescent="0.2">
      <c r="A6728" t="str">
        <f>"20200111160352067"</f>
        <v>20200111160352067</v>
      </c>
      <c r="B6728" t="str">
        <f>"1578729832060367"</f>
        <v>1578729832060367</v>
      </c>
      <c r="C6728" t="s">
        <v>37</v>
      </c>
      <c r="D6728">
        <v>5.4373279999999999</v>
      </c>
      <c r="E6728">
        <v>0.55900930000000004</v>
      </c>
      <c r="F6728" t="s">
        <v>42</v>
      </c>
      <c r="G6728">
        <v>-154.90029999999999</v>
      </c>
      <c r="H6728">
        <v>0.89388849999999997</v>
      </c>
      <c r="I6728">
        <v>136.97620000000001</v>
      </c>
      <c r="J6728">
        <v>-155.42949999999999</v>
      </c>
      <c r="K6728">
        <v>1.104277</v>
      </c>
      <c r="L6728">
        <v>137.01589999999999</v>
      </c>
      <c r="M6728">
        <v>0.99522600000000006</v>
      </c>
      <c r="N6728">
        <v>0</v>
      </c>
      <c r="O6728">
        <v>9.5879450000000005E-2</v>
      </c>
      <c r="P6728">
        <v>0.99202630000000003</v>
      </c>
      <c r="Q6728">
        <v>-4.9849629999999999E-2</v>
      </c>
      <c r="R6728">
        <v>0.1157537</v>
      </c>
      <c r="S6728">
        <v>2.9903110000000002</v>
      </c>
      <c r="T6728">
        <v>-0.86553959999999996</v>
      </c>
      <c r="U6728">
        <v>-9.3994140000000004E-2</v>
      </c>
      <c r="V6728">
        <v>-2.0150020000000001E-2</v>
      </c>
      <c r="W6728">
        <v>-3.1600950000000003E-2</v>
      </c>
      <c r="X6728">
        <v>0.9992974</v>
      </c>
      <c r="Y6728">
        <v>0.1183379</v>
      </c>
      <c r="Z6728">
        <v>-4.39482E-2</v>
      </c>
      <c r="AA6728">
        <v>0.99200029999999995</v>
      </c>
      <c r="AB6728">
        <v>16</v>
      </c>
      <c r="AC6728">
        <v>0.529200000000003</v>
      </c>
      <c r="AD6728">
        <v>-0.21038850000000001</v>
      </c>
      <c r="AE6728">
        <v>-3.9699999999982E-2</v>
      </c>
      <c r="AF6728">
        <v>7.8004918492950007E-2</v>
      </c>
      <c r="AG6728">
        <v>-0.21038850000000001</v>
      </c>
      <c r="AH6728">
        <v>0.45192540359952099</v>
      </c>
      <c r="AI6728">
        <v>114.643503105707</v>
      </c>
      <c r="AJ6728">
        <v>80.206913078521396</v>
      </c>
      <c r="AK6728">
        <v>0.50456383011461703</v>
      </c>
    </row>
    <row r="6729" spans="1:37" x14ac:dyDescent="0.2">
      <c r="A6729" t="str">
        <f>"20200111160352093"</f>
        <v>20200111160352093</v>
      </c>
      <c r="B6729" t="str">
        <f>"1578729832079888"</f>
        <v>1578729832079888</v>
      </c>
      <c r="C6729" t="s">
        <v>37</v>
      </c>
      <c r="D6729">
        <v>5.442793</v>
      </c>
      <c r="E6729">
        <v>0.55905990000000005</v>
      </c>
      <c r="F6729" t="s">
        <v>42</v>
      </c>
      <c r="G6729">
        <v>-154.75069999999999</v>
      </c>
      <c r="H6729">
        <v>0.90961029999999998</v>
      </c>
      <c r="I6729">
        <v>136.99379999999999</v>
      </c>
      <c r="J6729">
        <v>-155.24529999999999</v>
      </c>
      <c r="K6729">
        <v>1.1043860000000001</v>
      </c>
      <c r="L6729">
        <v>137.03120000000001</v>
      </c>
      <c r="M6729">
        <v>0.9954056</v>
      </c>
      <c r="N6729">
        <v>0</v>
      </c>
      <c r="O6729">
        <v>9.3900410000000004E-2</v>
      </c>
      <c r="P6729">
        <v>0.99232129999999996</v>
      </c>
      <c r="Q6729">
        <v>-4.8587569999999997E-2</v>
      </c>
      <c r="R6729">
        <v>0.113746</v>
      </c>
      <c r="S6729">
        <v>2.9924009999999899</v>
      </c>
      <c r="T6729">
        <v>-0.85810730000000002</v>
      </c>
      <c r="U6729">
        <v>-9.7763059999999999E-2</v>
      </c>
      <c r="V6729">
        <v>-2.0102979999999999E-2</v>
      </c>
      <c r="W6729">
        <v>-2.984117E-2</v>
      </c>
      <c r="X6729">
        <v>0.99935249999999998</v>
      </c>
      <c r="Y6729">
        <v>0.117851199999999</v>
      </c>
      <c r="Z6729">
        <v>-4.2932949999999998E-2</v>
      </c>
      <c r="AA6729">
        <v>0.9921027</v>
      </c>
      <c r="AB6729">
        <v>16</v>
      </c>
      <c r="AC6729">
        <v>0.49459999999999099</v>
      </c>
      <c r="AD6729">
        <v>-0.1947757</v>
      </c>
      <c r="AE6729">
        <v>-3.7400000000019397E-2</v>
      </c>
      <c r="AF6729">
        <v>7.2505592988931403E-2</v>
      </c>
      <c r="AG6729">
        <v>-0.1947757</v>
      </c>
      <c r="AH6729">
        <v>0.423584544618332</v>
      </c>
      <c r="AI6729">
        <v>114.381712726144</v>
      </c>
      <c r="AJ6729">
        <v>80.286731839156701</v>
      </c>
      <c r="AK6729">
        <v>0.47182465044196897</v>
      </c>
    </row>
    <row r="6730" spans="1:37" x14ac:dyDescent="0.2">
      <c r="A6730" t="str">
        <f>"20200111160352119"</f>
        <v>20200111160352119</v>
      </c>
      <c r="B6730" t="str">
        <f>"1578729832111120"</f>
        <v>1578729832111120</v>
      </c>
      <c r="C6730" t="s">
        <v>37</v>
      </c>
      <c r="D6730">
        <v>5.4996960000000001</v>
      </c>
      <c r="E6730">
        <v>0.5591701</v>
      </c>
      <c r="F6730" t="s">
        <v>42</v>
      </c>
      <c r="G6730">
        <v>-154.47829999999999</v>
      </c>
      <c r="H6730">
        <v>0.8854476</v>
      </c>
      <c r="I6730">
        <v>137.0043</v>
      </c>
      <c r="J6730">
        <v>-155.06270000000001</v>
      </c>
      <c r="K6730">
        <v>1.104498</v>
      </c>
      <c r="L6730">
        <v>137.04589999999999</v>
      </c>
      <c r="M6730">
        <v>0.99557790000000002</v>
      </c>
      <c r="N6730">
        <v>0</v>
      </c>
      <c r="O6730">
        <v>9.1940690000000005E-2</v>
      </c>
      <c r="P6730">
        <v>0.99259660000000005</v>
      </c>
      <c r="Q6730">
        <v>-4.7563370000000001E-2</v>
      </c>
      <c r="R6730">
        <v>0.11175839999999899</v>
      </c>
      <c r="S6730">
        <v>2.9933619999999999</v>
      </c>
      <c r="T6730">
        <v>-0.8544176</v>
      </c>
      <c r="U6730">
        <v>-0.104431199999999</v>
      </c>
      <c r="V6730">
        <v>-2.0058630000000001E-2</v>
      </c>
      <c r="W6730">
        <v>-2.8261120000000001E-2</v>
      </c>
      <c r="X6730">
        <v>0.99939929999999999</v>
      </c>
      <c r="Y6730">
        <v>0.11823649999999999</v>
      </c>
      <c r="Z6730">
        <v>-4.2248609999999999E-2</v>
      </c>
      <c r="AA6730">
        <v>0.99208629999999998</v>
      </c>
      <c r="AB6730">
        <v>16</v>
      </c>
      <c r="AC6730">
        <v>0.58440000000001602</v>
      </c>
      <c r="AD6730">
        <v>-0.21905039999999901</v>
      </c>
      <c r="AE6730">
        <v>-4.1599999999988299E-2</v>
      </c>
      <c r="AF6730">
        <v>8.3492533812249498E-2</v>
      </c>
      <c r="AG6730">
        <v>-0.21905039999999901</v>
      </c>
      <c r="AH6730">
        <v>0.50719779302028001</v>
      </c>
      <c r="AI6730">
        <v>113.081193603662</v>
      </c>
      <c r="AJ6730">
        <v>80.652071869520697</v>
      </c>
      <c r="AK6730">
        <v>0.55875189680858595</v>
      </c>
    </row>
    <row r="6731" spans="1:37" x14ac:dyDescent="0.2">
      <c r="A6731" t="str">
        <f>"20200111160352143"</f>
        <v>20200111160352143</v>
      </c>
      <c r="B6731" t="str">
        <f>"1578729832129663"</f>
        <v>1578729832129663</v>
      </c>
      <c r="C6731" t="s">
        <v>37</v>
      </c>
      <c r="D6731">
        <v>5.4988769999999896</v>
      </c>
      <c r="E6731">
        <v>0.55943109999999996</v>
      </c>
      <c r="F6731" t="s">
        <v>42</v>
      </c>
      <c r="G6731">
        <v>-154.33539999999999</v>
      </c>
      <c r="H6731">
        <v>0.89770819999999996</v>
      </c>
      <c r="I6731">
        <v>137.01859999999999</v>
      </c>
      <c r="J6731">
        <v>-154.90600000000001</v>
      </c>
      <c r="K6731">
        <v>1.104595</v>
      </c>
      <c r="L6731">
        <v>137.0583</v>
      </c>
      <c r="M6731">
        <v>0.99572129999999903</v>
      </c>
      <c r="N6731">
        <v>0</v>
      </c>
      <c r="O6731">
        <v>9.0261930000000004E-2</v>
      </c>
      <c r="P6731">
        <v>0.99285979999999996</v>
      </c>
      <c r="Q6731">
        <v>-4.6458810000000003E-2</v>
      </c>
      <c r="R6731">
        <v>0.10986889999999901</v>
      </c>
      <c r="S6731">
        <v>2.9941559999999998</v>
      </c>
      <c r="T6731">
        <v>-0.85126219999999997</v>
      </c>
      <c r="U6731">
        <v>-0.1116486</v>
      </c>
      <c r="V6731">
        <v>-1.9831720000000001E-2</v>
      </c>
      <c r="W6731">
        <v>-2.6641829999999998E-2</v>
      </c>
      <c r="X6731">
        <v>0.99944829999999996</v>
      </c>
      <c r="Y6731">
        <v>0.11904380000000001</v>
      </c>
      <c r="Z6731">
        <v>-4.1732699999999998E-2</v>
      </c>
      <c r="AA6731">
        <v>0.99201149999999905</v>
      </c>
      <c r="AB6731">
        <v>16</v>
      </c>
      <c r="AC6731">
        <v>0.57060000000001299</v>
      </c>
      <c r="AD6731">
        <v>-0.20688679999999901</v>
      </c>
      <c r="AE6731">
        <v>-3.9700000000010498E-2</v>
      </c>
      <c r="AF6731">
        <v>8.0517405368649694E-2</v>
      </c>
      <c r="AG6731">
        <v>-0.20688679999999901</v>
      </c>
      <c r="AH6731">
        <v>0.499355532471004</v>
      </c>
      <c r="AI6731">
        <v>112.245768043507</v>
      </c>
      <c r="AJ6731">
        <v>80.840315601372197</v>
      </c>
      <c r="AK6731">
        <v>0.546480693520768</v>
      </c>
    </row>
    <row r="6732" spans="1:37" x14ac:dyDescent="0.2">
      <c r="A6732" t="str">
        <f>"20200111160352162"</f>
        <v>20200111160352162</v>
      </c>
      <c r="B6732" t="str">
        <f>"1578729832159920"</f>
        <v>1578729832159920</v>
      </c>
      <c r="C6732" t="s">
        <v>37</v>
      </c>
      <c r="D6732">
        <v>5.493474</v>
      </c>
      <c r="E6732">
        <v>0.55946409999999902</v>
      </c>
      <c r="F6732" t="s">
        <v>42</v>
      </c>
      <c r="G6732">
        <v>-154.19649999999999</v>
      </c>
      <c r="H6732">
        <v>0.90381679999999998</v>
      </c>
      <c r="I6732">
        <v>137.0299</v>
      </c>
      <c r="J6732">
        <v>-154.768</v>
      </c>
      <c r="K6732">
        <v>1.104751</v>
      </c>
      <c r="L6732">
        <v>137.06890000000001</v>
      </c>
      <c r="M6732">
        <v>0.99583829999999995</v>
      </c>
      <c r="N6732">
        <v>0</v>
      </c>
      <c r="O6732">
        <v>8.8808819999999997E-2</v>
      </c>
      <c r="P6732">
        <v>0.99311930000000004</v>
      </c>
      <c r="Q6732">
        <v>-4.5098029999999997E-2</v>
      </c>
      <c r="R6732">
        <v>0.1080762</v>
      </c>
      <c r="S6732">
        <v>2.9951779999999899</v>
      </c>
      <c r="T6732">
        <v>-0.84754099999999999</v>
      </c>
      <c r="U6732">
        <v>-0.11991880000000001</v>
      </c>
      <c r="V6732">
        <v>-1.9473879999999999E-2</v>
      </c>
      <c r="W6732">
        <v>-2.4606610000000001E-2</v>
      </c>
      <c r="X6732">
        <v>0.99950749999999999</v>
      </c>
      <c r="Y6732">
        <v>0.1204006</v>
      </c>
      <c r="Z6732">
        <v>-4.1328450000000003E-2</v>
      </c>
      <c r="AA6732">
        <v>0.99186469999999904</v>
      </c>
      <c r="AB6732">
        <v>15</v>
      </c>
      <c r="AC6732">
        <v>0.571500000000014</v>
      </c>
      <c r="AD6732">
        <v>-0.20093420000000001</v>
      </c>
      <c r="AE6732">
        <v>-3.9000000000015599E-2</v>
      </c>
      <c r="AF6732">
        <v>7.9792759580217698E-2</v>
      </c>
      <c r="AG6732">
        <v>-0.20093420000000001</v>
      </c>
      <c r="AH6732">
        <v>0.503788836400752</v>
      </c>
      <c r="AI6732">
        <v>111.50124436142799</v>
      </c>
      <c r="AJ6732">
        <v>80.9999504418155</v>
      </c>
      <c r="AK6732">
        <v>0.54821950794648899</v>
      </c>
    </row>
    <row r="6733" spans="1:37" x14ac:dyDescent="0.2">
      <c r="A6733" t="str">
        <f>"20200111160352201"</f>
        <v>20200111160352201</v>
      </c>
      <c r="B6733" t="str">
        <f>"1578729832190175"</f>
        <v>1578729832190175</v>
      </c>
      <c r="C6733" t="s">
        <v>37</v>
      </c>
      <c r="D6733">
        <v>5.4842129999999996</v>
      </c>
      <c r="E6733">
        <v>0.55956359999999905</v>
      </c>
      <c r="F6733" t="s">
        <v>42</v>
      </c>
      <c r="G6733">
        <v>-154.06219999999999</v>
      </c>
      <c r="H6733">
        <v>0.90591390000000005</v>
      </c>
      <c r="I6733">
        <v>137.03909999999999</v>
      </c>
      <c r="J6733">
        <v>-154.51830000000001</v>
      </c>
      <c r="K6733">
        <v>1.1050329999999999</v>
      </c>
      <c r="L6733">
        <v>137.08770000000001</v>
      </c>
      <c r="M6733">
        <v>0.99603839999999999</v>
      </c>
      <c r="N6733">
        <v>0</v>
      </c>
      <c r="O6733">
        <v>8.6198280000000002E-2</v>
      </c>
      <c r="P6733">
        <v>0.993422899999999</v>
      </c>
      <c r="Q6733">
        <v>-4.2826639999999999E-2</v>
      </c>
      <c r="R6733">
        <v>0.106194</v>
      </c>
      <c r="S6733">
        <v>2.9961549999999999</v>
      </c>
      <c r="T6733">
        <v>-0.84396589999999905</v>
      </c>
      <c r="U6733">
        <v>-0.1258698</v>
      </c>
      <c r="V6733">
        <v>-2.0179010000000001E-2</v>
      </c>
      <c r="W6733">
        <v>-2.09558E-2</v>
      </c>
      <c r="X6733">
        <v>0.99957669999999998</v>
      </c>
      <c r="Y6733">
        <v>0.11994970000000001</v>
      </c>
      <c r="Z6733">
        <v>-4.0365440000000002E-2</v>
      </c>
      <c r="AA6733">
        <v>0.99195900000000004</v>
      </c>
      <c r="AB6733">
        <v>15</v>
      </c>
      <c r="AC6733">
        <v>0.45610000000001999</v>
      </c>
      <c r="AD6733">
        <v>-0.19911909999999899</v>
      </c>
      <c r="AE6733">
        <v>-4.8600000000021702E-2</v>
      </c>
      <c r="AF6733">
        <v>7.3829984018543696E-2</v>
      </c>
      <c r="AG6733">
        <v>-0.19911909999999899</v>
      </c>
      <c r="AH6733">
        <v>0.37882141348951198</v>
      </c>
      <c r="AI6733">
        <v>117.290156192327</v>
      </c>
      <c r="AJ6733">
        <v>78.971647311062597</v>
      </c>
      <c r="AK6733">
        <v>0.43428670926379997</v>
      </c>
    </row>
    <row r="6734" spans="1:37" x14ac:dyDescent="0.2">
      <c r="A6734" t="str">
        <f>"20200111160352229"</f>
        <v>20200111160352229</v>
      </c>
      <c r="B6734" t="str">
        <f>"1578729832220431"</f>
        <v>1578729832220431</v>
      </c>
      <c r="C6734" t="s">
        <v>37</v>
      </c>
      <c r="D6734">
        <v>5.5494069999999898</v>
      </c>
      <c r="E6734">
        <v>0.55958430000000003</v>
      </c>
      <c r="F6734" t="s">
        <v>42</v>
      </c>
      <c r="G6734">
        <v>-153.803</v>
      </c>
      <c r="H6734">
        <v>0.90523779999999998</v>
      </c>
      <c r="I6734">
        <v>137.0557</v>
      </c>
      <c r="J6734">
        <v>-154.34200000000001</v>
      </c>
      <c r="K6734">
        <v>1.105016</v>
      </c>
      <c r="L6734">
        <v>137.10059999999999</v>
      </c>
      <c r="M6734">
        <v>0.99618799999999996</v>
      </c>
      <c r="N6734">
        <v>0</v>
      </c>
      <c r="O6734">
        <v>8.4336419999999995E-2</v>
      </c>
      <c r="P6734">
        <v>0.99360380000000004</v>
      </c>
      <c r="Q6734">
        <v>-4.1611189999999999E-2</v>
      </c>
      <c r="R6734">
        <v>0.10497769999999999</v>
      </c>
      <c r="S6734">
        <v>2.9980319999999998</v>
      </c>
      <c r="T6734">
        <v>-0.8373427</v>
      </c>
      <c r="U6734">
        <v>-0.13354489999999999</v>
      </c>
      <c r="V6734">
        <v>-2.0816020000000001E-2</v>
      </c>
      <c r="W6734">
        <v>-1.930281E-2</v>
      </c>
      <c r="X6734">
        <v>0.99959699999999996</v>
      </c>
      <c r="Y6734">
        <v>0.1207781</v>
      </c>
      <c r="Z6734">
        <v>-3.9639300000000002E-2</v>
      </c>
      <c r="AA6734">
        <v>0.99188779999999999</v>
      </c>
      <c r="AB6734">
        <v>15</v>
      </c>
      <c r="AC6734">
        <v>0.53900000000001502</v>
      </c>
      <c r="AD6734">
        <v>-0.19977819999999899</v>
      </c>
      <c r="AE6734">
        <v>-4.4899999999984098E-2</v>
      </c>
      <c r="AF6734">
        <v>7.9378797491394801E-2</v>
      </c>
      <c r="AG6734">
        <v>-0.19977819999999899</v>
      </c>
      <c r="AH6734">
        <v>0.46926806983274599</v>
      </c>
      <c r="AI6734">
        <v>112.77071498470799</v>
      </c>
      <c r="AJ6734">
        <v>80.399045114316493</v>
      </c>
      <c r="AK6734">
        <v>0.51616358264698503</v>
      </c>
    </row>
    <row r="6735" spans="1:37" x14ac:dyDescent="0.2">
      <c r="A6735" t="str">
        <f>"20200111160352250"</f>
        <v>20200111160352250</v>
      </c>
      <c r="B6735" t="str">
        <f>"1578729832239952"</f>
        <v>1578729832239952</v>
      </c>
      <c r="C6735" t="s">
        <v>37</v>
      </c>
      <c r="D6735">
        <v>5.5386550000000003</v>
      </c>
      <c r="E6735">
        <v>0.55963050000000003</v>
      </c>
      <c r="F6735" t="s">
        <v>42</v>
      </c>
      <c r="G6735">
        <v>-153.67009999999999</v>
      </c>
      <c r="H6735">
        <v>0.91792989999999997</v>
      </c>
      <c r="I6735">
        <v>137.06960000000001</v>
      </c>
      <c r="J6735">
        <v>-154.208</v>
      </c>
      <c r="K6735">
        <v>1.105</v>
      </c>
      <c r="L6735">
        <v>137.11009999999999</v>
      </c>
      <c r="M6735">
        <v>0.99630479999999999</v>
      </c>
      <c r="N6735">
        <v>0</v>
      </c>
      <c r="O6735">
        <v>8.2897949999999998E-2</v>
      </c>
      <c r="P6735">
        <v>0.99376799999999998</v>
      </c>
      <c r="Q6735">
        <v>-4.0099610000000001E-2</v>
      </c>
      <c r="R6735">
        <v>0.1040061</v>
      </c>
      <c r="S6735">
        <v>2.9988860000000002</v>
      </c>
      <c r="T6735">
        <v>-0.83486879999999997</v>
      </c>
      <c r="U6735">
        <v>-0.13778689999999999</v>
      </c>
      <c r="V6735">
        <v>-2.127283E-2</v>
      </c>
      <c r="W6735">
        <v>-1.7614879999999999E-2</v>
      </c>
      <c r="X6735">
        <v>0.99961849999999997</v>
      </c>
      <c r="Y6735">
        <v>0.1208366</v>
      </c>
      <c r="Z6735">
        <v>-3.9130669999999999E-2</v>
      </c>
      <c r="AA6735">
        <v>0.99190089999999997</v>
      </c>
      <c r="AB6735">
        <v>14</v>
      </c>
      <c r="AC6735">
        <v>0.53790000000000704</v>
      </c>
      <c r="AD6735">
        <v>-0.18707009999999899</v>
      </c>
      <c r="AE6735">
        <v>-4.0499999999980198E-2</v>
      </c>
      <c r="AF6735">
        <v>7.5841301271445699E-2</v>
      </c>
      <c r="AG6735">
        <v>-0.18707009999999899</v>
      </c>
      <c r="AH6735">
        <v>0.475501712021833</v>
      </c>
      <c r="AI6735">
        <v>111.231427306062</v>
      </c>
      <c r="AJ6735">
        <v>80.937801634275701</v>
      </c>
      <c r="AK6735">
        <v>0.51657429613585204</v>
      </c>
    </row>
    <row r="6736" spans="1:37" x14ac:dyDescent="0.2">
      <c r="A6736" t="str">
        <f>"20200111160352274"</f>
        <v>20200111160352274</v>
      </c>
      <c r="B6736" t="str">
        <f>"1578729832270208"</f>
        <v>1578729832270208</v>
      </c>
      <c r="C6736" t="s">
        <v>37</v>
      </c>
      <c r="D6736">
        <v>5.3994970000000002</v>
      </c>
      <c r="E6736">
        <v>0.55981610000000004</v>
      </c>
      <c r="F6736" t="s">
        <v>42</v>
      </c>
      <c r="G6736">
        <v>-153.43209999999999</v>
      </c>
      <c r="H6736">
        <v>0.88999569999999995</v>
      </c>
      <c r="I6736">
        <v>137.0735</v>
      </c>
      <c r="J6736">
        <v>-154.06200000000001</v>
      </c>
      <c r="K6736">
        <v>1.105062</v>
      </c>
      <c r="L6736">
        <v>137.12020000000001</v>
      </c>
      <c r="M6736">
        <v>0.99642989999999998</v>
      </c>
      <c r="N6736">
        <v>0</v>
      </c>
      <c r="O6736">
        <v>8.1298830000000002E-2</v>
      </c>
      <c r="P6736">
        <v>0.99395419999999901</v>
      </c>
      <c r="Q6736">
        <v>-3.8704259999999997E-2</v>
      </c>
      <c r="R6736">
        <v>0.1027473</v>
      </c>
      <c r="S6736">
        <v>3.00004599999999</v>
      </c>
      <c r="T6736">
        <v>-0.83125599999999999</v>
      </c>
      <c r="U6736">
        <v>-0.1411743</v>
      </c>
      <c r="V6736">
        <v>-2.160138E-2</v>
      </c>
      <c r="W6736">
        <v>-1.5923920000000001E-2</v>
      </c>
      <c r="X6736">
        <v>0.99963989999999903</v>
      </c>
      <c r="Y6736">
        <v>0.12049029999999999</v>
      </c>
      <c r="Z6736">
        <v>-3.8471289999999998E-2</v>
      </c>
      <c r="AA6736">
        <v>0.99196879999999998</v>
      </c>
      <c r="AB6736">
        <v>14</v>
      </c>
      <c r="AC6736">
        <v>0.62990000000002</v>
      </c>
      <c r="AD6736">
        <v>-0.21506629999999999</v>
      </c>
      <c r="AE6736">
        <v>-4.67000000000155E-2</v>
      </c>
      <c r="AF6736">
        <v>8.7611360720304093E-2</v>
      </c>
      <c r="AG6736">
        <v>-0.21506629999999999</v>
      </c>
      <c r="AH6736">
        <v>0.55918598898603</v>
      </c>
      <c r="AI6736">
        <v>110.805320216298</v>
      </c>
      <c r="AJ6736">
        <v>81.095482420075399</v>
      </c>
      <c r="AK6736">
        <v>0.60549007770667695</v>
      </c>
    </row>
    <row r="6737" spans="1:37" x14ac:dyDescent="0.2">
      <c r="A6737" t="str">
        <f>"20200111160352297"</f>
        <v>20200111160352297</v>
      </c>
      <c r="B6737" t="str">
        <f>"1578729832289728"</f>
        <v>1578729832289728</v>
      </c>
      <c r="C6737" t="s">
        <v>37</v>
      </c>
      <c r="D6737">
        <v>5.4084079999999997</v>
      </c>
      <c r="E6737">
        <v>0.55993530000000002</v>
      </c>
      <c r="F6737" t="s">
        <v>42</v>
      </c>
      <c r="G6737">
        <v>-153.30779999999999</v>
      </c>
      <c r="H6737">
        <v>0.89700769999999996</v>
      </c>
      <c r="I6737">
        <v>137.08340000000001</v>
      </c>
      <c r="J6737">
        <v>-153.91980000000001</v>
      </c>
      <c r="K6737">
        <v>1.1051219999999999</v>
      </c>
      <c r="L6737">
        <v>137.12989999999999</v>
      </c>
      <c r="M6737">
        <v>0.99655110000000002</v>
      </c>
      <c r="N6737">
        <v>0</v>
      </c>
      <c r="O6737">
        <v>7.9716899999999993E-2</v>
      </c>
      <c r="P6737">
        <v>0.99414499999999995</v>
      </c>
      <c r="Q6737">
        <v>-3.696932E-2</v>
      </c>
      <c r="R6737">
        <v>0.1015336</v>
      </c>
      <c r="S6737">
        <v>3.001144</v>
      </c>
      <c r="T6737">
        <v>-0.82785549999999997</v>
      </c>
      <c r="U6737">
        <v>-0.146362299999999</v>
      </c>
      <c r="V6737">
        <v>-2.1957620000000001E-2</v>
      </c>
      <c r="W6737">
        <v>-1.390679E-2</v>
      </c>
      <c r="X6737">
        <v>0.99966219999999995</v>
      </c>
      <c r="Y6737">
        <v>0.120727099999999</v>
      </c>
      <c r="Z6737">
        <v>-3.7909560000000002E-2</v>
      </c>
      <c r="AA6737">
        <v>0.9919616</v>
      </c>
      <c r="AB6737">
        <v>14</v>
      </c>
      <c r="AC6737">
        <v>0.61200000000002297</v>
      </c>
      <c r="AD6737">
        <v>-0.2081143</v>
      </c>
      <c r="AE6737">
        <v>-4.6499999999980397E-2</v>
      </c>
      <c r="AF6737">
        <v>8.5339756511220402E-2</v>
      </c>
      <c r="AG6737">
        <v>-0.2081143</v>
      </c>
      <c r="AH6737">
        <v>0.54381831426814697</v>
      </c>
      <c r="AI6737">
        <v>110.70980348733499</v>
      </c>
      <c r="AJ6737">
        <v>81.081482021573095</v>
      </c>
      <c r="AK6737">
        <v>0.58850046290494396</v>
      </c>
    </row>
    <row r="6738" spans="1:37" x14ac:dyDescent="0.2">
      <c r="A6738" t="str">
        <f>"20200111160352319"</f>
        <v>20200111160352319</v>
      </c>
      <c r="B6738" t="str">
        <f>"1578729832310224"</f>
        <v>1578729832310224</v>
      </c>
      <c r="C6738" t="s">
        <v>37</v>
      </c>
      <c r="D6738">
        <v>5.3989859999999998</v>
      </c>
      <c r="E6738">
        <v>0.56013040000000003</v>
      </c>
      <c r="F6738" t="s">
        <v>42</v>
      </c>
      <c r="G6738">
        <v>-153.18520000000001</v>
      </c>
      <c r="H6738">
        <v>0.90371819999999903</v>
      </c>
      <c r="I6738">
        <v>137.09289999999999</v>
      </c>
      <c r="J6738">
        <v>-153.78729999999999</v>
      </c>
      <c r="K6738">
        <v>1.105124</v>
      </c>
      <c r="L6738">
        <v>137.1387</v>
      </c>
      <c r="M6738">
        <v>0.99666440000000001</v>
      </c>
      <c r="N6738">
        <v>0</v>
      </c>
      <c r="O6738">
        <v>7.8252489999999994E-2</v>
      </c>
      <c r="P6738">
        <v>0.99438969999999904</v>
      </c>
      <c r="Q6738">
        <v>-3.6122889999999998E-2</v>
      </c>
      <c r="R6738">
        <v>9.942107E-2</v>
      </c>
      <c r="S6738">
        <v>3.002472</v>
      </c>
      <c r="T6738">
        <v>-0.82318210000000003</v>
      </c>
      <c r="U6738">
        <v>-0.15095520000000001</v>
      </c>
      <c r="V6738">
        <v>-2.129818E-2</v>
      </c>
      <c r="W6738">
        <v>-1.293683E-2</v>
      </c>
      <c r="X6738">
        <v>0.99968950000000001</v>
      </c>
      <c r="Y6738">
        <v>0.12089949999999999</v>
      </c>
      <c r="Z6738">
        <v>-3.731582E-2</v>
      </c>
      <c r="AA6738">
        <v>0.99196309999999999</v>
      </c>
      <c r="AB6738">
        <v>14</v>
      </c>
      <c r="AC6738">
        <v>0.60209999999997799</v>
      </c>
      <c r="AD6738">
        <v>-0.2014058</v>
      </c>
      <c r="AE6738">
        <v>-4.5800000000014003E-2</v>
      </c>
      <c r="AF6738">
        <v>8.3498701240487597E-2</v>
      </c>
      <c r="AG6738">
        <v>-0.2014058</v>
      </c>
      <c r="AH6738">
        <v>0.53693376632234102</v>
      </c>
      <c r="AI6738">
        <v>110.337154778078</v>
      </c>
      <c r="AJ6738">
        <v>81.160720257915202</v>
      </c>
      <c r="AK6738">
        <v>0.57951203507742799</v>
      </c>
    </row>
    <row r="6739" spans="1:37" x14ac:dyDescent="0.2">
      <c r="A6739" t="str">
        <f>"20200111160352343"</f>
        <v>20200111160352343</v>
      </c>
      <c r="B6739" t="str">
        <f>"1578729832340480"</f>
        <v>1578729832340480</v>
      </c>
      <c r="C6739" t="s">
        <v>37</v>
      </c>
      <c r="D6739">
        <v>5.5921010000000004</v>
      </c>
      <c r="E6739">
        <v>0.56030429999999998</v>
      </c>
      <c r="F6739" t="s">
        <v>42</v>
      </c>
      <c r="G6739">
        <v>-153.0651</v>
      </c>
      <c r="H6739">
        <v>0.90755090000000005</v>
      </c>
      <c r="I6739">
        <v>137.10050000000001</v>
      </c>
      <c r="J6739">
        <v>-153.65199999999999</v>
      </c>
      <c r="K6739">
        <v>1.105065</v>
      </c>
      <c r="L6739">
        <v>137.14750000000001</v>
      </c>
      <c r="M6739">
        <v>0.99678099999999903</v>
      </c>
      <c r="N6739">
        <v>0</v>
      </c>
      <c r="O6739">
        <v>7.6781859999999993E-2</v>
      </c>
      <c r="P6739">
        <v>0.99462839999999997</v>
      </c>
      <c r="Q6739">
        <v>-3.4384110000000002E-2</v>
      </c>
      <c r="R6739">
        <v>9.7632930000000007E-2</v>
      </c>
      <c r="S6739">
        <v>3.002945</v>
      </c>
      <c r="T6739">
        <v>-0.82158960000000003</v>
      </c>
      <c r="U6739">
        <v>-0.15873719999999999</v>
      </c>
      <c r="V6739">
        <v>-2.0969680000000001E-2</v>
      </c>
      <c r="W6739">
        <v>-1.12997999999999E-2</v>
      </c>
      <c r="X6739">
        <v>0.9997163</v>
      </c>
      <c r="Y6739">
        <v>0.122035199999999</v>
      </c>
      <c r="Z6739">
        <v>-3.6996679999999997E-2</v>
      </c>
      <c r="AA6739">
        <v>0.99183600000000005</v>
      </c>
      <c r="AB6739">
        <v>13</v>
      </c>
      <c r="AC6739">
        <v>0.58690000000001397</v>
      </c>
      <c r="AD6739">
        <v>-0.197514099999999</v>
      </c>
      <c r="AE6739">
        <v>-4.6999999999997003E-2</v>
      </c>
      <c r="AF6739">
        <v>8.2636824667169206E-2</v>
      </c>
      <c r="AG6739">
        <v>-0.197514099999999</v>
      </c>
      <c r="AH6739">
        <v>0.52273073193256603</v>
      </c>
      <c r="AI6739">
        <v>110.46636594444399</v>
      </c>
      <c r="AJ6739">
        <v>81.016637397704599</v>
      </c>
      <c r="AK6739">
        <v>0.56487882116135202</v>
      </c>
    </row>
    <row r="6740" spans="1:37" x14ac:dyDescent="0.2">
      <c r="A6740" t="str">
        <f>"20200111160352365"</f>
        <v>20200111160352365</v>
      </c>
      <c r="B6740" t="str">
        <f>"1578729832360000"</f>
        <v>1578729832360000</v>
      </c>
      <c r="C6740" t="s">
        <v>37</v>
      </c>
      <c r="D6740">
        <v>5.6963650000000001</v>
      </c>
      <c r="E6740">
        <v>0.56021679999999996</v>
      </c>
      <c r="F6740" t="s">
        <v>42</v>
      </c>
      <c r="G6740">
        <v>-152.94560000000001</v>
      </c>
      <c r="H6740">
        <v>0.91277730000000001</v>
      </c>
      <c r="I6740">
        <v>137.1086</v>
      </c>
      <c r="J6740">
        <v>-153.5189</v>
      </c>
      <c r="K6740">
        <v>1.104956</v>
      </c>
      <c r="L6740">
        <v>137.1559</v>
      </c>
      <c r="M6740">
        <v>0.99689910000000004</v>
      </c>
      <c r="N6740">
        <v>0</v>
      </c>
      <c r="O6740">
        <v>7.534246E-2</v>
      </c>
      <c r="P6740">
        <v>0.99487999999999899</v>
      </c>
      <c r="Q6740">
        <v>-3.2971250000000001E-2</v>
      </c>
      <c r="R6740">
        <v>9.5534149999999998E-2</v>
      </c>
      <c r="S6740">
        <v>3.004181</v>
      </c>
      <c r="T6740">
        <v>-0.81775529999999996</v>
      </c>
      <c r="U6740">
        <v>-0.16555790000000001</v>
      </c>
      <c r="V6740">
        <v>-2.029918E-2</v>
      </c>
      <c r="W6740">
        <v>-1.024164E-2</v>
      </c>
      <c r="X6740">
        <v>0.99974149999999995</v>
      </c>
      <c r="Y6740">
        <v>0.1229201</v>
      </c>
      <c r="Z6740">
        <v>-3.6547650000000001E-2</v>
      </c>
      <c r="AA6740">
        <v>0.99174340000000005</v>
      </c>
      <c r="AB6740">
        <v>13</v>
      </c>
      <c r="AC6740">
        <v>0.57329999999998904</v>
      </c>
      <c r="AD6740">
        <v>-0.19217869999999901</v>
      </c>
      <c r="AE6740">
        <v>-4.7300000000007003E-2</v>
      </c>
      <c r="AF6740">
        <v>8.1296967283801799E-2</v>
      </c>
      <c r="AG6740">
        <v>-0.19217869999999901</v>
      </c>
      <c r="AH6740">
        <v>0.511065408672572</v>
      </c>
      <c r="AI6740">
        <v>110.373294091003</v>
      </c>
      <c r="AJ6740">
        <v>80.961489607003202</v>
      </c>
      <c r="AK6740">
        <v>0.552023279912086</v>
      </c>
    </row>
    <row r="6741" spans="1:37" x14ac:dyDescent="0.2">
      <c r="A6741" t="str">
        <f>"20200111160352387"</f>
        <v>20200111160352387</v>
      </c>
      <c r="B6741" t="str">
        <f>"1578729832380028"</f>
        <v>1578729832380028</v>
      </c>
      <c r="C6741" t="s">
        <v>37</v>
      </c>
      <c r="D6741">
        <v>5.975276</v>
      </c>
      <c r="E6741">
        <v>0.56019490000000005</v>
      </c>
      <c r="F6741" t="s">
        <v>42</v>
      </c>
      <c r="G6741">
        <v>-152.827</v>
      </c>
      <c r="H6741">
        <v>0.91741569999999995</v>
      </c>
      <c r="I6741">
        <v>137.1163</v>
      </c>
      <c r="J6741">
        <v>-153.38820000000001</v>
      </c>
      <c r="K6741">
        <v>1.1048229999999899</v>
      </c>
      <c r="L6741">
        <v>137.16399999999999</v>
      </c>
      <c r="M6741">
        <v>0.99701849999999903</v>
      </c>
      <c r="N6741">
        <v>0</v>
      </c>
      <c r="O6741">
        <v>7.3917170000000004E-2</v>
      </c>
      <c r="P6741">
        <v>0.9951082</v>
      </c>
      <c r="Q6741">
        <v>-3.2211910000000003E-2</v>
      </c>
      <c r="R6741">
        <v>9.3392829999999996E-2</v>
      </c>
      <c r="S6741">
        <v>3.0049440000000001</v>
      </c>
      <c r="T6741">
        <v>-0.81443580000000004</v>
      </c>
      <c r="U6741">
        <v>-0.1716461</v>
      </c>
      <c r="V6741">
        <v>-1.957652E-2</v>
      </c>
      <c r="W6741">
        <v>-1.004713E-2</v>
      </c>
      <c r="X6741">
        <v>0.99975789999999998</v>
      </c>
      <c r="Y6741">
        <v>0.12358</v>
      </c>
      <c r="Z6741">
        <v>-3.6102660000000002E-2</v>
      </c>
      <c r="AA6741">
        <v>0.99167759999999905</v>
      </c>
      <c r="AB6741">
        <v>13</v>
      </c>
      <c r="AC6741">
        <v>0.56120000000001302</v>
      </c>
      <c r="AD6741">
        <v>-0.187407299999999</v>
      </c>
      <c r="AE6741">
        <v>-4.7699999999991798E-2</v>
      </c>
      <c r="AF6741">
        <v>8.0184237536421094E-2</v>
      </c>
      <c r="AG6741">
        <v>-0.187407299999999</v>
      </c>
      <c r="AH6741">
        <v>0.50070150158960303</v>
      </c>
      <c r="AI6741">
        <v>110.283321285092</v>
      </c>
      <c r="AJ6741">
        <v>80.901690184305195</v>
      </c>
      <c r="AK6741">
        <v>0.54060429311712899</v>
      </c>
    </row>
    <row r="6742" spans="1:37" x14ac:dyDescent="0.2">
      <c r="A6742" t="str">
        <f>"20200111160352410"</f>
        <v>20200111160352410</v>
      </c>
      <c r="B6742" t="str">
        <f>"1578729832400523"</f>
        <v>1578729832400523</v>
      </c>
      <c r="C6742" t="s">
        <v>37</v>
      </c>
      <c r="D6742">
        <v>5.593871</v>
      </c>
      <c r="E6742">
        <v>0.56011060000000001</v>
      </c>
      <c r="F6742" t="s">
        <v>42</v>
      </c>
      <c r="G6742">
        <v>-152.70930000000001</v>
      </c>
      <c r="H6742">
        <v>0.92118789999999995</v>
      </c>
      <c r="I6742">
        <v>137.12379999999999</v>
      </c>
      <c r="J6742">
        <v>-153.262</v>
      </c>
      <c r="K6742">
        <v>1.1046670000000001</v>
      </c>
      <c r="L6742">
        <v>137.17169999999999</v>
      </c>
      <c r="M6742">
        <v>0.99713669999999999</v>
      </c>
      <c r="N6742">
        <v>0</v>
      </c>
      <c r="O6742">
        <v>7.2522980000000001E-2</v>
      </c>
      <c r="P6742">
        <v>0.99525509999999995</v>
      </c>
      <c r="Q6742">
        <v>-3.2441520000000001E-2</v>
      </c>
      <c r="R6742">
        <v>9.1733819999999994E-2</v>
      </c>
      <c r="S6742">
        <v>3.0051570000000001</v>
      </c>
      <c r="T6742">
        <v>-0.8127238</v>
      </c>
      <c r="U6742">
        <v>-0.17799379999999901</v>
      </c>
      <c r="V6742">
        <v>-1.9310319999999999E-2</v>
      </c>
      <c r="W6742">
        <v>-1.100397E-2</v>
      </c>
      <c r="X6742">
        <v>0.999753</v>
      </c>
      <c r="Y6742">
        <v>0.12433039999999899</v>
      </c>
      <c r="Z6742">
        <v>-3.5754679999999997E-2</v>
      </c>
      <c r="AA6742">
        <v>0.99159649999999999</v>
      </c>
      <c r="AB6742">
        <v>13</v>
      </c>
      <c r="AC6742">
        <v>0.55269999999998698</v>
      </c>
      <c r="AD6742">
        <v>-0.18347910000000001</v>
      </c>
      <c r="AE6742">
        <v>-4.7899999999998499E-2</v>
      </c>
      <c r="AF6742">
        <v>7.9203092744895398E-2</v>
      </c>
      <c r="AG6742">
        <v>-0.18347910000000001</v>
      </c>
      <c r="AH6742">
        <v>0.49376089388775302</v>
      </c>
      <c r="AI6742">
        <v>110.148323119125</v>
      </c>
      <c r="AJ6742">
        <v>80.886943205309393</v>
      </c>
      <c r="AK6742">
        <v>0.5326701891133</v>
      </c>
    </row>
    <row r="6743" spans="1:37" x14ac:dyDescent="0.2">
      <c r="A6743" t="str">
        <f>"20200111160352432"</f>
        <v>20200111160352432</v>
      </c>
      <c r="B6743" t="str">
        <f>"1578729832429804"</f>
        <v>1578729832429804</v>
      </c>
      <c r="C6743" t="s">
        <v>37</v>
      </c>
      <c r="D6743">
        <v>5.4483839999999999</v>
      </c>
      <c r="E6743">
        <v>0.56009929999999997</v>
      </c>
      <c r="F6743" t="s">
        <v>42</v>
      </c>
      <c r="G6743">
        <v>-152.48859999999999</v>
      </c>
      <c r="H6743">
        <v>0.89501169999999997</v>
      </c>
      <c r="I6743">
        <v>137.12469999999999</v>
      </c>
      <c r="J6743">
        <v>-153.1292</v>
      </c>
      <c r="K6743">
        <v>1.1044969999999901</v>
      </c>
      <c r="L6743">
        <v>137.17959999999999</v>
      </c>
      <c r="M6743">
        <v>0.99726079999999995</v>
      </c>
      <c r="N6743">
        <v>0</v>
      </c>
      <c r="O6743">
        <v>7.1067160000000004E-2</v>
      </c>
      <c r="P6743">
        <v>0.99543280000000001</v>
      </c>
      <c r="Q6743">
        <v>-3.2057240000000001E-2</v>
      </c>
      <c r="R6743">
        <v>8.9922020000000005E-2</v>
      </c>
      <c r="S6743">
        <v>3.0045929999999998</v>
      </c>
      <c r="T6743">
        <v>-0.81451609999999997</v>
      </c>
      <c r="U6743">
        <v>-0.18266299999999999</v>
      </c>
      <c r="V6743">
        <v>-1.8951229999999999E-2</v>
      </c>
      <c r="W6743">
        <v>-1.1535170000000001E-2</v>
      </c>
      <c r="X6743">
        <v>0.99975389999999997</v>
      </c>
      <c r="Y6743">
        <v>0.124444</v>
      </c>
      <c r="Z6743">
        <v>-3.5463660000000001E-2</v>
      </c>
      <c r="AA6743">
        <v>0.99159259999999905</v>
      </c>
      <c r="AB6743">
        <v>13</v>
      </c>
      <c r="AC6743">
        <v>0.64060000000000605</v>
      </c>
      <c r="AD6743">
        <v>-0.20948529999999899</v>
      </c>
      <c r="AE6743">
        <v>-5.4900000000003502E-2</v>
      </c>
      <c r="AF6743">
        <v>9.0670834627672905E-2</v>
      </c>
      <c r="AG6743">
        <v>-0.20948529999999899</v>
      </c>
      <c r="AH6743">
        <v>0.57412850051595699</v>
      </c>
      <c r="AI6743">
        <v>109.81959157472799</v>
      </c>
      <c r="AJ6743">
        <v>81.025526689115793</v>
      </c>
      <c r="AK6743">
        <v>0.617842072274841</v>
      </c>
    </row>
    <row r="6744" spans="1:37" x14ac:dyDescent="0.2">
      <c r="A6744" t="str">
        <f>"20200111160352453"</f>
        <v>20200111160352453</v>
      </c>
      <c r="B6744" t="str">
        <f>"1578729832450299"</f>
        <v>1578729832450299</v>
      </c>
      <c r="C6744" t="s">
        <v>37</v>
      </c>
      <c r="D6744">
        <v>5.5562329999999998</v>
      </c>
      <c r="E6744">
        <v>0.56006540000000005</v>
      </c>
      <c r="F6744" t="s">
        <v>42</v>
      </c>
      <c r="G6744">
        <v>-152.37129999999999</v>
      </c>
      <c r="H6744">
        <v>0.89876630000000002</v>
      </c>
      <c r="I6744">
        <v>137.13200000000001</v>
      </c>
      <c r="J6744">
        <v>-153.01249999999999</v>
      </c>
      <c r="K6744">
        <v>1.1043559999999999</v>
      </c>
      <c r="L6744">
        <v>137.18629999999999</v>
      </c>
      <c r="M6744">
        <v>0.99736719999999901</v>
      </c>
      <c r="N6744">
        <v>0</v>
      </c>
      <c r="O6744">
        <v>6.9797170000000006E-2</v>
      </c>
      <c r="P6744">
        <v>0.99552819999999997</v>
      </c>
      <c r="Q6744">
        <v>-3.3023339999999998E-2</v>
      </c>
      <c r="R6744">
        <v>8.8505600000000004E-2</v>
      </c>
      <c r="S6744">
        <v>3.004486</v>
      </c>
      <c r="T6744">
        <v>-0.81539099999999998</v>
      </c>
      <c r="U6744">
        <v>-0.1881409</v>
      </c>
      <c r="V6744">
        <v>-1.8807790000000001E-2</v>
      </c>
      <c r="W6744">
        <v>-1.3333070000000001E-2</v>
      </c>
      <c r="X6744">
        <v>0.99973419999999902</v>
      </c>
      <c r="Y6744">
        <v>0.1249951</v>
      </c>
      <c r="Z6744">
        <v>-3.5235089999999997E-2</v>
      </c>
      <c r="AA6744">
        <v>0.99153150000000001</v>
      </c>
      <c r="AB6744">
        <v>13</v>
      </c>
      <c r="AC6744">
        <v>0.64119999999999699</v>
      </c>
      <c r="AD6744">
        <v>-0.20558969999999899</v>
      </c>
      <c r="AE6744">
        <v>-5.42999999999835E-2</v>
      </c>
      <c r="AF6744">
        <v>8.9767285673352501E-2</v>
      </c>
      <c r="AG6744">
        <v>-0.20558969999999899</v>
      </c>
      <c r="AH6744">
        <v>0.57695337266775204</v>
      </c>
      <c r="AI6744">
        <v>109.39719018659601</v>
      </c>
      <c r="AJ6744">
        <v>81.156344808606704</v>
      </c>
      <c r="AK6744">
        <v>0.61903189300386197</v>
      </c>
    </row>
    <row r="6745" spans="1:37" x14ac:dyDescent="0.2">
      <c r="A6745" t="str">
        <f>"20200111160352475"</f>
        <v>20200111160352475</v>
      </c>
      <c r="B6745" t="str">
        <f>"1578729832469819"</f>
        <v>1578729832469819</v>
      </c>
      <c r="C6745" t="s">
        <v>37</v>
      </c>
      <c r="D6745">
        <v>5.6143830000000001</v>
      </c>
      <c r="E6745">
        <v>0.55760619999999905</v>
      </c>
      <c r="F6745" t="s">
        <v>42</v>
      </c>
      <c r="G6745">
        <v>-152.25579999999999</v>
      </c>
      <c r="H6745">
        <v>0.89798060000000002</v>
      </c>
      <c r="I6745">
        <v>137.1378</v>
      </c>
      <c r="J6745">
        <v>-152.881</v>
      </c>
      <c r="K6745">
        <v>1.1043369999999999</v>
      </c>
      <c r="L6745">
        <v>137.19380000000001</v>
      </c>
      <c r="M6745">
        <v>0.99747600000000003</v>
      </c>
      <c r="N6745">
        <v>0</v>
      </c>
      <c r="O6745">
        <v>6.8392869999999995E-2</v>
      </c>
      <c r="P6745">
        <v>0.99554589999999998</v>
      </c>
      <c r="Q6745">
        <v>-3.4552979999999997E-2</v>
      </c>
      <c r="R6745">
        <v>8.7718599999999994E-2</v>
      </c>
      <c r="S6745">
        <v>3.003387</v>
      </c>
      <c r="T6745">
        <v>-0.81904670000000002</v>
      </c>
      <c r="U6745">
        <v>-0.19215389999999999</v>
      </c>
      <c r="V6745">
        <v>-1.943073E-2</v>
      </c>
      <c r="W6745">
        <v>-1.5460049999999999E-2</v>
      </c>
      <c r="X6745">
        <v>0.99969169999999996</v>
      </c>
      <c r="Y6745">
        <v>0.124928</v>
      </c>
      <c r="Z6745">
        <v>-3.5014089999999998E-2</v>
      </c>
      <c r="AA6745">
        <v>0.99154779999999998</v>
      </c>
      <c r="AB6745">
        <v>13</v>
      </c>
      <c r="AC6745">
        <v>0.62520000000000597</v>
      </c>
      <c r="AD6745">
        <v>-0.2063564</v>
      </c>
      <c r="AE6745">
        <v>-5.6000000000011603E-2</v>
      </c>
      <c r="AF6745">
        <v>8.9015440320122305E-2</v>
      </c>
      <c r="AG6745">
        <v>-0.2063564</v>
      </c>
      <c r="AH6745">
        <v>0.559442752502323</v>
      </c>
      <c r="AI6745">
        <v>110.01557702605101</v>
      </c>
      <c r="AJ6745">
        <v>80.959200258609201</v>
      </c>
      <c r="AK6745">
        <v>0.602895435182355</v>
      </c>
    </row>
    <row r="6746" spans="1:37" x14ac:dyDescent="0.2">
      <c r="A6746" t="str">
        <f>"20200111160352501"</f>
        <v>20200111160352501</v>
      </c>
      <c r="B6746" t="str">
        <f>"1578729832490315"</f>
        <v>1578729832490315</v>
      </c>
      <c r="C6746" t="s">
        <v>37</v>
      </c>
      <c r="D6746">
        <v>5.4983199999999997</v>
      </c>
      <c r="E6746">
        <v>0.55768359999999995</v>
      </c>
      <c r="F6746" t="s">
        <v>42</v>
      </c>
      <c r="G6746">
        <v>-152.1489</v>
      </c>
      <c r="H6746">
        <v>0.88749159999999905</v>
      </c>
      <c r="I6746">
        <v>137.15129999999999</v>
      </c>
      <c r="J6746">
        <v>-152.7422</v>
      </c>
      <c r="K6746">
        <v>1.1046860000000001</v>
      </c>
      <c r="L6746">
        <v>137.20160000000001</v>
      </c>
      <c r="M6746">
        <v>0.99755879999999997</v>
      </c>
      <c r="N6746">
        <v>0</v>
      </c>
      <c r="O6746">
        <v>6.7017640000000003E-2</v>
      </c>
      <c r="P6746">
        <v>0.99550190000000005</v>
      </c>
      <c r="Q6746">
        <v>-3.7935089999999998E-2</v>
      </c>
      <c r="R6746">
        <v>8.6816279999999996E-2</v>
      </c>
      <c r="S6746">
        <v>2.9978639999999999</v>
      </c>
      <c r="T6746">
        <v>-0.88776659999999996</v>
      </c>
      <c r="U6746">
        <v>-0.17321779999999901</v>
      </c>
      <c r="V6746">
        <v>-1.9909329999999999E-2</v>
      </c>
      <c r="W6746">
        <v>-1.8302269999999999E-2</v>
      </c>
      <c r="X6746">
        <v>0.99963429999999998</v>
      </c>
      <c r="Y6746">
        <v>0.1166116</v>
      </c>
      <c r="Z6746">
        <v>-3.6305959999999998E-2</v>
      </c>
      <c r="AA6746">
        <v>0.9925138</v>
      </c>
      <c r="AB6746">
        <v>13</v>
      </c>
      <c r="AC6746">
        <v>0.59329999999999905</v>
      </c>
      <c r="AD6746">
        <v>-0.21719440000000001</v>
      </c>
      <c r="AE6746">
        <v>-5.03000000000213E-2</v>
      </c>
      <c r="AF6746">
        <v>7.9392373624420795E-2</v>
      </c>
      <c r="AG6746">
        <v>-0.21719440000000001</v>
      </c>
      <c r="AH6746">
        <v>0.51947423500350798</v>
      </c>
      <c r="AI6746">
        <v>112.45556306588099</v>
      </c>
      <c r="AJ6746">
        <v>81.310600185259901</v>
      </c>
      <c r="AK6746">
        <v>0.56862117197090001</v>
      </c>
    </row>
    <row r="6747" spans="1:37" x14ac:dyDescent="0.2">
      <c r="A6747" t="str">
        <f>"20200111160352522"</f>
        <v>20200111160352522</v>
      </c>
      <c r="B6747" t="str">
        <f>"1578729832509835"</f>
        <v>1578729832509835</v>
      </c>
      <c r="C6747" t="s">
        <v>37</v>
      </c>
      <c r="D6747">
        <v>5.6315549999999996</v>
      </c>
      <c r="E6747">
        <v>0.55781210000000003</v>
      </c>
      <c r="F6747" t="s">
        <v>42</v>
      </c>
      <c r="G6747">
        <v>-152.03749999999999</v>
      </c>
      <c r="H6747">
        <v>0.8938758</v>
      </c>
      <c r="I6747">
        <v>137.15989999999999</v>
      </c>
      <c r="J6747">
        <v>-152.62280000000001</v>
      </c>
      <c r="K6747">
        <v>1.105084</v>
      </c>
      <c r="L6747">
        <v>137.2081</v>
      </c>
      <c r="M6747">
        <v>0.997613999999999</v>
      </c>
      <c r="N6747">
        <v>0</v>
      </c>
      <c r="O6747">
        <v>6.5895570000000001E-2</v>
      </c>
      <c r="P6747">
        <v>0.99534409999999895</v>
      </c>
      <c r="Q6747">
        <v>-4.165746E-2</v>
      </c>
      <c r="R6747">
        <v>8.6918469999999998E-2</v>
      </c>
      <c r="S6747">
        <v>2.9948429999999999</v>
      </c>
      <c r="T6747">
        <v>-0.89584640000000004</v>
      </c>
      <c r="U6747">
        <v>-0.17680360000000001</v>
      </c>
      <c r="V6747">
        <v>-2.1141770000000001E-2</v>
      </c>
      <c r="W6747">
        <v>-2.1060619999999999E-2</v>
      </c>
      <c r="X6747">
        <v>0.99955459999999996</v>
      </c>
      <c r="Y6747">
        <v>0.1166309</v>
      </c>
      <c r="Z6747">
        <v>-3.6332179999999999E-2</v>
      </c>
      <c r="AA6747">
        <v>0.99251060000000002</v>
      </c>
      <c r="AB6747">
        <v>13</v>
      </c>
      <c r="AC6747">
        <v>0.58530000000001703</v>
      </c>
      <c r="AD6747">
        <v>-0.21120820000000001</v>
      </c>
      <c r="AE6747">
        <v>-4.8200000000008403E-2</v>
      </c>
      <c r="AF6747">
        <v>7.6745829798865406E-2</v>
      </c>
      <c r="AG6747">
        <v>-0.21120820000000001</v>
      </c>
      <c r="AH6747">
        <v>0.51432787705662597</v>
      </c>
      <c r="AI6747">
        <v>112.104642211084</v>
      </c>
      <c r="AJ6747">
        <v>81.513183804081905</v>
      </c>
      <c r="AK6747">
        <v>0.56127710736883996</v>
      </c>
    </row>
    <row r="6748" spans="1:37" x14ac:dyDescent="0.2">
      <c r="A6748" t="str">
        <f>"20200111160352546"</f>
        <v>20200111160352546</v>
      </c>
      <c r="B6748" t="str">
        <f>"1578729832540091"</f>
        <v>1578729832540091</v>
      </c>
      <c r="C6748" t="s">
        <v>37</v>
      </c>
      <c r="D6748">
        <v>5.768408</v>
      </c>
      <c r="E6748">
        <v>0.55796619999999997</v>
      </c>
      <c r="F6748" t="s">
        <v>42</v>
      </c>
      <c r="G6748">
        <v>-151.93100000000001</v>
      </c>
      <c r="H6748">
        <v>0.89582009999999901</v>
      </c>
      <c r="I6748">
        <v>137.1669</v>
      </c>
      <c r="J6748">
        <v>-152.49969999999999</v>
      </c>
      <c r="K6748">
        <v>1.1054299999999999</v>
      </c>
      <c r="L6748">
        <v>137.2149</v>
      </c>
      <c r="M6748">
        <v>0.99766330000000003</v>
      </c>
      <c r="N6748">
        <v>0</v>
      </c>
      <c r="O6748">
        <v>6.4782679999999995E-2</v>
      </c>
      <c r="P6748">
        <v>0.99522369999999905</v>
      </c>
      <c r="Q6748">
        <v>-4.4928070000000001E-2</v>
      </c>
      <c r="R6748">
        <v>8.666981E-2</v>
      </c>
      <c r="S6748">
        <v>2.9916990000000001</v>
      </c>
      <c r="T6748">
        <v>-0.90479469999999995</v>
      </c>
      <c r="U6748">
        <v>-0.17764279999999999</v>
      </c>
      <c r="V6748">
        <v>-2.2013399999999999E-2</v>
      </c>
      <c r="W6748">
        <v>-2.3223049999999999E-2</v>
      </c>
      <c r="X6748">
        <v>0.99948789999999998</v>
      </c>
      <c r="Y6748">
        <v>0.1157788</v>
      </c>
      <c r="Z6748">
        <v>-3.6262019999999999E-2</v>
      </c>
      <c r="AA6748">
        <v>0.99261290000000002</v>
      </c>
      <c r="AB6748">
        <v>12</v>
      </c>
      <c r="AC6748">
        <v>0.568699999999978</v>
      </c>
      <c r="AD6748">
        <v>-0.20960989999999999</v>
      </c>
      <c r="AE6748">
        <v>-4.8000000000001798E-2</v>
      </c>
      <c r="AF6748">
        <v>7.4676703072557596E-2</v>
      </c>
      <c r="AG6748">
        <v>-0.20960989999999999</v>
      </c>
      <c r="AH6748">
        <v>0.49731284428254402</v>
      </c>
      <c r="AI6748">
        <v>112.62696057246799</v>
      </c>
      <c r="AJ6748">
        <v>81.460245749478503</v>
      </c>
      <c r="AK6748">
        <v>0.54482381119788703</v>
      </c>
    </row>
    <row r="6749" spans="1:37" x14ac:dyDescent="0.2">
      <c r="A6749" t="str">
        <f>"20200111160352569"</f>
        <v>20200111160352569</v>
      </c>
      <c r="B6749" t="str">
        <f>"1578729832560587"</f>
        <v>1578729832560587</v>
      </c>
      <c r="C6749" t="s">
        <v>37</v>
      </c>
      <c r="D6749">
        <v>5.6456200000000001</v>
      </c>
      <c r="E6749">
        <v>0.55804399999999998</v>
      </c>
      <c r="F6749" t="s">
        <v>42</v>
      </c>
      <c r="G6749">
        <v>-151.82579999999999</v>
      </c>
      <c r="H6749">
        <v>0.90040889999999996</v>
      </c>
      <c r="I6749">
        <v>137.17439999999999</v>
      </c>
      <c r="J6749">
        <v>-152.38319999999999</v>
      </c>
      <c r="K6749">
        <v>1.105499</v>
      </c>
      <c r="L6749">
        <v>137.22120000000001</v>
      </c>
      <c r="M6749">
        <v>0.99772179999999999</v>
      </c>
      <c r="N6749">
        <v>0</v>
      </c>
      <c r="O6749">
        <v>6.3670589999999999E-2</v>
      </c>
      <c r="P6749">
        <v>0.99518660000000003</v>
      </c>
      <c r="Q6749">
        <v>-4.5427710000000003E-2</v>
      </c>
      <c r="R6749">
        <v>8.6835319999999994E-2</v>
      </c>
      <c r="S6749">
        <v>2.988953</v>
      </c>
      <c r="T6749">
        <v>-0.90924939999999999</v>
      </c>
      <c r="U6749">
        <v>-0.17930599999999999</v>
      </c>
      <c r="V6749">
        <v>-2.3294519999999999E-2</v>
      </c>
      <c r="W6749">
        <v>-2.3123899999999999E-2</v>
      </c>
      <c r="X6749">
        <v>0.99946119999999905</v>
      </c>
      <c r="Y6749">
        <v>0.1152594</v>
      </c>
      <c r="Z6749">
        <v>-3.6057029999999997E-2</v>
      </c>
      <c r="AA6749">
        <v>0.99268080000000003</v>
      </c>
      <c r="AB6749">
        <v>12</v>
      </c>
      <c r="AC6749">
        <v>0.55740000000000101</v>
      </c>
      <c r="AD6749">
        <v>-0.2050901</v>
      </c>
      <c r="AE6749">
        <v>-4.6800000000018799E-2</v>
      </c>
      <c r="AF6749">
        <v>7.2462486571842802E-2</v>
      </c>
      <c r="AG6749">
        <v>-0.2050901</v>
      </c>
      <c r="AH6749">
        <v>0.48772216391783202</v>
      </c>
      <c r="AI6749">
        <v>112.58439588910301</v>
      </c>
      <c r="AJ6749">
        <v>81.549196749411706</v>
      </c>
      <c r="AK6749">
        <v>0.53402778041491195</v>
      </c>
    </row>
    <row r="6750" spans="1:37" x14ac:dyDescent="0.2">
      <c r="A6750" t="str">
        <f>"20200111160352591"</f>
        <v>20200111160352591</v>
      </c>
      <c r="B6750" t="str">
        <f>"1578729832580284"</f>
        <v>1578729832580284</v>
      </c>
      <c r="C6750" t="s">
        <v>37</v>
      </c>
      <c r="D6750">
        <v>5.7246649999999999</v>
      </c>
      <c r="E6750">
        <v>0.55785980000000002</v>
      </c>
      <c r="F6750" t="s">
        <v>42</v>
      </c>
      <c r="G6750">
        <v>-151.72210000000001</v>
      </c>
      <c r="H6750">
        <v>0.90421779999999996</v>
      </c>
      <c r="I6750">
        <v>137.1815</v>
      </c>
      <c r="J6750">
        <v>-152.27520000000001</v>
      </c>
      <c r="K6750">
        <v>1.1051839999999999</v>
      </c>
      <c r="L6750">
        <v>137.22669999999999</v>
      </c>
      <c r="M6750">
        <v>0.99780740000000001</v>
      </c>
      <c r="N6750">
        <v>0</v>
      </c>
      <c r="O6750">
        <v>6.2505829999999998E-2</v>
      </c>
      <c r="P6750">
        <v>0.99531639999999999</v>
      </c>
      <c r="Q6750">
        <v>-4.4384859999999998E-2</v>
      </c>
      <c r="R6750">
        <v>8.588134E-2</v>
      </c>
      <c r="S6750">
        <v>2.9886169999999899</v>
      </c>
      <c r="T6750">
        <v>-0.90994019999999998</v>
      </c>
      <c r="U6750">
        <v>-0.17926029999999901</v>
      </c>
      <c r="V6750">
        <v>-2.350592E-2</v>
      </c>
      <c r="W6750">
        <v>-2.2616540000000001E-2</v>
      </c>
      <c r="X6750">
        <v>0.99946780000000002</v>
      </c>
      <c r="Y6750">
        <v>0.1141793</v>
      </c>
      <c r="Z6750">
        <v>-3.5579899999999998E-2</v>
      </c>
      <c r="AA6750">
        <v>0.99282280000000001</v>
      </c>
      <c r="AB6750">
        <v>11</v>
      </c>
      <c r="AC6750">
        <v>0.55310000000000004</v>
      </c>
      <c r="AD6750">
        <v>-0.20096620000000001</v>
      </c>
      <c r="AE6750">
        <v>-4.5199999999994099E-2</v>
      </c>
      <c r="AF6750">
        <v>7.0452342115291694E-2</v>
      </c>
      <c r="AG6750">
        <v>-0.20096620000000001</v>
      </c>
      <c r="AH6750">
        <v>0.48551916091686698</v>
      </c>
      <c r="AI6750">
        <v>112.27548218799301</v>
      </c>
      <c r="AJ6750">
        <v>81.743595369692201</v>
      </c>
      <c r="AK6750">
        <v>0.53016959708133904</v>
      </c>
    </row>
    <row r="6751" spans="1:37" x14ac:dyDescent="0.2">
      <c r="A6751" t="str">
        <f>"20200111160352614"</f>
        <v>20200111160352614</v>
      </c>
      <c r="B6751" t="str">
        <f>"1578729832610541"</f>
        <v>1578729832610541</v>
      </c>
      <c r="C6751" t="s">
        <v>37</v>
      </c>
      <c r="D6751">
        <v>5.8524059999999896</v>
      </c>
      <c r="E6751">
        <v>0.55763009999999902</v>
      </c>
      <c r="F6751" t="s">
        <v>42</v>
      </c>
      <c r="G6751">
        <v>-151.52510000000001</v>
      </c>
      <c r="H6751">
        <v>0.87695129999999999</v>
      </c>
      <c r="I6751">
        <v>137.18129999999999</v>
      </c>
      <c r="J6751">
        <v>-152.14940000000001</v>
      </c>
      <c r="K6751">
        <v>1.104714</v>
      </c>
      <c r="L6751">
        <v>137.2329</v>
      </c>
      <c r="M6751">
        <v>0.99792109999999901</v>
      </c>
      <c r="N6751">
        <v>0</v>
      </c>
      <c r="O6751">
        <v>6.1094839999999997E-2</v>
      </c>
      <c r="P6751">
        <v>0.99541100000000005</v>
      </c>
      <c r="Q6751">
        <v>-4.4026129999999997E-2</v>
      </c>
      <c r="R6751">
        <v>8.4965189999999996E-2</v>
      </c>
      <c r="S6751">
        <v>2.9891200000000002</v>
      </c>
      <c r="T6751">
        <v>-0.90931810000000002</v>
      </c>
      <c r="U6751">
        <v>-0.18026729999999899</v>
      </c>
      <c r="V6751">
        <v>-2.4006309999999999E-2</v>
      </c>
      <c r="W6751">
        <v>-2.3496159999999999E-2</v>
      </c>
      <c r="X6751">
        <v>0.99943570000000004</v>
      </c>
      <c r="Y6751">
        <v>0.1132181</v>
      </c>
      <c r="Z6751">
        <v>-3.4988039999999998E-2</v>
      </c>
      <c r="AA6751">
        <v>0.99295389999999994</v>
      </c>
      <c r="AB6751">
        <v>12</v>
      </c>
      <c r="AC6751">
        <v>0.62430000000000496</v>
      </c>
      <c r="AD6751">
        <v>-0.22776269999999901</v>
      </c>
      <c r="AE6751">
        <v>-5.1600000000007598E-2</v>
      </c>
      <c r="AF6751">
        <v>7.9185073668925507E-2</v>
      </c>
      <c r="AG6751">
        <v>-0.22776269999999901</v>
      </c>
      <c r="AH6751">
        <v>0.54759031322938001</v>
      </c>
      <c r="AI6751">
        <v>112.37473744582</v>
      </c>
      <c r="AJ6751">
        <v>81.771700235194601</v>
      </c>
      <c r="AK6751">
        <v>0.59833207714938097</v>
      </c>
    </row>
    <row r="6752" spans="1:37" x14ac:dyDescent="0.2">
      <c r="A6752" t="str">
        <f>"20200111160352637"</f>
        <v>20200111160352637</v>
      </c>
      <c r="B6752" t="str">
        <f>"1578729832630060"</f>
        <v>1578729832630060</v>
      </c>
      <c r="C6752" t="s">
        <v>37</v>
      </c>
      <c r="D6752">
        <v>5.5847790000000002</v>
      </c>
      <c r="E6752">
        <v>0.55783490000000002</v>
      </c>
      <c r="F6752" t="s">
        <v>42</v>
      </c>
      <c r="G6752">
        <v>-151.41849999999999</v>
      </c>
      <c r="H6752">
        <v>0.88234449999999998</v>
      </c>
      <c r="I6752">
        <v>137.1885</v>
      </c>
      <c r="J6752">
        <v>-152.0291</v>
      </c>
      <c r="K6752">
        <v>1.1044449999999999</v>
      </c>
      <c r="L6752">
        <v>137.23849999999999</v>
      </c>
      <c r="M6752">
        <v>0.99802209999999902</v>
      </c>
      <c r="N6752">
        <v>0</v>
      </c>
      <c r="O6752">
        <v>5.9748759999999998E-2</v>
      </c>
      <c r="P6752">
        <v>0.99543969999999904</v>
      </c>
      <c r="Q6752">
        <v>-4.4150519999999999E-2</v>
      </c>
      <c r="R6752">
        <v>8.4561010000000006E-2</v>
      </c>
      <c r="S6752">
        <v>2.9890750000000001</v>
      </c>
      <c r="T6752">
        <v>-0.90936740000000005</v>
      </c>
      <c r="U6752">
        <v>-0.18116760000000001</v>
      </c>
      <c r="V6752">
        <v>-2.495402E-2</v>
      </c>
      <c r="W6752">
        <v>-2.4595260000000001E-2</v>
      </c>
      <c r="X6752">
        <v>0.999386</v>
      </c>
      <c r="Y6752">
        <v>0.1122792</v>
      </c>
      <c r="Z6752">
        <v>-3.4450229999999998E-2</v>
      </c>
      <c r="AA6752">
        <v>0.99307939999999995</v>
      </c>
      <c r="AB6752">
        <v>12</v>
      </c>
      <c r="AC6752">
        <v>0.61060000000000503</v>
      </c>
      <c r="AD6752">
        <v>-0.22210050000000001</v>
      </c>
      <c r="AE6752">
        <v>-4.9999999999982898E-2</v>
      </c>
      <c r="AF6752">
        <v>7.6363951122246199E-2</v>
      </c>
      <c r="AG6752">
        <v>-0.22210050000000001</v>
      </c>
      <c r="AH6752">
        <v>0.53606724362430602</v>
      </c>
      <c r="AI6752">
        <v>112.302152476046</v>
      </c>
      <c r="AJ6752">
        <v>81.892637161750997</v>
      </c>
      <c r="AK6752">
        <v>0.58525906641265402</v>
      </c>
    </row>
    <row r="6753" spans="1:37" x14ac:dyDescent="0.2">
      <c r="A6753" t="str">
        <f>"20200111160352671"</f>
        <v>20200111160352671</v>
      </c>
      <c r="B6753" t="str">
        <f>"1578729832660316"</f>
        <v>1578729832660316</v>
      </c>
      <c r="C6753" t="s">
        <v>37</v>
      </c>
      <c r="D6753">
        <v>5.7250709999999998</v>
      </c>
      <c r="E6753">
        <v>0.55813459999999904</v>
      </c>
      <c r="F6753" t="s">
        <v>42</v>
      </c>
      <c r="G6753">
        <v>-151.3133</v>
      </c>
      <c r="H6753">
        <v>0.88624219999999898</v>
      </c>
      <c r="I6753">
        <v>137.1943</v>
      </c>
      <c r="J6753">
        <v>-151.85990000000001</v>
      </c>
      <c r="K6753">
        <v>1.1043459999999901</v>
      </c>
      <c r="L6753">
        <v>137.24619999999999</v>
      </c>
      <c r="M6753">
        <v>0.99815089999999995</v>
      </c>
      <c r="N6753">
        <v>0</v>
      </c>
      <c r="O6753">
        <v>5.7851909999999999E-2</v>
      </c>
      <c r="P6753">
        <v>0.99531639999999999</v>
      </c>
      <c r="Q6753">
        <v>-4.3484710000000003E-2</v>
      </c>
      <c r="R6753">
        <v>8.6340319999999998E-2</v>
      </c>
      <c r="S6753">
        <v>2.9889830000000002</v>
      </c>
      <c r="T6753">
        <v>-0.91115139999999994</v>
      </c>
      <c r="U6753">
        <v>-0.18417359999999999</v>
      </c>
      <c r="V6753">
        <v>-2.8634509999999998E-2</v>
      </c>
      <c r="W6753">
        <v>-2.4812290000000001E-2</v>
      </c>
      <c r="X6753">
        <v>0.99928189999999995</v>
      </c>
      <c r="Y6753">
        <v>0.1114806</v>
      </c>
      <c r="Z6753">
        <v>-3.3831079999999999E-2</v>
      </c>
      <c r="AA6753">
        <v>0.99319059999999904</v>
      </c>
      <c r="AB6753">
        <v>12</v>
      </c>
      <c r="AC6753">
        <v>0.54660000000001197</v>
      </c>
      <c r="AD6753">
        <v>-0.21810379999999999</v>
      </c>
      <c r="AE6753">
        <v>-5.1899999999989101E-2</v>
      </c>
      <c r="AF6753">
        <v>7.2068462494665905E-2</v>
      </c>
      <c r="AG6753">
        <v>-0.21810379999999999</v>
      </c>
      <c r="AH6753">
        <v>0.46872015550678398</v>
      </c>
      <c r="AI6753">
        <v>114.698321491977</v>
      </c>
      <c r="AJ6753">
        <v>81.258892613840104</v>
      </c>
      <c r="AK6753">
        <v>0.52197865381554498</v>
      </c>
    </row>
    <row r="6754" spans="1:37" x14ac:dyDescent="0.2">
      <c r="A6754" t="str">
        <f>"20200111160352702"</f>
        <v>20200111160352702</v>
      </c>
      <c r="B6754" t="str">
        <f>"1578729832690150"</f>
        <v>1578729832690150</v>
      </c>
      <c r="C6754" t="s">
        <v>37</v>
      </c>
      <c r="D6754">
        <v>5.6186689999999997</v>
      </c>
      <c r="E6754">
        <v>0.55839269999999996</v>
      </c>
      <c r="F6754" t="s">
        <v>42</v>
      </c>
      <c r="G6754">
        <v>-151.11109999999999</v>
      </c>
      <c r="H6754">
        <v>0.87689150000000005</v>
      </c>
      <c r="I6754">
        <v>137.20099999999999</v>
      </c>
      <c r="J6754">
        <v>-151.6953</v>
      </c>
      <c r="K6754">
        <v>1.104341</v>
      </c>
      <c r="L6754">
        <v>137.2533</v>
      </c>
      <c r="M6754">
        <v>0.99827509999999997</v>
      </c>
      <c r="N6754">
        <v>0</v>
      </c>
      <c r="O6754">
        <v>5.5940610000000002E-2</v>
      </c>
      <c r="P6754">
        <v>0.99541229999999903</v>
      </c>
      <c r="Q6754">
        <v>-4.320417E-2</v>
      </c>
      <c r="R6754">
        <v>8.5370370000000001E-2</v>
      </c>
      <c r="S6754">
        <v>2.9900359999999999</v>
      </c>
      <c r="T6754">
        <v>-0.90825330000000004</v>
      </c>
      <c r="U6754">
        <v>-0.17980960000000001</v>
      </c>
      <c r="V6754">
        <v>-2.9568959999999998E-2</v>
      </c>
      <c r="W6754">
        <v>-2.5375890000000002E-2</v>
      </c>
      <c r="X6754">
        <v>0.99924059999999904</v>
      </c>
      <c r="Y6754">
        <v>0.10838969999999901</v>
      </c>
      <c r="Z6754">
        <v>-3.269188E-2</v>
      </c>
      <c r="AA6754">
        <v>0.99357079999999998</v>
      </c>
      <c r="AB6754">
        <v>12</v>
      </c>
      <c r="AC6754">
        <v>0.58420000000000905</v>
      </c>
      <c r="AD6754">
        <v>-0.2274495</v>
      </c>
      <c r="AE6754">
        <v>-5.23000000000024E-2</v>
      </c>
      <c r="AF6754">
        <v>7.3805200561083903E-2</v>
      </c>
      <c r="AG6754">
        <v>-0.2274495</v>
      </c>
      <c r="AH6754">
        <v>0.50449460329268303</v>
      </c>
      <c r="AI6754">
        <v>114.041543125635</v>
      </c>
      <c r="AJ6754">
        <v>81.676937950978996</v>
      </c>
      <c r="AK6754">
        <v>0.55829677361735996</v>
      </c>
    </row>
    <row r="6755" spans="1:37" x14ac:dyDescent="0.2">
      <c r="A6755" t="str">
        <f>"20200111160352721"</f>
        <v>20200111160352721</v>
      </c>
      <c r="B6755" t="str">
        <f>"1578729832709670"</f>
        <v>1578729832709670</v>
      </c>
      <c r="C6755" t="s">
        <v>37</v>
      </c>
      <c r="D6755">
        <v>5.5680170000000002</v>
      </c>
      <c r="E6755">
        <v>0.55852500000000005</v>
      </c>
      <c r="F6755" t="s">
        <v>42</v>
      </c>
      <c r="G6755">
        <v>-151.0017</v>
      </c>
      <c r="H6755">
        <v>0.89385749999999997</v>
      </c>
      <c r="I6755">
        <v>137.21090000000001</v>
      </c>
      <c r="J6755">
        <v>-151.59829999999999</v>
      </c>
      <c r="K6755">
        <v>1.104331</v>
      </c>
      <c r="L6755">
        <v>137.25749999999999</v>
      </c>
      <c r="M6755">
        <v>0.99834659999999997</v>
      </c>
      <c r="N6755">
        <v>0</v>
      </c>
      <c r="O6755">
        <v>5.4817530000000003E-2</v>
      </c>
      <c r="P6755">
        <v>0.995556</v>
      </c>
      <c r="Q6755">
        <v>-4.2726279999999998E-2</v>
      </c>
      <c r="R6755">
        <v>8.3921560000000006E-2</v>
      </c>
      <c r="S6755">
        <v>2.9901279999999999</v>
      </c>
      <c r="T6755">
        <v>-0.90740560000000003</v>
      </c>
      <c r="U6755">
        <v>-0.1828766</v>
      </c>
      <c r="V6755">
        <v>-2.9235879999999999E-2</v>
      </c>
      <c r="W6755">
        <v>-2.5418570000000001E-2</v>
      </c>
      <c r="X6755">
        <v>0.99924930000000001</v>
      </c>
      <c r="Y6755">
        <v>0.1083519</v>
      </c>
      <c r="Z6755">
        <v>-3.2322179999999999E-2</v>
      </c>
      <c r="AA6755">
        <v>0.993587</v>
      </c>
      <c r="AB6755">
        <v>11</v>
      </c>
      <c r="AC6755">
        <v>0.59659999999999502</v>
      </c>
      <c r="AD6755">
        <v>-0.21047349999999901</v>
      </c>
      <c r="AE6755">
        <v>-4.6599999999983703E-2</v>
      </c>
      <c r="AF6755">
        <v>7.0515795073699095E-2</v>
      </c>
      <c r="AG6755">
        <v>-0.21047349999999901</v>
      </c>
      <c r="AH6755">
        <v>0.527850169718454</v>
      </c>
      <c r="AI6755">
        <v>111.565225674239</v>
      </c>
      <c r="AJ6755">
        <v>82.390877050336499</v>
      </c>
      <c r="AK6755">
        <v>0.57262323846393703</v>
      </c>
    </row>
    <row r="6756" spans="1:37" x14ac:dyDescent="0.2">
      <c r="A6756" t="str">
        <f>"20200111160352743"</f>
        <v>20200111160352743</v>
      </c>
      <c r="B6756" t="str">
        <f>"1578729832739926"</f>
        <v>1578729832739926</v>
      </c>
      <c r="C6756" t="s">
        <v>37</v>
      </c>
      <c r="D6756">
        <v>5.6101289999999997</v>
      </c>
      <c r="E6756">
        <v>0.55880399999999997</v>
      </c>
      <c r="F6756" t="s">
        <v>42</v>
      </c>
      <c r="G6756">
        <v>-150.89940000000001</v>
      </c>
      <c r="H6756">
        <v>0.89223999999999903</v>
      </c>
      <c r="I6756">
        <v>137.21379999999999</v>
      </c>
      <c r="J6756">
        <v>-151.4803</v>
      </c>
      <c r="K6756">
        <v>1.1043099999999999</v>
      </c>
      <c r="L6756">
        <v>137.26249999999999</v>
      </c>
      <c r="M6756">
        <v>0.99842799999999998</v>
      </c>
      <c r="N6756">
        <v>0</v>
      </c>
      <c r="O6756">
        <v>5.3491469999999999E-2</v>
      </c>
      <c r="P6756">
        <v>0.99588869999999896</v>
      </c>
      <c r="Q6756">
        <v>-4.1340639999999998E-2</v>
      </c>
      <c r="R6756">
        <v>8.0603320000000006E-2</v>
      </c>
      <c r="S6756">
        <v>2.990189</v>
      </c>
      <c r="T6756">
        <v>-0.90734400000000004</v>
      </c>
      <c r="U6756">
        <v>-0.18650820000000001</v>
      </c>
      <c r="V6756">
        <v>-2.7229929999999999E-2</v>
      </c>
      <c r="W6756">
        <v>-2.4591399999999999E-2</v>
      </c>
      <c r="X6756">
        <v>0.99932659999999995</v>
      </c>
      <c r="Y6756">
        <v>0.1082969</v>
      </c>
      <c r="Z6756">
        <v>-3.1917040000000001E-2</v>
      </c>
      <c r="AA6756">
        <v>0.99360609999999905</v>
      </c>
      <c r="AB6756">
        <v>12</v>
      </c>
      <c r="AC6756">
        <v>0.58089999999998498</v>
      </c>
      <c r="AD6756">
        <v>-0.21207000000000001</v>
      </c>
      <c r="AE6756">
        <v>-4.86999999999966E-2</v>
      </c>
      <c r="AF6756">
        <v>7.0391680271832596E-2</v>
      </c>
      <c r="AG6756">
        <v>-0.21207000000000001</v>
      </c>
      <c r="AH6756">
        <v>0.50996974468050504</v>
      </c>
      <c r="AI6756">
        <v>112.388841222221</v>
      </c>
      <c r="AJ6756">
        <v>82.141060984451798</v>
      </c>
      <c r="AK6756">
        <v>0.55677447323040197</v>
      </c>
    </row>
    <row r="6757" spans="1:37" x14ac:dyDescent="0.2">
      <c r="A6757" t="str">
        <f>"20200111160352767"</f>
        <v>20200111160352767</v>
      </c>
      <c r="B6757" t="str">
        <f>"1578729832760422"</f>
        <v>1578729832760422</v>
      </c>
      <c r="C6757" t="s">
        <v>37</v>
      </c>
      <c r="D6757">
        <v>5.5777089999999996</v>
      </c>
      <c r="E6757">
        <v>0.55896369999999995</v>
      </c>
      <c r="F6757" t="s">
        <v>42</v>
      </c>
      <c r="G6757">
        <v>-150.7946</v>
      </c>
      <c r="H6757">
        <v>0.89732559999999995</v>
      </c>
      <c r="I6757">
        <v>137.21700000000001</v>
      </c>
      <c r="J6757">
        <v>-151.35900000000001</v>
      </c>
      <c r="K6757">
        <v>1.1042940000000001</v>
      </c>
      <c r="L6757">
        <v>137.26750000000001</v>
      </c>
      <c r="M6757">
        <v>0.99850450000000002</v>
      </c>
      <c r="N6757">
        <v>0</v>
      </c>
      <c r="O6757">
        <v>5.2187829999999998E-2</v>
      </c>
      <c r="P6757">
        <v>0.99627319999999997</v>
      </c>
      <c r="Q6757">
        <v>-3.9115690000000002E-2</v>
      </c>
      <c r="R6757">
        <v>7.6874709999999999E-2</v>
      </c>
      <c r="S6757">
        <v>2.9909819999999998</v>
      </c>
      <c r="T6757">
        <v>-0.90292859999999997</v>
      </c>
      <c r="U6757">
        <v>-0.19862369999999999</v>
      </c>
      <c r="V6757">
        <v>-2.4789700000000001E-2</v>
      </c>
      <c r="W6757">
        <v>-2.28148E-2</v>
      </c>
      <c r="X6757">
        <v>0.99943230000000005</v>
      </c>
      <c r="Y6757">
        <v>0.111003399999999</v>
      </c>
      <c r="Z6757">
        <v>-3.177141E-2</v>
      </c>
      <c r="AA6757">
        <v>0.99331209999999903</v>
      </c>
      <c r="AB6757">
        <v>11</v>
      </c>
      <c r="AC6757">
        <v>0.56440000000000601</v>
      </c>
      <c r="AD6757">
        <v>-0.2069684</v>
      </c>
      <c r="AE6757">
        <v>-5.0499999999999497E-2</v>
      </c>
      <c r="AF6757">
        <v>7.0486636356981297E-2</v>
      </c>
      <c r="AG6757">
        <v>-0.2069684</v>
      </c>
      <c r="AH6757">
        <v>0.49496429969376599</v>
      </c>
      <c r="AI6757">
        <v>112.488163629916</v>
      </c>
      <c r="AJ6757">
        <v>81.895145728429497</v>
      </c>
      <c r="AK6757">
        <v>0.54110437299547098</v>
      </c>
    </row>
    <row r="6758" spans="1:37" x14ac:dyDescent="0.2">
      <c r="A6758" t="str">
        <f>"20200111160352805"</f>
        <v>20200111160352805</v>
      </c>
      <c r="B6758" t="str">
        <f>"1578729832800438"</f>
        <v>1578729832800438</v>
      </c>
      <c r="C6758" t="s">
        <v>37</v>
      </c>
      <c r="D6758">
        <v>5.5862439999999998</v>
      </c>
      <c r="E6758">
        <v>0.55910499999999996</v>
      </c>
      <c r="F6758" t="s">
        <v>42</v>
      </c>
      <c r="G6758">
        <v>-150.68950000000001</v>
      </c>
      <c r="H6758">
        <v>0.90380669999999996</v>
      </c>
      <c r="I6758">
        <v>137.22020000000001</v>
      </c>
      <c r="J6758">
        <v>-151.1728</v>
      </c>
      <c r="K6758">
        <v>1.1043399999999901</v>
      </c>
      <c r="L6758">
        <v>137.2747</v>
      </c>
      <c r="M6758">
        <v>0.99861</v>
      </c>
      <c r="N6758">
        <v>0</v>
      </c>
      <c r="O6758">
        <v>5.0228950000000001E-2</v>
      </c>
      <c r="P6758">
        <v>0.99669580000000002</v>
      </c>
      <c r="Q6758">
        <v>-3.7637829999999997E-2</v>
      </c>
      <c r="R6758">
        <v>7.1979909999999994E-2</v>
      </c>
      <c r="S6758">
        <v>2.9923250000000001</v>
      </c>
      <c r="T6758">
        <v>-0.89600740000000001</v>
      </c>
      <c r="U6758">
        <v>-0.21080019999999999</v>
      </c>
      <c r="V6758">
        <v>-2.183974E-2</v>
      </c>
      <c r="W6758">
        <v>-2.165444E-2</v>
      </c>
      <c r="X6758">
        <v>0.9995269</v>
      </c>
      <c r="Y6758">
        <v>0.1131571</v>
      </c>
      <c r="Z6758">
        <v>-3.1262659999999998E-2</v>
      </c>
      <c r="AA6758">
        <v>0.99308510000000005</v>
      </c>
      <c r="AB6758">
        <v>11</v>
      </c>
      <c r="AC6758">
        <v>0.48329999999998502</v>
      </c>
      <c r="AD6758">
        <v>-0.200533299999999</v>
      </c>
      <c r="AE6758">
        <v>-5.4499999999990202E-2</v>
      </c>
      <c r="AF6758">
        <v>6.7273389882146303E-2</v>
      </c>
      <c r="AG6758">
        <v>-0.200533299999999</v>
      </c>
      <c r="AH6758">
        <v>0.41021498061648798</v>
      </c>
      <c r="AI6758">
        <v>115.752907696294</v>
      </c>
      <c r="AJ6758">
        <v>80.686655021323602</v>
      </c>
      <c r="AK6758">
        <v>0.46153617812400199</v>
      </c>
    </row>
    <row r="6759" spans="1:37" x14ac:dyDescent="0.2">
      <c r="A6759" t="str">
        <f>"20200111160352832"</f>
        <v>20200111160352832</v>
      </c>
      <c r="B6759" t="str">
        <f>"1578729832819958"</f>
        <v>1578729832819958</v>
      </c>
      <c r="C6759" t="s">
        <v>37</v>
      </c>
      <c r="D6759">
        <v>5.5636769999999904</v>
      </c>
      <c r="E6759">
        <v>0.55913930000000001</v>
      </c>
      <c r="F6759" t="s">
        <v>42</v>
      </c>
      <c r="G6759">
        <v>-150.48830000000001</v>
      </c>
      <c r="H6759">
        <v>0.90023059999999999</v>
      </c>
      <c r="I6759">
        <v>137.2227</v>
      </c>
      <c r="J6759">
        <v>-151.0359</v>
      </c>
      <c r="K6759">
        <v>1.104428</v>
      </c>
      <c r="L6759">
        <v>137.27979999999999</v>
      </c>
      <c r="M6759">
        <v>0.99868129999999999</v>
      </c>
      <c r="N6759">
        <v>0</v>
      </c>
      <c r="O6759">
        <v>4.8766770000000001E-2</v>
      </c>
      <c r="P6759">
        <v>0.99677490000000002</v>
      </c>
      <c r="Q6759">
        <v>-3.7996870000000002E-2</v>
      </c>
      <c r="R6759">
        <v>7.0684280000000002E-2</v>
      </c>
      <c r="S6759">
        <v>2.9926300000000001</v>
      </c>
      <c r="T6759">
        <v>-0.89222239999999997</v>
      </c>
      <c r="U6759">
        <v>-0.2267303</v>
      </c>
      <c r="V6759">
        <v>-2.2004510000000001E-2</v>
      </c>
      <c r="W6759">
        <v>-2.1939009999999998E-2</v>
      </c>
      <c r="X6759">
        <v>0.99951710000000005</v>
      </c>
      <c r="Y6759">
        <v>0.1169178</v>
      </c>
      <c r="Z6759">
        <v>-3.1249720000000002E-2</v>
      </c>
      <c r="AA6759">
        <v>0.99264989999999997</v>
      </c>
      <c r="AB6759">
        <v>11</v>
      </c>
      <c r="AC6759">
        <v>0.54759999999998799</v>
      </c>
      <c r="AD6759">
        <v>-0.204197399999999</v>
      </c>
      <c r="AE6759">
        <v>-5.7099999999991199E-2</v>
      </c>
      <c r="AF6759">
        <v>7.3614156793282995E-2</v>
      </c>
      <c r="AG6759">
        <v>-0.204197399999999</v>
      </c>
      <c r="AH6759">
        <v>0.47836215526970099</v>
      </c>
      <c r="AI6759">
        <v>112.87494934097499</v>
      </c>
      <c r="AJ6759">
        <v>81.251500091504496</v>
      </c>
      <c r="AK6759">
        <v>0.52530560042837904</v>
      </c>
    </row>
    <row r="6760" spans="1:37" x14ac:dyDescent="0.2">
      <c r="A6760" t="str">
        <f>"20200111160352858"</f>
        <v>20200111160352858</v>
      </c>
      <c r="B6760" t="str">
        <f>"1578729832850214"</f>
        <v>1578729832850214</v>
      </c>
      <c r="C6760" t="s">
        <v>37</v>
      </c>
      <c r="D6760">
        <v>5.5724799999999997</v>
      </c>
      <c r="E6760">
        <v>0.55921999999999905</v>
      </c>
      <c r="F6760" t="s">
        <v>42</v>
      </c>
      <c r="G6760">
        <v>-150.29640000000001</v>
      </c>
      <c r="H6760">
        <v>0.88321519999999998</v>
      </c>
      <c r="I6760">
        <v>137.22280000000001</v>
      </c>
      <c r="J6760">
        <v>-150.90260000000001</v>
      </c>
      <c r="K6760">
        <v>1.104522</v>
      </c>
      <c r="L6760">
        <v>137.28450000000001</v>
      </c>
      <c r="M6760">
        <v>0.99874779999999996</v>
      </c>
      <c r="N6760">
        <v>0</v>
      </c>
      <c r="O6760">
        <v>4.7316829999999997E-2</v>
      </c>
      <c r="P6760">
        <v>0.99679229999999996</v>
      </c>
      <c r="Q6760">
        <v>-3.8756970000000002E-2</v>
      </c>
      <c r="R6760">
        <v>7.0021299999999995E-2</v>
      </c>
      <c r="S6760">
        <v>2.9919279999999899</v>
      </c>
      <c r="T6760">
        <v>-0.89482159999999999</v>
      </c>
      <c r="U6760">
        <v>-0.23034669999999999</v>
      </c>
      <c r="V6760">
        <v>-2.2791570000000001E-2</v>
      </c>
      <c r="W6760">
        <v>-2.2501319999999998E-2</v>
      </c>
      <c r="X6760">
        <v>0.99948700000000001</v>
      </c>
      <c r="Y6760">
        <v>0.11671620000000001</v>
      </c>
      <c r="Z6760">
        <v>-3.088948E-2</v>
      </c>
      <c r="AA6760">
        <v>0.99268480000000003</v>
      </c>
      <c r="AB6760">
        <v>11</v>
      </c>
      <c r="AC6760">
        <v>0.60620000000000096</v>
      </c>
      <c r="AD6760">
        <v>-0.2213068</v>
      </c>
      <c r="AE6760">
        <v>-6.1700000000001802E-2</v>
      </c>
      <c r="AF6760">
        <v>7.9792585101900806E-2</v>
      </c>
      <c r="AG6760">
        <v>-0.2213068</v>
      </c>
      <c r="AH6760">
        <v>0.53237479433358903</v>
      </c>
      <c r="AI6760">
        <v>112.34783055889</v>
      </c>
      <c r="AJ6760">
        <v>81.475932295244604</v>
      </c>
      <c r="AK6760">
        <v>0.582036491987586</v>
      </c>
    </row>
    <row r="6761" spans="1:37" x14ac:dyDescent="0.2">
      <c r="A6761" t="str">
        <f>"20200111160352880"</f>
        <v>20200111160352880</v>
      </c>
      <c r="B6761" t="str">
        <f>"1578729832870710"</f>
        <v>1578729832870710</v>
      </c>
      <c r="C6761" t="s">
        <v>37</v>
      </c>
      <c r="D6761">
        <v>5.5959659999999998</v>
      </c>
      <c r="E6761">
        <v>0.55922159999999999</v>
      </c>
      <c r="F6761" t="s">
        <v>42</v>
      </c>
      <c r="G6761">
        <v>-150.1953</v>
      </c>
      <c r="H6761">
        <v>0.89173599999999997</v>
      </c>
      <c r="I6761">
        <v>137.22980000000001</v>
      </c>
      <c r="J6761">
        <v>-150.7978</v>
      </c>
      <c r="K6761">
        <v>1.104581</v>
      </c>
      <c r="L6761">
        <v>137.28809999999999</v>
      </c>
      <c r="M6761">
        <v>0.99879869999999904</v>
      </c>
      <c r="N6761">
        <v>0</v>
      </c>
      <c r="O6761">
        <v>4.6172169999999998E-2</v>
      </c>
      <c r="P6761">
        <v>0.99682209999999905</v>
      </c>
      <c r="Q6761">
        <v>-3.9339949999999999E-2</v>
      </c>
      <c r="R6761">
        <v>6.9267270000000006E-2</v>
      </c>
      <c r="S6761">
        <v>2.9909520000000001</v>
      </c>
      <c r="T6761">
        <v>-0.89978349999999996</v>
      </c>
      <c r="U6761">
        <v>-0.2317352</v>
      </c>
      <c r="V6761">
        <v>-2.3182149999999999E-2</v>
      </c>
      <c r="W6761">
        <v>-2.2919370000000001E-2</v>
      </c>
      <c r="X6761">
        <v>0.99946849999999998</v>
      </c>
      <c r="Y6761">
        <v>0.11605939999999999</v>
      </c>
      <c r="Z6761">
        <v>-3.0629779999999999E-2</v>
      </c>
      <c r="AA6761">
        <v>0.99276989999999998</v>
      </c>
      <c r="AB6761">
        <v>11</v>
      </c>
      <c r="AC6761">
        <v>0.60249999999999204</v>
      </c>
      <c r="AD6761">
        <v>-0.21284499999999901</v>
      </c>
      <c r="AE6761">
        <v>-5.8299999999974199E-2</v>
      </c>
      <c r="AF6761">
        <v>7.6590497322701803E-2</v>
      </c>
      <c r="AG6761">
        <v>-0.21284499999999901</v>
      </c>
      <c r="AH6761">
        <v>0.53323492787835303</v>
      </c>
      <c r="AI6761">
        <v>111.559135365708</v>
      </c>
      <c r="AJ6761">
        <v>81.826299694109693</v>
      </c>
      <c r="AK6761">
        <v>0.57923103043135704</v>
      </c>
    </row>
    <row r="6762" spans="1:37" x14ac:dyDescent="0.2">
      <c r="A6762" t="str">
        <f>"20200111160352905"</f>
        <v>20200111160352905</v>
      </c>
      <c r="B6762" t="str">
        <f>"1578729832899991"</f>
        <v>1578729832899991</v>
      </c>
      <c r="C6762" t="s">
        <v>37</v>
      </c>
      <c r="D6762">
        <v>5.5861890000000001</v>
      </c>
      <c r="E6762">
        <v>0.5590714</v>
      </c>
      <c r="F6762" t="s">
        <v>42</v>
      </c>
      <c r="G6762">
        <v>-150.09780000000001</v>
      </c>
      <c r="H6762">
        <v>0.89313880000000001</v>
      </c>
      <c r="I6762">
        <v>137.23349999999999</v>
      </c>
      <c r="J6762">
        <v>-150.6763</v>
      </c>
      <c r="K6762">
        <v>1.1046469999999999</v>
      </c>
      <c r="L6762">
        <v>137.2921</v>
      </c>
      <c r="M6762">
        <v>0.99885569999999901</v>
      </c>
      <c r="N6762">
        <v>0</v>
      </c>
      <c r="O6762">
        <v>4.4847499999999998E-2</v>
      </c>
      <c r="P6762">
        <v>0.99692259999999999</v>
      </c>
      <c r="Q6762">
        <v>-3.939177E-2</v>
      </c>
      <c r="R6762">
        <v>6.7779539999999999E-2</v>
      </c>
      <c r="S6762">
        <v>2.9901119999999999</v>
      </c>
      <c r="T6762">
        <v>-0.90314459999999996</v>
      </c>
      <c r="U6762">
        <v>-0.2328491</v>
      </c>
      <c r="V6762">
        <v>-2.301543E-2</v>
      </c>
      <c r="W6762">
        <v>-2.2763350000000002E-2</v>
      </c>
      <c r="X6762">
        <v>0.99947589999999997</v>
      </c>
      <c r="Y6762">
        <v>0.1151746</v>
      </c>
      <c r="Z6762">
        <v>-3.0225809999999999E-2</v>
      </c>
      <c r="AA6762">
        <v>0.99288529999999997</v>
      </c>
      <c r="AB6762">
        <v>11</v>
      </c>
      <c r="AC6762">
        <v>0.57849999999999102</v>
      </c>
      <c r="AD6762">
        <v>-0.21150819999999901</v>
      </c>
      <c r="AE6762">
        <v>-5.86000000000126E-2</v>
      </c>
      <c r="AF6762">
        <v>7.4615957798669905E-2</v>
      </c>
      <c r="AG6762">
        <v>-0.21150819999999901</v>
      </c>
      <c r="AH6762">
        <v>0.508064074729773</v>
      </c>
      <c r="AI6762">
        <v>112.38597829003101</v>
      </c>
      <c r="AJ6762">
        <v>81.645080688190205</v>
      </c>
      <c r="AK6762">
        <v>0.55536687320767797</v>
      </c>
    </row>
    <row r="6763" spans="1:37" x14ac:dyDescent="0.2">
      <c r="A6763" t="str">
        <f>"20200111160352939"</f>
        <v>20200111160352939</v>
      </c>
      <c r="B6763" t="str">
        <f>"1578729832930245"</f>
        <v>1578729832930245</v>
      </c>
      <c r="C6763" t="s">
        <v>37</v>
      </c>
      <c r="D6763">
        <v>5.4266750000000004</v>
      </c>
      <c r="E6763">
        <v>0.54500630000000005</v>
      </c>
      <c r="F6763" t="s">
        <v>42</v>
      </c>
      <c r="G6763">
        <v>-149.9991</v>
      </c>
      <c r="H6763">
        <v>0.89998400000000001</v>
      </c>
      <c r="I6763">
        <v>137.23859999999999</v>
      </c>
      <c r="J6763">
        <v>-150.5198</v>
      </c>
      <c r="K6763">
        <v>1.104768</v>
      </c>
      <c r="L6763">
        <v>137.297</v>
      </c>
      <c r="M6763">
        <v>0.99892459999999905</v>
      </c>
      <c r="N6763">
        <v>0</v>
      </c>
      <c r="O6763">
        <v>4.3142750000000001E-2</v>
      </c>
      <c r="P6763">
        <v>0.99726239999999999</v>
      </c>
      <c r="Q6763">
        <v>-3.6843859999999999E-2</v>
      </c>
      <c r="R6763">
        <v>6.4112409999999995E-2</v>
      </c>
      <c r="S6763">
        <v>2.9896090000000002</v>
      </c>
      <c r="T6763">
        <v>-0.90348289999999998</v>
      </c>
      <c r="U6763">
        <v>-0.23574829999999899</v>
      </c>
      <c r="V6763">
        <v>-2.1037899999999998E-2</v>
      </c>
      <c r="W6763">
        <v>-1.9855339999999999E-2</v>
      </c>
      <c r="X6763">
        <v>0.99958150000000001</v>
      </c>
      <c r="Y6763">
        <v>0.114547699999999</v>
      </c>
      <c r="Z6763">
        <v>-2.9644750000000001E-2</v>
      </c>
      <c r="AA6763">
        <v>0.99297539999999995</v>
      </c>
      <c r="AB6763">
        <v>11</v>
      </c>
      <c r="AC6763">
        <v>0.52070000000000405</v>
      </c>
      <c r="AD6763">
        <v>-0.20478399999999999</v>
      </c>
      <c r="AE6763">
        <v>-5.8400000000006003E-2</v>
      </c>
      <c r="AF6763">
        <v>7.0104630985626498E-2</v>
      </c>
      <c r="AG6763">
        <v>-0.20478399999999999</v>
      </c>
      <c r="AH6763">
        <v>0.44909484956439599</v>
      </c>
      <c r="AI6763">
        <v>114.253302719538</v>
      </c>
      <c r="AJ6763">
        <v>81.127615384572593</v>
      </c>
      <c r="AK6763">
        <v>0.49853518416145698</v>
      </c>
    </row>
    <row r="6764" spans="1:37" x14ac:dyDescent="0.2">
      <c r="A6764" t="str">
        <f>"20200111160352966"</f>
        <v>20200111160352966</v>
      </c>
      <c r="B6764" t="str">
        <f>"1578729832960502"</f>
        <v>1578729832960502</v>
      </c>
      <c r="C6764" t="s">
        <v>37</v>
      </c>
      <c r="D6764">
        <v>5.45723</v>
      </c>
      <c r="E6764">
        <v>0.50270409999999999</v>
      </c>
      <c r="F6764" t="s">
        <v>42</v>
      </c>
      <c r="G6764">
        <v>-149.8032</v>
      </c>
      <c r="H6764">
        <v>0.91796420000000001</v>
      </c>
      <c r="I6764">
        <v>137.26349999999999</v>
      </c>
      <c r="J6764">
        <v>-150.39019999999999</v>
      </c>
      <c r="K6764">
        <v>1.104849</v>
      </c>
      <c r="L6764">
        <v>137.30090000000001</v>
      </c>
      <c r="M6764">
        <v>0.99897860000000005</v>
      </c>
      <c r="N6764">
        <v>0</v>
      </c>
      <c r="O6764">
        <v>4.1724209999999998E-2</v>
      </c>
      <c r="P6764">
        <v>0.99741179999999996</v>
      </c>
      <c r="Q6764">
        <v>-3.5543680000000001E-2</v>
      </c>
      <c r="R6764">
        <v>6.2502580000000002E-2</v>
      </c>
      <c r="S6764">
        <v>2.9884339999999998</v>
      </c>
      <c r="T6764">
        <v>-0.77895499999999995</v>
      </c>
      <c r="U6764">
        <v>-0.1395721</v>
      </c>
      <c r="V6764">
        <v>-2.0840279999999999E-2</v>
      </c>
      <c r="W6764">
        <v>-1.8185989999999999E-2</v>
      </c>
      <c r="X6764">
        <v>0.99961739999999999</v>
      </c>
      <c r="Y6764">
        <v>8.4100839999999996E-2</v>
      </c>
      <c r="Z6764">
        <v>-2.1468259999999999E-2</v>
      </c>
      <c r="AA6764">
        <v>0.99622599999999994</v>
      </c>
      <c r="AB6764">
        <v>11</v>
      </c>
      <c r="AC6764">
        <v>0.58699999999998898</v>
      </c>
      <c r="AD6764">
        <v>-0.18688479999999999</v>
      </c>
      <c r="AE6764">
        <v>-3.7400000000019397E-2</v>
      </c>
      <c r="AF6764">
        <v>5.6190688796026497E-2</v>
      </c>
      <c r="AG6764">
        <v>-0.18688479999999999</v>
      </c>
      <c r="AH6764">
        <v>0.53129315991092296</v>
      </c>
      <c r="AI6764">
        <v>109.280022287034</v>
      </c>
      <c r="AJ6764">
        <v>83.962720616518695</v>
      </c>
      <c r="AK6764">
        <v>0.56599977362764498</v>
      </c>
    </row>
    <row r="6765" spans="1:37" x14ac:dyDescent="0.2">
      <c r="A6765" t="str">
        <f>"20200111160352992"</f>
        <v>20200111160352992</v>
      </c>
      <c r="B6765" t="str">
        <f>"1578729832979816"</f>
        <v>1578729832979816</v>
      </c>
      <c r="C6765" t="s">
        <v>37</v>
      </c>
      <c r="D6765">
        <v>5.5312150000000004</v>
      </c>
      <c r="E6765">
        <v>0.4981585</v>
      </c>
      <c r="F6765" t="s">
        <v>42</v>
      </c>
      <c r="G6765">
        <v>-149.67490000000001</v>
      </c>
      <c r="H6765">
        <v>0.9946296</v>
      </c>
      <c r="I6765">
        <v>137.34399999999999</v>
      </c>
      <c r="J6765">
        <v>-150.27520000000001</v>
      </c>
      <c r="K6765">
        <v>1.1049059999999999</v>
      </c>
      <c r="L6765">
        <v>137.30420000000001</v>
      </c>
      <c r="M6765">
        <v>0.99902429999999998</v>
      </c>
      <c r="N6765">
        <v>0</v>
      </c>
      <c r="O6765">
        <v>4.0461240000000002E-2</v>
      </c>
      <c r="P6765">
        <v>0.99745319999999904</v>
      </c>
      <c r="Q6765">
        <v>-3.5165519999999999E-2</v>
      </c>
      <c r="R6765">
        <v>6.205389E-2</v>
      </c>
      <c r="S6765">
        <v>2.9801639999999998</v>
      </c>
      <c r="T6765">
        <v>-0.45912740000000002</v>
      </c>
      <c r="U6765">
        <v>0.1800842</v>
      </c>
      <c r="V6765">
        <v>-2.165183E-2</v>
      </c>
      <c r="W6765">
        <v>-1.7458459999999999E-2</v>
      </c>
      <c r="X6765">
        <v>0.99961309999999903</v>
      </c>
      <c r="Y6765">
        <v>-2.0113220000000001E-2</v>
      </c>
      <c r="Z6765">
        <v>-4.6503489999999998E-3</v>
      </c>
      <c r="AA6765">
        <v>0.99978690000000003</v>
      </c>
      <c r="AB6765">
        <v>10</v>
      </c>
      <c r="AC6765">
        <v>0.60030000000000405</v>
      </c>
      <c r="AD6765">
        <v>-0.110276399999999</v>
      </c>
      <c r="AE6765">
        <v>3.9799999999985403E-2</v>
      </c>
      <c r="AF6765">
        <v>-1.4971679066621699E-2</v>
      </c>
      <c r="AG6765">
        <v>-0.110276399999999</v>
      </c>
      <c r="AH6765">
        <v>0.58186878857470703</v>
      </c>
      <c r="AI6765">
        <v>100.728012419073</v>
      </c>
      <c r="AJ6765">
        <v>91.473914410672705</v>
      </c>
      <c r="AK6765">
        <v>0.59241566715308103</v>
      </c>
    </row>
    <row r="6766" spans="1:37" x14ac:dyDescent="0.2">
      <c r="A6766" t="str">
        <f>"20200111160353016"</f>
        <v>20200111160353016</v>
      </c>
      <c r="B6766" t="str">
        <f>"1578729833010074"</f>
        <v>1578729833010074</v>
      </c>
      <c r="C6766" t="s">
        <v>37</v>
      </c>
      <c r="D6766">
        <v>5.5227519999999997</v>
      </c>
      <c r="E6766">
        <v>0.49560009999999999</v>
      </c>
      <c r="F6766" t="s">
        <v>42</v>
      </c>
      <c r="G6766">
        <v>-149.49680000000001</v>
      </c>
      <c r="H6766">
        <v>0.98876319999999995</v>
      </c>
      <c r="I6766">
        <v>137.36000000000001</v>
      </c>
      <c r="J6766">
        <v>-150.1635</v>
      </c>
      <c r="K6766">
        <v>1.104948</v>
      </c>
      <c r="L6766">
        <v>137.30719999999999</v>
      </c>
      <c r="M6766">
        <v>0.99906719999999904</v>
      </c>
      <c r="N6766">
        <v>0</v>
      </c>
      <c r="O6766">
        <v>3.923513E-2</v>
      </c>
      <c r="P6766">
        <v>0.99741729999999995</v>
      </c>
      <c r="Q6766">
        <v>-3.4896860000000002E-2</v>
      </c>
      <c r="R6766">
        <v>6.2778920000000002E-2</v>
      </c>
      <c r="S6766">
        <v>2.9786679999999999</v>
      </c>
      <c r="T6766">
        <v>-0.44435439999999998</v>
      </c>
      <c r="U6766">
        <v>0.21418760000000001</v>
      </c>
      <c r="V6766">
        <v>-2.360249E-2</v>
      </c>
      <c r="W6766">
        <v>-1.685159E-2</v>
      </c>
      <c r="X6766">
        <v>0.99957940000000001</v>
      </c>
      <c r="Y6766">
        <v>-3.2599200000000002E-2</v>
      </c>
      <c r="Z6766">
        <v>-3.396137E-3</v>
      </c>
      <c r="AA6766">
        <v>0.99946270000000004</v>
      </c>
      <c r="AB6766">
        <v>10</v>
      </c>
      <c r="AC6766">
        <v>0.66669999999999097</v>
      </c>
      <c r="AD6766">
        <v>-0.1161848</v>
      </c>
      <c r="AE6766">
        <v>5.2800000000018998E-2</v>
      </c>
      <c r="AF6766">
        <v>-2.5817826263248599E-2</v>
      </c>
      <c r="AG6766">
        <v>-0.1161848</v>
      </c>
      <c r="AH6766">
        <v>0.648681094962405</v>
      </c>
      <c r="AI6766">
        <v>100.146666576136</v>
      </c>
      <c r="AJ6766">
        <v>92.279197204593302</v>
      </c>
      <c r="AK6766">
        <v>0.65950938648788304</v>
      </c>
    </row>
    <row r="6767" spans="1:37" x14ac:dyDescent="0.2">
      <c r="A6767" t="str">
        <f>"20200111160353036"</f>
        <v>20200111160353036</v>
      </c>
      <c r="B6767" t="str">
        <f>"1578729833030567"</f>
        <v>1578729833030567</v>
      </c>
      <c r="C6767" t="s">
        <v>37</v>
      </c>
      <c r="D6767">
        <v>5.5456529999999997</v>
      </c>
      <c r="E6767">
        <v>0.49481190000000003</v>
      </c>
      <c r="F6767" t="s">
        <v>42</v>
      </c>
      <c r="G6767">
        <v>-149.40559999999999</v>
      </c>
      <c r="H6767">
        <v>0.99445699999999904</v>
      </c>
      <c r="I6767">
        <v>137.3672</v>
      </c>
      <c r="J6767">
        <v>-150.07550000000001</v>
      </c>
      <c r="K6767">
        <v>1.1049739999999999</v>
      </c>
      <c r="L6767">
        <v>137.30950000000001</v>
      </c>
      <c r="M6767">
        <v>0.99909969999999904</v>
      </c>
      <c r="N6767">
        <v>0</v>
      </c>
      <c r="O6767">
        <v>3.827303E-2</v>
      </c>
      <c r="P6767">
        <v>0.99734129999999999</v>
      </c>
      <c r="Q6767">
        <v>-3.5755729999999999E-2</v>
      </c>
      <c r="R6767">
        <v>6.3498529999999997E-2</v>
      </c>
      <c r="S6767">
        <v>2.977722</v>
      </c>
      <c r="T6767">
        <v>-0.43412429999999902</v>
      </c>
      <c r="U6767">
        <v>0.2359619</v>
      </c>
      <c r="V6767">
        <v>-2.5286630000000001E-2</v>
      </c>
      <c r="W6767">
        <v>-1.74483E-2</v>
      </c>
      <c r="X6767">
        <v>0.99952790000000002</v>
      </c>
      <c r="Y6767">
        <v>-4.0751000000000002E-2</v>
      </c>
      <c r="Z6767">
        <v>-2.5893959999999999E-3</v>
      </c>
      <c r="AA6767">
        <v>0.999166</v>
      </c>
      <c r="AB6767">
        <v>10</v>
      </c>
      <c r="AC6767">
        <v>0.66990000000001204</v>
      </c>
      <c r="AD6767">
        <v>-0.110516999999999</v>
      </c>
      <c r="AE6767">
        <v>5.7699999999982703E-2</v>
      </c>
      <c r="AF6767">
        <v>-3.1172151492649701E-2</v>
      </c>
      <c r="AG6767">
        <v>-0.110516999999999</v>
      </c>
      <c r="AH6767">
        <v>0.653950324161095</v>
      </c>
      <c r="AI6767">
        <v>99.581620775485106</v>
      </c>
      <c r="AJ6767">
        <v>92.729078587172594</v>
      </c>
      <c r="AK6767">
        <v>0.66395537258770698</v>
      </c>
    </row>
    <row r="6768" spans="1:37" x14ac:dyDescent="0.2">
      <c r="A6768" t="str">
        <f>"20200111160353073"</f>
        <v>20200111160353073</v>
      </c>
      <c r="B6768" t="str">
        <f>"1578729833070583"</f>
        <v>1578729833070583</v>
      </c>
      <c r="C6768" t="s">
        <v>37</v>
      </c>
      <c r="D6768">
        <v>5.556057</v>
      </c>
      <c r="E6768">
        <v>0.49357209999999901</v>
      </c>
      <c r="F6768" t="s">
        <v>42</v>
      </c>
      <c r="G6768">
        <v>-149.3177</v>
      </c>
      <c r="H6768">
        <v>0.99594640000000001</v>
      </c>
      <c r="I6768">
        <v>137.3715</v>
      </c>
      <c r="J6768">
        <v>-149.9222</v>
      </c>
      <c r="K6768">
        <v>1.105016</v>
      </c>
      <c r="L6768">
        <v>137.3133</v>
      </c>
      <c r="M6768">
        <v>0.99915419999999999</v>
      </c>
      <c r="N6768">
        <v>0</v>
      </c>
      <c r="O6768">
        <v>3.659594E-2</v>
      </c>
      <c r="P6768">
        <v>0.99731119999999995</v>
      </c>
      <c r="Q6768">
        <v>-3.7923610000000003E-2</v>
      </c>
      <c r="R6768">
        <v>6.2711100000000006E-2</v>
      </c>
      <c r="S6768">
        <v>2.9770970000000001</v>
      </c>
      <c r="T6768">
        <v>-0.4282627</v>
      </c>
      <c r="U6768">
        <v>0.24414059999999899</v>
      </c>
      <c r="V6768">
        <v>-2.617802E-2</v>
      </c>
      <c r="W6768">
        <v>-1.9161890000000001E-2</v>
      </c>
      <c r="X6768">
        <v>0.99947359999999896</v>
      </c>
      <c r="Y6768">
        <v>-4.511018E-2</v>
      </c>
      <c r="Z6768">
        <v>-2.0042440000000001E-3</v>
      </c>
      <c r="AA6768">
        <v>0.99897999999999998</v>
      </c>
      <c r="AB6768">
        <v>10</v>
      </c>
      <c r="AC6768">
        <v>0.60450000000000104</v>
      </c>
      <c r="AD6768">
        <v>-0.1090696</v>
      </c>
      <c r="AE6768">
        <v>5.8199999999999301E-2</v>
      </c>
      <c r="AF6768">
        <v>-3.4908851926165101E-2</v>
      </c>
      <c r="AG6768">
        <v>-0.1090696</v>
      </c>
      <c r="AH6768">
        <v>0.58728194381471299</v>
      </c>
      <c r="AI6768">
        <v>100.502937873915</v>
      </c>
      <c r="AJ6768">
        <v>93.401737808656506</v>
      </c>
      <c r="AK6768">
        <v>0.59834345247336895</v>
      </c>
    </row>
    <row r="6769" spans="1:37" x14ac:dyDescent="0.2">
      <c r="A6769" t="str">
        <f>"20200111160353101"</f>
        <v>20200111160353101</v>
      </c>
      <c r="B6769" t="str">
        <f>"1578729833089769"</f>
        <v>1578729833089769</v>
      </c>
      <c r="C6769" t="s">
        <v>37</v>
      </c>
      <c r="D6769">
        <v>5.575107</v>
      </c>
      <c r="E6769">
        <v>0.49308789999999902</v>
      </c>
      <c r="F6769" t="s">
        <v>42</v>
      </c>
      <c r="G6769">
        <v>-149.15039999999999</v>
      </c>
      <c r="H6769">
        <v>0.99031959999999997</v>
      </c>
      <c r="I6769">
        <v>137.3785</v>
      </c>
      <c r="J6769">
        <v>-149.80090000000001</v>
      </c>
      <c r="K6769">
        <v>1.1050709999999999</v>
      </c>
      <c r="L6769">
        <v>137.31610000000001</v>
      </c>
      <c r="M6769">
        <v>0.99919469999999999</v>
      </c>
      <c r="N6769">
        <v>0</v>
      </c>
      <c r="O6769">
        <v>3.5267599999999899E-2</v>
      </c>
      <c r="P6769">
        <v>0.99736880000000006</v>
      </c>
      <c r="Q6769">
        <v>-3.9165150000000003E-2</v>
      </c>
      <c r="R6769">
        <v>6.1008140000000002E-2</v>
      </c>
      <c r="S6769">
        <v>2.9754640000000001</v>
      </c>
      <c r="T6769">
        <v>-0.44210640000000001</v>
      </c>
      <c r="U6769">
        <v>0.25167849999999897</v>
      </c>
      <c r="V6769">
        <v>-2.5801069999999999E-2</v>
      </c>
      <c r="W6769">
        <v>-2.002545E-2</v>
      </c>
      <c r="X6769">
        <v>0.99946650000000004</v>
      </c>
      <c r="Y6769">
        <v>-4.8933749999999998E-2</v>
      </c>
      <c r="Z6769">
        <v>-1.591468E-3</v>
      </c>
      <c r="AA6769">
        <v>0.99880079999999904</v>
      </c>
      <c r="AB6769">
        <v>10</v>
      </c>
      <c r="AC6769">
        <v>0.65050000000002195</v>
      </c>
      <c r="AD6769">
        <v>-0.114751399999999</v>
      </c>
      <c r="AE6769">
        <v>6.2399999999996597E-2</v>
      </c>
      <c r="AF6769">
        <v>-3.8236375079949501E-2</v>
      </c>
      <c r="AG6769">
        <v>-0.114751399999999</v>
      </c>
      <c r="AH6769">
        <v>0.63278440003594105</v>
      </c>
      <c r="AI6769">
        <v>100.26020711269101</v>
      </c>
      <c r="AJ6769">
        <v>93.457927178046106</v>
      </c>
      <c r="AK6769">
        <v>0.64424063913266205</v>
      </c>
    </row>
    <row r="6770" spans="1:37" x14ac:dyDescent="0.2">
      <c r="A6770" t="str">
        <f>"20200111160353125"</f>
        <v>20200111160353125</v>
      </c>
      <c r="B6770" t="str">
        <f>"1578729833120024"</f>
        <v>1578729833120024</v>
      </c>
      <c r="C6770" t="s">
        <v>37</v>
      </c>
      <c r="D6770">
        <v>5.6065949999999898</v>
      </c>
      <c r="E6770">
        <v>0.4926276</v>
      </c>
      <c r="F6770" t="s">
        <v>42</v>
      </c>
      <c r="G6770">
        <v>-149.06569999999999</v>
      </c>
      <c r="H6770">
        <v>0.99410200000000004</v>
      </c>
      <c r="I6770">
        <v>137.37790000000001</v>
      </c>
      <c r="J6770">
        <v>-149.7038</v>
      </c>
      <c r="K6770">
        <v>1.105119</v>
      </c>
      <c r="L6770">
        <v>137.31819999999999</v>
      </c>
      <c r="M6770">
        <v>0.99922569999999999</v>
      </c>
      <c r="N6770">
        <v>0</v>
      </c>
      <c r="O6770">
        <v>3.4201759999999998E-2</v>
      </c>
      <c r="P6770">
        <v>0.9974809</v>
      </c>
      <c r="Q6770">
        <v>-3.940925E-2</v>
      </c>
      <c r="R6770">
        <v>5.8982989999999999E-2</v>
      </c>
      <c r="S6770">
        <v>2.9749759999999998</v>
      </c>
      <c r="T6770">
        <v>-0.4490287</v>
      </c>
      <c r="U6770">
        <v>0.25019839999999999</v>
      </c>
      <c r="V6770">
        <v>-2.48384E-2</v>
      </c>
      <c r="W6770">
        <v>-1.995158E-2</v>
      </c>
      <c r="X6770">
        <v>0.9994923</v>
      </c>
      <c r="Y6770">
        <v>-4.9496249999999999E-2</v>
      </c>
      <c r="Z6770">
        <v>-1.41478E-3</v>
      </c>
      <c r="AA6770">
        <v>0.99877329999999998</v>
      </c>
      <c r="AB6770">
        <v>9</v>
      </c>
      <c r="AC6770">
        <v>0.63810000000000799</v>
      </c>
      <c r="AD6770">
        <v>-0.11101699999999901</v>
      </c>
      <c r="AE6770">
        <v>5.9700000000020702E-2</v>
      </c>
      <c r="AF6770">
        <v>-3.6734510518826001E-2</v>
      </c>
      <c r="AG6770">
        <v>-0.11101699999999901</v>
      </c>
      <c r="AH6770">
        <v>0.621130758017026</v>
      </c>
      <c r="AI6770">
        <v>100.116371143406</v>
      </c>
      <c r="AJ6770">
        <v>93.384607215436603</v>
      </c>
      <c r="AK6770">
        <v>0.63204241717377097</v>
      </c>
    </row>
    <row r="6771" spans="1:37" x14ac:dyDescent="0.2">
      <c r="A6771" t="str">
        <f>"20200111160353148"</f>
        <v>20200111160353148</v>
      </c>
      <c r="B6771" t="str">
        <f>"1578729833140520"</f>
        <v>1578729833140520</v>
      </c>
      <c r="C6771" t="s">
        <v>37</v>
      </c>
      <c r="D6771">
        <v>5.5578139999999996</v>
      </c>
      <c r="E6771">
        <v>0.49239379999999999</v>
      </c>
      <c r="F6771" t="s">
        <v>42</v>
      </c>
      <c r="G6771">
        <v>-148.9836</v>
      </c>
      <c r="H6771">
        <v>0.99579680000000004</v>
      </c>
      <c r="I6771">
        <v>137.37809999999999</v>
      </c>
      <c r="J6771">
        <v>-149.61160000000001</v>
      </c>
      <c r="K6771">
        <v>1.1051789999999999</v>
      </c>
      <c r="L6771">
        <v>137.3202</v>
      </c>
      <c r="M6771">
        <v>0.99925330000000001</v>
      </c>
      <c r="N6771">
        <v>0</v>
      </c>
      <c r="O6771">
        <v>3.3191289999999998E-2</v>
      </c>
      <c r="P6771">
        <v>0.99762619999999902</v>
      </c>
      <c r="Q6771">
        <v>-3.8743E-2</v>
      </c>
      <c r="R6771">
        <v>5.6932179999999999E-2</v>
      </c>
      <c r="S6771">
        <v>2.975082</v>
      </c>
      <c r="T6771">
        <v>-0.45162449999999998</v>
      </c>
      <c r="U6771">
        <v>0.24775700000000001</v>
      </c>
      <c r="V6771">
        <v>-2.379272E-2</v>
      </c>
      <c r="W6771">
        <v>-1.8960950000000001E-2</v>
      </c>
      <c r="X6771">
        <v>0.99953709999999996</v>
      </c>
      <c r="Y6771">
        <v>-4.9673620000000002E-2</v>
      </c>
      <c r="Z6771">
        <v>-1.257434E-3</v>
      </c>
      <c r="AA6771">
        <v>0.99876469999999995</v>
      </c>
      <c r="AB6771">
        <v>9</v>
      </c>
      <c r="AC6771">
        <v>0.62800000000001399</v>
      </c>
      <c r="AD6771">
        <v>-0.1093822</v>
      </c>
      <c r="AE6771">
        <v>5.7899999999989397E-2</v>
      </c>
      <c r="AF6771">
        <v>-3.59387885297393E-2</v>
      </c>
      <c r="AG6771">
        <v>-0.1093822</v>
      </c>
      <c r="AH6771">
        <v>0.61119053578219495</v>
      </c>
      <c r="AI6771">
        <v>100.129434035046</v>
      </c>
      <c r="AJ6771">
        <v>93.365190512647303</v>
      </c>
      <c r="AK6771">
        <v>0.62194045794396802</v>
      </c>
    </row>
    <row r="6772" spans="1:37" x14ac:dyDescent="0.2">
      <c r="A6772" t="str">
        <f>"20200111160353170"</f>
        <v>20200111160353170</v>
      </c>
      <c r="B6772" t="str">
        <f>"1578729833160040"</f>
        <v>1578729833160040</v>
      </c>
      <c r="C6772" t="s">
        <v>37</v>
      </c>
      <c r="D6772">
        <v>5.5838650000000003</v>
      </c>
      <c r="E6772">
        <v>0.4923517</v>
      </c>
      <c r="F6772" t="s">
        <v>42</v>
      </c>
      <c r="G6772">
        <v>-148.90299999999999</v>
      </c>
      <c r="H6772">
        <v>0.99776419999999999</v>
      </c>
      <c r="I6772">
        <v>137.37809999999999</v>
      </c>
      <c r="J6772">
        <v>-149.52420000000001</v>
      </c>
      <c r="K6772">
        <v>1.105246</v>
      </c>
      <c r="L6772">
        <v>137.3219</v>
      </c>
      <c r="M6772">
        <v>0.99927770000000005</v>
      </c>
      <c r="N6772">
        <v>0</v>
      </c>
      <c r="O6772">
        <v>3.2233360000000003E-2</v>
      </c>
      <c r="P6772">
        <v>0.99780100000000005</v>
      </c>
      <c r="Q6772">
        <v>-3.7036590000000001E-2</v>
      </c>
      <c r="R6772">
        <v>5.4968860000000001E-2</v>
      </c>
      <c r="S6772">
        <v>2.975708</v>
      </c>
      <c r="T6772">
        <v>-0.45102920000000002</v>
      </c>
      <c r="U6772">
        <v>0.2437744</v>
      </c>
      <c r="V6772">
        <v>-2.278026E-2</v>
      </c>
      <c r="W6772">
        <v>-1.690819E-2</v>
      </c>
      <c r="X6772">
        <v>0.99959750000000003</v>
      </c>
      <c r="Y6772">
        <v>-4.9279980000000001E-2</v>
      </c>
      <c r="Z6772">
        <v>-1.1412729999999999E-3</v>
      </c>
      <c r="AA6772">
        <v>0.99878440000000002</v>
      </c>
      <c r="AB6772">
        <v>9</v>
      </c>
      <c r="AC6772">
        <v>0.62120000000001596</v>
      </c>
      <c r="AD6772">
        <v>-0.107481799999999</v>
      </c>
      <c r="AE6772">
        <v>5.61999999999898E-2</v>
      </c>
      <c r="AF6772">
        <v>-3.5101078023405598E-2</v>
      </c>
      <c r="AG6772">
        <v>-0.107481799999999</v>
      </c>
      <c r="AH6772">
        <v>0.60473211980691799</v>
      </c>
      <c r="AI6772">
        <v>100.06160969777901</v>
      </c>
      <c r="AJ6772">
        <v>93.321949553863803</v>
      </c>
      <c r="AK6772">
        <v>0.61521163816674795</v>
      </c>
    </row>
    <row r="6773" spans="1:37" x14ac:dyDescent="0.2">
      <c r="A6773" t="str">
        <f>"20200111160353195"</f>
        <v>20200111160353195</v>
      </c>
      <c r="B6773" t="str">
        <f>"1578729833190296"</f>
        <v>1578729833190296</v>
      </c>
      <c r="C6773" t="s">
        <v>37</v>
      </c>
      <c r="D6773">
        <v>5.6197400000000002</v>
      </c>
      <c r="E6773">
        <v>0.49174509999999999</v>
      </c>
      <c r="F6773" t="s">
        <v>42</v>
      </c>
      <c r="G6773">
        <v>-148.75280000000001</v>
      </c>
      <c r="H6773">
        <v>0.98995940000000004</v>
      </c>
      <c r="I6773">
        <v>137.3836</v>
      </c>
      <c r="J6773">
        <v>-149.4333</v>
      </c>
      <c r="K6773">
        <v>1.1053170000000001</v>
      </c>
      <c r="L6773">
        <v>137.3236</v>
      </c>
      <c r="M6773">
        <v>0.99930169999999996</v>
      </c>
      <c r="N6773">
        <v>0</v>
      </c>
      <c r="O6773">
        <v>3.123592E-2</v>
      </c>
      <c r="P6773">
        <v>0.99798690000000001</v>
      </c>
      <c r="Q6773">
        <v>-3.4975920000000001E-2</v>
      </c>
      <c r="R6773">
        <v>5.290893E-2</v>
      </c>
      <c r="S6773">
        <v>2.9769739999999998</v>
      </c>
      <c r="T6773">
        <v>-0.44491890000000001</v>
      </c>
      <c r="U6773">
        <v>0.23834229999999901</v>
      </c>
      <c r="V6773">
        <v>-2.1711009999999999E-2</v>
      </c>
      <c r="W6773">
        <v>-1.446659E-2</v>
      </c>
      <c r="X6773">
        <v>0.99965959999999998</v>
      </c>
      <c r="Y6773">
        <v>-4.843505E-2</v>
      </c>
      <c r="Z6773">
        <v>-1.040458E-3</v>
      </c>
      <c r="AA6773">
        <v>0.99882579999999999</v>
      </c>
      <c r="AB6773">
        <v>9</v>
      </c>
      <c r="AC6773">
        <v>0.680499999999994</v>
      </c>
      <c r="AD6773">
        <v>-0.1153576</v>
      </c>
      <c r="AE6773">
        <v>6.0000000000002197E-2</v>
      </c>
      <c r="AF6773">
        <v>-3.7636979214486298E-2</v>
      </c>
      <c r="AG6773">
        <v>-0.1153576</v>
      </c>
      <c r="AH6773">
        <v>0.66313312768213295</v>
      </c>
      <c r="AI6773">
        <v>99.8527861952102</v>
      </c>
      <c r="AJ6773">
        <v>93.248411127140798</v>
      </c>
      <c r="AK6773">
        <v>0.67414350335194895</v>
      </c>
    </row>
    <row r="6774" spans="1:37" x14ac:dyDescent="0.2">
      <c r="A6774" t="str">
        <f>"20200111160353215"</f>
        <v>20200111160353215</v>
      </c>
      <c r="B6774" t="str">
        <f>"1578729833209816"</f>
        <v>1578729833209816</v>
      </c>
      <c r="C6774" t="s">
        <v>37</v>
      </c>
      <c r="D6774">
        <v>5.6061509999999997</v>
      </c>
      <c r="E6774">
        <v>0.49179020000000001</v>
      </c>
      <c r="F6774" t="s">
        <v>42</v>
      </c>
      <c r="G6774">
        <v>-148.67679999999999</v>
      </c>
      <c r="H6774">
        <v>0.99346440000000003</v>
      </c>
      <c r="I6774">
        <v>137.38380000000001</v>
      </c>
      <c r="J6774">
        <v>-149.35640000000001</v>
      </c>
      <c r="K6774">
        <v>1.1053539999999999</v>
      </c>
      <c r="L6774">
        <v>137.32499999999999</v>
      </c>
      <c r="M6774">
        <v>0.99932129999999997</v>
      </c>
      <c r="N6774">
        <v>0</v>
      </c>
      <c r="O6774">
        <v>3.0390480000000001E-2</v>
      </c>
      <c r="P6774">
        <v>0.99812829999999997</v>
      </c>
      <c r="Q6774">
        <v>-3.4047800000000003E-2</v>
      </c>
      <c r="R6774">
        <v>5.0804059999999998E-2</v>
      </c>
      <c r="S6774">
        <v>2.978027</v>
      </c>
      <c r="T6774">
        <v>-0.440266299999999</v>
      </c>
      <c r="U6774">
        <v>0.23721309999999901</v>
      </c>
      <c r="V6774">
        <v>-2.044673E-2</v>
      </c>
      <c r="W6774">
        <v>-1.322446E-2</v>
      </c>
      <c r="X6774">
        <v>0.99970349999999997</v>
      </c>
      <c r="Y6774">
        <v>-4.8865739999999998E-2</v>
      </c>
      <c r="Z6774">
        <v>-8.7374800000000004E-4</v>
      </c>
      <c r="AA6774">
        <v>0.99880499999999905</v>
      </c>
      <c r="AB6774">
        <v>8</v>
      </c>
      <c r="AC6774">
        <v>0.67960000000002097</v>
      </c>
      <c r="AD6774">
        <v>-0.11188960000000001</v>
      </c>
      <c r="AE6774">
        <v>5.8800000000019198E-2</v>
      </c>
      <c r="AF6774">
        <v>-3.7116364449641302E-2</v>
      </c>
      <c r="AG6774">
        <v>-0.11188960000000001</v>
      </c>
      <c r="AH6774">
        <v>0.66322909835492605</v>
      </c>
      <c r="AI6774">
        <v>99.561193243104</v>
      </c>
      <c r="AJ6774">
        <v>93.203109019036702</v>
      </c>
      <c r="AK6774">
        <v>0.67362433447939496</v>
      </c>
    </row>
    <row r="6775" spans="1:37" x14ac:dyDescent="0.2">
      <c r="A6775" t="str">
        <f>"20200111160353239"</f>
        <v>20200111160353239</v>
      </c>
      <c r="B6775" t="str">
        <f>"1578729833230312"</f>
        <v>1578729833230312</v>
      </c>
      <c r="C6775" t="s">
        <v>37</v>
      </c>
      <c r="D6775">
        <v>5.6730130000000001</v>
      </c>
      <c r="E6775">
        <v>0.54010089999999999</v>
      </c>
      <c r="F6775" t="s">
        <v>42</v>
      </c>
      <c r="G6775">
        <v>-148.6036</v>
      </c>
      <c r="H6775">
        <v>0.99464560000000002</v>
      </c>
      <c r="I6775">
        <v>137.38329999999999</v>
      </c>
      <c r="J6775">
        <v>-149.27350000000001</v>
      </c>
      <c r="K6775">
        <v>1.1053850000000001</v>
      </c>
      <c r="L6775">
        <v>137.32640000000001</v>
      </c>
      <c r="M6775">
        <v>0.99934199999999995</v>
      </c>
      <c r="N6775">
        <v>0</v>
      </c>
      <c r="O6775">
        <v>2.9478239999999999E-2</v>
      </c>
      <c r="P6775">
        <v>0.99817939999999905</v>
      </c>
      <c r="Q6775">
        <v>-3.4579220000000001E-2</v>
      </c>
      <c r="R6775">
        <v>4.9422229999999998E-2</v>
      </c>
      <c r="S6775">
        <v>2.978958</v>
      </c>
      <c r="T6775">
        <v>-0.43814619999999999</v>
      </c>
      <c r="U6775">
        <v>0.2307129</v>
      </c>
      <c r="V6775">
        <v>-1.9975219999999998E-2</v>
      </c>
      <c r="W6775">
        <v>-1.3445820000000001E-2</v>
      </c>
      <c r="X6775">
        <v>0.99971010000000005</v>
      </c>
      <c r="Y6775">
        <v>-4.7592309999999999E-2</v>
      </c>
      <c r="Z6775">
        <v>-8.2929990000000001E-4</v>
      </c>
      <c r="AA6775">
        <v>0.99886649999999999</v>
      </c>
      <c r="AB6775">
        <v>8</v>
      </c>
      <c r="AC6775">
        <v>0.66990000000001204</v>
      </c>
      <c r="AD6775">
        <v>-0.1107394</v>
      </c>
      <c r="AE6775">
        <v>5.6899999999984602E-2</v>
      </c>
      <c r="AF6775">
        <v>-3.6142794876048601E-2</v>
      </c>
      <c r="AG6775">
        <v>-0.1107394</v>
      </c>
      <c r="AH6775">
        <v>0.65355497096107595</v>
      </c>
      <c r="AI6775">
        <v>99.602548470692298</v>
      </c>
      <c r="AJ6775">
        <v>93.165338028030803</v>
      </c>
      <c r="AK6775">
        <v>0.663855117026106</v>
      </c>
    </row>
    <row r="6776" spans="1:37" x14ac:dyDescent="0.2">
      <c r="A6776" t="str">
        <f>"20200111160353261"</f>
        <v>20200111160353261</v>
      </c>
      <c r="B6776" t="str">
        <f>"1578729833249832"</f>
        <v>1578729833249832</v>
      </c>
      <c r="C6776" t="s">
        <v>37</v>
      </c>
      <c r="D6776">
        <v>5.982818</v>
      </c>
      <c r="E6776">
        <v>0.5685964</v>
      </c>
      <c r="F6776" t="s">
        <v>42</v>
      </c>
      <c r="G6776">
        <v>-148.54949999999999</v>
      </c>
      <c r="H6776">
        <v>0.95942399999999906</v>
      </c>
      <c r="I6776">
        <v>137.2894</v>
      </c>
      <c r="J6776">
        <v>-149.19669999999999</v>
      </c>
      <c r="K6776">
        <v>1.105526</v>
      </c>
      <c r="L6776">
        <v>137.32759999999999</v>
      </c>
      <c r="M6776">
        <v>0.99935249999999998</v>
      </c>
      <c r="N6776">
        <v>0</v>
      </c>
      <c r="O6776">
        <v>2.865357E-2</v>
      </c>
      <c r="P6776">
        <v>0.99816669999999996</v>
      </c>
      <c r="Q6776">
        <v>-3.6144629999999997E-2</v>
      </c>
      <c r="R6776">
        <v>4.8549990000000001E-2</v>
      </c>
      <c r="S6776">
        <v>2.9921419999999999</v>
      </c>
      <c r="T6776">
        <v>-0.60310010000000003</v>
      </c>
      <c r="U6776">
        <v>-0.15242</v>
      </c>
      <c r="V6776">
        <v>-1.9927759999999999E-2</v>
      </c>
      <c r="W6776">
        <v>-1.4384030000000001E-2</v>
      </c>
      <c r="X6776">
        <v>0.99969789999999903</v>
      </c>
      <c r="Y6776">
        <v>7.7349310000000004E-2</v>
      </c>
      <c r="Z6776">
        <v>-1.342901E-2</v>
      </c>
      <c r="AA6776">
        <v>0.99691359999999996</v>
      </c>
      <c r="AB6776">
        <v>8</v>
      </c>
      <c r="AC6776">
        <v>0.647199999999997</v>
      </c>
      <c r="AD6776">
        <v>-0.14610200000000001</v>
      </c>
      <c r="AE6776">
        <v>-3.8199999999989097E-2</v>
      </c>
      <c r="AF6776">
        <v>5.3991403617138001E-2</v>
      </c>
      <c r="AG6776">
        <v>-0.14610200000000001</v>
      </c>
      <c r="AH6776">
        <v>0.61462626946889298</v>
      </c>
      <c r="AI6776">
        <v>103.322073411465</v>
      </c>
      <c r="AJ6776">
        <v>84.979779936165301</v>
      </c>
      <c r="AK6776">
        <v>0.634055452771915</v>
      </c>
    </row>
    <row r="6777" spans="1:37" x14ac:dyDescent="0.2">
      <c r="A6777" t="str">
        <f>"20200111160353283"</f>
        <v>20200111160353283</v>
      </c>
      <c r="B6777" t="str">
        <f>"1578729833270328"</f>
        <v>1578729833270328</v>
      </c>
      <c r="C6777" t="s">
        <v>37</v>
      </c>
      <c r="D6777">
        <v>5.7035099999999996</v>
      </c>
      <c r="E6777">
        <v>0.56563960000000002</v>
      </c>
      <c r="F6777" t="s">
        <v>42</v>
      </c>
      <c r="G6777">
        <v>-148.50020000000001</v>
      </c>
      <c r="H6777">
        <v>0.91985569999999905</v>
      </c>
      <c r="I6777">
        <v>137.24039999999999</v>
      </c>
      <c r="J6777">
        <v>-149.12739999999999</v>
      </c>
      <c r="K6777">
        <v>1.1057939999999999</v>
      </c>
      <c r="L6777">
        <v>137.3287</v>
      </c>
      <c r="M6777">
        <v>0.99934789999999996</v>
      </c>
      <c r="N6777">
        <v>0</v>
      </c>
      <c r="O6777">
        <v>2.7946370000000002E-2</v>
      </c>
      <c r="P6777">
        <v>0.99812520000000005</v>
      </c>
      <c r="Q6777">
        <v>-3.7956230000000001E-2</v>
      </c>
      <c r="R6777">
        <v>4.8017160000000003E-2</v>
      </c>
      <c r="S6777">
        <v>2.9948429999999999</v>
      </c>
      <c r="T6777">
        <v>-0.79836770000000001</v>
      </c>
      <c r="U6777">
        <v>-0.37487789999999999</v>
      </c>
      <c r="V6777">
        <v>-2.0101069999999999E-2</v>
      </c>
      <c r="W6777">
        <v>-1.509339E-2</v>
      </c>
      <c r="X6777">
        <v>0.99968400000000002</v>
      </c>
      <c r="Y6777">
        <v>0.14590910000000001</v>
      </c>
      <c r="Z6777">
        <v>-2.634332E-2</v>
      </c>
      <c r="AA6777">
        <v>0.98894720000000003</v>
      </c>
      <c r="AB6777">
        <v>8</v>
      </c>
      <c r="AC6777">
        <v>0.62719999999998699</v>
      </c>
      <c r="AD6777">
        <v>-0.1859383</v>
      </c>
      <c r="AE6777">
        <v>-8.8300000000003806E-2</v>
      </c>
      <c r="AF6777">
        <v>9.7403863035477295E-2</v>
      </c>
      <c r="AG6777">
        <v>-0.1859383</v>
      </c>
      <c r="AH6777">
        <v>0.57493887527738996</v>
      </c>
      <c r="AI6777">
        <v>107.685493341183</v>
      </c>
      <c r="AJ6777">
        <v>80.384476904244494</v>
      </c>
      <c r="AK6777">
        <v>0.612058227823427</v>
      </c>
    </row>
    <row r="6778" spans="1:37" x14ac:dyDescent="0.2">
      <c r="A6778" t="str">
        <f>"20200111160353305"</f>
        <v>20200111160353305</v>
      </c>
      <c r="B6778" t="str">
        <f>"1578729833300584"</f>
        <v>1578729833300584</v>
      </c>
      <c r="C6778" t="s">
        <v>37</v>
      </c>
      <c r="D6778">
        <v>5.6992199999999897</v>
      </c>
      <c r="E6778">
        <v>0.56399219999999906</v>
      </c>
      <c r="F6778" t="s">
        <v>42</v>
      </c>
      <c r="G6778">
        <v>-148.44069999999999</v>
      </c>
      <c r="H6778">
        <v>0.91420199999999996</v>
      </c>
      <c r="I6778">
        <v>137.24789999999999</v>
      </c>
      <c r="J6778">
        <v>-149.0574</v>
      </c>
      <c r="K6778">
        <v>1.1060080000000001</v>
      </c>
      <c r="L6778">
        <v>137.32980000000001</v>
      </c>
      <c r="M6778">
        <v>0.99934100000000003</v>
      </c>
      <c r="N6778">
        <v>0</v>
      </c>
      <c r="O6778">
        <v>2.7249599999999999E-2</v>
      </c>
      <c r="P6778">
        <v>0.99801419999999996</v>
      </c>
      <c r="Q6778">
        <v>-4.025132E-2</v>
      </c>
      <c r="R6778">
        <v>4.8450390000000003E-2</v>
      </c>
      <c r="S6778">
        <v>2.9908139999999999</v>
      </c>
      <c r="T6778">
        <v>-0.83425930000000004</v>
      </c>
      <c r="U6778">
        <v>-0.35133359999999902</v>
      </c>
      <c r="V6778">
        <v>-2.1231839999999998E-2</v>
      </c>
      <c r="W6778">
        <v>-1.6279269999999998E-2</v>
      </c>
      <c r="X6778">
        <v>0.99964200000000003</v>
      </c>
      <c r="Y6778">
        <v>0.13748669999999999</v>
      </c>
      <c r="Z6778">
        <v>-2.6194019999999998E-2</v>
      </c>
      <c r="AA6778">
        <v>0.99015719999999996</v>
      </c>
      <c r="AB6778">
        <v>7</v>
      </c>
      <c r="AC6778">
        <v>0.61670000000000802</v>
      </c>
      <c r="AD6778">
        <v>-0.191806</v>
      </c>
      <c r="AE6778">
        <v>-8.1900000000018694E-2</v>
      </c>
      <c r="AF6778">
        <v>9.0113336824110393E-2</v>
      </c>
      <c r="AG6778">
        <v>-0.191806</v>
      </c>
      <c r="AH6778">
        <v>0.56091923234962104</v>
      </c>
      <c r="AI6778">
        <v>108.655725344842</v>
      </c>
      <c r="AJ6778">
        <v>80.873248602735401</v>
      </c>
      <c r="AK6778">
        <v>0.59961682792368598</v>
      </c>
    </row>
    <row r="6779" spans="1:37" x14ac:dyDescent="0.2">
      <c r="A6779" t="str">
        <f>"20200111160353326"</f>
        <v>20200111160353326</v>
      </c>
      <c r="B6779" t="str">
        <f>"1578729833320106"</f>
        <v>1578729833320106</v>
      </c>
      <c r="C6779" t="s">
        <v>37</v>
      </c>
      <c r="D6779">
        <v>5.6363979999999998</v>
      </c>
      <c r="E6779">
        <v>0.56390779999999996</v>
      </c>
      <c r="F6779" t="s">
        <v>42</v>
      </c>
      <c r="G6779">
        <v>-148.38159999999999</v>
      </c>
      <c r="H6779">
        <v>0.91269249999999902</v>
      </c>
      <c r="I6779">
        <v>137.25380000000001</v>
      </c>
      <c r="J6779">
        <v>-148.9924</v>
      </c>
      <c r="K6779">
        <v>1.1059600000000001</v>
      </c>
      <c r="L6779">
        <v>137.33070000000001</v>
      </c>
      <c r="M6779">
        <v>0.99935079999999998</v>
      </c>
      <c r="N6779">
        <v>0</v>
      </c>
      <c r="O6779">
        <v>2.6579240000000001E-2</v>
      </c>
      <c r="P6779">
        <v>0.99790299999999998</v>
      </c>
      <c r="Q6779">
        <v>-4.1934859999999997E-2</v>
      </c>
      <c r="R6779">
        <v>4.9307509999999999E-2</v>
      </c>
      <c r="S6779">
        <v>2.9878079999999998</v>
      </c>
      <c r="T6779">
        <v>-0.8546298</v>
      </c>
      <c r="U6779">
        <v>-0.33587649999999902</v>
      </c>
      <c r="V6779">
        <v>-2.276187E-2</v>
      </c>
      <c r="W6779">
        <v>-1.7626240000000001E-2</v>
      </c>
      <c r="X6779">
        <v>0.99958549999999902</v>
      </c>
      <c r="Y6779">
        <v>0.13181370000000001</v>
      </c>
      <c r="Z6779">
        <v>-2.5862050000000001E-2</v>
      </c>
      <c r="AA6779">
        <v>0.99093709999999902</v>
      </c>
      <c r="AB6779">
        <v>7</v>
      </c>
      <c r="AC6779">
        <v>0.610800000000011</v>
      </c>
      <c r="AD6779">
        <v>-0.19326750000000001</v>
      </c>
      <c r="AE6779">
        <v>-7.6899999999994806E-2</v>
      </c>
      <c r="AF6779">
        <v>8.4758622551836596E-2</v>
      </c>
      <c r="AG6779">
        <v>-0.19326750000000001</v>
      </c>
      <c r="AH6779">
        <v>0.55394418722134697</v>
      </c>
      <c r="AI6779">
        <v>109.028273215645</v>
      </c>
      <c r="AJ6779">
        <v>81.300682149953701</v>
      </c>
      <c r="AK6779">
        <v>0.59278201154341204</v>
      </c>
    </row>
    <row r="6780" spans="1:37" x14ac:dyDescent="0.2">
      <c r="A6780" t="str">
        <f>"20200111160353350"</f>
        <v>20200111160353350</v>
      </c>
      <c r="B6780" t="str">
        <f>"1578729833340600"</f>
        <v>1578729833340600</v>
      </c>
      <c r="C6780" t="s">
        <v>37</v>
      </c>
      <c r="D6780">
        <v>5.8043370000000003</v>
      </c>
      <c r="E6780">
        <v>0.56341699999999995</v>
      </c>
      <c r="F6780" t="s">
        <v>42</v>
      </c>
      <c r="G6780">
        <v>-148.32249999999999</v>
      </c>
      <c r="H6780">
        <v>0.91209979999999902</v>
      </c>
      <c r="I6780">
        <v>137.256</v>
      </c>
      <c r="J6780">
        <v>-148.92670000000001</v>
      </c>
      <c r="K6780">
        <v>1.1057729999999999</v>
      </c>
      <c r="L6780">
        <v>137.33160000000001</v>
      </c>
      <c r="M6780">
        <v>0.99937369999999903</v>
      </c>
      <c r="N6780">
        <v>0</v>
      </c>
      <c r="O6780">
        <v>2.5865470000000002E-2</v>
      </c>
      <c r="P6780">
        <v>0.99784539999999999</v>
      </c>
      <c r="Q6780">
        <v>-4.3081090000000002E-2</v>
      </c>
      <c r="R6780">
        <v>4.9486799999999997E-2</v>
      </c>
      <c r="S6780">
        <v>2.9864039999999998</v>
      </c>
      <c r="T6780">
        <v>-0.86412649999999902</v>
      </c>
      <c r="U6780">
        <v>-0.33244319999999999</v>
      </c>
      <c r="V6780">
        <v>-2.365737E-2</v>
      </c>
      <c r="W6780">
        <v>-1.893831E-2</v>
      </c>
      <c r="X6780">
        <v>0.99954069999999995</v>
      </c>
      <c r="Y6780">
        <v>0.1299912</v>
      </c>
      <c r="Z6780">
        <v>-2.5691950000000002E-2</v>
      </c>
      <c r="AA6780">
        <v>0.99118220000000001</v>
      </c>
      <c r="AB6780">
        <v>7</v>
      </c>
      <c r="AC6780">
        <v>0.60420000000002005</v>
      </c>
      <c r="AD6780">
        <v>-0.19367319999999999</v>
      </c>
      <c r="AE6780">
        <v>-7.5600000000008494E-2</v>
      </c>
      <c r="AF6780">
        <v>8.2827873192802395E-2</v>
      </c>
      <c r="AG6780">
        <v>-0.19367319999999999</v>
      </c>
      <c r="AH6780">
        <v>0.54673155359973802</v>
      </c>
      <c r="AI6780">
        <v>109.30238593645301</v>
      </c>
      <c r="AJ6780">
        <v>81.385400957865699</v>
      </c>
      <c r="AK6780">
        <v>0.58590541615303904</v>
      </c>
    </row>
    <row r="6781" spans="1:37" x14ac:dyDescent="0.2">
      <c r="A6781" t="str">
        <f>"20200111160353372"</f>
        <v>20200111160353372</v>
      </c>
      <c r="B6781" t="str">
        <f>"1578729833360120"</f>
        <v>1578729833360120</v>
      </c>
      <c r="C6781" t="s">
        <v>37</v>
      </c>
      <c r="D6781">
        <v>5.6546129999999897</v>
      </c>
      <c r="E6781">
        <v>0.56342899999999996</v>
      </c>
      <c r="F6781" t="s">
        <v>42</v>
      </c>
      <c r="G6781">
        <v>-148.21379999999999</v>
      </c>
      <c r="H6781">
        <v>0.89862379999999997</v>
      </c>
      <c r="I6781">
        <v>137.25309999999999</v>
      </c>
      <c r="J6781">
        <v>-148.8638</v>
      </c>
      <c r="K6781">
        <v>1.1057090000000001</v>
      </c>
      <c r="L6781">
        <v>137.33240000000001</v>
      </c>
      <c r="M6781">
        <v>0.99939100000000003</v>
      </c>
      <c r="N6781">
        <v>0</v>
      </c>
      <c r="O6781">
        <v>2.5169279999999999E-2</v>
      </c>
      <c r="P6781">
        <v>0.99783089999999997</v>
      </c>
      <c r="Q6781">
        <v>-4.3532830000000002E-2</v>
      </c>
      <c r="R6781">
        <v>4.9382589999999997E-2</v>
      </c>
      <c r="S6781">
        <v>2.985306</v>
      </c>
      <c r="T6781">
        <v>-0.86742790000000003</v>
      </c>
      <c r="U6781">
        <v>-0.32823179999999902</v>
      </c>
      <c r="V6781">
        <v>-2.4249610000000001E-2</v>
      </c>
      <c r="W6781">
        <v>-1.9372710000000001E-2</v>
      </c>
      <c r="X6781">
        <v>0.99951819999999902</v>
      </c>
      <c r="Y6781">
        <v>0.12801580000000001</v>
      </c>
      <c r="Z6781">
        <v>-2.5319009999999999E-2</v>
      </c>
      <c r="AA6781">
        <v>0.99144889999999997</v>
      </c>
      <c r="AB6781">
        <v>7</v>
      </c>
      <c r="AC6781">
        <v>0.65000000000000502</v>
      </c>
      <c r="AD6781">
        <v>-0.2070852</v>
      </c>
      <c r="AE6781">
        <v>-7.9300000000017606E-2</v>
      </c>
      <c r="AF6781">
        <v>8.6944158592541607E-2</v>
      </c>
      <c r="AG6781">
        <v>-0.2070852</v>
      </c>
      <c r="AH6781">
        <v>0.588899996136929</v>
      </c>
      <c r="AI6781">
        <v>109.18158863714</v>
      </c>
      <c r="AJ6781">
        <v>81.601621261079501</v>
      </c>
      <c r="AK6781">
        <v>0.63027515596164796</v>
      </c>
    </row>
    <row r="6782" spans="1:37" x14ac:dyDescent="0.2">
      <c r="A6782" t="str">
        <f>"20200111160353392"</f>
        <v>20200111160353392</v>
      </c>
      <c r="B6782" t="str">
        <f>"1578729833389831"</f>
        <v>1578729833389831</v>
      </c>
      <c r="C6782" t="s">
        <v>37</v>
      </c>
      <c r="D6782">
        <v>5.6438090000000001</v>
      </c>
      <c r="E6782">
        <v>0.56329600000000002</v>
      </c>
      <c r="F6782" t="s">
        <v>42</v>
      </c>
      <c r="G6782">
        <v>-148.15950000000001</v>
      </c>
      <c r="H6782">
        <v>0.90037860000000003</v>
      </c>
      <c r="I6782">
        <v>137.25479999999999</v>
      </c>
      <c r="J6782">
        <v>-148.80799999999999</v>
      </c>
      <c r="K6782">
        <v>1.105756</v>
      </c>
      <c r="L6782">
        <v>137.333</v>
      </c>
      <c r="M6782">
        <v>0.99940049999999903</v>
      </c>
      <c r="N6782">
        <v>0</v>
      </c>
      <c r="O6782">
        <v>2.4540320000000001E-2</v>
      </c>
      <c r="P6782">
        <v>0.99790239999999997</v>
      </c>
      <c r="Q6782">
        <v>-4.2502749999999999E-2</v>
      </c>
      <c r="R6782">
        <v>4.8833849999999998E-2</v>
      </c>
      <c r="S6782">
        <v>2.9848180000000002</v>
      </c>
      <c r="T6782">
        <v>-0.87018259999999903</v>
      </c>
      <c r="U6782">
        <v>-0.32852170000000003</v>
      </c>
      <c r="V6782">
        <v>-2.4326919999999998E-2</v>
      </c>
      <c r="W6782">
        <v>-1.8088190000000001E-2</v>
      </c>
      <c r="X6782">
        <v>0.9995404</v>
      </c>
      <c r="Y6782">
        <v>0.12751080000000001</v>
      </c>
      <c r="Z6782">
        <v>-2.5148960000000001E-2</v>
      </c>
      <c r="AA6782">
        <v>0.99151829999999996</v>
      </c>
      <c r="AB6782">
        <v>6</v>
      </c>
      <c r="AC6782">
        <v>0.64849999999998398</v>
      </c>
      <c r="AD6782">
        <v>-0.20537739999999999</v>
      </c>
      <c r="AE6782">
        <v>-7.8200000000009595E-2</v>
      </c>
      <c r="AF6782">
        <v>8.5630267174059305E-2</v>
      </c>
      <c r="AG6782">
        <v>-0.20537739999999999</v>
      </c>
      <c r="AH6782">
        <v>0.58823290181444399</v>
      </c>
      <c r="AI6782">
        <v>109.06010247817601</v>
      </c>
      <c r="AJ6782">
        <v>81.717514469380305</v>
      </c>
      <c r="AK6782">
        <v>0.628912049386957</v>
      </c>
    </row>
    <row r="6783" spans="1:37" x14ac:dyDescent="0.2">
      <c r="A6783" t="str">
        <f>"20200111160353418"</f>
        <v>20200111160353418</v>
      </c>
      <c r="B6783" t="str">
        <f>"1578729833410328"</f>
        <v>1578729833410328</v>
      </c>
      <c r="C6783" t="s">
        <v>37</v>
      </c>
      <c r="D6783">
        <v>5.6093699999999904</v>
      </c>
      <c r="E6783">
        <v>0.56334549999999906</v>
      </c>
      <c r="F6783" t="s">
        <v>42</v>
      </c>
      <c r="G6783">
        <v>-148.10769999999999</v>
      </c>
      <c r="H6783">
        <v>0.90205759999999902</v>
      </c>
      <c r="I6783">
        <v>137.25579999999999</v>
      </c>
      <c r="J6783">
        <v>-148.7458</v>
      </c>
      <c r="K6783">
        <v>1.1058250000000001</v>
      </c>
      <c r="L6783">
        <v>137.33369999999999</v>
      </c>
      <c r="M6783">
        <v>0.99941080000000004</v>
      </c>
      <c r="N6783">
        <v>0</v>
      </c>
      <c r="O6783">
        <v>2.3820609999999999E-2</v>
      </c>
      <c r="P6783">
        <v>0.99810549999999998</v>
      </c>
      <c r="Q6783">
        <v>-3.937616E-2</v>
      </c>
      <c r="R6783">
        <v>4.727696E-2</v>
      </c>
      <c r="S6783">
        <v>2.9854129999999999</v>
      </c>
      <c r="T6783">
        <v>-0.86832980000000004</v>
      </c>
      <c r="U6783">
        <v>-0.32870479999999902</v>
      </c>
      <c r="V6783">
        <v>-2.3483179999999999E-2</v>
      </c>
      <c r="W6783">
        <v>-1.467716E-2</v>
      </c>
      <c r="X6783">
        <v>0.99961650000000002</v>
      </c>
      <c r="Y6783">
        <v>0.12691839999999999</v>
      </c>
      <c r="Z6783">
        <v>-2.48039E-2</v>
      </c>
      <c r="AA6783">
        <v>0.99160300000000001</v>
      </c>
      <c r="AB6783">
        <v>6</v>
      </c>
      <c r="AC6783">
        <v>0.63810000000000799</v>
      </c>
      <c r="AD6783">
        <v>-0.20376739999999999</v>
      </c>
      <c r="AE6783">
        <v>-7.7899999999999595E-2</v>
      </c>
      <c r="AF6783">
        <v>8.4583729696232901E-2</v>
      </c>
      <c r="AG6783">
        <v>-0.20376739999999999</v>
      </c>
      <c r="AH6783">
        <v>0.57798807737776703</v>
      </c>
      <c r="AI6783">
        <v>109.23033257899699</v>
      </c>
      <c r="AJ6783">
        <v>81.674339128199605</v>
      </c>
      <c r="AK6783">
        <v>0.61866451185027005</v>
      </c>
    </row>
    <row r="6784" spans="1:37" x14ac:dyDescent="0.2">
      <c r="A6784" t="str">
        <f>"20200111160353439"</f>
        <v>20200111160353439</v>
      </c>
      <c r="B6784" t="str">
        <f>"1578729833429848"</f>
        <v>1578729833429848</v>
      </c>
      <c r="C6784" t="s">
        <v>37</v>
      </c>
      <c r="D6784">
        <v>5.6252120000000003</v>
      </c>
      <c r="E6784">
        <v>0.56342749999999997</v>
      </c>
      <c r="F6784" t="s">
        <v>42</v>
      </c>
      <c r="G6784">
        <v>-148.05609999999999</v>
      </c>
      <c r="H6784">
        <v>0.90718319999999997</v>
      </c>
      <c r="I6784">
        <v>137.2567</v>
      </c>
      <c r="J6784">
        <v>-148.69229999999999</v>
      </c>
      <c r="K6784">
        <v>1.105837</v>
      </c>
      <c r="L6784">
        <v>137.33420000000001</v>
      </c>
      <c r="M6784">
        <v>0.99942359999999897</v>
      </c>
      <c r="N6784">
        <v>0</v>
      </c>
      <c r="O6784">
        <v>2.3202489999999999E-2</v>
      </c>
      <c r="P6784">
        <v>0.99830759999999996</v>
      </c>
      <c r="Q6784">
        <v>-3.641991E-2</v>
      </c>
      <c r="R6784">
        <v>4.5340940000000003E-2</v>
      </c>
      <c r="S6784">
        <v>2.9875180000000001</v>
      </c>
      <c r="T6784">
        <v>-0.86038079999999995</v>
      </c>
      <c r="U6784">
        <v>-0.33325199999999999</v>
      </c>
      <c r="V6784">
        <v>-2.21599E-2</v>
      </c>
      <c r="W6784">
        <v>-1.1638910000000001E-2</v>
      </c>
      <c r="X6784">
        <v>0.99968670000000004</v>
      </c>
      <c r="Y6784">
        <v>0.12782859999999999</v>
      </c>
      <c r="Z6784">
        <v>-2.452122E-2</v>
      </c>
      <c r="AA6784">
        <v>0.99149310000000002</v>
      </c>
      <c r="AB6784">
        <v>6</v>
      </c>
      <c r="AC6784">
        <v>0.63620000000000199</v>
      </c>
      <c r="AD6784">
        <v>-0.19865379999999999</v>
      </c>
      <c r="AE6784">
        <v>-7.7500000000014696E-2</v>
      </c>
      <c r="AF6784">
        <v>8.4159483449742195E-2</v>
      </c>
      <c r="AG6784">
        <v>-0.19865379999999999</v>
      </c>
      <c r="AH6784">
        <v>0.57863744712785303</v>
      </c>
      <c r="AI6784">
        <v>108.764599792677</v>
      </c>
      <c r="AJ6784">
        <v>81.724685426764907</v>
      </c>
      <c r="AK6784">
        <v>0.61754954953234797</v>
      </c>
    </row>
    <row r="6785" spans="1:37" x14ac:dyDescent="0.2">
      <c r="A6785" t="str">
        <f>"20200111160353462"</f>
        <v>20200111160353462</v>
      </c>
      <c r="B6785" t="str">
        <f>"1578729833450343"</f>
        <v>1578729833450343</v>
      </c>
      <c r="C6785" t="s">
        <v>37</v>
      </c>
      <c r="D6785">
        <v>5.6482339999999898</v>
      </c>
      <c r="E6785">
        <v>0.56339600000000001</v>
      </c>
      <c r="F6785" t="s">
        <v>42</v>
      </c>
      <c r="G6785">
        <v>-148.00700000000001</v>
      </c>
      <c r="H6785">
        <v>0.91054299999999999</v>
      </c>
      <c r="I6785">
        <v>137.25620000000001</v>
      </c>
      <c r="J6785">
        <v>-148.64160000000001</v>
      </c>
      <c r="K6785">
        <v>1.1058110000000001</v>
      </c>
      <c r="L6785">
        <v>137.3347</v>
      </c>
      <c r="M6785">
        <v>0.99943689999999996</v>
      </c>
      <c r="N6785">
        <v>0</v>
      </c>
      <c r="O6785">
        <v>2.2634390000000001E-2</v>
      </c>
      <c r="P6785">
        <v>0.99843510000000002</v>
      </c>
      <c r="Q6785">
        <v>-3.5297439999999999E-2</v>
      </c>
      <c r="R6785">
        <v>4.3378710000000001E-2</v>
      </c>
      <c r="S6785">
        <v>2.9894259999999999</v>
      </c>
      <c r="T6785">
        <v>-0.85168549999999998</v>
      </c>
      <c r="U6785">
        <v>-0.33947749999999999</v>
      </c>
      <c r="V6785">
        <v>-2.0762969999999999E-2</v>
      </c>
      <c r="W6785">
        <v>-1.0530690000000001E-2</v>
      </c>
      <c r="X6785">
        <v>0.99972899999999998</v>
      </c>
      <c r="Y6785">
        <v>0.12932669999999999</v>
      </c>
      <c r="Z6785">
        <v>-2.4315699999999999E-2</v>
      </c>
      <c r="AA6785">
        <v>0.99130390000000002</v>
      </c>
      <c r="AB6785">
        <v>5</v>
      </c>
      <c r="AC6785">
        <v>0.63460000000000505</v>
      </c>
      <c r="AD6785">
        <v>-0.195268</v>
      </c>
      <c r="AE6785">
        <v>-7.8499999999991105E-2</v>
      </c>
      <c r="AF6785">
        <v>8.4928186217481993E-2</v>
      </c>
      <c r="AG6785">
        <v>-0.195268</v>
      </c>
      <c r="AH6785">
        <v>0.57869447130990204</v>
      </c>
      <c r="AI6785">
        <v>108.46171025821199</v>
      </c>
      <c r="AJ6785">
        <v>81.650971806675599</v>
      </c>
      <c r="AK6785">
        <v>0.61662766704295602</v>
      </c>
    </row>
    <row r="6786" spans="1:37" x14ac:dyDescent="0.2">
      <c r="A6786" t="str">
        <f>"20200111160353482"</f>
        <v>20200111160353482</v>
      </c>
      <c r="B6786" t="str">
        <f>"1578729833480599"</f>
        <v>1578729833480599</v>
      </c>
      <c r="C6786" t="s">
        <v>37</v>
      </c>
      <c r="D6786">
        <v>5.6564800000000002</v>
      </c>
      <c r="E6786">
        <v>0.56336799999999998</v>
      </c>
      <c r="F6786" t="s">
        <v>42</v>
      </c>
      <c r="G6786">
        <v>-147.9605</v>
      </c>
      <c r="H6786">
        <v>0.91238259999999904</v>
      </c>
      <c r="I6786">
        <v>137.25620000000001</v>
      </c>
      <c r="J6786">
        <v>-148.5949</v>
      </c>
      <c r="K6786">
        <v>1.1057980000000001</v>
      </c>
      <c r="L6786">
        <v>137.33510000000001</v>
      </c>
      <c r="M6786">
        <v>0.99944859999999902</v>
      </c>
      <c r="N6786">
        <v>0</v>
      </c>
      <c r="O6786">
        <v>2.2121040000000002E-2</v>
      </c>
      <c r="P6786">
        <v>0.99849370000000004</v>
      </c>
      <c r="Q6786">
        <v>-3.5610009999999997E-2</v>
      </c>
      <c r="R6786">
        <v>4.174419E-2</v>
      </c>
      <c r="S6786">
        <v>2.989655</v>
      </c>
      <c r="T6786">
        <v>-0.84898130000000005</v>
      </c>
      <c r="U6786">
        <v>-0.3443756</v>
      </c>
      <c r="V6786">
        <v>-1.964072E-2</v>
      </c>
      <c r="W6786">
        <v>-1.0852799999999999E-2</v>
      </c>
      <c r="X6786">
        <v>0.99974819999999998</v>
      </c>
      <c r="Y6786">
        <v>0.13042870000000001</v>
      </c>
      <c r="Z6786">
        <v>-2.4247890000000001E-2</v>
      </c>
      <c r="AA6786">
        <v>0.99116109999999902</v>
      </c>
      <c r="AB6786">
        <v>5</v>
      </c>
      <c r="AC6786">
        <v>0.63439999999999896</v>
      </c>
      <c r="AD6786">
        <v>-0.19341539999999999</v>
      </c>
      <c r="AE6786">
        <v>-7.8900000000004397E-2</v>
      </c>
      <c r="AF6786">
        <v>8.5126477833942699E-2</v>
      </c>
      <c r="AG6786">
        <v>-0.19341539999999999</v>
      </c>
      <c r="AH6786">
        <v>0.57945781461694701</v>
      </c>
      <c r="AI6786">
        <v>108.275407388603</v>
      </c>
      <c r="AJ6786">
        <v>81.642622122141205</v>
      </c>
      <c r="AK6786">
        <v>0.61678796446284601</v>
      </c>
    </row>
    <row r="6787" spans="1:37" x14ac:dyDescent="0.2">
      <c r="A6787" t="str">
        <f>"20200111160353506"</f>
        <v>20200111160353506</v>
      </c>
      <c r="B6787" t="str">
        <f>"1578729833500119"</f>
        <v>1578729833500119</v>
      </c>
      <c r="C6787" t="s">
        <v>37</v>
      </c>
      <c r="D6787">
        <v>5.6456799999999996</v>
      </c>
      <c r="E6787">
        <v>0.56329479999999998</v>
      </c>
      <c r="F6787" t="s">
        <v>42</v>
      </c>
      <c r="G6787">
        <v>-147.9171</v>
      </c>
      <c r="H6787">
        <v>0.91194750000000002</v>
      </c>
      <c r="I6787">
        <v>137.2559</v>
      </c>
      <c r="J6787">
        <v>-148.54490000000001</v>
      </c>
      <c r="K6787">
        <v>1.105796</v>
      </c>
      <c r="L6787">
        <v>137.3355</v>
      </c>
      <c r="M6787">
        <v>0.99946019999999902</v>
      </c>
      <c r="N6787">
        <v>0</v>
      </c>
      <c r="O6787">
        <v>2.1572439999999998E-2</v>
      </c>
      <c r="P6787">
        <v>0.99846239999999997</v>
      </c>
      <c r="Q6787">
        <v>-3.7552149999999999E-2</v>
      </c>
      <c r="R6787">
        <v>4.0776590000000001E-2</v>
      </c>
      <c r="S6787">
        <v>2.9886169999999899</v>
      </c>
      <c r="T6787">
        <v>-0.85458969999999901</v>
      </c>
      <c r="U6787">
        <v>-0.34851070000000001</v>
      </c>
      <c r="V6787">
        <v>-1.922219E-2</v>
      </c>
      <c r="W6787">
        <v>-1.278436E-2</v>
      </c>
      <c r="X6787">
        <v>0.99973349999999905</v>
      </c>
      <c r="Y6787">
        <v>0.13118859999999999</v>
      </c>
      <c r="Z6787">
        <v>-2.4361020000000001E-2</v>
      </c>
      <c r="AA6787">
        <v>0.99105810000000005</v>
      </c>
      <c r="AB6787">
        <v>5</v>
      </c>
      <c r="AC6787">
        <v>0.62780000000000702</v>
      </c>
      <c r="AD6787">
        <v>-0.19384849999999901</v>
      </c>
      <c r="AE6787">
        <v>-7.9599999999999199E-2</v>
      </c>
      <c r="AF6787">
        <v>8.5139865722490493E-2</v>
      </c>
      <c r="AG6787">
        <v>-0.19384849999999901</v>
      </c>
      <c r="AH6787">
        <v>0.57224098414778002</v>
      </c>
      <c r="AI6787">
        <v>108.524197170146</v>
      </c>
      <c r="AJ6787">
        <v>81.537427859279305</v>
      </c>
      <c r="AK6787">
        <v>0.610152261018439</v>
      </c>
    </row>
    <row r="6788" spans="1:37" x14ac:dyDescent="0.2">
      <c r="A6788" t="str">
        <f>"20200111160353542"</f>
        <v>20200111160353542</v>
      </c>
      <c r="B6788" t="str">
        <f>"1578729833530375"</f>
        <v>1578729833530375</v>
      </c>
      <c r="C6788" t="s">
        <v>37</v>
      </c>
      <c r="D6788">
        <v>5.6143580000000002</v>
      </c>
      <c r="E6788">
        <v>0.56322050000000001</v>
      </c>
      <c r="F6788" t="s">
        <v>42</v>
      </c>
      <c r="G6788">
        <v>-147.87549999999999</v>
      </c>
      <c r="H6788">
        <v>0.91221669999999999</v>
      </c>
      <c r="I6788">
        <v>137.2568</v>
      </c>
      <c r="J6788">
        <v>-148.4768</v>
      </c>
      <c r="K6788">
        <v>1.105782</v>
      </c>
      <c r="L6788">
        <v>137.33609999999999</v>
      </c>
      <c r="M6788">
        <v>0.99947659999999905</v>
      </c>
      <c r="N6788">
        <v>0</v>
      </c>
      <c r="O6788">
        <v>2.0823689999999999E-2</v>
      </c>
      <c r="P6788">
        <v>0.99829380000000001</v>
      </c>
      <c r="Q6788">
        <v>-4.146093E-2</v>
      </c>
      <c r="R6788">
        <v>4.1119929999999999E-2</v>
      </c>
      <c r="S6788">
        <v>2.98645</v>
      </c>
      <c r="T6788">
        <v>-0.86355579999999998</v>
      </c>
      <c r="U6788">
        <v>-0.35081479999999998</v>
      </c>
      <c r="V6788">
        <v>-2.0316959999999998E-2</v>
      </c>
      <c r="W6788">
        <v>-1.671185E-2</v>
      </c>
      <c r="X6788">
        <v>0.99965389999999998</v>
      </c>
      <c r="Y6788">
        <v>0.13118109999999999</v>
      </c>
      <c r="Z6788">
        <v>-2.4410040000000001E-2</v>
      </c>
      <c r="AA6788">
        <v>0.99105789999999905</v>
      </c>
      <c r="AB6788">
        <v>5</v>
      </c>
      <c r="AC6788">
        <v>0.60130000000000905</v>
      </c>
      <c r="AD6788">
        <v>-0.1935653</v>
      </c>
      <c r="AE6788">
        <v>-7.9299999999989199E-2</v>
      </c>
      <c r="AF6788">
        <v>8.3321203895172502E-2</v>
      </c>
      <c r="AG6788">
        <v>-0.1935653</v>
      </c>
      <c r="AH6788">
        <v>0.54409835816231999</v>
      </c>
      <c r="AI6788">
        <v>109.374471510346</v>
      </c>
      <c r="AJ6788">
        <v>81.293573782062296</v>
      </c>
      <c r="AK6788">
        <v>0.583483480261063</v>
      </c>
    </row>
    <row r="6789" spans="1:37" x14ac:dyDescent="0.2">
      <c r="A6789" t="str">
        <f>"20200111160353570"</f>
        <v>20200111160353570</v>
      </c>
      <c r="B6789" t="str">
        <f>"1578729833560632"</f>
        <v>1578729833560632</v>
      </c>
      <c r="C6789" t="s">
        <v>37</v>
      </c>
      <c r="D6789">
        <v>5.6049230000000003</v>
      </c>
      <c r="E6789">
        <v>0.56317229999999996</v>
      </c>
      <c r="F6789" t="s">
        <v>42</v>
      </c>
      <c r="G6789">
        <v>-147.80080000000001</v>
      </c>
      <c r="H6789">
        <v>0.90685519999999997</v>
      </c>
      <c r="I6789">
        <v>137.25700000000001</v>
      </c>
      <c r="J6789">
        <v>-148.42449999999999</v>
      </c>
      <c r="K6789">
        <v>1.105769</v>
      </c>
      <c r="L6789">
        <v>137.3365</v>
      </c>
      <c r="M6789">
        <v>0.99948890000000001</v>
      </c>
      <c r="N6789">
        <v>0</v>
      </c>
      <c r="O6789">
        <v>2.025807E-2</v>
      </c>
      <c r="P6789">
        <v>0.99823079999999997</v>
      </c>
      <c r="Q6789">
        <v>-4.3066809999999997E-2</v>
      </c>
      <c r="R6789">
        <v>4.0997329999999998E-2</v>
      </c>
      <c r="S6789">
        <v>2.983063</v>
      </c>
      <c r="T6789">
        <v>-0.87790619999999997</v>
      </c>
      <c r="U6789">
        <v>-0.34889219999999999</v>
      </c>
      <c r="V6789">
        <v>-2.076014E-2</v>
      </c>
      <c r="W6789">
        <v>-1.8354639999999998E-2</v>
      </c>
      <c r="X6789">
        <v>0.99961599999999995</v>
      </c>
      <c r="Y6789">
        <v>0.12997839999999999</v>
      </c>
      <c r="Z6789">
        <v>-2.4491849999999999E-2</v>
      </c>
      <c r="AA6789">
        <v>0.99121429999999999</v>
      </c>
      <c r="AB6789">
        <v>4</v>
      </c>
      <c r="AC6789">
        <v>0.62369999999998504</v>
      </c>
      <c r="AD6789">
        <v>-0.1989138</v>
      </c>
      <c r="AE6789">
        <v>-7.9499999999995893E-2</v>
      </c>
      <c r="AF6789">
        <v>8.3741081338389797E-2</v>
      </c>
      <c r="AG6789">
        <v>-0.1989138</v>
      </c>
      <c r="AH6789">
        <v>0.56537415495599197</v>
      </c>
      <c r="AI6789">
        <v>109.189426463956</v>
      </c>
      <c r="AJ6789">
        <v>81.574821183714903</v>
      </c>
      <c r="AK6789">
        <v>0.60516708736213098</v>
      </c>
    </row>
    <row r="6790" spans="1:37" x14ac:dyDescent="0.2">
      <c r="A6790" t="str">
        <f>"20200111160353608"</f>
        <v>20200111160353608</v>
      </c>
      <c r="B6790" t="str">
        <f>"1578729833599671"</f>
        <v>1578729833599671</v>
      </c>
      <c r="C6790" t="s">
        <v>37</v>
      </c>
      <c r="D6790">
        <v>5.5866160000000002</v>
      </c>
      <c r="E6790">
        <v>0.56314560000000002</v>
      </c>
      <c r="F6790" t="s">
        <v>42</v>
      </c>
      <c r="G6790">
        <v>-147.73419999999999</v>
      </c>
      <c r="H6790">
        <v>0.90067830000000004</v>
      </c>
      <c r="I6790">
        <v>137.25579999999999</v>
      </c>
      <c r="J6790">
        <v>-148.36199999999999</v>
      </c>
      <c r="K6790">
        <v>1.1057859999999999</v>
      </c>
      <c r="L6790">
        <v>137.33690000000001</v>
      </c>
      <c r="M6790">
        <v>0.99950309999999898</v>
      </c>
      <c r="N6790">
        <v>0</v>
      </c>
      <c r="O6790">
        <v>1.9583719999999999E-2</v>
      </c>
      <c r="P6790">
        <v>0.99817350000000005</v>
      </c>
      <c r="Q6790">
        <v>-4.4298459999999998E-2</v>
      </c>
      <c r="R6790">
        <v>4.1078379999999998E-2</v>
      </c>
      <c r="S6790">
        <v>2.9814150000000001</v>
      </c>
      <c r="T6790">
        <v>-0.88560709999999998</v>
      </c>
      <c r="U6790">
        <v>-0.34815980000000002</v>
      </c>
      <c r="V6790">
        <v>-2.1515590000000001E-2</v>
      </c>
      <c r="W6790">
        <v>-1.9611940000000001E-2</v>
      </c>
      <c r="X6790">
        <v>0.99957619999999903</v>
      </c>
      <c r="Y6790">
        <v>0.12908430000000001</v>
      </c>
      <c r="Z6790">
        <v>-2.4386069999999999E-2</v>
      </c>
      <c r="AA6790">
        <v>0.99133369999999998</v>
      </c>
      <c r="AB6790">
        <v>4</v>
      </c>
      <c r="AC6790">
        <v>0.62780000000000702</v>
      </c>
      <c r="AD6790">
        <v>-0.2051077</v>
      </c>
      <c r="AE6790">
        <v>-8.11000000000206E-2</v>
      </c>
      <c r="AF6790">
        <v>8.4510393159094893E-2</v>
      </c>
      <c r="AG6790">
        <v>-0.2051077</v>
      </c>
      <c r="AH6790">
        <v>0.56660490475726499</v>
      </c>
      <c r="AI6790">
        <v>109.69907617206999</v>
      </c>
      <c r="AJ6790">
        <v>81.516744273430604</v>
      </c>
      <c r="AK6790">
        <v>0.60848360146037195</v>
      </c>
    </row>
    <row r="6791" spans="1:37" x14ac:dyDescent="0.2">
      <c r="A6791" t="str">
        <f>"20200111160353638"</f>
        <v>20200111160353638</v>
      </c>
      <c r="B6791" t="str">
        <f>"1578729833629929"</f>
        <v>1578729833629929</v>
      </c>
      <c r="C6791" t="s">
        <v>37</v>
      </c>
      <c r="D6791">
        <v>5.5799919999999998</v>
      </c>
      <c r="E6791">
        <v>0.56309719999999996</v>
      </c>
      <c r="F6791" t="s">
        <v>42</v>
      </c>
      <c r="G6791">
        <v>-147.6994</v>
      </c>
      <c r="H6791">
        <v>0.90737919999999905</v>
      </c>
      <c r="I6791">
        <v>137.25960000000001</v>
      </c>
      <c r="J6791">
        <v>-148.3176</v>
      </c>
      <c r="K6791">
        <v>1.105815</v>
      </c>
      <c r="L6791">
        <v>137.3372</v>
      </c>
      <c r="M6791">
        <v>0.99951290000000004</v>
      </c>
      <c r="N6791">
        <v>0</v>
      </c>
      <c r="O6791">
        <v>1.909771E-2</v>
      </c>
      <c r="P6791">
        <v>0.99818770000000001</v>
      </c>
      <c r="Q6791">
        <v>-4.4693099999999999E-2</v>
      </c>
      <c r="R6791">
        <v>4.0297329999999999E-2</v>
      </c>
      <c r="S6791">
        <v>2.9801639999999998</v>
      </c>
      <c r="T6791">
        <v>-0.89229210000000003</v>
      </c>
      <c r="U6791">
        <v>-0.34686279999999903</v>
      </c>
      <c r="V6791">
        <v>-2.1219910000000002E-2</v>
      </c>
      <c r="W6791">
        <v>-2.0023659999999999E-2</v>
      </c>
      <c r="X6791">
        <v>0.99957430000000003</v>
      </c>
      <c r="Y6791">
        <v>0.1281852</v>
      </c>
      <c r="Z6791">
        <v>-2.429957E-2</v>
      </c>
      <c r="AA6791">
        <v>0.99145249999999996</v>
      </c>
      <c r="AB6791">
        <v>4</v>
      </c>
      <c r="AC6791">
        <v>0.61820000000000097</v>
      </c>
      <c r="AD6791">
        <v>-0.1984358</v>
      </c>
      <c r="AE6791">
        <v>-7.7599999999989594E-2</v>
      </c>
      <c r="AF6791">
        <v>8.1162806290864295E-2</v>
      </c>
      <c r="AG6791">
        <v>-0.1984358</v>
      </c>
      <c r="AH6791">
        <v>0.55981892746599704</v>
      </c>
      <c r="AI6791">
        <v>109.330700689883</v>
      </c>
      <c r="AJ6791">
        <v>81.750709212466006</v>
      </c>
      <c r="AK6791">
        <v>0.59946759661872295</v>
      </c>
    </row>
    <row r="6792" spans="1:37" x14ac:dyDescent="0.2">
      <c r="A6792" t="str">
        <f>"20200111160353661"</f>
        <v>20200111160353661</v>
      </c>
      <c r="B6792" t="str">
        <f>"1578729833650423"</f>
        <v>1578729833650423</v>
      </c>
      <c r="C6792" t="s">
        <v>37</v>
      </c>
      <c r="D6792">
        <v>5.5794189999999997</v>
      </c>
      <c r="E6792">
        <v>0.56311339999999999</v>
      </c>
      <c r="F6792" t="s">
        <v>42</v>
      </c>
      <c r="G6792">
        <v>-147.64349999999999</v>
      </c>
      <c r="H6792">
        <v>0.90328259999999905</v>
      </c>
      <c r="I6792">
        <v>137.25839999999999</v>
      </c>
      <c r="J6792">
        <v>-148.2878</v>
      </c>
      <c r="K6792">
        <v>1.105842</v>
      </c>
      <c r="L6792">
        <v>137.3373</v>
      </c>
      <c r="M6792">
        <v>0.99951939999999995</v>
      </c>
      <c r="N6792">
        <v>0</v>
      </c>
      <c r="O6792">
        <v>1.8769790000000001E-2</v>
      </c>
      <c r="P6792">
        <v>0.99826930000000003</v>
      </c>
      <c r="Q6792">
        <v>-4.3918699999999998E-2</v>
      </c>
      <c r="R6792">
        <v>3.9113330000000002E-2</v>
      </c>
      <c r="S6792">
        <v>2.9794160000000001</v>
      </c>
      <c r="T6792">
        <v>-0.89501919999999902</v>
      </c>
      <c r="U6792">
        <v>-0.34744259999999999</v>
      </c>
      <c r="V6792">
        <v>-2.0362269999999998E-2</v>
      </c>
      <c r="W6792">
        <v>-1.925938E-2</v>
      </c>
      <c r="X6792">
        <v>0.99960709999999997</v>
      </c>
      <c r="Y6792">
        <v>0.1280577</v>
      </c>
      <c r="Z6792">
        <v>-2.426147E-2</v>
      </c>
      <c r="AA6792">
        <v>0.99146990000000002</v>
      </c>
      <c r="AB6792">
        <v>3</v>
      </c>
      <c r="AC6792">
        <v>0.64430000000001497</v>
      </c>
      <c r="AD6792">
        <v>-0.2025594</v>
      </c>
      <c r="AE6792">
        <v>-7.8900000000004397E-2</v>
      </c>
      <c r="AF6792">
        <v>8.2909524184421601E-2</v>
      </c>
      <c r="AG6792">
        <v>-0.2025594</v>
      </c>
      <c r="AH6792">
        <v>0.58567294199309194</v>
      </c>
      <c r="AI6792">
        <v>108.90342273493501</v>
      </c>
      <c r="AJ6792">
        <v>81.942585783682006</v>
      </c>
      <c r="AK6792">
        <v>0.62523363210218597</v>
      </c>
    </row>
    <row r="6793" spans="1:37" x14ac:dyDescent="0.2">
      <c r="A6793" t="str">
        <f>"20200111160353684"</f>
        <v>20200111160353684</v>
      </c>
      <c r="B6793" t="str">
        <f>"1578729833679706"</f>
        <v>1578729833679706</v>
      </c>
      <c r="C6793" t="s">
        <v>37</v>
      </c>
      <c r="D6793">
        <v>5.5987349999999996</v>
      </c>
      <c r="E6793">
        <v>0.56311109999999998</v>
      </c>
      <c r="F6793" t="s">
        <v>42</v>
      </c>
      <c r="G6793">
        <v>-147.61689999999999</v>
      </c>
      <c r="H6793">
        <v>0.90462149999999997</v>
      </c>
      <c r="I6793">
        <v>137.25829999999999</v>
      </c>
      <c r="J6793">
        <v>-148.25799999999899</v>
      </c>
      <c r="K6793">
        <v>1.1058699999999999</v>
      </c>
      <c r="L6793">
        <v>137.33750000000001</v>
      </c>
      <c r="M6793">
        <v>0.99952549999999996</v>
      </c>
      <c r="N6793">
        <v>0</v>
      </c>
      <c r="O6793">
        <v>1.8440649999999999E-2</v>
      </c>
      <c r="P6793">
        <v>0.99841259999999998</v>
      </c>
      <c r="Q6793">
        <v>-4.1790979999999998E-2</v>
      </c>
      <c r="R6793">
        <v>3.7768199999999898E-2</v>
      </c>
      <c r="S6793">
        <v>2.9796299999999998</v>
      </c>
      <c r="T6793">
        <v>-0.89358340000000003</v>
      </c>
      <c r="U6793">
        <v>-0.35081479999999998</v>
      </c>
      <c r="V6793">
        <v>-1.9343929999999999E-2</v>
      </c>
      <c r="W6793">
        <v>-1.7129060000000002E-2</v>
      </c>
      <c r="X6793">
        <v>0.99966619999999995</v>
      </c>
      <c r="Y6793">
        <v>0.12883269999999999</v>
      </c>
      <c r="Z6793">
        <v>-2.4238059999999999E-2</v>
      </c>
      <c r="AA6793">
        <v>0.99137009999999903</v>
      </c>
      <c r="AB6793">
        <v>3</v>
      </c>
      <c r="AC6793">
        <v>0.64109999999999401</v>
      </c>
      <c r="AD6793">
        <v>-0.2012485</v>
      </c>
      <c r="AE6793">
        <v>-7.9200000000014301E-2</v>
      </c>
      <c r="AF6793">
        <v>8.2960374067829398E-2</v>
      </c>
      <c r="AG6793">
        <v>-0.2012485</v>
      </c>
      <c r="AH6793">
        <v>0.58294948141288705</v>
      </c>
      <c r="AI6793">
        <v>108.869452285847</v>
      </c>
      <c r="AJ6793">
        <v>81.900541710854597</v>
      </c>
      <c r="AK6793">
        <v>0.62226479917899702</v>
      </c>
    </row>
    <row r="6794" spans="1:37" x14ac:dyDescent="0.2">
      <c r="A6794" t="str">
        <f>"20200111160353705"</f>
        <v>20200111160353705</v>
      </c>
      <c r="B6794" t="str">
        <f>"1578729833700199"</f>
        <v>1578729833700199</v>
      </c>
      <c r="C6794" t="s">
        <v>37</v>
      </c>
      <c r="D6794">
        <v>5.5705869999999997</v>
      </c>
      <c r="E6794">
        <v>0.56313400000000002</v>
      </c>
      <c r="F6794" t="s">
        <v>42</v>
      </c>
      <c r="G6794">
        <v>-147.5916</v>
      </c>
      <c r="H6794">
        <v>0.90734509999999902</v>
      </c>
      <c r="I6794">
        <v>137.25810000000001</v>
      </c>
      <c r="J6794">
        <v>-148.23519999999999</v>
      </c>
      <c r="K6794">
        <v>1.105898</v>
      </c>
      <c r="L6794">
        <v>137.33760000000001</v>
      </c>
      <c r="M6794">
        <v>0.99952999999999903</v>
      </c>
      <c r="N6794">
        <v>0</v>
      </c>
      <c r="O6794">
        <v>1.818695E-2</v>
      </c>
      <c r="P6794">
        <v>0.99855509999999903</v>
      </c>
      <c r="Q6794">
        <v>-3.9400730000000002E-2</v>
      </c>
      <c r="R6794">
        <v>3.6547570000000001E-2</v>
      </c>
      <c r="S6794">
        <v>2.981033</v>
      </c>
      <c r="T6794">
        <v>-0.88792610000000005</v>
      </c>
      <c r="U6794">
        <v>-0.35452270000000002</v>
      </c>
      <c r="V6794">
        <v>-1.83740999999999E-2</v>
      </c>
      <c r="W6794">
        <v>-1.4727189999999999E-2</v>
      </c>
      <c r="X6794">
        <v>0.99972269999999896</v>
      </c>
      <c r="Y6794">
        <v>0.12979849999999901</v>
      </c>
      <c r="Z6794">
        <v>-2.4145070000000001E-2</v>
      </c>
      <c r="AA6794">
        <v>0.99124630000000002</v>
      </c>
      <c r="AB6794">
        <v>3</v>
      </c>
      <c r="AC6794">
        <v>0.64359999999999196</v>
      </c>
      <c r="AD6794">
        <v>-0.1985529</v>
      </c>
      <c r="AE6794">
        <v>-7.9499999999995893E-2</v>
      </c>
      <c r="AF6794">
        <v>8.3379220558069206E-2</v>
      </c>
      <c r="AG6794">
        <v>-0.1985529</v>
      </c>
      <c r="AH6794">
        <v>0.58701773795859502</v>
      </c>
      <c r="AI6794">
        <v>108.514606488924</v>
      </c>
      <c r="AJ6794">
        <v>81.915859870744299</v>
      </c>
      <c r="AK6794">
        <v>0.62527207933611295</v>
      </c>
    </row>
    <row r="6795" spans="1:37" x14ac:dyDescent="0.2">
      <c r="A6795" t="str">
        <f>"20200111160353742"</f>
        <v>20200111160353742</v>
      </c>
      <c r="B6795" t="str">
        <f>"1578729833730455"</f>
        <v>1578729833730455</v>
      </c>
      <c r="C6795" t="s">
        <v>37</v>
      </c>
      <c r="D6795">
        <v>5.5811710000000003</v>
      </c>
      <c r="E6795">
        <v>0.56312869999999904</v>
      </c>
      <c r="F6795" t="s">
        <v>42</v>
      </c>
      <c r="G6795">
        <v>-147.56880000000001</v>
      </c>
      <c r="H6795">
        <v>0.90903639999999997</v>
      </c>
      <c r="I6795">
        <v>137.25749999999999</v>
      </c>
      <c r="J6795">
        <v>-148.19890000000001</v>
      </c>
      <c r="K6795">
        <v>1.1059289999999999</v>
      </c>
      <c r="L6795">
        <v>137.33779999999999</v>
      </c>
      <c r="M6795">
        <v>0.99953669999999994</v>
      </c>
      <c r="N6795">
        <v>0</v>
      </c>
      <c r="O6795">
        <v>1.7782240000000001E-2</v>
      </c>
      <c r="P6795">
        <v>0.99865490000000001</v>
      </c>
      <c r="Q6795">
        <v>-3.7642660000000001E-2</v>
      </c>
      <c r="R6795">
        <v>3.5657599999999998E-2</v>
      </c>
      <c r="S6795">
        <v>2.9826969999999999</v>
      </c>
      <c r="T6795">
        <v>-0.8810751</v>
      </c>
      <c r="U6795">
        <v>-0.35829159999999999</v>
      </c>
      <c r="V6795">
        <v>-1.788735E-2</v>
      </c>
      <c r="W6795">
        <v>-1.29502E-2</v>
      </c>
      <c r="X6795">
        <v>0.99975619999999998</v>
      </c>
      <c r="Y6795">
        <v>0.13065199999999999</v>
      </c>
      <c r="Z6795">
        <v>-2.3958239999999999E-2</v>
      </c>
      <c r="AA6795">
        <v>0.99113879999999999</v>
      </c>
      <c r="AB6795">
        <v>3</v>
      </c>
      <c r="AC6795">
        <v>0.630099999999998</v>
      </c>
      <c r="AD6795">
        <v>-0.1968926</v>
      </c>
      <c r="AE6795">
        <v>-8.0299999999994001E-2</v>
      </c>
      <c r="AF6795">
        <v>8.3474853805622501E-2</v>
      </c>
      <c r="AG6795">
        <v>-0.1968926</v>
      </c>
      <c r="AH6795">
        <v>0.57347153014827901</v>
      </c>
      <c r="AI6795">
        <v>108.765403102717</v>
      </c>
      <c r="AJ6795">
        <v>81.718157288727596</v>
      </c>
      <c r="AK6795">
        <v>0.61204929788640305</v>
      </c>
    </row>
    <row r="6796" spans="1:37" x14ac:dyDescent="0.2">
      <c r="A6796" t="str">
        <f>"20200111160353770"</f>
        <v>20200111160353770</v>
      </c>
      <c r="B6796" t="str">
        <f>"1578729833760712"</f>
        <v>1578729833760712</v>
      </c>
      <c r="C6796" t="s">
        <v>37</v>
      </c>
      <c r="D6796">
        <v>5.5336210000000001</v>
      </c>
      <c r="E6796">
        <v>0.56314549999999997</v>
      </c>
      <c r="F6796" t="s">
        <v>42</v>
      </c>
      <c r="G6796">
        <v>-147.53049999999999</v>
      </c>
      <c r="H6796">
        <v>0.90948719999999905</v>
      </c>
      <c r="I6796">
        <v>137.25700000000001</v>
      </c>
      <c r="J6796">
        <v>-148.17590000000001</v>
      </c>
      <c r="K6796">
        <v>1.1059369999999999</v>
      </c>
      <c r="L6796">
        <v>137.33789999999999</v>
      </c>
      <c r="M6796">
        <v>0.99954089999999995</v>
      </c>
      <c r="N6796">
        <v>0</v>
      </c>
      <c r="O6796">
        <v>1.7523400000000001E-2</v>
      </c>
      <c r="P6796">
        <v>0.99864219999999904</v>
      </c>
      <c r="Q6796">
        <v>-3.7607099999999997E-2</v>
      </c>
      <c r="R6796">
        <v>3.6048549999999999E-2</v>
      </c>
      <c r="S6796">
        <v>2.9838709999999899</v>
      </c>
      <c r="T6796">
        <v>-0.87685689999999905</v>
      </c>
      <c r="U6796">
        <v>-0.36070249999999998</v>
      </c>
      <c r="V6796">
        <v>-1.8536649999999998E-2</v>
      </c>
      <c r="W6796">
        <v>-1.290463E-2</v>
      </c>
      <c r="X6796">
        <v>0.99974490000000005</v>
      </c>
      <c r="Y6796">
        <v>0.1311909</v>
      </c>
      <c r="Z6796">
        <v>-2.3841129999999999E-2</v>
      </c>
      <c r="AA6796">
        <v>0.99107040000000002</v>
      </c>
      <c r="AB6796">
        <v>2</v>
      </c>
      <c r="AC6796">
        <v>0.64540000000002296</v>
      </c>
      <c r="AD6796">
        <v>-0.19644980000000001</v>
      </c>
      <c r="AE6796">
        <v>-8.0899999999985497E-2</v>
      </c>
      <c r="AF6796">
        <v>8.4493414995648802E-2</v>
      </c>
      <c r="AG6796">
        <v>-0.19644980000000001</v>
      </c>
      <c r="AH6796">
        <v>0.59005946223281402</v>
      </c>
      <c r="AI6796">
        <v>108.2406940398</v>
      </c>
      <c r="AJ6796">
        <v>81.850942155146697</v>
      </c>
      <c r="AK6796">
        <v>0.62761598933435803</v>
      </c>
    </row>
    <row r="6797" spans="1:37" x14ac:dyDescent="0.2">
      <c r="A6797" t="str">
        <f>"20200111160353793"</f>
        <v>20200111160353793</v>
      </c>
      <c r="B6797" t="str">
        <f>"1578729833789991"</f>
        <v>1578729833789991</v>
      </c>
      <c r="C6797" t="s">
        <v>37</v>
      </c>
      <c r="D6797">
        <v>5.5710280000000001</v>
      </c>
      <c r="E6797">
        <v>0.56316840000000001</v>
      </c>
      <c r="F6797" t="s">
        <v>42</v>
      </c>
      <c r="G6797">
        <v>-147.50129999999999</v>
      </c>
      <c r="H6797">
        <v>0.90740379999999998</v>
      </c>
      <c r="I6797">
        <v>137.25659999999999</v>
      </c>
      <c r="J6797">
        <v>-148.15950000000001</v>
      </c>
      <c r="K6797">
        <v>1.1059429999999999</v>
      </c>
      <c r="L6797">
        <v>137.33789999999999</v>
      </c>
      <c r="M6797">
        <v>0.99954399999999999</v>
      </c>
      <c r="N6797">
        <v>0</v>
      </c>
      <c r="O6797">
        <v>1.7338159999999998E-2</v>
      </c>
      <c r="P6797">
        <v>0.99858559999999996</v>
      </c>
      <c r="Q6797">
        <v>-3.8500630000000001E-2</v>
      </c>
      <c r="R6797">
        <v>3.667488E-2</v>
      </c>
      <c r="S6797">
        <v>2.983978</v>
      </c>
      <c r="T6797">
        <v>-0.87797610000000004</v>
      </c>
      <c r="U6797">
        <v>-0.35903930000000001</v>
      </c>
      <c r="V6797">
        <v>-1.934874E-2</v>
      </c>
      <c r="W6797">
        <v>-1.3790719999999999E-2</v>
      </c>
      <c r="X6797">
        <v>0.99971769999999904</v>
      </c>
      <c r="Y6797">
        <v>0.1304805</v>
      </c>
      <c r="Z6797">
        <v>-2.371504E-2</v>
      </c>
      <c r="AA6797">
        <v>0.99116719999999903</v>
      </c>
      <c r="AB6797">
        <v>2</v>
      </c>
      <c r="AC6797">
        <v>0.65820000000002199</v>
      </c>
      <c r="AD6797">
        <v>-0.1985392</v>
      </c>
      <c r="AE6797">
        <v>-8.1299999999998804E-2</v>
      </c>
      <c r="AF6797">
        <v>8.5078568254408599E-2</v>
      </c>
      <c r="AG6797">
        <v>-0.1985392</v>
      </c>
      <c r="AH6797">
        <v>0.60267936226020802</v>
      </c>
      <c r="AI6797">
        <v>108.06598364530301</v>
      </c>
      <c r="AJ6797">
        <v>81.964809126556602</v>
      </c>
      <c r="AK6797">
        <v>0.64021761175965097</v>
      </c>
    </row>
    <row r="6798" spans="1:37" x14ac:dyDescent="0.2">
      <c r="A6798" t="str">
        <f>"20200111160353818"</f>
        <v>20200111160353818</v>
      </c>
      <c r="B6798" t="str">
        <f>"1578729833810487"</f>
        <v>1578729833810487</v>
      </c>
      <c r="C6798" t="s">
        <v>37</v>
      </c>
      <c r="D6798">
        <v>5.5753250000000003</v>
      </c>
      <c r="E6798">
        <v>0.56317779999999995</v>
      </c>
      <c r="F6798" t="s">
        <v>42</v>
      </c>
      <c r="G6798">
        <v>-147.489</v>
      </c>
      <c r="H6798">
        <v>0.9076978</v>
      </c>
      <c r="I6798">
        <v>137.25749999999999</v>
      </c>
      <c r="J6798">
        <v>-148.14519999999999</v>
      </c>
      <c r="K6798">
        <v>1.1059459999999901</v>
      </c>
      <c r="L6798">
        <v>137.33799999999999</v>
      </c>
      <c r="M6798">
        <v>0.99954699999999996</v>
      </c>
      <c r="N6798">
        <v>0</v>
      </c>
      <c r="O6798">
        <v>1.7177959999999999E-2</v>
      </c>
      <c r="P6798">
        <v>0.998538699999999</v>
      </c>
      <c r="Q6798">
        <v>-3.8858919999999998E-2</v>
      </c>
      <c r="R6798">
        <v>3.7558590000000003E-2</v>
      </c>
      <c r="S6798">
        <v>2.9833529999999899</v>
      </c>
      <c r="T6798">
        <v>-0.88196529999999995</v>
      </c>
      <c r="U6798">
        <v>-0.35710140000000001</v>
      </c>
      <c r="V6798">
        <v>-2.03926E-2</v>
      </c>
      <c r="W6798">
        <v>-1.415838E-2</v>
      </c>
      <c r="X6798">
        <v>0.99969180000000002</v>
      </c>
      <c r="Y6798">
        <v>0.12969339999999999</v>
      </c>
      <c r="Z6798">
        <v>-2.3664270000000001E-2</v>
      </c>
      <c r="AA6798">
        <v>0.99127169999999898</v>
      </c>
      <c r="AB6798">
        <v>2</v>
      </c>
      <c r="AC6798">
        <v>0.65619999999998402</v>
      </c>
      <c r="AD6798">
        <v>-0.19824819999999899</v>
      </c>
      <c r="AE6798">
        <v>-8.0500000000000599E-2</v>
      </c>
      <c r="AF6798">
        <v>8.4193051672679195E-2</v>
      </c>
      <c r="AG6798">
        <v>-0.19824819999999899</v>
      </c>
      <c r="AH6798">
        <v>0.60070422483011998</v>
      </c>
      <c r="AI6798">
        <v>108.099036742227</v>
      </c>
      <c r="AJ6798">
        <v>82.021553282664797</v>
      </c>
      <c r="AK6798">
        <v>0.63815075372669905</v>
      </c>
    </row>
    <row r="6799" spans="1:37" x14ac:dyDescent="0.2">
      <c r="A6799" t="str">
        <f>"20200111160353841"</f>
        <v>20200111160353841</v>
      </c>
      <c r="B6799" t="str">
        <f>"1578729833830008"</f>
        <v>1578729833830008</v>
      </c>
      <c r="C6799" t="s">
        <v>37</v>
      </c>
      <c r="D6799">
        <v>5.6102790000000002</v>
      </c>
      <c r="E6799">
        <v>0.56315479999999996</v>
      </c>
      <c r="F6799" t="s">
        <v>42</v>
      </c>
      <c r="G6799">
        <v>-147.4785</v>
      </c>
      <c r="H6799">
        <v>0.90846109999999902</v>
      </c>
      <c r="I6799">
        <v>137.2587</v>
      </c>
      <c r="J6799">
        <v>-148.1343</v>
      </c>
      <c r="K6799">
        <v>1.1059399999999999</v>
      </c>
      <c r="L6799">
        <v>137.33799999999999</v>
      </c>
      <c r="M6799">
        <v>0.99955049999999901</v>
      </c>
      <c r="N6799">
        <v>0</v>
      </c>
      <c r="O6799">
        <v>1.705549E-2</v>
      </c>
      <c r="P6799">
        <v>0.99850149999999904</v>
      </c>
      <c r="Q6799">
        <v>-3.8751269999999997E-2</v>
      </c>
      <c r="R6799">
        <v>3.8641179999999997E-2</v>
      </c>
      <c r="S6799">
        <v>2.9833529999999899</v>
      </c>
      <c r="T6799">
        <v>-0.88361139999999905</v>
      </c>
      <c r="U6799">
        <v>-0.35479739999999999</v>
      </c>
      <c r="V6799">
        <v>-2.1598630000000001E-2</v>
      </c>
      <c r="W6799">
        <v>-1.4111429999999999E-2</v>
      </c>
      <c r="X6799">
        <v>0.99966710000000003</v>
      </c>
      <c r="Y6799">
        <v>0.12883539999999999</v>
      </c>
      <c r="Z6799">
        <v>-2.354823E-2</v>
      </c>
      <c r="AA6799">
        <v>0.9913864</v>
      </c>
      <c r="AB6799">
        <v>1</v>
      </c>
      <c r="AC6799">
        <v>0.65579999999999905</v>
      </c>
      <c r="AD6799">
        <v>-0.19747890000000001</v>
      </c>
      <c r="AE6799">
        <v>-7.9299999999989199E-2</v>
      </c>
      <c r="AF6799">
        <v>8.3054247640133305E-2</v>
      </c>
      <c r="AG6799">
        <v>-0.19747890000000001</v>
      </c>
      <c r="AH6799">
        <v>0.60066948856394997</v>
      </c>
      <c r="AI6799">
        <v>108.03868296905</v>
      </c>
      <c r="AJ6799">
        <v>82.127659059966703</v>
      </c>
      <c r="AK6799">
        <v>0.63773016118728099</v>
      </c>
    </row>
    <row r="6800" spans="1:37" x14ac:dyDescent="0.2">
      <c r="A6800" t="str">
        <f>"20200111160353877"</f>
        <v>20200111160353877</v>
      </c>
      <c r="B6800" t="str">
        <f>"1578729833870024"</f>
        <v>1578729833870024</v>
      </c>
      <c r="C6800" t="s">
        <v>37</v>
      </c>
      <c r="D6800">
        <v>5.5949960000000001</v>
      </c>
      <c r="E6800">
        <v>0.56316100000000002</v>
      </c>
      <c r="F6800" t="s">
        <v>42</v>
      </c>
      <c r="G6800">
        <v>-147.46979999999999</v>
      </c>
      <c r="H6800">
        <v>0.90895369999999998</v>
      </c>
      <c r="I6800">
        <v>137.25980000000001</v>
      </c>
      <c r="J6800">
        <v>-148.12190000000001</v>
      </c>
      <c r="K6800">
        <v>1.105869</v>
      </c>
      <c r="L6800">
        <v>137.33799999999999</v>
      </c>
      <c r="M6800">
        <v>0.99956039999999902</v>
      </c>
      <c r="N6800">
        <v>0</v>
      </c>
      <c r="O6800">
        <v>1.691403E-2</v>
      </c>
      <c r="P6800">
        <v>0.998422699999999</v>
      </c>
      <c r="Q6800">
        <v>-3.9861559999999997E-2</v>
      </c>
      <c r="R6800">
        <v>3.9535399999999998E-2</v>
      </c>
      <c r="S6800">
        <v>2.9837799999999999</v>
      </c>
      <c r="T6800">
        <v>-0.88443669999999996</v>
      </c>
      <c r="U6800">
        <v>-0.35090640000000001</v>
      </c>
      <c r="V6800">
        <v>-2.2634910000000001E-2</v>
      </c>
      <c r="W6800">
        <v>-1.553071E-2</v>
      </c>
      <c r="X6800">
        <v>0.99962320000000005</v>
      </c>
      <c r="Y6800">
        <v>0.12745709999999999</v>
      </c>
      <c r="Z6800">
        <v>-2.3327469999999999E-2</v>
      </c>
      <c r="AA6800">
        <v>0.9915697</v>
      </c>
      <c r="AB6800">
        <v>1</v>
      </c>
      <c r="AC6800">
        <v>0.652100000000018</v>
      </c>
      <c r="AD6800">
        <v>-0.19691529999999999</v>
      </c>
      <c r="AE6800">
        <v>-7.8199999999981104E-2</v>
      </c>
      <c r="AF6800">
        <v>8.1862766312749802E-2</v>
      </c>
      <c r="AG6800">
        <v>-0.19691529999999999</v>
      </c>
      <c r="AH6800">
        <v>0.59701562083078097</v>
      </c>
      <c r="AI6800">
        <v>108.09610058807399</v>
      </c>
      <c r="AJ6800">
        <v>82.192294455665603</v>
      </c>
      <c r="AK6800">
        <v>0.63395961969074099</v>
      </c>
    </row>
    <row r="6801" spans="1:37" x14ac:dyDescent="0.2">
      <c r="A6801" t="str">
        <f>"20200111160353914"</f>
        <v>20200111160353914</v>
      </c>
      <c r="B6801" t="str">
        <f>"1578729833910040"</f>
        <v>1578729833910040</v>
      </c>
      <c r="C6801" t="s">
        <v>37</v>
      </c>
      <c r="D6801">
        <v>5.60053</v>
      </c>
      <c r="E6801">
        <v>0.56325829999999999</v>
      </c>
      <c r="F6801" t="s">
        <v>42</v>
      </c>
      <c r="G6801">
        <v>-147.45760000000001</v>
      </c>
      <c r="H6801">
        <v>0.90777949999999996</v>
      </c>
      <c r="I6801">
        <v>137.26050000000001</v>
      </c>
      <c r="J6801">
        <v>-148.11250000000001</v>
      </c>
      <c r="K6801">
        <v>1.10572</v>
      </c>
      <c r="L6801">
        <v>137.3381</v>
      </c>
      <c r="M6801">
        <v>0.99957940000000001</v>
      </c>
      <c r="N6801">
        <v>0</v>
      </c>
      <c r="O6801">
        <v>1.680005E-2</v>
      </c>
      <c r="P6801">
        <v>0.99843320000000002</v>
      </c>
      <c r="Q6801">
        <v>-3.989239E-2</v>
      </c>
      <c r="R6801">
        <v>3.9242239999999998E-2</v>
      </c>
      <c r="S6801">
        <v>2.9830169999999998</v>
      </c>
      <c r="T6801">
        <v>-0.88936559999999898</v>
      </c>
      <c r="U6801">
        <v>-0.34791559999999999</v>
      </c>
      <c r="V6801">
        <v>-2.2456380000000001E-2</v>
      </c>
      <c r="W6801">
        <v>-1.626998E-2</v>
      </c>
      <c r="X6801">
        <v>0.99961540000000004</v>
      </c>
      <c r="Y6801">
        <v>0.12637290000000001</v>
      </c>
      <c r="Z6801">
        <v>-2.3268170000000001E-2</v>
      </c>
      <c r="AA6801">
        <v>0.99170990000000003</v>
      </c>
      <c r="AB6801">
        <v>1</v>
      </c>
      <c r="AC6801">
        <v>0.65489999999999704</v>
      </c>
      <c r="AD6801">
        <v>-0.19794049999999999</v>
      </c>
      <c r="AE6801">
        <v>-7.7599999999989594E-2</v>
      </c>
      <c r="AF6801">
        <v>8.1272811826176794E-2</v>
      </c>
      <c r="AG6801">
        <v>-0.19794049999999999</v>
      </c>
      <c r="AH6801">
        <v>0.59949638797510796</v>
      </c>
      <c r="AI6801">
        <v>108.117321170388</v>
      </c>
      <c r="AJ6801">
        <v>82.279566342006106</v>
      </c>
      <c r="AK6801">
        <v>0.63653878960954502</v>
      </c>
    </row>
    <row r="6802" spans="1:37" x14ac:dyDescent="0.2">
      <c r="A6802" t="str">
        <f>"20200111160353937"</f>
        <v>20200111160353937</v>
      </c>
      <c r="B6802" t="str">
        <f>"1578729833930535"</f>
        <v>1578729833930535</v>
      </c>
      <c r="C6802" t="s">
        <v>37</v>
      </c>
      <c r="D6802">
        <v>5.632403</v>
      </c>
      <c r="E6802">
        <v>0.56326709999999902</v>
      </c>
      <c r="F6802" t="s">
        <v>42</v>
      </c>
      <c r="G6802">
        <v>-147.44880000000001</v>
      </c>
      <c r="H6802">
        <v>0.90756079999999995</v>
      </c>
      <c r="I6802">
        <v>137.2602</v>
      </c>
      <c r="J6802">
        <v>-148.10820000000001</v>
      </c>
      <c r="K6802">
        <v>1.1055950000000001</v>
      </c>
      <c r="L6802">
        <v>137.3381</v>
      </c>
      <c r="M6802">
        <v>0.99959469999999995</v>
      </c>
      <c r="N6802">
        <v>0</v>
      </c>
      <c r="O6802">
        <v>1.674345E-2</v>
      </c>
      <c r="P6802">
        <v>0.99846789999999996</v>
      </c>
      <c r="Q6802">
        <v>-3.9063229999999997E-2</v>
      </c>
      <c r="R6802">
        <v>3.9193829999999999E-2</v>
      </c>
      <c r="S6802">
        <v>2.98287999999999</v>
      </c>
      <c r="T6802">
        <v>-0.89046719999999902</v>
      </c>
      <c r="U6802">
        <v>-0.34953309999999999</v>
      </c>
      <c r="V6802">
        <v>-2.2464560000000001E-2</v>
      </c>
      <c r="W6802">
        <v>-1.6053609999999999E-2</v>
      </c>
      <c r="X6802">
        <v>0.99961880000000003</v>
      </c>
      <c r="Y6802">
        <v>0.1268205</v>
      </c>
      <c r="Z6802">
        <v>-2.3344750000000001E-2</v>
      </c>
      <c r="AA6802">
        <v>0.9916509</v>
      </c>
      <c r="AB6802">
        <v>1</v>
      </c>
      <c r="AC6802">
        <v>0.65940000000000498</v>
      </c>
      <c r="AD6802">
        <v>-0.19803419999999999</v>
      </c>
      <c r="AE6802">
        <v>-7.7899999999999595E-2</v>
      </c>
      <c r="AF6802">
        <v>8.1667977663506294E-2</v>
      </c>
      <c r="AG6802">
        <v>-0.19803419999999999</v>
      </c>
      <c r="AH6802">
        <v>0.60425246577366398</v>
      </c>
      <c r="AI6802">
        <v>107.992824322017</v>
      </c>
      <c r="AJ6802">
        <v>82.302808576127902</v>
      </c>
      <c r="AK6802">
        <v>0.64109924765112603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2020-07-09T10:52:52Z</dcterms:created>
  <dcterms:modified xsi:type="dcterms:W3CDTF">2020-07-09T10:52:52Z</dcterms:modified>
</cp:coreProperties>
</file>